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iegoArmandoUstarizM\Desktop\JOIN DATA\Aplicacion\csv\empresas\flora\"/>
    </mc:Choice>
  </mc:AlternateContent>
  <xr:revisionPtr revIDLastSave="0" documentId="8_{48B890BF-D1AE-4770-8744-F0C5B4014D4C}" xr6:coauthVersionLast="47" xr6:coauthVersionMax="47" xr10:uidLastSave="{00000000-0000-0000-0000-000000000000}"/>
  <bookViews>
    <workbookView xWindow="-110" yWindow="-110" windowWidth="19420" windowHeight="11500" xr2:uid="{00000000-000D-0000-FFFF-FFFF00000000}"/>
  </bookViews>
  <sheets>
    <sheet name="Registros" sheetId="1" r:id="rId1"/>
    <sheet name="Produccion" sheetId="2" r:id="rId2"/>
    <sheet name="Domicilios" sheetId="3" r:id="rId3"/>
    <sheet name="Pagos" sheetId="4" r:id="rId4"/>
    <sheet name="Caja" sheetId="5" r:id="rId5"/>
    <sheet name="Domiciliarios" sheetId="6" r:id="rId6"/>
    <sheet name="Catalogo" sheetId="7" r:id="rId7"/>
    <sheet name="San_Valentin" sheetId="8" r:id="rId8"/>
    <sheet name="Copia de Inventario" sheetId="9" r:id="rId9"/>
    <sheet name="Inventario" sheetId="10" r:id="rId10"/>
    <sheet name="Movimientos_Inventario" sheetId="11" r:id="rId11"/>
    <sheet name="Inventario_Movimientos" sheetId="12" r:id="rId12"/>
    <sheet name="Copia de Inventario_Movimientos" sheetId="13" r:id="rId13"/>
    <sheet name="Recetario" sheetId="14" r:id="rId14"/>
    <sheet name="Clientes" sheetId="15" r:id="rId15"/>
    <sheet name="Barrio" sheetId="16" r:id="rId16"/>
    <sheet name="Floristas" sheetId="17" r:id="rId17"/>
    <sheet name="Reporte" sheetId="18" r:id="rId18"/>
    <sheet name="CODIGOS" sheetId="19" r:id="rId19"/>
    <sheet name="CATALOGO_ARREGLOS" sheetId="20" r:id="rId20"/>
    <sheet name="MOVIMIENTOS_CATALOGO" sheetId="21" r:id="rId21"/>
    <sheet name="Hoja24" sheetId="22" r:id="rId22"/>
    <sheet name="Hoja 27" sheetId="23" r:id="rId23"/>
  </sheets>
  <definedNames>
    <definedName name="_xlnm._FilterDatabase" localSheetId="15" hidden="1">Barrio!$A$1:$C$135</definedName>
    <definedName name="_xlnm._FilterDatabase" localSheetId="6" hidden="1">Catalogo!$A$1:$E$109</definedName>
    <definedName name="_xlnm._FilterDatabase" localSheetId="14" hidden="1">Clientes!$A$1:$AB$3810</definedName>
    <definedName name="_xlnm._FilterDatabase" localSheetId="18" hidden="1">CODIGOS!$A$1:$B$9997</definedName>
    <definedName name="_xlnm._FilterDatabase" localSheetId="2" hidden="1">Domicilios!$A$1:$P$852</definedName>
    <definedName name="_xlnm._FilterDatabase" localSheetId="22" hidden="1">'Hoja 27'!$A$1:$Z$1000</definedName>
    <definedName name="_xlnm._FilterDatabase" localSheetId="9" hidden="1">Inventario!$F$1:$F$1000</definedName>
    <definedName name="_xlnm._FilterDatabase" localSheetId="1" hidden="1">Produccion!$A$1:$W$294</definedName>
    <definedName name="_xlnm._FilterDatabase" localSheetId="0" hidden="1">Registros!$A$1:$AD$2312</definedName>
    <definedName name="SlicerCache_Table_1_Col_1">#N/A</definedName>
    <definedName name="Z_E9E50F45_FDD9_48EB_AEB1_12647E46A6AC_.wvu.FilterData" localSheetId="21" hidden="1">Hoja24!$A$1:$B$105</definedName>
  </definedNames>
  <calcPr calcId="191029"/>
  <customWorkbookViews>
    <customWorkbookView name="Filtro 1" guid="{E9E50F45-FDD9-48EB-AEB1-12647E46A6AC}" maximized="1" windowWidth="0" windowHeight="0" activeSheetId="0"/>
  </customWorkbookView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194" i="1" l="1"/>
  <c r="D112" i="22"/>
  <c r="D111" i="22"/>
  <c r="D110" i="22"/>
  <c r="D109" i="22"/>
  <c r="D108" i="22"/>
  <c r="D107" i="22"/>
  <c r="D106" i="22"/>
  <c r="D105" i="22"/>
  <c r="B105" i="22"/>
  <c r="D104" i="22"/>
  <c r="B104" i="22"/>
  <c r="D103" i="22"/>
  <c r="B103" i="22"/>
  <c r="D102" i="22"/>
  <c r="B102" i="22"/>
  <c r="D101" i="22"/>
  <c r="B101" i="22"/>
  <c r="D100" i="22"/>
  <c r="B100" i="22"/>
  <c r="D99" i="22"/>
  <c r="B99" i="22"/>
  <c r="D98" i="22"/>
  <c r="B98" i="22"/>
  <c r="D97" i="22"/>
  <c r="B97" i="22"/>
  <c r="D96" i="22"/>
  <c r="B96" i="22"/>
  <c r="D95" i="22"/>
  <c r="B95" i="22"/>
  <c r="D94" i="22"/>
  <c r="B94" i="22"/>
  <c r="D93" i="22"/>
  <c r="B93" i="22"/>
  <c r="D92" i="22"/>
  <c r="B92" i="22"/>
  <c r="D91" i="22"/>
  <c r="B91" i="22"/>
  <c r="D90" i="22"/>
  <c r="B90" i="22"/>
  <c r="D89" i="22"/>
  <c r="B89" i="22"/>
  <c r="D88" i="22"/>
  <c r="B88" i="22"/>
  <c r="D87" i="22"/>
  <c r="B87" i="22"/>
  <c r="D86" i="22"/>
  <c r="B86" i="22"/>
  <c r="D85" i="22"/>
  <c r="B85" i="22"/>
  <c r="D84" i="22"/>
  <c r="B84" i="22"/>
  <c r="D83" i="22"/>
  <c r="B83" i="22"/>
  <c r="D82" i="22"/>
  <c r="B82" i="22"/>
  <c r="D81" i="22"/>
  <c r="B81" i="22"/>
  <c r="D80" i="22"/>
  <c r="B80" i="22"/>
  <c r="D79" i="22"/>
  <c r="B79" i="22"/>
  <c r="D78" i="22"/>
  <c r="B78" i="22"/>
  <c r="D77" i="22"/>
  <c r="B77" i="22"/>
  <c r="D76" i="22"/>
  <c r="B76" i="22"/>
  <c r="D75" i="22"/>
  <c r="B75" i="22"/>
  <c r="D74" i="22"/>
  <c r="B74" i="22"/>
  <c r="D73" i="22"/>
  <c r="B73" i="22"/>
  <c r="D72" i="22"/>
  <c r="B72" i="22"/>
  <c r="D71" i="22"/>
  <c r="B71" i="22"/>
  <c r="D70" i="22"/>
  <c r="B70" i="22"/>
  <c r="D69" i="22"/>
  <c r="B69" i="22"/>
  <c r="D68" i="22"/>
  <c r="B68" i="22"/>
  <c r="D67" i="22"/>
  <c r="B67" i="22"/>
  <c r="D66" i="22"/>
  <c r="B66" i="22"/>
  <c r="D65" i="22"/>
  <c r="B65" i="22"/>
  <c r="D64" i="22"/>
  <c r="B64" i="22"/>
  <c r="D63" i="22"/>
  <c r="B63" i="22"/>
  <c r="D62" i="22"/>
  <c r="B62" i="22"/>
  <c r="D61" i="22"/>
  <c r="B61" i="22"/>
  <c r="D60" i="22"/>
  <c r="B60" i="22"/>
  <c r="D59" i="22"/>
  <c r="B59" i="22"/>
  <c r="D58" i="22"/>
  <c r="B58" i="22"/>
  <c r="D57" i="22"/>
  <c r="B57" i="22"/>
  <c r="D56" i="22"/>
  <c r="B56" i="22"/>
  <c r="D55" i="22"/>
  <c r="B55" i="22"/>
  <c r="D54" i="22"/>
  <c r="B54" i="22"/>
  <c r="D53" i="22"/>
  <c r="B53" i="22"/>
  <c r="D52" i="22"/>
  <c r="B52" i="22"/>
  <c r="D51" i="22"/>
  <c r="B51" i="22"/>
  <c r="D50" i="22"/>
  <c r="B50" i="22"/>
  <c r="D49" i="22"/>
  <c r="B49" i="22"/>
  <c r="D48" i="22"/>
  <c r="B48" i="22"/>
  <c r="D47" i="22"/>
  <c r="B47" i="22"/>
  <c r="D46" i="22"/>
  <c r="B46" i="22"/>
  <c r="D45" i="22"/>
  <c r="B45" i="22"/>
  <c r="D44" i="22"/>
  <c r="B44" i="22"/>
  <c r="D43" i="22"/>
  <c r="B43" i="22"/>
  <c r="D42" i="22"/>
  <c r="B42" i="22"/>
  <c r="D41" i="22"/>
  <c r="B41" i="22"/>
  <c r="D40" i="22"/>
  <c r="B40" i="22"/>
  <c r="D39" i="22"/>
  <c r="B39" i="22"/>
  <c r="D38" i="22"/>
  <c r="B38" i="22"/>
  <c r="D37" i="22"/>
  <c r="B37" i="22"/>
  <c r="D36" i="22"/>
  <c r="B36" i="22"/>
  <c r="D35" i="22"/>
  <c r="B35" i="22"/>
  <c r="D34" i="22"/>
  <c r="B34" i="22"/>
  <c r="D33" i="22"/>
  <c r="B33" i="22"/>
  <c r="D32" i="22"/>
  <c r="B32" i="22"/>
  <c r="D31" i="22"/>
  <c r="B31" i="22"/>
  <c r="D30" i="22"/>
  <c r="B30" i="22"/>
  <c r="D29" i="22"/>
  <c r="B29" i="22"/>
  <c r="D28" i="22"/>
  <c r="B28" i="22"/>
  <c r="D27" i="22"/>
  <c r="B27" i="22"/>
  <c r="D26" i="22"/>
  <c r="B26" i="22"/>
  <c r="D25" i="22"/>
  <c r="B25" i="22"/>
  <c r="D24" i="22"/>
  <c r="B24" i="22"/>
  <c r="D23" i="22"/>
  <c r="B23" i="22"/>
  <c r="D22" i="22"/>
  <c r="B22" i="22"/>
  <c r="D21" i="22"/>
  <c r="B21" i="22"/>
  <c r="D20" i="22"/>
  <c r="B20" i="22"/>
  <c r="D19" i="22"/>
  <c r="B19" i="22"/>
  <c r="D18" i="22"/>
  <c r="B18" i="22"/>
  <c r="D17" i="22"/>
  <c r="B17" i="22"/>
  <c r="D16" i="22"/>
  <c r="B16" i="22"/>
  <c r="D15" i="22"/>
  <c r="B15" i="22"/>
  <c r="D14" i="22"/>
  <c r="B14" i="22"/>
  <c r="D13" i="22"/>
  <c r="B13" i="22"/>
  <c r="D12" i="22"/>
  <c r="B12" i="22"/>
  <c r="D11" i="22"/>
  <c r="B11" i="22"/>
  <c r="D10" i="22"/>
  <c r="B10" i="22"/>
  <c r="D9" i="22"/>
  <c r="B9" i="22"/>
  <c r="D8" i="22"/>
  <c r="B8" i="22"/>
  <c r="D7" i="22"/>
  <c r="B7" i="22"/>
  <c r="D6" i="22"/>
  <c r="B6" i="22"/>
  <c r="D5" i="22"/>
  <c r="B5" i="22"/>
  <c r="D4" i="22"/>
  <c r="B4" i="22"/>
  <c r="D3" i="22"/>
  <c r="B3" i="22"/>
  <c r="D2" i="22"/>
  <c r="B2" i="22"/>
  <c r="F25" i="20"/>
  <c r="E25" i="20"/>
  <c r="F24" i="20"/>
  <c r="E24" i="20"/>
  <c r="F23" i="20"/>
  <c r="E23" i="20"/>
  <c r="F22" i="20"/>
  <c r="E22" i="20"/>
  <c r="F21" i="20"/>
  <c r="E21" i="20"/>
  <c r="F20" i="20"/>
  <c r="E20" i="20"/>
  <c r="F19" i="20"/>
  <c r="E19" i="20"/>
  <c r="F18" i="20"/>
  <c r="E18" i="20"/>
  <c r="E17" i="20"/>
  <c r="E16" i="20"/>
  <c r="F16" i="20" s="1"/>
  <c r="E15" i="20"/>
  <c r="F15" i="20" s="1"/>
  <c r="E14" i="20"/>
  <c r="F14" i="20" s="1"/>
  <c r="E13" i="20"/>
  <c r="F13" i="20" s="1"/>
  <c r="E12" i="20"/>
  <c r="F12" i="20" s="1"/>
  <c r="E11" i="20"/>
  <c r="F11" i="20" s="1"/>
  <c r="E10" i="20"/>
  <c r="F10" i="20" s="1"/>
  <c r="E9" i="20"/>
  <c r="F9" i="20" s="1"/>
  <c r="E8" i="20"/>
  <c r="F8" i="20" s="1"/>
  <c r="E7" i="20"/>
  <c r="F7" i="20" s="1"/>
  <c r="E6" i="20"/>
  <c r="F6" i="20" s="1"/>
  <c r="E5" i="20"/>
  <c r="F5" i="20" s="1"/>
  <c r="E4" i="20"/>
  <c r="F4" i="20" s="1"/>
  <c r="E3" i="20"/>
  <c r="F3" i="20" s="1"/>
  <c r="E2" i="20"/>
  <c r="E35" i="20" s="1"/>
  <c r="F35" i="20" s="1"/>
  <c r="A2503" i="19"/>
  <c r="A2502" i="19"/>
  <c r="A2501" i="19"/>
  <c r="A2500" i="19"/>
  <c r="A2499" i="19"/>
  <c r="A2498" i="19"/>
  <c r="A2497" i="19"/>
  <c r="A2496" i="19"/>
  <c r="A2495" i="19"/>
  <c r="A2494" i="19"/>
  <c r="A2493" i="19"/>
  <c r="A2492" i="19"/>
  <c r="A2491" i="19"/>
  <c r="A2490" i="19"/>
  <c r="A2489" i="19"/>
  <c r="A2488" i="19"/>
  <c r="A2487" i="19"/>
  <c r="A2486" i="19"/>
  <c r="A2485" i="19"/>
  <c r="A2484" i="19"/>
  <c r="A2483" i="19"/>
  <c r="A2482" i="19"/>
  <c r="A2481" i="19"/>
  <c r="A2480" i="19"/>
  <c r="A2479" i="19"/>
  <c r="A2478" i="19"/>
  <c r="A2477" i="19"/>
  <c r="A2476" i="19"/>
  <c r="A2475" i="19"/>
  <c r="A2474" i="19"/>
  <c r="A2473" i="19"/>
  <c r="A2472" i="19"/>
  <c r="A2471" i="19"/>
  <c r="A2470" i="19"/>
  <c r="A2469" i="19"/>
  <c r="A2468" i="19"/>
  <c r="A2467" i="19"/>
  <c r="A2466" i="19"/>
  <c r="A2465" i="19"/>
  <c r="A2464" i="19"/>
  <c r="A2463" i="19"/>
  <c r="A2462" i="19"/>
  <c r="A2461" i="19"/>
  <c r="A2460" i="19"/>
  <c r="A2459" i="19"/>
  <c r="A2458" i="19"/>
  <c r="A2457" i="19"/>
  <c r="A2456" i="19"/>
  <c r="A2455" i="19"/>
  <c r="A2454" i="19"/>
  <c r="A2453" i="19"/>
  <c r="A2452" i="19"/>
  <c r="A2451" i="19"/>
  <c r="A2450" i="19"/>
  <c r="A2449" i="19"/>
  <c r="A2448" i="19"/>
  <c r="A2447" i="19"/>
  <c r="A2446" i="19"/>
  <c r="A2445" i="19"/>
  <c r="A2444" i="19"/>
  <c r="A2443" i="19"/>
  <c r="A2442" i="19"/>
  <c r="A2441" i="19"/>
  <c r="A2440" i="19"/>
  <c r="A2439" i="19"/>
  <c r="A2438" i="19"/>
  <c r="A2437" i="19"/>
  <c r="A2436" i="19"/>
  <c r="A2435" i="19"/>
  <c r="A2434" i="19"/>
  <c r="A2433" i="19"/>
  <c r="A2432" i="19"/>
  <c r="A2431" i="19"/>
  <c r="A2430" i="19"/>
  <c r="A2429" i="19"/>
  <c r="A2428" i="19"/>
  <c r="A2427" i="19"/>
  <c r="A2426" i="19"/>
  <c r="A2425" i="19"/>
  <c r="A2424" i="19"/>
  <c r="A2423" i="19"/>
  <c r="A2422" i="19"/>
  <c r="A2421" i="19"/>
  <c r="A2420" i="19"/>
  <c r="A2419" i="19"/>
  <c r="A2418" i="19"/>
  <c r="A2417" i="19"/>
  <c r="A2416" i="19"/>
  <c r="A2415" i="19"/>
  <c r="A2414" i="19"/>
  <c r="A2413" i="19"/>
  <c r="A2412" i="19"/>
  <c r="A2411" i="19"/>
  <c r="A2410" i="19"/>
  <c r="A2409" i="19"/>
  <c r="A2408" i="19"/>
  <c r="A2407" i="19"/>
  <c r="A2406" i="19"/>
  <c r="A2405" i="19"/>
  <c r="A2404" i="19"/>
  <c r="A2403" i="19"/>
  <c r="A2402" i="19"/>
  <c r="A2401" i="19"/>
  <c r="A2400" i="19"/>
  <c r="A2399" i="19"/>
  <c r="A2398" i="19"/>
  <c r="A2397" i="19"/>
  <c r="A2396" i="19"/>
  <c r="A2395" i="19"/>
  <c r="A2394" i="19"/>
  <c r="A2393" i="19"/>
  <c r="A2392" i="19"/>
  <c r="A2391" i="19"/>
  <c r="A2390" i="19"/>
  <c r="A2389" i="19"/>
  <c r="A2388" i="19"/>
  <c r="A2387" i="19"/>
  <c r="A2386" i="19"/>
  <c r="A2385" i="19"/>
  <c r="A2384" i="19"/>
  <c r="A2383" i="19"/>
  <c r="A2382" i="19"/>
  <c r="A2381" i="19"/>
  <c r="A2380" i="19"/>
  <c r="A2379" i="19"/>
  <c r="A2378" i="19"/>
  <c r="A2377" i="19"/>
  <c r="A2376" i="19"/>
  <c r="A2375" i="19"/>
  <c r="A2374" i="19"/>
  <c r="A2373" i="19"/>
  <c r="A2372" i="19"/>
  <c r="A2371" i="19"/>
  <c r="A2370" i="19"/>
  <c r="A2369" i="19"/>
  <c r="A2368" i="19"/>
  <c r="A2367" i="19"/>
  <c r="A2366" i="19"/>
  <c r="A2365" i="19"/>
  <c r="A2364" i="19"/>
  <c r="A2363" i="19"/>
  <c r="A2362" i="19"/>
  <c r="A2361" i="19"/>
  <c r="A2360" i="19"/>
  <c r="A2359" i="19"/>
  <c r="A2358" i="19"/>
  <c r="A2357" i="19"/>
  <c r="A2356" i="19"/>
  <c r="A2355" i="19"/>
  <c r="A2354" i="19"/>
  <c r="A2353" i="19"/>
  <c r="A2352" i="19"/>
  <c r="A2351" i="19"/>
  <c r="A2350" i="19"/>
  <c r="A2349" i="19"/>
  <c r="A2348" i="19"/>
  <c r="A2347" i="19"/>
  <c r="A2346" i="19"/>
  <c r="A2345" i="19"/>
  <c r="A2344" i="19"/>
  <c r="A2343" i="19"/>
  <c r="A2342" i="19"/>
  <c r="A2341" i="19"/>
  <c r="A2340" i="19"/>
  <c r="A2339" i="19"/>
  <c r="A2338" i="19"/>
  <c r="A2337" i="19"/>
  <c r="A2336" i="19"/>
  <c r="A2335" i="19"/>
  <c r="A2334" i="19"/>
  <c r="A2333" i="19"/>
  <c r="A2332" i="19"/>
  <c r="A2331" i="19"/>
  <c r="A2330" i="19"/>
  <c r="A2329" i="19"/>
  <c r="A2328" i="19"/>
  <c r="A2327" i="19"/>
  <c r="A2326" i="19"/>
  <c r="A2325" i="19"/>
  <c r="A2324" i="19"/>
  <c r="A2323" i="19"/>
  <c r="A2322" i="19"/>
  <c r="A2321" i="19"/>
  <c r="A2320" i="19"/>
  <c r="A2319" i="19"/>
  <c r="A2318" i="19"/>
  <c r="A2317" i="19"/>
  <c r="A2316" i="19"/>
  <c r="A2315" i="19"/>
  <c r="A2314" i="19"/>
  <c r="A2313" i="19"/>
  <c r="A2312" i="19"/>
  <c r="A2311" i="19"/>
  <c r="A2310" i="19"/>
  <c r="A2309" i="19"/>
  <c r="A2308" i="19"/>
  <c r="A2307" i="19"/>
  <c r="A2306" i="19"/>
  <c r="A2305" i="19"/>
  <c r="A2304" i="19"/>
  <c r="A2303" i="19"/>
  <c r="A2302" i="19"/>
  <c r="A2301" i="19"/>
  <c r="A2300" i="19"/>
  <c r="A2299" i="19"/>
  <c r="A2298" i="19"/>
  <c r="A2297" i="19"/>
  <c r="A2296" i="19"/>
  <c r="A2295" i="19"/>
  <c r="A2294" i="19"/>
  <c r="A2293" i="19"/>
  <c r="A2292" i="19"/>
  <c r="A2291" i="19"/>
  <c r="A2290" i="19"/>
  <c r="A2289" i="19"/>
  <c r="A2288" i="19"/>
  <c r="A2287" i="19"/>
  <c r="A2286" i="19"/>
  <c r="A2285" i="19"/>
  <c r="A2284" i="19"/>
  <c r="A2283" i="19"/>
  <c r="A2282" i="19"/>
  <c r="A2281" i="19"/>
  <c r="A2280" i="19"/>
  <c r="A2279" i="19"/>
  <c r="A2278" i="19"/>
  <c r="A2277" i="19"/>
  <c r="A2276" i="19"/>
  <c r="A2275" i="19"/>
  <c r="A2274" i="19"/>
  <c r="A2273" i="19"/>
  <c r="A2272" i="19"/>
  <c r="A2271" i="19"/>
  <c r="A2270" i="19"/>
  <c r="A2269" i="19"/>
  <c r="A2268" i="19"/>
  <c r="A2267" i="19"/>
  <c r="A2266" i="19"/>
  <c r="A2265" i="19"/>
  <c r="A2264" i="19"/>
  <c r="A2263" i="19"/>
  <c r="A2262" i="19"/>
  <c r="A2261" i="19"/>
  <c r="A2260" i="19"/>
  <c r="A2259" i="19"/>
  <c r="A2258" i="19"/>
  <c r="A2257" i="19"/>
  <c r="A2256" i="19"/>
  <c r="A2255" i="19"/>
  <c r="A2254" i="19"/>
  <c r="A2253" i="19"/>
  <c r="A2252" i="19"/>
  <c r="A2251" i="19"/>
  <c r="A2250" i="19"/>
  <c r="A2249" i="19"/>
  <c r="A2248" i="19"/>
  <c r="A2247" i="19"/>
  <c r="A2246" i="19"/>
  <c r="A2245" i="19"/>
  <c r="A2244" i="19"/>
  <c r="A2243" i="19"/>
  <c r="A2242" i="19"/>
  <c r="A2241" i="19"/>
  <c r="A2240" i="19"/>
  <c r="A2239" i="19"/>
  <c r="A2238" i="19"/>
  <c r="A2237" i="19"/>
  <c r="A2236" i="19"/>
  <c r="A2235" i="19"/>
  <c r="A2234" i="19"/>
  <c r="A2233" i="19"/>
  <c r="A2232" i="19"/>
  <c r="A2231" i="19"/>
  <c r="A2230" i="19"/>
  <c r="A2229" i="19"/>
  <c r="A2228" i="19"/>
  <c r="A2227" i="19"/>
  <c r="A2226" i="19"/>
  <c r="A2225" i="19"/>
  <c r="A2224" i="19"/>
  <c r="A2223" i="19"/>
  <c r="A2222" i="19"/>
  <c r="A2221" i="19"/>
  <c r="A2220" i="19"/>
  <c r="A2219" i="19"/>
  <c r="A2218" i="19"/>
  <c r="A2217" i="19"/>
  <c r="A2216" i="19"/>
  <c r="A2215" i="19"/>
  <c r="A2214" i="19"/>
  <c r="A2213" i="19"/>
  <c r="A2212" i="19"/>
  <c r="A2211" i="19"/>
  <c r="A2210" i="19"/>
  <c r="A2209" i="19"/>
  <c r="A2208" i="19"/>
  <c r="A2207" i="19"/>
  <c r="A2206" i="19"/>
  <c r="A2205" i="19"/>
  <c r="A2204" i="19"/>
  <c r="A2203" i="19"/>
  <c r="A2202" i="19"/>
  <c r="A2201" i="19"/>
  <c r="A2200" i="19"/>
  <c r="A2199" i="19"/>
  <c r="A2198" i="19"/>
  <c r="A2197" i="19"/>
  <c r="A2196" i="19"/>
  <c r="A2195" i="19"/>
  <c r="A2194" i="19"/>
  <c r="A2193" i="19"/>
  <c r="A2192" i="19"/>
  <c r="A2191" i="19"/>
  <c r="A2190" i="19"/>
  <c r="A2189" i="19"/>
  <c r="A2188" i="19"/>
  <c r="A2187" i="19"/>
  <c r="A2186" i="19"/>
  <c r="A2185" i="19"/>
  <c r="A2184" i="19"/>
  <c r="A2183" i="19"/>
  <c r="A2182" i="19"/>
  <c r="A2181" i="19"/>
  <c r="A2180" i="19"/>
  <c r="A2179" i="19"/>
  <c r="A2178" i="19"/>
  <c r="A2177" i="19"/>
  <c r="A2176" i="19"/>
  <c r="A2175" i="19"/>
  <c r="A2174" i="19"/>
  <c r="A2173" i="19"/>
  <c r="A2172" i="19"/>
  <c r="A2171" i="19"/>
  <c r="A2170" i="19"/>
  <c r="A2169" i="19"/>
  <c r="A2168" i="19"/>
  <c r="A2167" i="19"/>
  <c r="A2166" i="19"/>
  <c r="A2165" i="19"/>
  <c r="A2164" i="19"/>
  <c r="A2163" i="19"/>
  <c r="A2162" i="19"/>
  <c r="A2161" i="19"/>
  <c r="A2160" i="19"/>
  <c r="A2159" i="19"/>
  <c r="A2158" i="19"/>
  <c r="A2157" i="19"/>
  <c r="A2156" i="19"/>
  <c r="A2155" i="19"/>
  <c r="A2154" i="19"/>
  <c r="A2153" i="19"/>
  <c r="A2152" i="19"/>
  <c r="A2151" i="19"/>
  <c r="A2150" i="19"/>
  <c r="A2149" i="19"/>
  <c r="A2148" i="19"/>
  <c r="A2147" i="19"/>
  <c r="A2146" i="19"/>
  <c r="A2145" i="19"/>
  <c r="A2144" i="19"/>
  <c r="A2143" i="19"/>
  <c r="A2142" i="19"/>
  <c r="A2141" i="19"/>
  <c r="A2140" i="19"/>
  <c r="A2139" i="19"/>
  <c r="A2138" i="19"/>
  <c r="A2137" i="19"/>
  <c r="A2136" i="19"/>
  <c r="A2135" i="19"/>
  <c r="A2134" i="19"/>
  <c r="A2133" i="19"/>
  <c r="A2132" i="19"/>
  <c r="A2131" i="19"/>
  <c r="A2130" i="19"/>
  <c r="A2129" i="19"/>
  <c r="A2128" i="19"/>
  <c r="A2127" i="19"/>
  <c r="A2126" i="19"/>
  <c r="A2125" i="19"/>
  <c r="A2124" i="19"/>
  <c r="A2123" i="19"/>
  <c r="A2122" i="19"/>
  <c r="A2121" i="19"/>
  <c r="A2120" i="19"/>
  <c r="A2119" i="19"/>
  <c r="A2118" i="19"/>
  <c r="A2117" i="19"/>
  <c r="A2116" i="19"/>
  <c r="A2115" i="19"/>
  <c r="A2114" i="19"/>
  <c r="A2113" i="19"/>
  <c r="A2112" i="19"/>
  <c r="A2111" i="19"/>
  <c r="A2110" i="19"/>
  <c r="A2109" i="19"/>
  <c r="A2108" i="19"/>
  <c r="A2107" i="19"/>
  <c r="A2106" i="19"/>
  <c r="A2105" i="19"/>
  <c r="A2104" i="19"/>
  <c r="A2103" i="19"/>
  <c r="A2102" i="19"/>
  <c r="A2101" i="19"/>
  <c r="A2100" i="19"/>
  <c r="A2099" i="19"/>
  <c r="A2098" i="19"/>
  <c r="A2097" i="19"/>
  <c r="A2096" i="19"/>
  <c r="A2095" i="19"/>
  <c r="A2094" i="19"/>
  <c r="A2093" i="19"/>
  <c r="A2092" i="19"/>
  <c r="A2091" i="19"/>
  <c r="A2090" i="19"/>
  <c r="A2089" i="19"/>
  <c r="A2088" i="19"/>
  <c r="A2087" i="19"/>
  <c r="A2086" i="19"/>
  <c r="A2085" i="19"/>
  <c r="A2084" i="19"/>
  <c r="A2083" i="19"/>
  <c r="A2082" i="19"/>
  <c r="A2081" i="19"/>
  <c r="A2080" i="19"/>
  <c r="A2079" i="19"/>
  <c r="A2078" i="19"/>
  <c r="A2077" i="19"/>
  <c r="A2076" i="19"/>
  <c r="A2075" i="19"/>
  <c r="A2074" i="19"/>
  <c r="A2073" i="19"/>
  <c r="A2072" i="19"/>
  <c r="A2071" i="19"/>
  <c r="A2070" i="19"/>
  <c r="A2069" i="19"/>
  <c r="A2068" i="19"/>
  <c r="A2067" i="19"/>
  <c r="A2066" i="19"/>
  <c r="A2065" i="19"/>
  <c r="A2064" i="19"/>
  <c r="A2063" i="19"/>
  <c r="A2062" i="19"/>
  <c r="A2061" i="19"/>
  <c r="A2060" i="19"/>
  <c r="A2059" i="19"/>
  <c r="A2058" i="19"/>
  <c r="A2057" i="19"/>
  <c r="A2056" i="19"/>
  <c r="A2055" i="19"/>
  <c r="A2054" i="19"/>
  <c r="A2053" i="19"/>
  <c r="A2052" i="19"/>
  <c r="A2051" i="19"/>
  <c r="A2050" i="19"/>
  <c r="A2049" i="19"/>
  <c r="A2048" i="19"/>
  <c r="A2047" i="19"/>
  <c r="A2046" i="19"/>
  <c r="A2045" i="19"/>
  <c r="A2044" i="19"/>
  <c r="A2043" i="19"/>
  <c r="A2042" i="19"/>
  <c r="A2041" i="19"/>
  <c r="A2040" i="19"/>
  <c r="A2039" i="19"/>
  <c r="A2038" i="19"/>
  <c r="A2037" i="19"/>
  <c r="A2036" i="19"/>
  <c r="A2035" i="19"/>
  <c r="A2034" i="19"/>
  <c r="A2033" i="19"/>
  <c r="A2032" i="19"/>
  <c r="A2031" i="19"/>
  <c r="A2030" i="19"/>
  <c r="A2029" i="19"/>
  <c r="A2028" i="19"/>
  <c r="A2027" i="19"/>
  <c r="A2026" i="19"/>
  <c r="A2025" i="19"/>
  <c r="A2024" i="19"/>
  <c r="A2023" i="19"/>
  <c r="A2022" i="19"/>
  <c r="A2021" i="19"/>
  <c r="A2020" i="19"/>
  <c r="A2019" i="19"/>
  <c r="A2018" i="19"/>
  <c r="A2017" i="19"/>
  <c r="A2016" i="19"/>
  <c r="A2015" i="19"/>
  <c r="A2014" i="19"/>
  <c r="A2013" i="19"/>
  <c r="A2012" i="19"/>
  <c r="A2011" i="19"/>
  <c r="A2010" i="19"/>
  <c r="A2009" i="19"/>
  <c r="A2008" i="19"/>
  <c r="A2007" i="19"/>
  <c r="A2006" i="19"/>
  <c r="A2005" i="19"/>
  <c r="A2004" i="19"/>
  <c r="A2003" i="19"/>
  <c r="A2002" i="19"/>
  <c r="A2001" i="19"/>
  <c r="A2000" i="19"/>
  <c r="A1999" i="19"/>
  <c r="A1998" i="19"/>
  <c r="A1997" i="19"/>
  <c r="A1996" i="19"/>
  <c r="A1995" i="19"/>
  <c r="A1994" i="19"/>
  <c r="A1993" i="19"/>
  <c r="A1992" i="19"/>
  <c r="A1991" i="19"/>
  <c r="A1990" i="19"/>
  <c r="A1989" i="19"/>
  <c r="A1988" i="19"/>
  <c r="A1987" i="19"/>
  <c r="A1986" i="19"/>
  <c r="A1985" i="19"/>
  <c r="A1984" i="19"/>
  <c r="A1983" i="19"/>
  <c r="A1982" i="19"/>
  <c r="A1981" i="19"/>
  <c r="A1980" i="19"/>
  <c r="A1979" i="19"/>
  <c r="A1978" i="19"/>
  <c r="A1977" i="19"/>
  <c r="A1976" i="19"/>
  <c r="A1975" i="19"/>
  <c r="A1974" i="19"/>
  <c r="A1973" i="19"/>
  <c r="A1972" i="19"/>
  <c r="A1971" i="19"/>
  <c r="A1970" i="19"/>
  <c r="A1969" i="19"/>
  <c r="A1968" i="19"/>
  <c r="A1967" i="19"/>
  <c r="A1966" i="19"/>
  <c r="A1965" i="19"/>
  <c r="A1964" i="19"/>
  <c r="A1963" i="19"/>
  <c r="A1962" i="19"/>
  <c r="A1961" i="19"/>
  <c r="A1960" i="19"/>
  <c r="A1959" i="19"/>
  <c r="A1958" i="19"/>
  <c r="A1957" i="19"/>
  <c r="A1956" i="19"/>
  <c r="A1955" i="19"/>
  <c r="A1954" i="19"/>
  <c r="A1953" i="19"/>
  <c r="A1952" i="19"/>
  <c r="A1951" i="19"/>
  <c r="A1950" i="19"/>
  <c r="A1949" i="19"/>
  <c r="A1948" i="19"/>
  <c r="A1947" i="19"/>
  <c r="A1946" i="19"/>
  <c r="A1945" i="19"/>
  <c r="A1944" i="19"/>
  <c r="A1943" i="19"/>
  <c r="A1942" i="19"/>
  <c r="A1941" i="19"/>
  <c r="A1940" i="19"/>
  <c r="A1939" i="19"/>
  <c r="A1938" i="19"/>
  <c r="A1937" i="19"/>
  <c r="A1936" i="19"/>
  <c r="A1935" i="19"/>
  <c r="A1934" i="19"/>
  <c r="A1933" i="19"/>
  <c r="A1932" i="19"/>
  <c r="A1931" i="19"/>
  <c r="A1930" i="19"/>
  <c r="A1929" i="19"/>
  <c r="A1928" i="19"/>
  <c r="A1927" i="19"/>
  <c r="A1926" i="19"/>
  <c r="A1925" i="19"/>
  <c r="A1924" i="19"/>
  <c r="A1923" i="19"/>
  <c r="A1922" i="19"/>
  <c r="A1921" i="19"/>
  <c r="A1920" i="19"/>
  <c r="A1919" i="19"/>
  <c r="A1918" i="19"/>
  <c r="A1917" i="19"/>
  <c r="A1916" i="19"/>
  <c r="A1915" i="19"/>
  <c r="A1914" i="19"/>
  <c r="A1913" i="19"/>
  <c r="A1912" i="19"/>
  <c r="A1911" i="19"/>
  <c r="A1910" i="19"/>
  <c r="A1909" i="19"/>
  <c r="A1908" i="19"/>
  <c r="A1907" i="19"/>
  <c r="A1906" i="19"/>
  <c r="A1905" i="19"/>
  <c r="A1904" i="19"/>
  <c r="A1903" i="19"/>
  <c r="A1902" i="19"/>
  <c r="A1901" i="19"/>
  <c r="A1900" i="19"/>
  <c r="A1899" i="19"/>
  <c r="A1898" i="19"/>
  <c r="A1897" i="19"/>
  <c r="A1896" i="19"/>
  <c r="A1895" i="19"/>
  <c r="A1894" i="19"/>
  <c r="A1893" i="19"/>
  <c r="A1892" i="19"/>
  <c r="A1891" i="19"/>
  <c r="A1890" i="19"/>
  <c r="A1889" i="19"/>
  <c r="A1888" i="19"/>
  <c r="A1887" i="19"/>
  <c r="A1886" i="19"/>
  <c r="A1885" i="19"/>
  <c r="A1884" i="19"/>
  <c r="A1883" i="19"/>
  <c r="A1882" i="19"/>
  <c r="A1881" i="19"/>
  <c r="A1880" i="19"/>
  <c r="A1879" i="19"/>
  <c r="A1878" i="19"/>
  <c r="A1877" i="19"/>
  <c r="A1876" i="19"/>
  <c r="A1875" i="19"/>
  <c r="A1874" i="19"/>
  <c r="A1873" i="19"/>
  <c r="A1872" i="19"/>
  <c r="A1871" i="19"/>
  <c r="A1870" i="19"/>
  <c r="A1869" i="19"/>
  <c r="A1868" i="19"/>
  <c r="A1867" i="19"/>
  <c r="A1866" i="19"/>
  <c r="A1865" i="19"/>
  <c r="A1864" i="19"/>
  <c r="A1863" i="19"/>
  <c r="A1862" i="19"/>
  <c r="A1861" i="19"/>
  <c r="A1860" i="19"/>
  <c r="A1859" i="19"/>
  <c r="A1858" i="19"/>
  <c r="A1857" i="19"/>
  <c r="A1856" i="19"/>
  <c r="A1855" i="19"/>
  <c r="A1854" i="19"/>
  <c r="A1853" i="19"/>
  <c r="A1852" i="19"/>
  <c r="A1851" i="19"/>
  <c r="A1850" i="19"/>
  <c r="A1849" i="19"/>
  <c r="A1848" i="19"/>
  <c r="A1847" i="19"/>
  <c r="A1846" i="19"/>
  <c r="A1845" i="19"/>
  <c r="A1844" i="19"/>
  <c r="A1843" i="19"/>
  <c r="A1842" i="19"/>
  <c r="A1841" i="19"/>
  <c r="A1840" i="19"/>
  <c r="A1839" i="19"/>
  <c r="A1838" i="19"/>
  <c r="A1837" i="19"/>
  <c r="A1836" i="19"/>
  <c r="A1835" i="19"/>
  <c r="A1834" i="19"/>
  <c r="A1833" i="19"/>
  <c r="A1832" i="19"/>
  <c r="A1831" i="19"/>
  <c r="A1830" i="19"/>
  <c r="A1829" i="19"/>
  <c r="A1828" i="19"/>
  <c r="A1827" i="19"/>
  <c r="A1826" i="19"/>
  <c r="A1825" i="19"/>
  <c r="A1824" i="19"/>
  <c r="A1823" i="19"/>
  <c r="A1822" i="19"/>
  <c r="A1821" i="19"/>
  <c r="A1820" i="19"/>
  <c r="A1819" i="19"/>
  <c r="A1818" i="19"/>
  <c r="A1817" i="19"/>
  <c r="A1816" i="19"/>
  <c r="A1815" i="19"/>
  <c r="A1814" i="19"/>
  <c r="A1813" i="19"/>
  <c r="A1812" i="19"/>
  <c r="A1811" i="19"/>
  <c r="A1810" i="19"/>
  <c r="A1809" i="19"/>
  <c r="A1808" i="19"/>
  <c r="A1807" i="19"/>
  <c r="A1806" i="19"/>
  <c r="A1805" i="19"/>
  <c r="A1804" i="19"/>
  <c r="A1803" i="19"/>
  <c r="A1802" i="19"/>
  <c r="A1801" i="19"/>
  <c r="A1800" i="19"/>
  <c r="A1799" i="19"/>
  <c r="A1798" i="19"/>
  <c r="A1797" i="19"/>
  <c r="A1796" i="19"/>
  <c r="A1795" i="19"/>
  <c r="A1794" i="19"/>
  <c r="A1793" i="19"/>
  <c r="A1792" i="19"/>
  <c r="A1791" i="19"/>
  <c r="A1790" i="19"/>
  <c r="A1789" i="19"/>
  <c r="A1788" i="19"/>
  <c r="A1787" i="19"/>
  <c r="A1786" i="19"/>
  <c r="A1785" i="19"/>
  <c r="A1784" i="19"/>
  <c r="A1783" i="19"/>
  <c r="A1782" i="19"/>
  <c r="A1781" i="19"/>
  <c r="A1780" i="19"/>
  <c r="A1779" i="19"/>
  <c r="A1778" i="19"/>
  <c r="A1777" i="19"/>
  <c r="A1776" i="19"/>
  <c r="A1775" i="19"/>
  <c r="A1774" i="19"/>
  <c r="A1773" i="19"/>
  <c r="A1772" i="19"/>
  <c r="A1771" i="19"/>
  <c r="A1770" i="19"/>
  <c r="A1769" i="19"/>
  <c r="A1768" i="19"/>
  <c r="A1767" i="19"/>
  <c r="A1766" i="19"/>
  <c r="A1765" i="19"/>
  <c r="A1764" i="19"/>
  <c r="A1763" i="19"/>
  <c r="A1762" i="19"/>
  <c r="A1761" i="19"/>
  <c r="A1760" i="19"/>
  <c r="A1759" i="19"/>
  <c r="A1758" i="19"/>
  <c r="A1757" i="19"/>
  <c r="A1756" i="19"/>
  <c r="A1755" i="19"/>
  <c r="A1754" i="19"/>
  <c r="A1753" i="19"/>
  <c r="A1752" i="19"/>
  <c r="A1751" i="19"/>
  <c r="A1750" i="19"/>
  <c r="A1749" i="19"/>
  <c r="A1748" i="19"/>
  <c r="A1747" i="19"/>
  <c r="A1746" i="19"/>
  <c r="A1745" i="19"/>
  <c r="A1744" i="19"/>
  <c r="A1743" i="19"/>
  <c r="A1742" i="19"/>
  <c r="A1741" i="19"/>
  <c r="A1740" i="19"/>
  <c r="A1739" i="19"/>
  <c r="A1738" i="19"/>
  <c r="A1737" i="19"/>
  <c r="A1736" i="19"/>
  <c r="A1735" i="19"/>
  <c r="A1734" i="19"/>
  <c r="A1733" i="19"/>
  <c r="A1732" i="19"/>
  <c r="A1731" i="19"/>
  <c r="A1730" i="19"/>
  <c r="A1729" i="19"/>
  <c r="A1728" i="19"/>
  <c r="A1727" i="19"/>
  <c r="A1726" i="19"/>
  <c r="A1725" i="19"/>
  <c r="A1724" i="19"/>
  <c r="A1723" i="19"/>
  <c r="A1722" i="19"/>
  <c r="A1721" i="19"/>
  <c r="A1720" i="19"/>
  <c r="A1719" i="19"/>
  <c r="A1718" i="19"/>
  <c r="A1717" i="19"/>
  <c r="A1716" i="19"/>
  <c r="A1715" i="19"/>
  <c r="A1714" i="19"/>
  <c r="A1713" i="19"/>
  <c r="A1712" i="19"/>
  <c r="A1711" i="19"/>
  <c r="A1710" i="19"/>
  <c r="A1709" i="19"/>
  <c r="A1708" i="19"/>
  <c r="A1707" i="19"/>
  <c r="A1706" i="19"/>
  <c r="A1705" i="19"/>
  <c r="A1704" i="19"/>
  <c r="A1703" i="19"/>
  <c r="A1702" i="19"/>
  <c r="A1701" i="19"/>
  <c r="A1700" i="19"/>
  <c r="A1699" i="19"/>
  <c r="A1698" i="19"/>
  <c r="A1697" i="19"/>
  <c r="A1696" i="19"/>
  <c r="A1695" i="19"/>
  <c r="A1694" i="19"/>
  <c r="A1693" i="19"/>
  <c r="A1692" i="19"/>
  <c r="A1691" i="19"/>
  <c r="A1690" i="19"/>
  <c r="A1689" i="19"/>
  <c r="A1688" i="19"/>
  <c r="A1687" i="19"/>
  <c r="A1686" i="19"/>
  <c r="A1685" i="19"/>
  <c r="A1684" i="19"/>
  <c r="A1683" i="19"/>
  <c r="A1682" i="19"/>
  <c r="A1681" i="19"/>
  <c r="A1680" i="19"/>
  <c r="A1679" i="19"/>
  <c r="A1678" i="19"/>
  <c r="A1677" i="19"/>
  <c r="A1676" i="19"/>
  <c r="A1675" i="19"/>
  <c r="A1674" i="19"/>
  <c r="A1673" i="19"/>
  <c r="A1672" i="19"/>
  <c r="A1671" i="19"/>
  <c r="A1670" i="19"/>
  <c r="A1669" i="19"/>
  <c r="A1668" i="19"/>
  <c r="A1667" i="19"/>
  <c r="A1666" i="19"/>
  <c r="A1665" i="19"/>
  <c r="A1664" i="19"/>
  <c r="A1663" i="19"/>
  <c r="A1662" i="19"/>
  <c r="A1661" i="19"/>
  <c r="A1660" i="19"/>
  <c r="A1659" i="19"/>
  <c r="A1658" i="19"/>
  <c r="A1657" i="19"/>
  <c r="A1656" i="19"/>
  <c r="A1655" i="19"/>
  <c r="A1654" i="19"/>
  <c r="A1653" i="19"/>
  <c r="A1652" i="19"/>
  <c r="A1651" i="19"/>
  <c r="A1650" i="19"/>
  <c r="A1649" i="19"/>
  <c r="A1648" i="19"/>
  <c r="A1647" i="19"/>
  <c r="A1646" i="19"/>
  <c r="A1645" i="19"/>
  <c r="A1644" i="19"/>
  <c r="A1643" i="19"/>
  <c r="A1642" i="19"/>
  <c r="A1641" i="19"/>
  <c r="A1640" i="19"/>
  <c r="A1639" i="19"/>
  <c r="A1638" i="19"/>
  <c r="A1637" i="19"/>
  <c r="A1636" i="19"/>
  <c r="A1635" i="19"/>
  <c r="A1634" i="19"/>
  <c r="A1633" i="19"/>
  <c r="A1632" i="19"/>
  <c r="A1631" i="19"/>
  <c r="A1630" i="19"/>
  <c r="A1629" i="19"/>
  <c r="A1628" i="19"/>
  <c r="A1627" i="19"/>
  <c r="A1626" i="19"/>
  <c r="A1625" i="19"/>
  <c r="A1624" i="19"/>
  <c r="A1623" i="19"/>
  <c r="A1622" i="19"/>
  <c r="A1621" i="19"/>
  <c r="A1620" i="19"/>
  <c r="A1619" i="19"/>
  <c r="A1618" i="19"/>
  <c r="A1617" i="19"/>
  <c r="A1616" i="19"/>
  <c r="A1615" i="19"/>
  <c r="A1614" i="19"/>
  <c r="A1613" i="19"/>
  <c r="A1612" i="19"/>
  <c r="A1611" i="19"/>
  <c r="A1610" i="19"/>
  <c r="A1609" i="19"/>
  <c r="A1608" i="19"/>
  <c r="A1607" i="19"/>
  <c r="A1606" i="19"/>
  <c r="A1605" i="19"/>
  <c r="A1604" i="19"/>
  <c r="A1603" i="19"/>
  <c r="A1602" i="19"/>
  <c r="A1601" i="19"/>
  <c r="A1600" i="19"/>
  <c r="A1599" i="19"/>
  <c r="A1598" i="19"/>
  <c r="A1597" i="19"/>
  <c r="A1596" i="19"/>
  <c r="A1595" i="19"/>
  <c r="A1594" i="19"/>
  <c r="A1593" i="19"/>
  <c r="A1592" i="19"/>
  <c r="A1591" i="19"/>
  <c r="A1590" i="19"/>
  <c r="A1589" i="19"/>
  <c r="A1588" i="19"/>
  <c r="A1587" i="19"/>
  <c r="A1586" i="19"/>
  <c r="A1585" i="19"/>
  <c r="A1584" i="19"/>
  <c r="A1583" i="19"/>
  <c r="A1582" i="19"/>
  <c r="A1581" i="19"/>
  <c r="A1580" i="19"/>
  <c r="A1579" i="19"/>
  <c r="A1578" i="19"/>
  <c r="A1577" i="19"/>
  <c r="A1576" i="19"/>
  <c r="A1575" i="19"/>
  <c r="A1574" i="19"/>
  <c r="A1573" i="19"/>
  <c r="A1572" i="19"/>
  <c r="A1571" i="19"/>
  <c r="A1570" i="19"/>
  <c r="A1569" i="19"/>
  <c r="A1568" i="19"/>
  <c r="A1567" i="19"/>
  <c r="A1566" i="19"/>
  <c r="A1565" i="19"/>
  <c r="A1564" i="19"/>
  <c r="A1563" i="19"/>
  <c r="A1562" i="19"/>
  <c r="A1561" i="19"/>
  <c r="A1560" i="19"/>
  <c r="A1559" i="19"/>
  <c r="A1558" i="19"/>
  <c r="A1557" i="19"/>
  <c r="A1556" i="19"/>
  <c r="A1555" i="19"/>
  <c r="A1554" i="19"/>
  <c r="A1553" i="19"/>
  <c r="A1552" i="19"/>
  <c r="A1551" i="19"/>
  <c r="A1550" i="19"/>
  <c r="A1549" i="19"/>
  <c r="A1548" i="19"/>
  <c r="A1547" i="19"/>
  <c r="A1546" i="19"/>
  <c r="A1545" i="19"/>
  <c r="A1544" i="19"/>
  <c r="A1543" i="19"/>
  <c r="A1542" i="19"/>
  <c r="A1541" i="19"/>
  <c r="A1540" i="19"/>
  <c r="A1539" i="19"/>
  <c r="A1538" i="19"/>
  <c r="A1537" i="19"/>
  <c r="A1536" i="19"/>
  <c r="A1535" i="19"/>
  <c r="A1534" i="19"/>
  <c r="A1533" i="19"/>
  <c r="A1532" i="19"/>
  <c r="A1531" i="19"/>
  <c r="A1530" i="19"/>
  <c r="A1529" i="19"/>
  <c r="A1528" i="19"/>
  <c r="A1527" i="19"/>
  <c r="A1526" i="19"/>
  <c r="A1525" i="19"/>
  <c r="A1524" i="19"/>
  <c r="A1523" i="19"/>
  <c r="A1522" i="19"/>
  <c r="A1521" i="19"/>
  <c r="A1520" i="19"/>
  <c r="A1519" i="19"/>
  <c r="A1518" i="19"/>
  <c r="A1517" i="19"/>
  <c r="A1516" i="19"/>
  <c r="A1515" i="19"/>
  <c r="A1514" i="19"/>
  <c r="A1513" i="19"/>
  <c r="A1512" i="19"/>
  <c r="A1511" i="19"/>
  <c r="A1510" i="19"/>
  <c r="A1509" i="19"/>
  <c r="A1508" i="19"/>
  <c r="A1507" i="19"/>
  <c r="A1506" i="19"/>
  <c r="A1505" i="19"/>
  <c r="A1504" i="19"/>
  <c r="A1503" i="19"/>
  <c r="A1502" i="19"/>
  <c r="A1501" i="19"/>
  <c r="A1500" i="19"/>
  <c r="A1499" i="19"/>
  <c r="A1498" i="19"/>
  <c r="A1497" i="19"/>
  <c r="A1496" i="19"/>
  <c r="A1495" i="19"/>
  <c r="A1494" i="19"/>
  <c r="A1493" i="19"/>
  <c r="A1492" i="19"/>
  <c r="A1491" i="19"/>
  <c r="A1490" i="19"/>
  <c r="A1489" i="19"/>
  <c r="A1488" i="19"/>
  <c r="A1487" i="19"/>
  <c r="A1486" i="19"/>
  <c r="A1485" i="19"/>
  <c r="A1484" i="19"/>
  <c r="A1483" i="19"/>
  <c r="A1482" i="19"/>
  <c r="A1481" i="19"/>
  <c r="A1480" i="19"/>
  <c r="A1479" i="19"/>
  <c r="A1478" i="19"/>
  <c r="A1477" i="19"/>
  <c r="A1476" i="19"/>
  <c r="A1475" i="19"/>
  <c r="A1474" i="19"/>
  <c r="A1473" i="19"/>
  <c r="A1472" i="19"/>
  <c r="A1471" i="19"/>
  <c r="A1470" i="19"/>
  <c r="A1469" i="19"/>
  <c r="A1468" i="19"/>
  <c r="A1467" i="19"/>
  <c r="A1466" i="19"/>
  <c r="A1465" i="19"/>
  <c r="A1464" i="19"/>
  <c r="A1463" i="19"/>
  <c r="A1462" i="19"/>
  <c r="A1461" i="19"/>
  <c r="A1460" i="19"/>
  <c r="A1459" i="19"/>
  <c r="A1458" i="19"/>
  <c r="A1457" i="19"/>
  <c r="A1456" i="19"/>
  <c r="A1455" i="19"/>
  <c r="A1454" i="19"/>
  <c r="A1453" i="19"/>
  <c r="A1452" i="19"/>
  <c r="A1451" i="19"/>
  <c r="A1450" i="19"/>
  <c r="A1449" i="19"/>
  <c r="A1448" i="19"/>
  <c r="A1447" i="19"/>
  <c r="A1446" i="19"/>
  <c r="A1445" i="19"/>
  <c r="A1444" i="19"/>
  <c r="A1443" i="19"/>
  <c r="A1442" i="19"/>
  <c r="A1441" i="19"/>
  <c r="A1440" i="19"/>
  <c r="A1439" i="19"/>
  <c r="A1438" i="19"/>
  <c r="A1437" i="19"/>
  <c r="A1436" i="19"/>
  <c r="A1435" i="19"/>
  <c r="A1434" i="19"/>
  <c r="A1433" i="19"/>
  <c r="A1432" i="19"/>
  <c r="A1431" i="19"/>
  <c r="A1430" i="19"/>
  <c r="A1429" i="19"/>
  <c r="A1428" i="19"/>
  <c r="A1427" i="19"/>
  <c r="A1426" i="19"/>
  <c r="A1425" i="19"/>
  <c r="A1424" i="19"/>
  <c r="A1423" i="19"/>
  <c r="A1422" i="19"/>
  <c r="A1421" i="19"/>
  <c r="A1420" i="19"/>
  <c r="A1419" i="19"/>
  <c r="A1418" i="19"/>
  <c r="A1417" i="19"/>
  <c r="A1416" i="19"/>
  <c r="A1415" i="19"/>
  <c r="A1414" i="19"/>
  <c r="A1413" i="19"/>
  <c r="A1412" i="19"/>
  <c r="A1411" i="19"/>
  <c r="A1410" i="19"/>
  <c r="A1409" i="19"/>
  <c r="A1408" i="19"/>
  <c r="A1407" i="19"/>
  <c r="A1406" i="19"/>
  <c r="A1405" i="19"/>
  <c r="A1404" i="19"/>
  <c r="A1403" i="19"/>
  <c r="A1402" i="19"/>
  <c r="A1401" i="19"/>
  <c r="A1400" i="19"/>
  <c r="A1399" i="19"/>
  <c r="A1398" i="19"/>
  <c r="A1397" i="19"/>
  <c r="A1396" i="19"/>
  <c r="A1395" i="19"/>
  <c r="A1394" i="19"/>
  <c r="A1393" i="19"/>
  <c r="A1392" i="19"/>
  <c r="A1391" i="19"/>
  <c r="A1390" i="19"/>
  <c r="A1389" i="19"/>
  <c r="A1388" i="19"/>
  <c r="A1387" i="19"/>
  <c r="A1386" i="19"/>
  <c r="A1385" i="19"/>
  <c r="A1384" i="19"/>
  <c r="A1383" i="19"/>
  <c r="A1382" i="19"/>
  <c r="A1381" i="19"/>
  <c r="A1380" i="19"/>
  <c r="A1379" i="19"/>
  <c r="A1378" i="19"/>
  <c r="A1377" i="19"/>
  <c r="A1376" i="19"/>
  <c r="A1375" i="19"/>
  <c r="A1374" i="19"/>
  <c r="A1373" i="19"/>
  <c r="A1372" i="19"/>
  <c r="A1371" i="19"/>
  <c r="A1370" i="19"/>
  <c r="A1369" i="19"/>
  <c r="A1368" i="19"/>
  <c r="A1367" i="19"/>
  <c r="A1366" i="19"/>
  <c r="A1365" i="19"/>
  <c r="A1364" i="19"/>
  <c r="A1363" i="19"/>
  <c r="A1362" i="19"/>
  <c r="A1361" i="19"/>
  <c r="A1360" i="19"/>
  <c r="A1359" i="19"/>
  <c r="A1358" i="19"/>
  <c r="A1357" i="19"/>
  <c r="A1356" i="19"/>
  <c r="A1355" i="19"/>
  <c r="A1354" i="19"/>
  <c r="A1353" i="19"/>
  <c r="A1352" i="19"/>
  <c r="A1351" i="19"/>
  <c r="A1350" i="19"/>
  <c r="A1349" i="19"/>
  <c r="A1348" i="19"/>
  <c r="A1347" i="19"/>
  <c r="A1346" i="19"/>
  <c r="A1345" i="19"/>
  <c r="A1344" i="19"/>
  <c r="A1343" i="19"/>
  <c r="A1342" i="19"/>
  <c r="A1341" i="19"/>
  <c r="A1340" i="19"/>
  <c r="A1339" i="19"/>
  <c r="A1338" i="19"/>
  <c r="A1337" i="19"/>
  <c r="A1336" i="19"/>
  <c r="A1335" i="19"/>
  <c r="A1334" i="19"/>
  <c r="A1333" i="19"/>
  <c r="A1332" i="19"/>
  <c r="A1331" i="19"/>
  <c r="A1330" i="19"/>
  <c r="A1329" i="19"/>
  <c r="A1328" i="19"/>
  <c r="A1327" i="19"/>
  <c r="A1326" i="19"/>
  <c r="A1325" i="19"/>
  <c r="A1324" i="19"/>
  <c r="A1323" i="19"/>
  <c r="A1322" i="19"/>
  <c r="A1321" i="19"/>
  <c r="A1320" i="19"/>
  <c r="A1319" i="19"/>
  <c r="A1318" i="19"/>
  <c r="A1317" i="19"/>
  <c r="A1316" i="19"/>
  <c r="A1315" i="19"/>
  <c r="A1314" i="19"/>
  <c r="A1313" i="19"/>
  <c r="A1312" i="19"/>
  <c r="A1311" i="19"/>
  <c r="B1310" i="19"/>
  <c r="A1310" i="19"/>
  <c r="B1309" i="19"/>
  <c r="A1309" i="19"/>
  <c r="B1308" i="19"/>
  <c r="A1308" i="19"/>
  <c r="B1307" i="19"/>
  <c r="A1307" i="19"/>
  <c r="B1306" i="19"/>
  <c r="A1306" i="19"/>
  <c r="B1305" i="19"/>
  <c r="A1305" i="19"/>
  <c r="B1304" i="19"/>
  <c r="A1304" i="19"/>
  <c r="B1303" i="19"/>
  <c r="A1303" i="19"/>
  <c r="B1302" i="19"/>
  <c r="A1302" i="19"/>
  <c r="B1301" i="19"/>
  <c r="A1301" i="19"/>
  <c r="B1300" i="19"/>
  <c r="A1300" i="19"/>
  <c r="B1299" i="19"/>
  <c r="A1299" i="19"/>
  <c r="B1298" i="19"/>
  <c r="A1298" i="19"/>
  <c r="B1297" i="19"/>
  <c r="A1297" i="19"/>
  <c r="B1296" i="19"/>
  <c r="A1296" i="19"/>
  <c r="B1295" i="19"/>
  <c r="A1295" i="19"/>
  <c r="B1294" i="19"/>
  <c r="A1294" i="19"/>
  <c r="B1293" i="19"/>
  <c r="A1293" i="19"/>
  <c r="B1292" i="19"/>
  <c r="A1292" i="19"/>
  <c r="B1291" i="19"/>
  <c r="A1291" i="19"/>
  <c r="B1290" i="19"/>
  <c r="A1290" i="19"/>
  <c r="B1289" i="19"/>
  <c r="A1289" i="19"/>
  <c r="B1288" i="19"/>
  <c r="A1288" i="19"/>
  <c r="B1287" i="19"/>
  <c r="A1287" i="19"/>
  <c r="B1286" i="19"/>
  <c r="A1286" i="19"/>
  <c r="B1285" i="19"/>
  <c r="A1285" i="19"/>
  <c r="B1284" i="19"/>
  <c r="A1284" i="19"/>
  <c r="B1283" i="19"/>
  <c r="A1283" i="19"/>
  <c r="B1282" i="19"/>
  <c r="A1282" i="19"/>
  <c r="B1281" i="19"/>
  <c r="A1281" i="19"/>
  <c r="B1280" i="19"/>
  <c r="A1280" i="19"/>
  <c r="B1279" i="19"/>
  <c r="A1279" i="19"/>
  <c r="B1278" i="19"/>
  <c r="A1278" i="19"/>
  <c r="B1277" i="19"/>
  <c r="A1277" i="19"/>
  <c r="B1276" i="19"/>
  <c r="A1276" i="19"/>
  <c r="B1275" i="19"/>
  <c r="A1275" i="19"/>
  <c r="B1274" i="19"/>
  <c r="A1274" i="19"/>
  <c r="B1273" i="19"/>
  <c r="A1273" i="19"/>
  <c r="B1272" i="19"/>
  <c r="A1272" i="19"/>
  <c r="B1271" i="19"/>
  <c r="A1271" i="19"/>
  <c r="B1270" i="19"/>
  <c r="A1270" i="19"/>
  <c r="B1269" i="19"/>
  <c r="A1269" i="19"/>
  <c r="B1268" i="19"/>
  <c r="A1268" i="19"/>
  <c r="B1267" i="19"/>
  <c r="A1267" i="19"/>
  <c r="B1266" i="19"/>
  <c r="A1266" i="19"/>
  <c r="B1265" i="19"/>
  <c r="A1265" i="19"/>
  <c r="B1264" i="19"/>
  <c r="A1264" i="19"/>
  <c r="B1263" i="19"/>
  <c r="A1263" i="19"/>
  <c r="B1262" i="19"/>
  <c r="A1262" i="19"/>
  <c r="B1261" i="19"/>
  <c r="A1261" i="19"/>
  <c r="B1260" i="19"/>
  <c r="A1260" i="19"/>
  <c r="B1259" i="19"/>
  <c r="A1259" i="19"/>
  <c r="B1258" i="19"/>
  <c r="A1258" i="19"/>
  <c r="B1257" i="19"/>
  <c r="A1257" i="19"/>
  <c r="B1256" i="19"/>
  <c r="A1256" i="19"/>
  <c r="B1255" i="19"/>
  <c r="A1255" i="19"/>
  <c r="B1254" i="19"/>
  <c r="A1254" i="19"/>
  <c r="B1253" i="19"/>
  <c r="A1253" i="19"/>
  <c r="B1252" i="19"/>
  <c r="A1252" i="19"/>
  <c r="B1251" i="19"/>
  <c r="A1251" i="19"/>
  <c r="B1250" i="19"/>
  <c r="A1250" i="19"/>
  <c r="B1249" i="19"/>
  <c r="A1249" i="19"/>
  <c r="B1248" i="19"/>
  <c r="A1248" i="19"/>
  <c r="B1247" i="19"/>
  <c r="A1247" i="19"/>
  <c r="B1246" i="19"/>
  <c r="A1246" i="19"/>
  <c r="B1245" i="19"/>
  <c r="A1245" i="19"/>
  <c r="B1244" i="19"/>
  <c r="A1244" i="19"/>
  <c r="B1243" i="19"/>
  <c r="A1243" i="19"/>
  <c r="B1242" i="19"/>
  <c r="A1242" i="19"/>
  <c r="B1241" i="19"/>
  <c r="A1241" i="19"/>
  <c r="B1240" i="19"/>
  <c r="A1240" i="19"/>
  <c r="A1239" i="19"/>
  <c r="A1238" i="19"/>
  <c r="A1237" i="19"/>
  <c r="A1236" i="19"/>
  <c r="A1235" i="19"/>
  <c r="A1234" i="19"/>
  <c r="A1233" i="19"/>
  <c r="A1232" i="19"/>
  <c r="A1231" i="19"/>
  <c r="A1230" i="19"/>
  <c r="A1229" i="19"/>
  <c r="A1228" i="19"/>
  <c r="A1227" i="19"/>
  <c r="A1226" i="19"/>
  <c r="A1225" i="19"/>
  <c r="A1224" i="19"/>
  <c r="A1223" i="19"/>
  <c r="A1222" i="19"/>
  <c r="A1221" i="19"/>
  <c r="A1220" i="19"/>
  <c r="A1219" i="19"/>
  <c r="A1218" i="19"/>
  <c r="A1217" i="19"/>
  <c r="A1216" i="19"/>
  <c r="A1215" i="19"/>
  <c r="A1214" i="19"/>
  <c r="A1213" i="19"/>
  <c r="A1212" i="19"/>
  <c r="A1211" i="19"/>
  <c r="A1210" i="19"/>
  <c r="A1209" i="19"/>
  <c r="A1208" i="19"/>
  <c r="A1207" i="19"/>
  <c r="A1206" i="19"/>
  <c r="A1205" i="19"/>
  <c r="A1204" i="19"/>
  <c r="A1203" i="19"/>
  <c r="A1202" i="19"/>
  <c r="A1201" i="19"/>
  <c r="A1200" i="19"/>
  <c r="A1199" i="19"/>
  <c r="A1198" i="19"/>
  <c r="A1197" i="19"/>
  <c r="A1196" i="19"/>
  <c r="A1195" i="19"/>
  <c r="A1194" i="19"/>
  <c r="A1193" i="19"/>
  <c r="A1192" i="19"/>
  <c r="A1191" i="19"/>
  <c r="A1190" i="19"/>
  <c r="A1189" i="19"/>
  <c r="A1188" i="19"/>
  <c r="A1187" i="19"/>
  <c r="A1186" i="19"/>
  <c r="A1185" i="19"/>
  <c r="A1184" i="19"/>
  <c r="A1183" i="19"/>
  <c r="A1182" i="19"/>
  <c r="A1181" i="19"/>
  <c r="A1180" i="19"/>
  <c r="A1179" i="19"/>
  <c r="A1178" i="19"/>
  <c r="A1177" i="19"/>
  <c r="A1176" i="19"/>
  <c r="A1175" i="19"/>
  <c r="A1174" i="19"/>
  <c r="A1173" i="19"/>
  <c r="A1172" i="19"/>
  <c r="A1171" i="19"/>
  <c r="A1170" i="19"/>
  <c r="A1169" i="19"/>
  <c r="A1168" i="19"/>
  <c r="A1167" i="19"/>
  <c r="A1166" i="19"/>
  <c r="A1165" i="19"/>
  <c r="A1164" i="19"/>
  <c r="A1163" i="19"/>
  <c r="A1162" i="19"/>
  <c r="A1161" i="19"/>
  <c r="A1160" i="19"/>
  <c r="A1159" i="19"/>
  <c r="A1158" i="19"/>
  <c r="A1157" i="19"/>
  <c r="A1156" i="19"/>
  <c r="A1155" i="19"/>
  <c r="A1154" i="19"/>
  <c r="A1153" i="19"/>
  <c r="A1152" i="19"/>
  <c r="A1151" i="19"/>
  <c r="A1150" i="19"/>
  <c r="A1149" i="19"/>
  <c r="A1148" i="19"/>
  <c r="A1147" i="19"/>
  <c r="A1146" i="19"/>
  <c r="A1145" i="19"/>
  <c r="A1144" i="19"/>
  <c r="A1143" i="19"/>
  <c r="A1142" i="19"/>
  <c r="A1141" i="19"/>
  <c r="A1140" i="19"/>
  <c r="A1139" i="19"/>
  <c r="A1138" i="19"/>
  <c r="A1137" i="19"/>
  <c r="A1136" i="19"/>
  <c r="A1135" i="19"/>
  <c r="A1134" i="19"/>
  <c r="A1133" i="19"/>
  <c r="A1132" i="19"/>
  <c r="A1131" i="19"/>
  <c r="A1130" i="19"/>
  <c r="A1129" i="19"/>
  <c r="A1128" i="19"/>
  <c r="A1127" i="19"/>
  <c r="A1126" i="19"/>
  <c r="A1125" i="19"/>
  <c r="A1124" i="19"/>
  <c r="A1123" i="19"/>
  <c r="A1122" i="19"/>
  <c r="A1121" i="19"/>
  <c r="A1120" i="19"/>
  <c r="A1119" i="19"/>
  <c r="A1118" i="19"/>
  <c r="A1117" i="19"/>
  <c r="A1116" i="19"/>
  <c r="A1115" i="19"/>
  <c r="A1114" i="19"/>
  <c r="A1113" i="19"/>
  <c r="A1112" i="19"/>
  <c r="A1111" i="19"/>
  <c r="A1110" i="19"/>
  <c r="A1109" i="19"/>
  <c r="A1108" i="19"/>
  <c r="A1107" i="19"/>
  <c r="A1106" i="19"/>
  <c r="A1105" i="19"/>
  <c r="A1104" i="19"/>
  <c r="A1103" i="19"/>
  <c r="A1102" i="19"/>
  <c r="A1101" i="19"/>
  <c r="A1100" i="19"/>
  <c r="A1099" i="19"/>
  <c r="A1098" i="19"/>
  <c r="A1097" i="19"/>
  <c r="A1096" i="19"/>
  <c r="A1095" i="19"/>
  <c r="A1094" i="19"/>
  <c r="A1093" i="19"/>
  <c r="A1092" i="19"/>
  <c r="A1091" i="19"/>
  <c r="A1090" i="19"/>
  <c r="A1089" i="19"/>
  <c r="A1088" i="19"/>
  <c r="A1087" i="19"/>
  <c r="A1086" i="19"/>
  <c r="A1085" i="19"/>
  <c r="A1084" i="19"/>
  <c r="A1083" i="19"/>
  <c r="A1082" i="19"/>
  <c r="A1081" i="19"/>
  <c r="A1080" i="19"/>
  <c r="A1079" i="19"/>
  <c r="A1078" i="19"/>
  <c r="A1077" i="19"/>
  <c r="A1076" i="19"/>
  <c r="A1075" i="19"/>
  <c r="A1074" i="19"/>
  <c r="A1073" i="19"/>
  <c r="A1072" i="19"/>
  <c r="A1071" i="19"/>
  <c r="A1070" i="19"/>
  <c r="A1069" i="19"/>
  <c r="A1068" i="19"/>
  <c r="A1067" i="19"/>
  <c r="A1066" i="19"/>
  <c r="A1065" i="19"/>
  <c r="A1064" i="19"/>
  <c r="A1063" i="19"/>
  <c r="A1062" i="19"/>
  <c r="A1061" i="19"/>
  <c r="A1060" i="19"/>
  <c r="A1059" i="19"/>
  <c r="A1058" i="19"/>
  <c r="A1057" i="19"/>
  <c r="A1056" i="19"/>
  <c r="A1055" i="19"/>
  <c r="A1054" i="19"/>
  <c r="A1053" i="19"/>
  <c r="A1052" i="19"/>
  <c r="A1051" i="19"/>
  <c r="A1050" i="19"/>
  <c r="A1049" i="19"/>
  <c r="A1048" i="19"/>
  <c r="A1047" i="19"/>
  <c r="A1046" i="19"/>
  <c r="A1045" i="19"/>
  <c r="A1044" i="19"/>
  <c r="A1043" i="19"/>
  <c r="A1042" i="19"/>
  <c r="A1041" i="19"/>
  <c r="A1040" i="19"/>
  <c r="A1039" i="19"/>
  <c r="A1038" i="19"/>
  <c r="A1037" i="19"/>
  <c r="A1036" i="19"/>
  <c r="A1035" i="19"/>
  <c r="A1034" i="19"/>
  <c r="A1033" i="19"/>
  <c r="A1032" i="19"/>
  <c r="A1031" i="19"/>
  <c r="A1030" i="19"/>
  <c r="A1029" i="19"/>
  <c r="A1028" i="19"/>
  <c r="A1027" i="19"/>
  <c r="A1026" i="19"/>
  <c r="A1025" i="19"/>
  <c r="A1024" i="19"/>
  <c r="A1023" i="19"/>
  <c r="A1022" i="19"/>
  <c r="A1021" i="19"/>
  <c r="A1020" i="19"/>
  <c r="A1019" i="19"/>
  <c r="A1018" i="19"/>
  <c r="A1017" i="19"/>
  <c r="A1016" i="19"/>
  <c r="A1015" i="19"/>
  <c r="A1014" i="19"/>
  <c r="A1013" i="19"/>
  <c r="A1012" i="19"/>
  <c r="A1011" i="19"/>
  <c r="A1010" i="19"/>
  <c r="A1009" i="19"/>
  <c r="A1008" i="19"/>
  <c r="A1007" i="19"/>
  <c r="A1006" i="19"/>
  <c r="A1005" i="19"/>
  <c r="A1004" i="19"/>
  <c r="A1003" i="19"/>
  <c r="A1002" i="19"/>
  <c r="A1001" i="19"/>
  <c r="A1000" i="19"/>
  <c r="A999" i="19"/>
  <c r="A998" i="19"/>
  <c r="A997" i="19"/>
  <c r="A996" i="19"/>
  <c r="A995" i="19"/>
  <c r="A994" i="19"/>
  <c r="A993" i="19"/>
  <c r="A992" i="19"/>
  <c r="A991" i="19"/>
  <c r="A990" i="19"/>
  <c r="A989" i="19"/>
  <c r="A988" i="19"/>
  <c r="A987" i="19"/>
  <c r="A986" i="19"/>
  <c r="A985" i="19"/>
  <c r="A984" i="19"/>
  <c r="A983" i="19"/>
  <c r="A982" i="19"/>
  <c r="A981" i="19"/>
  <c r="A980" i="19"/>
  <c r="A979" i="19"/>
  <c r="A978" i="19"/>
  <c r="A977" i="19"/>
  <c r="A976" i="19"/>
  <c r="A975" i="19"/>
  <c r="A974" i="19"/>
  <c r="A973" i="19"/>
  <c r="A972" i="19"/>
  <c r="A971" i="19"/>
  <c r="A970" i="19"/>
  <c r="A969" i="19"/>
  <c r="A968" i="19"/>
  <c r="A967" i="19"/>
  <c r="A966" i="19"/>
  <c r="A965" i="19"/>
  <c r="A964" i="19"/>
  <c r="A963" i="19"/>
  <c r="A962" i="19"/>
  <c r="A961" i="19"/>
  <c r="A960" i="19"/>
  <c r="A959" i="19"/>
  <c r="A958" i="19"/>
  <c r="A957" i="19"/>
  <c r="A956" i="19"/>
  <c r="A955" i="19"/>
  <c r="A954" i="19"/>
  <c r="A953" i="19"/>
  <c r="A952" i="19"/>
  <c r="A951" i="19"/>
  <c r="A950" i="19"/>
  <c r="A949" i="19"/>
  <c r="A948" i="19"/>
  <c r="A947" i="19"/>
  <c r="A946" i="19"/>
  <c r="A945" i="19"/>
  <c r="A944" i="19"/>
  <c r="A943" i="19"/>
  <c r="A942" i="19"/>
  <c r="A941" i="19"/>
  <c r="A940" i="19"/>
  <c r="A939" i="19"/>
  <c r="A938" i="19"/>
  <c r="A937" i="19"/>
  <c r="A936" i="19"/>
  <c r="A935" i="19"/>
  <c r="A934" i="19"/>
  <c r="A933" i="19"/>
  <c r="A932" i="19"/>
  <c r="A931" i="19"/>
  <c r="A930" i="19"/>
  <c r="A929" i="19"/>
  <c r="A928" i="19"/>
  <c r="A927" i="19"/>
  <c r="A926" i="19"/>
  <c r="A925" i="19"/>
  <c r="A924" i="19"/>
  <c r="A923" i="19"/>
  <c r="A922" i="19"/>
  <c r="A921" i="19"/>
  <c r="A920" i="19"/>
  <c r="A919" i="19"/>
  <c r="A918" i="19"/>
  <c r="A917" i="19"/>
  <c r="A916" i="19"/>
  <c r="A915" i="19"/>
  <c r="A914" i="19"/>
  <c r="A913" i="19"/>
  <c r="A912" i="19"/>
  <c r="A911" i="19"/>
  <c r="A910" i="19"/>
  <c r="A909" i="19"/>
  <c r="A908" i="19"/>
  <c r="A907" i="19"/>
  <c r="A906" i="19"/>
  <c r="A905" i="19"/>
  <c r="A904" i="19"/>
  <c r="A903" i="19"/>
  <c r="A902" i="19"/>
  <c r="A901" i="19"/>
  <c r="A900" i="19"/>
  <c r="A899" i="19"/>
  <c r="A898" i="19"/>
  <c r="A897" i="19"/>
  <c r="A896" i="19"/>
  <c r="A895" i="19"/>
  <c r="A894" i="19"/>
  <c r="A893" i="19"/>
  <c r="A892" i="19"/>
  <c r="A891" i="19"/>
  <c r="A890" i="19"/>
  <c r="A889" i="19"/>
  <c r="A888" i="19"/>
  <c r="A887" i="19"/>
  <c r="A886" i="19"/>
  <c r="A885" i="19"/>
  <c r="A884" i="19"/>
  <c r="A883" i="19"/>
  <c r="A882" i="19"/>
  <c r="A881" i="19"/>
  <c r="A880" i="19"/>
  <c r="A879" i="19"/>
  <c r="A878" i="19"/>
  <c r="A877" i="19"/>
  <c r="A876" i="19"/>
  <c r="A875" i="19"/>
  <c r="A874" i="19"/>
  <c r="A873" i="19"/>
  <c r="A872" i="19"/>
  <c r="A871" i="19"/>
  <c r="A870" i="19"/>
  <c r="A869" i="19"/>
  <c r="A868" i="19"/>
  <c r="A867" i="19"/>
  <c r="A866" i="19"/>
  <c r="A865" i="19"/>
  <c r="A864" i="19"/>
  <c r="A863" i="19"/>
  <c r="A862" i="19"/>
  <c r="A861" i="19"/>
  <c r="A860" i="19"/>
  <c r="A859" i="19"/>
  <c r="A858" i="19"/>
  <c r="A857" i="19"/>
  <c r="A856" i="19"/>
  <c r="A855" i="19"/>
  <c r="A854" i="19"/>
  <c r="A853" i="19"/>
  <c r="A852" i="19"/>
  <c r="A851" i="19"/>
  <c r="A850" i="19"/>
  <c r="A849" i="19"/>
  <c r="A848" i="19"/>
  <c r="A847" i="19"/>
  <c r="A846" i="19"/>
  <c r="A845" i="19"/>
  <c r="A844" i="19"/>
  <c r="A843" i="19"/>
  <c r="A842" i="19"/>
  <c r="A841" i="19"/>
  <c r="A840" i="19"/>
  <c r="A839" i="19"/>
  <c r="A838" i="19"/>
  <c r="A837" i="19"/>
  <c r="A836" i="19"/>
  <c r="A835" i="19"/>
  <c r="A834" i="19"/>
  <c r="A833" i="19"/>
  <c r="A832" i="19"/>
  <c r="A831" i="19"/>
  <c r="A830" i="19"/>
  <c r="A829" i="19"/>
  <c r="A828" i="19"/>
  <c r="A827" i="19"/>
  <c r="A826" i="19"/>
  <c r="A825" i="19"/>
  <c r="A824" i="19"/>
  <c r="A823" i="19"/>
  <c r="A822" i="19"/>
  <c r="A821" i="19"/>
  <c r="A820" i="19"/>
  <c r="A819" i="19"/>
  <c r="A818" i="19"/>
  <c r="A817" i="19"/>
  <c r="A816" i="19"/>
  <c r="A815" i="19"/>
  <c r="A814" i="19"/>
  <c r="A813" i="19"/>
  <c r="A812" i="19"/>
  <c r="A811" i="19"/>
  <c r="A810" i="19"/>
  <c r="A809" i="19"/>
  <c r="A808" i="19"/>
  <c r="A807" i="19"/>
  <c r="A806" i="19"/>
  <c r="A805" i="19"/>
  <c r="A804" i="19"/>
  <c r="A803" i="19"/>
  <c r="A802" i="19"/>
  <c r="A801" i="19"/>
  <c r="A800" i="19"/>
  <c r="A799" i="19"/>
  <c r="A798" i="19"/>
  <c r="A797" i="19"/>
  <c r="A796" i="19"/>
  <c r="A795" i="19"/>
  <c r="A794" i="19"/>
  <c r="A793" i="19"/>
  <c r="A792" i="19"/>
  <c r="A791" i="19"/>
  <c r="A790" i="19"/>
  <c r="A789" i="19"/>
  <c r="A788" i="19"/>
  <c r="A787" i="19"/>
  <c r="A786" i="19"/>
  <c r="A785" i="19"/>
  <c r="A784" i="19"/>
  <c r="A783" i="19"/>
  <c r="A782" i="19"/>
  <c r="A781" i="19"/>
  <c r="A780" i="19"/>
  <c r="A779" i="19"/>
  <c r="A778" i="19"/>
  <c r="A777" i="19"/>
  <c r="A776" i="19"/>
  <c r="A775" i="19"/>
  <c r="A774" i="19"/>
  <c r="A773" i="19"/>
  <c r="A772" i="19"/>
  <c r="A771" i="19"/>
  <c r="A770" i="19"/>
  <c r="A769" i="19"/>
  <c r="A768" i="19"/>
  <c r="A767" i="19"/>
  <c r="A766" i="19"/>
  <c r="A765" i="19"/>
  <c r="A764" i="19"/>
  <c r="A763" i="19"/>
  <c r="A762" i="19"/>
  <c r="A761" i="19"/>
  <c r="A760" i="19"/>
  <c r="A759" i="19"/>
  <c r="A758" i="19"/>
  <c r="A757" i="19"/>
  <c r="A756" i="19"/>
  <c r="A755" i="19"/>
  <c r="A754" i="19"/>
  <c r="A753" i="19"/>
  <c r="A752" i="19"/>
  <c r="A751" i="19"/>
  <c r="A750" i="19"/>
  <c r="A749" i="19"/>
  <c r="A748" i="19"/>
  <c r="A747" i="19"/>
  <c r="A746" i="19"/>
  <c r="A745" i="19"/>
  <c r="A744" i="19"/>
  <c r="A743" i="19"/>
  <c r="A742" i="19"/>
  <c r="A741" i="19"/>
  <c r="A740" i="19"/>
  <c r="A739" i="19"/>
  <c r="A738" i="19"/>
  <c r="A737" i="19"/>
  <c r="A736" i="19"/>
  <c r="A735" i="19"/>
  <c r="A734" i="19"/>
  <c r="A733" i="19"/>
  <c r="A732" i="19"/>
  <c r="A731" i="19"/>
  <c r="A730" i="19"/>
  <c r="A729" i="19"/>
  <c r="A728" i="19"/>
  <c r="A727" i="19"/>
  <c r="A726" i="19"/>
  <c r="A725" i="19"/>
  <c r="A724" i="19"/>
  <c r="A723" i="19"/>
  <c r="A722" i="19"/>
  <c r="A721" i="19"/>
  <c r="A720" i="19"/>
  <c r="A719" i="19"/>
  <c r="A718" i="19"/>
  <c r="A717" i="19"/>
  <c r="A716" i="19"/>
  <c r="A715" i="19"/>
  <c r="A714" i="19"/>
  <c r="A713" i="19"/>
  <c r="A712" i="19"/>
  <c r="A711" i="19"/>
  <c r="A710" i="19"/>
  <c r="A709" i="19"/>
  <c r="A708" i="19"/>
  <c r="A707" i="19"/>
  <c r="A706" i="19"/>
  <c r="A705" i="19"/>
  <c r="A704" i="19"/>
  <c r="A703" i="19"/>
  <c r="A702" i="19"/>
  <c r="A701" i="19"/>
  <c r="A700" i="19"/>
  <c r="A699" i="19"/>
  <c r="A698" i="19"/>
  <c r="A697" i="19"/>
  <c r="A696" i="19"/>
  <c r="A695" i="19"/>
  <c r="A694" i="19"/>
  <c r="A693" i="19"/>
  <c r="A692" i="19"/>
  <c r="A691" i="19"/>
  <c r="A690" i="19"/>
  <c r="A689" i="19"/>
  <c r="A688" i="19"/>
  <c r="A687" i="19"/>
  <c r="A686" i="19"/>
  <c r="A685" i="19"/>
  <c r="A684" i="19"/>
  <c r="A683" i="19"/>
  <c r="A682" i="19"/>
  <c r="A681" i="19"/>
  <c r="A680" i="19"/>
  <c r="A679" i="19"/>
  <c r="A678" i="19"/>
  <c r="A677" i="19"/>
  <c r="A676" i="19"/>
  <c r="A675" i="19"/>
  <c r="A674" i="19"/>
  <c r="A673" i="19"/>
  <c r="A672" i="19"/>
  <c r="A671" i="19"/>
  <c r="A670" i="19"/>
  <c r="A669" i="19"/>
  <c r="A668" i="19"/>
  <c r="A667" i="19"/>
  <c r="A666" i="19"/>
  <c r="A665" i="19"/>
  <c r="A664" i="19"/>
  <c r="A663" i="19"/>
  <c r="A662" i="19"/>
  <c r="A661" i="19"/>
  <c r="A660" i="19"/>
  <c r="A659" i="19"/>
  <c r="A658" i="19"/>
  <c r="A657" i="19"/>
  <c r="A656" i="19"/>
  <c r="A655" i="19"/>
  <c r="A654" i="19"/>
  <c r="A653" i="19"/>
  <c r="A652" i="19"/>
  <c r="A651" i="19"/>
  <c r="A650" i="19"/>
  <c r="A649" i="19"/>
  <c r="A648" i="19"/>
  <c r="A647" i="19"/>
  <c r="A646" i="19"/>
  <c r="A645" i="19"/>
  <c r="A644" i="19"/>
  <c r="A643" i="19"/>
  <c r="A642" i="19"/>
  <c r="A641" i="19"/>
  <c r="A640" i="19"/>
  <c r="A639" i="19"/>
  <c r="A638" i="19"/>
  <c r="A637" i="19"/>
  <c r="A636" i="19"/>
  <c r="A635" i="19"/>
  <c r="A634" i="19"/>
  <c r="A633" i="19"/>
  <c r="A632" i="19"/>
  <c r="A631" i="19"/>
  <c r="A630" i="19"/>
  <c r="A629" i="19"/>
  <c r="A628" i="19"/>
  <c r="A627" i="19"/>
  <c r="A626" i="19"/>
  <c r="A625" i="19"/>
  <c r="A624" i="19"/>
  <c r="A623" i="19"/>
  <c r="A622" i="19"/>
  <c r="A621" i="19"/>
  <c r="A620" i="19"/>
  <c r="A619" i="19"/>
  <c r="A618" i="19"/>
  <c r="A617" i="19"/>
  <c r="A616" i="19"/>
  <c r="A615" i="19"/>
  <c r="A614" i="19"/>
  <c r="A613" i="19"/>
  <c r="A612" i="19"/>
  <c r="A611" i="19"/>
  <c r="A610" i="19"/>
  <c r="A609" i="19"/>
  <c r="A608" i="19"/>
  <c r="A607" i="19"/>
  <c r="A606" i="19"/>
  <c r="A605" i="19"/>
  <c r="A604" i="19"/>
  <c r="A603" i="19"/>
  <c r="A602" i="19"/>
  <c r="A601" i="19"/>
  <c r="A600" i="19"/>
  <c r="A599" i="19"/>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A558" i="19"/>
  <c r="A557" i="19"/>
  <c r="A556" i="19"/>
  <c r="A555" i="19"/>
  <c r="A554" i="19"/>
  <c r="A553" i="19"/>
  <c r="A552" i="19"/>
  <c r="A551" i="19"/>
  <c r="A550" i="19"/>
  <c r="A549" i="19"/>
  <c r="A548" i="19"/>
  <c r="A547" i="19"/>
  <c r="A546" i="19"/>
  <c r="A545" i="19"/>
  <c r="A544" i="19"/>
  <c r="A543" i="19"/>
  <c r="A542" i="19"/>
  <c r="A541" i="19"/>
  <c r="A540" i="19"/>
  <c r="A539" i="19"/>
  <c r="A538" i="19"/>
  <c r="A537" i="19"/>
  <c r="A536" i="19"/>
  <c r="A535" i="19"/>
  <c r="A534" i="19"/>
  <c r="A533" i="19"/>
  <c r="A532" i="19"/>
  <c r="A531" i="19"/>
  <c r="A530" i="19"/>
  <c r="A529" i="19"/>
  <c r="A528" i="19"/>
  <c r="A527" i="19"/>
  <c r="A526" i="19"/>
  <c r="A525" i="19"/>
  <c r="A524" i="19"/>
  <c r="A523" i="19"/>
  <c r="A522" i="19"/>
  <c r="A521" i="19"/>
  <c r="A520" i="19"/>
  <c r="A519" i="19"/>
  <c r="A518" i="19"/>
  <c r="A517" i="19"/>
  <c r="A516" i="19"/>
  <c r="A515" i="19"/>
  <c r="A514" i="19"/>
  <c r="A513" i="19"/>
  <c r="A512" i="19"/>
  <c r="A511" i="19"/>
  <c r="A510" i="19"/>
  <c r="A509" i="19"/>
  <c r="A508" i="19"/>
  <c r="A507" i="19"/>
  <c r="A506" i="19"/>
  <c r="A505" i="19"/>
  <c r="A504" i="19"/>
  <c r="A503" i="19"/>
  <c r="A502" i="19"/>
  <c r="A501" i="19"/>
  <c r="A500" i="19"/>
  <c r="A499" i="19"/>
  <c r="A498" i="19"/>
  <c r="A497" i="19"/>
  <c r="A496" i="19"/>
  <c r="A495" i="19"/>
  <c r="A494" i="19"/>
  <c r="A493" i="19"/>
  <c r="A492" i="19"/>
  <c r="A491" i="19"/>
  <c r="A490" i="19"/>
  <c r="A489" i="19"/>
  <c r="A488" i="19"/>
  <c r="A487" i="19"/>
  <c r="A486" i="19"/>
  <c r="A485" i="19"/>
  <c r="A484" i="19"/>
  <c r="A483" i="19"/>
  <c r="A482" i="19"/>
  <c r="A481" i="19"/>
  <c r="A480" i="19"/>
  <c r="A479" i="19"/>
  <c r="A478" i="19"/>
  <c r="A477" i="19"/>
  <c r="A476" i="19"/>
  <c r="A475" i="19"/>
  <c r="A474" i="19"/>
  <c r="A473" i="19"/>
  <c r="A472" i="19"/>
  <c r="A471" i="19"/>
  <c r="A470" i="19"/>
  <c r="A469" i="19"/>
  <c r="A468" i="19"/>
  <c r="A467" i="19"/>
  <c r="A466" i="19"/>
  <c r="A465" i="19"/>
  <c r="A464" i="19"/>
  <c r="A463" i="19"/>
  <c r="A462" i="19"/>
  <c r="A461" i="19"/>
  <c r="A460" i="19"/>
  <c r="A459" i="19"/>
  <c r="A458" i="19"/>
  <c r="A457" i="19"/>
  <c r="A456" i="19"/>
  <c r="A455" i="19"/>
  <c r="A454" i="19"/>
  <c r="A453" i="19"/>
  <c r="A452" i="19"/>
  <c r="A451" i="19"/>
  <c r="A450" i="19"/>
  <c r="A449" i="19"/>
  <c r="A448" i="19"/>
  <c r="A447" i="19"/>
  <c r="A446" i="19"/>
  <c r="A445" i="19"/>
  <c r="A444" i="19"/>
  <c r="A443" i="19"/>
  <c r="A442" i="19"/>
  <c r="A441" i="19"/>
  <c r="A440" i="19"/>
  <c r="A439" i="19"/>
  <c r="A438" i="19"/>
  <c r="A437" i="19"/>
  <c r="A436" i="19"/>
  <c r="A435" i="19"/>
  <c r="A434" i="19"/>
  <c r="A433" i="19"/>
  <c r="A432" i="19"/>
  <c r="A431" i="19"/>
  <c r="A430" i="19"/>
  <c r="A429" i="19"/>
  <c r="A428" i="19"/>
  <c r="A427" i="19"/>
  <c r="A426" i="19"/>
  <c r="A425" i="19"/>
  <c r="A424" i="19"/>
  <c r="A423" i="19"/>
  <c r="A422" i="19"/>
  <c r="A421" i="19"/>
  <c r="A420" i="19"/>
  <c r="A419" i="19"/>
  <c r="A418" i="19"/>
  <c r="A417" i="19"/>
  <c r="A416" i="19"/>
  <c r="A415" i="19"/>
  <c r="A414" i="19"/>
  <c r="A413" i="19"/>
  <c r="A412" i="19"/>
  <c r="A411" i="19"/>
  <c r="A410" i="19"/>
  <c r="A409" i="19"/>
  <c r="A408" i="19"/>
  <c r="A407" i="19"/>
  <c r="A406" i="19"/>
  <c r="A405" i="19"/>
  <c r="A404" i="19"/>
  <c r="A403" i="19"/>
  <c r="A402" i="19"/>
  <c r="A401" i="19"/>
  <c r="A400" i="19"/>
  <c r="A399" i="19"/>
  <c r="A398" i="19"/>
  <c r="A397" i="19"/>
  <c r="A396" i="19"/>
  <c r="A395" i="19"/>
  <c r="A394" i="19"/>
  <c r="A393" i="19"/>
  <c r="A392" i="19"/>
  <c r="A391" i="19"/>
  <c r="A390" i="19"/>
  <c r="A389" i="19"/>
  <c r="A388" i="19"/>
  <c r="A387" i="19"/>
  <c r="A386" i="19"/>
  <c r="A385" i="19"/>
  <c r="A384" i="19"/>
  <c r="A383" i="19"/>
  <c r="A382" i="19"/>
  <c r="A381" i="19"/>
  <c r="A380" i="19"/>
  <c r="A379" i="19"/>
  <c r="A378" i="19"/>
  <c r="A377" i="19"/>
  <c r="A376" i="19"/>
  <c r="A375" i="19"/>
  <c r="A374" i="19"/>
  <c r="A373" i="19"/>
  <c r="A372" i="19"/>
  <c r="A371" i="19"/>
  <c r="A370" i="19"/>
  <c r="A369" i="19"/>
  <c r="A368" i="19"/>
  <c r="A367" i="19"/>
  <c r="A366" i="19"/>
  <c r="A365" i="19"/>
  <c r="A364" i="19"/>
  <c r="A363" i="19"/>
  <c r="A362" i="19"/>
  <c r="A361" i="19"/>
  <c r="A360" i="19"/>
  <c r="A359" i="19"/>
  <c r="A358" i="19"/>
  <c r="A357" i="19"/>
  <c r="A356" i="19"/>
  <c r="A355" i="19"/>
  <c r="A354" i="19"/>
  <c r="A353" i="19"/>
  <c r="A352" i="19"/>
  <c r="A351" i="19"/>
  <c r="A350" i="19"/>
  <c r="A349" i="19"/>
  <c r="A348" i="19"/>
  <c r="A347" i="19"/>
  <c r="A346" i="19"/>
  <c r="A345" i="19"/>
  <c r="A344" i="19"/>
  <c r="A343" i="19"/>
  <c r="A342" i="19"/>
  <c r="A341" i="19"/>
  <c r="A340" i="19"/>
  <c r="A339" i="19"/>
  <c r="A338" i="19"/>
  <c r="A337" i="19"/>
  <c r="A336" i="19"/>
  <c r="A335" i="19"/>
  <c r="A334" i="19"/>
  <c r="A333" i="19"/>
  <c r="A332" i="19"/>
  <c r="A331" i="19"/>
  <c r="A330" i="19"/>
  <c r="A329" i="19"/>
  <c r="A328" i="19"/>
  <c r="A327" i="19"/>
  <c r="A326" i="19"/>
  <c r="A325" i="19"/>
  <c r="A324" i="19"/>
  <c r="A323" i="19"/>
  <c r="A322" i="19"/>
  <c r="A321" i="19"/>
  <c r="A320" i="19"/>
  <c r="A319" i="19"/>
  <c r="A318" i="19"/>
  <c r="A317" i="19"/>
  <c r="A316" i="19"/>
  <c r="A315" i="19"/>
  <c r="A314" i="19"/>
  <c r="A313" i="19"/>
  <c r="A312" i="19"/>
  <c r="A311" i="19"/>
  <c r="A310" i="19"/>
  <c r="A309" i="19"/>
  <c r="A308" i="19"/>
  <c r="A307" i="19"/>
  <c r="A306" i="19"/>
  <c r="A305" i="19"/>
  <c r="A304" i="19"/>
  <c r="A303" i="19"/>
  <c r="A302" i="19"/>
  <c r="A301" i="19"/>
  <c r="A300" i="19"/>
  <c r="A299" i="19"/>
  <c r="A298" i="19"/>
  <c r="A297" i="19"/>
  <c r="A296" i="19"/>
  <c r="A295" i="19"/>
  <c r="A294" i="19"/>
  <c r="A293" i="19"/>
  <c r="A292" i="19"/>
  <c r="A291" i="19"/>
  <c r="A290" i="19"/>
  <c r="A289" i="19"/>
  <c r="A288" i="19"/>
  <c r="A287" i="19"/>
  <c r="A286" i="19"/>
  <c r="A285" i="19"/>
  <c r="A284" i="19"/>
  <c r="A283" i="19"/>
  <c r="A282" i="19"/>
  <c r="A281" i="19"/>
  <c r="A280" i="19"/>
  <c r="A279" i="19"/>
  <c r="A278" i="19"/>
  <c r="A277" i="19"/>
  <c r="A276" i="19"/>
  <c r="A275" i="19"/>
  <c r="A274" i="19"/>
  <c r="A273" i="19"/>
  <c r="A272" i="19"/>
  <c r="A271" i="19"/>
  <c r="A270" i="19"/>
  <c r="A269" i="19"/>
  <c r="A268" i="19"/>
  <c r="A267" i="19"/>
  <c r="A266" i="19"/>
  <c r="A265" i="19"/>
  <c r="A264" i="19"/>
  <c r="A263" i="19"/>
  <c r="A262" i="19"/>
  <c r="A261" i="19"/>
  <c r="A260" i="19"/>
  <c r="A259" i="19"/>
  <c r="A258" i="19"/>
  <c r="A257" i="19"/>
  <c r="A256" i="19"/>
  <c r="A255" i="19"/>
  <c r="A254" i="19"/>
  <c r="A253" i="19"/>
  <c r="A252" i="19"/>
  <c r="A251" i="19"/>
  <c r="A250" i="19"/>
  <c r="A249" i="19"/>
  <c r="A248" i="19"/>
  <c r="A247" i="19"/>
  <c r="A246" i="19"/>
  <c r="A245" i="19"/>
  <c r="A244" i="19"/>
  <c r="A243" i="19"/>
  <c r="A242" i="19"/>
  <c r="A241" i="19"/>
  <c r="A240" i="19"/>
  <c r="A239" i="19"/>
  <c r="A238" i="19"/>
  <c r="A237" i="19"/>
  <c r="A236" i="19"/>
  <c r="A235" i="19"/>
  <c r="A234" i="19"/>
  <c r="A233" i="19"/>
  <c r="A232" i="19"/>
  <c r="A231" i="19"/>
  <c r="A230" i="19"/>
  <c r="A229" i="19"/>
  <c r="A228" i="19"/>
  <c r="A227" i="19"/>
  <c r="A226" i="19"/>
  <c r="A225" i="19"/>
  <c r="A224" i="19"/>
  <c r="A223" i="19"/>
  <c r="A222" i="19"/>
  <c r="A221" i="19"/>
  <c r="A220" i="19"/>
  <c r="A219" i="19"/>
  <c r="A218" i="19"/>
  <c r="A217" i="19"/>
  <c r="A216" i="19"/>
  <c r="A215" i="19"/>
  <c r="A214" i="19"/>
  <c r="A213" i="19"/>
  <c r="A212" i="19"/>
  <c r="A211" i="19"/>
  <c r="A210" i="19"/>
  <c r="A209" i="19"/>
  <c r="A208" i="19"/>
  <c r="A207" i="19"/>
  <c r="A206" i="19"/>
  <c r="A205" i="19"/>
  <c r="A204" i="19"/>
  <c r="A203" i="19"/>
  <c r="A202" i="19"/>
  <c r="A201" i="19"/>
  <c r="A200" i="19"/>
  <c r="A199" i="19"/>
  <c r="A198" i="19"/>
  <c r="A197" i="19"/>
  <c r="A196" i="19"/>
  <c r="A195" i="19"/>
  <c r="A194" i="19"/>
  <c r="A193" i="19"/>
  <c r="A192" i="19"/>
  <c r="A191" i="19"/>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2" i="19"/>
  <c r="H73" i="11"/>
  <c r="H72" i="11"/>
  <c r="H71" i="11"/>
  <c r="H70" i="11"/>
  <c r="H69" i="11"/>
  <c r="H68" i="11"/>
  <c r="H67" i="11"/>
  <c r="H66" i="11"/>
  <c r="H65" i="11"/>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I231" i="10"/>
  <c r="F231" i="10"/>
  <c r="I230" i="10"/>
  <c r="F230" i="10"/>
  <c r="I229" i="10"/>
  <c r="F229" i="10"/>
  <c r="I228" i="10"/>
  <c r="F228" i="10"/>
  <c r="I227" i="10"/>
  <c r="F227" i="10"/>
  <c r="I226" i="10"/>
  <c r="F226" i="10"/>
  <c r="I225" i="10"/>
  <c r="F225" i="10"/>
  <c r="I224" i="10"/>
  <c r="F224" i="10"/>
  <c r="I223" i="10"/>
  <c r="F223" i="10"/>
  <c r="I222" i="10"/>
  <c r="F222" i="10"/>
  <c r="I221" i="10"/>
  <c r="F221" i="10"/>
  <c r="I220" i="10"/>
  <c r="F220" i="10"/>
  <c r="I219" i="10"/>
  <c r="F219" i="10"/>
  <c r="I218" i="10"/>
  <c r="F218" i="10"/>
  <c r="I217" i="10"/>
  <c r="F217" i="10"/>
  <c r="I216" i="10"/>
  <c r="F216" i="10"/>
  <c r="I215" i="10"/>
  <c r="F215" i="10"/>
  <c r="I214" i="10"/>
  <c r="F214" i="10"/>
  <c r="I213" i="10"/>
  <c r="F213" i="10"/>
  <c r="I212" i="10"/>
  <c r="F212" i="10"/>
  <c r="I211" i="10"/>
  <c r="F211" i="10"/>
  <c r="I210" i="10"/>
  <c r="F210" i="10"/>
  <c r="I209" i="10"/>
  <c r="F209" i="10"/>
  <c r="I208" i="10"/>
  <c r="F208" i="10"/>
  <c r="I207" i="10"/>
  <c r="F207" i="10"/>
  <c r="I206" i="10"/>
  <c r="F206" i="10"/>
  <c r="I205" i="10"/>
  <c r="I204" i="10"/>
  <c r="F204" i="10"/>
  <c r="I203" i="10"/>
  <c r="F203" i="10"/>
  <c r="I202" i="10"/>
  <c r="F202" i="10"/>
  <c r="I201" i="10"/>
  <c r="F201" i="10"/>
  <c r="I200" i="10"/>
  <c r="I199" i="10"/>
  <c r="F199" i="10"/>
  <c r="I198" i="10"/>
  <c r="F198" i="10"/>
  <c r="I197" i="10"/>
  <c r="F197" i="10"/>
  <c r="I196" i="10"/>
  <c r="F196" i="10"/>
  <c r="I195" i="10"/>
  <c r="F195" i="10"/>
  <c r="I194" i="10"/>
  <c r="F194" i="10"/>
  <c r="I193" i="10"/>
  <c r="F193" i="10"/>
  <c r="I192" i="10"/>
  <c r="F192" i="10"/>
  <c r="I191" i="10"/>
  <c r="F191" i="10"/>
  <c r="I190" i="10"/>
  <c r="F190" i="10"/>
  <c r="I189" i="10"/>
  <c r="F189" i="10"/>
  <c r="I188" i="10"/>
  <c r="F188" i="10"/>
  <c r="I187" i="10"/>
  <c r="F187" i="10"/>
  <c r="I186" i="10"/>
  <c r="F186" i="10"/>
  <c r="I185" i="10"/>
  <c r="F185" i="10"/>
  <c r="I184" i="10"/>
  <c r="F184" i="10"/>
  <c r="I183" i="10"/>
  <c r="F183" i="10"/>
  <c r="I182" i="10"/>
  <c r="F182" i="10"/>
  <c r="I181" i="10"/>
  <c r="I180" i="10"/>
  <c r="I179" i="10"/>
  <c r="I178" i="10"/>
  <c r="F178" i="10"/>
  <c r="I177" i="10"/>
  <c r="F177" i="10"/>
  <c r="I176" i="10"/>
  <c r="F176" i="10"/>
  <c r="I175" i="10"/>
  <c r="F175" i="10"/>
  <c r="I174" i="10"/>
  <c r="F174" i="10"/>
  <c r="I173" i="10"/>
  <c r="F173" i="10"/>
  <c r="I172" i="10"/>
  <c r="F172" i="10"/>
  <c r="I171" i="10"/>
  <c r="F171" i="10"/>
  <c r="I170" i="10"/>
  <c r="F170" i="10"/>
  <c r="I169" i="10"/>
  <c r="F169" i="10"/>
  <c r="I168" i="10"/>
  <c r="F168" i="10"/>
  <c r="I167" i="10"/>
  <c r="I166" i="10"/>
  <c r="F166" i="10"/>
  <c r="I165" i="10"/>
  <c r="F165" i="10"/>
  <c r="I164" i="10"/>
  <c r="I163" i="10"/>
  <c r="F163" i="10"/>
  <c r="I162" i="10"/>
  <c r="F162" i="10"/>
  <c r="I161" i="10"/>
  <c r="F161" i="10"/>
  <c r="I160" i="10"/>
  <c r="F160" i="10"/>
  <c r="I159" i="10"/>
  <c r="I158" i="10"/>
  <c r="F158" i="10"/>
  <c r="I157" i="10"/>
  <c r="I156" i="10"/>
  <c r="F156" i="10"/>
  <c r="I155" i="10"/>
  <c r="F155" i="10"/>
  <c r="I154" i="10"/>
  <c r="I153" i="10"/>
  <c r="F153" i="10"/>
  <c r="I152" i="10"/>
  <c r="F152" i="10"/>
  <c r="I151" i="10"/>
  <c r="F151" i="10"/>
  <c r="I150" i="10"/>
  <c r="F150" i="10"/>
  <c r="I149" i="10"/>
  <c r="F149" i="10"/>
  <c r="I148" i="10"/>
  <c r="F148" i="10"/>
  <c r="I147" i="10"/>
  <c r="I146" i="10"/>
  <c r="F146" i="10"/>
  <c r="I145" i="10"/>
  <c r="F145" i="10"/>
  <c r="I144" i="10"/>
  <c r="F144" i="10"/>
  <c r="I143" i="10"/>
  <c r="F143" i="10"/>
  <c r="I142" i="10"/>
  <c r="F142" i="10"/>
  <c r="I141" i="10"/>
  <c r="F141" i="10"/>
  <c r="I140" i="10"/>
  <c r="F140" i="10"/>
  <c r="I139" i="10"/>
  <c r="F139" i="10"/>
  <c r="I138" i="10"/>
  <c r="F138" i="10"/>
  <c r="I137" i="10"/>
  <c r="F137" i="10"/>
  <c r="I136" i="10"/>
  <c r="F136" i="10"/>
  <c r="I135" i="10"/>
  <c r="F135" i="10"/>
  <c r="I134" i="10"/>
  <c r="F134" i="10"/>
  <c r="I133" i="10"/>
  <c r="F133" i="10"/>
  <c r="I132" i="10"/>
  <c r="F132" i="10"/>
  <c r="I131" i="10"/>
  <c r="F131" i="10"/>
  <c r="I130" i="10"/>
  <c r="F130" i="10"/>
  <c r="I129" i="10"/>
  <c r="F129" i="10"/>
  <c r="I128" i="10"/>
  <c r="F128" i="10"/>
  <c r="I127" i="10"/>
  <c r="F127" i="10"/>
  <c r="I126" i="10"/>
  <c r="F126" i="10"/>
  <c r="I125" i="10"/>
  <c r="F125" i="10"/>
  <c r="I124" i="10"/>
  <c r="F124" i="10"/>
  <c r="I123" i="10"/>
  <c r="F123" i="10"/>
  <c r="I122" i="10"/>
  <c r="F122" i="10"/>
  <c r="I121" i="10"/>
  <c r="F121" i="10"/>
  <c r="I120" i="10"/>
  <c r="F120" i="10"/>
  <c r="I119" i="10"/>
  <c r="F119" i="10"/>
  <c r="I118" i="10"/>
  <c r="F118" i="10"/>
  <c r="I117" i="10"/>
  <c r="F117" i="10"/>
  <c r="I116" i="10"/>
  <c r="I115" i="10"/>
  <c r="I114" i="10"/>
  <c r="I113" i="10"/>
  <c r="F113" i="10"/>
  <c r="I112" i="10"/>
  <c r="I111" i="10"/>
  <c r="F111" i="10"/>
  <c r="I110" i="10"/>
  <c r="F110" i="10"/>
  <c r="I109" i="10"/>
  <c r="F109" i="10"/>
  <c r="I108" i="10"/>
  <c r="F108" i="10"/>
  <c r="I107" i="10"/>
  <c r="F107" i="10"/>
  <c r="I106" i="10"/>
  <c r="F106" i="10"/>
  <c r="I105" i="10"/>
  <c r="F105" i="10"/>
  <c r="I104" i="10"/>
  <c r="F104" i="10"/>
  <c r="I103" i="10"/>
  <c r="F103" i="10"/>
  <c r="I102" i="10"/>
  <c r="F102" i="10"/>
  <c r="I101" i="10"/>
  <c r="F101" i="10"/>
  <c r="I100" i="10"/>
  <c r="F100" i="10"/>
  <c r="I99" i="10"/>
  <c r="I98" i="10"/>
  <c r="F98" i="10"/>
  <c r="I97" i="10"/>
  <c r="F97" i="10"/>
  <c r="I96" i="10"/>
  <c r="F96" i="10"/>
  <c r="I95" i="10"/>
  <c r="F95" i="10"/>
  <c r="I94" i="10"/>
  <c r="F94" i="10"/>
  <c r="I93" i="10"/>
  <c r="F93" i="10"/>
  <c r="I92" i="10"/>
  <c r="F92" i="10"/>
  <c r="I91" i="10"/>
  <c r="F91" i="10"/>
  <c r="I90" i="10"/>
  <c r="F90" i="10"/>
  <c r="I89" i="10"/>
  <c r="F89" i="10"/>
  <c r="I88" i="10"/>
  <c r="I87" i="10"/>
  <c r="F87" i="10"/>
  <c r="I86" i="10"/>
  <c r="F86" i="10"/>
  <c r="I85" i="10"/>
  <c r="I84" i="10"/>
  <c r="I83" i="10"/>
  <c r="F83" i="10"/>
  <c r="I82" i="10"/>
  <c r="F82" i="10"/>
  <c r="I81" i="10"/>
  <c r="F81" i="10"/>
  <c r="I80" i="10"/>
  <c r="F80" i="10"/>
  <c r="I79" i="10"/>
  <c r="F79" i="10"/>
  <c r="I78" i="10"/>
  <c r="I77" i="10"/>
  <c r="F77" i="10"/>
  <c r="I76" i="10"/>
  <c r="F76" i="10"/>
  <c r="I75" i="10"/>
  <c r="F75" i="10"/>
  <c r="I74" i="10"/>
  <c r="I73" i="10"/>
  <c r="F73" i="10"/>
  <c r="I72" i="10"/>
  <c r="F72" i="10"/>
  <c r="I71" i="10"/>
  <c r="I70" i="10"/>
  <c r="F70" i="10"/>
  <c r="I69" i="10"/>
  <c r="F69" i="10"/>
  <c r="I68" i="10"/>
  <c r="I67" i="10"/>
  <c r="F67" i="10"/>
  <c r="I66" i="10"/>
  <c r="F66" i="10"/>
  <c r="I65" i="10"/>
  <c r="F65" i="10"/>
  <c r="I64" i="10"/>
  <c r="F64" i="10"/>
  <c r="I63" i="10"/>
  <c r="F63" i="10"/>
  <c r="I62" i="10"/>
  <c r="F62" i="10"/>
  <c r="I61" i="10"/>
  <c r="F61" i="10"/>
  <c r="I60" i="10"/>
  <c r="F60" i="10"/>
  <c r="I59" i="10"/>
  <c r="F59" i="10"/>
  <c r="I58" i="10"/>
  <c r="F58" i="10"/>
  <c r="I57" i="10"/>
  <c r="F57" i="10"/>
  <c r="I56" i="10"/>
  <c r="F56" i="10"/>
  <c r="I55" i="10"/>
  <c r="F55" i="10"/>
  <c r="I54" i="10"/>
  <c r="F54" i="10"/>
  <c r="I53" i="10"/>
  <c r="F53" i="10"/>
  <c r="I52" i="10"/>
  <c r="F52" i="10"/>
  <c r="I51" i="10"/>
  <c r="F51" i="10"/>
  <c r="I50" i="10"/>
  <c r="F50" i="10"/>
  <c r="I49" i="10"/>
  <c r="F49" i="10"/>
  <c r="I48" i="10"/>
  <c r="F48" i="10"/>
  <c r="I47" i="10"/>
  <c r="F47" i="10"/>
  <c r="I46" i="10"/>
  <c r="I45" i="10"/>
  <c r="F45" i="10"/>
  <c r="I44" i="10"/>
  <c r="F44" i="10"/>
  <c r="I43" i="10"/>
  <c r="F43" i="10"/>
  <c r="I42" i="10"/>
  <c r="I41" i="10"/>
  <c r="F41" i="10"/>
  <c r="I40" i="10"/>
  <c r="F40" i="10"/>
  <c r="I39" i="10"/>
  <c r="F39" i="10"/>
  <c r="I38" i="10"/>
  <c r="F38" i="10"/>
  <c r="I37" i="10"/>
  <c r="F37" i="10"/>
  <c r="I36" i="10"/>
  <c r="F36" i="10"/>
  <c r="I35" i="10"/>
  <c r="F35" i="10"/>
  <c r="I34" i="10"/>
  <c r="F34" i="10"/>
  <c r="I33" i="10"/>
  <c r="F33" i="10"/>
  <c r="I32" i="10"/>
  <c r="F32" i="10"/>
  <c r="I31" i="10"/>
  <c r="F31" i="10"/>
  <c r="I30" i="10"/>
  <c r="F30" i="10"/>
  <c r="I29" i="10"/>
  <c r="F29" i="10"/>
  <c r="I28" i="10"/>
  <c r="F28" i="10"/>
  <c r="I27" i="10"/>
  <c r="F27" i="10"/>
  <c r="I26" i="10"/>
  <c r="F26" i="10"/>
  <c r="I25" i="10"/>
  <c r="F25" i="10"/>
  <c r="I24" i="10"/>
  <c r="F24" i="10"/>
  <c r="I23" i="10"/>
  <c r="F23" i="10"/>
  <c r="I22" i="10"/>
  <c r="F22" i="10"/>
  <c r="I21" i="10"/>
  <c r="F21" i="10"/>
  <c r="I20" i="10"/>
  <c r="F20" i="10"/>
  <c r="I19" i="10"/>
  <c r="F19" i="10"/>
  <c r="I18" i="10"/>
  <c r="F18" i="10"/>
  <c r="I17" i="10"/>
  <c r="F17" i="10"/>
  <c r="I16" i="10"/>
  <c r="F16" i="10"/>
  <c r="I15" i="10"/>
  <c r="I14" i="10"/>
  <c r="F14" i="10"/>
  <c r="I13" i="10"/>
  <c r="F13" i="10"/>
  <c r="I12" i="10"/>
  <c r="F12" i="10"/>
  <c r="I11" i="10"/>
  <c r="F11" i="10"/>
  <c r="I10" i="10"/>
  <c r="F10" i="10"/>
  <c r="I9" i="10"/>
  <c r="F9" i="10"/>
  <c r="I8" i="10"/>
  <c r="F8" i="10"/>
  <c r="I7" i="10"/>
  <c r="F7" i="10"/>
  <c r="I6" i="10"/>
  <c r="I5" i="10"/>
  <c r="F5" i="10"/>
  <c r="I4" i="10"/>
  <c r="F4" i="10"/>
  <c r="I3" i="10"/>
  <c r="F3" i="10"/>
  <c r="I2" i="10"/>
  <c r="F2" i="10"/>
  <c r="H34" i="8" a="1"/>
  <c r="H34" i="8" s="1"/>
  <c r="H33" i="8" a="1"/>
  <c r="H33" i="8" s="1"/>
  <c r="H32" i="8" a="1"/>
  <c r="H32" i="8" s="1"/>
  <c r="H31" i="8" a="1"/>
  <c r="H31" i="8" s="1"/>
  <c r="H30" i="8" a="1"/>
  <c r="H30" i="8" s="1"/>
  <c r="H29" i="8" a="1"/>
  <c r="H29" i="8" s="1"/>
  <c r="H28" i="8" a="1"/>
  <c r="H28" i="8" s="1"/>
  <c r="H27" i="8" a="1"/>
  <c r="H27" i="8" s="1"/>
  <c r="H26" i="8" a="1"/>
  <c r="H26" i="8" s="1"/>
  <c r="H25" i="8" a="1"/>
  <c r="H25" i="8" s="1"/>
  <c r="H24" i="8" a="1"/>
  <c r="H24" i="8" s="1"/>
  <c r="H23" i="8" a="1"/>
  <c r="H23" i="8" s="1"/>
  <c r="H22" i="8" a="1"/>
  <c r="H22" i="8" s="1"/>
  <c r="H21" i="8" a="1"/>
  <c r="H21" i="8" s="1"/>
  <c r="H20" i="8" a="1"/>
  <c r="H20" i="8" s="1"/>
  <c r="H19" i="8" a="1"/>
  <c r="H19" i="8" s="1"/>
  <c r="H18" i="8" a="1"/>
  <c r="H18" i="8" s="1"/>
  <c r="H17" i="8" a="1"/>
  <c r="H17" i="8" s="1"/>
  <c r="H16" i="8" a="1"/>
  <c r="H16" i="8" s="1"/>
  <c r="H15" i="8" a="1"/>
  <c r="H15" i="8" s="1"/>
  <c r="H14" i="8" a="1"/>
  <c r="H14" i="8" s="1"/>
  <c r="H13" i="8" a="1"/>
  <c r="H13" i="8" s="1"/>
  <c r="H12" i="8" a="1"/>
  <c r="H12" i="8" s="1"/>
  <c r="H11" i="8" a="1"/>
  <c r="H11" i="8" s="1"/>
  <c r="H10" i="8" a="1"/>
  <c r="H10" i="8" s="1"/>
  <c r="H9" i="8" a="1"/>
  <c r="H9" i="8" s="1"/>
  <c r="H8" i="8" a="1"/>
  <c r="H8" i="8" s="1"/>
  <c r="H7" i="8" a="1"/>
  <c r="H7" i="8" s="1"/>
  <c r="H6" i="8" a="1"/>
  <c r="H6" i="8" s="1"/>
  <c r="H5" i="8" a="1"/>
  <c r="H5" i="8" s="1"/>
  <c r="H4" i="8" a="1"/>
  <c r="H4" i="8" s="1"/>
  <c r="H3" i="8" a="1"/>
  <c r="H3" i="8" s="1"/>
  <c r="H2" i="8" a="1"/>
  <c r="H2" i="8" s="1"/>
  <c r="C1769" i="2"/>
  <c r="AC3337" i="1"/>
  <c r="AC3333" i="1"/>
  <c r="AC3332" i="1"/>
  <c r="AC3330" i="1"/>
  <c r="AC3327" i="1"/>
  <c r="AC3326" i="1"/>
  <c r="AC3325" i="1"/>
  <c r="AC3324" i="1"/>
  <c r="AC3323" i="1"/>
  <c r="AC3322" i="1"/>
  <c r="AC3321" i="1"/>
  <c r="AC3320" i="1"/>
  <c r="AC3319" i="1"/>
  <c r="AC3318" i="1"/>
  <c r="AC3317" i="1"/>
  <c r="AC3316" i="1"/>
  <c r="AC3315" i="1"/>
  <c r="AC3314" i="1"/>
  <c r="AC3313" i="1"/>
  <c r="AC3312" i="1"/>
  <c r="AC3311" i="1"/>
  <c r="AC3310" i="1"/>
  <c r="AC3309" i="1"/>
  <c r="AC3308" i="1"/>
  <c r="AC3307" i="1"/>
  <c r="AC3306" i="1"/>
  <c r="AC3305" i="1"/>
  <c r="AC3304" i="1"/>
  <c r="AC3303" i="1"/>
  <c r="AC3302" i="1"/>
  <c r="AC3301" i="1"/>
  <c r="AC3300" i="1"/>
  <c r="AC3299" i="1"/>
  <c r="AC3298" i="1"/>
  <c r="AC3297" i="1"/>
  <c r="AC3296" i="1"/>
  <c r="AC3295" i="1"/>
  <c r="AC3294" i="1"/>
  <c r="AC3293" i="1"/>
  <c r="AC3292" i="1"/>
  <c r="AC3291" i="1"/>
  <c r="AC3290" i="1"/>
  <c r="AC3289" i="1"/>
  <c r="AC3288" i="1"/>
  <c r="AC3287" i="1"/>
  <c r="AC3286" i="1"/>
  <c r="AC3285" i="1"/>
  <c r="AC3283" i="1"/>
  <c r="AC3282" i="1"/>
  <c r="AC3281" i="1"/>
  <c r="AC3280" i="1"/>
  <c r="AC3279" i="1"/>
  <c r="AC3278" i="1"/>
  <c r="AC3277" i="1"/>
  <c r="AC3276" i="1"/>
  <c r="AC3275" i="1"/>
  <c r="AC3274" i="1"/>
  <c r="AC3273" i="1"/>
  <c r="AC3272" i="1"/>
  <c r="AC3271" i="1"/>
  <c r="AC3270" i="1"/>
  <c r="AC3269" i="1"/>
  <c r="AC3268" i="1"/>
  <c r="AC3267" i="1"/>
  <c r="AC3266" i="1"/>
  <c r="AC3265" i="1"/>
  <c r="AC3264" i="1"/>
  <c r="AC3263" i="1"/>
  <c r="AC3262" i="1"/>
  <c r="AC3261" i="1"/>
  <c r="AC3260" i="1"/>
  <c r="AC3259" i="1"/>
  <c r="AC3258" i="1"/>
  <c r="AC3257" i="1"/>
  <c r="AC3256" i="1"/>
  <c r="AC3255" i="1"/>
  <c r="AC3254" i="1"/>
  <c r="AC3253" i="1"/>
  <c r="AC3252" i="1"/>
  <c r="AC3251" i="1"/>
  <c r="AC3250" i="1"/>
  <c r="AC3249" i="1"/>
  <c r="AC3248" i="1"/>
  <c r="AC3247" i="1"/>
  <c r="AC3246" i="1"/>
  <c r="AC3245" i="1"/>
  <c r="AC3244" i="1"/>
  <c r="AC3243" i="1"/>
  <c r="AC3242" i="1"/>
  <c r="AC3241" i="1"/>
  <c r="AC3240" i="1"/>
  <c r="AC3239" i="1"/>
  <c r="AC3238" i="1"/>
  <c r="AC3237" i="1"/>
  <c r="AC3236" i="1"/>
  <c r="AC3235" i="1"/>
  <c r="AC3234" i="1"/>
  <c r="AC3233" i="1"/>
  <c r="AC3232" i="1"/>
  <c r="AC3231" i="1"/>
  <c r="AC3230" i="1"/>
  <c r="AC3229" i="1"/>
  <c r="AC3228" i="1"/>
  <c r="AC3227" i="1"/>
  <c r="AC3226" i="1"/>
  <c r="AC3225" i="1"/>
  <c r="AC3224" i="1"/>
  <c r="AC3223" i="1"/>
  <c r="AC3222" i="1"/>
  <c r="AC3221" i="1"/>
  <c r="AC3220" i="1"/>
  <c r="AC3219" i="1"/>
  <c r="AC3218" i="1"/>
  <c r="AC3217" i="1"/>
  <c r="AC3216" i="1"/>
  <c r="AC3215" i="1"/>
  <c r="AC3214" i="1"/>
  <c r="AC3213" i="1"/>
  <c r="AC3212" i="1"/>
  <c r="AC3211" i="1"/>
  <c r="AC3210" i="1"/>
  <c r="AC3209" i="1"/>
  <c r="AC3208" i="1"/>
  <c r="AC3207" i="1"/>
  <c r="AC3206" i="1"/>
  <c r="AC3205" i="1"/>
  <c r="AC3204" i="1"/>
  <c r="AC3203" i="1"/>
  <c r="AC3202" i="1"/>
  <c r="AC3201" i="1"/>
  <c r="AC3200" i="1"/>
  <c r="AC3199" i="1"/>
  <c r="AC3198" i="1"/>
  <c r="AC3197" i="1"/>
  <c r="AC3196" i="1"/>
  <c r="AC3195" i="1"/>
  <c r="AC3193" i="1"/>
  <c r="AC3192" i="1"/>
  <c r="AC3191" i="1"/>
  <c r="AC3190" i="1"/>
  <c r="AC3189" i="1"/>
  <c r="AC3188" i="1"/>
  <c r="AC3187" i="1"/>
  <c r="AC3186" i="1"/>
  <c r="AC3185" i="1"/>
  <c r="AC3184" i="1"/>
  <c r="AC3183" i="1"/>
  <c r="AC3182" i="1"/>
  <c r="AC3181" i="1"/>
  <c r="AC3180" i="1"/>
  <c r="AC3179" i="1"/>
  <c r="AC3178" i="1"/>
  <c r="AC3177" i="1"/>
  <c r="AC3176" i="1"/>
  <c r="AC3175" i="1"/>
  <c r="AC3174" i="1"/>
  <c r="AC3173" i="1"/>
  <c r="AC3172" i="1"/>
  <c r="AC3171" i="1"/>
  <c r="AC3170" i="1"/>
  <c r="AC3169" i="1"/>
  <c r="AC3168" i="1"/>
  <c r="AC3167" i="1"/>
  <c r="AC3166" i="1"/>
  <c r="AC3165" i="1"/>
  <c r="AC3164" i="1"/>
  <c r="AC3163" i="1"/>
  <c r="AC3162" i="1"/>
  <c r="AC3161" i="1"/>
  <c r="AC3160" i="1"/>
  <c r="AC3159" i="1"/>
  <c r="AC3158" i="1"/>
  <c r="AC3157" i="1"/>
  <c r="AC3156" i="1"/>
  <c r="AC3155" i="1"/>
  <c r="AC3154" i="1"/>
  <c r="AC3153" i="1"/>
  <c r="AC3152" i="1"/>
  <c r="AC3151" i="1"/>
  <c r="AC3150" i="1"/>
  <c r="AC3149" i="1"/>
  <c r="AC3148" i="1"/>
  <c r="AC3147" i="1"/>
  <c r="AC3146" i="1"/>
  <c r="AC3145" i="1"/>
  <c r="AC3144" i="1"/>
  <c r="AC3143" i="1"/>
  <c r="AC3142" i="1"/>
  <c r="AC3141" i="1"/>
  <c r="AC3140" i="1"/>
  <c r="AC3139" i="1"/>
  <c r="AC3138" i="1"/>
  <c r="AC3137" i="1"/>
  <c r="AC3136" i="1"/>
  <c r="AC3135" i="1"/>
  <c r="AC3134" i="1"/>
  <c r="AC3133" i="1"/>
  <c r="AC3132" i="1"/>
  <c r="AC3131" i="1"/>
  <c r="AC3130" i="1"/>
  <c r="AC3129" i="1"/>
  <c r="AC3128" i="1"/>
  <c r="AC3127" i="1"/>
  <c r="AC3126" i="1"/>
  <c r="AC3125" i="1"/>
  <c r="AC3124" i="1"/>
  <c r="AC3123" i="1"/>
  <c r="AC3122" i="1"/>
  <c r="AC3121" i="1"/>
  <c r="AC3120" i="1"/>
  <c r="AC3119" i="1"/>
  <c r="AC3118" i="1"/>
  <c r="AC3117" i="1"/>
  <c r="AC3116" i="1"/>
  <c r="AC3115" i="1"/>
  <c r="AC3114" i="1"/>
  <c r="AC3113" i="1"/>
  <c r="AC3112" i="1"/>
  <c r="AC3111" i="1"/>
  <c r="AC3110" i="1"/>
  <c r="AC3109" i="1"/>
  <c r="AC3108" i="1"/>
  <c r="AC3107" i="1"/>
  <c r="AC3106" i="1"/>
  <c r="AC3105" i="1"/>
  <c r="AC3104" i="1"/>
  <c r="AC3103" i="1"/>
  <c r="AC3102" i="1"/>
  <c r="AC3101" i="1"/>
  <c r="AC3100" i="1"/>
  <c r="AC3099" i="1"/>
  <c r="AC3098" i="1"/>
  <c r="AC3097" i="1"/>
  <c r="AC3096" i="1"/>
  <c r="AC3095" i="1"/>
  <c r="AC3094" i="1"/>
  <c r="AC3093" i="1"/>
  <c r="AC3092" i="1"/>
  <c r="AC3091" i="1"/>
  <c r="AC3090" i="1"/>
  <c r="AC3089" i="1"/>
  <c r="AC3088" i="1"/>
  <c r="AC3087" i="1"/>
  <c r="AC3086" i="1"/>
  <c r="AC3085" i="1"/>
  <c r="AC3084" i="1"/>
  <c r="AC3083" i="1"/>
  <c r="AC3082" i="1"/>
  <c r="AC3081" i="1"/>
  <c r="AC3080" i="1"/>
  <c r="AC3079" i="1"/>
  <c r="AC3078" i="1"/>
  <c r="AC3077" i="1"/>
  <c r="AC3076" i="1"/>
  <c r="AC3075" i="1"/>
  <c r="AC3074" i="1"/>
  <c r="AC3073" i="1"/>
  <c r="AC3072" i="1"/>
  <c r="AC3071" i="1"/>
  <c r="AC3070" i="1"/>
  <c r="AC3069" i="1"/>
  <c r="AC3068" i="1"/>
  <c r="AC3067" i="1"/>
  <c r="AC3066" i="1"/>
  <c r="AC3065" i="1"/>
  <c r="AC3064" i="1"/>
  <c r="AC3063" i="1"/>
  <c r="AC3062" i="1"/>
  <c r="AC3061" i="1"/>
  <c r="AC3060" i="1"/>
  <c r="AC3059" i="1"/>
  <c r="AC3058" i="1"/>
  <c r="AC3057" i="1"/>
  <c r="AC3056" i="1"/>
  <c r="AC3055" i="1"/>
  <c r="AC3054" i="1"/>
  <c r="AC3053" i="1"/>
  <c r="AC3052" i="1"/>
  <c r="AC3051" i="1"/>
  <c r="AC3050" i="1"/>
  <c r="AC3049" i="1"/>
  <c r="AC3048" i="1"/>
  <c r="AC3047" i="1"/>
  <c r="AC3046" i="1"/>
  <c r="AC3045" i="1"/>
  <c r="AC3044" i="1"/>
  <c r="AC3043" i="1"/>
  <c r="AC3042" i="1"/>
  <c r="AC3041" i="1"/>
  <c r="AC3040" i="1"/>
  <c r="AC3039" i="1"/>
  <c r="AC3038" i="1"/>
  <c r="AC3037" i="1"/>
  <c r="AC3036" i="1"/>
  <c r="AC3035" i="1"/>
  <c r="AC3034" i="1"/>
  <c r="AC3033" i="1"/>
  <c r="AC3032" i="1"/>
  <c r="AC3031" i="1"/>
  <c r="AC3030" i="1"/>
  <c r="AC3029" i="1"/>
  <c r="AC3028" i="1"/>
  <c r="AC3027" i="1"/>
  <c r="AC3026" i="1"/>
  <c r="AC3025" i="1"/>
  <c r="AC3024" i="1"/>
  <c r="AC3023" i="1"/>
  <c r="AC3022" i="1"/>
  <c r="AC3021" i="1"/>
  <c r="AC3020" i="1"/>
  <c r="AC3019" i="1"/>
  <c r="AC3018" i="1"/>
  <c r="AC3017" i="1"/>
  <c r="AC3016" i="1"/>
  <c r="AC3015" i="1"/>
  <c r="AC3014" i="1"/>
  <c r="AC3013" i="1"/>
  <c r="AC3012" i="1"/>
  <c r="AC3011" i="1"/>
  <c r="AC3010" i="1"/>
  <c r="AC3009" i="1"/>
  <c r="AC3008" i="1"/>
  <c r="AC3007" i="1"/>
  <c r="AC3006" i="1"/>
  <c r="AC3005" i="1"/>
  <c r="AC3004" i="1"/>
  <c r="AC3003" i="1"/>
  <c r="AC3002" i="1"/>
  <c r="AC3001" i="1"/>
  <c r="AC3000" i="1"/>
  <c r="AC2999" i="1"/>
  <c r="AC2998" i="1"/>
  <c r="AC2997" i="1"/>
  <c r="AC2996" i="1"/>
  <c r="AC2995" i="1"/>
  <c r="AC2994" i="1"/>
  <c r="AC2993" i="1"/>
  <c r="AC2992" i="1"/>
  <c r="AC2991" i="1"/>
  <c r="AC2990" i="1"/>
  <c r="AC2989" i="1"/>
  <c r="AC2988" i="1"/>
  <c r="AC2987" i="1"/>
  <c r="AC2986" i="1"/>
  <c r="AC2985" i="1"/>
  <c r="AC2984" i="1"/>
  <c r="AC2983" i="1"/>
  <c r="AC2982" i="1"/>
  <c r="AC2981" i="1"/>
  <c r="AC2980" i="1"/>
  <c r="AC2979" i="1"/>
  <c r="AC2978" i="1"/>
  <c r="AC2977" i="1"/>
  <c r="AC2976" i="1"/>
  <c r="AC2975" i="1"/>
  <c r="AC2974" i="1"/>
  <c r="AC2973" i="1"/>
  <c r="AC2972" i="1"/>
  <c r="AC2971" i="1"/>
  <c r="AC2970" i="1"/>
  <c r="AC2969" i="1"/>
  <c r="AC2968" i="1"/>
  <c r="AC2967" i="1"/>
  <c r="AC2966" i="1"/>
  <c r="AC2965" i="1"/>
  <c r="AC2964" i="1"/>
  <c r="AC2963" i="1"/>
  <c r="AC2962" i="1"/>
  <c r="AC2961" i="1"/>
  <c r="AC2960" i="1"/>
  <c r="AC2959" i="1"/>
  <c r="AC2958" i="1"/>
  <c r="AC2957" i="1"/>
  <c r="AC2956" i="1"/>
  <c r="AC2955" i="1"/>
  <c r="AC2954" i="1"/>
  <c r="AC2953" i="1"/>
  <c r="AC2952" i="1"/>
  <c r="AC2951" i="1"/>
  <c r="AC2950" i="1"/>
  <c r="AC2949" i="1"/>
  <c r="AC2948" i="1"/>
  <c r="AC2947" i="1"/>
  <c r="AC2946" i="1"/>
  <c r="AC2945" i="1"/>
  <c r="AC2944" i="1"/>
  <c r="AC2943" i="1"/>
  <c r="AC2942" i="1"/>
  <c r="AC2941" i="1"/>
  <c r="AC2940" i="1"/>
  <c r="AC2939" i="1"/>
  <c r="AC2938" i="1"/>
  <c r="AC2937" i="1"/>
  <c r="AC2936" i="1"/>
  <c r="AC2935" i="1"/>
  <c r="AC2934" i="1"/>
  <c r="AC2933" i="1"/>
  <c r="AC2932" i="1"/>
  <c r="AC2931" i="1"/>
  <c r="AC2930" i="1"/>
  <c r="AC2929" i="1"/>
  <c r="AC2928" i="1"/>
  <c r="AC2927" i="1"/>
  <c r="AC2926" i="1"/>
  <c r="AC2925" i="1"/>
  <c r="AC2924" i="1"/>
  <c r="AC2923" i="1"/>
  <c r="AC2922" i="1"/>
  <c r="AC2921" i="1"/>
  <c r="AC2920" i="1"/>
  <c r="AC2919" i="1"/>
  <c r="AC2918" i="1"/>
  <c r="AC2917" i="1"/>
  <c r="AC2916" i="1"/>
  <c r="AC2915" i="1"/>
  <c r="AC2914" i="1"/>
  <c r="AC2913" i="1"/>
  <c r="AC2912" i="1"/>
  <c r="AC2911" i="1"/>
  <c r="AC2910" i="1"/>
  <c r="AC2909" i="1"/>
  <c r="AC2908" i="1"/>
  <c r="AC2907" i="1"/>
  <c r="AC2906" i="1"/>
  <c r="AC2905" i="1"/>
  <c r="AC2904" i="1"/>
  <c r="AC2903" i="1"/>
  <c r="AC2902" i="1"/>
  <c r="AC2901" i="1"/>
  <c r="AC2900" i="1"/>
  <c r="AC2899" i="1"/>
  <c r="AC2898" i="1"/>
  <c r="AC2897" i="1"/>
  <c r="AC2896" i="1"/>
  <c r="AC2895" i="1"/>
  <c r="AC2894" i="1"/>
  <c r="AC2893" i="1"/>
  <c r="AC2892" i="1"/>
  <c r="AC2891" i="1"/>
  <c r="AC2890" i="1"/>
  <c r="AC2889" i="1"/>
  <c r="AC2888" i="1"/>
  <c r="AC2887" i="1"/>
  <c r="AC2886" i="1"/>
  <c r="AC2885" i="1"/>
  <c r="AC2884" i="1"/>
  <c r="AC2883" i="1"/>
  <c r="AC2882" i="1"/>
  <c r="AC2881" i="1"/>
  <c r="AC2880" i="1"/>
  <c r="AC2879" i="1"/>
  <c r="AC2878" i="1"/>
  <c r="AC2877" i="1"/>
  <c r="AC2876" i="1"/>
  <c r="AC2875" i="1"/>
  <c r="AC2874" i="1"/>
  <c r="AC2873" i="1"/>
  <c r="AC2872" i="1"/>
  <c r="AC2871" i="1"/>
  <c r="AC2870" i="1"/>
  <c r="AC2869" i="1"/>
  <c r="AC2868" i="1"/>
  <c r="AC2867" i="1"/>
  <c r="AC2866" i="1"/>
  <c r="AC2865" i="1"/>
  <c r="AC2864" i="1"/>
  <c r="AC2863" i="1"/>
  <c r="AC2862" i="1"/>
  <c r="AC2861" i="1"/>
  <c r="AC2860" i="1"/>
  <c r="AC2859" i="1"/>
  <c r="AC2858" i="1"/>
  <c r="AC2857" i="1"/>
  <c r="AC2856" i="1"/>
  <c r="AC2855" i="1"/>
  <c r="AC2854" i="1"/>
  <c r="AC2853" i="1"/>
  <c r="AC2852" i="1"/>
  <c r="AC2851" i="1"/>
  <c r="AC2850" i="1"/>
  <c r="AC2849" i="1"/>
  <c r="AC2848" i="1"/>
  <c r="AC2847" i="1"/>
  <c r="AC2846" i="1"/>
  <c r="AC2845" i="1"/>
  <c r="AC2844" i="1"/>
  <c r="AC2843" i="1"/>
  <c r="AC2842" i="1"/>
  <c r="AC2841" i="1"/>
  <c r="AC2840" i="1"/>
  <c r="AC2839" i="1"/>
  <c r="AC2838" i="1"/>
  <c r="AC2837" i="1"/>
  <c r="AC2836" i="1"/>
  <c r="AC2835" i="1"/>
  <c r="AC2834" i="1"/>
  <c r="AC2833" i="1"/>
  <c r="AC2832" i="1"/>
  <c r="AC2831" i="1"/>
  <c r="AC2830" i="1"/>
  <c r="AC2829" i="1"/>
  <c r="AC2828" i="1"/>
  <c r="AC2827" i="1"/>
  <c r="AC2826" i="1"/>
  <c r="AC2825" i="1"/>
  <c r="AC2824" i="1"/>
  <c r="AC2823" i="1"/>
  <c r="AC2822" i="1"/>
  <c r="AC2821" i="1"/>
  <c r="AC2820" i="1"/>
  <c r="AC2819" i="1"/>
  <c r="AC2818" i="1"/>
  <c r="AC2817" i="1"/>
  <c r="AC2816" i="1"/>
  <c r="AC2815" i="1"/>
  <c r="AC2814" i="1"/>
  <c r="AC2813" i="1"/>
  <c r="AC2812" i="1"/>
  <c r="AC2811" i="1"/>
  <c r="AC2810" i="1"/>
  <c r="AC2809" i="1"/>
  <c r="AC2808" i="1"/>
  <c r="AC2807" i="1"/>
  <c r="AC2806" i="1"/>
  <c r="AC2805" i="1"/>
  <c r="AC2804" i="1"/>
  <c r="AC2803" i="1"/>
  <c r="AC2802" i="1"/>
  <c r="AC2801" i="1"/>
  <c r="AC2800" i="1"/>
  <c r="AC2799" i="1"/>
  <c r="AC2798" i="1"/>
  <c r="AC2797" i="1"/>
  <c r="AC2796" i="1"/>
  <c r="AC2795" i="1"/>
  <c r="AC2794" i="1"/>
  <c r="AC2793" i="1"/>
  <c r="AC2792" i="1"/>
  <c r="AC2791" i="1"/>
  <c r="AC2790" i="1"/>
  <c r="AC2789" i="1"/>
  <c r="AC2788" i="1"/>
  <c r="AC2787" i="1"/>
  <c r="AC2786" i="1"/>
  <c r="AC2785" i="1"/>
  <c r="AC2784" i="1"/>
  <c r="AC2783" i="1"/>
  <c r="AC2782" i="1"/>
  <c r="AC2781" i="1"/>
  <c r="AC2780" i="1"/>
  <c r="AC2779" i="1"/>
  <c r="AC2778" i="1"/>
  <c r="AC2777" i="1"/>
  <c r="AC2776" i="1"/>
  <c r="AC2775" i="1"/>
  <c r="AC2774" i="1"/>
  <c r="AC2773" i="1"/>
  <c r="AC2772" i="1"/>
  <c r="AC2771" i="1"/>
  <c r="AC2770" i="1"/>
  <c r="AC2769" i="1"/>
  <c r="AC2768" i="1"/>
  <c r="AC2767" i="1"/>
  <c r="AC2766" i="1"/>
  <c r="AC2765" i="1"/>
  <c r="AC2764" i="1"/>
  <c r="AC2763" i="1"/>
  <c r="AC2762" i="1"/>
  <c r="AC2761" i="1"/>
  <c r="AC2760" i="1"/>
  <c r="AC2759" i="1"/>
  <c r="AC2758" i="1"/>
  <c r="AC2757" i="1"/>
  <c r="AC2756" i="1"/>
  <c r="AC2755" i="1"/>
  <c r="AC2754" i="1"/>
  <c r="AC2753" i="1"/>
  <c r="AC2752" i="1"/>
  <c r="AC2751" i="1"/>
  <c r="AC2750" i="1"/>
  <c r="AC2749" i="1"/>
  <c r="AC2748" i="1"/>
  <c r="AC2747" i="1"/>
  <c r="AC2746" i="1"/>
  <c r="AC2745" i="1"/>
  <c r="AC2744" i="1"/>
  <c r="AC2743" i="1"/>
  <c r="AC2742" i="1"/>
  <c r="AC2741" i="1"/>
  <c r="AC2740" i="1"/>
  <c r="AC2739" i="1"/>
  <c r="AC2738" i="1"/>
  <c r="AC2737" i="1"/>
  <c r="AC2736" i="1"/>
  <c r="AC2735" i="1"/>
  <c r="AC2734" i="1"/>
  <c r="AC2733" i="1"/>
  <c r="AC2732" i="1"/>
  <c r="AC2731" i="1"/>
  <c r="AC2730" i="1"/>
  <c r="AC2729" i="1"/>
  <c r="AC2728" i="1"/>
  <c r="AC2727" i="1"/>
  <c r="AC2726" i="1"/>
  <c r="AC2725" i="1"/>
  <c r="AC2724" i="1"/>
  <c r="AC2723" i="1"/>
  <c r="AC2722" i="1"/>
  <c r="AC2721" i="1"/>
  <c r="AC2720" i="1"/>
  <c r="AC2719" i="1"/>
  <c r="AC2718" i="1"/>
  <c r="AC2717" i="1"/>
  <c r="AC2716" i="1"/>
  <c r="AC2715" i="1"/>
  <c r="AC2714" i="1"/>
  <c r="AC2713" i="1"/>
  <c r="AC2712" i="1"/>
  <c r="AC2711" i="1"/>
  <c r="AC2710" i="1"/>
  <c r="AC2709" i="1"/>
  <c r="AC2708" i="1"/>
  <c r="AC2707" i="1"/>
  <c r="AC2706" i="1"/>
  <c r="AC2705" i="1"/>
  <c r="AC2704" i="1"/>
  <c r="AC2703" i="1"/>
  <c r="AC2702" i="1"/>
  <c r="AC2701" i="1"/>
  <c r="AC2700" i="1"/>
  <c r="AC2699" i="1"/>
  <c r="AC2698" i="1"/>
  <c r="AC2697" i="1"/>
  <c r="AC2696" i="1"/>
  <c r="AC2695" i="1"/>
  <c r="AC2694" i="1"/>
  <c r="AC2693" i="1"/>
  <c r="AC2692" i="1"/>
  <c r="AC2691" i="1"/>
  <c r="AC2690" i="1"/>
  <c r="AC2689" i="1"/>
  <c r="AC2688" i="1"/>
  <c r="AC2687" i="1"/>
  <c r="AC2686" i="1"/>
  <c r="AC2685" i="1"/>
  <c r="AC2684" i="1"/>
  <c r="AC2683" i="1"/>
  <c r="AC2682" i="1"/>
  <c r="AC2681" i="1"/>
  <c r="AC2680" i="1"/>
  <c r="AC2679" i="1"/>
  <c r="AC2678" i="1"/>
  <c r="AC2677" i="1"/>
  <c r="AC2676" i="1"/>
  <c r="AC2675" i="1"/>
  <c r="AC2674" i="1"/>
  <c r="AC2673" i="1"/>
  <c r="AC2672" i="1"/>
  <c r="AC2671" i="1"/>
  <c r="AC2670" i="1"/>
  <c r="AC2669" i="1"/>
  <c r="AC2668" i="1"/>
  <c r="AC2667" i="1"/>
  <c r="AC2666" i="1"/>
  <c r="AC2665" i="1"/>
  <c r="AC2664" i="1"/>
  <c r="AC266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2" i="1"/>
  <c r="AC2631" i="1"/>
  <c r="AC2630" i="1"/>
  <c r="AC2629" i="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4" i="1"/>
  <c r="AC1773"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9" i="1"/>
  <c r="AC1608" i="1"/>
  <c r="AC1607" i="1"/>
  <c r="AC1606" i="1"/>
  <c r="AC1605" i="1"/>
  <c r="AC1604" i="1"/>
  <c r="AC1603" i="1"/>
  <c r="AC1602" i="1"/>
  <c r="AC1601" i="1"/>
  <c r="AC1600" i="1"/>
  <c r="AC1599" i="1"/>
  <c r="AC1598" i="1"/>
  <c r="AC1597" i="1"/>
  <c r="AC1596" i="1"/>
  <c r="AC1595" i="1"/>
  <c r="AC1594" i="1"/>
  <c r="AC1593" i="1"/>
  <c r="AC1592" i="1"/>
  <c r="AC1591" i="1"/>
  <c r="AC1590" i="1"/>
  <c r="AC1589"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4"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H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F2" i="20" l="1"/>
</calcChain>
</file>

<file path=xl/sharedStrings.xml><?xml version="1.0" encoding="utf-8"?>
<sst xmlns="http://schemas.openxmlformats.org/spreadsheetml/2006/main" count="93500" uniqueCount="25422">
  <si>
    <t>Fecha</t>
  </si>
  <si>
    <t>Pedido</t>
  </si>
  <si>
    <t>Identificacion</t>
  </si>
  <si>
    <t>PrimerNombre</t>
  </si>
  <si>
    <t>SegundoNombre</t>
  </si>
  <si>
    <t>PrimerApellido</t>
  </si>
  <si>
    <t>SegundoApellido</t>
  </si>
  <si>
    <t>Telefono</t>
  </si>
  <si>
    <t>FormaPago</t>
  </si>
  <si>
    <t>Destinatario</t>
  </si>
  <si>
    <t>Barrio</t>
  </si>
  <si>
    <t>Direccion</t>
  </si>
  <si>
    <t>telefonoDestino</t>
  </si>
  <si>
    <t>Fecha de Entrega</t>
  </si>
  <si>
    <t>Hora de Entrega</t>
  </si>
  <si>
    <t>Cantidad</t>
  </si>
  <si>
    <t>Producto</t>
  </si>
  <si>
    <t>Precio</t>
  </si>
  <si>
    <t>Iva</t>
  </si>
  <si>
    <t>Domicilio</t>
  </si>
  <si>
    <t>Total</t>
  </si>
  <si>
    <t>Mensaje</t>
  </si>
  <si>
    <t>Estado</t>
  </si>
  <si>
    <t>Cuenta</t>
  </si>
  <si>
    <t>Firmado</t>
  </si>
  <si>
    <t>NombreFirma</t>
  </si>
  <si>
    <t>Celular Flora</t>
  </si>
  <si>
    <t>Observaciones</t>
  </si>
  <si>
    <t>FacturaURL</t>
  </si>
  <si>
    <t>LastModified</t>
  </si>
  <si>
    <t>Juan B</t>
  </si>
  <si>
    <t>RAPPI</t>
  </si>
  <si>
    <t>Juan B RAPPI</t>
  </si>
  <si>
    <t>Entrega En Tienda</t>
  </si>
  <si>
    <t>Entrega En Tienda - Entrega En Tienda</t>
  </si>
  <si>
    <t>1× Mini Heart Rosas</t>
  </si>
  <si>
    <t>Aprobado</t>
  </si>
  <si>
    <t>Rappi</t>
  </si>
  <si>
    <t>ID de la orden
2428717905</t>
  </si>
  <si>
    <t>jose</t>
  </si>
  <si>
    <t>maestre</t>
  </si>
  <si>
    <t>recoge en tienda</t>
  </si>
  <si>
    <t>1× Arreglo Personalizado</t>
  </si>
  <si>
    <t>Cuentas Por Cobrar</t>
  </si>
  <si>
    <t>Samsung</t>
  </si>
  <si>
    <t>1 rosa roja arreglada</t>
  </si>
  <si>
    <t>Rafael</t>
  </si>
  <si>
    <t>Campis</t>
  </si>
  <si>
    <t>Entrega en tienda</t>
  </si>
  <si>
    <t>Entrega en tienda - Entrega en tienda</t>
  </si>
  <si>
    <t>1× Flora Box Mediana 24 Rosas</t>
  </si>
  <si>
    <t>Tarjeta Debito</t>
  </si>
  <si>
    <t>Tu Esposo e Hijos</t>
  </si>
  <si>
    <t>Jhonatan</t>
  </si>
  <si>
    <t>Montes</t>
  </si>
  <si>
    <t>Loraine Cárdenas</t>
  </si>
  <si>
    <t>Cra 48 # 70- 38 Puerta 10 clinica general del norte - Oficina</t>
  </si>
  <si>
    <t>1× Corazón Mini Surtido</t>
  </si>
  <si>
    <t>wompi</t>
  </si>
  <si>
    <t>Con cariño, J.M</t>
  </si>
  <si>
    <t xml:space="preserve">Livia </t>
  </si>
  <si>
    <t xml:space="preserve">Marino </t>
  </si>
  <si>
    <t xml:space="preserve">María Gabriela Marino </t>
  </si>
  <si>
    <t>Villa Campestre</t>
  </si>
  <si>
    <t>Cra 51B #135 -90 edificio villa campestre apartamentos torre 3 apto1401 - Edificio</t>
  </si>
  <si>
    <t>1× Mini Box Surtida</t>
  </si>
  <si>
    <t>Felices 15 años Gaby. 
Te queremos mucho 
Tía Livi y Caro</t>
  </si>
  <si>
    <t>Transferencia 4966</t>
  </si>
  <si>
    <t xml:space="preserve">Felices 15 años Gaby.  Te queremos mucho Con cariño Tía Livi y Caro </t>
  </si>
  <si>
    <t>Huawei</t>
  </si>
  <si>
    <t xml:space="preserve">Juan </t>
  </si>
  <si>
    <t xml:space="preserve">Doncel </t>
  </si>
  <si>
    <t xml:space="preserve">Juan Doncel </t>
  </si>
  <si>
    <t>Altos de Riomar</t>
  </si>
  <si>
    <t>Cra 64 #98-90 casa 58 - Conjunto</t>
  </si>
  <si>
    <t>1× Bouquet 6 Rosas Rojas</t>
  </si>
  <si>
    <t>Paola</t>
  </si>
  <si>
    <t>Villamizar</t>
  </si>
  <si>
    <t>Isabella chaya</t>
  </si>
  <si>
    <t>Buenavista</t>
  </si>
  <si>
    <t>Calle 104 No 53 49 apto 902 - Casa</t>
  </si>
  <si>
    <t>1× Flora Box Redonda Lirio</t>
  </si>
  <si>
    <t xml:space="preserve">No importa que tan lejos te lleven tus sueños de regreso siempre te estará esperando con todo el amor tu lugar seguro! </t>
  </si>
  <si>
    <t>Transferencia 5431</t>
  </si>
  <si>
    <t>Juan</t>
  </si>
  <si>
    <t>Franco</t>
  </si>
  <si>
    <t>maria helena cure</t>
  </si>
  <si>
    <t>Las Delicias</t>
  </si>
  <si>
    <t>crarrera 44 70 107  - CECAC - Oficina</t>
  </si>
  <si>
    <t>1× Canasto Mediano Sweet</t>
  </si>
  <si>
    <t>Ninguno Solo Firma</t>
  </si>
  <si>
    <t>Juan Franco, German Quiroz y Roberto Arenas</t>
  </si>
  <si>
    <t>Amanda</t>
  </si>
  <si>
    <t>Gonzalez</t>
  </si>
  <si>
    <t>Leonor Molinares</t>
  </si>
  <si>
    <t>Apto 202 - Edificio</t>
  </si>
  <si>
    <t>1× Canasto Lavanda</t>
  </si>
  <si>
    <t>Feliz cumpleaños a la mejor mamá del mundo!! Te amo hoy y siempre. Disfruta tu día</t>
  </si>
  <si>
    <t xml:space="preserve">Transferencia Bold </t>
  </si>
  <si>
    <t xml:space="preserve">Amanda </t>
  </si>
  <si>
    <t xml:space="preserve">Camila </t>
  </si>
  <si>
    <t>Colina Torres</t>
  </si>
  <si>
    <t>Camila Colina Torres</t>
  </si>
  <si>
    <t>Riomar</t>
  </si>
  <si>
    <t>Edificio Madrid, apto 6A - Edificio</t>
  </si>
  <si>
    <t>Fabii, estamos muy orgullosas de ti!! Sigue brillando de esa manera tan hermosa, este es el primero de muchos logros para ser una doctora increíble!! Pd: recibe soon tu bono para ir a barre</t>
  </si>
  <si>
    <t>Con amor, Cami, hilla y Vale</t>
  </si>
  <si>
    <t xml:space="preserve">Fabio </t>
  </si>
  <si>
    <t>Barrera</t>
  </si>
  <si>
    <t>Maria Alejandra Rodriguez</t>
  </si>
  <si>
    <t>san vicente</t>
  </si>
  <si>
    <t>cra 55 # 80-285 Castellamare - Edificio</t>
  </si>
  <si>
    <t>1× Flora Box Mediana Aire</t>
  </si>
  <si>
    <t xml:space="preserve">“Feliz navidad y prospero año nuevo. God bless America”
</t>
  </si>
  <si>
    <t>Fabio y Fendi</t>
  </si>
  <si>
    <t>Alejandra</t>
  </si>
  <si>
    <t>Fernandez</t>
  </si>
  <si>
    <t>000000</t>
  </si>
  <si>
    <t>cra. 52 # 84 - 64</t>
  </si>
  <si>
    <t>flora</t>
  </si>
  <si>
    <t>bouquet surtido</t>
  </si>
  <si>
    <t>Estefani</t>
  </si>
  <si>
    <t xml:space="preserve">Acosta </t>
  </si>
  <si>
    <t>Cristina duncan</t>
  </si>
  <si>
    <t>El Prado</t>
  </si>
  <si>
    <t>Cra58#66-81 apto 202 edificio prado señorial - Edificio</t>
  </si>
  <si>
    <t>315 6947216</t>
  </si>
  <si>
    <t>Feliz día Dra Cristina!
Gracias por todo💗</t>
  </si>
  <si>
    <t>Con cariño, Stefany Acosta.</t>
  </si>
  <si>
    <t>Maria Alejandra</t>
  </si>
  <si>
    <t>Rondon</t>
  </si>
  <si>
    <t>Mercedes Uribe</t>
  </si>
  <si>
    <t>Cra 58#86-85 / Edificio Masseba / apto 203 - Edificio</t>
  </si>
  <si>
    <t>1× Marquito Orquidea</t>
  </si>
  <si>
    <t>Merce, te mandamos estas flores con todo nuestro cariño. Eres la más fuerte y nos llena de emocion verte salir adelante después de tantos días en la clínica. Nos alegra un montón saber que ya estás en casa y recuperándote. Ojalá cada día te sientas un poquito mejor y tengas mucha energía. Te queremos muchísimo!</t>
  </si>
  <si>
    <t>Andres y Lale ❤️</t>
  </si>
  <si>
    <t xml:space="preserve">RONIL </t>
  </si>
  <si>
    <t>BERDUGO CABRALES</t>
  </si>
  <si>
    <t>VALENTINA LOPEZ</t>
  </si>
  <si>
    <t>Puerto Colombia</t>
  </si>
  <si>
    <t>Calle 2c # 1 - 21 piso 1 Barrio El Ancla Puerto Colombia - Casa</t>
  </si>
  <si>
    <t>Recibe estas flores como un abrazo lleno de orgullo y cariño en este día tan especial.
¡Felicitaciones por tu grado! Este logro es fruto de tu esfuerzo, tu disciplina y tu determinación, te deseamos un camino lleno de nuevas oportunidades, aprendizajes y éxitos. Que este sea solo el comienzo de todo lo grande que estás destinada a lograr.</t>
  </si>
  <si>
    <t xml:space="preserve">Con cariño, De: Jesús y Ronil </t>
  </si>
  <si>
    <t xml:space="preserve">Milena </t>
  </si>
  <si>
    <t xml:space="preserve">Escalante De la Cruz </t>
  </si>
  <si>
    <t xml:space="preserve">Vanesa vasco </t>
  </si>
  <si>
    <t>Miramar</t>
  </si>
  <si>
    <t>Calle 106 transversal 43-137 edificio Génova marval (Miramar ) al lado del centro comercial Miramar plaza - Edificio</t>
  </si>
  <si>
    <t>1× Corazón Mediano Surtido</t>
  </si>
  <si>
    <t>Que bonito es compartir mi vida contigo, qué bonito es compartir risas y coleccionar experiencias a diario, qué bonito es estar con alguien que aunque no te entienda te acepte pero sobre todo te apoye, que bonito es transformar todo lo que nos hace diferente. Que bonito fue el universo al cruzarte en mi camino flaquita🐥❤️✨ I love you</t>
  </si>
  <si>
    <t xml:space="preserve">Milena Escalante </t>
  </si>
  <si>
    <t xml:space="preserve">Mariela </t>
  </si>
  <si>
    <t>Lugo</t>
  </si>
  <si>
    <t>Mariela</t>
  </si>
  <si>
    <t>Villa Country</t>
  </si>
  <si>
    <t>Cl. 77b # 57 - 103 - Oficina</t>
  </si>
  <si>
    <t>1× Mini Box Claveles</t>
  </si>
  <si>
    <t>Feliz cumpleaños para mi primera princesa, hoy cumples 12 años es un paso hermoso hacia nuevas aventuras. Que cada día recuerdes lo valiosa, fuerte y especial que eres. Siempre estaré a tu lado para apoyarte y animarte en todo lo que quieras lograr en tu vida . Te amo con todo mi corazón.  att: tu Papa</t>
  </si>
  <si>
    <t>Natalia</t>
  </si>
  <si>
    <t>Davila</t>
  </si>
  <si>
    <t>Sheryn Saab</t>
  </si>
  <si>
    <t>El Golf</t>
  </si>
  <si>
    <t>Cra 56 # 79-342 apto 1102 Edificio San Angelo - Edificio</t>
  </si>
  <si>
    <t xml:space="preserve">Siempre juntas en todos los momentos importantes de nuestras vidas. Te adoro!! </t>
  </si>
  <si>
    <t>With love, Nat</t>
  </si>
  <si>
    <t>Cristhian</t>
  </si>
  <si>
    <t>De Marchena Rueda</t>
  </si>
  <si>
    <t>Cristhian De Marchena Rueda</t>
  </si>
  <si>
    <t>Santa Ana</t>
  </si>
  <si>
    <t>Cra 66 #58-69 - Casa</t>
  </si>
  <si>
    <t>1× Flora Box Redonda 24 Rosas de Jardín</t>
  </si>
  <si>
    <t xml:space="preserve">Feliz cumpleaños </t>
  </si>
  <si>
    <t>Con cariño, tu hijo</t>
  </si>
  <si>
    <t>Carlos Javier</t>
  </si>
  <si>
    <t xml:space="preserve">Agamez Martínez </t>
  </si>
  <si>
    <t>Evelis Carreño</t>
  </si>
  <si>
    <t>El Parque</t>
  </si>
  <si>
    <t>Carrera 41 G # 47 - 18 - Casa</t>
  </si>
  <si>
    <t>1× Bouquet 12 Rosas Rojas</t>
  </si>
  <si>
    <t>Feliz cumpleaños profe, que Dios y la virgen de Fátima te Bendigan, te den muchos años de vida, salud, prosperidad, sabiduría y paciencia, para poder llegar a cada corazón de esos niños que atiendes todos los días y  colocar un granito de amor en ellos para que no se sientan solos. Disfruta mucho tú día</t>
  </si>
  <si>
    <t>Transferencia 4038</t>
  </si>
  <si>
    <t>C.J.A.M</t>
  </si>
  <si>
    <t>Camilo</t>
  </si>
  <si>
    <t>Echeverri</t>
  </si>
  <si>
    <t>Carolina Segebre Abudinen</t>
  </si>
  <si>
    <t>Altos del Prado</t>
  </si>
  <si>
    <t>cra 56 Numero 79 - 342 - Edificio</t>
  </si>
  <si>
    <t>1× Flora Box Mediana Topiario</t>
  </si>
  <si>
    <t xml:space="preserve">Muchos éxitos en tu nuevo Proyecto Mi Amor, Atentamente Camilo </t>
  </si>
  <si>
    <t>Camilo Echeverry</t>
  </si>
  <si>
    <t>maría</t>
  </si>
  <si>
    <t>araque</t>
  </si>
  <si>
    <t>ruth del castillo</t>
  </si>
  <si>
    <t>El Silencio</t>
  </si>
  <si>
    <t>clle 71#27-56 - Casa</t>
  </si>
  <si>
    <t>Ánimo Mamá ! No estes triste todo va a estar bien, mejórate Pronto. Estamos contigo Te Amamos mucho.
De: Jake y Emma Lou</t>
  </si>
  <si>
    <t>Efectivo</t>
  </si>
  <si>
    <t>De: Jake y Emma Lou</t>
  </si>
  <si>
    <t>contraentrega-efectivo</t>
  </si>
  <si>
    <t>Marjorie</t>
  </si>
  <si>
    <t>Caballero Mendez</t>
  </si>
  <si>
    <t>Aida Palmet</t>
  </si>
  <si>
    <t>Universidad Autónoma del Caribe</t>
  </si>
  <si>
    <t>arreglo virgen</t>
  </si>
  <si>
    <t>Transferencia Jaque</t>
  </si>
  <si>
    <t>ANDRES</t>
  </si>
  <si>
    <t>SOLANA</t>
  </si>
  <si>
    <t>SOFIA SOLANA</t>
  </si>
  <si>
    <t>Andalucía</t>
  </si>
  <si>
    <t>CL 85A 71A 89 - Casa</t>
  </si>
  <si>
    <t>1× Bouquet Gerbera</t>
  </si>
  <si>
    <t>Mi amor,
Hoy llega una nueva etapa en tu vida, y quiero que sepas que estamos contigo en cada paso. Hoy no solo hay un cambio en tu cuerpo, tambien un crecimiento hermoso, natural y poderoso. Estamos muy orgullosos de ti.
Quiero que recuerdes siempre que sigues siendo nuestra niña: dulce, única, fuerte y especial. Nada de esto cambia quién eres; simplemente estás creciendo, floreciendo y descubriendo nuevas partes de ti misma. Y en ese camino, nunca estarás sola.
Gracias por confiar en nosotros por permitirme acompañarte y por ser exactamente como eres. Cuando tengas dudas, emociones nuevas o simplemente quieras un abrazo, aquí estaremos para apoyarte, escucharte y cuidarte.
Te amamos con todo mi corazón, hoy y siempre. Bienvenida a esta nueva etapa, nuestra niña hermosa. 💗
Con cariño papá y mamá.</t>
  </si>
  <si>
    <t>Papá y Mamá</t>
  </si>
  <si>
    <t>caja de ferrero</t>
  </si>
  <si>
    <t xml:space="preserve">Héctor </t>
  </si>
  <si>
    <t xml:space="preserve">Briceño Martínez </t>
  </si>
  <si>
    <t>Héctor Briceño Martínez</t>
  </si>
  <si>
    <t>alejandra</t>
  </si>
  <si>
    <t>martinez</t>
  </si>
  <si>
    <t>pedro pallares villarreal</t>
  </si>
  <si>
    <t>puerto colombia bajo orion</t>
  </si>
  <si>
    <t>bajo ostion,riviera del mar - Edificio</t>
  </si>
  <si>
    <t>1× Canasto Tierra</t>
  </si>
  <si>
    <t>Gabriela Galvan</t>
  </si>
  <si>
    <t>gabriela galvan</t>
  </si>
  <si>
    <t>rappi</t>
  </si>
  <si>
    <t>Luis</t>
  </si>
  <si>
    <t>Consuegra</t>
  </si>
  <si>
    <t>Bianca Morales</t>
  </si>
  <si>
    <t>Ciudad Jardín Modelo</t>
  </si>
  <si>
    <t>Calle 80#42D1-30 - Casa</t>
  </si>
  <si>
    <t>300 8001119</t>
  </si>
  <si>
    <t>Gracias por ser la mejor mamá para chiquito, ya quiero volver para que nos reunamos cómo la familia que somos ¡Los amo infinito, princesa!</t>
  </si>
  <si>
    <t xml:space="preserve">El amor de tu vida </t>
  </si>
  <si>
    <t>rosas rosadas</t>
  </si>
  <si>
    <t>didier</t>
  </si>
  <si>
    <t>rodríguez</t>
  </si>
  <si>
    <t>maría nancy</t>
  </si>
  <si>
    <t>clle 93#42c-123 apto 1202 - Edificio</t>
  </si>
  <si>
    <t>1× Flora Box Surtida Rosas y Orquídeas</t>
  </si>
  <si>
    <t xml:space="preserve">Matriacanela </t>
  </si>
  <si>
    <t xml:space="preserve">Ojeda Villalobos </t>
  </si>
  <si>
    <t xml:space="preserve">María canela </t>
  </si>
  <si>
    <t>Cl. 98 #65A-54, Riomar, Barranquilla, Atlántico, Colombia - Casa</t>
  </si>
  <si>
    <t>Hoy celebramos tu vida y lo increíble que eres.
Queremos desearte un año lleno de alegría, salud, oportunidades bonitas y mucho amor. Eres una persona especial, con un corazón enorme, y mereces que todo lo bueno llegue a tu vida.
Gracias por tu cariño, por tu energía tan linda y por siempre sumar.
Aquí estamos para ti, hoy y siempre, con todo el amor y el apoyo del mundo.</t>
  </si>
  <si>
    <t xml:space="preserve">Emmanuel y canela </t>
  </si>
  <si>
    <t xml:space="preserve">Kevin </t>
  </si>
  <si>
    <t xml:space="preserve">Salazar </t>
  </si>
  <si>
    <t xml:space="preserve">Kelly Sierra </t>
  </si>
  <si>
    <t>Villa Carolina</t>
  </si>
  <si>
    <t>Cr 74 # 91-120 - casa 37 - Casa</t>
  </si>
  <si>
    <t>1× Flora Box Mediana Sembrado</t>
  </si>
  <si>
    <t>Por amarte y cuidarte Dios me quiere más.
Feliz cumpleaños madre, Te amo</t>
  </si>
  <si>
    <t xml:space="preserve">Tu hijo </t>
  </si>
  <si>
    <t xml:space="preserve">German </t>
  </si>
  <si>
    <t>Blanco</t>
  </si>
  <si>
    <t>Rochy Poveda</t>
  </si>
  <si>
    <t>Carrera 52 # 82 -253 riu52 apt 1601 - Edificio</t>
  </si>
  <si>
    <t>304 3045673</t>
  </si>
  <si>
    <t>1× Flora Box Romantic Flores</t>
  </si>
  <si>
    <t>Por muchos años de vida juntos.</t>
  </si>
  <si>
    <t>G.B</t>
  </si>
  <si>
    <t>Ana Maria</t>
  </si>
  <si>
    <t>Cantor Daza</t>
  </si>
  <si>
    <t>Mary Luz Daza Bedoya</t>
  </si>
  <si>
    <t>Alameda del Río</t>
  </si>
  <si>
    <t>Calle 112 #43-185 apt 701 torre 4 - Edificio</t>
  </si>
  <si>
    <t>1× Flora Box Mediana Tulipanes | 1× Canasto Mediano Sweet</t>
  </si>
  <si>
    <t>Mamá,
Felices 50 primaveras, me encantaría estar ahí contigo, pero aun en la distancia nuestro amor siempre será más grande. Estoy orgullosa de la mujer que eres, y solo puedo desearte que toda la luz que das siempre vuelva a tu camino. 
Te amo.</t>
  </si>
  <si>
    <t>Tu Hijita</t>
  </si>
  <si>
    <t>Mateo</t>
  </si>
  <si>
    <t>Tamara Diago</t>
  </si>
  <si>
    <t>Sophia Gomez Melo</t>
  </si>
  <si>
    <t>Cra 57#78-67 Apto 102 - Edificio</t>
  </si>
  <si>
    <t>Mi amor, feliz cumpleaños, por miles de años más a tu lado, gracias por ser tan cariñosa, especial y tan incondicional. Siempre te mereces lo mejor, le doy gracias a Dios por ponerte en mi vida, te amo.</t>
  </si>
  <si>
    <t>Mateo Támara Diago</t>
  </si>
  <si>
    <t xml:space="preserve">juan manuel </t>
  </si>
  <si>
    <t>serna</t>
  </si>
  <si>
    <t>Juan Manuel Serna</t>
  </si>
  <si>
    <t>Carrera 59 81 149 apto 302 - Casa</t>
  </si>
  <si>
    <t>Hermosa, feliz 8 años de amor, de trabajar juntos nuestro camino al cielo. Te amo y por muchos años mas juntos</t>
  </si>
  <si>
    <t>Chicho</t>
  </si>
  <si>
    <t>El amor de tu vida</t>
  </si>
  <si>
    <t>Carolina</t>
  </si>
  <si>
    <t>Zuluaga Gomez</t>
  </si>
  <si>
    <t xml:space="preserve">Nubia Gómez </t>
  </si>
  <si>
    <t>Cra 52 # 82 - 161 Apto 4B - Ed. Asturias - Edificio</t>
  </si>
  <si>
    <t>300 8509958</t>
  </si>
  <si>
    <t>¡Feliz Aniversario mi amor! 
Son 36 años juntos, gracias por tu amor incondicional. 
Tu amor por siempre.</t>
  </si>
  <si>
    <t>Rodrigo.</t>
  </si>
  <si>
    <t>Daniel</t>
  </si>
  <si>
    <t>Alvarado</t>
  </si>
  <si>
    <t>Kattia Amashta</t>
  </si>
  <si>
    <t>Cra 52 #82-162 apto 7B - Edificio</t>
  </si>
  <si>
    <t>1× Guacal Surtido Lirio</t>
  </si>
  <si>
    <t xml:space="preserve">Feliz cumpleaños a la Wonderwoman de mi vida, te amo mami! ❤️ </t>
  </si>
  <si>
    <t>Danny</t>
  </si>
  <si>
    <t>Daniela</t>
  </si>
  <si>
    <t>Osorio</t>
  </si>
  <si>
    <t>Mabel Salebe</t>
  </si>
  <si>
    <t>Carrera 49C # 80 - 255. Edificio Las Vistas. Apartamento 1B - Edificio</t>
  </si>
  <si>
    <t>flora box 50 rosas rojas</t>
  </si>
  <si>
    <t>Feliz cumpleaños mamita. Te amamos con todo nuestro 🩷 Pronto nos vemos</t>
  </si>
  <si>
    <t>Dani y Juli</t>
  </si>
  <si>
    <t xml:space="preserve">Bryan </t>
  </si>
  <si>
    <t>Contreras</t>
  </si>
  <si>
    <t>Viviana Rebolledo</t>
  </si>
  <si>
    <t>Villa Santos</t>
  </si>
  <si>
    <t>Cl 96a 42 52 - parque 96 casa 2 - Casa</t>
  </si>
  <si>
    <t>1× Mini Box Orquidea</t>
  </si>
  <si>
    <t>Anónimo</t>
  </si>
  <si>
    <t>Nicolle</t>
  </si>
  <si>
    <t>Morales</t>
  </si>
  <si>
    <t>Karoll Mantilla</t>
  </si>
  <si>
    <t>San Isidro</t>
  </si>
  <si>
    <t>Cra 30 #58-83 Timbre 2 Santo Domingo Sabio - Edificio</t>
  </si>
  <si>
    <t>Karoll linda,
Gracias por ser esa luz tan bonita en nuestras vidas. Te celebramos, te queremos y estamos felices de tenerte siempre.
Con amor,
Nicolle, David y Alejandra 💐❤️</t>
  </si>
  <si>
    <t xml:space="preserve">Tus mejores amigos </t>
  </si>
  <si>
    <t>Juliana</t>
  </si>
  <si>
    <t>Villegas</t>
  </si>
  <si>
    <t>Maria del Socorro Bermeo Navia</t>
  </si>
  <si>
    <t>Calle 76 No 54 -231 - Oficina</t>
  </si>
  <si>
    <t>1× Marquito Surtido Pastel</t>
  </si>
  <si>
    <t>Mary,
En este día tan especial, quiero desearte un cumpleaños lleno de luz, alegría y que todo lo bonito que tú le regalas al mundo regrese a ti en bendición y mucho amor.
Que venga un año lleno de felicidad,</t>
  </si>
  <si>
    <t>Con Cariño, July Villegas &amp; Familia.</t>
  </si>
  <si>
    <t>Juan Esteban</t>
  </si>
  <si>
    <t>Adarraga Fontalvo</t>
  </si>
  <si>
    <t xml:space="preserve">Daniela Lanao </t>
  </si>
  <si>
    <t>miramar</t>
  </si>
  <si>
    <t>Calle 97 # 42F - 43, Conjunto residencial mirador del mar 2, apartamento 1008, torre 2 - Edificio</t>
  </si>
  <si>
    <t>1× Flora Box Mediana Pastel</t>
  </si>
  <si>
    <t xml:space="preserve">Con amor, Juan </t>
  </si>
  <si>
    <t>Andrea</t>
  </si>
  <si>
    <t>andrea consuegra</t>
  </si>
  <si>
    <t>cra 52#82-253 apto 904 - Casa</t>
  </si>
  <si>
    <t>1× Virgen Guadalupe o Milagrosa Pequeña</t>
  </si>
  <si>
    <t xml:space="preserve">Nicholas </t>
  </si>
  <si>
    <t xml:space="preserve">Oganesoff </t>
  </si>
  <si>
    <t>Nicolas</t>
  </si>
  <si>
    <t>Edificio Epic 91 Cra. 64c ##86171 Riomar - Edificio</t>
  </si>
  <si>
    <t>1× Flora Box Grande Topiario Rosas | 1× Topper Happy Birthday</t>
  </si>
  <si>
    <t>Happy Birthday Princess!!!!</t>
  </si>
  <si>
    <t>Your Husband</t>
  </si>
  <si>
    <t>Fabio</t>
  </si>
  <si>
    <t>Mendez</t>
  </si>
  <si>
    <t>Ana Milena Aponte</t>
  </si>
  <si>
    <t>Cra 53 N 82-242 Apto 801 Edificio San Marino - Edificio</t>
  </si>
  <si>
    <t>1× Bouquet 36 Rosas Rojas</t>
  </si>
  <si>
    <t>Solo espero q poder alegrar tu vida y tus días!!!! 
Ánimo!</t>
  </si>
  <si>
    <t xml:space="preserve">Rafael </t>
  </si>
  <si>
    <t xml:space="preserve">Socarrasa </t>
  </si>
  <si>
    <t>Bethania</t>
  </si>
  <si>
    <t>Carrera 39#75b-38 edificio Lisboa, apto 605 - Edificio</t>
  </si>
  <si>
    <t>‪+57 323 4095885‬</t>
  </si>
  <si>
    <t>Eres una persona maravillosa, me haces muy feliz amor de mi vida!
TE amo ❤️</t>
  </si>
  <si>
    <t xml:space="preserve">De: Gus Gus para : Mi Puchi Puchi </t>
  </si>
  <si>
    <t>flor</t>
  </si>
  <si>
    <t>carreño</t>
  </si>
  <si>
    <t>milena</t>
  </si>
  <si>
    <t>cra 58#81-110 apto 14 - Edificio</t>
  </si>
  <si>
    <t>317 6609335</t>
  </si>
  <si>
    <t>1× Virgen Guadalupe o Milagrosa Grande</t>
  </si>
  <si>
    <t>fabian</t>
  </si>
  <si>
    <t>padilla</t>
  </si>
  <si>
    <t>isabella huertas</t>
  </si>
  <si>
    <t>clle 91#70-64 - Casa</t>
  </si>
  <si>
    <t xml:space="preserve">daniela </t>
  </si>
  <si>
    <t>acosta</t>
  </si>
  <si>
    <t>kelly sierra</t>
  </si>
  <si>
    <t>cra 74#91-120 casa 37 - Casa</t>
  </si>
  <si>
    <t>1× Flora Gift Box JP</t>
  </si>
  <si>
    <t>Lina</t>
  </si>
  <si>
    <t>castro</t>
  </si>
  <si>
    <t xml:space="preserve"> Antonela Rodriguez </t>
  </si>
  <si>
    <t>Cra. 64 #84-174, pizzeria L'America - Edificio</t>
  </si>
  <si>
    <t>1× Mini Box Hortensias y Mini Rosa</t>
  </si>
  <si>
    <t>Jaider</t>
  </si>
  <si>
    <t>Suárez polo</t>
  </si>
  <si>
    <t>alejandra julio</t>
  </si>
  <si>
    <t>Calle 117 42b 74 t3 apto 704 Conjunto Paloma  Alameda del Rio - Casa</t>
  </si>
  <si>
    <t>1× Bouquet 50 Rosas Rojas</t>
  </si>
  <si>
    <t>Elmer</t>
  </si>
  <si>
    <t>Cure</t>
  </si>
  <si>
    <t xml:space="preserve">En tienda </t>
  </si>
  <si>
    <t>1× Bouquet 24 Rosas Rojas</t>
  </si>
  <si>
    <t>Feliz cumpleaños amor de mi vida entera, te amo con todo mi corazón ❤️</t>
  </si>
  <si>
    <t>Evelyng</t>
  </si>
  <si>
    <t>Torres</t>
  </si>
  <si>
    <t>Claudia Díaz</t>
  </si>
  <si>
    <t>Carrera 55 72 109 centro ejecutivo 2 piso 7 - Edificio</t>
  </si>
  <si>
    <t xml:space="preserve">Clau, quiero recordarte lo mucho que significas para mí. Que estas flores simbolicen el amor y la fuerza que llevas dentro. Como ellas, que siempre florezcas incluso en tiempos difíciles, encontrando en cada reto una oportunidad para brillar. Que la luz y la paz te acompañen siempre, llenando tus días de alegría. Gracias por ser una amiga tan única. Te deseo un año lleno de bendiciones y milagros para tu corazón. ¡Feliz cumpleaños! Te quiero. </t>
  </si>
  <si>
    <t xml:space="preserve">Eve T. </t>
  </si>
  <si>
    <t>Dayana</t>
  </si>
  <si>
    <t>Rios</t>
  </si>
  <si>
    <t>Jenny Manrique</t>
  </si>
  <si>
    <t>Carrera 65 # 85-135 casa 3 - Conjunto</t>
  </si>
  <si>
    <t xml:space="preserve">Hola Jenny!  Te deseo pronta recuperación. Te envío un abrazo y mucha energia positiva, aquí estoy para lo que necesites… Espero verte de vuelta pronto! </t>
  </si>
  <si>
    <t>Con cariño, Sandra Arango</t>
  </si>
  <si>
    <t xml:space="preserve">Angela  </t>
  </si>
  <si>
    <t>Acosta</t>
  </si>
  <si>
    <t>Carrera 38  calle 74 edificio Sies 123 CAD</t>
  </si>
  <si>
    <t>Las Mercedes</t>
  </si>
  <si>
    <t>Oficina del modelo - Edificio</t>
  </si>
  <si>
    <t>Recuerda que son etapas !</t>
  </si>
  <si>
    <t>Ricardo</t>
  </si>
  <si>
    <t>soledad</t>
  </si>
  <si>
    <t>Calle 30 #39-6 - Casa</t>
  </si>
  <si>
    <t>¡Feliz Cumpleaños!</t>
  </si>
  <si>
    <t xml:space="preserve">James </t>
  </si>
  <si>
    <t xml:space="preserve">Bello Castillo </t>
  </si>
  <si>
    <t>Melody Torres</t>
  </si>
  <si>
    <t>Cra 57 # 77 - 53 - Edificio</t>
  </si>
  <si>
    <t xml:space="preserve">Gracias por existir, mi amor. Eres la mejor parte de mis días. </t>
  </si>
  <si>
    <t xml:space="preserve">Con amor, James </t>
  </si>
  <si>
    <t>elisa</t>
  </si>
  <si>
    <t>lópez</t>
  </si>
  <si>
    <t>elisa lópez</t>
  </si>
  <si>
    <t>Maria Jose</t>
  </si>
  <si>
    <t>Lopez</t>
  </si>
  <si>
    <t xml:space="preserve">María montes </t>
  </si>
  <si>
    <t>El Carmén</t>
  </si>
  <si>
    <t>Cra 20A #60 - 52 - Casa</t>
  </si>
  <si>
    <t>1× Flora Mini Plus Box Redonda</t>
  </si>
  <si>
    <t>Mami 
Yo estoy muy orgulloso de ti</t>
  </si>
  <si>
    <t xml:space="preserve">GEEM </t>
  </si>
  <si>
    <t>ALEJANDRA</t>
  </si>
  <si>
    <t>DUARTE</t>
  </si>
  <si>
    <t>Valentina Ramirez</t>
  </si>
  <si>
    <t>calle 90 # 58-51 apto 1202 - Edificio</t>
  </si>
  <si>
    <t>1xCanasto Lavanda</t>
  </si>
  <si>
    <t>Bienvenida, Amelia.
Qué emoción tan grande tenerte por fin con nosotros. Tu llegada es una bendición que llena de luz y alegría a toda la familia, y nuestros corazones no pueden estar más felices.
Ricardo y Valentina, muchísimas felicitaciones. Verlos recibir a Amelia y comenzar esta nueva etapa me conmueve profundamente. Ricardo, verte convertirme en papá me llena de orgullo, y Valentina, gracias por traer a esta pequeña tan especial a nuestras vidas.
Amelia, preciosa, deseo que tu vida esté siempre rodeada de amor, ternura y bienestar. Que crezcas sanita, feliz y acompañada de muchas risas, abrazos y momentos inolvidables. Ojalá podamos estar cerquita para acompañarte en cada descubrimiento, y que junto a Alejandro puedan compartir juegos, travesuras y esa complicidad tan bonita que solo los primos saben construir.
Que Dios y la Virgen te cuiden y te acompañen siempre ✨
Y quiero que sepan que su tía Ale está llena de ilusión, con el corazón desbordado de amor por ti, Amelia. Tu llegada nos ha hecho la vida aún más bonita.
Con todo nuestro cariño,
Alejandro, Alejandra y Jaime</t>
  </si>
  <si>
    <t xml:space="preserve">Familia Baute Duarte </t>
  </si>
  <si>
    <t>valentino</t>
  </si>
  <si>
    <t>goméz</t>
  </si>
  <si>
    <t>valentino goméz</t>
  </si>
  <si>
    <t>1× Flora Box Solitario Rosa</t>
  </si>
  <si>
    <t>vanina</t>
  </si>
  <si>
    <t>zambrano</t>
  </si>
  <si>
    <t>vanina zambrano</t>
  </si>
  <si>
    <t>cra 42a2#87b-08 - Casa</t>
  </si>
  <si>
    <t>Douglas</t>
  </si>
  <si>
    <t>Camargo</t>
  </si>
  <si>
    <t>Douglas Camargo</t>
  </si>
  <si>
    <t>Feliz cumpleaños mi amor, gracias por siempre estar, TE AMO💕</t>
  </si>
  <si>
    <t>De: Douglas Camargo</t>
  </si>
  <si>
    <t>andrea</t>
  </si>
  <si>
    <t>lopez</t>
  </si>
  <si>
    <t>maria camila chavez</t>
  </si>
  <si>
    <t>Olaya</t>
  </si>
  <si>
    <t>cra 27b#68b-61 - Casa</t>
  </si>
  <si>
    <t xml:space="preserve">deckson </t>
  </si>
  <si>
    <t>romero</t>
  </si>
  <si>
    <t>deckson romero</t>
  </si>
  <si>
    <t>cra 54#70-115 - Casa</t>
  </si>
  <si>
    <t>Joel</t>
  </si>
  <si>
    <t>Rodriguez</t>
  </si>
  <si>
    <t>Joel Rodriguez</t>
  </si>
  <si>
    <t>Calle 99 #58-99 torre 1 apto 1204 - Casa</t>
  </si>
  <si>
    <t>1× Canasto 24 Rosas + Orquideas</t>
  </si>
  <si>
    <t>Te amamos</t>
  </si>
  <si>
    <t>Isco y Joel</t>
  </si>
  <si>
    <t>Loraine</t>
  </si>
  <si>
    <t>Julio Solano</t>
  </si>
  <si>
    <t>Ana Solano Escorcia</t>
  </si>
  <si>
    <t>Las Nieves</t>
  </si>
  <si>
    <t>Calle 17 # 17b -25 - Casa</t>
  </si>
  <si>
    <t>En este dia tan especial, queremos desearte un feliz cumpleaños! 
Que Dios siga llenando tu vida de momentos felices...</t>
  </si>
  <si>
    <t>Harold, Marjorie, Timothy y Kathrina</t>
  </si>
  <si>
    <t xml:space="preserve">Juan Pablo </t>
  </si>
  <si>
    <t xml:space="preserve">Gómez Moros </t>
  </si>
  <si>
    <t xml:space="preserve">Juan Pablo Gomez </t>
  </si>
  <si>
    <t>calle 104#51B-154 - Casa</t>
  </si>
  <si>
    <t xml:space="preserve">Bienvenida pook </t>
  </si>
  <si>
    <t xml:space="preserve">Con cariño, pook </t>
  </si>
  <si>
    <t>Steven Javier</t>
  </si>
  <si>
    <t>Duran Sandoval</t>
  </si>
  <si>
    <t xml:space="preserve">Andrea González </t>
  </si>
  <si>
    <t>Cra 52 #70-155 - Oficina</t>
  </si>
  <si>
    <t>En la vida hay errores que se pueden pagar caros, pero aún así más caro sería no intentar arreglarlos.
Estás flores son un diminutivo para lo hermosa mujer que eres tú, ni querida niña.</t>
  </si>
  <si>
    <t xml:space="preserve">Ste. </t>
  </si>
  <si>
    <t>Valeria</t>
  </si>
  <si>
    <t xml:space="preserve">Amaya Montero </t>
  </si>
  <si>
    <t>Margarita de Montero</t>
  </si>
  <si>
    <t>Calle 2A #20-61 - Conjunto</t>
  </si>
  <si>
    <t>Feliz cumpleaños, abuelita🩷🌸 Hoy quiero agradecerte por todo el amor que me has dado desde que soy una niña. Tú, que siempre sabías cómo hacerme reír, cómo tranquilizarme con solo una mirada y cómo convertir cualquier tarde en un recuerdo bonito. Gracias por las veces que te sentaste conmigo a hacer tareas, por tu paciencia infinita y por esa ternura que solo tú sabes dar. Sé que los años han traído cambios, pero mi amor por ti sigue intacto, firme, igual que tu fuerza. A veces siento que ahora es mi turno de cuidarte como tú me cuidaste siempre, y lo hago con todo el corazón porque eres una de las personas más importantes de mi vida. Te deseo un cumpleaños lleno de paz, de momentos suaves, y de todo el cariño que mereces. Gracias por existir, abuelita. Te amo más de lo que mis palabras pueden explicar.</t>
  </si>
  <si>
    <t xml:space="preserve">Con mucho cariño, tu nieta favorita Valeria </t>
  </si>
  <si>
    <t xml:space="preserve">Karla </t>
  </si>
  <si>
    <t xml:space="preserve">Castillo </t>
  </si>
  <si>
    <t>Karla castilo</t>
  </si>
  <si>
    <t>Calle 42 #2604  arboleda , soledad - Casa</t>
  </si>
  <si>
    <t xml:space="preserve">Felicitaciones por tu grado ( congratulations) we love you sweetheart.   MAMA Y RAFI </t>
  </si>
  <si>
    <t xml:space="preserve">RAFI </t>
  </si>
  <si>
    <t>Paulina</t>
  </si>
  <si>
    <t>Dangond</t>
  </si>
  <si>
    <t>Marianella Maal</t>
  </si>
  <si>
    <t>Cra 55#79-64 - Casa</t>
  </si>
  <si>
    <t>Feliz Cumpleaños Mami! Que cumplas mil más, te quiero infinito. 
- Pau</t>
  </si>
  <si>
    <t>Pau</t>
  </si>
  <si>
    <t>Romero</t>
  </si>
  <si>
    <t>Yulimar Coronell</t>
  </si>
  <si>
    <t>Ruiseñor 1 - Conjunto</t>
  </si>
  <si>
    <t>305 2134848</t>
  </si>
  <si>
    <t xml:space="preserve"> Eres una persona maravillosa: auténtica, leal y de corazón lindo. Gracias por ser una amiga que suma y que hace todo más fácil. Que este año te pasen cosas muy bonitas y que Dios te bendiga muchísimo. Feliz cumpleaños.</t>
  </si>
  <si>
    <t xml:space="preserve">Keily Johanna </t>
  </si>
  <si>
    <t>Carpintero Puello</t>
  </si>
  <si>
    <t>Valery Carpintero</t>
  </si>
  <si>
    <t>Cra 10c No. 61b-12 - Casa</t>
  </si>
  <si>
    <t>Mi hermana querida, verte graduarte es uno de los momentos más especiales. Has demostrado que cuando sueñas en grande y trabajas duro, todo es posible. ¡Felicidades por este logro tan merecido!</t>
  </si>
  <si>
    <t>De tus hermanas❤️</t>
  </si>
  <si>
    <t xml:space="preserve">Alexander </t>
  </si>
  <si>
    <t>Ospina</t>
  </si>
  <si>
    <t>Alexander Ospina</t>
  </si>
  <si>
    <t>Para mi cosita linda
No hay excusa valida, estas flores llevan mis mas sincera disculpa y mi deseo de volver a verte sonreir. Lamento lo sucedido. 
Te amo demasiado</t>
  </si>
  <si>
    <t xml:space="preserve">Fray David </t>
  </si>
  <si>
    <t xml:space="preserve">Marriaga </t>
  </si>
  <si>
    <t xml:space="preserve">Mary Carmen </t>
  </si>
  <si>
    <t>El Porvenir</t>
  </si>
  <si>
    <t>CRA 45 74-91 - Casa</t>
  </si>
  <si>
    <t>320 5928079</t>
  </si>
  <si>
    <t>Hoy descubrí el amor al final de tus besos y encontré la canción que Dios me prometió y descubrí que tú y descubrí que yo sembramos el amor y el amor floreció</t>
  </si>
  <si>
    <t xml:space="preserve">Fray David Marriaga </t>
  </si>
  <si>
    <t>adriana</t>
  </si>
  <si>
    <t>Vazques</t>
  </si>
  <si>
    <t>317 4289182</t>
  </si>
  <si>
    <t>tienda</t>
  </si>
  <si>
    <t>flores surtidas</t>
  </si>
  <si>
    <t>Aldo</t>
  </si>
  <si>
    <t>Bará Cousin</t>
  </si>
  <si>
    <t xml:space="preserve">Esmeralda Lemus / Carolina Leon </t>
  </si>
  <si>
    <t>Edificio Áncora, Cr 50 #90-61 Apto 801 - Casa</t>
  </si>
  <si>
    <t>Que tu voz siempre sea la razón de mi sonrisa</t>
  </si>
  <si>
    <t>ABC</t>
  </si>
  <si>
    <t>Daniella</t>
  </si>
  <si>
    <t>Char</t>
  </si>
  <si>
    <t xml:space="preserve">Mirza Del Valle </t>
  </si>
  <si>
    <t>Calle 87 #47-40 edf verdi apto 2B - Edificio</t>
  </si>
  <si>
    <t>Felicitaciones Michu! Porque este logro no solo es un testimonio del esfuerzo de tu hijo, sino también de tu increíble fortaleza, amor y dedicación.</t>
  </si>
  <si>
    <t>Con cariño: Liliana Rozo y Daniella Char</t>
  </si>
  <si>
    <t xml:space="preserve">Luciana </t>
  </si>
  <si>
    <t>Ripoll</t>
  </si>
  <si>
    <t>Luciana Ripoll</t>
  </si>
  <si>
    <t>Apto 303 - Edificio</t>
  </si>
  <si>
    <t>1× Marquito 12 Rosas</t>
  </si>
  <si>
    <t xml:space="preserve">Feliz cumpleaños, eres la mejor mamá y esposa del mundo. Te amamos 
</t>
  </si>
  <si>
    <t xml:space="preserve">Con cariño, Iván y Luciana </t>
  </si>
  <si>
    <t xml:space="preserve">Vásquez </t>
  </si>
  <si>
    <t xml:space="preserve">Mayo </t>
  </si>
  <si>
    <t>Cra 58#84-214 - Casa</t>
  </si>
  <si>
    <t xml:space="preserve">Para mi suegra favorita. La mejor de las mejores. Feliz cumpleaños. Te quiero mucho Mayo. Mil bendiciones este nuevo año. </t>
  </si>
  <si>
    <t xml:space="preserve">Cuñis </t>
  </si>
  <si>
    <t>Anggel</t>
  </si>
  <si>
    <t>Rangel</t>
  </si>
  <si>
    <t>Roxy Vanessa Ortiz Quintero</t>
  </si>
  <si>
    <t>Cra 52 #82-253 Edificio RIU 52 - Edificio</t>
  </si>
  <si>
    <t>Querida Roxy Vanessa,
¡Felicidades de todo corazón! Verte alcanzar tu grado de especialización nos llena de orgullo y alegría inmensa. Sabemos cuánto luchaste, cuánto soñaste y cuánta fuerza pusiste para lograrlo. Este triunfo es solo el inicio de todo lo grande que te espera. Te admiramos y te amamos muchísimo.</t>
  </si>
  <si>
    <t>Con todo el cariño, Tus mejores amigas Luisa y Anggel</t>
  </si>
  <si>
    <t>aracelis</t>
  </si>
  <si>
    <t>josefina henao</t>
  </si>
  <si>
    <t>clle 93#49c-186 casa - Casa</t>
  </si>
  <si>
    <t>1× Cerámica Sweet Pea</t>
  </si>
  <si>
    <t xml:space="preserve">elizabeht </t>
  </si>
  <si>
    <t>suarez</t>
  </si>
  <si>
    <t>Katia Benítez</t>
  </si>
  <si>
    <t>La Concepción</t>
  </si>
  <si>
    <t>clle 70b#41-94 clínica la asuncion maternidad hab 11</t>
  </si>
  <si>
    <t>Giselle</t>
  </si>
  <si>
    <t>María Camila Borrero</t>
  </si>
  <si>
    <t>Cra 38b #77-69 - Casa</t>
  </si>
  <si>
    <t>304 2921022</t>
  </si>
  <si>
    <t xml:space="preserve">te extraño mucho,  celebro este logro como si estuviera a tu lado. Este solo es el principio de todo lo bonito que te espera.  Te amo! Estoy feliz por ti, aunque no pueda darte el abrazo que quisiera.
</t>
  </si>
  <si>
    <t>Emege</t>
  </si>
  <si>
    <t xml:space="preserve">Álvaro </t>
  </si>
  <si>
    <t xml:space="preserve">Elles </t>
  </si>
  <si>
    <t>Marly Angulo</t>
  </si>
  <si>
    <t>adela de char</t>
  </si>
  <si>
    <t>Calle 21c #10-27 2 etapa - Casa</t>
  </si>
  <si>
    <t>1× Marquito Girasol</t>
  </si>
  <si>
    <t xml:space="preserve">Honestamente, que te hayas recuperado me sabe a… Gloria. Te quiero mucho. </t>
  </si>
  <si>
    <t>Ana Lucia</t>
  </si>
  <si>
    <t>entrega en tienda</t>
  </si>
  <si>
    <t>bouquet surtido pastel</t>
  </si>
  <si>
    <t xml:space="preserve">Tarjeta Credito </t>
  </si>
  <si>
    <t>Alberto</t>
  </si>
  <si>
    <t>Rojas</t>
  </si>
  <si>
    <t>Sergio</t>
  </si>
  <si>
    <t>Mantilla</t>
  </si>
  <si>
    <t>Katia De Aguas</t>
  </si>
  <si>
    <t>Apto 504 T2 Conjunto Tucán calle 114 #42-300 - Conjunto</t>
  </si>
  <si>
    <t>Cada 28 de Noviembre pienso en ti, Hoy quise regalarte algo que siempre te ha hecho feliz. 
Ojalá estas flores te abracen un poquito por mí. 
Feliz cumpleaños.</t>
  </si>
  <si>
    <t>Sergio M</t>
  </si>
  <si>
    <t>Valery</t>
  </si>
  <si>
    <t>Mendoza</t>
  </si>
  <si>
    <t>Salemh Coronado</t>
  </si>
  <si>
    <t>Alfonso López</t>
  </si>
  <si>
    <t>Calle 47C #21c-12</t>
  </si>
  <si>
    <t>Santiago</t>
  </si>
  <si>
    <t>Florez</t>
  </si>
  <si>
    <t xml:space="preserve">Libia Payan </t>
  </si>
  <si>
    <t>El Limoncito</t>
  </si>
  <si>
    <t>Calle 85a#73-44 - Casa</t>
  </si>
  <si>
    <t>Ronald</t>
  </si>
  <si>
    <t>Barrios</t>
  </si>
  <si>
    <t>ronald</t>
  </si>
  <si>
    <t>flora - Entrega en tienda</t>
  </si>
  <si>
    <t>barrios</t>
  </si>
  <si>
    <t>Natalia Torres</t>
  </si>
  <si>
    <t>torre 5 apto 104 - Conjunto</t>
  </si>
  <si>
    <t>Querida Naty, culminas tu internado y nuestro corazón no puede sentirse más orgulloso. Tu esfuerzo y entrega  te han llevado a ello. Gracias por demostrarnos que los sueños se alcanzan con disciplina y valentía. Te celebramos, te admiramos y te acompañamos siempre. ¡Felicidades por este gran logro, te amamos doctora!</t>
  </si>
  <si>
    <t>Con amor, Andre sofy Elkin y Ely</t>
  </si>
  <si>
    <t xml:space="preserve">Adrián </t>
  </si>
  <si>
    <t>tovar</t>
  </si>
  <si>
    <t>Maria Victoria villalobos</t>
  </si>
  <si>
    <t>Cra. 47 #100 - 144 apto 1002 A - Edificio</t>
  </si>
  <si>
    <t>1× Bouquet 100 Rosas Rojas</t>
  </si>
  <si>
    <t xml:space="preserve">feliz cumpleaños que dios te bendiga, espero que todos tus sueños se estén cumpliendo. Quise darte este detalle, pequeño comparado con todo lo que algún día quise hacer por ti.
</t>
  </si>
  <si>
    <t>Adrian Tovar</t>
  </si>
  <si>
    <t>ver whatsapp rosas rosadas, adicion cinta</t>
  </si>
  <si>
    <t>Eliana</t>
  </si>
  <si>
    <t>Valdeblanquez</t>
  </si>
  <si>
    <t>Dra Sara Solano</t>
  </si>
  <si>
    <t>CRA 45 #99c- 94 torre 4 piso 5 apto 513 conjunto residencial portal de miramar</t>
  </si>
  <si>
    <t>301 5304081</t>
  </si>
  <si>
    <t xml:space="preserve">Johana </t>
  </si>
  <si>
    <t xml:space="preserve">toscano </t>
  </si>
  <si>
    <t>johana toscano</t>
  </si>
  <si>
    <t>Carrera 49c # 74-144  Restoration Church - Casa</t>
  </si>
  <si>
    <t>Sully : le voy gracias a Dios por ser tan incondicional para mi vida y ministerio 
Le pido al Señor que cada día sea añadiendo más de se amor, favor y gracias 
Que siempre guarde ese hermoso corazón que tienes 
Y nunca olvides que te amo mucho 🌷</t>
  </si>
  <si>
    <t xml:space="preserve">liliana </t>
  </si>
  <si>
    <t>logreira</t>
  </si>
  <si>
    <t>ingrid logreira</t>
  </si>
  <si>
    <t>José Antonio Galán</t>
  </si>
  <si>
    <t>cra 2#35-35 casa 104 villa linda /galán - Conjunto</t>
  </si>
  <si>
    <t>BOUQUET DE MINI CALAS BLANCAS ,NOVIA</t>
  </si>
  <si>
    <t>Darly</t>
  </si>
  <si>
    <t>Altamar</t>
  </si>
  <si>
    <t>Mia</t>
  </si>
  <si>
    <t>Cra 59b no 94-180 Casa esquina - Casa</t>
  </si>
  <si>
    <t>Feliz Cumpleaños Mia! Que hoy sea un día maravilloso. Gracias por ser tan especial. 
Te quiero mucho.</t>
  </si>
  <si>
    <t>Samuel</t>
  </si>
  <si>
    <t xml:space="preserve">Laura </t>
  </si>
  <si>
    <t xml:space="preserve">Jimenez </t>
  </si>
  <si>
    <t xml:space="preserve">Natalia Ruiz </t>
  </si>
  <si>
    <t>Carrera 47#100-144  Alameda Towers. Torre B apto: 1504 - Edificio</t>
  </si>
  <si>
    <t xml:space="preserve">Feliz cumpleaños para nuestra exreina y presentadora oficial. Gracias por tu compromiso y entrega con el Carnaval de la 44. </t>
  </si>
  <si>
    <t>Organización Carnaval de la 44</t>
  </si>
  <si>
    <t>Lorena</t>
  </si>
  <si>
    <t>Cervantes Sanabria</t>
  </si>
  <si>
    <t xml:space="preserve">Mariapaz Ariza Cervantes </t>
  </si>
  <si>
    <t>Casa - Casa</t>
  </si>
  <si>
    <t>1× Bouquet Flora Antique</t>
  </si>
  <si>
    <t>Querida Coshy, estamos muy orgullosos de ti. Que sigas creciendo con ese corazón dulce, soñador y lleno de magia. Nunca dejes de reír, de aprender y de brillar como la estrellita que eres 🌟
Este es solo el comienzo de muchas aventuras más. ¡Felicidades por tu grado, princesa! 🎓💗
Con todo nuestro amor 💞</t>
  </si>
  <si>
    <t>De tu tía y hermana.</t>
  </si>
  <si>
    <t>Shirly Milena</t>
  </si>
  <si>
    <t>Sola Narvaez</t>
  </si>
  <si>
    <t>AINNARA YEPES</t>
  </si>
  <si>
    <t>Calle 53D # 24_78 - Casa</t>
  </si>
  <si>
    <t>321 8856593</t>
  </si>
  <si>
    <t>Y por fin hoy llegó el día que tanto soñaste.
Hoy cierras una etapa de tu vida y abres otra llena de posibilidades. No imaginas lo orgullosa que me siento de ti, de todo lo que has logrado y de todo lo que has sabido superar con valentía.
Recuerda siempre que este es solo el comienzo de todo lo que puedes alcanzar. El cielo es el límite, mi amor.
Sueña en grande, sin miedo, con el corazón lleno de esperanza… y no olvides que yo seré siempre tu espectadora número uno, acompañándote, aplaudiéndote y queriéndote en cada paso
Te amo con el corazon
Tu tia Tilly</t>
  </si>
  <si>
    <t>Shirly zola</t>
  </si>
  <si>
    <t>isabella</t>
  </si>
  <si>
    <t>felfle fernandez de castro</t>
  </si>
  <si>
    <t>Isabela Salas</t>
  </si>
  <si>
    <t>Calle 133 # 52-48, Conjunto Las Trinitarias, Casa 5 - Conjunto</t>
  </si>
  <si>
    <t>Iso, que emoción verte vivir este día tan especial. El cielo está de fiesta, con una sonrisa y acompañándote every step of the way. Hoy comienzas una etapa llena de amor, complicidad y todas las cosas bonitas que te mereces. Pavel se lleva a la del corazón mas lindo! 
Les deseo felicidad infinita!</t>
  </si>
  <si>
    <t>Love you, Isa Felfle♡</t>
  </si>
  <si>
    <t>Angela</t>
  </si>
  <si>
    <t>Riveros</t>
  </si>
  <si>
    <t>Claudia Carvajales</t>
  </si>
  <si>
    <t>Cl. 81 #57-56 - Edificio</t>
  </si>
  <si>
    <t>A la mejor mamá y esposa del mundo, Feliz Cumpleaños ❤️</t>
  </si>
  <si>
    <t xml:space="preserve">Ricardo </t>
  </si>
  <si>
    <t xml:space="preserve">Martinez Yepes </t>
  </si>
  <si>
    <t xml:space="preserve">Ricardo Martinez </t>
  </si>
  <si>
    <t>Estamos felices por tu llegada y poder compartir el tiempo contigo 🩷
Te amamos</t>
  </si>
  <si>
    <t xml:space="preserve">Con cariño, Ricky y Angie </t>
  </si>
  <si>
    <t>Arenas Gallo</t>
  </si>
  <si>
    <t>Isa Salas</t>
  </si>
  <si>
    <t>Recoger en tienda - Entrega en tienda</t>
  </si>
  <si>
    <t>00000</t>
  </si>
  <si>
    <t>1× Bouquet Orquidea</t>
  </si>
  <si>
    <t>A mi madrina “Ida”, Hoy camino contigo en un día muy especial. Gracias por darme la mano y por quererme tanto. Te quiero mucho.</t>
  </si>
  <si>
    <t>Luca</t>
  </si>
  <si>
    <t>Adolfo</t>
  </si>
  <si>
    <t xml:space="preserve">Marín </t>
  </si>
  <si>
    <t>Yerine Cardona</t>
  </si>
  <si>
    <t>Cra 66B 66 - 60 - Edificio</t>
  </si>
  <si>
    <t>Tu esposo</t>
  </si>
  <si>
    <t xml:space="preserve">Aldo </t>
  </si>
  <si>
    <t xml:space="preserve">Barreto Velásquez </t>
  </si>
  <si>
    <t>Barreto Velásquez</t>
  </si>
  <si>
    <t>que en la tarjeta le pongan 
DE: Naiked y Chris 
PARA: Tati</t>
  </si>
  <si>
    <t>DE: Naiked y Chris  PARA: Tati</t>
  </si>
  <si>
    <t xml:space="preserve">Luis Carlos </t>
  </si>
  <si>
    <t>Moreno</t>
  </si>
  <si>
    <t>Soad Askar Akle</t>
  </si>
  <si>
    <t>Edificio Central Park Carrera 64 # 99-100  Apto 211 - Edificio</t>
  </si>
  <si>
    <t>Mi amor bonito cordón de tres dobleces no lo separa el ser humano. 
Quiero que sepas que tú eres mi decisión y quiero celebrar todos tus cumpleaños y deseos hasta que Dios nos lleve a su gloria. 
Te amo y cuidaré de ti siempre</t>
  </si>
  <si>
    <t xml:space="preserve">Luis Carlos Moreno </t>
  </si>
  <si>
    <t>Sebastian</t>
  </si>
  <si>
    <t>Guzman</t>
  </si>
  <si>
    <t>Maria Alejandra Molina</t>
  </si>
  <si>
    <t>Feliz cumpleaños mi amor, que sean muchos mas a tu lado. Te amo!</t>
  </si>
  <si>
    <t>Con mucho amor, Sebastian Guzman</t>
  </si>
  <si>
    <t>Jorge</t>
  </si>
  <si>
    <t>Barona</t>
  </si>
  <si>
    <t>Maria Isabella Falquez</t>
  </si>
  <si>
    <t>Cra 58 74-100 - Casa</t>
  </si>
  <si>
    <t>1× Flora Box Grande 36 Rosas</t>
  </si>
  <si>
    <t xml:space="preserve">Feliz cumpleaños MIFJ, que Dios te regale muchas bendiciones, salud y vida para que puedas alcanzar todo lo que te mereces y seas muy feliz. </t>
  </si>
  <si>
    <t xml:space="preserve">Jorge B. </t>
  </si>
  <si>
    <t>Feliz cumpleaños MIFJ, que Dios te regale muchas bendiciones, salud y vida para que puedas alcanzar todo lo que te mereces y seas muy feliz.</t>
  </si>
  <si>
    <t>Jonathan</t>
  </si>
  <si>
    <t>Ruedas</t>
  </si>
  <si>
    <t>Irene Gamarra Reales</t>
  </si>
  <si>
    <t>Calle 53 #26B - 05 - Casa</t>
  </si>
  <si>
    <t>1× Bouquet Flora Antique | 1× Ferrero Rocher 8 und | 1× Oso de Peluche</t>
  </si>
  <si>
    <t>Felicidades mi amor, perdon por no poder acompañarte en este dia tan especial. Te amo!
Atentamente:
El Astronauta</t>
  </si>
  <si>
    <t xml:space="preserve">El Astronauta </t>
  </si>
  <si>
    <t xml:space="preserve">sara </t>
  </si>
  <si>
    <t xml:space="preserve">pinto </t>
  </si>
  <si>
    <t xml:space="preserve">fabián olivella </t>
  </si>
  <si>
    <t>tv 3b #23 - 200, balcones de villa campestre, t4 apto 1201 - Edificio</t>
  </si>
  <si>
    <t>tu hermana te ama con todo el corazón Blondie Josefina🩵</t>
  </si>
  <si>
    <t xml:space="preserve">Josie Enrique </t>
  </si>
  <si>
    <t>Primo Castro</t>
  </si>
  <si>
    <t xml:space="preserve">María Gabriela Palma Durán </t>
  </si>
  <si>
    <t>La Campiña</t>
  </si>
  <si>
    <t>Cra 45 n 85 154 - Edificio</t>
  </si>
  <si>
    <t>¡Felices 15 Mary!  Que papito Dios te llene de muchas Bendiciones, Disfruta tus 15 primaveras. ¡Te queremos!</t>
  </si>
  <si>
    <t xml:space="preserve">De Josie y Laura. </t>
  </si>
  <si>
    <t>Fanny</t>
  </si>
  <si>
    <t xml:space="preserve">Bayona palacio </t>
  </si>
  <si>
    <t xml:space="preserve">Linda Zabaleta </t>
  </si>
  <si>
    <t>Cra 55 N 80 104 - Edificio</t>
  </si>
  <si>
    <t>1× Cerámica Orquidea Aire</t>
  </si>
  <si>
    <t>Mi Linda Nana…Hoy celebras un logro que nace de tu esfuerzo, tu disciplina y tu corazón por servir. Me llena de orgullo verte culminar esta etapa como conciliadora incluyente, demostrando siempre tu compromiso y tu calidad humana.
Que esta ceremonia simbólica sea solo el inicio de todo lo grande que te espera.
¡Felicidades! Siempre voy a estar apoyándote y celebrando tus triunfos.Tqm Fanny y tu sobrino JorgeMario 🌺♥️</t>
  </si>
  <si>
    <t xml:space="preserve">Elimer </t>
  </si>
  <si>
    <t xml:space="preserve">Nuñez </t>
  </si>
  <si>
    <t xml:space="preserve">Linda callejas </t>
  </si>
  <si>
    <t>Conjunto silbador Alameda  T11-503 - Conjunto</t>
  </si>
  <si>
    <t>(301) 425-4024</t>
  </si>
  <si>
    <t>Una ofrenda para alguien que afirma no saber bailar pero logra hacer que una noche para mi, tenga tanto ritmo.</t>
  </si>
  <si>
    <t xml:space="preserve">Elimer Núñez </t>
  </si>
  <si>
    <t xml:space="preserve">Sol </t>
  </si>
  <si>
    <t>Dulanto</t>
  </si>
  <si>
    <t>Adela Char</t>
  </si>
  <si>
    <t>Cra 57 #84-118 - Casa</t>
  </si>
  <si>
    <t>1× Flora Box Grande Pastel</t>
  </si>
  <si>
    <t>Happy bday to our numba one Bomboclat Gatita!! love and miss you from Norway to Madrid to New York to Bquilla &lt;3
- Maria (pumkin spice), Ella (white chocolate), Sol(encanelado)</t>
  </si>
  <si>
    <t>Maria, Ella, Sol</t>
  </si>
  <si>
    <t xml:space="preserve">Ana Karina </t>
  </si>
  <si>
    <t xml:space="preserve">Gómez Tapia </t>
  </si>
  <si>
    <t xml:space="preserve">Yarith Nicol Gomez </t>
  </si>
  <si>
    <t>Carrera 12H 66-101 - Casa</t>
  </si>
  <si>
    <t xml:space="preserve">Mantantial,soledad </t>
  </si>
  <si>
    <t>Con mucho amor,Nana ❤️‍🩹</t>
  </si>
  <si>
    <t>Mantantial,soledad</t>
  </si>
  <si>
    <t>Ricardo A</t>
  </si>
  <si>
    <t>Vives Torres</t>
  </si>
  <si>
    <t xml:space="preserve">Luisa Moreno </t>
  </si>
  <si>
    <t>TV 44 # 102-167, conjunto Siena, Torre 1, apto 209 - Conjunto</t>
  </si>
  <si>
    <t>Feliz cumpleaños, hermosa.
Gracias por ser una mujer tan maravillosa y por regalarme el mejor regalo de mi vida: nuestra hija.
Admiro tu fuerza, tu ternura y la forma en que llenas de luz cada día nuestro hogar.
Hoy celebramos tu vida, tu corazón amoroso y todo lo que somos juntos como familia.
Te deseo un año lleno de alegría, paz y sueños cumplidos. Eres una mujer increíble
Te amo más de lo que las palabras pueden decir. ❤️✨</t>
  </si>
  <si>
    <t xml:space="preserve">Con cariño, Ricky, tu amor </t>
  </si>
  <si>
    <t>arreglo con tonos rojos, blancos y rosados</t>
  </si>
  <si>
    <t xml:space="preserve">monica </t>
  </si>
  <si>
    <t>manga</t>
  </si>
  <si>
    <t>sara elena molina</t>
  </si>
  <si>
    <t>FUNERRIA LA PAZ VÍA PUERTO COLOMBIA - Casa</t>
  </si>
  <si>
    <t>CORONA APLIQUE</t>
  </si>
  <si>
    <t>Sebatian</t>
  </si>
  <si>
    <t>OTALORA</t>
  </si>
  <si>
    <t>gabriel  otalara</t>
  </si>
  <si>
    <t>lucas 52 - Edificio</t>
  </si>
  <si>
    <t xml:space="preserve">Sebastian </t>
  </si>
  <si>
    <t>Andrade Andrade</t>
  </si>
  <si>
    <t xml:space="preserve">Isabella Gonzalez </t>
  </si>
  <si>
    <t>Calle 99 #56-48 Edif Santillana Apto 1506 - Edificio</t>
  </si>
  <si>
    <t xml:space="preserve">Feliz Aniversario flaca, siempre agradecido por tenerte. Te amo. 
 </t>
  </si>
  <si>
    <t xml:space="preserve">Con amor, Sebastian. </t>
  </si>
  <si>
    <t>Feliz Aniversario flaca, siempre agradecido por tenerte. Te amo.</t>
  </si>
  <si>
    <t xml:space="preserve">gabriela </t>
  </si>
  <si>
    <t>lobo</t>
  </si>
  <si>
    <t xml:space="preserve">Valentina consuegra </t>
  </si>
  <si>
    <t>mallorquin</t>
  </si>
  <si>
    <t>cll 1d #21-40 conjunto palmar de la cienaga torre 3 apart 1002 - Conjunto</t>
  </si>
  <si>
    <t>Feliz cumpleaños, morchis. Que estas flores te recuerden lo especial, hermosa y única que eres para mí. Gracias por llenar mi vida de tanta alegría. Te amo.</t>
  </si>
  <si>
    <t>Con amor. Edgar Theran.</t>
  </si>
  <si>
    <t>Simon</t>
  </si>
  <si>
    <t>Hakim</t>
  </si>
  <si>
    <t>Salwa Chahin</t>
  </si>
  <si>
    <t>Cra 59 # 81-149 piso 4 edificio Lenox - Edificio</t>
  </si>
  <si>
    <t>Feliz mes mi amor, gracias por ser tan especial, por hacerme tan feliz y por permitirme vivir esto contigo, por este y muchos más a tu lado.</t>
  </si>
  <si>
    <t>Con cariño, Simon Hakim. 2 de diciembre de 2025</t>
  </si>
  <si>
    <t xml:space="preserve">Loraine </t>
  </si>
  <si>
    <t xml:space="preserve">Arias </t>
  </si>
  <si>
    <t xml:space="preserve">Wileidi Peralta </t>
  </si>
  <si>
    <t>Calle 98# 65a-54 Conjunto residencial brisas del rio  Torre 3 Apto 704 - Edificio</t>
  </si>
  <si>
    <t>Él les enjugará toda lágrima de los ojos. Ya no habrá muerte, ni llanto, ni lamento ni dolor, porque las primeras cosas han dejado de existir».
El que estaba sentado en el trono dijo: «¡Yo hago nuevas todas las cosas!»
- Apocalipsis 21:4-5
Te amamos hermana</t>
  </si>
  <si>
    <t xml:space="preserve">Loraine y Rochy </t>
  </si>
  <si>
    <t>Natalie</t>
  </si>
  <si>
    <t>Valle</t>
  </si>
  <si>
    <t>Sara De La Hoz</t>
  </si>
  <si>
    <t>Cl 72 #54-35, Nte. Centro Historico, Barranquilla, Atlántico, Colombia - Oficina</t>
  </si>
  <si>
    <t>Saraisa: 
Feliz cumpleaños, deseo que seas feliz hoy y siempre. Un abrazo y un te amo a la distancia.
Como dijo la Taylor “Thank you for the lovely bouquet.” 💜</t>
  </si>
  <si>
    <t>Con amor, Natalia.</t>
  </si>
  <si>
    <t>Reguillo</t>
  </si>
  <si>
    <t>Clínica Portoazul Auna / Torre médica consultorio 801</t>
  </si>
  <si>
    <t>Carrera 30 corredor universitario 1-850 consultorio 801 Torre médica clínica Portoazul - Oficina</t>
  </si>
  <si>
    <t>¡Feliz cumpleaños Sra. Karen! Le deseamos un año lleno de éxitos, bendiciones, salud alegrías y grandes logros. Gracias por su     liderazgo y apoyo constante.
La queremos mucho.</t>
  </si>
  <si>
    <t xml:space="preserve">Equipo Corpoplastic </t>
  </si>
  <si>
    <t>MILTON</t>
  </si>
  <si>
    <t>MUNIZ</t>
  </si>
  <si>
    <t xml:space="preserve">Lilibeth pana </t>
  </si>
  <si>
    <t>Abajo</t>
  </si>
  <si>
    <t>Calle 53 # 46-132 centro comercial portal del prado. Oficina de la estación de taxis transportal - Oficina</t>
  </si>
  <si>
    <t>Bella lili,
Con estas flores quiero recordarte, como cada mes, cuánto te pienso y cuánto te valoro. Pero este diciembre tiene algo especial: es un mes de luz, de cierre, de agradecimiento… y yo le doy gracias a la vida por tenerte a mi lado.
Ha sido un camino súper lindo a tu lado y los minutos pasan y son cada vez mejor. Quiero y deseo que  estas flores te acompañen y te recuerden que eres mi calma, mi alegría y mi mejor regalo del año. Cada pétalo lleva un pedacito de mi cariño, de mis ganas de cuidarte y de mi ilusión por todo lo que viene para nosotros.
Te quiero Lilibeth Patricia,
Milton jajajaja. O Luis jajajjsja</t>
  </si>
  <si>
    <t xml:space="preserve">Milton </t>
  </si>
  <si>
    <t xml:space="preserve">Gyc </t>
  </si>
  <si>
    <t>Medicals sas</t>
  </si>
  <si>
    <t>Paola duran</t>
  </si>
  <si>
    <t>Cra 65#99-20 torre 2 apt 404 - Conjunto</t>
  </si>
  <si>
    <t>Hija felicitaciones por tu presentación, brillas con luz propia</t>
  </si>
  <si>
    <t>Transferencia Payu</t>
  </si>
  <si>
    <t>Papa</t>
  </si>
  <si>
    <t>Dos bouquet uno de rosas y otro de flores distintas que cuesten aproximadamente 70.000 cada uno</t>
  </si>
  <si>
    <t>Andres</t>
  </si>
  <si>
    <t xml:space="preserve">Ospino </t>
  </si>
  <si>
    <t xml:space="preserve">Yésica Molina </t>
  </si>
  <si>
    <t>CC ÚNICO, oficinas de megatiendas. Preguntar por personal de suministro oficinas del segundo piso - Centro Comercial</t>
  </si>
  <si>
    <t>Pensé en ti hoy, Espero que estas flores te recuerden lo valiosa que eres. 💝TE AMO💝</t>
  </si>
  <si>
    <t>AO💙</t>
  </si>
  <si>
    <t>alexander</t>
  </si>
  <si>
    <t xml:space="preserve">FURNIELES </t>
  </si>
  <si>
    <t>María Camila Furnieles Dávila</t>
  </si>
  <si>
    <t>Via 40#67b-63 - Oficina</t>
  </si>
  <si>
    <t>Las favoritas de mi persona favorita
Te adoro</t>
  </si>
  <si>
    <t xml:space="preserve">Natalia </t>
  </si>
  <si>
    <t>Rodríguez Peña</t>
  </si>
  <si>
    <t>Helena Marriott</t>
  </si>
  <si>
    <t>Salón Jumbo Country Club Barranquilla - Centro Comercial</t>
  </si>
  <si>
    <t xml:space="preserve">Te amamos hija. </t>
  </si>
  <si>
    <t xml:space="preserve">Con amor, papá, mamá y baby. </t>
  </si>
  <si>
    <t>Buquette tonos rosa para niña de 4 años.</t>
  </si>
  <si>
    <t>Jessica</t>
  </si>
  <si>
    <t>Sanchez Rippe</t>
  </si>
  <si>
    <t>Olay Alvarez</t>
  </si>
  <si>
    <t>Cra 44b no 96-78 - Casa</t>
  </si>
  <si>
    <t>Familia Alvarez,
Confiamos en que Jehová les dará la paz necesaria mientras esperamos ver cumplida su promesa (Job 14:15). 
Deseamos compartir con el hermano Olay muy pronto en el Paraíso para escuchar sus valiosas historias de servicio y disfrutar juntos de la vida eterna aquí en la Tierra.
Los queremos mucho,
Samito y Jessi Farah</t>
  </si>
  <si>
    <t>Samito y Jessi Farah</t>
  </si>
  <si>
    <t>surtidas en flores blancas</t>
  </si>
  <si>
    <t>Julianna</t>
  </si>
  <si>
    <t>Montoya garcia</t>
  </si>
  <si>
    <t xml:space="preserve">Luz Stella Montoya </t>
  </si>
  <si>
    <t>Carrera 58 # 82-84. Apto. 8 B. Edificio Ávalon - Edificio</t>
  </si>
  <si>
    <t>Payi y Chiqui
Celebrar 50 años de amor verdadero es un regalo para todos los que los queremos. Que Dios siga bendiciendo su unión y llenando sus días de salud, alegría y compañía. 
¡Feliz Aniversario!</t>
  </si>
  <si>
    <t xml:space="preserve">Los Montoya García </t>
  </si>
  <si>
    <t>Jhonny</t>
  </si>
  <si>
    <t xml:space="preserve">Arzuza </t>
  </si>
  <si>
    <t>Jhonny Arzuza</t>
  </si>
  <si>
    <t>Calle 112#42-19 torre 41 apto 504 - Conjunto</t>
  </si>
  <si>
    <t xml:space="preserve">Sólo tú eres. Tú, mi desventura y mi ventura, inagotable y pura. </t>
  </si>
  <si>
    <t>Sólo tú eres. Tú, mi desventura y mi ventura, inagotable y pura.</t>
  </si>
  <si>
    <t>Alice</t>
  </si>
  <si>
    <t>Vilenski</t>
  </si>
  <si>
    <t>Catalina Zuleta</t>
  </si>
  <si>
    <t>Calle 80 #55-78 Edifiico Belagio alto 16 - Edificio</t>
  </si>
  <si>
    <t>1× Flora Box Grande Orquídea</t>
  </si>
  <si>
    <t>Feliz Navidad. Les mandamos un fuerte abrazo. Estamos pensando mucho en ustedes. Les deseamos mucha fuerza y salud en este año nuevo. 
Con mucho amor y cariño,
Andrea S, Camelia, Danelle, Sarah, Andrea Y, Pri, Sofia, Galia, y Alice</t>
  </si>
  <si>
    <t>Transferencia Paypal</t>
  </si>
  <si>
    <t>Con mucho amor y cariño, Andrea S, Camelia, Danelle, Sarah, Andrea Y, Pri, Sofia, Galia, y Alice</t>
  </si>
  <si>
    <t>Duzmary</t>
  </si>
  <si>
    <t xml:space="preserve"> Sanjuan </t>
  </si>
  <si>
    <t>Vava (Valeria Tarra)</t>
  </si>
  <si>
    <t>Carrera 43B #112-89  T 3  apto 501 Conjunto Zafiro - Conjunto</t>
  </si>
  <si>
    <t>1× Flora Box Mediana Welcome Baby + Topper</t>
  </si>
  <si>
    <t>“Vale, celebramos este logro con el corazón lleno de orgullo y alegría y mucha  satisfacción. Caminaste con valentía,con arrojo, amor y entrega, pero sobretodo  con la  guía  de Dios acompañándote y con el amor de tu familia apoyándote  siempre cerca. Hoy brillamos contigo. ¡Felicidades en tu grado!”
Nuestra 'Vava"</t>
  </si>
  <si>
    <t xml:space="preserve">María </t>
  </si>
  <si>
    <t xml:space="preserve">Orozco </t>
  </si>
  <si>
    <t xml:space="preserve">Kissis Hernández </t>
  </si>
  <si>
    <t>La Unión</t>
  </si>
  <si>
    <t>Calle 31 #13c - 29 - Casa</t>
  </si>
  <si>
    <t>301 5856566</t>
  </si>
  <si>
    <t>Siempre que esté presente en tu vida serás complacida.
Feliz cumpleaños, Te amo ❤️
Taylor Swift -The Fate of Ophelia</t>
  </si>
  <si>
    <t xml:space="preserve">Valeria </t>
  </si>
  <si>
    <t xml:space="preserve">Mejía </t>
  </si>
  <si>
    <t>Valeria Mejia</t>
  </si>
  <si>
    <t>El Tabor</t>
  </si>
  <si>
    <t>Carrera 42h #90-99 - Oficina</t>
  </si>
  <si>
    <t>Feliz día Pechy 
 “Sigue así”</t>
  </si>
  <si>
    <t xml:space="preserve">Angie </t>
  </si>
  <si>
    <t xml:space="preserve">Prieto </t>
  </si>
  <si>
    <t xml:space="preserve">Angie Prieto </t>
  </si>
  <si>
    <t>Paraíso</t>
  </si>
  <si>
    <t>Cra 65 no 78 23 - Casa</t>
  </si>
  <si>
    <t>Eres muy especial para mí, te mereces esto y mucho más!!</t>
  </si>
  <si>
    <t xml:space="preserve">Andrés  </t>
  </si>
  <si>
    <t xml:space="preserve">Rocha </t>
  </si>
  <si>
    <t>Shaira padro</t>
  </si>
  <si>
    <t>Ciudad mallorquin apt 304 - Edificio</t>
  </si>
  <si>
    <t>Te envío este mini box de flores de colores Para que siempre recuerdes que le das color a mi vida en los momentos que más te he necesitado, te amo de aquí a andromeda.  Eres la mujer más especial que he conocido 
De parte de : anónimo</t>
  </si>
  <si>
    <t>Arnold</t>
  </si>
  <si>
    <t>Merino</t>
  </si>
  <si>
    <t>Michel Durán Contreras</t>
  </si>
  <si>
    <t>Cra 14 #36b-04, local 2, al lado de tienda Mumek</t>
  </si>
  <si>
    <t xml:space="preserve">Jonathan </t>
  </si>
  <si>
    <t>Castro martinez</t>
  </si>
  <si>
    <t xml:space="preserve">Sura Protal Genovez urgencias </t>
  </si>
  <si>
    <t>sabanilla</t>
  </si>
  <si>
    <t>Carrera 24 # 1A-104  lote C1 - Oficina</t>
  </si>
  <si>
    <t>(301) 293-0040</t>
  </si>
  <si>
    <t>1× Virgen Guadalupe o Milagrosa Grande | 1× Topper Happy Birthday</t>
  </si>
  <si>
    <t>Feliz cumpleaños Carmencita pollooo 
Te queremos mucho, te presente que eres una persona maravillosa en nuestras vidas que Dios te bendiga y que cumplas muchos años más… 
Con mucho cariño tus amigos los pediatras</t>
  </si>
  <si>
    <t xml:space="preserve">Álvaro Mestre, Massiel Prado y Jonathan Castro </t>
  </si>
  <si>
    <t>Valery Nicolle</t>
  </si>
  <si>
    <t>Galofre Ruiz</t>
  </si>
  <si>
    <t>Beatriz Ariza</t>
  </si>
  <si>
    <t>Moderno</t>
  </si>
  <si>
    <t>Cra 23B #40-52 - Casa</t>
  </si>
  <si>
    <t>1× Ancheta Pink</t>
  </si>
  <si>
    <t>Feliz cumpleaños mujer bella, Dios te bendiga hoy y siempre, larga vida y salud, te amamos mucho, felicidades en tu lindo día, Besos y Abrazos.</t>
  </si>
  <si>
    <t>Familia Galofre Ruiz</t>
  </si>
  <si>
    <t>Sandra</t>
  </si>
  <si>
    <t>Nunez</t>
  </si>
  <si>
    <t>Rosalba vallejo</t>
  </si>
  <si>
    <t>Los Olivos I</t>
  </si>
  <si>
    <t>Calle 110 #14a 132 - Casa</t>
  </si>
  <si>
    <t>Feliz aniversario Vita</t>
  </si>
  <si>
    <t>Paco</t>
  </si>
  <si>
    <t>Gamba</t>
  </si>
  <si>
    <t xml:space="preserve">María Morera </t>
  </si>
  <si>
    <t>Puerto colombia</t>
  </si>
  <si>
    <t>María Soledad Morera Cardenas  Km 3 vía salgar #13-45 casa 32 condominio pie lago - Conjunto</t>
  </si>
  <si>
    <t>Mamita Dios te conceda hoy y siempre muchas bendiciones, todos los días pido a Dios te conserve junto a mi lado siempre Mamita te amo!!! Feliz cumpleaños 🎁Eres mi ejemplo a seguir y mi motor de motivación diaria !!!!</t>
  </si>
  <si>
    <t xml:space="preserve">Tu Hija </t>
  </si>
  <si>
    <t>Juan felipe</t>
  </si>
  <si>
    <t>Rueda prentt</t>
  </si>
  <si>
    <t>María José ballesteros</t>
  </si>
  <si>
    <t>puerto dorada</t>
  </si>
  <si>
    <t>Cl. 100 #18Sur-100,conjunto isla torre 13 apt 1151 barranquilla - Conjunto</t>
  </si>
  <si>
    <t>Mi reina en este aniversario quiero recordarte lo especial que eres para mí. Cada día contigo es un regalo, y mi amor por ti crece más con el tiempo. Gracias por ser mi todo. Te amo más allá de las palabras. 03💜</t>
  </si>
  <si>
    <t xml:space="preserve">Juan felipe Rueda </t>
  </si>
  <si>
    <t>Erick</t>
  </si>
  <si>
    <t>Bockelmann</t>
  </si>
  <si>
    <t>Susan Bockelmann</t>
  </si>
  <si>
    <t>Carrera 52#86-57. Apto. 503. Torre B. - Edificio</t>
  </si>
  <si>
    <t>Flaca bella. Hace quince años mi vida cambió al verte por primera vez. Le doy gracias a Dios por tener una hija tan maravillosa y deseo que tengas una vida plena y feliz en esta nueva etapa.</t>
  </si>
  <si>
    <t>Tú papá.</t>
  </si>
  <si>
    <t>STEPHANIE</t>
  </si>
  <si>
    <t>JIMENEZ</t>
  </si>
  <si>
    <t xml:space="preserve">YULIKA HENRIQUEZ </t>
  </si>
  <si>
    <t>Transv 44 #102-167. Edificio siena,  apto 236 torre 4 - Edificio</t>
  </si>
  <si>
    <t>Mi Cuatacha, ¡qué alegría tan grande sentimos por ti! 
Tu Tesis Laureada no es solo un reconocimiento académico, es la evidencia viva de todo lo que Dios ha sembrado en tu corazón: valentía, constancia, sabiduría y una fe que te sostiene incluso en los días difíciles.
Hoy celebramos contigo este triunfo que sabes que es más que merecido. Dios te vio cuando nadie más lo hacía: tus desvelos, tus lágrimas silenciosas y escuchó tus oraciones pidiendo fuerzas. Y hoy Él honra tu esfuerzo de una manera hermosa. ¡¡Felicitaciones!!</t>
  </si>
  <si>
    <t>Tephie &amp; Sebas</t>
  </si>
  <si>
    <t>gabriela</t>
  </si>
  <si>
    <t>Abuchabe</t>
  </si>
  <si>
    <t>gabriela Abuchabe</t>
  </si>
  <si>
    <t>flore surtidas</t>
  </si>
  <si>
    <t>Andrea Torres</t>
  </si>
  <si>
    <t>Cra 30a No 1b-245 apto 1008 (edificios paradise living -  blancos al lado de porto azul) - Edificio</t>
  </si>
  <si>
    <t>Camila 
Hoy culminas una etapa que has construido con esfuerzo, dedicación y valentía. Me llena de orgullo verte alcanzar tus metas y seguir tus sueños con tanta determinación.
Gracias por permitirme acompañarte en este camino y por recordarme cada día que todo sacrificio vale la pena cuando se trata de ti.
Sigue adelante con la misma fuerza y corazón que te caracterizan; el mundo está listo para lo que vas a lograr.
Felicidades por tu grado. Estoy inmensamente orgulloso de ti.
Con todo mi amor,
Papá
Nota:
Que las rosas sean blancas !</t>
  </si>
  <si>
    <t xml:space="preserve">papá </t>
  </si>
  <si>
    <t>Leonel David</t>
  </si>
  <si>
    <t>Mendoza Daza</t>
  </si>
  <si>
    <t>María de los Ángeles</t>
  </si>
  <si>
    <t>Los Nogales</t>
  </si>
  <si>
    <t>Calle 80B # 42D - 117 - Casa</t>
  </si>
  <si>
    <t>Feliz día a la doctora más linda</t>
  </si>
  <si>
    <t>Leo</t>
  </si>
  <si>
    <t>Jose</t>
  </si>
  <si>
    <t>Claudia Barbosa</t>
  </si>
  <si>
    <t>Calle 2A No 20 61 Casa 80 - Casa</t>
  </si>
  <si>
    <t>Bienvenida amor, te extrañe mucho!</t>
  </si>
  <si>
    <t>Geraldine</t>
  </si>
  <si>
    <t xml:space="preserve">Puerta </t>
  </si>
  <si>
    <t xml:space="preserve">Diana Sampayo </t>
  </si>
  <si>
    <t>El Poblado</t>
  </si>
  <si>
    <t>Carrera 49C 84-144 - Oficina</t>
  </si>
  <si>
    <t>Aunque pasen los meses aún sigo sintiendo ese hormigueo de cuando te vi por primera vez, pero cada día se siente un poco más fuerte, y es tan bonito sentirlo,
que aunque estes conmigo te sigo viendo tan inalcanzable, es como wow, está aquí conmigo, la tengo, YO LA TENGO. 
te amo amor, feliz mes 🤍</t>
  </si>
  <si>
    <t xml:space="preserve">Con amor, Geraldine </t>
  </si>
  <si>
    <t>Jaifa</t>
  </si>
  <si>
    <t>Mezher</t>
  </si>
  <si>
    <t xml:space="preserve">Calle 76 no. 54-54, edificio Embajador primer piso </t>
  </si>
  <si>
    <t>Oficina Dr. Mezher - Oficina</t>
  </si>
  <si>
    <t>Papui hermoso, no todos los superhéroes tienen poderes y usan capas. Algunos tienen millones de horas de estudio y mucho amor por cuidar y sanar a tu familia y a los demás.</t>
  </si>
  <si>
    <t xml:space="preserve"> Te amamos Funy, Sha, Fer, Dudu, y Dudito </t>
  </si>
  <si>
    <t>Serrano</t>
  </si>
  <si>
    <t>Melissa Vilaro</t>
  </si>
  <si>
    <t>Altamira</t>
  </si>
  <si>
    <t>Calle 91 # 49 c - 46 apt 407 - Edificio</t>
  </si>
  <si>
    <t>Feliz aniversario amor, gracias por todo estos años juntos y por todo lo que me has aguantado. Te amamamos con todo nuestro corazón.</t>
  </si>
  <si>
    <t>Nicolito y Enzo</t>
  </si>
  <si>
    <t xml:space="preserve">paula </t>
  </si>
  <si>
    <t xml:space="preserve">Rodríguez </t>
  </si>
  <si>
    <t xml:space="preserve"> Alejandra vieda </t>
  </si>
  <si>
    <t>Cra. 64 #86-168, Edificio Luz Helena. - Edificio</t>
  </si>
  <si>
    <t>+34691344740‬</t>
  </si>
  <si>
    <t>¡Bienvenida al mundo Julia!
Felicidades a los nuevos papis y bendiciones para la nueva familia</t>
  </si>
  <si>
    <t>-Joshua y Paula</t>
  </si>
  <si>
    <t>se le agrega un topper welcome baby</t>
  </si>
  <si>
    <t>Ana Maria Ramos</t>
  </si>
  <si>
    <t>Cra 65 con calle 98, esquina 2 piso, Conaco - Oficina</t>
  </si>
  <si>
    <t>Viste… no era mentira 😉</t>
  </si>
  <si>
    <t xml:space="preserve">Maoricio </t>
  </si>
  <si>
    <t>Donado</t>
  </si>
  <si>
    <t>Maoricio Donado</t>
  </si>
  <si>
    <t>Juan Pablo Sora</t>
  </si>
  <si>
    <t>La Victoria</t>
  </si>
  <si>
    <t>Diagonal 15 # 45B - 71 - Casa</t>
  </si>
  <si>
    <t xml:space="preserve">If grief is what we get for loving deeply, then you know you loved well. </t>
  </si>
  <si>
    <t>Tus amigos de EsVi</t>
  </si>
  <si>
    <t>un Mini Box Hortensias y Mini Rosa,  pero todo de color blanco</t>
  </si>
  <si>
    <t xml:space="preserve">María Bernarda </t>
  </si>
  <si>
    <t xml:space="preserve">Calvano cabrales </t>
  </si>
  <si>
    <t xml:space="preserve">Vanessa Jalkh </t>
  </si>
  <si>
    <t>Calle 81 b número 64-27  Apto 103  Valle de Ordeza - Casa</t>
  </si>
  <si>
    <t>Feliz cumpleaños a una mujer maravillosa ! 
Estamos contigo en estos momentos tan difíciles , sabes que cuentas con nosotros para lo que necesites . Un gran abrazo y nuestro más sentido pésame . 
Flia : Reatiga Calvano</t>
  </si>
  <si>
    <t xml:space="preserve">Flia reatiga Calvano </t>
  </si>
  <si>
    <t>Marta</t>
  </si>
  <si>
    <t>Salvat</t>
  </si>
  <si>
    <t>Josefa lopez</t>
  </si>
  <si>
    <t>Calle 75b # 41 -87 - Edificio</t>
  </si>
  <si>
    <t>es un arreglo personalizado ver chat</t>
  </si>
  <si>
    <t xml:space="preserve">Marta Salvat </t>
  </si>
  <si>
    <t>Para mi persona favorita.
Te amo</t>
  </si>
  <si>
    <t>Amaria</t>
  </si>
  <si>
    <t>amaria</t>
  </si>
  <si>
    <t>Juan David</t>
  </si>
  <si>
    <t>Rada Tous</t>
  </si>
  <si>
    <t>Nathalia Rodríguez</t>
  </si>
  <si>
    <t>Cra 43 #95A-148 Conjunto Calle 96 Casa 6 - Conjunto</t>
  </si>
  <si>
    <t>Mi amor, Feliz Cumpleaños. Aunque no esté ahí para abrazarte en una fecha como esta, quiero que te sientas más amada que siempre. Sé que es algo tarde pero no puedo dejar pasar la ocasión para recordarte lo mucho que valoro tu amistad, jamás lo olvides. 
Nos vemos de este lado.</t>
  </si>
  <si>
    <t>Con cariño, Flaco🤍</t>
  </si>
  <si>
    <t>Ramo o arreglo de 8 rosas rosadas o lilas (si hay lilas mejor) que no exceda los 90mil pesos. si excede los 90 que sean 6 o 7 rosas.</t>
  </si>
  <si>
    <t>Medina</t>
  </si>
  <si>
    <t>Juliana Sagbini</t>
  </si>
  <si>
    <t>Cra. 59b #96-133 - Edificio</t>
  </si>
  <si>
    <t>-+57 3183477256</t>
  </si>
  <si>
    <t>Te amo ❤️</t>
  </si>
  <si>
    <t>Andrés</t>
  </si>
  <si>
    <t xml:space="preserve"> Jennifer </t>
  </si>
  <si>
    <t>Stefany de la vega</t>
  </si>
  <si>
    <t>Calle 52 #79-216 edificio Valentina - Edificio</t>
  </si>
  <si>
    <t>Un día especial como hoy nació mi alma gemela, mi hermana de fe y de vida. 
Te amo Bestie. 
Happy Birthday 🫶</t>
  </si>
  <si>
    <t xml:space="preserve">Tú Bestie. </t>
  </si>
  <si>
    <t xml:space="preserve">Rutder </t>
  </si>
  <si>
    <t xml:space="preserve">Ladino </t>
  </si>
  <si>
    <t xml:space="preserve">Maria Claudia Pertuz </t>
  </si>
  <si>
    <t>Bostón</t>
  </si>
  <si>
    <t>Carrera 47 No 63 39  apto 5b - Conjunto</t>
  </si>
  <si>
    <t>1× Flora Box Mediana Tierra</t>
  </si>
  <si>
    <t>¡Feliz cumpleaños a la Mujer mas especial del Universo.  En la vida, las personas bonitas con quien te cruzas dejan huella, y tu eres esa persona que marcó positivamente cada áspecto de mi vida.  Hoy quiero felicitarte por un nuevo año mas de vida. Que este año que comienza sea el mejor de todos, lleno de amor, felicidad y éxito. Que tus sueños se conviertan en realidad y que nunca pierdas la magia que te hace tan especial. AF.</t>
  </si>
  <si>
    <t>Carlos</t>
  </si>
  <si>
    <t>Felizola</t>
  </si>
  <si>
    <t>Carlos Felizola</t>
  </si>
  <si>
    <t>Admiro mucho todo lo que haces y me siento muy orgulloso de ti. Feliz día mi médico hermosa.
Te amo</t>
  </si>
  <si>
    <t xml:space="preserve">Con cariño, tu novio </t>
  </si>
  <si>
    <t xml:space="preserve">Andrea </t>
  </si>
  <si>
    <t>El Recreo</t>
  </si>
  <si>
    <t>Clinica La Merced Cl 60 # 38 – 29 Habitacion 102 - Edificio</t>
  </si>
  <si>
    <t>A disfrutar la bella bendición que te ha regalado Dios. Los amamos 🥰</t>
  </si>
  <si>
    <t>familia Caro Donadl</t>
  </si>
  <si>
    <t>pedido web</t>
  </si>
  <si>
    <t xml:space="preserve">Yurleidis </t>
  </si>
  <si>
    <t xml:space="preserve">Salamanca </t>
  </si>
  <si>
    <t xml:space="preserve">Alismary Suárez </t>
  </si>
  <si>
    <t>Conjunto Barranquero Torre 6 apartamento 403 - Conjunto</t>
  </si>
  <si>
    <t>Feliz cumpleaños a la Jefa y Ex compañera Favorita 🎉 Dios te bendiga y te regale muchas bendiciones
De parte del equipo chevere de comunicaciones, te queremos un montón, sonríe siempre bella♥️
¡Que este año te traiga cosas increíbles!</t>
  </si>
  <si>
    <t xml:space="preserve">Con Cariño Yurle, Maleja y Danielita </t>
  </si>
  <si>
    <t>Arreglo Floral muñeca</t>
  </si>
  <si>
    <t>Julian</t>
  </si>
  <si>
    <t>duque</t>
  </si>
  <si>
    <t>Mariana Char</t>
  </si>
  <si>
    <t>cra 59 #79-225 - Casa</t>
  </si>
  <si>
    <t>1× Flora Box redonda orquídea</t>
  </si>
  <si>
    <t xml:space="preserve">Feliz cumpleaños. Disfruta. </t>
  </si>
  <si>
    <t>Julián</t>
  </si>
  <si>
    <t>Feliz cumpleaños. Disfruta.</t>
  </si>
  <si>
    <t xml:space="preserve">heidi </t>
  </si>
  <si>
    <t>leal</t>
  </si>
  <si>
    <t>vicky malkun</t>
  </si>
  <si>
    <t>edificio unique - Edificio</t>
  </si>
  <si>
    <t>SURTIDAS EN FLORES BLANCAS</t>
  </si>
  <si>
    <t xml:space="preserve">Luis fernando </t>
  </si>
  <si>
    <t>Uribe</t>
  </si>
  <si>
    <t>Luis fernando Uribe</t>
  </si>
  <si>
    <t>1× Corazón Mini Rosas</t>
  </si>
  <si>
    <t xml:space="preserve">Querida Isa! Feliz cumpleaños mi princesa hermosa. Eres el regalo más hermoso que Dios me ha dado. Te amo demasiado mi niña </t>
  </si>
  <si>
    <t>De papá para Isa</t>
  </si>
  <si>
    <t>Querida Isa! Feliz cumpleaños mi princesa hermosa. Eres el regalo más hermoso que Dios me ha dado. Te amo demasiado mi niña</t>
  </si>
  <si>
    <t>maria bernarda</t>
  </si>
  <si>
    <t>zirene</t>
  </si>
  <si>
    <t>maria bernarda zirene</t>
  </si>
  <si>
    <t>Dario</t>
  </si>
  <si>
    <t>Comas</t>
  </si>
  <si>
    <t>Calle 87#71-101 - Casa</t>
  </si>
  <si>
    <t>Feliz cumpleaños, mi niña. Espero que estas flores te hagan sonreír como tú me haces sonreír a mí todos los días.</t>
  </si>
  <si>
    <t xml:space="preserve">Con Amor, Dario </t>
  </si>
  <si>
    <t>Milton</t>
  </si>
  <si>
    <t>Vega gomez</t>
  </si>
  <si>
    <t xml:space="preserve">Paula Zárate </t>
  </si>
  <si>
    <t>San Francisco</t>
  </si>
  <si>
    <t>Cra 66B#66-60 Apto 1502 - Edificio</t>
  </si>
  <si>
    <t>1× Corazón Mediano Rosas</t>
  </si>
  <si>
    <t xml:space="preserve">Hace 4 años tome la mejor decisión de mi vida. Feliz Aniversario! Te amo por siempre </t>
  </si>
  <si>
    <t>MAVG</t>
  </si>
  <si>
    <t>Hace 4 años tome la mejor decisión de mi vida. Feliz Aniversario! Te amo por siempre</t>
  </si>
  <si>
    <t>Aidalidis</t>
  </si>
  <si>
    <t>Parodi</t>
  </si>
  <si>
    <t xml:space="preserve">Mayra Albarracin </t>
  </si>
  <si>
    <t>Calle 100 64 84 edificio river palls apto 610 torre 2 - Edificio</t>
  </si>
  <si>
    <t>301 4161800</t>
  </si>
  <si>
    <t>1× Bouquet Aire</t>
  </si>
  <si>
    <t>Feliz cumpleaños a esta bendición que Dios trajo a mi vida 🤍✨
Admiro la fortaleza de tu corazón y cómo siempre encuentras motivos para levantarte y brillar 🌼
Eres inspiración, compañía y cariño del bonito.
Te celebramos y te queremos mucho 💕</t>
  </si>
  <si>
    <t xml:space="preserve">Con cariño la familia padilla parodi </t>
  </si>
  <si>
    <t>Henry</t>
  </si>
  <si>
    <t>De la hoz</t>
  </si>
  <si>
    <t>Laura patiño</t>
  </si>
  <si>
    <t>no</t>
  </si>
  <si>
    <t>Bouquet 12 rosas rosadas</t>
  </si>
  <si>
    <t xml:space="preserve">Feliz día </t>
  </si>
  <si>
    <t>Que todas las flores sean de color rosa</t>
  </si>
  <si>
    <t>Juan Camilo Castro Mendoza</t>
  </si>
  <si>
    <t>Castro Mendoza</t>
  </si>
  <si>
    <t>Juan Castro</t>
  </si>
  <si>
    <t>La Pradera</t>
  </si>
  <si>
    <t>Calle 119 #26-17 - Casa</t>
  </si>
  <si>
    <t>1× Bouquet Surtido</t>
  </si>
  <si>
    <t xml:space="preserve">ANA </t>
  </si>
  <si>
    <t>ARCINIEGAS</t>
  </si>
  <si>
    <t>ANA ARCINIEGAS</t>
  </si>
  <si>
    <t xml:space="preserve">Nathalia </t>
  </si>
  <si>
    <t>Esparza Luna</t>
  </si>
  <si>
    <t>Cinthya Cantillo Torrado</t>
  </si>
  <si>
    <t>Apto - Edificio</t>
  </si>
  <si>
    <t>Cinthya,
Hoy, aunque la distancia nos separe, nuestro corazón está contigo celebrando tu vida. 
Deseamos que este nuevo año te abrace con amor, te llene de paz y te regale momentos que te hagan sonreír desde el alma. Que cada sueño que guardas en tu corazón encuentre su camino, y que Dios te bendiga y te cuide siempre.
Disfruta tu día, vive cada instante con alegría y recuerda que desde aquí levantamos una copa por ti, por tu vida y por todo lo maravilloso que está por venir.
Nos vemos pronto. Te queremos muchísimo.
Nathalia y Christian</t>
  </si>
  <si>
    <t>Christian y Nathalia</t>
  </si>
  <si>
    <t>Isabella</t>
  </si>
  <si>
    <t>Tilano</t>
  </si>
  <si>
    <t>Isabella Tilano</t>
  </si>
  <si>
    <t>2× Bouquet 6 Rosas Rojas</t>
  </si>
  <si>
    <t>maria</t>
  </si>
  <si>
    <t>perez</t>
  </si>
  <si>
    <t>maria perez</t>
  </si>
  <si>
    <t>oasis sencillo</t>
  </si>
  <si>
    <t xml:space="preserve">Alejandro </t>
  </si>
  <si>
    <t>tinoco</t>
  </si>
  <si>
    <t>Alejandro tinoco</t>
  </si>
  <si>
    <t>mini box</t>
  </si>
  <si>
    <t>Lily Paola</t>
  </si>
  <si>
    <t>Belmonte Castañeda</t>
  </si>
  <si>
    <t xml:space="preserve">Victoria Cala </t>
  </si>
  <si>
    <t>Calle 99 # 56-41 torre 1 apto 1001 - Casa</t>
  </si>
  <si>
    <t>¡Es un privilegio poder llamarte hija y un orgullo verte crecer y convertirte en una niña grande de mucha fuerza y coraje!</t>
  </si>
  <si>
    <t xml:space="preserve">Papá y mamá </t>
  </si>
  <si>
    <t>Maria Fernanda</t>
  </si>
  <si>
    <t>Tatis</t>
  </si>
  <si>
    <t>Maria Fernanda Tatis</t>
  </si>
  <si>
    <t>Cra 58 #82-40 - Edificio</t>
  </si>
  <si>
    <t>3 hojas de balazo
1 hiperico
1 paquete pino</t>
  </si>
  <si>
    <t>Steven</t>
  </si>
  <si>
    <t>Gallagher</t>
  </si>
  <si>
    <t>Steven Gallagher</t>
  </si>
  <si>
    <t>Bouquet surtido personalizado</t>
  </si>
  <si>
    <t>dilia</t>
  </si>
  <si>
    <t>sánchez</t>
  </si>
  <si>
    <t>dilia sánchez</t>
  </si>
  <si>
    <t>Victor m</t>
  </si>
  <si>
    <t xml:space="preserve">Mendoza </t>
  </si>
  <si>
    <t xml:space="preserve">Lili montes </t>
  </si>
  <si>
    <t>o</t>
  </si>
  <si>
    <t xml:space="preserve">Te amo mujer de mi vida </t>
  </si>
  <si>
    <t>Con amor Víctor mendozA</t>
  </si>
  <si>
    <t>Te amo mujer de mi vida</t>
  </si>
  <si>
    <t>natalia</t>
  </si>
  <si>
    <t>zabarain</t>
  </si>
  <si>
    <t>Cra 55 no. 80-56</t>
  </si>
  <si>
    <t>Cra 55 no. 80-56 - Edificio</t>
  </si>
  <si>
    <t>bouquets surtido pastel 3</t>
  </si>
  <si>
    <t>Compañía de marketing y</t>
  </si>
  <si>
    <t>servicios sas</t>
  </si>
  <si>
    <t xml:space="preserve">Karen Meléndez </t>
  </si>
  <si>
    <t>Carrera 46 # 70 - 132 - Oficina</t>
  </si>
  <si>
    <t>Gracias por 16 años mágicos 
Te amo mi reina</t>
  </si>
  <si>
    <t>Tu muxi</t>
  </si>
  <si>
    <t>Beatriz</t>
  </si>
  <si>
    <t>Ugarriza</t>
  </si>
  <si>
    <t>Johanna Zuccardi</t>
  </si>
  <si>
    <t>caujaral</t>
  </si>
  <si>
    <t>Calle 11 # 8-581 - Casa Name Zuccardi - Casa</t>
  </si>
  <si>
    <t>313 5558115</t>
  </si>
  <si>
    <t>mini hortersias y mini rosas</t>
  </si>
  <si>
    <t>¡Bienvenidos a B.U.V Studio!
Es un honor para nosotros empezar este camino juntos.
¡Gracias por elegirnos!</t>
  </si>
  <si>
    <t>Beatriz Ugarriza Verbel</t>
  </si>
  <si>
    <t>mini hortensias</t>
  </si>
  <si>
    <t>Efrain</t>
  </si>
  <si>
    <t>Andrea Alzate</t>
  </si>
  <si>
    <t>Cra 57 #99A-65  Oficina 1209 Torre Sur Edificio Torres del Atlantico - Oficina</t>
  </si>
  <si>
    <t xml:space="preserve">Hoy cumplimos 5 años de casados y casi 14 años juntos, él preámbulo de toda una aventura que nos espera por vivir. Te amo. </t>
  </si>
  <si>
    <t>Tu esposo que te Ama.</t>
  </si>
  <si>
    <t>Hoy cumplimos 5 años de casados y casi 14 años juntos, él preámbulo de toda una aventura que nos espera por vivir. Te amo.</t>
  </si>
  <si>
    <t>gustavo</t>
  </si>
  <si>
    <t>berastegui</t>
  </si>
  <si>
    <t>gustavo berastegui</t>
  </si>
  <si>
    <t>1× Corazón Grande Rosas</t>
  </si>
  <si>
    <t>Mayra</t>
  </si>
  <si>
    <t>Rojano</t>
  </si>
  <si>
    <t>AV tajamares 3A No 23-88</t>
  </si>
  <si>
    <t>Torre B 1903 - Casa</t>
  </si>
  <si>
    <t>Feliz cumpleaños hermana que Dios y la virgen te protejan y te regalen mucha salud 
Que este nuevo año sea de grandes bendiciones y éxitos para ti y los tuyos 
Te quieremos mucho</t>
  </si>
  <si>
    <t>Con amor Marle y Nelsy</t>
  </si>
  <si>
    <t xml:space="preserve">Alberto </t>
  </si>
  <si>
    <t xml:space="preserve">Jarma </t>
  </si>
  <si>
    <t xml:space="preserve">Valerie Echeverria </t>
  </si>
  <si>
    <t>Calle 75#62-29 apto 3A - Edificio</t>
  </si>
  <si>
    <t xml:space="preserve">Mi amor feliz aniversario, te amo! </t>
  </si>
  <si>
    <t xml:space="preserve">AJ </t>
  </si>
  <si>
    <t>Cristina</t>
  </si>
  <si>
    <t>Celia</t>
  </si>
  <si>
    <t>Orietta jamis</t>
  </si>
  <si>
    <t>Calle 86 no.47-66 - Casa</t>
  </si>
  <si>
    <t>Noni 
Feliz cumpleaños !! Que sean millones de años más! Miles de bendiciones hoy y siempre ! 
Te queremos mucho 
Flia Fuenmayor Celia</t>
  </si>
  <si>
    <t xml:space="preserve">López </t>
  </si>
  <si>
    <t xml:space="preserve">Barranquilla </t>
  </si>
  <si>
    <t>Deseo decirte que, has sido el último deseo y sueño de mi alma. 
Déjate amar, prometo que no habrá día que no te abrace con la misma fuerza con la que un día recé, por encontrarte…</t>
  </si>
  <si>
    <t>Con amor, tu niña.</t>
  </si>
  <si>
    <t xml:space="preserve">Clara </t>
  </si>
  <si>
    <t>Otero</t>
  </si>
  <si>
    <t>Clara Otero</t>
  </si>
  <si>
    <t>Kra 59#84-100 Edificio Duville  Apto 1804 - Edificio</t>
  </si>
  <si>
    <t>Clara y Juan Pablo
Gracias por todas las atenciones y cuidados , los queremos mucho 
Cristy , Pablo y Pao</t>
  </si>
  <si>
    <t>matera de orquídea con yute</t>
  </si>
  <si>
    <t>movich</t>
  </si>
  <si>
    <t>plan premiun 3</t>
  </si>
  <si>
    <t xml:space="preserve">mariana </t>
  </si>
  <si>
    <t>amin</t>
  </si>
  <si>
    <t>mariana amin</t>
  </si>
  <si>
    <t>Bejarano</t>
  </si>
  <si>
    <t>Alexandra Verano</t>
  </si>
  <si>
    <t>Carrera 55 # 79 - 180 - Edificio</t>
  </si>
  <si>
    <t>Recibe un abrazo lleno de cariño y los mejores deseos en este día tan especial.
Te enviamos nuestros más sinceros deseos de salud, amor y prosperidad. Que este nuevo año esté lleno de momentos dulces y memorables junto a tu familia.</t>
  </si>
  <si>
    <t>Triple Alianza No. 2</t>
  </si>
  <si>
    <t xml:space="preserve">Juan David </t>
  </si>
  <si>
    <t xml:space="preserve">Sánchez </t>
  </si>
  <si>
    <t>J</t>
  </si>
  <si>
    <t>Horizontes de Miramar  carrera 43 #98-106 Torre 2 apto 403 - Edificio</t>
  </si>
  <si>
    <t>Feliz Cumpleaños!♥️
J</t>
  </si>
  <si>
    <t xml:space="preserve">LUISA </t>
  </si>
  <si>
    <t>BERARDINELLI</t>
  </si>
  <si>
    <t xml:space="preserve">Daniela Carmona </t>
  </si>
  <si>
    <t>cr51 #82-145 local dos - prana spa - Casa</t>
  </si>
  <si>
    <t xml:space="preserve"> +57 310 6885080</t>
  </si>
  <si>
    <t>1× Flora Box Redonda 70 Rosas</t>
  </si>
  <si>
    <t>Taylor</t>
  </si>
  <si>
    <t xml:space="preserve">Teresa Fuentes </t>
  </si>
  <si>
    <t>Cra. 52 82 278 Edificio Prato 52 apartamento 803 - Edificio</t>
  </si>
  <si>
    <t>Feliz cumpleaños, mamá. Hoy agradecemos a Dios por tus 86 años, por tu vida, tu fuerza y por ser siempre esa luz que guía nuestros caminos. Gracias por todo tu amor y por acompañarnos incluso en los momentos difíciles. Que Dios te siga llenando de paz, salud y bendiciones. Te queremos con el alma!</t>
  </si>
  <si>
    <t xml:space="preserve">Con cariño Andres, Esme, Willy y Matthew </t>
  </si>
  <si>
    <t>no se cobro domicilio</t>
  </si>
  <si>
    <t xml:space="preserve">Eloísa </t>
  </si>
  <si>
    <t xml:space="preserve">Morales </t>
  </si>
  <si>
    <t>Eloísa Morales</t>
  </si>
  <si>
    <t>301 6969857</t>
  </si>
  <si>
    <t>Para: Nathaly Serrano 
Mi Princesa hermosa,
Hoy celebramos tu graduación, un regalo de Dios que llena mi corazón de alegría. Aunque llevamos tres años sin abrazarnos, el Señor ha sido fiel y nos ha sostenido en cada paso. Me siento muy orgulloso de la mujer que estás llegando a ser: valiente, noble y llena de luz. Le pido a Dios que guíe tu camino, que te cubra con Su gracia y que cumpla cada sueño que ha sembrado en tu corazón.Desde Australia te envío un abrazo lleno de amor, fe y esperanza. Eres y siempre serás mi bendición más grande.
ATT: Tú Padre</t>
  </si>
  <si>
    <t>Jamer</t>
  </si>
  <si>
    <t>Quiroz</t>
  </si>
  <si>
    <t>Jamer Quiroz</t>
  </si>
  <si>
    <t>Calle 70b #68-103 1c apto escalera arriba - Casa</t>
  </si>
  <si>
    <t>Las rosas podrían ser de color rosa</t>
  </si>
  <si>
    <t>Para mi graduanda , con amor de su papá 💕 felicitaciones en este gran logro</t>
  </si>
  <si>
    <t>KATHERINE</t>
  </si>
  <si>
    <t>SIMANCA CAMARGO</t>
  </si>
  <si>
    <t>MAMI GLADYS</t>
  </si>
  <si>
    <t>Nuevo Horizonte</t>
  </si>
  <si>
    <t>carrera 42b1 N 83-72 - Casa</t>
  </si>
  <si>
    <t>300 7731709</t>
  </si>
  <si>
    <t>Hoy le damos gracias a Dios por regresarte sana a casa y porque nos sigue dando la oportunidad de disfrutar de tu presencia en nuestras vidas. 
Te amamos con la misma intensidad y de la misma manera que tú nos has enseñado a hacerlo. 
Esta virgencita es para que continúe cuidándote y para que tengas una pronta recuperación.
Con cariño,
Tus nietuquis, primisluquis</t>
  </si>
  <si>
    <t>Joha, Mary, Marian, Andre, Vivi, Kathy, Dani y Lina.</t>
  </si>
  <si>
    <t>Elieth</t>
  </si>
  <si>
    <t>Elieth Fernandez</t>
  </si>
  <si>
    <t>Feliz dia del Dermatologo Doctora Elsa Acosta. Hoy celebramos tu profesionalismo y dedicación</t>
  </si>
  <si>
    <t>con cariño, equipo EL' A</t>
  </si>
  <si>
    <t>Feliz dia del Dermatologo Doctora Elsa Acosta.
Hoy celebramos tu profesionalismo y dedicación</t>
  </si>
  <si>
    <t>DAVID</t>
  </si>
  <si>
    <t>BUENO</t>
  </si>
  <si>
    <t>DAVID BUENO</t>
  </si>
  <si>
    <t>0000</t>
  </si>
  <si>
    <t>FLORES SURTIDAS</t>
  </si>
  <si>
    <t xml:space="preserve">Claudia  </t>
  </si>
  <si>
    <t>Borrero</t>
  </si>
  <si>
    <t>Claudia Borrero</t>
  </si>
  <si>
    <t>bouquet sutrido</t>
  </si>
  <si>
    <t xml:space="preserve">Daniel </t>
  </si>
  <si>
    <t>Daniel Gonzalez</t>
  </si>
  <si>
    <t>350 6670596</t>
  </si>
  <si>
    <t>Sabes por qué cuando te miro hasta por dentro me sonrojo, porque el amor es ciego desde que anda con tus ojos. Para VP</t>
  </si>
  <si>
    <t>Ortiz</t>
  </si>
  <si>
    <t>Alexandra Bolaño</t>
  </si>
  <si>
    <t>casa - Casa</t>
  </si>
  <si>
    <t xml:space="preserve">Marcela </t>
  </si>
  <si>
    <t xml:space="preserve">Vargas </t>
  </si>
  <si>
    <t xml:space="preserve">Marcela Vargas </t>
  </si>
  <si>
    <t>calle 75 # 64c-36 apto 502 - Edificio</t>
  </si>
  <si>
    <t>Barranquilla, diciembre 4 / 2025
Amelia,
Hoy en tu recital de violín brillarás y hasta el cielo llegarán tus melodías.
Nos sentimos muy orgullosos de ti,
Te amamos,
Papá desde el cielo, Mamá, Robert, Te y Celeste</t>
  </si>
  <si>
    <t>Con la imagen de referencia en flores rosadas y blancas, es un arreglo para niña.</t>
  </si>
  <si>
    <t>Adriana</t>
  </si>
  <si>
    <t>Del Castillo</t>
  </si>
  <si>
    <t>Alejandra Del Castillo</t>
  </si>
  <si>
    <t>Cra 52b #90-144  Torre A apto 301 Edificio sol del este - Edificio</t>
  </si>
  <si>
    <t xml:space="preserve">Un detalle especial, por Tú Grado de Bachiller! Continúa cosechando logros y haciendo lo que te hace feliz. </t>
  </si>
  <si>
    <t>Te Amamos, Tu abuelita Judith, Tias Adri e Ile</t>
  </si>
  <si>
    <t>MOVICH</t>
  </si>
  <si>
    <t>PETALOS</t>
  </si>
  <si>
    <t>andres perez</t>
  </si>
  <si>
    <t>andres perez RAPPI</t>
  </si>
  <si>
    <t>Miguel</t>
  </si>
  <si>
    <t>Sanjuán</t>
  </si>
  <si>
    <t>Zharick Gómez</t>
  </si>
  <si>
    <t>Portal de Genoves</t>
  </si>
  <si>
    <t>Torre Bancolombia Cl. 1A #24-16, Sabanilla Montecarmelo, Puerto Colombia, Barranquilla, Atlántico - Oficina</t>
  </si>
  <si>
    <t>Aún así, te amo</t>
  </si>
  <si>
    <t>Migue:)</t>
  </si>
  <si>
    <t>Diana</t>
  </si>
  <si>
    <t>Yonoff</t>
  </si>
  <si>
    <t>Diana Yonoff</t>
  </si>
  <si>
    <t>Escobar</t>
  </si>
  <si>
    <t>Emili Brito</t>
  </si>
  <si>
    <t>Calle 1a No 30-61 Edificio Sunset Bulevard - Edificio</t>
  </si>
  <si>
    <t>1× Canasto Lavanda | 1× Oso de Peluche | 1× Topper Welcome Baby</t>
  </si>
  <si>
    <t xml:space="preserve">Cada bebé trae un pedazo de cielo a la tierra. ¡Felicidades por la llegada de este hermoso principe! </t>
  </si>
  <si>
    <t>Familia Crespo Escobar</t>
  </si>
  <si>
    <t>tonos blnacos y azules como la caja welcome baby</t>
  </si>
  <si>
    <t>Carlos Mulato</t>
  </si>
  <si>
    <t>Salwua Mudi</t>
  </si>
  <si>
    <t>calle 1 a # 24 - 86 laikai apto 509 - Edificio</t>
  </si>
  <si>
    <t xml:space="preserve">Mi amor, estas flores te las doy con todo mi corazón, porque cada una de ellas lleva un pedacito de lo que siento por ti. quiero que sepas que lo nuestro es un amor profundo, y sincero. Gracias pór estos dos meses tan especiales, por cada sonrisa, cada abrazo y cada momento que hemos compartido. contigo todo se siente mas real. te amo con todo lo que soy y con todo lo que quiero ser a tu lado. </t>
  </si>
  <si>
    <t>Stella</t>
  </si>
  <si>
    <t>Abello</t>
  </si>
  <si>
    <t>Stella Abello</t>
  </si>
  <si>
    <t xml:space="preserve">Lourdes </t>
  </si>
  <si>
    <t xml:space="preserve">De Marchena </t>
  </si>
  <si>
    <t>Calle 66 No 50-50 ap 302 A</t>
  </si>
  <si>
    <t>Apto 302 A - Edificio</t>
  </si>
  <si>
    <t xml:space="preserve">Hoy celebramos contigo este cumpleaños especial! 70 años que cuentan historias de resistencia pero también de muchas alegrías y hermosos recuerdos! Feliz cumpleaños a la Nona y la mejor mamá </t>
  </si>
  <si>
    <t>Con amor Mario, Lourdes y Mario Andrés</t>
  </si>
  <si>
    <t>Gutierrez</t>
  </si>
  <si>
    <t xml:space="preserve">Juan Gutierrez </t>
  </si>
  <si>
    <t>Cra 72 # 91a - 100 apto 1013 Torre 4 - Casa</t>
  </si>
  <si>
    <t>Feliz ANIVERSAR1O!! Te Amo!!
Que se venga 10, 20, 30 más!</t>
  </si>
  <si>
    <t>JC</t>
  </si>
  <si>
    <t>Laura</t>
  </si>
  <si>
    <t>Melo</t>
  </si>
  <si>
    <t xml:space="preserve">Sarah Fernández </t>
  </si>
  <si>
    <t>castellana</t>
  </si>
  <si>
    <t>Cra52#100-105 Quintas de la castellana - Casa</t>
  </si>
  <si>
    <t>Feliz grado hermana, un logro más en tu vida. Dios te bendiga, te amo mucho.</t>
  </si>
  <si>
    <t>MILENIO PC SA</t>
  </si>
  <si>
    <t>LILIANA DURÁN</t>
  </si>
  <si>
    <t>CARRERA 42F # 82 - 246 - Oficina</t>
  </si>
  <si>
    <t>En nombre de las directivas de MILENIO PC, deseamos tengas un Feliz Cumpleaños!!</t>
  </si>
  <si>
    <t>Con Cariño, Milenio Pc SA</t>
  </si>
  <si>
    <t>Renneberg</t>
  </si>
  <si>
    <t>Laura espinosa</t>
  </si>
  <si>
    <t>Calle 75 #41d-54 - Edificio</t>
  </si>
  <si>
    <t>Mi laurita eres la mejor felicitaciones!, haz llegado al final de una etapa de  tu vida y lo haz logrado con éxito, eso debe  ser un orgullo para ti. 
Porque lo es para todos nosotros Disfruta de tus triunfos, Disfruta de tus logros, recuerda que eres la mejor del mundo, y nunca lo olvides, ni dejes que te hagan olvídarlo. 
Eres la mejor del mundo mundial.
TE AMO!</t>
  </si>
  <si>
    <t xml:space="preserve">Alberto Mario Renneberg </t>
  </si>
  <si>
    <t>BEATRIZ</t>
  </si>
  <si>
    <t>GOMEZ TIRADO</t>
  </si>
  <si>
    <t>Calle 107-49e 59 casa 1 Villa santos - Casa</t>
  </si>
  <si>
    <t>EUCALIPTO,OASIS DOBLE</t>
  </si>
  <si>
    <t>Juan Camilo</t>
  </si>
  <si>
    <t>Canal Rueda</t>
  </si>
  <si>
    <t xml:space="preserve">Isabella Rodríguez </t>
  </si>
  <si>
    <t>Cra 59B #84-100. Apto 1503 - Edificio</t>
  </si>
  <si>
    <t>301 7764195</t>
  </si>
  <si>
    <t>Gracias por ser alguien tan especial en mi vida, contigo aprendí lo que es querer de verdad. Disfruta mucho tu día especial. Te amo.</t>
  </si>
  <si>
    <t>jc</t>
  </si>
  <si>
    <t>Anderson</t>
  </si>
  <si>
    <t xml:space="preserve">Dominguez </t>
  </si>
  <si>
    <t xml:space="preserve">Kathe </t>
  </si>
  <si>
    <t>Calle 83 # 42D 194 apto 6C Ed. nova garden - Edificio</t>
  </si>
  <si>
    <t>Dios, tú y yo… contigo todo tiene forma. Cuando estás, descanso; cuando faltas, me faltan fuerzas. Eres mi centro y mi calma.
Te amo hermosa 
Feliz aniversario</t>
  </si>
  <si>
    <t xml:space="preserve">Tu esposo </t>
  </si>
  <si>
    <t xml:space="preserve">tata </t>
  </si>
  <si>
    <t xml:space="preserve"> becerra</t>
  </si>
  <si>
    <t>573004614501</t>
  </si>
  <si>
    <t>tata  becerra</t>
  </si>
  <si>
    <t>KIKI</t>
  </si>
  <si>
    <t>LOPESIERRA</t>
  </si>
  <si>
    <t>Pedido KikI Lopesierra
Sábado 11 am
7 centros de mesa 60 cms alargado 70,000 cada uno
1 arreglo mesa postres alto 150,000</t>
  </si>
  <si>
    <t>Samir</t>
  </si>
  <si>
    <t>Radi</t>
  </si>
  <si>
    <t>Lina María</t>
  </si>
  <si>
    <t>Cra 52 # 82-109 - Casa</t>
  </si>
  <si>
    <t>1× Flora Box Grande Topiario Rosas</t>
  </si>
  <si>
    <t>Por una noche inolvidable y una vida juntos. Te amo Lithium Sodium.</t>
  </si>
  <si>
    <t>Danis</t>
  </si>
  <si>
    <t>Tapias Diaz</t>
  </si>
  <si>
    <t xml:space="preserve">Mariangel Molinares González </t>
  </si>
  <si>
    <t>Calle 20 # 24A - 88 - Casa</t>
  </si>
  <si>
    <t>“Mary, hoy culminas una etapa maravillosa y profundamente significativa en tu vida. Nuestro corazón se llena de alegría, orgullo y gratitud al celebrar contigo este logro que refleja tu compromiso, tu constancia y ese brillo tan especial que te caracteriza. Que cada paso que des esté acompañado de la luz y la protección de Dios y de Mamá María, y que sigas alcanzando los sueños que habitan en tu corazón. ¡Hoy comienza un camino hermoso y estaremos siempre contigo!”</t>
  </si>
  <si>
    <t xml:space="preserve">Con amor Familia Molinares Tapias </t>
  </si>
  <si>
    <t xml:space="preserve">Edgar Emilio </t>
  </si>
  <si>
    <t xml:space="preserve">Hernandez Vargas </t>
  </si>
  <si>
    <t xml:space="preserve">María Cuevas </t>
  </si>
  <si>
    <t>Cl 120#42b-112 conjunto amazilia to 11 Apt 1003 - Edificio</t>
  </si>
  <si>
    <t>En nuestro 2do aniversario 
Quiero decirte:
- Lo suave y reconfortante que es estar a tu lado
- Lo fuerte que somos al trabajar entrelazados 
- La comodidad que traes a mi vida
Con el favor de Dios se vienen muchas aventuras, solo puedo imaginarlas a tu lado. 
Te amo mucho.</t>
  </si>
  <si>
    <t>Con cariño Edgar Hernández</t>
  </si>
  <si>
    <t>Marlon Cabarcas</t>
  </si>
  <si>
    <t>Marlon Cabarcas RAPPI</t>
  </si>
  <si>
    <t xml:space="preserve">Jose Durango </t>
  </si>
  <si>
    <t>Jose Durango RAPPI</t>
  </si>
  <si>
    <t>Maria camila</t>
  </si>
  <si>
    <t>Velasquez</t>
  </si>
  <si>
    <t>María Camila Manotas</t>
  </si>
  <si>
    <t>Cra 43 # 87-175 conjunto capri apto 204 - Conjunto</t>
  </si>
  <si>
    <t>Feliz cumpleaños a mi incondicional! 
Que Diosito te siga bendiciendo y cuidando siempre! 
Te amo y te extraño mucho 🤍</t>
  </si>
  <si>
    <t>Vela</t>
  </si>
  <si>
    <t xml:space="preserve">Odontología </t>
  </si>
  <si>
    <t xml:space="preserve">Santodomingo </t>
  </si>
  <si>
    <t xml:space="preserve">Vanina Ortiz </t>
  </si>
  <si>
    <t>Esta es una fecha maravillosa, esposa  eres una mujer con mucho amor, excepcional, tienes un brillo increíble que miles envidian, es a Dios en tu corazón, lo que portas y quién eres te hace invaluable.
Feliz 5to aniversario, le entrego este nuevo año de matrimonio a nuestro PAPÁ, que podamos vivir x5 lo que antes no vivimos, que nos amemos x5, que nos disfrutemos x5 , aquí está tu esposo para ti, cuando quieras reír, llorar, cuando quieras hablar o simplemente estar en silencio, gracias por siempre estar, tienes una esencia maravillosa, te amo, amo mi familia, mi vida a tu lado, amo a bolito, amo  disfrutarte y amo que me disfrutes, PAPÁ ME RECORDÓ ESTA FRASE: “un clavo en mis manos no vale ni un peso, pero un clavo en sus manos son vida eterna”, en él tenemos vida eterna, y nuestra familia le pertenece, siempre juntos mi amor!, te amo mucho ❤️</t>
  </si>
  <si>
    <t xml:space="preserve">Con mucho cariño de alguien que te ama </t>
  </si>
  <si>
    <t xml:space="preserve">Roberto Carlos </t>
  </si>
  <si>
    <t>Castro Arce</t>
  </si>
  <si>
    <t>Roberto Carlos Castro Arce</t>
  </si>
  <si>
    <t xml:space="preserve">Transferencia a Nequi preferiblemente </t>
  </si>
  <si>
    <t>Felices 8 Meses, mi princesa atte: Rober</t>
  </si>
  <si>
    <t>Transferencia a Nequi preferiblemente</t>
  </si>
  <si>
    <t>Ivanna</t>
  </si>
  <si>
    <t>Santos</t>
  </si>
  <si>
    <t>ANDREA GIRON</t>
  </si>
  <si>
    <t>Cl. 99 C #64A-45,Edificio vallarta torre 1 apto 502 - Edificio</t>
  </si>
  <si>
    <t>1× Canasto Mediano Sweet | 1× Topper Welcome Baby</t>
  </si>
  <si>
    <t>Bienvenidos Elisa y Alejandro 💛
Qué regalo tan perfecto.
Ya son parte de nuestro corazón.
Gracias por permitirnos ser sus tías para toda la vida!
Que Dios los bendiga siempre.
Los amamos con el alma 💕✨</t>
  </si>
  <si>
    <t>Tia Cami, Ivi, Caro, Ele y Nina</t>
  </si>
  <si>
    <t>tonos azules y lilas y topper welcome baby</t>
  </si>
  <si>
    <t>Carmen Alandete</t>
  </si>
  <si>
    <t>Nay</t>
  </si>
  <si>
    <t xml:space="preserve">Mena </t>
  </si>
  <si>
    <t xml:space="preserve">Estefanía Cardenas </t>
  </si>
  <si>
    <t>Calle 114 #43B-78 - Casa</t>
  </si>
  <si>
    <t>Tu voz tiene poder
Que este sea solo el inicio de grandes inicio de grandes historias 
Feliz grado
Felicitaciones Estefanía</t>
  </si>
  <si>
    <t xml:space="preserve">Te amamos </t>
  </si>
  <si>
    <t xml:space="preserve">Juan camilo </t>
  </si>
  <si>
    <t xml:space="preserve">Rodriguez </t>
  </si>
  <si>
    <t xml:space="preserve">Victoria Barros </t>
  </si>
  <si>
    <t>Cl. 91 #49c-46, edificio Oceana 91 apto 401 - Edificio</t>
  </si>
  <si>
    <t>“Tu cumpleaños no es solo un día, es mucho más que eso amor, te amo corazón”</t>
  </si>
  <si>
    <t xml:space="preserve">Juan Camilo Rodriguez </t>
  </si>
  <si>
    <t xml:space="preserve">Maria </t>
  </si>
  <si>
    <t>Pia Malabet</t>
  </si>
  <si>
    <t>Maria Pia</t>
  </si>
  <si>
    <t>300 2627762</t>
  </si>
  <si>
    <t>arreglo de jarron Clavel 3 pauete, clavellina 1 paq, bolgree 2 und, astromelia 1/2 paq, estrella de belen  4 und, estatis 4 und</t>
  </si>
  <si>
    <t>Reales</t>
  </si>
  <si>
    <t>Giannina Guerrero</t>
  </si>
  <si>
    <t>Cra 59 # 96 - 06 Edificio Chateu Apto 5c - Edificio</t>
  </si>
  <si>
    <t>Un bouquet colorido para la artista que pinta nuestros días de felicidad. Mejórate pronto, te queremos mucho!</t>
  </si>
  <si>
    <t>Con mucho cariño Nachis, Sebas, Lau, Pao x2, Dinkol y Andrea</t>
  </si>
  <si>
    <t>Carlos Cesar</t>
  </si>
  <si>
    <t>Cabrera Benitez</t>
  </si>
  <si>
    <t>Maria Fernanda Benitez</t>
  </si>
  <si>
    <t>Calle 3a # 25-66 Edificio Club Tower 1 - Edificio</t>
  </si>
  <si>
    <t xml:space="preserve">Feliz cumpleaños amor de mi vida. Te amo con todo mi corazón </t>
  </si>
  <si>
    <t>Cesar</t>
  </si>
  <si>
    <t xml:space="preserve">Maria Paula </t>
  </si>
  <si>
    <t xml:space="preserve">Turbay Pérez </t>
  </si>
  <si>
    <t xml:space="preserve">María Paula </t>
  </si>
  <si>
    <t>Carrera 57 #78-67 - Apto 203 Edificio Jardines del Country</t>
  </si>
  <si>
    <t xml:space="preserve">Por más risas juntas, por más momentos increíbles y por todas las aventuras que vienen. Siempre agradecidas por tenerte en nuestras vidas. 
</t>
  </si>
  <si>
    <t>Con mucho amor: Isa, Mar y Mapi</t>
  </si>
  <si>
    <t>jose camilo</t>
  </si>
  <si>
    <t>pimienta</t>
  </si>
  <si>
    <t>jose camilo pimienta</t>
  </si>
  <si>
    <t xml:space="preserve">Stefanny </t>
  </si>
  <si>
    <t>Silgado Restrepo</t>
  </si>
  <si>
    <t>Stefanny Silgado Restrepo</t>
  </si>
  <si>
    <t>Montiel</t>
  </si>
  <si>
    <t>Fay Corrales</t>
  </si>
  <si>
    <t>Clle 19E 16-87 - Casa</t>
  </si>
  <si>
    <t>Hola, quiero enviar estas flores para Adelita de Char Etapa 1. Haré el pago por PSE</t>
  </si>
  <si>
    <t>Transferencia 6913</t>
  </si>
  <si>
    <t>sarait</t>
  </si>
  <si>
    <t>garcía</t>
  </si>
  <si>
    <t>sarait garcía</t>
  </si>
  <si>
    <t>girasol arreglado</t>
  </si>
  <si>
    <t xml:space="preserve">Esmeralda Elizabeth Lemus </t>
  </si>
  <si>
    <t>Edificio ANCORA  Cr 50 # 90-61 Apto 801   Barranquilla Atlántico - Casa</t>
  </si>
  <si>
    <t>Que tú ni nadie sea juzgado por las decisiones que tomamos en nuestros momentos más débiles, sino por la determinación y fortaleza que mostramos solo y si se nos otorga una segunda oportunidad.</t>
  </si>
  <si>
    <t>monica</t>
  </si>
  <si>
    <t>orozco</t>
  </si>
  <si>
    <t xml:space="preserve"> Catalina de la ossa</t>
  </si>
  <si>
    <t>Calle 77 #55-35 edificio Verona apto 4 - Casa</t>
  </si>
  <si>
    <t>Cata 
Que este día esté lleno de alegría ,amor y momentos inolvidables .Que todos tus deseos se hagan realidad y que el próximo año esté repleto de bendiciones 
Feliz cumpleaños !!!
Te queremos mucho 
Flia Wehdeking Orozco</t>
  </si>
  <si>
    <t>miguel de jesús</t>
  </si>
  <si>
    <t>cantillo jiménez</t>
  </si>
  <si>
    <t>miguel</t>
  </si>
  <si>
    <t>San Salvador</t>
  </si>
  <si>
    <t>vía 40#85 farmacápsulas - Casa</t>
  </si>
  <si>
    <t>sin mensaje</t>
  </si>
  <si>
    <t>Jamel Womack</t>
  </si>
  <si>
    <t>BOUQUET DE 12 ROSAS</t>
  </si>
  <si>
    <t xml:space="preserve">viviana </t>
  </si>
  <si>
    <t>franco</t>
  </si>
  <si>
    <t>ciudad de mallorquin</t>
  </si>
  <si>
    <t>Kra 20 # 2a-10 conjunto Terra by kaiaCasa 139 - Casa</t>
  </si>
  <si>
    <t>317 6413394</t>
  </si>
  <si>
    <t>bouquet 8 rosas rosadas y blancas como foto</t>
  </si>
  <si>
    <t xml:space="preserve">MAURICIO </t>
  </si>
  <si>
    <t>GOMEZ BOSSA</t>
  </si>
  <si>
    <t>Maria Isabel Vives</t>
  </si>
  <si>
    <t>Carrera 64B #86-116. Apto 601. Edificio Cantaluna - Casa</t>
  </si>
  <si>
    <t>Feliz Aniversario! A tu lado todo es más fácil. Te amo</t>
  </si>
  <si>
    <t>Mauricio</t>
  </si>
  <si>
    <t>Lilia</t>
  </si>
  <si>
    <t>Calvo</t>
  </si>
  <si>
    <t xml:space="preserve">Ana Berrio </t>
  </si>
  <si>
    <t>Carrera 52 Nº 79-276 - Edificio</t>
  </si>
  <si>
    <t>Feliz cumpleaños, amiga.
La vida nos cruzó como mamás, pero el corazón nos unió mucho más. Gracias por ser luz en esta etapa y por compartir el camino con nuestros pequeñitos.
Con cariño,</t>
  </si>
  <si>
    <t xml:space="preserve">Lilia, Leti y Saúl ❤️ </t>
  </si>
  <si>
    <t>Claudia</t>
  </si>
  <si>
    <t>Ignacio Gonzalez</t>
  </si>
  <si>
    <t>Tres arreglos de pecera de 40.000 con flores variadas .</t>
  </si>
  <si>
    <t>bonilla</t>
  </si>
  <si>
    <t>clle 1d#21-40 palmar de la ciénaga torre 2 apto 304 - Casa</t>
  </si>
  <si>
    <t>te queremos mucho,Norella.</t>
  </si>
  <si>
    <t>Fernando</t>
  </si>
  <si>
    <t xml:space="preserve">Estripeaut </t>
  </si>
  <si>
    <t>Maria Alejandra Caceres</t>
  </si>
  <si>
    <t>Carrera 55, #105 23, Torre 2, Apto 303 - Edificio</t>
  </si>
  <si>
    <t xml:space="preserve">Nos vemos pronto amorcito! </t>
  </si>
  <si>
    <t>Con amor, Fer</t>
  </si>
  <si>
    <t>Nos vemos pronto amorcito!</t>
  </si>
  <si>
    <t>libia</t>
  </si>
  <si>
    <t>angulo</t>
  </si>
  <si>
    <t>libia angulo</t>
  </si>
  <si>
    <t>Perla Del Castillo</t>
  </si>
  <si>
    <t xml:space="preserve"> Del Castillo</t>
  </si>
  <si>
    <t>Perla Del Castillo Del Castillo</t>
  </si>
  <si>
    <t>ADRIANA</t>
  </si>
  <si>
    <t>DE LA HOZ</t>
  </si>
  <si>
    <t>ADRIANA DE LA HOZ</t>
  </si>
  <si>
    <t>jean</t>
  </si>
  <si>
    <t>gutierrez</t>
  </si>
  <si>
    <t>jean gutierrez</t>
  </si>
  <si>
    <t>1× Arreglo Personalizado | 1× Bouquet 12 Rosas Rojas</t>
  </si>
  <si>
    <t>María Fernanda</t>
  </si>
  <si>
    <t>Castro Torres</t>
  </si>
  <si>
    <t>Nicole Segovia</t>
  </si>
  <si>
    <t>Tv 44 #102-80 Olivenza - Conjunto</t>
  </si>
  <si>
    <t>312 3143107</t>
  </si>
  <si>
    <t>1× Bouquet Flora Antique | 1× Ferrero Rocher 8 und</t>
  </si>
  <si>
    <t>Felicitaciones negri, ilyyyy 💞💞💞</t>
  </si>
  <si>
    <t>mafe</t>
  </si>
  <si>
    <t>pétalos</t>
  </si>
  <si>
    <t>Cristian</t>
  </si>
  <si>
    <t xml:space="preserve">Quiceno </t>
  </si>
  <si>
    <t>Anderson Aragón meza</t>
  </si>
  <si>
    <t>"Mi amor, siempre estaré aquí para ti, no estás sola 🌹💕"</t>
  </si>
  <si>
    <t xml:space="preserve">juan </t>
  </si>
  <si>
    <t>angélica cervantes</t>
  </si>
  <si>
    <t>buenavista 2 diagonal al zara una isla que se llama monarca - Casa</t>
  </si>
  <si>
    <t>base cerámica surtida</t>
  </si>
  <si>
    <t>carrascal</t>
  </si>
  <si>
    <t>Nicolas carrascal</t>
  </si>
  <si>
    <t>321 2054821</t>
  </si>
  <si>
    <t>Diaz</t>
  </si>
  <si>
    <t>Adriana martinez</t>
  </si>
  <si>
    <t>Cra 52b n 100 134 - Casa</t>
  </si>
  <si>
    <t>Chatica, en este día tan especial queremos celebrarte y agradecerte por todo lo que significas para mí y para nuestra familia, incluyendo a la familia perruna: Mateo, Trufa y Mila, que también disfrutan de tu cariño y tu ternura.
Tu alegría y tu forma de iluminar cada día son un regalo para todos… y, para qué negarlo, un encanto que me tiene felizmente embrujado.
Feliz cumpleaños!</t>
  </si>
  <si>
    <t>Att, Chato</t>
  </si>
  <si>
    <t xml:space="preserve">César </t>
  </si>
  <si>
    <t xml:space="preserve">Ceballos </t>
  </si>
  <si>
    <t xml:space="preserve">Zule Ardila </t>
  </si>
  <si>
    <t>Calle 108 # 49E - 66 - Casa</t>
  </si>
  <si>
    <t xml:space="preserve">Doy gracias a Dios por haberme dado la bendición de conocer y tener a mi lado a una mujer tan maravillosa como Tú </t>
  </si>
  <si>
    <t>César Andrés Ceballos</t>
  </si>
  <si>
    <t>Doy gracias a Dios por haberme dado la bendición de conocer y tener a mi lado a una mujer tan maravillosa como Tú</t>
  </si>
  <si>
    <t xml:space="preserve">Ortega </t>
  </si>
  <si>
    <t xml:space="preserve">Isabella Ortega </t>
  </si>
  <si>
    <t>Cra 62#75-155 - Edificio</t>
  </si>
  <si>
    <t xml:space="preserve">Felicidades por este logro!! Que sean muchos más, Isa. Te amamos y estamos muy orgullosos de ti. 
 </t>
  </si>
  <si>
    <t>- Tu familia</t>
  </si>
  <si>
    <t>Felicidades por este logro!! Que sean muchos más, Isa. Te amamos y estamos muy orgullosos de ti.</t>
  </si>
  <si>
    <t>Gustavo</t>
  </si>
  <si>
    <t>Martinez</t>
  </si>
  <si>
    <t>Gustavo Martinez</t>
  </si>
  <si>
    <t>Bouquet Surtido 60,000</t>
  </si>
  <si>
    <t>Alexander</t>
  </si>
  <si>
    <t xml:space="preserve">Alexander Ospina </t>
  </si>
  <si>
    <t>Calle 117 #42-189 - Casa</t>
  </si>
  <si>
    <t>Un cumpleaños más a tu lado,es agradecer a Dios por tenerte 365 días más junto a mi, Deseo todo lo bueno de esta vida para tí, recuerda que lo mejor está por venir 
Te Amo Feliz Cumpleaños</t>
  </si>
  <si>
    <t xml:space="preserve">Astrid </t>
  </si>
  <si>
    <t xml:space="preserve">Ghisays González </t>
  </si>
  <si>
    <t xml:space="preserve">Elfa González </t>
  </si>
  <si>
    <t>El Santuario</t>
  </si>
  <si>
    <t>Carrera 7a #46-161 - Casa</t>
  </si>
  <si>
    <t>1× Canasto Aire</t>
  </si>
  <si>
    <t>Especialmente para ti con mucho amo.
De tu hermana y sobrina.
Gladys y Magaly</t>
  </si>
  <si>
    <t xml:space="preserve">Gladys y Magaly </t>
  </si>
  <si>
    <t>valeria rodríguez</t>
  </si>
  <si>
    <t>3 rosas blancas
1 tallo mini rosa
1 tallo clavellina</t>
  </si>
  <si>
    <t>Marcela</t>
  </si>
  <si>
    <t>Aleman</t>
  </si>
  <si>
    <t>Marcela Aleman</t>
  </si>
  <si>
    <t>2× Mini Box Orquidea</t>
  </si>
  <si>
    <t>Para</t>
  </si>
  <si>
    <t>Jimenez</t>
  </si>
  <si>
    <t>Rania Farah</t>
  </si>
  <si>
    <t>Calle 99 #58-46 - Edificio</t>
  </si>
  <si>
    <t>1× Bouquet Lirios</t>
  </si>
  <si>
    <t>Itala</t>
  </si>
  <si>
    <t xml:space="preserve">Esmeral </t>
  </si>
  <si>
    <t>Itala Esmeral</t>
  </si>
  <si>
    <t>Orgulloso de ti por nunca rendirte. Este logro es totalmente tuyo.
Te amo mi corazón.</t>
  </si>
  <si>
    <t>Pedro Esmeral</t>
  </si>
  <si>
    <t>Nieto</t>
  </si>
  <si>
    <t>Carolina Rua</t>
  </si>
  <si>
    <t>Cra 78 No. 78 78, Apto 519 Torre 1, Brisas del Parque - Casa</t>
  </si>
  <si>
    <t>Agapô se</t>
  </si>
  <si>
    <t>Moreno Estrada</t>
  </si>
  <si>
    <t>Cra. 44b #99c-80, torre 4 apto 112 - Conjunto Torres de Montreal</t>
  </si>
  <si>
    <t>Migue</t>
  </si>
  <si>
    <t>Bouquet de hortensias azules y gypso.</t>
  </si>
  <si>
    <t>Juliao</t>
  </si>
  <si>
    <t>Maria Jose Mercado</t>
  </si>
  <si>
    <t>Carrera 75A #87-28 Torre 6 apto 502 - Edificio</t>
  </si>
  <si>
    <t xml:space="preserve">Michelle </t>
  </si>
  <si>
    <t>Garcia</t>
  </si>
  <si>
    <t xml:space="preserve">Edilma Pérez </t>
  </si>
  <si>
    <t>Calle 80 #49c 65 - Edificio</t>
  </si>
  <si>
    <t>Abuelita recupérate pronto para que bailemos los carnavales</t>
  </si>
  <si>
    <t>Familia Garcia</t>
  </si>
  <si>
    <t>Jaramillo C</t>
  </si>
  <si>
    <t>Sandra Cordoba</t>
  </si>
  <si>
    <t>Carrera 64 # 99-100 Apto 720 - Edificio</t>
  </si>
  <si>
    <t>Feliz cumpleaños a la esposa, mamá y abuela más linda de todas. ¡Te amamos!</t>
  </si>
  <si>
    <t xml:space="preserve">Tu familia </t>
  </si>
  <si>
    <t>Feliz cumpleaños a la esposa, mamá y abuela más linda de todas.
¡Te amamos!</t>
  </si>
  <si>
    <t>daniela</t>
  </si>
  <si>
    <t>Adis Miranda</t>
  </si>
  <si>
    <t>Calle 68 # 39B - 87 - Casa</t>
  </si>
  <si>
    <t>Querida Adis
Hoy celebro no solo tu vida, sino también el valioso aporte que hace cada día a la formación de nuestros futuros maestros.
Los mejores deseos para ti tanto en lo personal como en lo profesional. 
¡Feliz cumpleaños!
Con cariño 
Paola Amar</t>
  </si>
  <si>
    <t>Paola Amar</t>
  </si>
  <si>
    <t xml:space="preserve">Jennifer </t>
  </si>
  <si>
    <t>Castellar Guerra</t>
  </si>
  <si>
    <t xml:space="preserve">Yulieth Meriño </t>
  </si>
  <si>
    <t>San José</t>
  </si>
  <si>
    <t>Calle 44 # 17 - 57 Conj. Res. Maravilla Real apto 201 - Edificio</t>
  </si>
  <si>
    <t>Quise adelantármele al mundo para ser el primero en celebrar tu vida. Mañana cumples años, pero hoy ya soy afortunado por tenerte. Estas flores son solo un pequeño reflejo de lo importante que eres para mí.</t>
  </si>
  <si>
    <t xml:space="preserve">Con Amor Juan Carlos Durante </t>
  </si>
  <si>
    <t>David</t>
  </si>
  <si>
    <t>Prada</t>
  </si>
  <si>
    <t>Milena y Rene Berdugo</t>
  </si>
  <si>
    <t>Calle 69C#31-13. Apartamento 403A. Edificio Riviera Plaza - Edificio</t>
  </si>
  <si>
    <t>Milena y René muchas felicitaciones por su lealtad mutua que se han mostrado durante todos estos años de matrimonio. Milena para ti, espero que te mejores pronto! René para ti, espero que sigas siendo un soporte y ayuda para Milena. Felicitaciones!!</t>
  </si>
  <si>
    <t xml:space="preserve">Con cariño, David Prada </t>
  </si>
  <si>
    <t>Milena y René muchas felicitaciones por su lealtad mutua que se han mostrado durante todos estos años de matrimonio.
Milena para ti, espero que te mejores pronto!
René para ti, espero que sigas siendo un soporte y ayuda para Milena.
Felicitaciones!!</t>
  </si>
  <si>
    <t>Adriana Carolina</t>
  </si>
  <si>
    <t>Castillo Sanchez</t>
  </si>
  <si>
    <t>Alameda Del Rio Conjunto Pelicano Torre 19 Apartamento 705</t>
  </si>
  <si>
    <t>Cra 42b #116-121 Conjunto Pelicano Torre 19 Apartamento 705 - Conjunto</t>
  </si>
  <si>
    <t>Cada flor aquí lleva un pedacito de mi corazón. Gracias por hacer que cada día sea más bello con tu amor, tu luz y tu ternura. Eres mi razón de sonreír siempre. Te amo con todo lo que soy.</t>
  </si>
  <si>
    <t>Tu Príncipe Erick</t>
  </si>
  <si>
    <t>Esmeral</t>
  </si>
  <si>
    <t>Yuranys Vieira</t>
  </si>
  <si>
    <t>Calle 99 # 65-64 Torre 5 Apto 403 - Edificio</t>
  </si>
  <si>
    <t xml:space="preserve">Feliz cumpleaños amor de vida, te deseo muchas bendiciones, salud y vida para seguir compartiendo hermosos momentos. </t>
  </si>
  <si>
    <t>Feliz cumpleaños amor de vida, te deseo muchas bendiciones, salud y vida para seguir compartiendo hermosos momentos.</t>
  </si>
  <si>
    <t>Saade</t>
  </si>
  <si>
    <t>Gustavo Saade</t>
  </si>
  <si>
    <t xml:space="preserve">Bienvenida a casa Turi!! </t>
  </si>
  <si>
    <t>Gus</t>
  </si>
  <si>
    <t>Bienvenida a casa Turi!!</t>
  </si>
  <si>
    <t>Juanes</t>
  </si>
  <si>
    <t>Castaño</t>
  </si>
  <si>
    <t>Paula Valdés</t>
  </si>
  <si>
    <t>Lucero</t>
  </si>
  <si>
    <t>Cra 34 #53d-41 - Casa</t>
  </si>
  <si>
    <t>301 2484609</t>
  </si>
  <si>
    <t>Gracias por este mes tan increible, te amo</t>
  </si>
  <si>
    <t>Juan Castaño</t>
  </si>
  <si>
    <t>Deisy</t>
  </si>
  <si>
    <t>Perez</t>
  </si>
  <si>
    <t>CONTRAENTREGA</t>
  </si>
  <si>
    <t>Deisy Perez</t>
  </si>
  <si>
    <t>Rosas Tonos fucsia</t>
  </si>
  <si>
    <t>Julio</t>
  </si>
  <si>
    <t xml:space="preserve">Guzman </t>
  </si>
  <si>
    <t>María Cristina Hernández</t>
  </si>
  <si>
    <t>Cra 53 # 135 - 49 - Conjunto</t>
  </si>
  <si>
    <t>Yulio</t>
  </si>
  <si>
    <t>Pedro</t>
  </si>
  <si>
    <t>Karina llanos</t>
  </si>
  <si>
    <t>Calle 91 No 57-24 - Edificio</t>
  </si>
  <si>
    <t>313 7078416</t>
  </si>
  <si>
    <t>1× Canasto 100 Rosas</t>
  </si>
  <si>
    <t xml:space="preserve">Feliz cumpleaños Nena. Te deseo lo mejor del mundo hoy y siempre. </t>
  </si>
  <si>
    <t xml:space="preserve">Pedro </t>
  </si>
  <si>
    <t>Camacho</t>
  </si>
  <si>
    <t>Diana Camacho</t>
  </si>
  <si>
    <t>Cra 52 no 820161 apto 8A Astru - Edificio</t>
  </si>
  <si>
    <t>William</t>
  </si>
  <si>
    <t>Yacaman</t>
  </si>
  <si>
    <t>William Yacaman</t>
  </si>
  <si>
    <t>Datafono Bold</t>
  </si>
  <si>
    <t>Ana</t>
  </si>
  <si>
    <t xml:space="preserve">Acuña </t>
  </si>
  <si>
    <t xml:space="preserve">Maku Mosquera </t>
  </si>
  <si>
    <t>CRA 41G # 113-125 apto 20 204 Conjunto Gorrión Barrio Alameda del Rio - Casa</t>
  </si>
  <si>
    <t>‪+57 301 4660109‬</t>
  </si>
  <si>
    <t xml:space="preserve">Mi amor lindo feliz cumpleaños. Espero tengas un día lleno de luz y alegría. Gracias por existir. 
</t>
  </si>
  <si>
    <t xml:space="preserve">Att: Tu socia que te ama con locura </t>
  </si>
  <si>
    <t>Mi amor lindo feliz cumpleaños. Espero tengas un día lleno de luz y alegría. Gracias por existir.</t>
  </si>
  <si>
    <t>Mariana</t>
  </si>
  <si>
    <t>Mariana Perez</t>
  </si>
  <si>
    <t>carrera 57 # 85-82 apto 202 - Edificio</t>
  </si>
  <si>
    <t>Presencial</t>
  </si>
  <si>
    <t>3 paq hiperico, 3 paq pino, 2 paq eucalipto, 20 rosas, 1 paq clavellina, 1 paq solomio, medio de caspia</t>
  </si>
  <si>
    <t>Valentina</t>
  </si>
  <si>
    <t>Ibañez Fernandez</t>
  </si>
  <si>
    <t xml:space="preserve">Ana Beleño </t>
  </si>
  <si>
    <t>Nueva Granada</t>
  </si>
  <si>
    <t>Calle 61 #29b-30 - Casa</t>
  </si>
  <si>
    <t>Hoy celebramos contigo esta decision tan valiente y hermosa! Tu bautizo es una señal preciosa de que Cristo ha tocado tu corazón y estás dispuesta a caminar de Su mano todos los días.
Que el Señor te fortalezca, te guíe y te llene de Su paz en cada paso. 
Que nunca olvides que ahora eres una nueva creación en Él, y que Su amor y Su gracia te acompañarán siempre.
Cuenta con nosotros para orar, animarte y caminar juntos en este camino de fe. 
¡Bienvenida a esta nueva etapa! Dios tiene grandes cosas para ti.
Te amamos, 
Joan, Laura y Vale 🤍</t>
  </si>
  <si>
    <t xml:space="preserve">Te amamos, Joan, Laura y Vale </t>
  </si>
  <si>
    <t>Santander</t>
  </si>
  <si>
    <t xml:space="preserve">Gomez </t>
  </si>
  <si>
    <t>Santander Gomez</t>
  </si>
  <si>
    <t>Rosas rosadas</t>
  </si>
  <si>
    <t>Jaraba Silva</t>
  </si>
  <si>
    <t>Katia María</t>
  </si>
  <si>
    <t>Hotel Barranquilla Plaza, Habitación 910 - Edificio</t>
  </si>
  <si>
    <t>*Katia y Ali*
Hoy tenemos el honor de acompañarlos como padrinos en uno de los días más importantes de sus vidas. Ser testigos de la unión de dos personas que se aman, se eligen y se respetan es un regalo que atesoraremos siempre.
El matrimonio es un camino hermoso, construido día a día con paciencia, complicidad y amor. No se trata solo de celebrar el inicio, sino de seguir eligiéndose en cada etapa, en las alegrías y en los retos y tristezas, con esa certeza profunda de que juntos todo tiene más sentido.
Nos sentimos muy felices de ver cómo sus historias, sus valores y su manera de quererse se unen hoy para seguir formando un hogar lleno de propósito, respeto y perseverancia.
Sigan riéndose de la vida, siendo honestos el uno con el otro, dándose abrazos y atesorando todos esos pequeños detalles que hacen grande la vida, y sobretodo sigan siendo ejemplo de vida y amor para Mati.
Como padrinos, estaremos siempre aquí para ustedes: para celebrar sus logros, acompañarlos en los desafíos y recordarles, cuando sea necesario, el amor inmenso que los trajo hasta este día.
Que esta nueva etapa esté llena de luz, crecimiento, complicidad y lo más importante llena de la bendición de Dios, a él siempre entreguen todo, y que sea el pilar de sus vidas.
Eclesiastés 4:12
“Y si alguno prevaleciere contra uno, dos le resistirán; y cordón de tres dobleces no se rompe pronto.”</t>
  </si>
  <si>
    <t>Los amamos. Familia María Jaraba</t>
  </si>
  <si>
    <t>Agregar virgen pequeña Milagrosa</t>
  </si>
  <si>
    <t>Gabriel</t>
  </si>
  <si>
    <t>Ballesteros</t>
  </si>
  <si>
    <t xml:space="preserve">Maricel Sarabia Cervantes </t>
  </si>
  <si>
    <t>Calle 90b # 6h - 88 barrio el romance cordialidad - Casa</t>
  </si>
  <si>
    <t>Festejarlo junto a ti me hace sentir el hombre más afortunado. Espero que la vida nos regale muchos más cumpleaños juntos y muchos más momentos bonitos.
Feliz cumpleaños TE AMO</t>
  </si>
  <si>
    <t xml:space="preserve">Gabriel Ballesteros </t>
  </si>
  <si>
    <t>Karen</t>
  </si>
  <si>
    <t>Torrecilla</t>
  </si>
  <si>
    <t>Karen Torrecilla</t>
  </si>
  <si>
    <t>Entrega En Tienda - Entrega En Tienda Flora</t>
  </si>
  <si>
    <t xml:space="preserve">Ana María </t>
  </si>
  <si>
    <t>Hernandez</t>
  </si>
  <si>
    <t xml:space="preserve">Marisol Restrepo </t>
  </si>
  <si>
    <t>Calle 133 #53-365 casa 33</t>
  </si>
  <si>
    <t xml:space="preserve">Para una de nuestras clientas especiales y amiga de la marca de parte de Blessy joyería , le damos gracias a Dios por un año más de vida y te queremos mucho </t>
  </si>
  <si>
    <t xml:space="preserve">Blessy joyería </t>
  </si>
  <si>
    <t>Caballero</t>
  </si>
  <si>
    <t>Shadia Maria</t>
  </si>
  <si>
    <t>Cra 58 # 84-214 Apto 301 - Edificio</t>
  </si>
  <si>
    <t>Yanela, mi Ladybug:
Felicitaciones a ti y a Alan por la llegada de mi sobrino, Elias. Infinitas bendiciones y todo mi amor hacia el y ustedes. No veo la hora de conocerte. Los amo infinito.</t>
  </si>
  <si>
    <t>Con todo el amor Tía Tea</t>
  </si>
  <si>
    <t xml:space="preserve">Veronica </t>
  </si>
  <si>
    <t>Salcedo Lopera</t>
  </si>
  <si>
    <t>Verónica Salcedo</t>
  </si>
  <si>
    <t>Cra 49C#87-60 - Casa</t>
  </si>
  <si>
    <t>Es un bouquet para novia</t>
  </si>
  <si>
    <t>1× Virgen Guadalupe o Milagrosa Pequeña  fjajaala</t>
  </si>
  <si>
    <t>Rumie Dangond</t>
  </si>
  <si>
    <t>Catalina Dangond</t>
  </si>
  <si>
    <t>Carrera 51#76-87 edificio la pradera apto 10a - Edificio</t>
  </si>
  <si>
    <t xml:space="preserve">¡Bienvenido Zequi! Te amamos y ya te queremos conocer </t>
  </si>
  <si>
    <t>Tus tias, Andre, Mariam, Alexa, Maripau y Maria Clara</t>
  </si>
  <si>
    <t>Rada</t>
  </si>
  <si>
    <t>Laura Rada</t>
  </si>
  <si>
    <t>Bouquet surtido 40,000 flores para pudin 10,000</t>
  </si>
  <si>
    <t>Reposteria</t>
  </si>
  <si>
    <t>Amaria Reposteria</t>
  </si>
  <si>
    <t>Alvaro</t>
  </si>
  <si>
    <t>Arias</t>
  </si>
  <si>
    <t>Alvaro Arias</t>
  </si>
  <si>
    <t>Miranda</t>
  </si>
  <si>
    <t>Lilia Miranda</t>
  </si>
  <si>
    <t>1 Cabeza Preocupada rosada</t>
  </si>
  <si>
    <t>Erika</t>
  </si>
  <si>
    <t>Rozo</t>
  </si>
  <si>
    <t>Erika Rozo</t>
  </si>
  <si>
    <t>Calle 91 n 49c-46 oceana 91 apto 405 - Edificio</t>
  </si>
  <si>
    <t>Bouquet personalizado.</t>
  </si>
  <si>
    <t>Armando</t>
  </si>
  <si>
    <t>Solano</t>
  </si>
  <si>
    <t>Armando Solano</t>
  </si>
  <si>
    <t>3 paq eucalipto</t>
  </si>
  <si>
    <t xml:space="preserve">Guillermo </t>
  </si>
  <si>
    <t>Quintana</t>
  </si>
  <si>
    <t>Camila F. Camacho</t>
  </si>
  <si>
    <t>Oceana 52 cra 52 #106-213 - Conjunto</t>
  </si>
  <si>
    <t>1× Flora Mini Plus Box Cuadrada</t>
  </si>
  <si>
    <t>Feliz cumpleaños, mi amor. Te amo</t>
  </si>
  <si>
    <t xml:space="preserve">Guillermo Quintana </t>
  </si>
  <si>
    <t>Carlos Arturo</t>
  </si>
  <si>
    <t>Batista</t>
  </si>
  <si>
    <t>Carlos Arturo Batista</t>
  </si>
  <si>
    <t>Kevin</t>
  </si>
  <si>
    <t xml:space="preserve">Ibañez </t>
  </si>
  <si>
    <t>Heidy barrera</t>
  </si>
  <si>
    <t>Calle 98 # 65a -54  Brisas del rio - Edificio</t>
  </si>
  <si>
    <t>Nadin J.</t>
  </si>
  <si>
    <t>Abdala</t>
  </si>
  <si>
    <t xml:space="preserve">Renata Jiménez </t>
  </si>
  <si>
    <t>Crr 56 N 96 - 115 Apto 10C.  Edificio Tempus - Edificio</t>
  </si>
  <si>
    <t>Te amo</t>
  </si>
  <si>
    <t>bouquet 30 rosas fuscias sin follaje</t>
  </si>
  <si>
    <t>Padron</t>
  </si>
  <si>
    <t>Isabella Mantilla</t>
  </si>
  <si>
    <t>Gracias por escogerme amor de mi vida. Te mereces todo lo mejor.</t>
  </si>
  <si>
    <t xml:space="preserve">Con amor Luis Padron </t>
  </si>
  <si>
    <t>Tomas</t>
  </si>
  <si>
    <t>Jaramillo Cordoba</t>
  </si>
  <si>
    <t>Almacén Jota Jota</t>
  </si>
  <si>
    <t>Centro</t>
  </si>
  <si>
    <t>Calle 35 # 41-18 - Oficina</t>
  </si>
  <si>
    <t>Feliz cumpleaños Jefa, de parte de todo equipo de almacén jota jota y dansa.</t>
  </si>
  <si>
    <t>Con cariño Jota Jota y Dansa</t>
  </si>
  <si>
    <t>ortiz</t>
  </si>
  <si>
    <t>andrea ortiz</t>
  </si>
  <si>
    <t>Karoll</t>
  </si>
  <si>
    <t xml:space="preserve">Gutiérrez </t>
  </si>
  <si>
    <t xml:space="preserve">María Isabella Galán </t>
  </si>
  <si>
    <t>Carrera 41 D 74 95 Apto 1501 - Edificio</t>
  </si>
  <si>
    <t>Para la mejor y más bella bailarina:
Eres nuestro motivo de felicidad y nuestro más grande orgullo. 
Te amamos Chiqui!</t>
  </si>
  <si>
    <t xml:space="preserve">Papá y Mamá </t>
  </si>
  <si>
    <t>Ibañez</t>
  </si>
  <si>
    <t>Kevin Ibañez</t>
  </si>
  <si>
    <t>Caja grande x 36 rosas de colores</t>
  </si>
  <si>
    <t>Tiara</t>
  </si>
  <si>
    <t>Gomez</t>
  </si>
  <si>
    <t>Tiara Gomez</t>
  </si>
  <si>
    <t>bouquet surtido colores pasteles</t>
  </si>
  <si>
    <t xml:space="preserve">Emelly </t>
  </si>
  <si>
    <t xml:space="preserve">Ramírez puello </t>
  </si>
  <si>
    <t xml:space="preserve">Carol Tovar </t>
  </si>
  <si>
    <t>Cra44#50-105 Nuvoli 44 Apto 215 - Conjunto</t>
  </si>
  <si>
    <t>¡Feliz cumpleaños, mi niña hermosa!
Hoy celebramos tu vida, tu luz y toda la alegría que traes a quienes te queremos. Gracias por ser esa amiga incondicional, sincera y tan especial que ilumina nuestros días.
Que este nuevo año te regale bendiciones, sueños cumplidos y muchos momentos felices.
Recuerda siempre que aquí estamos para ti, para acompañarte, para reír y para abrazarte cuando lo necesites.
Con todo nuestro cariño,
Coquito y Eme 💛🎉✨</t>
  </si>
  <si>
    <t xml:space="preserve">Coquito y Eme </t>
  </si>
  <si>
    <t>Lizeth</t>
  </si>
  <si>
    <t>Lizeth Rodriguez</t>
  </si>
  <si>
    <t xml:space="preserve">FLABIA KATHERINE MUÑIZ ALGARIN </t>
  </si>
  <si>
    <t>Calle 75b # 38a 55 - Casa</t>
  </si>
  <si>
    <t xml:space="preserve"> Mi Amor Cada una de estas flores representa cada instante compartido contigo a lo largo de todos estos años, tu y mis hijos son la razón de mi felicidad, gracias por estar siempre en mi vida, FELIZ CUMPLEAÑOS MI AMOR </t>
  </si>
  <si>
    <t xml:space="preserve">JORGE LUIS ARIAS MENDOZA </t>
  </si>
  <si>
    <t>que quede colorido</t>
  </si>
  <si>
    <t>Karl</t>
  </si>
  <si>
    <t>Tomas Karl</t>
  </si>
  <si>
    <t>bouquet hortensias blancas con 6 rosas rojas</t>
  </si>
  <si>
    <t>Liliana</t>
  </si>
  <si>
    <t xml:space="preserve"> Orozco Thomas</t>
  </si>
  <si>
    <t>Liliana Orozco Thomas</t>
  </si>
  <si>
    <t>Con cariño y gratitud por ser una maestra de vida, por llevar luz a quienes la conocen y por ser un ejemplo inspirador. 
Con amor, 
Lili</t>
  </si>
  <si>
    <t>Maria Camila Cantillo</t>
  </si>
  <si>
    <t>Cantillo</t>
  </si>
  <si>
    <t>Nataly Ocampo</t>
  </si>
  <si>
    <t>Cra 59b # 91-74 Edificio Trivento Apto 601 - Casa</t>
  </si>
  <si>
    <t>Nats: 
Aunque estemos a 8.118km de distancia, siempre estaremos presente en tu vida y ahora en la de Mateo🩵
Los amamos con todo nuestro corazón! 
Att: Tías Cami e Isa</t>
  </si>
  <si>
    <t>Lacouture</t>
  </si>
  <si>
    <t>Martha Cardenas</t>
  </si>
  <si>
    <t>Calle 81 #56-74 Apto 9 - Casa</t>
  </si>
  <si>
    <t>Felices Bodas de Ébano mi amor, hoy cumplimos 31 años de haber formado esta linda familia junto a nuestras hijas Naty y Pao . Hoy quiero agradecer a Dios por todas las bendiciones y felicidad que nos ha dado durante este tiempo . Te quiero y te seguiré queriendo para toda la vida , eres mi mayor tesoro  y seguiré caminando junto a tu lado para protegerte en todo momento , Tu esposo que te quiero co. Todo el corazón ♥️</t>
  </si>
  <si>
    <t>Alberto Lacouture</t>
  </si>
  <si>
    <t xml:space="preserve">Javier </t>
  </si>
  <si>
    <t>ruiz</t>
  </si>
  <si>
    <t>Javier ruiz</t>
  </si>
  <si>
    <t>2× Flora Box Mediana Sembrado</t>
  </si>
  <si>
    <t>Hoy es 9…. Bendito 5! 
Será que te dan permiso ? 
Feliz Semana!</t>
  </si>
  <si>
    <t>Jose Durango</t>
  </si>
  <si>
    <t xml:space="preserve">Sandra </t>
  </si>
  <si>
    <t xml:space="preserve">Diaz </t>
  </si>
  <si>
    <t xml:space="preserve">Sandra Díaz </t>
  </si>
  <si>
    <t>Carrera 53 #135-49 conjunto quintas de Villa campestre 1 casa 90 - Conjunto</t>
  </si>
  <si>
    <t xml:space="preserve">Feliz cumpleaños Sra Mireya ❤️ la quiero mucho </t>
  </si>
  <si>
    <t xml:space="preserve">Con cariño Sandra </t>
  </si>
  <si>
    <t>juan diego</t>
  </si>
  <si>
    <t>arias</t>
  </si>
  <si>
    <t>juan diego arias</t>
  </si>
  <si>
    <t>Hilary</t>
  </si>
  <si>
    <t>Valderrama</t>
  </si>
  <si>
    <t>Hilary Valderrama</t>
  </si>
  <si>
    <t>Calle 99 # 56-48 apto 503 torre 1 - Conjunto santillana</t>
  </si>
  <si>
    <t>Para la bailarina más linda del mundo 🩷
Te amamos flaca linda 🩷</t>
  </si>
  <si>
    <t>Con amor, papá, mamá y nene</t>
  </si>
  <si>
    <t>boquet 6 rosas rosadas con papel rosado cinta rosado</t>
  </si>
  <si>
    <t xml:space="preserve">Vieco  </t>
  </si>
  <si>
    <t>Alberto Vieco</t>
  </si>
  <si>
    <t>Villafañez</t>
  </si>
  <si>
    <t>Andrea Albornoz</t>
  </si>
  <si>
    <t>Carrera 57 no 79-319 apto 30A - Edificio</t>
  </si>
  <si>
    <t>Preguntar andrea</t>
  </si>
  <si>
    <t xml:space="preserve">Karen </t>
  </si>
  <si>
    <t xml:space="preserve">Cañas </t>
  </si>
  <si>
    <t xml:space="preserve">Ana Romero </t>
  </si>
  <si>
    <t>calle 104# 53-49 edificio Zioon towers apto 904 - Edificio</t>
  </si>
  <si>
    <t>1× Flora Box Mediana tierra</t>
  </si>
  <si>
    <t>“Feliz cumpleaños!!. Que la vida te siga sorprendiendo bonito y que nunca te falte amor, salud ni motivos para sonreír.”</t>
  </si>
  <si>
    <t>Familia Urbina Cañas</t>
  </si>
  <si>
    <t>lo mas parecido</t>
  </si>
  <si>
    <t>Lis</t>
  </si>
  <si>
    <t>Angulo</t>
  </si>
  <si>
    <t>Marlen Davila</t>
  </si>
  <si>
    <t>calle 68 #  29 -100 casa - Casa</t>
  </si>
  <si>
    <t>olga beatriz</t>
  </si>
  <si>
    <t>Dangond de davila</t>
  </si>
  <si>
    <t>olga dangond</t>
  </si>
  <si>
    <t>CARRERA 52 # 82-109 EDIFICIO ARRECIFE APT 602 - Edificio</t>
  </si>
  <si>
    <t>A LA REINA DE NUESTRA FAMILIA , QUE PAPA DIOS TE REGALE MUCHISIMOS ANOS MAS PARA DISFRUTARTE! HAPPY BIRTHDAY MAMA OLGA! TE ADORO</t>
  </si>
  <si>
    <t>Link Wompi</t>
  </si>
  <si>
    <t>BEATRIZ ALICIA DANGOND</t>
  </si>
  <si>
    <t>Pagina Web</t>
  </si>
  <si>
    <t>pedido web. Virgen Milagrosa ver chat</t>
  </si>
  <si>
    <t>Gases del</t>
  </si>
  <si>
    <t>Caribe</t>
  </si>
  <si>
    <t>Angelica</t>
  </si>
  <si>
    <t>Cra 59# 59-145 - Casa</t>
  </si>
  <si>
    <t>Caja negra larga, rosas rojas</t>
  </si>
  <si>
    <t>Maria Monica</t>
  </si>
  <si>
    <t>Montenegro</t>
  </si>
  <si>
    <t xml:space="preserve">Mercedes Elena Ariza </t>
  </si>
  <si>
    <t>San Felipe</t>
  </si>
  <si>
    <t>Cl 65 # 26d31 apto1 piso2 ( arriba de farmavida) - Casa</t>
  </si>
  <si>
    <t>Dios te bendiga y te colme de salud . 
Te amamos Mece ❤️
Att: tu esposo Andrés , hijos andre y mary</t>
  </si>
  <si>
    <t>Marino</t>
  </si>
  <si>
    <t>Marcela Marino</t>
  </si>
  <si>
    <t>cra 57 no 79-360 apto 39 - Edificio</t>
  </si>
  <si>
    <t>4 bouquets surtidos tonos pasteles</t>
  </si>
  <si>
    <t>María José</t>
  </si>
  <si>
    <t>Charris Vizcaíno</t>
  </si>
  <si>
    <t xml:space="preserve">Daniela Hernández Kligman </t>
  </si>
  <si>
    <t>Carrera 59 #96-06</t>
  </si>
  <si>
    <t>Felicidades hija por este gran logro, brillaste en cada paso que diste. Tu familia te ama, ¡estamos orgullosos de ti!</t>
  </si>
  <si>
    <t>De tus papás.</t>
  </si>
  <si>
    <t>mas pequeño, flores rosadas</t>
  </si>
  <si>
    <t>Juan Carlos</t>
  </si>
  <si>
    <t>Juan Carlos Juliao</t>
  </si>
  <si>
    <t>Link Bold</t>
  </si>
  <si>
    <t>2 bouquets surtidos de 50,000</t>
  </si>
  <si>
    <t>Mary</t>
  </si>
  <si>
    <t xml:space="preserve">Gómez </t>
  </si>
  <si>
    <t xml:space="preserve">Mary gomez </t>
  </si>
  <si>
    <t>Calle 96#71-165 - Edificio</t>
  </si>
  <si>
    <t xml:space="preserve">Un premio a tu disciplina y dedicación </t>
  </si>
  <si>
    <t>Con amor tu mama</t>
  </si>
  <si>
    <t>un poco mas pequeño de $170 rosas rosadas es para una niña</t>
  </si>
  <si>
    <t>Emmanuel</t>
  </si>
  <si>
    <t>Cervantes</t>
  </si>
  <si>
    <t>Emmanuel Cervantes</t>
  </si>
  <si>
    <t xml:space="preserve">Michel </t>
  </si>
  <si>
    <t xml:space="preserve">Sierra Castro </t>
  </si>
  <si>
    <t xml:space="preserve">Calle 82b #78-41 </t>
  </si>
  <si>
    <t>Calle 82b #78-41 - Casa</t>
  </si>
  <si>
    <t>Mi amor, Aliannis…
Hoy cumplimos un año, y no sabes lo feliz que me hace mirar atrás y ver todo lo que hemos vivido juntos. Gracias por quererme, por tu paciencia, por tus detalles y por todas esas pequeñas cosas que haces sin darte cuenta y que me hacen sentir especial.
Ha sido un año bonito, real, con momentos que me han enseñado lo valiosa que eres para mí. Te quiero muchísimo, más de lo que a veces digo, pero de verdad espero que siempre lo sientas en cómo te miro, cómo te cuido y cómo te pienso.
Gracias por caminar conmigo este primer año… y por todo lo que nos falta por vivir.
Feliz aniversario, mi vida. ❤️</t>
  </si>
  <si>
    <t xml:space="preserve">Alvaro Mercado </t>
  </si>
  <si>
    <t>Arreglo en pecera, tonos pasteles</t>
  </si>
  <si>
    <t>Daniela Ospino Pombo</t>
  </si>
  <si>
    <t>Cra 57 # 72 107 - Oficina</t>
  </si>
  <si>
    <t>¡Feliz cumpleaños!
Hoy es tu día, y no podía dejarlo pasar sin decirte lo mucho que valoro tenerte en mi vida. Eres una persona especial, única, y deseo que este nuevo año te recompense con todo aquello que mereces.</t>
  </si>
  <si>
    <t>Martha</t>
  </si>
  <si>
    <t xml:space="preserve">Milo y Vera </t>
  </si>
  <si>
    <t>Cra 58 90 51 apto 1 - Edificio</t>
  </si>
  <si>
    <t>Bouquet x 59 rosas rojas</t>
  </si>
  <si>
    <t xml:space="preserve">59 rosas, simbolizando cada año de amor, comprensión, tolerancia y compromiso. Feliz aniversario. Martha, stella y familias </t>
  </si>
  <si>
    <t>59 rosas rojas.</t>
  </si>
  <si>
    <t>WILLY</t>
  </si>
  <si>
    <t>DAZA</t>
  </si>
  <si>
    <t>WILLY DAZA</t>
  </si>
  <si>
    <t>Vergara</t>
  </si>
  <si>
    <t>Laura Vergara</t>
  </si>
  <si>
    <t>Cra 52 82 203 apto 1501 - Edificio</t>
  </si>
  <si>
    <t xml:space="preserve">Marti felicitaciones por los logros que has alcanzado, nos encanta verte bailar y que seas feliz haciendo lo que haces. Nunca te rindas, siempre sigue adelante. Te amamos </t>
  </si>
  <si>
    <t>Con amor, tus papás y tu hermanito</t>
  </si>
  <si>
    <t>Maria Angelica</t>
  </si>
  <si>
    <t>Ahumada</t>
  </si>
  <si>
    <t>Pastora Paola Fernández</t>
  </si>
  <si>
    <t>calle 101c#49e-74edificio Rossini apto 7A - - Casa</t>
  </si>
  <si>
    <t>canasto navideño con velas rojas</t>
  </si>
  <si>
    <t>¡Feliz cumpleaños Pastora Paola!🥳🎈🎁
Porque yo sé los planes que tengo a cerca de vosotros, dice el Señor planes de bienestar y no de mal, para daros porvenir y esperanza. Jeremías 29:11
Con cariño y admiración,
Milena Gómez y María Angélica Ahumada.</t>
  </si>
  <si>
    <t>canasto navideño con las velas rojas</t>
  </si>
  <si>
    <t>ERIKA</t>
  </si>
  <si>
    <t>ARENAS</t>
  </si>
  <si>
    <t>Erika Arenas</t>
  </si>
  <si>
    <t>CALLE 93#7271 - Casa</t>
  </si>
  <si>
    <t>Feliz cumpleaños Isa, te queremos con todo nuestro corazón.
Para la hermana más especial (y la que más se parece a mi del mundo). TE AMAMOOOOS, NUUUNCA LO OLVIDESS</t>
  </si>
  <si>
    <t>Con cariño, Carlos y Erika</t>
  </si>
  <si>
    <t>jose manuel</t>
  </si>
  <si>
    <t>gonzalez</t>
  </si>
  <si>
    <t>jose manuel gonzalez</t>
  </si>
  <si>
    <t>Alexandra</t>
  </si>
  <si>
    <t>Martínez Aparicio</t>
  </si>
  <si>
    <t>Alexandra Martínez Aparicio</t>
  </si>
  <si>
    <t>Calle 81 no 56 - 21 apto 301 - Edificio</t>
  </si>
  <si>
    <t>Queridos Pita y Pito,
Gracias por enseñarnos que el amor es  la fuerza que nos une!
Feliz aniversario 51
Los amamamos.</t>
  </si>
  <si>
    <t>Sus hijas e hijos</t>
  </si>
  <si>
    <t>Un florero de vidrio pequeño con 12 rosas rojas y follaje verde.
Gracias</t>
  </si>
  <si>
    <t xml:space="preserve">Mercedes </t>
  </si>
  <si>
    <t>mercedez rodrígez</t>
  </si>
  <si>
    <t>bouquet x 5 rosas</t>
  </si>
  <si>
    <t>BLANCA</t>
  </si>
  <si>
    <t>SANCHEZ</t>
  </si>
  <si>
    <t>BLANCA SANCHEZ</t>
  </si>
  <si>
    <t>BOUQUET X 12 ROSAS ROJAS Y AMARILLAS</t>
  </si>
  <si>
    <t xml:space="preserve">alexandra </t>
  </si>
  <si>
    <t>iguaran</t>
  </si>
  <si>
    <t>alexandra iguaran</t>
  </si>
  <si>
    <t>Julie Acevedo</t>
  </si>
  <si>
    <t>delicias</t>
  </si>
  <si>
    <t>Calle 69D # 40-49 torre 6 apartamento 3C conjunto las delicias - Conjunto</t>
  </si>
  <si>
    <t xml:space="preserve">Porfavor llamar antes de realizar el envío </t>
  </si>
  <si>
    <t xml:space="preserve">Con cariño de parte de Camila, Estefanía y Daniela. Te amamos, te extrañamos y esperamos verte pronto. Dios te bendiga hoy y siempre. </t>
  </si>
  <si>
    <t>Piraneque</t>
  </si>
  <si>
    <t>Karol Javer</t>
  </si>
  <si>
    <t>carrera 41 #71-73 Local Taran - Edificio</t>
  </si>
  <si>
    <t>Bella Ka. Celebro tu día con estas florecitas y como dijo tu novio el Eduardo Cullen: "The way you look right now...You're much more than beautiful ". Feliz Cumpleaños!!</t>
  </si>
  <si>
    <t>Con cariño, Tu amiga virtual</t>
  </si>
  <si>
    <t>Domenica</t>
  </si>
  <si>
    <t>Manzo</t>
  </si>
  <si>
    <t xml:space="preserve">Cra 57 #79/360 </t>
  </si>
  <si>
    <t>00</t>
  </si>
  <si>
    <t xml:space="preserve">Para nuestra bailarina estrella! </t>
  </si>
  <si>
    <t>Para Monique, nuestra bailarina estrella. Te amamos</t>
  </si>
  <si>
    <t>ROSARIO</t>
  </si>
  <si>
    <t>BARROSPAEZ</t>
  </si>
  <si>
    <t>VALENTINA BERNAL</t>
  </si>
  <si>
    <t>CRA 52 N°99A-168 RESERVAS DE SAN BERNARDO - Conjunto</t>
  </si>
  <si>
    <t xml:space="preserve">PRONTA RECUPERACION TE QUEREMOS! </t>
  </si>
  <si>
    <t>TIA CHARY Y NELSON</t>
  </si>
  <si>
    <t xml:space="preserve">Fundación Daniela Álvarez </t>
  </si>
  <si>
    <t>Daniela Álvarez</t>
  </si>
  <si>
    <t>Ana María Aljure</t>
  </si>
  <si>
    <t>Cra57 #84-53 apto 603 - Edificio</t>
  </si>
  <si>
    <t>La Fundación Daniela Álvarez celebra tu vida y agradece enormemente tu generosidad y el invaluable apoyo que nos brindas,  para llevar alegrías y esperanzas a personas en condición de discapacidad.
Que PapaDios te siga bendiciendo en salud, amor y éxitos!
Recibe nuestro cariño.
Dani , Zandra y Equipo de trabajo</t>
  </si>
  <si>
    <t xml:space="preserve">Dani </t>
  </si>
  <si>
    <t>fabrizzio</t>
  </si>
  <si>
    <t>caldas</t>
  </si>
  <si>
    <t>fabrizzio caldas</t>
  </si>
  <si>
    <t xml:space="preserve">María Fernanda </t>
  </si>
  <si>
    <t>Carrillo</t>
  </si>
  <si>
    <t>María Fernanda Carrillo</t>
  </si>
  <si>
    <t>DIDIER</t>
  </si>
  <si>
    <t>RODRÍGUEZ</t>
  </si>
  <si>
    <t xml:space="preserve">María Nancy </t>
  </si>
  <si>
    <t>calle 93 No 42C -123  Apartamento 1202 - Edificio</t>
  </si>
  <si>
    <t>Feliz cumpleaños, mujer valiente y luchadora…
Hoy no solo celebro tu vida, celebro la fortuna de conocerte y admirarte. Porque en ti se mezclan la fuerza y la ternura, la valentía y la delicadeza, esa combinación que te hace ver  única.
Eres de esas mujeres que no se rinden, que avanzan aun con el alma cansada, y que aun así encuentran espacio para regalar luz a los demás. Por eso hoy quiero desearte un año lleno de amor, de calma, de sueños cumplidos… y de momentos en los que te sientas tan querida como te lo mereces.
Que este nuevo capítulo te encuentre sonriendo, llena de vida y rodeada del amor que tú misma inspiras.
ojalá la vida nos siga dando el privilegio de acompañarte en tus batallas, tus alegrías y tus días más hermosos.
Feliz cumpleaños, mujer valiente…. 💫❤️</t>
  </si>
  <si>
    <t>PABLO</t>
  </si>
  <si>
    <t>ELIAS</t>
  </si>
  <si>
    <t>PABLO ELIAS</t>
  </si>
  <si>
    <t>BOUQUET</t>
  </si>
  <si>
    <t>polo vilario</t>
  </si>
  <si>
    <t>Daniel polo vilario</t>
  </si>
  <si>
    <t>Verónica Maria</t>
  </si>
  <si>
    <t xml:space="preserve">Verónica Salcedo </t>
  </si>
  <si>
    <t>Apto 2F - Casa</t>
  </si>
  <si>
    <t>Bouquet para novia</t>
  </si>
  <si>
    <t>mARÍA JOSE C</t>
  </si>
  <si>
    <t xml:space="preserve">Wilson Medina Ferrer </t>
  </si>
  <si>
    <t>SALA DE VELACION LOS OLIVOS VÍA AL MAR - Casa</t>
  </si>
  <si>
    <t>315 4921199</t>
  </si>
  <si>
    <t>1× Cruz</t>
  </si>
  <si>
    <t xml:space="preserve">FIRST GRADE A SBS OJO CINTA,NO TARJETA
</t>
  </si>
  <si>
    <t>pedro</t>
  </si>
  <si>
    <t>quizena</t>
  </si>
  <si>
    <t>pedro quizena</t>
  </si>
  <si>
    <t>oasis doble</t>
  </si>
  <si>
    <t xml:space="preserve">Rossana Mendoza </t>
  </si>
  <si>
    <t>Calle 90 # 58-51 edificio Forest 59 - Apto 803 - Edificio</t>
  </si>
  <si>
    <t>¡Feliz Navidad de parte de B.U.V Studio!
Gracias por elegirnos
¡Nos complace recorrer este camino juntos!</t>
  </si>
  <si>
    <t>Con cariño, Beatriz Ugarriza Verbel</t>
  </si>
  <si>
    <t>Kiara</t>
  </si>
  <si>
    <t>Monachello</t>
  </si>
  <si>
    <t xml:space="preserve">Viviana Núñez </t>
  </si>
  <si>
    <t>Cra 57 #90-122 - Casa</t>
  </si>
  <si>
    <t>En México y en nuestra boda, la madrina de ramo tiene un significado muy especial. Es la persona encargada de acompañar el ramo hasta el altar para ofrecerlo a la Virgen, como un gesto de fe, gratitud y protección para nuestro matrimonio. Es un momento simbólico que representa bendición, apoyo y amor.
No existe mejor persona que tú para llevar este honor. Tu fe, tu corazón generoso y la presencia tan importante que has tenido en mi vida hacen que este gesto sea aún más valioso para mí. Sería un regalo enorme poder compartir contigo ese instante tan significativo.
¿Aceptarías ser mi madrina de ramo?</t>
  </si>
  <si>
    <t>ADICIONAR VIRGEN PEQUEÑA</t>
  </si>
  <si>
    <t xml:space="preserve">Figueroa </t>
  </si>
  <si>
    <t xml:space="preserve">Marilena </t>
  </si>
  <si>
    <t>Cra 59 #82-63 Barranquilla Apto 1001 - Casa</t>
  </si>
  <si>
    <t>Para: Marilena 
De: Maxi, Elo y Lorenzo. 
Feliz cumpleaños Nonna, te amamos y celebramos tu vida hoy y por 100 años más. 
Tus nietos</t>
  </si>
  <si>
    <t>BOUQUET X 70 ROSAS</t>
  </si>
  <si>
    <t>Alex</t>
  </si>
  <si>
    <t xml:space="preserve">Paula andrea Murcia </t>
  </si>
  <si>
    <t>Cra 42f n 82-139 - Casa</t>
  </si>
  <si>
    <t xml:space="preserve">Rosita de mi vida, que tu belleza siempre alegre mi día </t>
  </si>
  <si>
    <t xml:space="preserve">Con mucho amor alexander Rodríguez </t>
  </si>
  <si>
    <t>EDITH</t>
  </si>
  <si>
    <t>Cra 51b #93 85 Variades ceci - Casa</t>
  </si>
  <si>
    <t>CAJA HEXAGONAL GRANDE SURTIDA</t>
  </si>
  <si>
    <t>Pajaro Martinez</t>
  </si>
  <si>
    <t>Vanessa toro</t>
  </si>
  <si>
    <t>Los Alpes</t>
  </si>
  <si>
    <t>Carrera 44 # 85-163 edificio park 87 - Edificio</t>
  </si>
  <si>
    <t>300 4410698</t>
  </si>
  <si>
    <t>De: AAP
Para: Toro
Solo quiero que te des cuenta que cambiaría todos mis momentos del pasado por vivir nuevamente uno solo contigo.
Love u</t>
  </si>
  <si>
    <t>AAP</t>
  </si>
  <si>
    <t xml:space="preserve">Luis </t>
  </si>
  <si>
    <t xml:space="preserve">Murillo </t>
  </si>
  <si>
    <t>Gina Hernández mercado</t>
  </si>
  <si>
    <t>TV 43c N 102 - 153 apartamento 1014 torre 2 - Conjunto</t>
  </si>
  <si>
    <t>Feliz cumpleaños mi amor !</t>
  </si>
  <si>
    <t>Con cariño tu amor ♥️</t>
  </si>
  <si>
    <t>camila</t>
  </si>
  <si>
    <t>robayo</t>
  </si>
  <si>
    <t>camila robayo</t>
  </si>
  <si>
    <t>cra 57#70-42 club abc - Casa</t>
  </si>
  <si>
    <t xml:space="preserve"> 321 6981443</t>
  </si>
  <si>
    <t>4 CENTROS DE MESA DE UN PLATO PEQUEÑO EN SOLO VERDE</t>
  </si>
  <si>
    <t>YESMIN FRANCISCO</t>
  </si>
  <si>
    <t>DUARTE GONZALEZ</t>
  </si>
  <si>
    <t>MARLENE MUÑOZ</t>
  </si>
  <si>
    <t>Calle 57 #44 - 108 AP 202 - A mitad de cuadra, Edificio de 2 pisos - Edificio</t>
  </si>
  <si>
    <t>Marle,
Eres mi complemento perfecto.</t>
  </si>
  <si>
    <t>Te quiero,  Yesmín Francisco</t>
  </si>
  <si>
    <t>Isabel</t>
  </si>
  <si>
    <t>María Salazar</t>
  </si>
  <si>
    <t>La Paz</t>
  </si>
  <si>
    <t>Cra 13c # 86-12 - Casa</t>
  </si>
  <si>
    <t xml:space="preserve">Feliz Cumpleaños </t>
  </si>
  <si>
    <t>Angie Jimenez</t>
  </si>
  <si>
    <t>Calle 94 #57 40 apto 202 - Casa</t>
  </si>
  <si>
    <t>1× Flora Box Lirios</t>
  </si>
  <si>
    <t>Feliz Cumpleaños
con mucho amor</t>
  </si>
  <si>
    <t>Isa</t>
  </si>
  <si>
    <t>Maria Paula</t>
  </si>
  <si>
    <t>Aranda Torres</t>
  </si>
  <si>
    <t>Juan Antonio Torres</t>
  </si>
  <si>
    <t>Cra 59 # 81 - 229 Edificio Venice Apto 1501 - Edificio</t>
  </si>
  <si>
    <t>Mi gran ejemplo y mi bendición,
Papi, hoy y siempre tú eres la razón.
Llevo con orgullo tu apellido,
y quien me conozca sabrá que eres mi inspiración.
Tú eres un gran imán de personas.
Qué alegría que Dios te dio ese don.
Desde la distancia te abrazo,
pero siempre te llevo cerca en mi corazón.
Feliz cumpleaños, Papi,
tu felicidad es el galardón.</t>
  </si>
  <si>
    <t>Con amor, Pau</t>
  </si>
  <si>
    <t>OJO,FLORES AZULES Y NARANJA</t>
  </si>
  <si>
    <t xml:space="preserve">Luis  </t>
  </si>
  <si>
    <t>Salazar</t>
  </si>
  <si>
    <t>Nany</t>
  </si>
  <si>
    <t>Cl. 135 #53-52,conjunto, quinta de Villa campestre 2 casa 57 - Casa</t>
  </si>
  <si>
    <t>Isaya</t>
  </si>
  <si>
    <t xml:space="preserve">Arteta Arévalo </t>
  </si>
  <si>
    <t xml:space="preserve">ISAYA ARTETA </t>
  </si>
  <si>
    <t>Carrera 22 #1E-86. Conjunto Amore TORRE 15-801 - Conjunto</t>
  </si>
  <si>
    <t xml:space="preserve">Para la ingeniería más hermosa, la dueña de mi corazón ♥️ </t>
  </si>
  <si>
    <t>Con amor , Osvaldo Alba Reyes.</t>
  </si>
  <si>
    <t>Mejia Pertuz</t>
  </si>
  <si>
    <t>Andrea Carolina</t>
  </si>
  <si>
    <t xml:space="preserve">No puedo borrar el pasado, pero si puedo volver a empezar.
</t>
  </si>
  <si>
    <t>Rafucho</t>
  </si>
  <si>
    <t>Zapata</t>
  </si>
  <si>
    <t>Sianna Zapata</t>
  </si>
  <si>
    <t>Carrera 49C No. 99 - 30, Apto. 104 T2 - Ed. Skorpio - Edificio</t>
  </si>
  <si>
    <t>¡Feliz primer añito, mi princesa hermosa! Hoy vamos a festejar con alegría y amor, celebrando cada sonrisa y cada momento especial de tu vida y que este primer año sea solo el comienzo de una vida llena de bendiciones, amor, salud y momentos muy felices.
Te amo,</t>
  </si>
  <si>
    <t xml:space="preserve">Tu papá </t>
  </si>
  <si>
    <t>lara</t>
  </si>
  <si>
    <t>natalia hernandez</t>
  </si>
  <si>
    <t>Transferencia 3220</t>
  </si>
  <si>
    <t>matrimonio</t>
  </si>
  <si>
    <t>Garcia Jimenez</t>
  </si>
  <si>
    <t>Daniela Lascano</t>
  </si>
  <si>
    <t>Cra 42A 4 #84-202 - Edificio</t>
  </si>
  <si>
    <t>10/12/2025
Para el amor de mi vida y mi futura esposa.
Cumplir 10 meses juntos puede ser mucho o poco, pero eso deja de ser importante cuando este tiempo ha sido el más increíble y especial de mi vida. Encontrarte, conocerte, amarte y querer quedarme contigo por siempre ha sido el mejor regalo que Dios y la vida me han dado. Gracias por tu ternura, por tu luz, por hacerme sentir el hombre más feliz del mundo amándome tanto. Cada día a tu lado confirma que quiero construirlo todo contigo, sueños, experiencias, una familia, un futuro, TODO contigo.
Que Dios nos permita celebrar el estar juntos por siempre.
Te amo con mi alma.
Tu futuro esposo.</t>
  </si>
  <si>
    <t>Tu futuro esposo</t>
  </si>
  <si>
    <t>Sanulac Nutricion</t>
  </si>
  <si>
    <t>empresa</t>
  </si>
  <si>
    <t>elena ortega</t>
  </si>
  <si>
    <t>Kra 23  Diagonal 2c 175  Conjunto Delamar apto 205 torre 2 . - Casa</t>
  </si>
  <si>
    <t>1× Ancheta Lirio | 1× Vino Blanco Terra Vega</t>
  </si>
  <si>
    <t>Link Payu</t>
  </si>
  <si>
    <t>Agradezco mucho la colaboración con el pedido qué quede  altico él arreglo  Qué lleve uvas  ademas de las otra s frutas  El vino  Qué él tono dé las Flores sea pasteles pero qué tambien tenga algunas en tonos fuertes qué le hagan. Contraste</t>
  </si>
  <si>
    <t xml:space="preserve">Vianny </t>
  </si>
  <si>
    <t xml:space="preserve">Romero Flórez </t>
  </si>
  <si>
    <t xml:space="preserve">María Francisca Gutiérrez </t>
  </si>
  <si>
    <t>Calle 76# 56- 30 Apto 2103 - Edificio</t>
  </si>
  <si>
    <t>1× Topper Mejorate Pronto | 1× Cerámica Orquidea Aire</t>
  </si>
  <si>
    <t>Mari, te queremos y extrañamos mucho. 
Tu familia UNinorte.</t>
  </si>
  <si>
    <t xml:space="preserve">Dirección de Comunicación y Mercadeo </t>
  </si>
  <si>
    <t xml:space="preserve">Magno comunicaciones </t>
  </si>
  <si>
    <t>Y marketing sas</t>
  </si>
  <si>
    <t xml:space="preserve">Daniela Santa María </t>
  </si>
  <si>
    <t>Nani, pido a Dios fortaleza para ti y tu familia. Estoy contigo, recuerda lo que te dije. Te quiero y te extraño amiga ❤️ Maleja
Dani, siento mucho tu dolor. Te envío un abrazo inmenso y mucha fuerza para estos días. Te quiero y recuerda que cuentas con mi apoyo. Alis
Dani,
Recibe todo nuestro cariño en este momento tan doloroso. No existen palabras que alivien una pérdida así, pero queremos que sepas que estamos contigo, que cuentas con nosotras para lo que necesites y que no estás sola.
Te abrazamos con el alma.
Con todo nuestro cariño,
Margui y Naty
No hay palabras que puedan aliviar tu dolor, pero quiero que sepas que tu familia y tú están en mis oraciones Dani. Te acompaño con un abrazo sincero. Con cariño Jenny</t>
  </si>
  <si>
    <t xml:space="preserve">Con amor, MAGNO </t>
  </si>
  <si>
    <t>sudario de $200.000 rosas blancas</t>
  </si>
  <si>
    <t>B&amp;A INGENIERIA Y CONSTRUCCIONES SAS</t>
  </si>
  <si>
    <t>rosas rojas,hipérico rojo,pino,ruscus</t>
  </si>
  <si>
    <t xml:space="preserve">Dulce </t>
  </si>
  <si>
    <t>Gasperi</t>
  </si>
  <si>
    <t>NH collection hotel recepción habitation 1007</t>
  </si>
  <si>
    <t>Calle 80 51-5 Barranquilla, Atlántico Colombia - Oficina</t>
  </si>
  <si>
    <t>Feliz cumpleaños avi. Te amo</t>
  </si>
  <si>
    <t>Diane</t>
  </si>
  <si>
    <t>duvan villa</t>
  </si>
  <si>
    <t xml:space="preserve">María Mónica </t>
  </si>
  <si>
    <t xml:space="preserve">María Mónica Rodríguez </t>
  </si>
  <si>
    <t>Cra59b#94-28 apto 4A - Edificio</t>
  </si>
  <si>
    <t>Las rosas rosadas💗</t>
  </si>
  <si>
    <t xml:space="preserve">Shirley </t>
  </si>
  <si>
    <t xml:space="preserve">Villegas </t>
  </si>
  <si>
    <t xml:space="preserve">Mónica </t>
  </si>
  <si>
    <t>CRA 55 # 79 - 43 piso 7 Edificio Balmoral - Edificio</t>
  </si>
  <si>
    <t>Queridos amigos,
Gracias por la atención tan especial y única con la que me recibieron. Me hicieron sentir honrado y profundamente apreciado. Su generosidad y cariño se quedan en mi corazón.
Un fuerte abrazo!</t>
  </si>
  <si>
    <t xml:space="preserve">Pedro González </t>
  </si>
  <si>
    <t>Maria Isabella Borrero</t>
  </si>
  <si>
    <t>Cra 55#80-56 apto 4 - Edificio</t>
  </si>
  <si>
    <t>Zorris, vas a ser la bride más hermosa del mundo y aún más importante, la más feliz! Disfrutate esta etapa al máximo que es única. Te quierooo de aquí a la luna forever and ever contigo!!! Que viva el amor, Angs</t>
  </si>
  <si>
    <t>Angs</t>
  </si>
  <si>
    <t>Ht Industries Colombia Sas Esp</t>
  </si>
  <si>
    <t>del castillo</t>
  </si>
  <si>
    <t>Carol  Nobmann</t>
  </si>
  <si>
    <t>Cra 57 # 90-38 - Edificio</t>
  </si>
  <si>
    <t>1× Flora Box Mediana redonda 24 Rosas rosadas</t>
  </si>
  <si>
    <t>Feliz inicio de Navidad.</t>
  </si>
  <si>
    <t>Antonio Blasco</t>
  </si>
  <si>
    <t>caja redonda mediana con rosas rosadas</t>
  </si>
  <si>
    <t xml:space="preserve">Emilio </t>
  </si>
  <si>
    <t xml:space="preserve">Sanz </t>
  </si>
  <si>
    <t xml:space="preserve">Isabella Puerto </t>
  </si>
  <si>
    <t>Calle 78 # 55 - 157 Ed Boulevard 78 apto 203 - Edificio</t>
  </si>
  <si>
    <t xml:space="preserve">Se quedó esto en el camión de la mudanza. </t>
  </si>
  <si>
    <t xml:space="preserve">Emilio Sanz </t>
  </si>
  <si>
    <t xml:space="preserve">Alvaro </t>
  </si>
  <si>
    <t xml:space="preserve">Ochoa </t>
  </si>
  <si>
    <t xml:space="preserve">Ana ochoa </t>
  </si>
  <si>
    <t>Malambo</t>
  </si>
  <si>
    <t>Cra 29# 26-47  el concord - Casa</t>
  </si>
  <si>
    <t>Mamá:
En todos estos años quizá no te he dicho lo suficiente cuánto te quiero y te admiro. Eres el modelo de mujer tierna, cariñosa y trabajadora incansable que lo dio todo por sus hijos.
Nunca podré pagarte tanto amor y sacrificio. Gracias por ser como eres, mamá. Que Jehová te siga cuidando y recompense todo tu gran esfuerzo por sacarnos adelante.
Te amo con todo mi corazón.
Tu hijo, Álvaro</t>
  </si>
  <si>
    <t xml:space="preserve">Tu hijo , Álvaro </t>
  </si>
  <si>
    <t xml:space="preserve">Jesika </t>
  </si>
  <si>
    <t xml:space="preserve">Padilla </t>
  </si>
  <si>
    <t xml:space="preserve">Calle 104 # 53-49 edificio Zion Tower apto 1002 </t>
  </si>
  <si>
    <t>Apto 1002 - Edificio</t>
  </si>
  <si>
    <t xml:space="preserve">Eres espectacular y brillante victoria, te amamos mucho. 
</t>
  </si>
  <si>
    <t xml:space="preserve">Papá, mamá y Hermano Emmanuel </t>
  </si>
  <si>
    <t xml:space="preserve">kevin </t>
  </si>
  <si>
    <t>1× Bouquet Gerbera en tonos pasteles</t>
  </si>
  <si>
    <t>Mildre 
En esta fecha tan especial deseo que Dios derrame mucha salud sobre tu existir para que puedas disfrutar de cada una de las bendiciones que él te regala. Espero que tengas un día súper especial al lado de todos los seres que amas y que te aman. Feliz cumpleaños 
Con todo mi cariño 
 Heidy Barrera</t>
  </si>
  <si>
    <t>maría angélica</t>
  </si>
  <si>
    <t>orozco lobo</t>
  </si>
  <si>
    <t>maría angelica orozco</t>
  </si>
  <si>
    <t>don ernesto cra 52 entre 79 y 76 - Casa</t>
  </si>
  <si>
    <t>2 centros de mesa alargados de 60 cms en tonos pasteles varios tipos de rosados.</t>
  </si>
  <si>
    <t>valentina isabel</t>
  </si>
  <si>
    <t>ospino ospino</t>
  </si>
  <si>
    <t>valentina isabel ospino ospino</t>
  </si>
  <si>
    <t>Isaac</t>
  </si>
  <si>
    <t>Salcedo</t>
  </si>
  <si>
    <t>Paola Fernandez</t>
  </si>
  <si>
    <t>Cra 59 No 81 229 - Edificio</t>
  </si>
  <si>
    <t>1× Bouquet 36 Rosas Rojas 6  ferreros más topper feliz día</t>
  </si>
  <si>
    <t xml:space="preserve">Hoy celebramos a una mujer que nos enseñó todo lo que sabemos y nos impulso a ser las personas en la que nos hemos convertido! Hoy celebramos a la mejor mama del mundo!! Aunque no estamos ahi aladito, espero que puedas sentir lo mucho que te amamos! Feliz cumpleaños mami!! </t>
  </si>
  <si>
    <t>De: Isaac Y Salo</t>
  </si>
  <si>
    <t>Maria lucia</t>
  </si>
  <si>
    <t xml:space="preserve">Brieva </t>
  </si>
  <si>
    <t xml:space="preserve">Esther Lucía hoyos </t>
  </si>
  <si>
    <t>Carrera 50 # 84-115 apto 2b - Casa</t>
  </si>
  <si>
    <t xml:space="preserve">Feliz cumpleaños a mi persona favorita y el mejor ejemplo que pude pedir, felices 50 </t>
  </si>
  <si>
    <t xml:space="preserve">Con amor, Lu </t>
  </si>
  <si>
    <t xml:space="preserve">Pierre </t>
  </si>
  <si>
    <t xml:space="preserve">Rochel Gómez </t>
  </si>
  <si>
    <t xml:space="preserve">Gabriela Lache </t>
  </si>
  <si>
    <t>Cra 59#91-41 - Casa</t>
  </si>
  <si>
    <t>bouquet en hortencias azules y gypso</t>
  </si>
  <si>
    <t>Por lo que llevamos tanto esperando. Te amo.</t>
  </si>
  <si>
    <t xml:space="preserve">Con cariño , tu novio. </t>
  </si>
  <si>
    <t>Bouquet de hortensias azules con gypsophilea</t>
  </si>
  <si>
    <t xml:space="preserve">Antonella </t>
  </si>
  <si>
    <t xml:space="preserve">Imbett spada </t>
  </si>
  <si>
    <t xml:space="preserve">Andrea Díaz </t>
  </si>
  <si>
    <t>Chiquinquirá</t>
  </si>
  <si>
    <t>1× Guacal Surtido Lirio | 1× Ferrero Rocher 8 und</t>
  </si>
  <si>
    <t>Que en la tarjeta de diga de parte de Antonella I y Carlos b</t>
  </si>
  <si>
    <t>Con cariño amiga 💗</t>
  </si>
  <si>
    <t>mercelena Badillo</t>
  </si>
  <si>
    <t>uninorte puerta 7 - Casa</t>
  </si>
  <si>
    <t>57 315 2369138</t>
  </si>
  <si>
    <t>BOUQUET GERBERA</t>
  </si>
  <si>
    <t>bouquet  gerbera pastel</t>
  </si>
  <si>
    <t xml:space="preserve">MARÍA JOSE </t>
  </si>
  <si>
    <t>ASMAR</t>
  </si>
  <si>
    <t>MARÍA JOSE ASMAR</t>
  </si>
  <si>
    <t>BOUQUET SURTIDO</t>
  </si>
  <si>
    <t xml:space="preserve">gustavo </t>
  </si>
  <si>
    <t>salcedo</t>
  </si>
  <si>
    <t>gustavo salcedo</t>
  </si>
  <si>
    <t>cra 59#81-229 venice apto 3002 - Edificio</t>
  </si>
  <si>
    <t>315 7215229</t>
  </si>
  <si>
    <t>rosas rojas redondo sin follaje envuelto en papel y rosas blancas igual ambos de 24 rosas</t>
  </si>
  <si>
    <t>veronica</t>
  </si>
  <si>
    <t>salcedo lopera</t>
  </si>
  <si>
    <t>veronica salcedo</t>
  </si>
  <si>
    <t>Carrera 49C #87-60. Apto 2F - Casa</t>
  </si>
  <si>
    <t>botonier como flores bouquet</t>
  </si>
  <si>
    <t xml:space="preserve">Valentina </t>
  </si>
  <si>
    <t xml:space="preserve">Zobeida Arévalo </t>
  </si>
  <si>
    <t>tabor</t>
  </si>
  <si>
    <t>Zoby, gracias por acompañarnos desde nuestros primeros pasos, por llenarnos la vida de amor, paciencia y comprensión. Fuiste, eres y serás el pilar de nuestro hogar, una madre incomparable y una esposa excepcional. Tu energía, alegría y luz ilumina nuestro gajo de corozo. Te amamos, feliz cumpleaños ❤️</t>
  </si>
  <si>
    <t>Tu familia ❤️</t>
  </si>
  <si>
    <t>Este fue el que seleccione  y quiero que tenga solo tonos azules, morados y fucsia, con respecto a las flores ósea esas de color naranja y rosado palo no</t>
  </si>
  <si>
    <t>Alejandro</t>
  </si>
  <si>
    <t>Cianci</t>
  </si>
  <si>
    <t>Alejandro Cianci</t>
  </si>
  <si>
    <t>Carlos Mario</t>
  </si>
  <si>
    <t>González Luna</t>
  </si>
  <si>
    <t>Miltón Peralta</t>
  </si>
  <si>
    <t>Carrera 51B # 79 296 Centro Comercial Distrito 51 Local 12 - Centro Comercial</t>
  </si>
  <si>
    <t>Cielo, 
Me siento muy orgulloso de ti y tus logros, que este nuevo camino profesional este lleno de éxitos.</t>
  </si>
  <si>
    <t>Con amor, Carlos M. González Luna</t>
  </si>
  <si>
    <t>Cotes</t>
  </si>
  <si>
    <t>Alejandro Cotes</t>
  </si>
  <si>
    <t>Estas rosas son para recordarte que incluso en los dias dificiles, mi amor por ti sigue siendo mas fuerte. Te extrañé y estoy feliz de tenerte de vuelta</t>
  </si>
  <si>
    <t>Gonzalez De Castro</t>
  </si>
  <si>
    <t>Ruth De Castro</t>
  </si>
  <si>
    <t>Calle 66 # 50-50 apto 104b edificio CAC - Casa</t>
  </si>
  <si>
    <t>Hoy celebramos una vez más tu vida mami. Gracias a Dios del cielo por darte estos 73 años de existencia. Eres una mujer valiente, dedicada, la mejor abuela y madre. Que sean otros 73 años más para disfrutarte.</t>
  </si>
  <si>
    <t>Te amamos infinito, tu hija y nieta</t>
  </si>
  <si>
    <t>Bouquet de girasoles surtido</t>
  </si>
  <si>
    <t>Posada</t>
  </si>
  <si>
    <t>Juan David Posada</t>
  </si>
  <si>
    <t>Carrera 57 n 90-73 edificio Geraldine 1 , apto 7b Marea</t>
  </si>
  <si>
    <t>316 6180703</t>
  </si>
  <si>
    <t>1× Bouquet 12 Rosas quicksand</t>
  </si>
  <si>
    <t>Mucha suerte , felicitaciones por tu disciplina, constancia y tantos logros. Te amamos
Juan del mar, papá y mamá</t>
  </si>
  <si>
    <t>Obsequio</t>
  </si>
  <si>
    <t>rosa quisand</t>
  </si>
  <si>
    <t>Mazzillo</t>
  </si>
  <si>
    <t>Mónica Guzman</t>
  </si>
  <si>
    <t>cra 71 #80-67 - Casa</t>
  </si>
  <si>
    <t>Hoy son 27 años juntos luchando у gozando pero podemos decir que triunfamos lo que nos falta lo andaremos como siempre juntos.
Te amo Amadeo"</t>
  </si>
  <si>
    <t>Amadeo Mazzillo</t>
  </si>
  <si>
    <t>Antony</t>
  </si>
  <si>
    <t>Edificio boracay apto 706 - Edificio calle 73#39-139</t>
  </si>
  <si>
    <t>flora mini plus redonda ponerle algunas rosas</t>
  </si>
  <si>
    <t>¡Feliz cumpleaños!</t>
  </si>
  <si>
    <t>Herazo</t>
  </si>
  <si>
    <t>Daniela Herazo</t>
  </si>
  <si>
    <t>Cra 51B # 3B Conjunto residencial ciudad del mar - Conjunto</t>
  </si>
  <si>
    <t xml:space="preserve">Tu casi novia </t>
  </si>
  <si>
    <t>Bouquet de margaritas amarillas
Entrega 1:40pm</t>
  </si>
  <si>
    <t>Jean</t>
  </si>
  <si>
    <t>Domínguez Díaz</t>
  </si>
  <si>
    <t>Jensy Plata</t>
  </si>
  <si>
    <t>calle 65 # 41-05 edificio carson fiesta apto 207 - Edificio</t>
  </si>
  <si>
    <t>301 7121192</t>
  </si>
  <si>
    <t>Un año contigo
y todavía me asombra
que el universo, cuando te nombro,
respire distinto.
Porque en tu abrazo
hasta el silencio florece.</t>
  </si>
  <si>
    <t>Te ama, Jean.</t>
  </si>
  <si>
    <t xml:space="preserve">JUAN CARLOS </t>
  </si>
  <si>
    <t>AYALA</t>
  </si>
  <si>
    <t>JUAN CARLOS AYALA</t>
  </si>
  <si>
    <t>molina</t>
  </si>
  <si>
    <t>diana</t>
  </si>
  <si>
    <t>river place cra 30# 12-196 torre 1 apto 304 - Casa</t>
  </si>
  <si>
    <t>1× Marquito Girasol bolsa de pétalos</t>
  </si>
  <si>
    <t xml:space="preserve">Salomé </t>
  </si>
  <si>
    <t>cra 78#79c34 - Conjunto</t>
  </si>
  <si>
    <t>Feliz cumpleaños mi amor
Te mereces el cielo y mucho más 
Te amo mi princesa</t>
  </si>
  <si>
    <t>Alejo</t>
  </si>
  <si>
    <t>Bayuelo</t>
  </si>
  <si>
    <t>Carolina Rojas</t>
  </si>
  <si>
    <t>Cl. 81b #64-10 - apto 701 - Edificio</t>
  </si>
  <si>
    <t>300 2741588</t>
  </si>
  <si>
    <t>FELIZ CUMPLEAÑOS</t>
  </si>
  <si>
    <t xml:space="preserve">Joel </t>
  </si>
  <si>
    <t xml:space="preserve">Saray Arellano </t>
  </si>
  <si>
    <t>Cra72 #91a-100 T7 apto 627 - Conjunto</t>
  </si>
  <si>
    <t>Gracias por hacerme feliz todos los meses, te amo, uno más ❤️</t>
  </si>
  <si>
    <t>Con amor, tu boyf❤️</t>
  </si>
  <si>
    <t>Sebastián</t>
  </si>
  <si>
    <t>Escaf</t>
  </si>
  <si>
    <t xml:space="preserve">Sebastián Ortiz </t>
  </si>
  <si>
    <t>Carrera 51 # 79 -34 - Oficina</t>
  </si>
  <si>
    <t>Por más años juntos</t>
  </si>
  <si>
    <t xml:space="preserve">El otro Sebastián </t>
  </si>
  <si>
    <t xml:space="preserve">Margarita </t>
  </si>
  <si>
    <t>Orozco</t>
  </si>
  <si>
    <t>Margarita Orozco</t>
  </si>
  <si>
    <t>Cra 43b # 87 - 93 - Edificio Dante stil novo</t>
  </si>
  <si>
    <t>1× Bouquet 12 Rosas rosadas y lilas papel rosado</t>
  </si>
  <si>
    <t>Felicidades princesa lo hiciste maravillos</t>
  </si>
  <si>
    <t>es para una niña</t>
  </si>
  <si>
    <t xml:space="preserve">GRUPO LANGOSTINOS SAS  </t>
  </si>
  <si>
    <t>n</t>
  </si>
  <si>
    <t>GRUPO LANGOSTINOS SAS</t>
  </si>
  <si>
    <t>310 6623313</t>
  </si>
  <si>
    <t>centro de mesa 60.000
flores botellitas azules 25.000
arreglo base rosada 50.000</t>
  </si>
  <si>
    <t>Nadin</t>
  </si>
  <si>
    <t>Valentina Alvear Barraza -Tecnoglass</t>
  </si>
  <si>
    <t>Las Flores</t>
  </si>
  <si>
    <t>Calle 110, avenida circunvalar, Tecnoglas, en la garita peatonal donde esta el semáforo intermitente. Garita 1 - Oficina</t>
  </si>
  <si>
    <t>Vamos mi amor lindo. Tu puedes con todo mi rosita, ERES LA MEJOR ❤️</t>
  </si>
  <si>
    <t xml:space="preserve">Nadin </t>
  </si>
  <si>
    <t>Maira</t>
  </si>
  <si>
    <t>Fonseca</t>
  </si>
  <si>
    <t>Maira Fonseca</t>
  </si>
  <si>
    <t>jarron surtido</t>
  </si>
  <si>
    <t>Moisés David</t>
  </si>
  <si>
    <t>Pereira Gonzalez</t>
  </si>
  <si>
    <t>Moises Pereira</t>
  </si>
  <si>
    <t>Cra 75A #87-28 torre 5 apto 302 - Conjunto</t>
  </si>
  <si>
    <t>1× Arreglo bouquet 6 tulipanes</t>
  </si>
  <si>
    <t>Feliz cumpleaños amor, disfruta mucho tu día que como te lo mereces y con las personas que amas. 
que sean muchos cumpleaños mas juntos</t>
  </si>
  <si>
    <t>con amor, Moisés</t>
  </si>
  <si>
    <t>bouquet de 6 tulipanes</t>
  </si>
  <si>
    <t>john</t>
  </si>
  <si>
    <t>Pineda</t>
  </si>
  <si>
    <t>Sebastián Muñoz</t>
  </si>
  <si>
    <t>Cra 26#3A-20 Conjunto de casas - Casa</t>
  </si>
  <si>
    <t>Karim</t>
  </si>
  <si>
    <t>Stefanell De La Rosa</t>
  </si>
  <si>
    <t>Karim Stefanell</t>
  </si>
  <si>
    <t>Carrera 49C #99-30 Edificio Skorpio Torre 1 Apto 202 - Casa</t>
  </si>
  <si>
    <t xml:space="preserve">Eres el amor de mi vida y espero caminar a tu lado un millon de años mas
</t>
  </si>
  <si>
    <t>- Karim</t>
  </si>
  <si>
    <t>M</t>
  </si>
  <si>
    <t>ARREGLO EN BASE  DE 60.000
PECERA PEQUEÑA SURTIDA DE 45.000</t>
  </si>
  <si>
    <t>GRUPO LANGOSTINOS SASGR</t>
  </si>
  <si>
    <t>V</t>
  </si>
  <si>
    <t>CENTRO DE MESA ALARGADO PEQUEÑO DE 60000
FLORES BOTELLITAS 35.000</t>
  </si>
  <si>
    <t xml:space="preserve">ramon </t>
  </si>
  <si>
    <t>quintero</t>
  </si>
  <si>
    <t>patricia perez</t>
  </si>
  <si>
    <t>cra 59#81-229 venice apto 301 - Edificio</t>
  </si>
  <si>
    <t>More,feliz aniversario,que mi dios siga bendiciendo nuestro hogar y nuestro matrimonio.
que sean muchos años más,te amo.
tu more</t>
  </si>
  <si>
    <t>OJO PONERLE ROSAS ROJAS,BLANCAS Y AMARILLAS</t>
  </si>
  <si>
    <t>LUIS</t>
  </si>
  <si>
    <t>GONZALEZ</t>
  </si>
  <si>
    <t>Liliana González</t>
  </si>
  <si>
    <t>calle 84 # 42c -355 edificio balcones de Santa María apto 203  Barrio de entrega: Nuevo Horizonte - Casa</t>
  </si>
  <si>
    <t>Mamá, hoy celebramos tu vida, y no hay regalo que pueda igualar todo lo que tú significas para mí. Gracias por tu amor infinito, por tus consejos que siempre llegan en el momento exacto y por tus abrazos que lo curan todo. Eres mi ejemplo, mi hogar y mi mayor bendición.
En tu cumpleaños deseo que te rodeen los detalles bonitos, las sonrisas sinceras y toda la felicidad que mereces. Ojalá este día sea tan especial como el amor que nos entregas cada día.
Te adoro con el alma. Feliz cumpleaños, mamá.</t>
  </si>
  <si>
    <t>alvarez</t>
  </si>
  <si>
    <t>sara lopez</t>
  </si>
  <si>
    <t>cra 48#96a-47Conjunto el crisol casa 101📞 - Casa</t>
  </si>
  <si>
    <t>Te deseo hoy y siempre que seas feliz, que Dios nos regale mil momentos y viajes 
Te amo 
Diyi</t>
  </si>
  <si>
    <t>marquito surtido pastel como catálogo</t>
  </si>
  <si>
    <t xml:space="preserve">María Catalina </t>
  </si>
  <si>
    <t>Visbal</t>
  </si>
  <si>
    <t>Inés Agredo</t>
  </si>
  <si>
    <t>Carrera 53 No. 82-148. Apto. 4. Edificio Porlamar - Edificio</t>
  </si>
  <si>
    <t>Nine, 
Que estás flores alegren tu día y te acompañen en una pronta recuperación.
Nos vemos en una semana.</t>
  </si>
  <si>
    <t>Te queremos mucho.  Martín y Fede</t>
  </si>
  <si>
    <t>Thomas</t>
  </si>
  <si>
    <t>Kruger</t>
  </si>
  <si>
    <t>Thomas Kruger</t>
  </si>
  <si>
    <t>Que la 'Vorfreude' termina. Que tanto he esperado esto amor. Hoy con menos nervios pero con más ansias.Te quiero ❤️</t>
  </si>
  <si>
    <t>ContraEntrega</t>
  </si>
  <si>
    <t>Con amor Thomas</t>
  </si>
  <si>
    <t>click mercadeo y medios sas</t>
  </si>
  <si>
    <t>v</t>
  </si>
  <si>
    <t xml:space="preserve">Cristina </t>
  </si>
  <si>
    <t xml:space="preserve">Sarabia </t>
  </si>
  <si>
    <t>Edificio Marco Polo Cra 55 #80 56 - Casa</t>
  </si>
  <si>
    <t xml:space="preserve"> 312 6217828</t>
  </si>
  <si>
    <t>Mari b,
Estamos muy emocionadas y felices por ti. Felicitaciones por el compromiso, se casa la cuarta hermana sarabia! Sabes que cuentas con nosotras para lo que necesites en esta bridal era. Les deseamos una vida llena de mucho amor y bendiciones. Hacen una pareja espectacular y Jaime is so luckyyy to have you! 
We Love You!!
Alex, Juli y Cristy Sarabia</t>
  </si>
  <si>
    <t>Chaves</t>
  </si>
  <si>
    <t>Shadia Boudez</t>
  </si>
  <si>
    <t>Carrera 55#96-86 apto 301A - Edificio</t>
  </si>
  <si>
    <t>Que te mejores mi amor
Te amo❤️</t>
  </si>
  <si>
    <t xml:space="preserve">Sebastián </t>
  </si>
  <si>
    <t>fernando</t>
  </si>
  <si>
    <t>carrillo</t>
  </si>
  <si>
    <t>fernando carrillo</t>
  </si>
  <si>
    <t>bouquet x 18 rosas</t>
  </si>
  <si>
    <t xml:space="preserve">Ledesma </t>
  </si>
  <si>
    <t>Paula ledesma</t>
  </si>
  <si>
    <t>Calle 112 # 42-19 Torre 16 apto 301 Alameda del Río Barranquilla- Atlántico - Edificio</t>
  </si>
  <si>
    <t>Happy birthday my love</t>
  </si>
  <si>
    <t>- Daniel</t>
  </si>
  <si>
    <t>MARÍA PAULA</t>
  </si>
  <si>
    <t>SILVA</t>
  </si>
  <si>
    <t>MARIA PAULA</t>
  </si>
  <si>
    <t>Cra 59b # 96-133 apto 10b - Casa</t>
  </si>
  <si>
    <t>5 bases 10x10 con hortencias azule claro,verde emeral y rosas blancas,pueden ver foto.</t>
  </si>
  <si>
    <t>Angie</t>
  </si>
  <si>
    <t>Coronel</t>
  </si>
  <si>
    <t>Angie Coronel</t>
  </si>
  <si>
    <t>Ale, gracias por tu gestión y disposición. Te deseamos lo mejor en este nuevo comienzo. Éxitos en lo que viene.</t>
  </si>
  <si>
    <t>Con cariño, J16PCCM</t>
  </si>
  <si>
    <t>oriana</t>
  </si>
  <si>
    <t>lusgarten</t>
  </si>
  <si>
    <t>oriana lusgarten</t>
  </si>
  <si>
    <t>311 3043191</t>
  </si>
  <si>
    <t>flores surtidas caja redonda grande</t>
  </si>
  <si>
    <t xml:space="preserve"> instituto de medicina y cirugía de frank Lamadrid  </t>
  </si>
  <si>
    <t>m</t>
  </si>
  <si>
    <t>instituto de medicina y cirugía de frank Lamadrid</t>
  </si>
  <si>
    <t>Canastos surtidos coloridos</t>
  </si>
  <si>
    <t>5 Canastos coloridos</t>
  </si>
  <si>
    <t>Roberto</t>
  </si>
  <si>
    <t>1× Flora Box Mediana topper hbd</t>
  </si>
  <si>
    <t xml:space="preserve">Felices de compartir con una gran esposa y la mas inigualable mamá. Que este nuevo año, te traiga bendiciones, tranquilidad, paz y todos tus deseos se cumplan.
</t>
  </si>
  <si>
    <t>Te queremos Nene y Pa</t>
  </si>
  <si>
    <t>Mayelin</t>
  </si>
  <si>
    <t>Mayelin Vergara</t>
  </si>
  <si>
    <t xml:space="preserve">Anna </t>
  </si>
  <si>
    <t xml:space="preserve">Addonizio </t>
  </si>
  <si>
    <t xml:space="preserve">Elsa de Gouveia </t>
  </si>
  <si>
    <t>Vía 40 calle 77B#74-65 - Oficina</t>
  </si>
  <si>
    <t xml:space="preserve">Para Mí Dulce Virgen de Guadalupe </t>
  </si>
  <si>
    <t xml:space="preserve">Anna Addonizio </t>
  </si>
  <si>
    <t>Box mini navideño . Importante que lleve las rosas blancas</t>
  </si>
  <si>
    <t>Evelyn</t>
  </si>
  <si>
    <t>García</t>
  </si>
  <si>
    <t>Nelcy Bedoya</t>
  </si>
  <si>
    <t>Cra 52 n 79 216 apto 902 - Edificio</t>
  </si>
  <si>
    <t>Querida Nelcy, feliz cumpleaños.
Dios y la virgen te bendigan y te acompañen siempre. Gracias por tu cariño y por ser una parte tan especial de nuestra familia.</t>
  </si>
  <si>
    <t>Rosa y Cecilia</t>
  </si>
  <si>
    <t>Alicia</t>
  </si>
  <si>
    <t>Bustos</t>
  </si>
  <si>
    <t xml:space="preserve">Andrea anillo </t>
  </si>
  <si>
    <t>Carrera 58 # 90-108. Edificio Palma Vecchia. Apto 702 - Edificio</t>
  </si>
  <si>
    <t>Hoy celebramos tu vida, tus 35 años y la mujer tan fuerte, valiente y luminosa que eres. Sabemos que no estás pasando por el mejor momento, pero queremos que sepas que no estás sola. La Virgencita de Guadalupe te acompaña, te cubre con su manto y te sostiene en cada paso, especialmente ahora con la salud de tu papá.
Que este nuevo año te encuentre rodeada de amor, fe y esperanza. Te admiramos profundamente y estamos aquí para ti, siempre.</t>
  </si>
  <si>
    <t>Te amamos. Dani, Diani y Ali</t>
  </si>
  <si>
    <t>Alessandro</t>
  </si>
  <si>
    <t>Pendinelli</t>
  </si>
  <si>
    <t xml:space="preserve">Karen Ponton </t>
  </si>
  <si>
    <t>Parque venezuela</t>
  </si>
  <si>
    <t>Cra 44 No. 85-130  Apt. 602  Edificio: EVORA 85  Barranquilla, Colombia - Casa</t>
  </si>
  <si>
    <t xml:space="preserve">Ciao amore, I Hope these brighten your day! Thinking of you and wanted to send a little sunshine.I can’t wait to see you! </t>
  </si>
  <si>
    <t xml:space="preserve">Con carino Alessandro Pendinelli </t>
  </si>
  <si>
    <t>prince</t>
  </si>
  <si>
    <t>Sarah &amp; Salomón</t>
  </si>
  <si>
    <t>🎉✨ ¡Feliz cumpleaños EMMA ! ✨🎉
Hoy es un día súper especial porque celebramos a una niña fantástica, llena de energía, imaginación y una sonrisa que alegra a todos. 🌈💖
Espero que tus 9 años estén llenos de juegos divertidos, momentos mágicos, nuevos aprendizajes y mucha felicidad. Que cada día descubras algo maravilloso y sigas brillando como siempre. 🌟
¡Disfruta mucho tu día, y cada sorpresa!</t>
  </si>
  <si>
    <t>Con Cariño, Sarah &amp; Salomón</t>
  </si>
  <si>
    <t>Hernández</t>
  </si>
  <si>
    <t>Solangi Castro</t>
  </si>
  <si>
    <t>Cra 52#106-213 edificio oceana 52 apartamentos Apto 1207 torre 2 - Edificio</t>
  </si>
  <si>
    <t xml:space="preserve">Hola mi amor, ya casi nos casamos y no puedo evitar sonreír cada vez que lo pienso. Gracias por ser mi paz, mi apoyo y mi lugar seguro. Te quiero muchísimo y estoy feliz de compartir la vida contigo. </t>
  </si>
  <si>
    <t xml:space="preserve">Daniel Gaviria </t>
  </si>
  <si>
    <t>SILVANA YADIRA</t>
  </si>
  <si>
    <t>Maria Amashta</t>
  </si>
  <si>
    <t>Sabeh Cure</t>
  </si>
  <si>
    <t>Cra 49c#80-255 Apto 12C - Edificio</t>
  </si>
  <si>
    <t>Feliz Cumpleaños</t>
  </si>
  <si>
    <t>Silvana Maria</t>
  </si>
  <si>
    <t xml:space="preserve"> Luigi </t>
  </si>
  <si>
    <t xml:space="preserve">Frieri </t>
  </si>
  <si>
    <t>lina agudelo</t>
  </si>
  <si>
    <t>Cra 56 # 80 - 81 apto 11 edificio cristal (casa o apto #) - Casa</t>
  </si>
  <si>
    <t>te amo mi choky love</t>
  </si>
  <si>
    <t>juan</t>
  </si>
  <si>
    <t>palacio</t>
  </si>
  <si>
    <t xml:space="preserve">maria carolina viloria </t>
  </si>
  <si>
    <t>Cl. 58 #55 - 66 - Oficina universidad de la costa. llamarla. Puerta principal</t>
  </si>
  <si>
    <t>Y … si hablamos de casualidades, en este mundo tú eres mi favorita….</t>
  </si>
  <si>
    <t xml:space="preserve">De la santisima trinidad </t>
  </si>
  <si>
    <t>bouquet lirio ver char $75000</t>
  </si>
  <si>
    <t xml:space="preserve">Ángel </t>
  </si>
  <si>
    <t>Gando</t>
  </si>
  <si>
    <t xml:space="preserve">Tía Ketty </t>
  </si>
  <si>
    <t>Calle 99#49d-77 - Casa</t>
  </si>
  <si>
    <t>Feliz Cumpleaños Tia   De Angel   Para Tia Ketty</t>
  </si>
  <si>
    <t>Angel</t>
  </si>
  <si>
    <t>gabriela y claudia</t>
  </si>
  <si>
    <t>301 3723831</t>
  </si>
  <si>
    <t>1× Flora Box Redonda 70 Rosas | 1× Flora Box Mediana Topiario</t>
  </si>
  <si>
    <t>Alvaro Mendoza</t>
  </si>
  <si>
    <t>una docena de rosas</t>
  </si>
  <si>
    <t>Jairo</t>
  </si>
  <si>
    <t>plata</t>
  </si>
  <si>
    <t xml:space="preserve">Myrian Angeline Noguera </t>
  </si>
  <si>
    <t>Pricesmart</t>
  </si>
  <si>
    <t>Transversal 57 n 99-180 apto 1704 conjunto Select - Edificio</t>
  </si>
  <si>
    <t>1× Flora Box Grande 50 Rosas</t>
  </si>
  <si>
    <t>One and only 
I love you</t>
  </si>
  <si>
    <t>En canasto de 100 rosas rosas rojas 50 con hiperico rojo</t>
  </si>
  <si>
    <t>Joan</t>
  </si>
  <si>
    <t>Vargas</t>
  </si>
  <si>
    <t>Luz Adriana Sampayo</t>
  </si>
  <si>
    <t>Carrera 55 #100-51, Piso 11, Ofic 1102 - Edificio</t>
  </si>
  <si>
    <t>Amor,
Feliz cumpleaños. Gracias por ser mi compañera, mi alegría y mi futuro. Me hace feliz saber que un día serás mi esposa y que seguiremos construyendo todo lo que soñamos, Que Dios te bendiga hoy y siempre. Te amo con el alma.</t>
  </si>
  <si>
    <t>Con amor, Joan Vargas</t>
  </si>
  <si>
    <t>Duvis carolin</t>
  </si>
  <si>
    <t>Ojeda gonzalez</t>
  </si>
  <si>
    <t>Barranquilla</t>
  </si>
  <si>
    <t>Barranquilla conjunto residencial Irati Calle 96 # 71-109 apto 202 torre B  Barrio Rio Alto, (Villa Carolina ), - Casa</t>
  </si>
  <si>
    <t>Mensaje de tarjeta : ¡feliz aniversario número 3 esposa, te amo!</t>
  </si>
  <si>
    <t xml:space="preserve">Angel Mugno </t>
  </si>
  <si>
    <t xml:space="preserve">Catalina </t>
  </si>
  <si>
    <t xml:space="preserve">Alvarez </t>
  </si>
  <si>
    <t>Catalina Alvarez</t>
  </si>
  <si>
    <t>¡Bienvenida a casa Gabs, te amamos mucho!</t>
  </si>
  <si>
    <t>Ivan</t>
  </si>
  <si>
    <t>Lau</t>
  </si>
  <si>
    <t>Carrera 36 no 76-56 - Casa</t>
  </si>
  <si>
    <t>¡Hola Lau, soy Juli! El día de hoy te quiero desear un feliz cumpleaños, que sigas cumpliendo muchos años más y que Dios te acompañe siempre en tu camino hacia el futuro, de verdad quisiera con mi alma poder acompañarte en este día tan especial para ti y más porque son tus quince años, donde entras a una nueva etapa de tu vida, pero ya por cosas que se me salen de las manos no pude asistir, por eso mismo te mando este detalle por mi parte, el cual aunque no esté allá te lo mando por el fin de que sepas que eres tan importante para mí que con mucho cariño te lo envío, espero y disfrutes mucho de este día junto a tus allegados y amigos, pásala súper bien en tu fiesta que en el nombre de Dios será grandiosa, te quiero mucho amor 💕</t>
  </si>
  <si>
    <t>Evelyng Torres</t>
  </si>
  <si>
    <t xml:space="preserve">Bolita, hoy floreces como las hortensias que te envío: pétalos de esfuerzo, raíces de sueños, y un perfume de victoria que regocija el alma.  Que cada color te recuerde que creciste con luz propia, incluso en los días nublados.  Estoy tan orgullosa de ver cómo tu historia se abre al mundo, hermosa y llena de vida. </t>
  </si>
  <si>
    <t xml:space="preserve">Tu hermana que te ama hasta el infinito. </t>
  </si>
  <si>
    <t>Any</t>
  </si>
  <si>
    <t>Escudero</t>
  </si>
  <si>
    <t>Any Escudero</t>
  </si>
  <si>
    <t>calle 90 53-12 - Casa</t>
  </si>
  <si>
    <t>1× Guacal Hortensias</t>
  </si>
  <si>
    <t>Aliyn, felicidades por tu grado. Que este sea solo el comienzo de muchas cosas lindas✨</t>
  </si>
  <si>
    <t xml:space="preserve">Sophia Arguello </t>
  </si>
  <si>
    <t>Arguello Camargo</t>
  </si>
  <si>
    <t>Calle 99 #58-99 Edificio Portobelo  Torre 2, Apt 893 - Edificio</t>
  </si>
  <si>
    <t>1 paquete eucalipto, 2 paquetes de margaritas lilas,1 paquete de rosas blancas</t>
  </si>
  <si>
    <t>te deseamos un lindo dia de cumpleaños, te queremos y te extrañamos mucho 
Firma: Jaime, Constanza y Alejandro</t>
  </si>
  <si>
    <t>flores sueltas</t>
  </si>
  <si>
    <t>Gladys</t>
  </si>
  <si>
    <t>Gari</t>
  </si>
  <si>
    <t>Gladys Gari</t>
  </si>
  <si>
    <t>Rafin 1 paq</t>
  </si>
  <si>
    <t>Pareja</t>
  </si>
  <si>
    <t>Maria Monica Pareja</t>
  </si>
  <si>
    <t>Jenifer</t>
  </si>
  <si>
    <t>Jenifer gutierre</t>
  </si>
  <si>
    <t>Calle 52 #55-131 Edificio de Posgrados universidad de la costa - Oficina</t>
  </si>
  <si>
    <t>Con este msj: 
En nombre del equipo de Posgrados, queremos expresarte nuestras más sinceras felicitaciones por tu graduación. Este logro es el resultado de tu dedicación, compromiso y disciplina.
Ha sido un honor acompañarte en este proceso y verte cumplir esta importante meta. Te deseamos muchos éxitos en tu vida profesional y en cada proyecto que decidas emprender.
¡Felicidades por este gran logro!</t>
  </si>
  <si>
    <t>David, Gyna, Clau, Yaja, Dany, Lily, Katy, Sharys y Jenn</t>
  </si>
  <si>
    <t>Yazmin galvis</t>
  </si>
  <si>
    <t>Galvis</t>
  </si>
  <si>
    <t>Yazmin galvis Galvis</t>
  </si>
  <si>
    <t>Cra 52# 106-140 casa 51 - Casa</t>
  </si>
  <si>
    <t>1× Flora Box Solitario Rosa | 1× Marquito Orquidea | 1× Marquito 12 Rosas</t>
  </si>
  <si>
    <t>Mi hija hermosa eres UNICA y hoy  alegraa nuestras vidas tenerte  te amamos  .
Albeiro, Yazmin , ivann</t>
  </si>
  <si>
    <t>Albeiro, Yazmin, ivqn</t>
  </si>
  <si>
    <t>marquito de rosas en color amarillo</t>
  </si>
  <si>
    <t>Jessica Liliana</t>
  </si>
  <si>
    <t>Pinto Garcia</t>
  </si>
  <si>
    <t>Jeysel Ortiz</t>
  </si>
  <si>
    <t>Cra 58 68 78 apto 301 - Edificio</t>
  </si>
  <si>
    <t>300 9757223</t>
  </si>
  <si>
    <t>No necesito un día especial para recordarte lo mucho que te amo, doy gracias a Dios y a la vida cada día por poder compartir a tu lado! 
Te amo mi princesa, gracias por amarme de la forma que lo haces, gracias por crear un hogar juntas.</t>
  </si>
  <si>
    <t xml:space="preserve">Jess P. </t>
  </si>
  <si>
    <t>Alarcon</t>
  </si>
  <si>
    <t>Juan Carlos Alarcon</t>
  </si>
  <si>
    <t>Alvarez</t>
  </si>
  <si>
    <t>Daniela Alvarez</t>
  </si>
  <si>
    <t>Maury</t>
  </si>
  <si>
    <t>Santiago Maury</t>
  </si>
  <si>
    <t>Flores sueltas
8  rosas
4 margaritas</t>
  </si>
  <si>
    <t>Maria Bernanda</t>
  </si>
  <si>
    <t>Zirene</t>
  </si>
  <si>
    <t>Maria Bernanda Zirene</t>
  </si>
  <si>
    <t>Jarrones</t>
  </si>
  <si>
    <t>La Cumbre</t>
  </si>
  <si>
    <t>Cra42G#90-165 casa - Casa</t>
  </si>
  <si>
    <t>3× Mini Box Surtida</t>
  </si>
  <si>
    <t>Roys Corzo Ingenieria SAS</t>
  </si>
  <si>
    <t>Corzo</t>
  </si>
  <si>
    <t>Datafono Credibanco</t>
  </si>
  <si>
    <t>royscorzo@hotmail.com</t>
  </si>
  <si>
    <t xml:space="preserve">Diana Puentes </t>
  </si>
  <si>
    <t>Cra 55#84-118 apto 402 edificio Britannia - Edificio</t>
  </si>
  <si>
    <t xml:space="preserve">Bienvenida a casa . Te queremos mucho . Juanfer y Sandra </t>
  </si>
  <si>
    <t xml:space="preserve">Sandra y Juanfer </t>
  </si>
  <si>
    <t>Molina</t>
  </si>
  <si>
    <t>Evis Pacheco</t>
  </si>
  <si>
    <t>Calle 70b #41-52  Apto 504 - Edificio</t>
  </si>
  <si>
    <t>Mi amor, gracias a Dios por poner en mi vida a una mujer maravillosa que siempre me ha apoyado. Si pudiera elegir de nuevo, te elegiría a ti. Gracias por nuestra familia. Te amo.</t>
  </si>
  <si>
    <t xml:space="preserve">Con amor Alexis </t>
  </si>
  <si>
    <t xml:space="preserve">Dania </t>
  </si>
  <si>
    <t>Dani</t>
  </si>
  <si>
    <t>calle 83 #78-102 - Casa</t>
  </si>
  <si>
    <t xml:space="preserve">Bienvenida Mamá </t>
  </si>
  <si>
    <t xml:space="preserve">de tus hijas y nieta. </t>
  </si>
  <si>
    <t>Margarita</t>
  </si>
  <si>
    <t>Statler</t>
  </si>
  <si>
    <t xml:space="preserve">Casa </t>
  </si>
  <si>
    <t>Carrera 59 #74-102, Barranquilla, Colombia - Casa</t>
  </si>
  <si>
    <t>Feliz Cumpleaños Mami! 
Te queremos mucho!</t>
  </si>
  <si>
    <t xml:space="preserve">Con cariño, Mencho, Sophie, Anna, Mike y John </t>
  </si>
  <si>
    <t>Hemer</t>
  </si>
  <si>
    <t xml:space="preserve">Adelaida Ortega </t>
  </si>
  <si>
    <t>Calle 77B #59-61 Oficina 203 Centro Empresarial Las Americas 2 Empresa Aconstruir - Oficina</t>
  </si>
  <si>
    <t xml:space="preserve">Feliz cumpleaños. Gracias por ser esa mujer tan admirable, fuerte y amorosa que sostiene a esta familia. Somos afortunados de tenerte! Te queremos y extrañamos mucho. </t>
  </si>
  <si>
    <t xml:space="preserve">Juan y Vale. </t>
  </si>
  <si>
    <t xml:space="preserve">maría </t>
  </si>
  <si>
    <t>del risco</t>
  </si>
  <si>
    <t>Mami</t>
  </si>
  <si>
    <t xml:space="preserve">Te amo mami. Nada me hace más feliz que acompañarte hoy después de tanto. Feliz cumpleaños </t>
  </si>
  <si>
    <t xml:space="preserve">Jandita </t>
  </si>
  <si>
    <t xml:space="preserve"> Mónica Domínguez </t>
  </si>
  <si>
    <t>Carrera 57 #133-170 conjunto lagomar casa 72C - Casa</t>
  </si>
  <si>
    <t>1× Mini Box Hortensias y Mini Rosa | 1× Vino Tinto Terra Vega | 1× Topper Feliz Aniversario</t>
  </si>
  <si>
    <t>¡Feliz Aniversario!la familia que somos hoy es el resultado de 35 años de entrega uno al otro.que el amor y la unión siempr
los amamos y extrañamos,
e reine en sus vidas.los amamamos y extrañamos</t>
  </si>
  <si>
    <t>juan y vale</t>
  </si>
  <si>
    <t>Fayad Ramos</t>
  </si>
  <si>
    <t>Estefania Sierra Juliao</t>
  </si>
  <si>
    <t>Cra 52c #94-70 edificio Rincon de altavista apartamento 601 - Edificio</t>
  </si>
  <si>
    <t>adrian</t>
  </si>
  <si>
    <t>jaramillo</t>
  </si>
  <si>
    <t>adrian jaramillo</t>
  </si>
  <si>
    <t>adriana suarez</t>
  </si>
  <si>
    <t>catalina</t>
  </si>
  <si>
    <t>gutierrez de piñeres</t>
  </si>
  <si>
    <t>sandra celedon</t>
  </si>
  <si>
    <t>cra 56#79-225 bellagio - Casa</t>
  </si>
  <si>
    <t>OJO CON  36 ROSAS AMARILLAS Y EUCALIPTO</t>
  </si>
  <si>
    <t>PRESTIGE BTL SAS</t>
  </si>
  <si>
    <t>0</t>
  </si>
  <si>
    <t>PRESTIGE GINA ECHEVERRIA</t>
  </si>
  <si>
    <t>HOTEL DANN CARLTON - Casa</t>
  </si>
  <si>
    <t>304 5565785</t>
  </si>
  <si>
    <t>20 PECERAS EN HORTENCIAS AZUL Y BLANCO COMO FOTO</t>
  </si>
  <si>
    <t>20 PECERAS CON HORTENCIAS BLANCAS Y AZULES COMO FOTO</t>
  </si>
  <si>
    <t>Ali</t>
  </si>
  <si>
    <t xml:space="preserve">Bocanegra </t>
  </si>
  <si>
    <t xml:space="preserve">Ali Bocanegra </t>
  </si>
  <si>
    <t>Hotel Casa Prado 59 - Cra 52 #84 - 64 - Edificio</t>
  </si>
  <si>
    <t>Espero la vida me permita acompañarte en cada uno de tus logros, te admiro y te amo demasiado.</t>
  </si>
  <si>
    <t>Por siempre tuyo, Ali.</t>
  </si>
  <si>
    <t>nayua</t>
  </si>
  <si>
    <t>guzman</t>
  </si>
  <si>
    <t>nayua guzman</t>
  </si>
  <si>
    <t>Maria Camila</t>
  </si>
  <si>
    <t>Cáceres Robles</t>
  </si>
  <si>
    <t>Maria Camila Cáceres Robles</t>
  </si>
  <si>
    <t>Carrera 59 # 75 159 - Casa</t>
  </si>
  <si>
    <t>Lucha,
hoy queremos celebrar el amor tan lindo que estás construyendo con Mateo. Que este nuevo camino esté lleno de calma, risas, complicidad y sueños compartidos.
Que nunca les falte el amor en los días fáciles ni la unión en los días difíciles, y que siempre se elijan con el mismo amor que los trajo hasta aquí.
Te celebramos hoy rodeada de familia, con el corazón lleno de gratitud y alegría, porque verte feliz es un regalo para todos nosotros.
Que este bridal shower sea solo el inicio de una vida hermosa juntos, llena de momentos que quieran recordar para siempre. 🤍✨</t>
  </si>
  <si>
    <t>Con mucho amor, tu mamá, tus tías Nancy, Martha, Inés, Mari, Beatri, Mónica, tus primas Mafe, Angelina, Ana Caro, Mariam, Natha y Camii tu cuenta</t>
  </si>
  <si>
    <t>martin</t>
  </si>
  <si>
    <t>gomez</t>
  </si>
  <si>
    <t>martin gomez</t>
  </si>
  <si>
    <t xml:space="preserve">Jenny </t>
  </si>
  <si>
    <t>Manrique</t>
  </si>
  <si>
    <t xml:space="preserve">Directora Alcira </t>
  </si>
  <si>
    <t xml:space="preserve">Con gratitud, los padres y estudiantes de Klasse 11B agradecemos su guía y dedicación. ¡Le deseamos una Feliz Navidad!” 🎄✨
</t>
  </si>
  <si>
    <t xml:space="preserve">Klasse 11B </t>
  </si>
  <si>
    <t xml:space="preserve">Sarmiento </t>
  </si>
  <si>
    <t xml:space="preserve">Rubén Morante </t>
  </si>
  <si>
    <t>Calle 75#41D-54  Balcones de San José Barrio ciudad jardín (al frente del hotel puerta del sol) - Edificio</t>
  </si>
  <si>
    <t>1× Mini Box Orquidea | 1× Oso de Peluche</t>
  </si>
  <si>
    <t>Mi cielo, eres alguien inmensamente especial para mí. Te quiero con el alma, con todo lo que soy. Hoy prometo ante Dios que pondré de mi parte para que las cosas mejoren, porque tu amor vale cada esfuerzo. No quiero soltarte, quiero cuidarte y caminar contigo. 💖</t>
  </si>
  <si>
    <t xml:space="preserve">María Fernanda Sarmiento </t>
  </si>
  <si>
    <t>dani</t>
  </si>
  <si>
    <t>sawan</t>
  </si>
  <si>
    <t xml:space="preserve">Miranda sawan </t>
  </si>
  <si>
    <t>cr 52 n 85-33 apart 701 - Casa</t>
  </si>
  <si>
    <t>: 3145783942</t>
  </si>
  <si>
    <t>Villanueva</t>
  </si>
  <si>
    <t>Andres Villanueva</t>
  </si>
  <si>
    <t>Calle 73 no 38b-60 torre 4 apto 1a - Edificio</t>
  </si>
  <si>
    <t>Espinosa</t>
  </si>
  <si>
    <t xml:space="preserve">Tati </t>
  </si>
  <si>
    <t>Torre 5 117 - Edificio</t>
  </si>
  <si>
    <t>Quiero años a tu lado. Años de paz y amor contigo</t>
  </si>
  <si>
    <t>Michell</t>
  </si>
  <si>
    <t xml:space="preserve">Moscote </t>
  </si>
  <si>
    <t xml:space="preserve">Michell </t>
  </si>
  <si>
    <t>Ciudad Real uno apartamento 402B, carrera 53 número 90 81 - Edificio</t>
  </si>
  <si>
    <t>Primer arreglo:
Day hija estamos muy orgullosos de ti y damos gracias a  Dios que te regala un año mas de vida. Te Amamos y eres una bendición en nuestras vidas, que cumplas mil más. 
Con todo nuestro Amor 
Tu Familia
Segundo mensaje 
Marian hija dese para ti un gran día, que este año traiga muchas bendiciones en tu vida, estamos muy orgullosos de ti. Te amamos. Tu familia</t>
  </si>
  <si>
    <t xml:space="preserve">De tu familia </t>
  </si>
  <si>
    <t>aldana</t>
  </si>
  <si>
    <t>juan aldana</t>
  </si>
  <si>
    <t>tarjeta bold 70.000</t>
  </si>
  <si>
    <t>pasteleria  jassir</t>
  </si>
  <si>
    <t>rosas surtidas</t>
  </si>
  <si>
    <t>MARIA CAMILA</t>
  </si>
  <si>
    <t>CACERES</t>
  </si>
  <si>
    <t>maria camila cáceres</t>
  </si>
  <si>
    <t>10x10 en flores surtidas como foto</t>
  </si>
  <si>
    <t>RENÉ</t>
  </si>
  <si>
    <t>RIVERO</t>
  </si>
  <si>
    <t>RENÉ RIVERO</t>
  </si>
  <si>
    <t>Cl78#78-78/ conjunto, Brisas Del Parque, Torre C apto 811 - Edificio</t>
  </si>
  <si>
    <t>Mamá feliz cumpleaños🎈
te amo ♥️</t>
  </si>
  <si>
    <t>Tu hijo LFSC</t>
  </si>
  <si>
    <t xml:space="preserve">Mercado </t>
  </si>
  <si>
    <t>Juan Mercado</t>
  </si>
  <si>
    <t>cra 47 100-14 torre B 1405 - Casa</t>
  </si>
  <si>
    <t>A veces un gesto dice más que mil palabras. Quiero hacer las cosas bien contigo y darme la oportunidad de conocerte mejor.
Para: los ojitos más lindos
De: Juan 
A veces un gesto dice más que mil palabras. Quiero hacer las cosas bien contigo y darme la oportunidad de conocerte mejor.</t>
  </si>
  <si>
    <t>bouquet surtido ponerle lirios,tulipanes y otras flores surtidas</t>
  </si>
  <si>
    <t xml:space="preserve">Ayda Luciana </t>
  </si>
  <si>
    <t xml:space="preserve">Cabarcas </t>
  </si>
  <si>
    <t xml:space="preserve"> Elenita Carriazo </t>
  </si>
  <si>
    <t>Cl. 7 # 13-125 Lomas deCaujaral Casa Rodolfo Schmulson - Casa</t>
  </si>
  <si>
    <t>- Te deseamos una pronta recuperación. 
Un abrazo, AMIGUITAS y Mini</t>
  </si>
  <si>
    <t xml:space="preserve">Itala </t>
  </si>
  <si>
    <t>Aaron</t>
  </si>
  <si>
    <t>Itala Aaron</t>
  </si>
  <si>
    <t xml:space="preserve">15 rosas  según los conversado </t>
  </si>
  <si>
    <t>Te queremos mucho familia geraldino aaron</t>
  </si>
  <si>
    <t>15 rosa tonos rosado con relleno según conversación</t>
  </si>
  <si>
    <t>daniel salcedo</t>
  </si>
  <si>
    <t>pino 2 $8000,clavellina 1/2 $10.000,caspia 3 $ 8000
1 vara de orquídeas $ 136.000  ,campana de irlanda 3 $6000</t>
  </si>
  <si>
    <t>Silvana</t>
  </si>
  <si>
    <t>Yecenia Quiñonez</t>
  </si>
  <si>
    <t>Calle 96 No 71 - 109 Edificio Irati apto 502A - Edificio</t>
  </si>
  <si>
    <t>Con mucha alegría celebramos la llegada de Iván Amado.
Que su vida esté llena de amor, salud y bendiciones.
Felicitaciones a toda la familia</t>
  </si>
  <si>
    <t>Con Cariño, Carlos Guerrero, Sílvana, Valezka y Jozua</t>
  </si>
  <si>
    <t xml:space="preserve">Haysa </t>
  </si>
  <si>
    <t>Dahjer</t>
  </si>
  <si>
    <t xml:space="preserve">Isabel Herrera </t>
  </si>
  <si>
    <t>Calle 3a n 25-175 casa 6 Nissi campestre  Villa campestre - Casa</t>
  </si>
  <si>
    <t>De : Tus Hijos 
Para: Isabel Herrera 💕
Feliz cumpleaños!!!
Gracias por ser nuestra inspiración. 
Te amamos!!</t>
  </si>
  <si>
    <t>BOUQUET X 24 ROSAS REDONDO ROSADAS CON ROJO Y EUCALIPTO ENVUELTO EN PEPEL ROSADO COMO FOTO</t>
  </si>
  <si>
    <t xml:space="preserve">Diego </t>
  </si>
  <si>
    <t xml:space="preserve"> Angélica Vargas </t>
  </si>
  <si>
    <t>Cra 35 #52-29 - Casa</t>
  </si>
  <si>
    <t>1× Flora Box Redonda 24 Rosas de Jardín | 1× Topper Happy Birthday | 1× Ferrero Rocher 8 und</t>
  </si>
  <si>
    <t xml:space="preserve"> mi bebé hermosa , que cumplas muchos años más amor de mi vida , te amo con locura ♥️</t>
  </si>
  <si>
    <t>D.C</t>
  </si>
  <si>
    <t>Arrieta Quiroz</t>
  </si>
  <si>
    <t>Yolanda</t>
  </si>
  <si>
    <t>¡Feliz cumpleaños señora Yolanda! ❤️</t>
  </si>
  <si>
    <t>Con cariño, Salim, Eli y Fuad.</t>
  </si>
  <si>
    <t>Llinas</t>
  </si>
  <si>
    <t>Piedad Ospino</t>
  </si>
  <si>
    <t>Cra 51 #82-255 - Edificio</t>
  </si>
  <si>
    <t>1× Jardinera Madera</t>
  </si>
  <si>
    <t>Amor mío, aunque no esté presente en tu día especial, mi corazón te acompaña y sabes que te extraño cada día. ¡Feliz cumpleaños adelantado, con todo mi amor hoy y siempre, porque la distancia nunca será un impedimento para estar cerca de ti!</t>
  </si>
  <si>
    <t xml:space="preserve">Tu Fer </t>
  </si>
  <si>
    <t>david</t>
  </si>
  <si>
    <t>reyes</t>
  </si>
  <si>
    <t>jannis barguil</t>
  </si>
  <si>
    <t>hotel dorado plaza cra 50#82-148 habita 1304 - Casa</t>
  </si>
  <si>
    <t>recuperate pronto</t>
  </si>
  <si>
    <t>yuber</t>
  </si>
  <si>
    <t>delgadillo</t>
  </si>
  <si>
    <t>yuber delgadillo</t>
  </si>
  <si>
    <t>Anaya</t>
  </si>
  <si>
    <t>Ámbar Jinete</t>
  </si>
  <si>
    <t>Calle 100 42F 100 Torre 5 apto 1002 - Edificio</t>
  </si>
  <si>
    <t>Because none of it was ever worth the risk, but darling, you are de only exception. 💜💚</t>
  </si>
  <si>
    <t>Tu tres de Marzo.</t>
  </si>
  <si>
    <t xml:space="preserve">Juliany </t>
  </si>
  <si>
    <t>Maty</t>
  </si>
  <si>
    <t>Carrera  42  no 57 36 piso 2 - Casa</t>
  </si>
  <si>
    <t>301 2783388</t>
  </si>
  <si>
    <t>Mi Maty hermosa feliz cumpleaños!
Que hoy sea un día lleno de sonrisas, amor y momentos bonitos!! 
 Te mereces todo lo bueno, porque eres una mujer maravillosa, de gran corazón y luz propia!!
 Te deseo que este nuevo año de vida venga cargado de salud, paz y muchas bendiciones para ti para el Mono y Mariluchi! 
Te mando un abrazo grande, te quiero mucho  ✨🎉</t>
  </si>
  <si>
    <t>Juliany y July 🫶🏻💖</t>
  </si>
  <si>
    <t>Luisa</t>
  </si>
  <si>
    <t>Benedetti</t>
  </si>
  <si>
    <t>Luisa Benedetti</t>
  </si>
  <si>
    <t>10 rosas rosadas
12 hortensias
1 paquete eucalipto</t>
  </si>
  <si>
    <t>Rafael Martinez</t>
  </si>
  <si>
    <t>Maida</t>
  </si>
  <si>
    <t>Valentina Maida</t>
  </si>
  <si>
    <t>Cra59#81-229 - Casa</t>
  </si>
  <si>
    <t>Feliz 579 días a tu lado, amor de mi vida!!♥️
Gracias por ser ese hombre tan maravilloso, amoroso y tan especial conmigo. Gracias por ser mi compañero de vida, mi cómplice, mi mejor amigo, mi novio… y el futuro papá de nuestros hijos 🤍
A tu lado me siento en casa, en paz y segura. Me haces creer en el amor bonito, en los sueños compartidos y en todo lo que se construye con paciencia, respeto y mucho amor. Gracias por caminar conmigo, por cuidarme y por elegirme cada día.
Te elijo hoy, mañana y SIEMPRE!! Te amo con todo mi corazón!!</t>
  </si>
  <si>
    <t>Tita</t>
  </si>
  <si>
    <t>Angie Criales</t>
  </si>
  <si>
    <t>Cra 58 No 79-121. 901B - Edificio</t>
  </si>
  <si>
    <t>321 8046491</t>
  </si>
  <si>
    <t>Feliz cumpleaños que dios te bendiga. 
Y recuperate al 100%</t>
  </si>
  <si>
    <t xml:space="preserve">Con cariño Chacho y Mayra </t>
  </si>
  <si>
    <t>Nany Tatis</t>
  </si>
  <si>
    <t>Cra 58#82-40 edificio Palmarosa apto.7 - Edificio</t>
  </si>
  <si>
    <t>1 vara de pino - 1 paq hiperico- 1 vara de eucalipto</t>
  </si>
  <si>
    <t>Juan Sebastian</t>
  </si>
  <si>
    <t>Navarro</t>
  </si>
  <si>
    <t>Cra 59#81-229 apto 902 - Edificio</t>
  </si>
  <si>
    <t>320 5148301</t>
  </si>
  <si>
    <t>Cra 58 #79 - 121 apto 901B - Edificio</t>
  </si>
  <si>
    <t>Tania</t>
  </si>
  <si>
    <t>Bastidas</t>
  </si>
  <si>
    <t>Tania Bastidas</t>
  </si>
  <si>
    <t>Juliana Diaz</t>
  </si>
  <si>
    <t>Cll 79 55-120 Apto 6C  Edificio Nova Terra - Edificio</t>
  </si>
  <si>
    <t>9 rosas</t>
  </si>
  <si>
    <t>Jaimes</t>
  </si>
  <si>
    <t>POrteria</t>
  </si>
  <si>
    <t>Calle 96 # 72B - 43, Conjunro Catleya</t>
  </si>
  <si>
    <t>324 685 2204</t>
  </si>
  <si>
    <t>para mi pulga</t>
  </si>
  <si>
    <t>1 girasol arreglado</t>
  </si>
  <si>
    <t>Sebastian Guzman</t>
  </si>
  <si>
    <t>Cra 26 #3a-40 apto 1402 Edificio club tower 3 - Edificio</t>
  </si>
  <si>
    <t>Eres lo más lindo que me ha pasado ❤️😍, gracias por hacerme tan feliz  mi reina 👸🏼 y brilla siempre como tú lo sabes, te amo con todo mi corazón princesita ❤️❤️</t>
  </si>
  <si>
    <t>Kelly</t>
  </si>
  <si>
    <t>Cueto mieles</t>
  </si>
  <si>
    <t xml:space="preserve">Rocío Mieles Pinto </t>
  </si>
  <si>
    <t>Cra 20c 24 126 - Casa</t>
  </si>
  <si>
    <t xml:space="preserve">No me alcanzará la vida para darte todo lo que te mereces, te amo mamá </t>
  </si>
  <si>
    <t xml:space="preserve">Tu hija Kelly </t>
  </si>
  <si>
    <t>Valerie</t>
  </si>
  <si>
    <t>Benitez</t>
  </si>
  <si>
    <t>Maria Mojica</t>
  </si>
  <si>
    <t>Bellavista</t>
  </si>
  <si>
    <t>Cra 62#74-26 apto 402C - Edificio</t>
  </si>
  <si>
    <t>Roshell</t>
  </si>
  <si>
    <t>Schmulson</t>
  </si>
  <si>
    <t>Roshell Schmulson</t>
  </si>
  <si>
    <t>Que la distancia no sea el impedimento para acompañarte en estos días de tu recuperación!  Mejórate pronto, ma  Te amamos  Ro y mono</t>
  </si>
  <si>
    <t>Wilfredo</t>
  </si>
  <si>
    <t>Maria Camila Polo</t>
  </si>
  <si>
    <t>Alto prado Cra 53 # 79-301 Edi Jorge Washington Apto 302 - Casa</t>
  </si>
  <si>
    <t>1× Bouquet 24 Rosas Rojas | 1× Ferrero Rocher 8 und</t>
  </si>
  <si>
    <t>Hoy no te entrego solo rosas…
te entrego sentimientos convertidos en pétalos.
Son 24, no por azar, sino porque cada una representa
un pensamiento, un latido, un deseo bueno que nace en mí y que te pertenece. 
Quiero que cuando las mires recuerdes que mi cariño por ti es sincero, paciente y real, como el cuidado que necesita una rosa para seguir viva.
No es un amor apresurado, es uno que se queda, que respeta, que cree y que te elige a pesar de los obstáculos.
Con todo mi cariño,
para alguien verdaderamente especial y que siempre desee tener en mi vida alguna vez. Gracias.</t>
  </si>
  <si>
    <t>Wil ❤️</t>
  </si>
  <si>
    <t>Pamela Marcela</t>
  </si>
  <si>
    <t>Coronado Mercado</t>
  </si>
  <si>
    <t>Samuel Perneth</t>
  </si>
  <si>
    <t>Caribe Verde</t>
  </si>
  <si>
    <t>Calle 131#9-125, Caribe verde, Conjunto Villas del Caribe (Torres Rojas) - Conjunto</t>
  </si>
  <si>
    <t>Los girasoles representan la fortaleza del espíritu, la esperanza que permanece firme y la luz que guía hacia la recuperación. Que cada día traiga alivio, salud y serenidad.</t>
  </si>
  <si>
    <t>Flia Coronado Mercado</t>
  </si>
  <si>
    <t xml:space="preserve">Torres </t>
  </si>
  <si>
    <t xml:space="preserve">María Daniela </t>
  </si>
  <si>
    <t>Cra 52 # 74-56 torre banco de occidente - credicentro primer piso - Oficina</t>
  </si>
  <si>
    <t>1× Bouquet Flora Antique | 1× Oso de Peluche</t>
  </si>
  <si>
    <t>Feliz mes mi princesa, te quiero♥️</t>
  </si>
  <si>
    <t>Javier</t>
  </si>
  <si>
    <t>Peña</t>
  </si>
  <si>
    <t xml:space="preserve">Karen García </t>
  </si>
  <si>
    <t>Calle 92 # 46 - 183 - Casa</t>
  </si>
  <si>
    <t>Amor mío,
Hoy celebramos siete años de matrimonio, nuestras bodas de lana, y me llena de felicidad todo lo que hemos construido juntos. Han sido años de risas, aprendizajes, retos y sueños cumplidos, siempre tomados de la mano. En los días buenos y en los no tan buenos, tu amor ha sido mi refugio y tu fuerza, mi impulso.
Gracias por ser mi apoyo incondicional, mi compañera de vida y la mujer maravillosa de quien me enamoro cada día más. Hoy, con nuestra hija como el regalo más hermoso de Dios, confirmo que no pude haber elegido mejor camino que caminar a tu lado.
Eres mi fortaleza, mi hogar y el amor de mi vida. Prometo seguir cuidando nuestro amor con la misma ternura y entrega, como lo he hecho hasta hoy.
Feliz aniversario, mi amor. Te amo con todas mis fuerzas!</t>
  </si>
  <si>
    <t>JORGE</t>
  </si>
  <si>
    <t xml:space="preserve">MARTINEZ APARICIO </t>
  </si>
  <si>
    <t>MONICA GARCIA</t>
  </si>
  <si>
    <t>Calle 104 51B-154 casa 72 - Casa</t>
  </si>
  <si>
    <t>Gracias por estar estos 25 años a mi lado.
Feliz Aniversario.</t>
  </si>
  <si>
    <t xml:space="preserve">JUANCARLOS </t>
  </si>
  <si>
    <t>MANZANERA</t>
  </si>
  <si>
    <t>JUANCARLOS MANZANERA</t>
  </si>
  <si>
    <t>321 5509226</t>
  </si>
  <si>
    <t>Sofia</t>
  </si>
  <si>
    <t xml:space="preserve">Muñoz </t>
  </si>
  <si>
    <t xml:space="preserve">Katherine bautista </t>
  </si>
  <si>
    <t>Cl. 1A #24-16, torre caribe bancolombia - Oficina PORTAL DE GENOVEZ</t>
  </si>
  <si>
    <t>320 3808016</t>
  </si>
  <si>
    <t>Para mi adorada kathe… solo tengo palabras de agradecimiento infinito por tener a un ser humano tan bondadoso y maravilloso como mi amiga, te quiero mucho. Que el amor de Dios y su misericordia permanezcan siempre a tu lado.</t>
  </si>
  <si>
    <t>Que quede hermoso el arreglo y la letra del mensaje se entienda y le agreguen la fecha 16/12/2025</t>
  </si>
  <si>
    <t>Kevin Paul</t>
  </si>
  <si>
    <t>Mejia Perdomo</t>
  </si>
  <si>
    <t>Nathalie zapata</t>
  </si>
  <si>
    <t>Calle 66 No. 67 – 123 Promigas gerencia de operaciones - Oficina</t>
  </si>
  <si>
    <t>El amor es paciente, es bondadoso.
El amor no es envidioso ni jactancioso ni orgulloso.
No se comporta con rudeza, no es egoísta, no se enoja fácilmente, no guarda rencor.
El amor no se deleita en la maldad, si no que se regocija con la verdad.
Todo lo disculpa, todo lo cree, todo lo espera, todo lo soporta. 
Te amo</t>
  </si>
  <si>
    <t>Shadia</t>
  </si>
  <si>
    <t>Bayter</t>
  </si>
  <si>
    <t>Alexandra Camargo</t>
  </si>
  <si>
    <t>Calle 85 #59B - 65. Edificio Madrid. Apt 7A - Edificio</t>
  </si>
  <si>
    <t>Cha,
Dios me premió regalándome a una hermana tan especial y entregada, eres un ejemplo de mujer y de madre para mí. Solo le pido a Dios que te regale toda la felicidad del mundo, porque solo mereces cosas buenas en tu vida. Siempre tu ñeño estará para ti y tu familia. Te amo infinito!</t>
  </si>
  <si>
    <t>ALVARO</t>
  </si>
  <si>
    <t>RODRIGUEZ</t>
  </si>
  <si>
    <t>MARIA ALEJANDRA GAMARRA</t>
  </si>
  <si>
    <t>CALLE 61#43-26 - Casa</t>
  </si>
  <si>
    <t>Es al lado de la miscelanea, una casa de rejas blancas</t>
  </si>
  <si>
    <t>Espero me sigas amando como yo a ti</t>
  </si>
  <si>
    <t>WALTER</t>
  </si>
  <si>
    <t>BAYONA</t>
  </si>
  <si>
    <t>walter</t>
  </si>
  <si>
    <t>CRA 59 #96-153 EDIFICIO BRUXXEL  APTO 601 - Casa</t>
  </si>
  <si>
    <t>Mujer virtuosa quien la Hallara?
La mujer sabía edifica su casa , gracias Lori por estar en mi vida, eres lo mejor que me ha pasado, te deseo un feliz cumpleaños mi amor, eres lo más lindo que ha llegado a mi corazón, te amo ❤️</t>
  </si>
  <si>
    <t>Giraldo</t>
  </si>
  <si>
    <t>Carlos Giraldo</t>
  </si>
  <si>
    <t>mitad rosas amarillas y rojas</t>
  </si>
  <si>
    <t>Rivera</t>
  </si>
  <si>
    <t>Wadeth Chams</t>
  </si>
  <si>
    <t>Cra 57 79-360 Edificio Mirage Apartamento 28 - Edificio</t>
  </si>
  <si>
    <t>Lo mejor de la vida para una persona verdaderamente excepcional.
Te queremos mucho, Wade. Que disfrutes tu cumpleaños rodeada de amor, paz y muchas bendiciones. 🎉💖</t>
  </si>
  <si>
    <t>Mafe</t>
  </si>
  <si>
    <t xml:space="preserve"> Isaza</t>
  </si>
  <si>
    <t>Mafe Isaza</t>
  </si>
  <si>
    <t>Karina</t>
  </si>
  <si>
    <t xml:space="preserve">Gómez Manotas </t>
  </si>
  <si>
    <t>Nurys Manotas</t>
  </si>
  <si>
    <t>El Castillo</t>
  </si>
  <si>
    <t>103B - Edificio</t>
  </si>
  <si>
    <t>Feliz Aniversario 41 Papi y Mami! Gracias por tanto amor y hermoso ejemplo para nosotros! Los amamos!</t>
  </si>
  <si>
    <t xml:space="preserve">Fernando </t>
  </si>
  <si>
    <t>Arab</t>
  </si>
  <si>
    <t xml:space="preserve"> Annie Sekulits </t>
  </si>
  <si>
    <t>Cra 64#86-108 Edificio Petrus  Depto 504 - Casa</t>
  </si>
  <si>
    <t>304 5286540</t>
  </si>
  <si>
    <t xml:space="preserve">Felicitaciones por la licitación!! </t>
  </si>
  <si>
    <t xml:space="preserve">Daniella </t>
  </si>
  <si>
    <t>Bustamante saade</t>
  </si>
  <si>
    <t>Daniel Price</t>
  </si>
  <si>
    <t>Cra 65 #99-20 lago alto torre 2 apto 303 - Edificio</t>
  </si>
  <si>
    <t>Mi corazón está a tu lado. 
Gracias por llegar y quedarte ❤️
Todo pasa, tu chiqui estará bien. 
Te abrazo y acompaño.</t>
  </si>
  <si>
    <t>jorge</t>
  </si>
  <si>
    <t>ezequiel orozco</t>
  </si>
  <si>
    <t>clle 79#57-40 apto 402 - Casa</t>
  </si>
  <si>
    <t xml:space="preserve">Shatha </t>
  </si>
  <si>
    <t xml:space="preserve">Waked </t>
  </si>
  <si>
    <t xml:space="preserve">Fatima Waked  </t>
  </si>
  <si>
    <t>Calle 96#71-165 edificio altares apt 501 torre 3a - Edificio</t>
  </si>
  <si>
    <t>Para el amor de mi vida, que pases un cumpleaños muy feliz. Que Dios te regale muchos más años de vida</t>
  </si>
  <si>
    <t>Ramo de 39 rosas rojas</t>
  </si>
  <si>
    <t xml:space="preserve">david </t>
  </si>
  <si>
    <t xml:space="preserve">Ramos </t>
  </si>
  <si>
    <t>Marcela gomez</t>
  </si>
  <si>
    <t>Carrera 56 # 84-90 edificio guayava apto 10B - Edificio</t>
  </si>
  <si>
    <t>Mi amor espero que tengas una pronta recuperación te amooo mucho lo que daría por estar a tu lado cuidándote…..recuerda que te amo con todo mi corazón</t>
  </si>
  <si>
    <t>Favor entregarlas en las horas de la tarde</t>
  </si>
  <si>
    <t>VANESSA</t>
  </si>
  <si>
    <t>BERNAL</t>
  </si>
  <si>
    <t>TILSIA LARA</t>
  </si>
  <si>
    <t>CRA 52B #94-229 APTO 1202 - Casa</t>
  </si>
  <si>
    <t>1× Flora Box Grande Pastel | 1× Topper Happy Birthday</t>
  </si>
  <si>
    <t>Esperamos que hayas pasado un día hermoso rodeada de mucho amor y las más grandes bendiciones.
feliz cumpleaños
Vanessa y Oswaldo</t>
  </si>
  <si>
    <t xml:space="preserve">Luis José </t>
  </si>
  <si>
    <t xml:space="preserve">Nieto Ariza </t>
  </si>
  <si>
    <t xml:space="preserve">María José Ruiz Estrada </t>
  </si>
  <si>
    <t>Transversal 44 102 167 apto 626 conjunto siena Miramar</t>
  </si>
  <si>
    <t>1× Flora Box Mediana 24 Rosas | 1× Topper Happy Birthday</t>
  </si>
  <si>
    <t>Feliz cumpleaños, Flaca 
Eres fuerza, constancia y pasión en cada kilómetro.
Gracias por correr a mi lado y hacer de la vida la mejor carrera.
Te amo hoy y en todas las metas que vienen.</t>
  </si>
  <si>
    <t>Katherine</t>
  </si>
  <si>
    <t>Doria</t>
  </si>
  <si>
    <t>Kathe Doria</t>
  </si>
  <si>
    <t>cra 52B # 100-334 casa 58 - Conjunto</t>
  </si>
  <si>
    <t xml:space="preserve">no aplica </t>
  </si>
  <si>
    <t>CENTRO DE MESA ALARGADO DE 70CMS NAVIDEÑO CON ALTURA COMO EL DE LA SEÑORA MARCELA</t>
  </si>
  <si>
    <t>DANIELA</t>
  </si>
  <si>
    <t>CARDENAS</t>
  </si>
  <si>
    <t>DANIELA CARDENAS</t>
  </si>
  <si>
    <t>Cra 52 82 253 apto 501 edificio riu 52 - Casa</t>
  </si>
  <si>
    <t>300 8450000</t>
  </si>
  <si>
    <t xml:space="preserve">María Clara </t>
  </si>
  <si>
    <t xml:space="preserve">Natali Castillo </t>
  </si>
  <si>
    <t>Cra 53#80-198 torre atlántica empresarial oficina 1105 - Oficina</t>
  </si>
  <si>
    <t xml:space="preserve">Amiga, qué regalo tan grande es verte vivir este momento y poder estar a tu lado en cada paso. Tu felicidad también es la mía, y saber que caminas con el corazón lleno me emociona más de lo que puedo decir. Siempre juntas, en todas ✨🤍te amooo </t>
  </si>
  <si>
    <t>mardelua y co sas</t>
  </si>
  <si>
    <t>,</t>
  </si>
  <si>
    <t>rochy</t>
  </si>
  <si>
    <t>poveda</t>
  </si>
  <si>
    <t>rochy poveda</t>
  </si>
  <si>
    <t>SAVERIO</t>
  </si>
  <si>
    <t>MINERVINI</t>
  </si>
  <si>
    <t>SAVERIO MINERVINI</t>
  </si>
  <si>
    <t>315 7132910</t>
  </si>
  <si>
    <t>BOUQUET X 12 ROSAS BLANCAS Y UNA BOLSA DE PÉTALOS ROJOS</t>
  </si>
  <si>
    <t>DIEGO</t>
  </si>
  <si>
    <t>CORREA</t>
  </si>
  <si>
    <t>DIEGO CORREA</t>
  </si>
  <si>
    <t>1× Canasto 24 Rosas + Orquideas Y MINI BOX HORTENCIAS</t>
  </si>
  <si>
    <t>1× Corazón Extragrande</t>
  </si>
  <si>
    <t xml:space="preserve">41 años de historias, crecimiento, retos, risas, felicidad y amor . Gracias por ser mi hogar y mi compañera de vida. Que sigamos celebrando el resto de la vida juntos. Te amo zoby </t>
  </si>
  <si>
    <t>Gomes</t>
  </si>
  <si>
    <t>Valeria Ledesma</t>
  </si>
  <si>
    <t>Cra 44b#96-67 Conjunto Torres de las Antillas, Torre 2, Apartamento 507 - Casa</t>
  </si>
  <si>
    <t>TE AMOOOOOOOOOUUUUU CARAJOOOOOOOOO!!!!!!! ❤️</t>
  </si>
  <si>
    <t xml:space="preserve">Cure </t>
  </si>
  <si>
    <t xml:space="preserve">Juan David Cure </t>
  </si>
  <si>
    <t>Geraldino Aaron</t>
  </si>
  <si>
    <t>Nicolas Geraldino Aaron</t>
  </si>
  <si>
    <t xml:space="preserve">Te amo mucho chipi, juntos podemos con todo. </t>
  </si>
  <si>
    <t>celia</t>
  </si>
  <si>
    <t>Cra 57# 79-360 edificio mirage apto 2801 - Edificio</t>
  </si>
  <si>
    <t>Tia Wade feliz cumpleaños! Te deseo las mas lindas bendiciones y alegrias. Con cariño, tu ahijada Mafe</t>
  </si>
  <si>
    <t>Claret</t>
  </si>
  <si>
    <t>Ornella Herrera</t>
  </si>
  <si>
    <t>Calle 64 No. 65 - 11 Restaurante Pan Cundido - Casa</t>
  </si>
  <si>
    <t xml:space="preserve">Y aquí estás nuevamente creando vida, imprimiendo alegría y floreciendo como solo tú lo sabes hacer. Que esta nueva década sea una fiesta eterna de gozo y dicha. </t>
  </si>
  <si>
    <t>El pedido no llegará a una casa (no habilita la opción de OTROS), la dirección proporcionada corresponde a un restaurante, favor dejar allí (reserva a nombre de Ornella Herrera). Por último, por favor enviar a las 6:30 pm</t>
  </si>
  <si>
    <t>HERNANDO</t>
  </si>
  <si>
    <t>BAQUERO</t>
  </si>
  <si>
    <t xml:space="preserve"> Silvia Aguilera</t>
  </si>
  <si>
    <t>Urbanización Lagos de Caujaral - Kilómetro 9 Vía Puerto Colombia - Casa</t>
  </si>
  <si>
    <t>1× Flora Box Romantic Flores 60 rosas</t>
  </si>
  <si>
    <t>TARJETA EN BLANCO</t>
  </si>
  <si>
    <t>Caja 60 Rosas ( 30 Rojas y 30 Blancas )</t>
  </si>
  <si>
    <t>movjich</t>
  </si>
  <si>
    <t>movich - Casa</t>
  </si>
  <si>
    <t>bouquet x9 rosas rosadas</t>
  </si>
  <si>
    <t xml:space="preserve">Sara Paulina </t>
  </si>
  <si>
    <t xml:space="preserve">Vergara Chica </t>
  </si>
  <si>
    <t xml:space="preserve">Luisa Vergara </t>
  </si>
  <si>
    <t>Calle 112#42-19 - Conjunto</t>
  </si>
  <si>
    <t>Damos gracias a Dios por tu vida y porque hoy estás al lado de nosotros para hacernos compañía.
Que Dios te siga bendiciendo abundantemente con salud.</t>
  </si>
  <si>
    <t>Mercado Marthe</t>
  </si>
  <si>
    <t>Melissa Montes</t>
  </si>
  <si>
    <t>Cra. 53 #110 233 edificio empresarial BC, empresa Fortia Minerals - Oficina</t>
  </si>
  <si>
    <t>You're the closest to Heaven that I'll ever be.
Feliz aniversario, te amo</t>
  </si>
  <si>
    <t>Por favor llevarle el bouquet hasta la oficina</t>
  </si>
  <si>
    <t>Manzanera</t>
  </si>
  <si>
    <t>Luis Manzanera</t>
  </si>
  <si>
    <t>bouquet de 30 rosas 15 rosadas y  15 blancas</t>
  </si>
  <si>
    <t>Mar</t>
  </si>
  <si>
    <t>Tamayo</t>
  </si>
  <si>
    <t>Valeria Rumbo</t>
  </si>
  <si>
    <t>cra 42D #90 - 49 - Casa</t>
  </si>
  <si>
    <t>Este es solo el primero de muchos logros que te esperan. Siempre orgulloso de ti, de tu esfuerzo y de tu corazón.
Felicidades, mi psicóloga hermosa.</t>
  </si>
  <si>
    <t>entregar puntual de 11:30 a 12 M</t>
  </si>
  <si>
    <t>Norena</t>
  </si>
  <si>
    <t>Zambrano Rodriguez</t>
  </si>
  <si>
    <t>Valentina Escobar</t>
  </si>
  <si>
    <t>Tienda - Casa</t>
  </si>
  <si>
    <t xml:space="preserve">
Hija en este día deseo que sigas brillando con tu pasión la Danza , yo te seguiré apoyando siempre desde la distancia te abrazo y te mando un beso  amor de mi vida </t>
  </si>
  <si>
    <t xml:space="preserve">Gloria María </t>
  </si>
  <si>
    <t>Olivares Ortiz</t>
  </si>
  <si>
    <t xml:space="preserve">Yliana </t>
  </si>
  <si>
    <t xml:space="preserve">Feliz Cumpleaños! Gracias por todo, la quiero mucho, bendiciones. </t>
  </si>
  <si>
    <t>Si es posible que esté listo en horas de la mañana !</t>
  </si>
  <si>
    <t>Katia Bojanini</t>
  </si>
  <si>
    <t>Carrera 53 #90b-42 apto 202 bloque 2 edificio el encanto - Edificio</t>
  </si>
  <si>
    <t>Feliz cumpleaños mamá! Te amamos y extrañamos mucho. Le damos gracias a Dios por tener a la mejor del mundo. Nos vemos pronto.</t>
  </si>
  <si>
    <t>Mario</t>
  </si>
  <si>
    <t>Mario Mendez</t>
  </si>
  <si>
    <t xml:space="preserve">Ariza Vásquez </t>
  </si>
  <si>
    <t>Mairym Pedraza</t>
  </si>
  <si>
    <t>Cra 41 f #83-18 / edificio horizontes - Edificio</t>
  </si>
  <si>
    <t xml:space="preserve">Con el mismo amor con el que llegué, con ese me voy. </t>
  </si>
  <si>
    <t>El edificio se llama horizontes, el apto es el 2c.</t>
  </si>
  <si>
    <t>Raúl daniel</t>
  </si>
  <si>
    <t>Pacheco echeverria</t>
  </si>
  <si>
    <t>Amelia osuna</t>
  </si>
  <si>
    <t>Dirección de envío : KR 12G CL 75 - 71 MZ 8 TORRE 10 APTO 4039 soledad residencial portal de los manantiales - Casa</t>
  </si>
  <si>
    <t>Que este obsequio te recuerde que, aun a la distancia, pienso en ti en tu día especial. Feliz cumpleaños.</t>
  </si>
  <si>
    <t>Te queremos!</t>
  </si>
  <si>
    <t>Rosario</t>
  </si>
  <si>
    <t>Castellon</t>
  </si>
  <si>
    <t>Betsy Bravo</t>
  </si>
  <si>
    <t>El Campito</t>
  </si>
  <si>
    <t>Cra9d#36b-47 piso 2 - Casa</t>
  </si>
  <si>
    <t>Amiga, nuestro corazón se llena de alegría y orgullo por este logro que hoy alcanzas, conocer la historia y los sacrificios nos hace sentirnos muy orgullosas de ti. Te amamos con nuestro corazón, por siempre PPC❤️</t>
  </si>
  <si>
    <t>Ojala se pudiera entregar antes de 1:30pm</t>
  </si>
  <si>
    <t>SEBASTIAN</t>
  </si>
  <si>
    <t>PAMPLONA</t>
  </si>
  <si>
    <t>Carrera 52#82-203 - Edificio</t>
  </si>
  <si>
    <t xml:space="preserve">Tarjeta en blanco </t>
  </si>
  <si>
    <t>Tarjeta en blanco</t>
  </si>
  <si>
    <t>margot</t>
  </si>
  <si>
    <t>mora</t>
  </si>
  <si>
    <t>margot mora</t>
  </si>
  <si>
    <t>300 8160858</t>
  </si>
  <si>
    <t>centros de mesa 4 de 30 x60 de largo solo pino ojo cada uno en 80.000 cada uno  y un paquete de pino 30.000</t>
  </si>
  <si>
    <t xml:space="preserve">Jorge </t>
  </si>
  <si>
    <t>Restrepo</t>
  </si>
  <si>
    <t>Jorge Restrepo</t>
  </si>
  <si>
    <t xml:space="preserve">Maryuris </t>
  </si>
  <si>
    <t>Mayra Arrieta</t>
  </si>
  <si>
    <t>Kra 43 # 82-114 Apto 705 - Edificio</t>
  </si>
  <si>
    <t>1× Flora Box Romantic Flores 12 Rosas</t>
  </si>
  <si>
    <t xml:space="preserve">Para la mujer más hermosa, te amo </t>
  </si>
  <si>
    <t>maria fernanda</t>
  </si>
  <si>
    <t>zapata</t>
  </si>
  <si>
    <t>maria fenanda zapata</t>
  </si>
  <si>
    <t>hotel el prado - Edificio</t>
  </si>
  <si>
    <t>corsage 3 y arreglos puerta del carro</t>
  </si>
  <si>
    <t>Nicole Brizz</t>
  </si>
  <si>
    <t>Perez Rolong</t>
  </si>
  <si>
    <t>Ana Perez</t>
  </si>
  <si>
    <t>Calle 75b 41-87 torre 6 apto 624 edificio torres de san jose - Edificio</t>
  </si>
  <si>
    <t>1× Corazón Grande Rosas | 1× Topper Happy Birthday | 1× Vino Espumoso JP. Chenet 175 ml</t>
  </si>
  <si>
    <t xml:space="preserve">Hermana de mi alma, que más anhelaba mi corazón que estar este día tan especial contigo, abrazarte y besarte celebrando tu vida. Con este pequeño detalle quiero decirte que te amo mucho, y que deseo que los cumplas y que seas la más feliz! </t>
  </si>
  <si>
    <t>Las flores que sean surtidas, colores pasteles por favor!</t>
  </si>
  <si>
    <t>arabella</t>
  </si>
  <si>
    <t>ali</t>
  </si>
  <si>
    <t>fátima</t>
  </si>
  <si>
    <t>calle 96#71-165 edificio - Casa</t>
  </si>
  <si>
    <t>DEJA TARJETA LISTA</t>
  </si>
  <si>
    <t xml:space="preserve">Abraham </t>
  </si>
  <si>
    <t xml:space="preserve">Hemer </t>
  </si>
  <si>
    <t xml:space="preserve">Michelle Cañas </t>
  </si>
  <si>
    <t xml:space="preserve">Hoy celebras un gran logro en tu vida. En estos momentos importantes siempre quiero compartirlos contigo y estar en cada momento para verte triunfar. Te amo, Michelle. </t>
  </si>
  <si>
    <t xml:space="preserve">Milene </t>
  </si>
  <si>
    <t>Reinel Llerena</t>
  </si>
  <si>
    <t>Milene Reinel</t>
  </si>
  <si>
    <t>Cra 53 # 96-126, torre D, apto 202 - Casa</t>
  </si>
  <si>
    <t>Jueves 18.12.2025, entregar a las 5:00 pm</t>
  </si>
  <si>
    <t>Humberto</t>
  </si>
  <si>
    <t>Sandra Peñaranda</t>
  </si>
  <si>
    <t>Carrera 57#99-60, Apt 1203, Edificio Palmetto Towers - Edificio</t>
  </si>
  <si>
    <t>1× Canasto Girasoles</t>
  </si>
  <si>
    <t>Amor bello, hoy en nuestro aniversario numero 20 quiero decirte que te amo con todo mi corazón y que espero que Dios y la vida me de muchos años para seguir estando a tu lado.</t>
  </si>
  <si>
    <t>Chalita Fernandez</t>
  </si>
  <si>
    <t>Diana Nieto</t>
  </si>
  <si>
    <t>transversal 44 #102-167 - Conjunto</t>
  </si>
  <si>
    <t>Feliz cumpleaños mi amor, te amo.</t>
  </si>
  <si>
    <t>que porfavor llegue antes de 10a.m.</t>
  </si>
  <si>
    <t xml:space="preserve">María Cristina Hernández </t>
  </si>
  <si>
    <t>Calle 73 # vía 40 - 350 Lydhouse rio, tucán marketing digital - Oficina</t>
  </si>
  <si>
    <t xml:space="preserve">Feliz cumpleaños chiqui, termina de pasarla increíble, te mando un beso y abrazo enorme a la distancia </t>
  </si>
  <si>
    <t>Tifanny</t>
  </si>
  <si>
    <t>Goad</t>
  </si>
  <si>
    <t>Sofia Bechara</t>
  </si>
  <si>
    <t>calle 86 #42b1-172. Apto 905 - Casa</t>
  </si>
  <si>
    <t>1× Canasto Mediano Sweet | 1× Topper Happy Birthday</t>
  </si>
  <si>
    <t>Welcome to your best decade yet! 
Estamos súper orgullosos de todo lo que has hecho hasta ahora. No puedo esperar por ver todas las cosas grandiosas que Dios tiene preparado para ti y ver esas metas y sueños materializados! 
Te amamos con todo nuestro corazón Sofito!</t>
  </si>
  <si>
    <t>Ana Severiche</t>
  </si>
  <si>
    <t>1× Bouquet 24 Rosas Rojas | 1× Topper Happy Birthday</t>
  </si>
  <si>
    <t>Mami Feliz Cumpleaños! 
Que Dios llene este nuevo año de muchas bendiciones, mucha salud, mucho amor, mucha tranquilidad y mucho dinero!!!!
Que Dios te permita materializar tus planes pronto! 
Te amamos y te extrañamos mucho!</t>
  </si>
  <si>
    <t>piere</t>
  </si>
  <si>
    <t>henriquez</t>
  </si>
  <si>
    <t>maria carolina daza</t>
  </si>
  <si>
    <t>cra 59 # 82 - 63 edifico langolo, apto 1201 - Edificio</t>
  </si>
  <si>
    <t>Fekiz aniversario mi amor, Te amo mucho,</t>
  </si>
  <si>
    <t>Francisco</t>
  </si>
  <si>
    <t>Garizao Jaraba</t>
  </si>
  <si>
    <t>Francisco Garizao Jaraba</t>
  </si>
  <si>
    <t>Por un millón de cumpleaños más a tu lado.
Felices 24, mi amor.</t>
  </si>
  <si>
    <t>Valiente Dada</t>
  </si>
  <si>
    <t>Daniela Vergel</t>
  </si>
  <si>
    <t>Cra 59b #96-133 - Edificio</t>
  </si>
  <si>
    <t>Feliz cumpleaños Mivi, disfruta tu día. Te adoro. 
- Mivi</t>
  </si>
  <si>
    <t xml:space="preserve">Isabella </t>
  </si>
  <si>
    <t xml:space="preserve">Mary Luz Navas </t>
  </si>
  <si>
    <t>Calle 79 #50-20 apartamento 45 - Edificio</t>
  </si>
  <si>
    <t xml:space="preserve">¡Feliz aniversario!
</t>
  </si>
  <si>
    <t xml:space="preserve">Alejandra </t>
  </si>
  <si>
    <t xml:space="preserve">Ortiz montes </t>
  </si>
  <si>
    <t xml:space="preserve">Glory restrepo </t>
  </si>
  <si>
    <t>calle 64 # 50-03 - Oficina</t>
  </si>
  <si>
    <t>Feliz cumpleaños a mi amiga incondicional, me hace muy feliz verte dichosa tú lo sabes, Dios te bendiga mi floryy bonita, te amamos mucho</t>
  </si>
  <si>
    <t>Valeria Rodriguez</t>
  </si>
  <si>
    <t xml:space="preserve">shirly </t>
  </si>
  <si>
    <t>hernández</t>
  </si>
  <si>
    <t>shirly hernández</t>
  </si>
  <si>
    <t>/</t>
  </si>
  <si>
    <t>herrera</t>
  </si>
  <si>
    <t>alejandra herrera</t>
  </si>
  <si>
    <t>Ashly</t>
  </si>
  <si>
    <t xml:space="preserve">Fadul </t>
  </si>
  <si>
    <t xml:space="preserve">Jhon lynch </t>
  </si>
  <si>
    <t>Carrera 42b # 116-121  torre 21 apto 305 - Conjunto</t>
  </si>
  <si>
    <t>Siempre aquí para ti. Feliz cumpleaños! 
Loveuuuuu💗</t>
  </si>
  <si>
    <t>cra 71 #94-127 conjunto ibiza torre 2 apto 810 - Edificio</t>
  </si>
  <si>
    <t>Que termine con amor, lo que con amor empezó</t>
  </si>
  <si>
    <t>Albarrán</t>
  </si>
  <si>
    <t>Marcela Velasquez</t>
  </si>
  <si>
    <t>Carrera 49 66 49 - Casa</t>
  </si>
  <si>
    <t>La tarjeta está en el calendario de adviento jeje &lt;3</t>
  </si>
  <si>
    <t>Por favor agregar eucalipto en el follaje</t>
  </si>
  <si>
    <t xml:space="preserve">Andrés Manuel </t>
  </si>
  <si>
    <t>Saltarin Gracia</t>
  </si>
  <si>
    <t xml:space="preserve">Laura Cortes </t>
  </si>
  <si>
    <t>Carrera 55 # 96-13 apto 2A edificio divali - Edificio</t>
  </si>
  <si>
    <t>Feliz cumpleaños, mi amor.
Hoy celebro la dicha inmensa de compartir mi vida contigo. Gracias por tu sonrisa, tu apoyo y tu amor incondicional, que llenan mis días de luz y sentido. Que este nuevo año te regale salud, sueños cumplidos y momentos hermosos. Te Amo !</t>
  </si>
  <si>
    <t>El arreglo que llegue a su destino en horas de la mañana</t>
  </si>
  <si>
    <t>DESIREE</t>
  </si>
  <si>
    <t>VARGAS</t>
  </si>
  <si>
    <t xml:space="preserve"> Janeth Santos</t>
  </si>
  <si>
    <t>Cra 65 # 77-75 lavanderia universal - Casa</t>
  </si>
  <si>
    <t>Celebramos tu Vida, Dios la Bendiga grandemente y conserve ese corazón noble y bondadoso y que el todopoderoso le regale primeramente salud 
Tus dos amigas que te quieren y te estiman
D y M</t>
  </si>
  <si>
    <t>lisly</t>
  </si>
  <si>
    <t>natera mora</t>
  </si>
  <si>
    <t>lisly natera mora</t>
  </si>
  <si>
    <t>bouquet de novia como foto ,sin ponerle rosas blancas,reemplazarlas po otra flor blanca</t>
  </si>
  <si>
    <t>Adrian</t>
  </si>
  <si>
    <t>Adrian carrascal</t>
  </si>
  <si>
    <t>301 7795556</t>
  </si>
  <si>
    <t>PLAN BÁSICO (BOUQUET X 9 ROSAS ROSADAS)</t>
  </si>
  <si>
    <t>OOO</t>
  </si>
  <si>
    <t>PLAN AMIGAS( 2 BOUQUETS SURTIDOS)</t>
  </si>
  <si>
    <t>Bolaño</t>
  </si>
  <si>
    <t xml:space="preserve"> Patricia Guerra </t>
  </si>
  <si>
    <t>calle 104#53-93 edo pestige apto 1404 Riomar - Edificio</t>
  </si>
  <si>
    <t>Feliz Cumpleaños mi amor, gracias por todo el amor para mí y para nuestra familia, Te amo 
De: Marco 
para: Patry</t>
  </si>
  <si>
    <t>jakob</t>
  </si>
  <si>
    <t>werner</t>
  </si>
  <si>
    <t>jakob werner</t>
  </si>
  <si>
    <t>Estela</t>
  </si>
  <si>
    <t>Gamero</t>
  </si>
  <si>
    <t xml:space="preserve">Maria helena Gómez </t>
  </si>
  <si>
    <t>Carrera 53# 74-138 - Centro Comercial</t>
  </si>
  <si>
    <t>1× Mini Box Orquidea | 1× Mini Box Surtida</t>
  </si>
  <si>
    <t>Mini box orquídea 
Te quiero decir que mi alma y mi amor están allí muchos éxitos y miles de bendiciones  de tu tía Rocio y tus primos 😘❤️🌻
Mini box surtido 
Felicitaciones! María Elena  con perseverancia y constancia lo lograste, estoy segura te espera un camino lleno de éxitos y bendiciones.Un abrazo, te quiere tu tía Rita De la hoz</t>
  </si>
  <si>
    <t>Restaurante Santa sazón Resto bar 
Hora de entrega 7:00 pm preguntar por María helena Gómez (cliente )</t>
  </si>
  <si>
    <t>Rodríguez Gale</t>
  </si>
  <si>
    <t xml:space="preserve">Victoria barros </t>
  </si>
  <si>
    <t>Cl. 91 #49c-46, edificio Oceana 91 - Casa</t>
  </si>
  <si>
    <t>“Hoy es un gran logro que estás cumpliendo y siento orgullo de poder compartirlo contigo, si supieras lo que significas en mi vida verás que ese es solo uno de los grandes sentimientos que afloran por ti” te amo amore mío.”</t>
  </si>
  <si>
    <t>Olano</t>
  </si>
  <si>
    <t>Isabella Nassar</t>
  </si>
  <si>
    <t>Cra 57 #79-199 - Edificio</t>
  </si>
  <si>
    <t>Isa, 
Feliz cumpleaños!! I miss you so much already. I hope your birthday is everything you deserve and more, and I’ll be thinking of you all day. See you soon. Te amo mucho.</t>
  </si>
  <si>
    <t>Yeider</t>
  </si>
  <si>
    <t xml:space="preserve">Dra Dulaily Aguilar </t>
  </si>
  <si>
    <t>Edificio Sura Portal de Genovés - Edificio</t>
  </si>
  <si>
    <t>1× Flora Box Redonda Orquídea</t>
  </si>
  <si>
    <t>Hoy celebramos no solo los años que han pasado, sino cada sonrisa compartida, cada dificultad superada y cada sueño que seguimos construyendo juntos. Casarme contigo fue la mejor decisión de mi vida, y volvería a elegirte una y mil veces más.</t>
  </si>
  <si>
    <t>Preguntar por la coordinadora de Póliza</t>
  </si>
  <si>
    <t>Con adicional de 12 rosas rosadas</t>
  </si>
  <si>
    <t xml:space="preserve">Fabián </t>
  </si>
  <si>
    <t xml:space="preserve">Kiara Pretelt </t>
  </si>
  <si>
    <t>Centro comercial vivía ayudas diagnósticas sura - Oficina</t>
  </si>
  <si>
    <t xml:space="preserve">Asi como yo te tengo a ti, tú me tienes a mí. Te amo mi amor. </t>
  </si>
  <si>
    <t>Preguntar por kiarita Pretelt en ayudas diagnósticas sura en el centro comercial viva por la antrada de la póliza.</t>
  </si>
  <si>
    <t>hugo lizarazo</t>
  </si>
  <si>
    <t>Calle 5#13-36 Lagos del Caujaral ( Casa Hugo Lizarazo) - Casa</t>
  </si>
  <si>
    <t xml:space="preserve">Marian </t>
  </si>
  <si>
    <t xml:space="preserve">Cala </t>
  </si>
  <si>
    <t xml:space="preserve">Marian cala </t>
  </si>
  <si>
    <t>Calle 75b#41-87 - Conjunto torre 6 apto 721torres de san jose</t>
  </si>
  <si>
    <t xml:space="preserve">Nuestro corazón se llena de orgullo al verte cumplir tus sueños. Felicitaciones, doctora Alvarez. </t>
  </si>
  <si>
    <t xml:space="preserve">Patricia Isabella </t>
  </si>
  <si>
    <t xml:space="preserve">Saltaren Ramírez </t>
  </si>
  <si>
    <t xml:space="preserve">Dalyi Mejía </t>
  </si>
  <si>
    <t>Los Pinos</t>
  </si>
  <si>
    <t>Cra 26 # 56-43 - Casa</t>
  </si>
  <si>
    <t xml:space="preserve">Amiga,  deseo que en este nuevo año que comienza, así como un capullo que se abre, florezcas en todos los aspectos de tu vida 
 </t>
  </si>
  <si>
    <t>Colocar con cariño y luego la firma de mi nombre por favor</t>
  </si>
  <si>
    <t>Olarte</t>
  </si>
  <si>
    <t>Ana Ortega</t>
  </si>
  <si>
    <t>CL 30 #25 - 442 BIMBO - Oficina</t>
  </si>
  <si>
    <t>Para ti, sin expectativas.
Reconozco mi error y respeto el espacio que necesitas.
Solo quiero que sepas que me importas y que lamento haberte causado dolor.</t>
  </si>
  <si>
    <t>Sebastián Caballero</t>
  </si>
  <si>
    <t>los robles</t>
  </si>
  <si>
    <t>Calle 78B #21C-36 Los robles - Casa</t>
  </si>
  <si>
    <t>Pido a Dios que pueda seguir acompañándote en todos tus logros como el día de hoy, feliz graduación mi amor bonito, eres la mejor. Te amo</t>
  </si>
  <si>
    <t>Ayda Luciana</t>
  </si>
  <si>
    <t>Cabarcas</t>
  </si>
  <si>
    <t>EMILIA MEJIA</t>
  </si>
  <si>
    <t>Cra 41D 80 102 - Casa</t>
  </si>
  <si>
    <t xml:space="preserve">Feliz Cumpleaños Mami. Te amo. Un beso </t>
  </si>
  <si>
    <t xml:space="preserve">Luis Fernando </t>
  </si>
  <si>
    <t>Forero</t>
  </si>
  <si>
    <t>Nataly Martinez</t>
  </si>
  <si>
    <t>Calle 93 #42C - 123 - Edificio</t>
  </si>
  <si>
    <t xml:space="preserve">Amor eres la mejor </t>
  </si>
  <si>
    <t>Edificio Tabor Plaza Apt 608</t>
  </si>
  <si>
    <t xml:space="preserve">Santiago Javier </t>
  </si>
  <si>
    <t xml:space="preserve">Tobias Rodriguez </t>
  </si>
  <si>
    <t xml:space="preserve">Gianella Torres </t>
  </si>
  <si>
    <t>Cll18#26b-21 - Casa</t>
  </si>
  <si>
    <t>Celebrando tu esfuerzo, dedicación y este gran logro. ¡Felicitaciones por tu grado!
Te amo</t>
  </si>
  <si>
    <t>Iván Dario</t>
  </si>
  <si>
    <t>Torres Bueno</t>
  </si>
  <si>
    <t xml:space="preserve">Karen Ramos </t>
  </si>
  <si>
    <t>Teatro José consuegra Higuins - Centro Comercial</t>
  </si>
  <si>
    <t>Eres la razón por lo  que soy y quien soy. Gracias por enseñarme a ser fuerte, honesto y a perseguir mis sueños. ¡Este es solo el comienzo de todo lo que lograrás y  lograremos juntos</t>
  </si>
  <si>
    <t>12 rosas,uboca de dragón,1/2 de pino,una vara de mirton,1 1/2 de astromelias,</t>
  </si>
  <si>
    <t>sofia</t>
  </si>
  <si>
    <t>barros</t>
  </si>
  <si>
    <t>sofia barros</t>
  </si>
  <si>
    <t>1× Flora Box Mediana 24 Rosas,fucsia,rosadas,naranjas,amarillo</t>
  </si>
  <si>
    <t>Luis Fernando</t>
  </si>
  <si>
    <t>Fontalvo</t>
  </si>
  <si>
    <t>Diana Silvera</t>
  </si>
  <si>
    <t>Calle 80 # 75-100 - Casa 20 (Marcar 120 Teleportero) - Casa</t>
  </si>
  <si>
    <t>1× Bouquet 12 Rosas Rosadas redondo  con ruscus</t>
  </si>
  <si>
    <t>Mi Puchi 😍
Le doy gracias a Dios por este primer mes a tu lado y le pido a la vida que sean muchos más, para seguir disfrutando de tu amor, tu lealtad y la paz que llena mi vida de felicidad.
Así como el hierro se fortalece en el fuego, mi amor por ti crece cada día hasta el final de la luna. Primeramente a Dios, gracias por regalarme la dicha y la bendición de que tú estés en mi vida. Ha sido un mes profundamente especial y genuino, colmado de emociones que guardaré para siempre en mi corazón.
Con todo mi amor Luifer Fontalvo 
17-12-2025</t>
  </si>
  <si>
    <t>WILLIAM</t>
  </si>
  <si>
    <t>NASSAR</t>
  </si>
  <si>
    <t>ISABELLA NASSAR</t>
  </si>
  <si>
    <t>Cra 57 79 199  apto 702 Edif Ferretti - Casa</t>
  </si>
  <si>
    <t xml:space="preserve">:320 6988245 </t>
  </si>
  <si>
    <t>1× Flora Box Grande 36 Rosas | 1× Oso de Peluche | 1× Topper Happy Birthday | 1× Ambientador 120 ml</t>
  </si>
  <si>
    <t>NO ES EL AMBIENTADOR ES LA CAJA DE FERREROS DE 4 CHOCOLATES</t>
  </si>
  <si>
    <t>Yoly Romero</t>
  </si>
  <si>
    <t>Calle 77b #57-103 Green Towers</t>
  </si>
  <si>
    <t>311 6267360</t>
  </si>
  <si>
    <t>1× Flora Mini Plus Box Cuadrada como mini box número 7</t>
  </si>
  <si>
    <t>Feliz cumpleaños Bebi, Eres mi eterna y constante adoración. Para Yoly Romero</t>
  </si>
  <si>
    <t>El arreglo en tonls blanco y rosado</t>
  </si>
  <si>
    <t>Albor</t>
  </si>
  <si>
    <t>Paula Aguilar</t>
  </si>
  <si>
    <t>Cra 56#87-06. Edificio Mallorca. Apartamento 401C - Edificio</t>
  </si>
  <si>
    <t>(311) 381-9246</t>
  </si>
  <si>
    <t>CAJA GRANDE TOPIARIO EN ROSAS Y CLAVELES ROSADOS Y RAFIN TOPPER HBD</t>
  </si>
  <si>
    <t>Feliz cumpleaños reina de mi vida, es un placer compartir mi vida a tu lado y celebrar cada fecha especial juntos, deseo que la vida nos llene de años para seguir conquistándote y consintiendote día a día. Te amo mi mona linda ❤️</t>
  </si>
  <si>
    <t>.</t>
  </si>
  <si>
    <t>Juliany</t>
  </si>
  <si>
    <t xml:space="preserve">Calle 76 no 56 29 hotel estelar Bancolombia piso 1 </t>
  </si>
  <si>
    <t>Entrada parqueadero hotel Estelar - Oficina</t>
  </si>
  <si>
    <t>Feliz cumpleaños Diani 🌹✨🙏🏻
Queremos desearte un día lleno de sonrisas y un año increíble. 
En muy poco tiempo has logrado ganarte nuestra confianza y cariño, gracias a tu forma cercana de liderar, escuchar y acompañarnos día a día.
Nos sentimos muy felices trabajando contigo y nos motiva saber que vamos por este camino juntos. 
¡Gracias por tu apoyo y buena energía! Que este nuevo año venga con mucha salud, alegría y muchos éxitos compartidos.
Con mucho cariño,
Tus ejecutivos</t>
  </si>
  <si>
    <t>Por favor especial las flores súper vírgenes y frescas ya que se entregará mañana a las 7 am debe durar toda la noche 🙏🏻</t>
  </si>
  <si>
    <t>bischoff</t>
  </si>
  <si>
    <t>Fiorella De La Ossa</t>
  </si>
  <si>
    <t>Calle 3a n 26 - 150 casa 3Quintas de villa campestre 2 - Casa</t>
  </si>
  <si>
    <t>1× Flora Box Mediana  x 20 rosas rosadas</t>
  </si>
  <si>
    <t>Felices 15, Fio!  Que esta nueva etapa esté llena de luz, sueños y bendiciones.  Brilla siempre ✨
Te queremos Mucho,
Chepe, Moni, Juli, Lucía y David</t>
  </si>
  <si>
    <t>sebastian</t>
  </si>
  <si>
    <t>salazar</t>
  </si>
  <si>
    <t>sebastian salazar</t>
  </si>
  <si>
    <t>jesualdo</t>
  </si>
  <si>
    <t>daza</t>
  </si>
  <si>
    <t>jesualdo daza</t>
  </si>
  <si>
    <t>Julio Mario</t>
  </si>
  <si>
    <t>Díaz Higgins</t>
  </si>
  <si>
    <t xml:space="preserve">Francesca visbal </t>
  </si>
  <si>
    <t>Carrera 64c #94-57   Edificio Boe apto 702 - Edificio</t>
  </si>
  <si>
    <t>¡Para la mal mirada más linda!</t>
  </si>
  <si>
    <t>leonardo</t>
  </si>
  <si>
    <t>rojas sepulveda</t>
  </si>
  <si>
    <t>CRA 55 #72-109 - Casa</t>
  </si>
  <si>
    <t xml:space="preserve"> felicitaciones querida hemrmana y doctora Isabella Que Dios te ilumine en tu camino siempre!!!</t>
  </si>
  <si>
    <t>bouquet como foto</t>
  </si>
  <si>
    <t xml:space="preserve">Jeannete </t>
  </si>
  <si>
    <t xml:space="preserve">Carvajalino </t>
  </si>
  <si>
    <t xml:space="preserve">Gina Aarón </t>
  </si>
  <si>
    <t>Calle 96# 71-37 Edificio Bora apto 502 torre 5 - Edificio</t>
  </si>
  <si>
    <t>1× Topper Welcome Baby | 1× Flora Box Grande 50 Rosas</t>
  </si>
  <si>
    <t xml:space="preserve">
Tu corazón acaba de nacer de nuevo con la llegada de nuestro sobrino BENJA. Que este amor infinito te abrace siempre y llene tu vida de luz. Qué regalo tan grande es verte comenzar esta nueva historia. LOS AMAMOS💫👶💖</t>
  </si>
  <si>
    <t>Luis Enrique</t>
  </si>
  <si>
    <t>Potes Zea</t>
  </si>
  <si>
    <t>Luis Potes Zea</t>
  </si>
  <si>
    <t>Combarranquilla unidad country (Calle 76 #57-61) - Edificio</t>
  </si>
  <si>
    <t>Felicidades Chiquita.
Hoy te gradúas como médica. Hoy celebras el fruto de tu esfuerzo. Verte llegar hasta aquí me llena el corazón de orgullo y admiración. Estoy inmensamente orgulloso de ti. Para mi siempre has sido extraordinaria, y estoy seguro de que serás la mejor doctora del mundo. Este logro es tuyo, te lo mereces y mucho más.
Te quiero muchísimo.</t>
  </si>
  <si>
    <t>Sarai</t>
  </si>
  <si>
    <t>Yaruro</t>
  </si>
  <si>
    <t>Katheryn Genes</t>
  </si>
  <si>
    <t>Cra 39 #75b-38 edificio Lisboa apto 905 - Edificio</t>
  </si>
  <si>
    <t>1× Flora Box Solitario Tulipan</t>
  </si>
  <si>
    <t>Estás por culminar una etapa, y si bien anhelaba estar ahí acompañándote físicamente, por el momento tendré que hacerlo a distancia. No sabes el orgullo que me da poder decir que eres medica, que ya acabaste y sobretodo que eres la mejor. Te extraño un montón personita y te amo como no tienes idea. Congrats babe &lt;3</t>
  </si>
  <si>
    <t>Cra 54 Calle 70-10, - Oficina</t>
  </si>
  <si>
    <t>Andre:
Gracias por ser un apoyo incondicional en este camino tan especial. Tu compañía, tu amistad y cada gesto de cariño han significado muchísimo para nosotros durante la preparación de este matrimonio. Nos sentimos profundamente agradecidos por todo lo que hemos recibido de tu parte y por caminar a nuestro lado en este proceso tan importante.</t>
  </si>
  <si>
    <t>Entregar en el lobby del hotel en la torre ejecutiva la nueva torre. Dejar en habitación a nombre de Andrea montoya</t>
  </si>
  <si>
    <t>Joaquin David</t>
  </si>
  <si>
    <t xml:space="preserve">Cherrez Reivan </t>
  </si>
  <si>
    <t xml:space="preserve">Joaquín </t>
  </si>
  <si>
    <t>Cra 52 #98-187, Conjunto Vizcaya casa 22 - Conjunto</t>
  </si>
  <si>
    <t>Estas son las primeras flores que te doy… pero no serán las últimas.
No somos aún lo que quiero que seamos, pero mi corazón ya sabe que te ama.
Te entrego estas flores con todo mi corazón, y quiero que las veas como el comienzo de muchos momentos juntos.
Por si te preguntas el porqué de una una rosa diferente en el centro, es porque así te veo a mis ojos, única y diferente a las demás.</t>
  </si>
  <si>
    <t>Que sean 11 rosas rojas 
1 rosa de color rosado en el centro</t>
  </si>
  <si>
    <t>jakov</t>
  </si>
  <si>
    <t>kaulitz</t>
  </si>
  <si>
    <t>Diana Osorio</t>
  </si>
  <si>
    <t>calle 87 71-141 club ladridos - Casa</t>
  </si>
  <si>
    <t xml:space="preserve"> 317 2837459</t>
  </si>
  <si>
    <t>Eres el ser más maravilloso de este planeta y el todo de mi mundo.
-Luciérnaga 1903.</t>
  </si>
  <si>
    <t>Ronal</t>
  </si>
  <si>
    <t>Quiroga</t>
  </si>
  <si>
    <t>Nayelhi</t>
  </si>
  <si>
    <t>Calle 64 #65-48 agencia de aduanas Cargo flash - Oficina</t>
  </si>
  <si>
    <t>Aveces la vida no necesita prisa, solo el ritmo justo para que todo fluya.</t>
  </si>
  <si>
    <t>Garrido Cepeda</t>
  </si>
  <si>
    <t>Milena Martinez</t>
  </si>
  <si>
    <t>Cra 71 # 82 - 72 - Casa</t>
  </si>
  <si>
    <t>Contando los dias para bailar juntos</t>
  </si>
  <si>
    <t xml:space="preserve">Daniela </t>
  </si>
  <si>
    <t>Sampayo</t>
  </si>
  <si>
    <t xml:space="preserve">Oriana </t>
  </si>
  <si>
    <t>Apto 1005 edificio sky 96 - Casa</t>
  </si>
  <si>
    <t>Te quiero mucho, disfrútalas!</t>
  </si>
  <si>
    <t>Juan David Escorcia</t>
  </si>
  <si>
    <t>Juan David Escorcia RAPPI</t>
  </si>
  <si>
    <t>Luis Carlos</t>
  </si>
  <si>
    <t>Luis Carlos Fernandez</t>
  </si>
  <si>
    <t>color fuscia</t>
  </si>
  <si>
    <t xml:space="preserve">Raquel </t>
  </si>
  <si>
    <t xml:space="preserve">Sorza  </t>
  </si>
  <si>
    <t>Raquel Sorza</t>
  </si>
  <si>
    <t>3162943940,</t>
  </si>
  <si>
    <t>1× Mini Box Orquidea  ID de la orden 2410272010</t>
  </si>
  <si>
    <t>gisella</t>
  </si>
  <si>
    <t>saieh</t>
  </si>
  <si>
    <t>gisella saieh</t>
  </si>
  <si>
    <t>navideños</t>
  </si>
  <si>
    <t xml:space="preserve">Brayan jabib </t>
  </si>
  <si>
    <t>Caballero orozco</t>
  </si>
  <si>
    <t xml:space="preserve">Emily Mendoza </t>
  </si>
  <si>
    <t>Calle 47b #14-64, conjunto arcadas de san Isidro (BLOQUE 32- APTO 1D) - Conjunto</t>
  </si>
  <si>
    <t>Felicitaciones mi amor, por este nuevo logro en tu vida,  eres la mejor mi cielo que lo disfrutes mucho, te lo mereces. Te amo demasiado</t>
  </si>
  <si>
    <t>olga lucía</t>
  </si>
  <si>
    <t>Cra 49D 96A-28 - Casa</t>
  </si>
  <si>
    <t>312 6600430</t>
  </si>
  <si>
    <t>arreglo en canasto surtido HERMOSO</t>
  </si>
  <si>
    <t>Shirley</t>
  </si>
  <si>
    <t>Shirley Villegas</t>
  </si>
  <si>
    <t>Deseamos un feliz cumpleaños y mil bendiciones. Gracias por cuidar de nosotros!
De parte de: Valentina Pino y Maximiliano</t>
  </si>
  <si>
    <t xml:space="preserve">Juan Manuel </t>
  </si>
  <si>
    <t>Barranco Escobar</t>
  </si>
  <si>
    <t xml:space="preserve">Maríana Isabel Amaris Pérez </t>
  </si>
  <si>
    <t>Cra 42D1 #80A-63 - Conjunto</t>
  </si>
  <si>
    <t>Esta era mi sorpresa antes de navidad &lt;3</t>
  </si>
  <si>
    <t>las rosas en colores lila,blanco y fucsia</t>
  </si>
  <si>
    <t xml:space="preserve">María Valeria </t>
  </si>
  <si>
    <t xml:space="preserve">Guerra </t>
  </si>
  <si>
    <t xml:space="preserve">Yiyi Torres y Jorge Molina </t>
  </si>
  <si>
    <t>Calle 92#49c-291 apto 101 - Casa</t>
  </si>
  <si>
    <t>Queridos abuelos,
Hoy celebramos 60 años de amor, compromiso y familia, una historia que nos inspira profundamente. Gracias por enseñarnos, con su ejemplo, que el amor verdadero se construye con paciencia, respeto, fe y mucha entrega.
Su unión es un regalo para todos nosotros y un legado que llevamos en el corazón. Gracias por cada consejo, cada abrazo y cada momento compartido. Son el mejor ejemplo de que el amor sí dura para toda la vida.
Que Dios los siga bendiciendo con salud, paz y muchos años más juntos. Los amamos infinitamente y celebramos con ustedes este día tan especial.</t>
  </si>
  <si>
    <t>David Vargas</t>
  </si>
  <si>
    <t>Yaddy</t>
  </si>
  <si>
    <t>Castro</t>
  </si>
  <si>
    <t>Atenais Cervantes</t>
  </si>
  <si>
    <t>Edificio Nacional 1 - Oficina</t>
  </si>
  <si>
    <t>En esta Navidad queremos agradecerle su liderazgo, confianza y apoyo constante. Que esta época traiga paz, bienestar y muchas bendiciones para usted y su familia.</t>
  </si>
  <si>
    <t>José Babilonia y Yaddy Castro</t>
  </si>
  <si>
    <t xml:space="preserve">Diani </t>
  </si>
  <si>
    <t>Bonifacio</t>
  </si>
  <si>
    <t>Diani Bonifacio</t>
  </si>
  <si>
    <t>Maria</t>
  </si>
  <si>
    <t>Maria Pia Malabet</t>
  </si>
  <si>
    <t>Kika</t>
  </si>
  <si>
    <t>Maria Consuelo Gomez</t>
  </si>
  <si>
    <t>Cra 56 #82-88 apto 16 Edificio Malbec - Edificio</t>
  </si>
  <si>
    <t>Feliz Cumple Tata. 
Te queremos.</t>
  </si>
  <si>
    <t>Jattin</t>
  </si>
  <si>
    <t xml:space="preserve">Tatico., Mamita y Shopi </t>
  </si>
  <si>
    <t>CLL 81 # 56-74 apto 26 - Edificio</t>
  </si>
  <si>
    <t>Bienvenidos a su casita familia hermosa, 
 Los amo demasiado ❤️</t>
  </si>
  <si>
    <t>Dejar por favor antes de 2 pm</t>
  </si>
  <si>
    <t xml:space="preserve">Juan Guillermo </t>
  </si>
  <si>
    <t>Quintero Manzano</t>
  </si>
  <si>
    <t xml:space="preserve">Giovanna Jiménez </t>
  </si>
  <si>
    <t>Calle 99 #56-48 En todo el frente De la olimpica 24 horas, De plaza del parque. - Casa</t>
  </si>
  <si>
    <t>Gracias, muchas gracias, mil gracias. Que Dios te bendiga siempre!</t>
  </si>
  <si>
    <t>maria camila</t>
  </si>
  <si>
    <t>rodas</t>
  </si>
  <si>
    <t>maria camila rodas</t>
  </si>
  <si>
    <t>claveles y clavellinas blancas 2 y 2 en cada botella y 1/2 paquete de gypso y eucalipto</t>
  </si>
  <si>
    <t>maria alejandra</t>
  </si>
  <si>
    <t xml:space="preserve">Gonzalez </t>
  </si>
  <si>
    <t xml:space="preserve">Grace Villalba </t>
  </si>
  <si>
    <t>4B - Casa</t>
  </si>
  <si>
    <t xml:space="preserve">cra 58 #91 99 </t>
  </si>
  <si>
    <t xml:space="preserve">Lele estamos felices y llenos de amor con tu llegada! Pronto esperamos conocerte. Te amamos!! </t>
  </si>
  <si>
    <t>Por favor que las rosas sean así rosadas.</t>
  </si>
  <si>
    <t>JUAN SEBASTIAN</t>
  </si>
  <si>
    <t>QUINTERO AREVALO</t>
  </si>
  <si>
    <t>AMAIDA AREVALO</t>
  </si>
  <si>
    <t>La Ceiba</t>
  </si>
  <si>
    <t>Carrera 12#56b-02 Madefront costa - Oficina</t>
  </si>
  <si>
    <t>316 2121020</t>
  </si>
  <si>
    <t>Que Dios te de mucha vida y salud para que sigas alegrando a todos los que te rodean con tu chispa y esa bonita manera de ver la vida, te amamos mucho</t>
  </si>
  <si>
    <t>Por favor que las flores sean rojas y la entrega sea a las 9 y 15 Am</t>
  </si>
  <si>
    <t xml:space="preserve">MERLY </t>
  </si>
  <si>
    <t>MORENO</t>
  </si>
  <si>
    <t>LIANA ARTETA</t>
  </si>
  <si>
    <t>CARRERA 59 # 81 - 229 Edificio VENICE Apto 2801 - Casa</t>
  </si>
  <si>
    <t>1× Corazón Mini Rosas y ponerle 4 ferreros</t>
  </si>
  <si>
    <t>LIANA:
Gracias por estar para mi❤️
Te quiero mucho. Feliz Navidad
Firma:  MALE OROZCO</t>
  </si>
  <si>
    <t>agregar 4 ferreros</t>
  </si>
  <si>
    <t>300 7682024</t>
  </si>
  <si>
    <t>1 plan amigas y 4 hojas de balazo</t>
  </si>
  <si>
    <t xml:space="preserve">Ana </t>
  </si>
  <si>
    <t xml:space="preserve">Gutierrez </t>
  </si>
  <si>
    <t xml:space="preserve">Antonella Castillo </t>
  </si>
  <si>
    <t>Carrera 73 # 88 - 73 Apto 303 torre 9 conjunto PALMERAS DE ANDALUCIA - Conjunto</t>
  </si>
  <si>
    <t>Feliz cumpleaños querida Antonela.
Eres una niña increíble, fuerte y dulce. Dios te bendiga cada uno de tu pasos. Que siempre seas feliz.</t>
  </si>
  <si>
    <t>maria jose</t>
  </si>
  <si>
    <t>de avila</t>
  </si>
  <si>
    <t>Calle 1 D#21-40 Edificio palmar de la Cienaga  Torre 4 apto 1107 Ciudad mallorquin - Edificio</t>
  </si>
  <si>
    <t>De : Kevin P.
Para : Dani❤️
Mensaje: 
Feliz cumpleaños Dani 🤍
Aunque hoy la distancia nos separa, quiero que sepas que estás muy presente. Me encanta la persona que eres y lo bonito que transmites. Gracias por permitirme acercarme a tu vida, paso a paso. Te deseo un año lleno de paz, sonrisas y momentos que te hagan sentir querida. Disfruta tu día, te lo mereces mucho.</t>
  </si>
  <si>
    <t>Angélica</t>
  </si>
  <si>
    <t xml:space="preserve"> Chacón</t>
  </si>
  <si>
    <t>Alexandra cheij</t>
  </si>
  <si>
    <t>Cra 56 68 203 edificio maxim 606 - Edificio</t>
  </si>
  <si>
    <t>Desde la distancia queremos desearte el mejor de los cumpleaños! Te queremos y extrañamos mucho. De tonicito, angelique y nachito</t>
  </si>
  <si>
    <t xml:space="preserve">Mateo </t>
  </si>
  <si>
    <t>Oriana Cabrales</t>
  </si>
  <si>
    <t>Calle 96a#64b-88 apto 1005 - Edificio</t>
  </si>
  <si>
    <t>Mi recien nacida hermosa, feliz cumpleaños titita, que Dios te bendiga y te proteja siempre, mi amor. Te deseo lo mejor de este mundo, que todos los sueños y deseos de tu corazón lleguen a ti en el momento adecuado. Eres mi felicidad, y mi motivación a ser mejor cada día, solo le pido a Dios a la vida que me permita darte todo lo que te mereces.
Que nunca falte la buena la salud, los momentos felices, y esas personas que te aman y valoran. Que sean muchísimos años más y espero hacerte sentir súper especial siempre que estemos juntos.
Gracias por tanto mi amor, has sido mi apoyo en tantas circunstancias que me siento tan feliz de poder disfrutar estas fechas a tu lado. Te amo, por siempre❤️</t>
  </si>
  <si>
    <t>cabrera</t>
  </si>
  <si>
    <t>steven trespalcios</t>
  </si>
  <si>
    <t>carrera 47 # 102 - 170 edificio la ría - Edificio</t>
  </si>
  <si>
    <t>1× Topper Welcome Baby | 1× Cerámica Sweet Pea</t>
  </si>
  <si>
    <t>Felicidades por ese angelito que Dios y la Virgen les ha mandado! los queremos mucho y muchas bendiciones para esta nueva etapa.</t>
  </si>
  <si>
    <t>Escribir la nota de felicidades !</t>
  </si>
  <si>
    <t xml:space="preserve">Julián </t>
  </si>
  <si>
    <t xml:space="preserve">Norma Lopez </t>
  </si>
  <si>
    <t>calle 35b #14-19 - Casa</t>
  </si>
  <si>
    <t>Feliz cumpleaños, abuela.
Gracias por tanto amor dado sin condiciones.
Que hoy recibas un poquito de todo lo que nos has regalado.</t>
  </si>
  <si>
    <t xml:space="preserve">pedro </t>
  </si>
  <si>
    <t>atuestas</t>
  </si>
  <si>
    <t>pedro atuestas</t>
  </si>
  <si>
    <t>vasquez</t>
  </si>
  <si>
    <t>adriana vasquez</t>
  </si>
  <si>
    <t>bolivar</t>
  </si>
  <si>
    <t>cra 55#79-197 apto 11b villa magna - Edificio</t>
  </si>
  <si>
    <t>por todos estos maravillosos años a tu lado feliz aniversario</t>
  </si>
  <si>
    <t xml:space="preserve">Carlos </t>
  </si>
  <si>
    <t xml:space="preserve">Osorio </t>
  </si>
  <si>
    <t xml:space="preserve">Arlene Domínguez </t>
  </si>
  <si>
    <t>Calle 80 55 78 Edf bellagio piso 6 - Edificio</t>
  </si>
  <si>
    <t>Hoy celebramos muchos años caminando de la mano, construyendo un hogar. De nuestro amor nacieron dos hijos, y hoy la vida nos regaló tres nietos que llenan nuestros días de alegría. Cada etapa vivida ha valido la pena, porque siempre nos hemos tenido el uno al otro. Gracias por una vida compartida y que el amor sea el  mayor legado. Feliz aniversario.</t>
  </si>
  <si>
    <t>El arreglo debe llevar Rosas amarillas y debe ser entregado en la mañana ojalá antes de 9 am</t>
  </si>
  <si>
    <t xml:space="preserve">Jair </t>
  </si>
  <si>
    <t>Coll Gallardo</t>
  </si>
  <si>
    <t>Jelissa Pacheco</t>
  </si>
  <si>
    <t>Calle 80 # 78B - 201. Procaps. Puerta sobre calle 80. - Casa</t>
  </si>
  <si>
    <t>Hoy celebramos tu vida🎂🎇, la que Dios bendice y llena de muchas cosas bonitas; pero tambien es un recordatorio a lo especial que eres, lo que nos amas y lo mucho que das por nuestra Familia. 
Feliz Vuelta al Sol 
Amor Mio.♥️
Te Ama tu Esposo y tu Hijo!!!</t>
  </si>
  <si>
    <t>arreglo como mini box # 7 OJOOOO</t>
  </si>
  <si>
    <t xml:space="preserve">Esmeralda </t>
  </si>
  <si>
    <t>Fonseca Córdoba</t>
  </si>
  <si>
    <t>martha</t>
  </si>
  <si>
    <t>Conjunto residencial Portal de Venecia Calle 98, #43-46 casa 19 - Edificio</t>
  </si>
  <si>
    <t>La vida siempre encuentra formas de hacernos sonreír. Con cariño para Martha 
De : Esmeralda</t>
  </si>
  <si>
    <t>Daniel Palma</t>
  </si>
  <si>
    <t>Daniel Palma RAPPI</t>
  </si>
  <si>
    <t>Katlyn</t>
  </si>
  <si>
    <t>Duran</t>
  </si>
  <si>
    <t xml:space="preserve">Karleana </t>
  </si>
  <si>
    <t>Hoy celebramos mucho más que un título; celebramos cada paso que diste con valentía, cada desvelo lleno de sueños y cada momento en el que elegiste no rendirte. Todo ese esfuerzo florece contigo. Nos conmueve verte alcanzar esta meta tan grande y hacerlo con un corazón noble, dedicado y lleno de luz.  Así florece todo lo que sembraste con paciencia, constancia y amor. Que la vida te abrace con oportunidades y te devuelva multiplicado todo lo bueno que entregas. Que este logro sea solo el inicio de un camino lleno de propósito y sueños cumplidos. Siempre estaremos aquí, celebrándote y apoyándote. Te queremos infinitamente.</t>
  </si>
  <si>
    <t>de: k+M   para: K</t>
  </si>
  <si>
    <t>Yasmin</t>
  </si>
  <si>
    <t>Escamilla</t>
  </si>
  <si>
    <t>Karime mita</t>
  </si>
  <si>
    <t>Cra 57 No 86 - 229 - Casa</t>
  </si>
  <si>
    <t>Mi querida Doctora que te continúe sonriendo la vida como te mereces  es un  sbrazo</t>
  </si>
  <si>
    <t>Annie</t>
  </si>
  <si>
    <t>Ortega</t>
  </si>
  <si>
    <t>Annie Ortega</t>
  </si>
  <si>
    <t>Carrera 9f #40-27 apartamento (frente al jardín botánico) - Casa</t>
  </si>
  <si>
    <t>Thank you for being by my side for the last 7 years. Now that this stage has ended, let's continue sharing stories together.</t>
  </si>
  <si>
    <t>María</t>
  </si>
  <si>
    <t>Vasquez</t>
  </si>
  <si>
    <t xml:space="preserve">Angie Areiza </t>
  </si>
  <si>
    <t>Cra. 49c #91-39, Riomar, Barranquilla, Atlántico - Casa</t>
  </si>
  <si>
    <t>301 2148662</t>
  </si>
  <si>
    <t>Amiga hermosa,
Espero de corazón que disfrutes esta nueva etapa de tu vida. Te mereces toda la felicidad del mundo y mucho más.
Desde la distancia, te mando un abrazo enorme y mis mejores deseos a ti y a Juanky.
¡Que sean muy, muy felices por siempre!</t>
  </si>
  <si>
    <t xml:space="preserve">DERLY </t>
  </si>
  <si>
    <t>MENDOZA</t>
  </si>
  <si>
    <t>DERLY MENDOZA</t>
  </si>
  <si>
    <t>bouquet surtido CANTIDAD 2</t>
  </si>
  <si>
    <t>bouquet de 3 rosas surtido como foto</t>
  </si>
  <si>
    <t xml:space="preserve">Jonis </t>
  </si>
  <si>
    <t xml:space="preserve">Fernandez </t>
  </si>
  <si>
    <t>Kelly cueto</t>
  </si>
  <si>
    <t>Calle 110#43c-735 - Oficina</t>
  </si>
  <si>
    <t xml:space="preserve">"Eres la única persona con la que puedo imaginar un futuro lleno de amor y alegría. ¡Feliz cumpleaños, mi compañera de vida!". </t>
  </si>
  <si>
    <t>Mauricio Ortiz</t>
  </si>
  <si>
    <t>1 mini box rosada
1 mini box azul
1 mini box navideña
1 bouquet surtido azul,morado y beige</t>
  </si>
  <si>
    <t>jean romero</t>
  </si>
  <si>
    <t>Verte llegar hasta aquí ha sido un privilegio. Tu vocación, tu fuerza y tu corazón harán del mundo un lugar mejor. Felicidades por este logro tan merecido, mi doctora hermosa. Atte: tu novio</t>
  </si>
  <si>
    <t>Vanessa</t>
  </si>
  <si>
    <t>Vanessa Gonzalez</t>
  </si>
  <si>
    <t>carrera 55 #84-95 edificio Rincón 55 apto 5B - Edificio</t>
  </si>
  <si>
    <t>1 paquete de eucalipto
1 paquete hipérico rojo
1 paquete de pino</t>
  </si>
  <si>
    <t>Brayam</t>
  </si>
  <si>
    <t xml:space="preserve"> Padilla </t>
  </si>
  <si>
    <t>Kendrys palacio</t>
  </si>
  <si>
    <t>Calle 53#52-68 703E - Edificio</t>
  </si>
  <si>
    <t>Felicitaciones por tu grado kenli, con mucho cariño te deseo lo mejor en tu nueva etapa, lo siento no acompañarte hoy en tu día. Espero la pases fenomenal</t>
  </si>
  <si>
    <t>solitario si hay rosa london mejor</t>
  </si>
  <si>
    <t>Jo Mag</t>
  </si>
  <si>
    <t>Jo Mag RAPPI</t>
  </si>
  <si>
    <t xml:space="preserve">Natalie </t>
  </si>
  <si>
    <t xml:space="preserve">Horta ballestas </t>
  </si>
  <si>
    <t>ANDREA PARRA</t>
  </si>
  <si>
    <t>Cra 55 # 82-227 piso 2103 Edif om club - Edificio</t>
  </si>
  <si>
    <t>Tia Andre: Siempre serás mi tía más especial, te amo y espero que tengas el mejor de los días!  Happy Birthday Emilio Alvarez!!!</t>
  </si>
  <si>
    <t>Mora</t>
  </si>
  <si>
    <t>Kelly Mora</t>
  </si>
  <si>
    <t>Mayerlin</t>
  </si>
  <si>
    <t>Villafane</t>
  </si>
  <si>
    <t>Mayerlin Villafane</t>
  </si>
  <si>
    <t>Yule .
Hoy celebramos tu vida.
Que tus sueños te lleven a momentos inigualables y
que Dios sea siempre el centro de tu corazón.
Muchísimas Bendiciones 
Te enviamos un abrazo Rompecostillas…</t>
  </si>
  <si>
    <t>vidal peña</t>
  </si>
  <si>
    <t xml:space="preserve">María Sofía Peña Maestre </t>
  </si>
  <si>
    <t>101 - Conjunto</t>
  </si>
  <si>
    <t>1× Flora Box Mediana Pastel | 1× Vino Espumoso JP. Chenet 175 ml | 1× Ferrero Rocher 8 und</t>
  </si>
  <si>
    <t>En este día tan especial doy gracias a Dios por verte realizar tus logros que este sea el inicio de muchos más te ama y se siente muy orgullosa de ti tu abuela Sofía castilla</t>
  </si>
  <si>
    <t>cesar julio</t>
  </si>
  <si>
    <t>cuevas</t>
  </si>
  <si>
    <t>Cesar Julio Cuevas</t>
  </si>
  <si>
    <t>celular de andrea</t>
  </si>
  <si>
    <t>Valencia</t>
  </si>
  <si>
    <t>Angie Rosales</t>
  </si>
  <si>
    <t>Cra 22 #  1e - 86 edificio Amore Torre 15 apto 602 - Edificio</t>
  </si>
  <si>
    <t>El primero de muchos ❤️</t>
  </si>
  <si>
    <t>Isaza</t>
  </si>
  <si>
    <t>ginny</t>
  </si>
  <si>
    <t>arenas</t>
  </si>
  <si>
    <t>ginny arenas</t>
  </si>
  <si>
    <t>Martínez Fernández</t>
  </si>
  <si>
    <t xml:space="preserve">Lisbet Patricia Peluffo Ochoa </t>
  </si>
  <si>
    <t>Cra 64E #86-41 Apto 302B Apartamento 302 B - Edificio  liverpool</t>
  </si>
  <si>
    <t>Doy gracias a Dios por la bendición que recibimos hace 24 años.  Te amo. Feliz aniversario.</t>
  </si>
  <si>
    <t>Belkys</t>
  </si>
  <si>
    <t>Hoyos</t>
  </si>
  <si>
    <t>Belkys Hoyos</t>
  </si>
  <si>
    <t>agregar botella de vino, y sobre</t>
  </si>
  <si>
    <t>Lily</t>
  </si>
  <si>
    <t>Peñaranda</t>
  </si>
  <si>
    <t>Lily peñaranda</t>
  </si>
  <si>
    <t>Cra. 71 #88-61, Conjunto Balcones de Andalucia 1, Torre 4, Apto 501 - Conjunto</t>
  </si>
  <si>
    <t>Feliz cumpleaños Mi Amor, eres el corazón de nuestro hogar, te deseamos todas las bendiciones, te amamos más de lo que las palabras pueden expresar. ¡Que tengas un día tan maravilloso como tú!</t>
  </si>
  <si>
    <t>Sandra Salazar</t>
  </si>
  <si>
    <t>Cra 52B # 92-73 - Casa</t>
  </si>
  <si>
    <t>Feliz cumpleaños tía Sandra.
Gracias a Dios y a la vida por tu vida. Gracias por estar a mi lado, por ser mi gran apoyo. Estoy muy orgullosa de ti y te admiro profundamente.</t>
  </si>
  <si>
    <t>Las flores en colores vivos - puntual en la entrega por favor</t>
  </si>
  <si>
    <t>Esteban</t>
  </si>
  <si>
    <t>Correa</t>
  </si>
  <si>
    <t>Hotel Dann Carlton</t>
  </si>
  <si>
    <t>Cl. 98 #52B-10 - Edificio</t>
  </si>
  <si>
    <t xml:space="preserve">Estoy muy feliz de poder recibirlas y ojala esta primera visita este llena de momentos lindos, buena energia y recuerdos que se lleven para siempre. Bienvenidas a su casa! </t>
  </si>
  <si>
    <t>La tarjeta debe ser “Para: Adriana, Fabiana &amp; Alissa”</t>
  </si>
  <si>
    <t>alejandro</t>
  </si>
  <si>
    <t>florez</t>
  </si>
  <si>
    <t>alejandro florez</t>
  </si>
  <si>
    <t>jesus</t>
  </si>
  <si>
    <t>salas</t>
  </si>
  <si>
    <t>jesus salas</t>
  </si>
  <si>
    <t>Lucia</t>
  </si>
  <si>
    <t xml:space="preserve">Angie Rodriguez-Escobar </t>
  </si>
  <si>
    <t>Carrera 57 # 84-155 - Edificio</t>
  </si>
  <si>
    <t>1× Cerámica Orquidea Aire | 1× Ferrero Rocher 8 und | 1× Topper Happy Birthday</t>
  </si>
  <si>
    <t xml:space="preserve">Ana Maria </t>
  </si>
  <si>
    <t>Morales Sierra</t>
  </si>
  <si>
    <t xml:space="preserve">Milena Hernández B </t>
  </si>
  <si>
    <t>Kra 59 # 96- 78 Edificio Ferrara - Edificio</t>
  </si>
  <si>
    <t>1× Mini Box Orquidea | 1x jp 5 kisse</t>
  </si>
  <si>
    <t>Felicidades amiga hermosa! Mile, hoy celebramos tu vida,  las personas que más te amamos, deseo un nuevo año, cargado de felicidad, Salud, éxitos, viajes y viajes😍. Nuestros corazones,  estan celebrando contigo. Con mucho Amor 🥰</t>
  </si>
  <si>
    <t>Deseo que llegue con flores frescas ! Y a las 5 de la tarde.</t>
  </si>
  <si>
    <t xml:space="preserve">María Camila </t>
  </si>
  <si>
    <t>Cera</t>
  </si>
  <si>
    <t>Carrera 45#57-58 - Casa</t>
  </si>
  <si>
    <t>Sarai, hoy celebramos tu esfuerzo, tu constancia y todo lo que lograste para llegar hasta aquí.
Estamos inmensamente felices y orgullosas de ti y de cada paso que diste para alcanzar este logro.
Que este nuevo comienzo esté lleno de bendiciones, sueños cumplidos y caminos que te acerquen cada día más a todo lo que mereces. Este grado es solo el inicio de cosas hermosas que vienen para ti. 🎓✨
Te amamos!</t>
  </si>
  <si>
    <t>Porfavor que llegue antes de 5</t>
  </si>
  <si>
    <t xml:space="preserve">Katlyn </t>
  </si>
  <si>
    <t xml:space="preserve">Nasrallah </t>
  </si>
  <si>
    <t xml:space="preserve">Michelle Fontalvo </t>
  </si>
  <si>
    <t>Cra. 41d #74-95, Barranquilla, Atlántico Conjunto oporto - Conjunto</t>
  </si>
  <si>
    <t>300 5483667</t>
  </si>
  <si>
    <t xml:space="preserve">“Para una persona muy especial: felicidades por tu graduación. Que estas flores acompañen el inicio de un camino tan lindo como tu vocación.” </t>
  </si>
  <si>
    <t>Si pueden ponerle algo alusivo a un feliz día o algo de grado, estaría bien.</t>
  </si>
  <si>
    <t>Jerónimo</t>
  </si>
  <si>
    <t>Camejo Jaimes</t>
  </si>
  <si>
    <t xml:space="preserve">Sofía Jiménez </t>
  </si>
  <si>
    <t>Cra 48 #100-102 - Edificio</t>
  </si>
  <si>
    <t>300 4290540</t>
  </si>
  <si>
    <t>Por seguir celebrando nuestro amor, feliz mes mi gorda hermosa.</t>
  </si>
  <si>
    <t>Edificio Lanzarotti 2
Apto 301</t>
  </si>
  <si>
    <t xml:space="preserve"> lily peñaranda</t>
  </si>
  <si>
    <t>Villa Carolina, Conjunto Balcones de Andalucía 172 #88-61, Torre 4, Apto 501 - Edificio</t>
  </si>
  <si>
    <t>Feliz cumpleaños Mi Amor, eres el corazón de nuestro hogar, te deseamos todas las bendiciones de la vida, te amamos más de lo que las palabras pueden expresar. ¡Que tengas un día tan maravilloso como tú!
Firma: Tu Amore</t>
  </si>
  <si>
    <t>Merlys</t>
  </si>
  <si>
    <t>Luis Fernanda</t>
  </si>
  <si>
    <t>Calle 118 #43-46 torre 5 apto 401 Conjunto María Mulata - Conjunto</t>
  </si>
  <si>
    <t>Mi Lu, este detalle es deseando tu pronta recuperación. Te quiero mucho</t>
  </si>
  <si>
    <t>Matus</t>
  </si>
  <si>
    <t xml:space="preserve">Diana Matus </t>
  </si>
  <si>
    <t>Carrera 53 #80-242 - Edificio</t>
  </si>
  <si>
    <t>De: Mafe 
Para: Diana 
Gordita, feliz cumpleaños. 
Te quiero mucho.</t>
  </si>
  <si>
    <t>arboleda</t>
  </si>
  <si>
    <t>andrea arboleda</t>
  </si>
  <si>
    <t>2 rosas</t>
  </si>
  <si>
    <t>Rendon</t>
  </si>
  <si>
    <t>Roxana Sandoval</t>
  </si>
  <si>
    <t>Cra 57 no 91-82 apto 7A - Edificio</t>
  </si>
  <si>
    <t>Feliz cumpleaños Rochy, eres una excelente amiga, te quiero mucho que Dios te bendiga hoy siempre!!!!</t>
  </si>
  <si>
    <t>Caja mediana con 24 rosas london</t>
  </si>
  <si>
    <t xml:space="preserve">Valencia </t>
  </si>
  <si>
    <t xml:space="preserve">Alejandra Garzón </t>
  </si>
  <si>
    <t>Apto 1202 - Casa</t>
  </si>
  <si>
    <t>Estoy orgulloso de ti, no por el número,
Por tu constancia y trabajo duro mi amor 
De monko
Para  monka</t>
  </si>
  <si>
    <t>JOSE</t>
  </si>
  <si>
    <t>RUDA</t>
  </si>
  <si>
    <t>LUISA FERNANDA GONZALEZ</t>
  </si>
  <si>
    <t>HOTEL EL PRADO - Edificio</t>
  </si>
  <si>
    <t>A horas de convertirnos en uno solo, quiero que sepas que eres mi sueño hecho realidad. Nos espera toda una vida juntos</t>
  </si>
  <si>
    <t>confirma hora y habitación</t>
  </si>
  <si>
    <t xml:space="preserve">Alejandro Maestre </t>
  </si>
  <si>
    <t>Cra 64#86-108 Edificio Petrus 64 apto 602 - Casa</t>
  </si>
  <si>
    <t xml:space="preserve">AFIMA </t>
  </si>
  <si>
    <t>S.A.S</t>
  </si>
  <si>
    <t>DELIANIS HERRERA CASTRO</t>
  </si>
  <si>
    <t>Calle 48 # 21-50 - Casa</t>
  </si>
  <si>
    <t>Delianis
Te escribimos para que sepas que te extrañamos mucho y que te pensamos en todo momento. Tómate este tiempo para sanar y recuperarte con calma; tu bienestar es lo más importante, confía en que todo irá mejorando día a día. Aquí te esperamos con los brazos abiertos, con la misma fuerza y dedicación que siempre te han caracterizado.
Ánimo y cuídate mucho.
Tu equipo de High Park</t>
  </si>
  <si>
    <t>Queremos que sepas que te tenemos muy presente y que te acompañamos con todo nuestro cariño. Tómate el tiempo que necesites para sanar con calma y rodearte de paz; tu bienestar es, y siempre será, lo más importante para nosotros.
Que este momento te ayude a sostenerte con la fuerza que vive en tu corazón, aquí te esperamos con los brazos y el corazón abiertos, con el mismo cariño, respeto y apoyo de siempre.
Ánimo, cuídate mucho.
Equipo del Dr. Andrés Durán</t>
  </si>
  <si>
    <t xml:space="preserve">carlos </t>
  </si>
  <si>
    <t>carlos alvarez</t>
  </si>
  <si>
    <t xml:space="preserve">Paola Andrea </t>
  </si>
  <si>
    <t xml:space="preserve">Oñoro González </t>
  </si>
  <si>
    <t>Paola Andrea Oñoro González</t>
  </si>
  <si>
    <t>5× Bouquet 12 Rosas Rojas</t>
  </si>
  <si>
    <t xml:space="preserve">Gracias por tu esfuerzo y dedicación, pero sobre todo gracias por hacerlo con el corazón </t>
  </si>
  <si>
    <t xml:space="preserve">JYMMI </t>
  </si>
  <si>
    <t>ANGULO</t>
  </si>
  <si>
    <t>NAYELA  SALCEDO</t>
  </si>
  <si>
    <t>CRA 59#81-229 APTO 1601 - Casa</t>
  </si>
  <si>
    <t>ARREGLO GRANDE PUEDE SER FLORES SURTIDAS</t>
  </si>
  <si>
    <t>OMAR</t>
  </si>
  <si>
    <t>MEDINA</t>
  </si>
  <si>
    <t>MARTHA VILLARREAL</t>
  </si>
  <si>
    <t>CALLE 100#49C-155 CASA 1 - Casa</t>
  </si>
  <si>
    <t>1× Bouquet 24 Rosas Rojas TOPPER FELIZ ANIVERSARIO</t>
  </si>
  <si>
    <t>JULIANA</t>
  </si>
  <si>
    <t>JULIANA GONZALEZ</t>
  </si>
  <si>
    <t xml:space="preserve">cathy </t>
  </si>
  <si>
    <t>jesurum</t>
  </si>
  <si>
    <t>cathy jesurum</t>
  </si>
  <si>
    <t>310 7283662</t>
  </si>
  <si>
    <t>3 centros de mesa solo pino y piñas de 40 cms cada uno
2 eucalipto pepas
1 paquete de pino
2 hipéricos rojos
2 paquetes de bollgreem
1 hipérico rojo  enviarle los 2 hipéricos rojos y el paquete de pino con 2 eucalipto pepa</t>
  </si>
  <si>
    <t>flores</t>
  </si>
  <si>
    <t>Carolina Tapias</t>
  </si>
  <si>
    <t>Cra 64 e 86-11 Ed. Carolina - Edificio</t>
  </si>
  <si>
    <t>1× Flora Box Redonda 24 Rosas de Jardín | 1× Ferrero Rocher 8 und</t>
  </si>
  <si>
    <t>Caro, qué emoción verte feliz en este gran momento.
Nos llena el corazón de alegría, porque sabemos todo el amor que hay detrás de este “sí”.
Les deseamos una vida juntos llena de risas, apoyo incondicional y momentos llenos de amor.
Siempre estaremos aquí, celebrándote y acompañándote en cada etapa así estemos en la distancia.</t>
  </si>
  <si>
    <t>Castilla</t>
  </si>
  <si>
    <t>Doris Chamie de Castilla</t>
  </si>
  <si>
    <t>Calle 75 # 47-32 Barranquilla Colombia - Casa</t>
  </si>
  <si>
    <t>1× Canasto Surtido Morado</t>
  </si>
  <si>
    <t>Para la mejor Madre del mundo entero que me lo ha dado todo y mucho mas.
Te AMO con todo mi corazón 
Feliz Cumpleaños.</t>
  </si>
  <si>
    <t>Paypal</t>
  </si>
  <si>
    <t>Que Dios te de mucha salud para que estes con nosotros por mucho tiempo TE AMO</t>
  </si>
  <si>
    <t>Rina</t>
  </si>
  <si>
    <t>Rosa Bobadilla</t>
  </si>
  <si>
    <t>Cra 75 #86B-60 - Casa</t>
  </si>
  <si>
    <t>Rosita:
Feliz cumpleaños, que Dios te bendiga, llene de salud y mucha vida para que continúes sembrando amor en todas las personas que te rodean. Eres una mujer maravillosa y con un gran corazón. 
Te quiero mucho</t>
  </si>
  <si>
    <t>Ninguna</t>
  </si>
  <si>
    <t>Boris</t>
  </si>
  <si>
    <t>Buelvas</t>
  </si>
  <si>
    <t>María del Mar</t>
  </si>
  <si>
    <t>Granadillo</t>
  </si>
  <si>
    <t>Carrera 43b #84-141 - Edificio</t>
  </si>
  <si>
    <t>Feliz cumpleaños mi amor, te amo ❤️</t>
  </si>
  <si>
    <t xml:space="preserve">Carlota </t>
  </si>
  <si>
    <t>Fruto</t>
  </si>
  <si>
    <t>Isabella De La Hoz</t>
  </si>
  <si>
    <t>Cra 67  #75-12 Arcos De La Frontera apto 12D - Edificio</t>
  </si>
  <si>
    <t xml:space="preserve">Feliz Cumpleaños a la Princesa de Mi Familia, Dios Te Bendiga y seas siempre así de especial con Nosotros y  para nosotros, Te Queremos ISA! 
</t>
  </si>
  <si>
    <t>Naysel dayan</t>
  </si>
  <si>
    <t xml:space="preserve">Sarabia Cervantes </t>
  </si>
  <si>
    <t>Naysel sarabia</t>
  </si>
  <si>
    <t>El Romance</t>
  </si>
  <si>
    <t>Calle 90b 6h-88,  barrio romance - Casa</t>
  </si>
  <si>
    <t>Para Gabriela ballesteros sarabia y su mami y papi.
Tu bautismo es una bendición que le llega a toda tu familia. Que las bendiciones que trae el sacramento del bautismo te protejan para siempre. 
-Ana</t>
  </si>
  <si>
    <t>Que llegue a las 4pm. Muchísimas gracias!</t>
  </si>
  <si>
    <t>Sanchez Cabeza</t>
  </si>
  <si>
    <t>Maria Paula Gomez Alonso</t>
  </si>
  <si>
    <t>La Floresta</t>
  </si>
  <si>
    <t>Calle 88 #77b-125  casa 39 - Casa</t>
  </si>
  <si>
    <t xml:space="preserve">El tiempo pasa, el orgullo queda. Siempre desde la primera fila y expectantes. </t>
  </si>
  <si>
    <t>PAOLA</t>
  </si>
  <si>
    <t>TORRES</t>
  </si>
  <si>
    <t>LAURA GARCIA</t>
  </si>
  <si>
    <t>CLLE 75#41-87 TORRES DE SAN JOSÉ - Edificio</t>
  </si>
  <si>
    <t xml:space="preserve">INES </t>
  </si>
  <si>
    <t>GOMÉZ PRADA</t>
  </si>
  <si>
    <t>HERMANAS HOGAR GERIATRICO</t>
  </si>
  <si>
    <t>CRA 39#75C-23 - Casa</t>
  </si>
  <si>
    <t>jonathan</t>
  </si>
  <si>
    <t>velazquez</t>
  </si>
  <si>
    <t xml:space="preserve">Yesica naranjo </t>
  </si>
  <si>
    <t>carrera 47 # 102-170 torre 2 apartamento 1104 edificio la ría - Casa</t>
  </si>
  <si>
    <t>Feliz cumpleaños amor de nuestra vida. Eres la mejor mamá , la mejor esposa que Dios nos haya podido regalar para estar siempre a tu lado. Nos sentimos orgullosos de amarte y de tenerte todos nuestros días a tu lado. Que Dios te llene de bendiciones y salud siempre , que la felicidad la construiremos siempre juntos. Te amamos 
Pochi y papá</t>
  </si>
  <si>
    <t>diego</t>
  </si>
  <si>
    <t>vega</t>
  </si>
  <si>
    <t>diego vega</t>
  </si>
  <si>
    <t>natalia perez</t>
  </si>
  <si>
    <t>Forero Bonett</t>
  </si>
  <si>
    <t>Ines Lazaro</t>
  </si>
  <si>
    <t>carrera 41d#82-53 - Casa</t>
  </si>
  <si>
    <t>¡Ine, feliz cumpleaños! Que tu día sea tan especial como lo eres para mí y que la felicidad esté siempre presente en tu vida. Te amo mucho</t>
  </si>
  <si>
    <t>Entregar en la mañana</t>
  </si>
  <si>
    <t>edgar</t>
  </si>
  <si>
    <t>ovalle</t>
  </si>
  <si>
    <t>edgar ovalle</t>
  </si>
  <si>
    <t xml:space="preserve">astor </t>
  </si>
  <si>
    <t>aguirre</t>
  </si>
  <si>
    <t>astor aguirre</t>
  </si>
  <si>
    <t>1× Canasto 100 Rosas | 1× Flora Box Surtida Rosas y Orquídeas | 1× Vino Espumoso JP. Chenet 175 ml | 1× Topper Happy Birthday</t>
  </si>
  <si>
    <t>guillermo</t>
  </si>
  <si>
    <t>ferrerira</t>
  </si>
  <si>
    <t>martha morales</t>
  </si>
  <si>
    <t>cra 57# 133-170 conj.lagomar casa 15 - Edificio</t>
  </si>
  <si>
    <t>dejó mensaje</t>
  </si>
  <si>
    <t>FABY</t>
  </si>
  <si>
    <t>VELEZ</t>
  </si>
  <si>
    <t xml:space="preserve">Fabiola Góngora </t>
  </si>
  <si>
    <t>Calle 68 # 44 86 - Casa</t>
  </si>
  <si>
    <t>Feliz cumpleaños, mami
Gracias por no dejarme sola nunca, por estar y sostenerme cuando me he sentido débil y por acompañarme en mi silencio. No hay palabras para agradecerte todo lo que haces por mí, por quererme de una manera tan inmensa. Te admiro mucho, te agradezco y te quiero más de lo que puedo expresar. Que este nuevo año de vida te de mucha salud, alegrías y bendiciones por todo el amor que me regalas cada día. Feliz cumpleaños, mami</t>
  </si>
  <si>
    <t>Fecha de 21 de diciembre</t>
  </si>
  <si>
    <t xml:space="preserve">Antonio María </t>
  </si>
  <si>
    <t xml:space="preserve">Martínez </t>
  </si>
  <si>
    <t xml:space="preserve">Vanessa Otoya Giorgi </t>
  </si>
  <si>
    <t>Villasantos, Barranquilla Carrera 49c # 96A-84 Edificio Luisa María  Piso 203A - Edificio</t>
  </si>
  <si>
    <t>Te amo mucho, por mil años más a tu lado! Siempre juntos a pesar de la lejanía ♥️</t>
  </si>
  <si>
    <t>Felices 6 años</t>
  </si>
  <si>
    <t>Zabaraín</t>
  </si>
  <si>
    <t>Alana Serna Zabaraín</t>
  </si>
  <si>
    <t>Cra 52 104-13, Casa 38, Castellana del Mar - Casa</t>
  </si>
  <si>
    <t>Nany.
Feliz cumpleaños para la más chiquitica de la casa, eres la dulce sorpresa que Dios nos mandó para ser más felices.
Te amamos infinitamente.</t>
  </si>
  <si>
    <t>Bonfante</t>
  </si>
  <si>
    <t>Bertha Nuñez</t>
  </si>
  <si>
    <t>Cra 56 #96-52. Edificio Mandarin. Apto 502 - Edificio</t>
  </si>
  <si>
    <t>Amor mío, 40 años caminando juntos, compartiendo sueños, risas y retos. Gracias por ser mi compañera de vida y la madre de nuestros 3 hijos. Te amo hoy más que nunca.</t>
  </si>
  <si>
    <t xml:space="preserve">Olivares Vigles </t>
  </si>
  <si>
    <t xml:space="preserve">Rosa Mary Vigles </t>
  </si>
  <si>
    <t>Cra 56 # 132 - 292 Conjunto los cocales casa 10b3 - Casa</t>
  </si>
  <si>
    <t xml:space="preserve">Feliz cumpleaños mami. Te amo con todo mi corazón. Espero que este año este lleno de mucho bienestar, amor propio y felicidad. </t>
  </si>
  <si>
    <t>Cumpleaños # 60</t>
  </si>
  <si>
    <t>anaya</t>
  </si>
  <si>
    <t>pedro anaya</t>
  </si>
  <si>
    <t>Karim Stefanell De La Rosa</t>
  </si>
  <si>
    <t>teresa alba</t>
  </si>
  <si>
    <t>villacampestre - Casa</t>
  </si>
  <si>
    <t>avril</t>
  </si>
  <si>
    <t>toledo</t>
  </si>
  <si>
    <t>avril toledo</t>
  </si>
  <si>
    <t>cra 42g#90-96 - Casa</t>
  </si>
  <si>
    <t>1× Bouquet Gerbera | 1× Bouquet Aire</t>
  </si>
  <si>
    <t xml:space="preserve"> Campo</t>
  </si>
  <si>
    <t>Ivanna Gallardo</t>
  </si>
  <si>
    <t>Cra 57 núm 86 147 casa  Riomar - Casa</t>
  </si>
  <si>
    <t>1× Flora Box Romantic Flores 12 Rosas | 1× Flora Box Redonda Orquídea</t>
  </si>
  <si>
    <t xml:space="preserve">Simón </t>
  </si>
  <si>
    <t xml:space="preserve"> Rois</t>
  </si>
  <si>
    <t>simon rois</t>
  </si>
  <si>
    <t>Cra 55 #79-34, piso 5 - Casa</t>
  </si>
  <si>
    <t>eduardo</t>
  </si>
  <si>
    <t>rueda</t>
  </si>
  <si>
    <t>elsy torres</t>
  </si>
  <si>
    <t>cra 55#105-23 apto 1403 - Casa</t>
  </si>
  <si>
    <t>zayne</t>
  </si>
  <si>
    <t>chajin</t>
  </si>
  <si>
    <t>zayne chajin</t>
  </si>
  <si>
    <t xml:space="preserve">maryoris </t>
  </si>
  <si>
    <t>monsalvo</t>
  </si>
  <si>
    <t>maryoris monsalvo</t>
  </si>
  <si>
    <t xml:space="preserve">Brenda </t>
  </si>
  <si>
    <t>Rocchi C</t>
  </si>
  <si>
    <t>brenda</t>
  </si>
  <si>
    <t>Las Palmas</t>
  </si>
  <si>
    <t>Cra 10 # 35-33 casa de esquina - Edificio</t>
  </si>
  <si>
    <t>natalie</t>
  </si>
  <si>
    <t>escorcia</t>
  </si>
  <si>
    <t>natalie escorcia</t>
  </si>
  <si>
    <t>OJO 100 EN EFECTIVO Y 80.000 EN TARJETA  CREDIBANCO</t>
  </si>
  <si>
    <t>maximiliano</t>
  </si>
  <si>
    <t>heilbron</t>
  </si>
  <si>
    <t>maximiliano heilbron</t>
  </si>
  <si>
    <t>CRA 52#82-212 - Casa</t>
  </si>
  <si>
    <t>Alfonso</t>
  </si>
  <si>
    <t>Liliana De Nubila</t>
  </si>
  <si>
    <t>Cra 57#84-53 Apto 501 - Edificio</t>
  </si>
  <si>
    <t xml:space="preserve">Feliz Navidad Princesa. Somos muy afortunados de tenerte en nuestras vidas. Eres lo más importante para nosotros. Te amamos, Lunita y Novio. </t>
  </si>
  <si>
    <t>MARIA  CLAUDIA</t>
  </si>
  <si>
    <t>LEAL</t>
  </si>
  <si>
    <t>miguel angel velasco</t>
  </si>
  <si>
    <t>funeraria la pazCl. 47 #43-96, - Casa</t>
  </si>
  <si>
    <t>1× Sudario</t>
  </si>
  <si>
    <t>Aldair</t>
  </si>
  <si>
    <t>Molina Mendoza</t>
  </si>
  <si>
    <t>Moisés Coronell</t>
  </si>
  <si>
    <t>Calle 117b #34-115 - Casa</t>
  </si>
  <si>
    <t>Feliz aniversario amor de mi vida ❤️❤️❤️</t>
  </si>
  <si>
    <t>Celebro tu sonrisa que vi por primera vez, nuestra salida, la compra de la vajilla (jamás he comido en ella), pero sobre todo, celebro que seas todo lo que siempre soñé.
Te amo con mi vida</t>
  </si>
  <si>
    <t xml:space="preserve">Sanchez </t>
  </si>
  <si>
    <t>Diana Lozano</t>
  </si>
  <si>
    <t>cra 59b # 84-48 edif Vivace apto 1701 - Casa</t>
  </si>
  <si>
    <t>1× Arreglo Personalizado y caja larga x 12 rosas rosadas</t>
  </si>
  <si>
    <t>en blanco</t>
  </si>
  <si>
    <t>1 x barril surtido navideño ver foto</t>
  </si>
  <si>
    <t>Douglas Diaz</t>
  </si>
  <si>
    <t>Feliz cumpleaños Mifu🩵</t>
  </si>
  <si>
    <t>Es para cumpleaños</t>
  </si>
  <si>
    <t>jennifer</t>
  </si>
  <si>
    <t>holguín</t>
  </si>
  <si>
    <t>jennifer holguín</t>
  </si>
  <si>
    <t>7× Mini Box Orquidea</t>
  </si>
  <si>
    <t>Bonilla</t>
  </si>
  <si>
    <t>Melany Gutierrez</t>
  </si>
  <si>
    <t>Calle 85#42d-25 - Casa</t>
  </si>
  <si>
    <t>Felices 21 Mela, te amamos infinito.</t>
  </si>
  <si>
    <t>mucho amor, Vale, Boni, Cata y Mary</t>
  </si>
  <si>
    <t xml:space="preserve">Dangond </t>
  </si>
  <si>
    <t xml:space="preserve">Catalina Dangond </t>
  </si>
  <si>
    <t>Calle 104#51b-154 castellana campestre casa 75 - Conjunto</t>
  </si>
  <si>
    <t>Si se puede poner más hortensias q otras flores</t>
  </si>
  <si>
    <t xml:space="preserve">Stefany </t>
  </si>
  <si>
    <t>Valderrama bustos</t>
  </si>
  <si>
    <t>Stefany Valderrama bustos</t>
  </si>
  <si>
    <t>CI. 116# 42B 91 torre 6 apto 842 conjunto golondrina - Conjunto</t>
  </si>
  <si>
    <t>Feliz navidad tefy, te mando un fuerte abrazo desde Tijuana, te quiero mucho y espero estés muy bien.</t>
  </si>
  <si>
    <t>Lobo</t>
  </si>
  <si>
    <t>Ans Sofia Barreto</t>
  </si>
  <si>
    <t>Cra 52 #132-87 Marasha Elite Casa 29 - Casa</t>
  </si>
  <si>
    <t>Dayana Castro</t>
  </si>
  <si>
    <t>1× Flora Box Mediana Welcome Baby + Topper | 1× Oso de Peluche</t>
  </si>
  <si>
    <t>Quiero que sepas que estoy muy orgullosa de la mujer que eres. Y la mamá en que te has convertido</t>
  </si>
  <si>
    <t>Thalia</t>
  </si>
  <si>
    <t>Marisabella Arrieta</t>
  </si>
  <si>
    <t>Feliz cumpleaños mi vida entera ❤️</t>
  </si>
  <si>
    <t xml:space="preserve">María Alejandra </t>
  </si>
  <si>
    <t xml:space="preserve">Uribe </t>
  </si>
  <si>
    <t>María Alejandra Uribe</t>
  </si>
  <si>
    <t xml:space="preserve">Sánchez y ortiz abogados sas </t>
  </si>
  <si>
    <t>Sánchez y ortiz abogados sas</t>
  </si>
  <si>
    <t xml:space="preserve">Laura Mesa Caballero </t>
  </si>
  <si>
    <t>Cra 52 # 82-76. Edif Alicante - Edificio</t>
  </si>
  <si>
    <t>313 8077981</t>
  </si>
  <si>
    <t>Laura hermosa ! 
Gracias de corazón por abrirnos las puertas de tu hogar y de tu vida en México. No solo nos regalaste un lugar donde quedarnos, nos regalaste tranquilidad, cercanía y ese calor que solo la familia sabe dar. 
Cada detalle, cada gesto y cada momento vivido en tu apartamento quedarán guardados en nuestra memoria como parte esencial de este viaje tan especial. 
Que Dios te multiplique en bendiciones toda la generosidad y el amor con el que nos recibiste. 
Siempre llevaremos este viaje asociado a tu bondad y a tu hermoso corazón, sabes que nuestro objetivo principal era ir a presentarle a nuestro retoño a la Guadalupe y tú hiciste parte muy importante de este objetivo. 
Gracias por tanto ! 
Te amamos
Lili,Carli, Carlitos , felipe y Alba</t>
  </si>
  <si>
    <t>-Decir q el apto de Cecilia Caballero -
Edificio Alicante</t>
  </si>
  <si>
    <t xml:space="preserve">Maria Daniela </t>
  </si>
  <si>
    <t xml:space="preserve">Guzman Gordon </t>
  </si>
  <si>
    <t xml:space="preserve">Rosario barrospaez </t>
  </si>
  <si>
    <t>Carrera 59b #96-60 casa - Casa</t>
  </si>
  <si>
    <t xml:space="preserve">Hoy y siempre celebramos tu vida! Para una persona digna de admiración. Te queremos mucho! </t>
  </si>
  <si>
    <t>Cerro</t>
  </si>
  <si>
    <t>Dra Castro</t>
  </si>
  <si>
    <t>Cra 52 # 85-44 - Edificio</t>
  </si>
  <si>
    <t>HOOKIAO</t>
  </si>
  <si>
    <t>Sofía</t>
  </si>
  <si>
    <t xml:space="preserve">Álvarez Agudelo </t>
  </si>
  <si>
    <t xml:space="preserve">Marleny vivas </t>
  </si>
  <si>
    <t>Transversal 44# 99-115 conjunto Barcelona apto 901 D - Conjunto</t>
  </si>
  <si>
    <t>mauricio</t>
  </si>
  <si>
    <t>vallejo</t>
  </si>
  <si>
    <t>mauricio vallejo</t>
  </si>
  <si>
    <t>flores surtidas muy pastel ponerle 3 puntos de orquideas a cada uno
de 90.000 cada unmo</t>
  </si>
  <si>
    <t>Oscar</t>
  </si>
  <si>
    <t>Rincon</t>
  </si>
  <si>
    <t>Oscar Rincon</t>
  </si>
  <si>
    <t xml:space="preserve">Santiago </t>
  </si>
  <si>
    <t>Paola Yepes</t>
  </si>
  <si>
    <t>entrega por tarde 8:30 puntual, deja tarjeta lista</t>
  </si>
  <si>
    <t>Drombo</t>
  </si>
  <si>
    <t xml:space="preserve">Maria Rueda </t>
  </si>
  <si>
    <t>Cra 52 no 86-57 Edificio Palma de Mallorca. apto 802B - Conjunto</t>
  </si>
  <si>
    <t>Hola, mi corazón. Today we celebrate our first anniversary as an engaged couple. I’m so happy that we are walking this path together into the future. I truly appreciate everything you have done for us and how you’re turning our home in Barranquilla into a real nest. You are the love of my life. I cannot wait to marry you ♥️</t>
  </si>
  <si>
    <t>Cra 57 79 360 - Casa</t>
  </si>
  <si>
    <t>victor</t>
  </si>
  <si>
    <t>ballesteros</t>
  </si>
  <si>
    <t>victor ballesteros</t>
  </si>
  <si>
    <t>3189068572,</t>
  </si>
  <si>
    <t xml:space="preserve"> de castro</t>
  </si>
  <si>
    <t>Samuel de castro</t>
  </si>
  <si>
    <t>3014403869,</t>
  </si>
  <si>
    <t xml:space="preserve">Karen peña </t>
  </si>
  <si>
    <t>Cra 73# 75 - 152 conjunto rivera Alta torre 3 1503</t>
  </si>
  <si>
    <t>kevin</t>
  </si>
  <si>
    <t>Cra 51b #93 85 - Casa</t>
  </si>
  <si>
    <t>maria  camila</t>
  </si>
  <si>
    <t>agudelo</t>
  </si>
  <si>
    <t>maria  camila agudelo</t>
  </si>
  <si>
    <t xml:space="preserve">Romy </t>
  </si>
  <si>
    <t>Schaller</t>
  </si>
  <si>
    <t>Romy Schaller</t>
  </si>
  <si>
    <t>cra 55 ·82 - 227 edificio apto 1704 - Casa</t>
  </si>
  <si>
    <t>2× Bouquet 12 Rosas Rojas</t>
  </si>
  <si>
    <t>uno amarillo, rojo,</t>
  </si>
  <si>
    <t>Romy</t>
  </si>
  <si>
    <t>cra 55 ·82 - 227 edificio apto 1704 - Edificio</t>
  </si>
  <si>
    <t>centro de mesa navideño</t>
  </si>
  <si>
    <t xml:space="preserve">Dorado </t>
  </si>
  <si>
    <t>Calle118#43-46 conjunto María mulata - Torre 12-301</t>
  </si>
  <si>
    <t>te amamos amiga feliz cumpleñaos que Dios te proteja , gracias por estar para nosotras eres una persona especial en nuestra vidas</t>
  </si>
  <si>
    <t>valeria y valentina</t>
  </si>
  <si>
    <t>Enrique</t>
  </si>
  <si>
    <t xml:space="preserve">Nini Viloria </t>
  </si>
  <si>
    <t>Carrera 43B # 112-89 apto 1201 torre 7 - Conjunto</t>
  </si>
  <si>
    <t>Amorcito, hoy 7 años después de unir mi vida a la tuya, solo tengo palabras de gratitud, gracias por tu amor incondicional y por la valentía de construir a mi lado tantos sueños y objetivos. Estoy feliz por lo que hemos vivido y emocionado por todo lo que viene de la mano de Dios. Te amo, feliz aniversario.</t>
  </si>
  <si>
    <t>vivian</t>
  </si>
  <si>
    <t>vivian amin</t>
  </si>
  <si>
    <t xml:space="preserve">erick </t>
  </si>
  <si>
    <t>price</t>
  </si>
  <si>
    <t>erick price</t>
  </si>
  <si>
    <t>Tous</t>
  </si>
  <si>
    <t>María Laura Hinojosa</t>
  </si>
  <si>
    <t>Cra 25 # 1A-55 apto 603 edificio Actually - Edificio</t>
  </si>
  <si>
    <t>324 5192336</t>
  </si>
  <si>
    <t>Joyeux Noël!</t>
  </si>
  <si>
    <t xml:space="preserve">Nazly </t>
  </si>
  <si>
    <t>Mulford</t>
  </si>
  <si>
    <t xml:space="preserve">Cristina Duncan </t>
  </si>
  <si>
    <t>Cra 58 #66-81 apto 202 Edificio Prado señorial - Edificio</t>
  </si>
  <si>
    <t>Felicidades!!! te quiero siempre</t>
  </si>
  <si>
    <t xml:space="preserve">Carmen Castillo </t>
  </si>
  <si>
    <t>Cra 59b #84-100 edificio duville apto 905 - Edificio</t>
  </si>
  <si>
    <t>1× Flora Box Romantic Flores 24 Rosas</t>
  </si>
  <si>
    <t>Hoy celebramos 33 años de caminar juntos, de aprender con alegrías, paciencia y aceptación. Ha sido un tiempo de desafíos y sueños cumplidos y otros que aún seguimos construyendo de la mano.
Gracias por ser mi compañera de vida, mi apoyo en momentos difíciles. 
Que estos 33 años sean una página mas de nuestra historia y de muchas otras páginas que vamos a escribir juntos
Te amo</t>
  </si>
  <si>
    <t>Prueba Final</t>
  </si>
  <si>
    <t>Cra52 #106-140 casa 51 - Casa</t>
  </si>
  <si>
    <t>FELIZ CUMPLEAÑOS PASTORA MALE!!!
Gracias por todo lo que haces por nosotros , le pido a Dios que te  de muchos años mas llenos de salud, Paz y alegría .</t>
  </si>
  <si>
    <t>CARLOS</t>
  </si>
  <si>
    <t>OLIVELLA</t>
  </si>
  <si>
    <t xml:space="preserve">:Natalia Martínez </t>
  </si>
  <si>
    <t>Cra 58 # 81-35 apto 4 Edificio Gratacielo - Casa</t>
  </si>
  <si>
    <t>Naty 
Que estas flores te recuerden lo especial que eres para mi y que te traigan un Paz y la alegría que mereces siempre . Que esta Navidad te envuelva en calma, serenidad, paz y cosas lindas en familia . Bendiciones , un beso gigante 
CJO</t>
  </si>
  <si>
    <t>FOTO ARREGLO Y TARJETA</t>
  </si>
  <si>
    <t xml:space="preserve">Oscar </t>
  </si>
  <si>
    <t xml:space="preserve">Fonseca </t>
  </si>
  <si>
    <t xml:space="preserve">Lina Gañán </t>
  </si>
  <si>
    <t>Calle 41#17-51 - Casa</t>
  </si>
  <si>
    <t xml:space="preserve">Mensaje de cumpleaños segerido para la novia </t>
  </si>
  <si>
    <t>TOPPER HBD</t>
  </si>
  <si>
    <t xml:space="preserve">Alfredo </t>
  </si>
  <si>
    <t>Sandra Laverde</t>
  </si>
  <si>
    <t>Cll 65 34 a 33 centro de formación acuática cruz roja, donde queda la piscina - Oficina</t>
  </si>
  <si>
    <t xml:space="preserve">Sandra Milena solo quiero recordarte que me encantas y eres mi locura. </t>
  </si>
  <si>
    <t>jeff</t>
  </si>
  <si>
    <t>edwards</t>
  </si>
  <si>
    <t xml:space="preserve">Valentina Giraldo-Cujar </t>
  </si>
  <si>
    <t>Carrera 70 # 92 -35  torre 5, apartamento 517. conjunto residencial parques de tivoly - Casa</t>
  </si>
  <si>
    <t xml:space="preserve">
Feliz Navidad, mi amor. Estoy lejos de ser perfecto, pero te has convertido en mi vida. Por siempre y para siempre.</t>
  </si>
  <si>
    <t>bouquet x 30 rosas rojas y blancas</t>
  </si>
  <si>
    <t>Aminta</t>
  </si>
  <si>
    <t>Vizcaino Mercado</t>
  </si>
  <si>
    <t>Ami vizcaino</t>
  </si>
  <si>
    <t>Calle 72#65-79 - Casa</t>
  </si>
  <si>
    <t>centro de mesa navideño con dos velas</t>
  </si>
  <si>
    <t>Luciana</t>
  </si>
  <si>
    <t>Campo</t>
  </si>
  <si>
    <t xml:space="preserve">Adriana Betancourt </t>
  </si>
  <si>
    <t>Calle 96#72-43 - Conjunto</t>
  </si>
  <si>
    <t>Feliz cumpleaños tía Adry, eres una mujer súper valiente y estamos seguros que grandes cosas tiene Dios para ti, te amamos</t>
  </si>
  <si>
    <t>henry</t>
  </si>
  <si>
    <t>enciso</t>
  </si>
  <si>
    <t>Sofía Lombardi Herrera</t>
  </si>
  <si>
    <t>Carrera 59 # 81-49 Apartamento 3B Edificio la Rochelle - Casa</t>
  </si>
  <si>
    <t>1× Flora Box Surtida</t>
  </si>
  <si>
    <t xml:space="preserve"> Sofiiii: otro año maravilloso, espero q sigas siendo tan especial y tierna, que pases un cumpleaños único y solo  se sienta tu sonrisa en la casa. Bendiciones. TqM tu tío Henry</t>
  </si>
  <si>
    <t xml:space="preserve">Rita </t>
  </si>
  <si>
    <t xml:space="preserve">Rangel </t>
  </si>
  <si>
    <t>Kra 8 # 30_ 158 torre de las palmas</t>
  </si>
  <si>
    <t>Kra 8 # 30_158 - Conjunto torre de las palmas</t>
  </si>
  <si>
    <t>1× Cerámica Sweet Pea | 1× Canasto Lavanda</t>
  </si>
  <si>
    <t>navideños ambos rojo y verde</t>
  </si>
  <si>
    <t>Urrea</t>
  </si>
  <si>
    <t>Valeria Acosta</t>
  </si>
  <si>
    <t>Calle 67 # 46 86 apto 201 - Edificio</t>
  </si>
  <si>
    <t>Felices meses mi cielito, todas las fechas son especiales contigo, y no hay nada que me haga más feliz que estar a tu lado</t>
  </si>
  <si>
    <t>Andrés Arturo</t>
  </si>
  <si>
    <t>Carrero Martínez</t>
  </si>
  <si>
    <t>Neyla Meza</t>
  </si>
  <si>
    <t>Cra 41d# 74-95 Conjunto Residencial Oporto - Conjunto</t>
  </si>
  <si>
    <t>Aún a la distancia deseo ser motivo de tu alegría, Feliz Navidad mi amor.</t>
  </si>
  <si>
    <t>como foto whatsapp  - enviar FOTO</t>
  </si>
  <si>
    <t xml:space="preserve">Corporación Marymount </t>
  </si>
  <si>
    <t>N</t>
  </si>
  <si>
    <t>mary mount</t>
  </si>
  <si>
    <t>Marymount Preescolar Cra 59 no. 84-226 - Casa</t>
  </si>
  <si>
    <t>318 5161408</t>
  </si>
  <si>
    <t>PIE DE ALTAR DE 1.20 DE LARGO EN FLORES BLANCAS</t>
  </si>
  <si>
    <t>Gisela</t>
  </si>
  <si>
    <t>Gallo</t>
  </si>
  <si>
    <t>313 6805643</t>
  </si>
  <si>
    <t>Ivanna Quintero</t>
  </si>
  <si>
    <t>Cl.79#42f-111 Edificio - Apto 501 queda en frente de la universidad elitora</t>
  </si>
  <si>
    <t>Hola, Princesa  
Quería tomarme un momento para escribirte porque he disfrutado mucho conocerte en estas dos semanas. Cada conversación y cada risa que hemos compartido me han hecho darme cuenta de lo especial que eres, si pudieras ver lo que mis ojos ven en ti entenderías todo.
Me encantaría seguir conociéndote más y seguir compartir momentos juntos.</t>
  </si>
  <si>
    <t>JULIAN ANDRES</t>
  </si>
  <si>
    <t>DE HOYOS LARIOS</t>
  </si>
  <si>
    <t xml:space="preserve">Isabella Cadena </t>
  </si>
  <si>
    <t>Cra 52#70-36 Edificio concept lofts apto 502</t>
  </si>
  <si>
    <t>No necesitas novio, para recibir flores. Solo necesitas a alguien que te quiera, Gracias por ser parte de mi vida Isa ❤️‍🩹  Feliz Navidad</t>
  </si>
  <si>
    <t>Entregar a su hermana Inés Cadena</t>
  </si>
  <si>
    <t>57 300 5790118</t>
  </si>
  <si>
    <t>Natalia Perez</t>
  </si>
  <si>
    <t>T15 901 Cra 22 #1e-116 Edificio Speranza - Edificio</t>
  </si>
  <si>
    <t>Mi tina 💙 eres el amor de mi vida , gracias por todo, por estar siempre conmigo en las buenas y en las malas. Hoy quiero pedirte lo que siempre quise hacer hace 11 años y es que estemos juntos por el resto de nuestra vida Quiero que te cases conmigo y que así estemos juntos hasta vieitos🙏🏼</t>
  </si>
  <si>
    <t>Orlando</t>
  </si>
  <si>
    <t>Tete</t>
  </si>
  <si>
    <t>Cra 42a 1 #84-200 - Edificio Apto 202 Edif Buenavista</t>
  </si>
  <si>
    <t xml:space="preserve">Llamarme para bajar a recibir </t>
  </si>
  <si>
    <t>3 años juntos, muchas risas, algunas peleas y el mismo amor creciendo. Prometo seguir amándote y cuidándote, como siempre.</t>
  </si>
  <si>
    <t>MARIA HELENA</t>
  </si>
  <si>
    <t>CHARRIS PEÑA</t>
  </si>
  <si>
    <t>MARIA HELENA CHARRIS PEÑA</t>
  </si>
  <si>
    <t>calle 11#8-366 lagos del caujaral - Casa</t>
  </si>
  <si>
    <t>5 canastos de rosas rojas</t>
  </si>
  <si>
    <t>EMPATHY SOLUCIONES CORPORATIVAS S.A.S</t>
  </si>
  <si>
    <t>Empresa</t>
  </si>
  <si>
    <t>Jocelyn Ortiz</t>
  </si>
  <si>
    <t>calle 96 72b 43 Conjunto catleya - Edificio</t>
  </si>
  <si>
    <t xml:space="preserve">Erika </t>
  </si>
  <si>
    <t xml:space="preserve">Arevalo </t>
  </si>
  <si>
    <t xml:space="preserve">Dilma Ballestas </t>
  </si>
  <si>
    <t>Cra 52 # 100-105 casa 71 quintas de la castellana - Conjunto</t>
  </si>
  <si>
    <t>Sra Dilma le deseamos un feliz cumpleaños Que Dios y la virgen la cuiden y la protejan siempre y le permita acompañarnos muchos años para disfrutar de sus consejos y de su amor. 
Gracias por queremos tanto.</t>
  </si>
  <si>
    <t>María doria</t>
  </si>
  <si>
    <t>Cra 50 # 107-40 casa 22, Conjunto villa Castelo - Casa</t>
  </si>
  <si>
    <t xml:space="preserve">Canasto con 50 rosas rojas </t>
  </si>
  <si>
    <t>Con todo el amor del mundo, feliz cumpleaños vida mía</t>
  </si>
  <si>
    <t>monteroza</t>
  </si>
  <si>
    <t>sebastian monteroza</t>
  </si>
  <si>
    <t>ENTREGADO OJO</t>
  </si>
  <si>
    <t xml:space="preserve">María Cristina </t>
  </si>
  <si>
    <t>Torres Guao</t>
  </si>
  <si>
    <t>María Cristina Torres Guao</t>
  </si>
  <si>
    <t>nana</t>
  </si>
  <si>
    <t>dajaba</t>
  </si>
  <si>
    <t>nana dajaba</t>
  </si>
  <si>
    <t>3164336106,</t>
  </si>
  <si>
    <t>8G No 51A - 48</t>
  </si>
  <si>
    <t>Galita. 
FELIZ CUMPLEAÑOS.
Te deseamos un hermoso día con salud y felicidad para cada día venidero. 
Que el amor y la gracia de Dios te acompañe hoy, mañana y siempre. 
Te amamos ❤️.</t>
  </si>
  <si>
    <t>Piso 2.  Es una casa que tiene un taller abajo con portón.</t>
  </si>
  <si>
    <t xml:space="preserve">Melany </t>
  </si>
  <si>
    <t xml:space="preserve">Pabon hernandez </t>
  </si>
  <si>
    <t xml:space="preserve">Yerli hernandez </t>
  </si>
  <si>
    <t>Cll 101 C # 49 E 63 casa 1 - Casa</t>
  </si>
  <si>
    <t>1× Flora Box Romantic Flores 12 Rosas rojas</t>
  </si>
  <si>
    <t>Por una vida entera de navidades juntos mi flaca bella❤️ 
Te amo</t>
  </si>
  <si>
    <t>Rosas rojas 
Que llegue a las 10AM por favor</t>
  </si>
  <si>
    <t>Christian</t>
  </si>
  <si>
    <t>Aiza Arzuza</t>
  </si>
  <si>
    <t>Cra 8E #130-46 - Casa</t>
  </si>
  <si>
    <t>Feliz Navidad.! 
Sigue recuperandote..
Me haces falta..
Te amo</t>
  </si>
  <si>
    <t>urdaneta</t>
  </si>
  <si>
    <t>celia urdaneta</t>
  </si>
  <si>
    <t>1× Flora Box Mediana Pastel topper hbd</t>
  </si>
  <si>
    <t>Safi gomez</t>
  </si>
  <si>
    <t>Antonella villalba</t>
  </si>
  <si>
    <t>Calle 96 #64b-53, conjunto Villa marina, casa 9 - Conjunto</t>
  </si>
  <si>
    <t>N/A</t>
  </si>
  <si>
    <t>1× Mini Box Orquidea | 1× Bouquet 12 Rosas Rojas</t>
  </si>
  <si>
    <t>Temporada 9.</t>
  </si>
  <si>
    <t xml:space="preserve">Zaella </t>
  </si>
  <si>
    <t xml:space="preserve">Altahona </t>
  </si>
  <si>
    <t xml:space="preserve">Paola Jaramillo Chavez </t>
  </si>
  <si>
    <t>Carrera 10 E No. 12 -33 urbanización bello mar  Puerto Colombia  Casa rejas blancas - Casa</t>
  </si>
  <si>
    <t>BOUQUET X 150 ROSAS ROJAS</t>
  </si>
  <si>
    <t xml:space="preserve">Diana </t>
  </si>
  <si>
    <t>Sermeño</t>
  </si>
  <si>
    <t>Betty medina</t>
  </si>
  <si>
    <t>Calle81#59-59 apto901 park avenue - Edificio</t>
  </si>
  <si>
    <t xml:space="preserve">Feliz cumpleaños! Esposa mia!! Te amo! </t>
  </si>
  <si>
    <t>Ana Marcela</t>
  </si>
  <si>
    <t>Padilla</t>
  </si>
  <si>
    <t>María José Pimienta</t>
  </si>
  <si>
    <t>Las Estrellas</t>
  </si>
  <si>
    <t>Cra 35b #100-147 - Torre F1, Apto 304 - Conjunto</t>
  </si>
  <si>
    <t xml:space="preserve">Feliz cumpleaños Majito! Espero que hoy tengas un día lleno de mucha felicidad. Te mando un abrazo desde la distancia, gracias por tu amistad. Te quiero mucho! </t>
  </si>
  <si>
    <t>Monica</t>
  </si>
  <si>
    <t>Jaramillo</t>
  </si>
  <si>
    <t>Natividad de Jaramillo</t>
  </si>
  <si>
    <t>Calle 76# 38A - 27 - Casa</t>
  </si>
  <si>
    <t>Madre solo te queremos decir que somos los mas afortunados de tenerte en nuestras vidas...gracias, gracias y mil gracias por todo tu amor.
Feliz cumpleaños,  te amamos!!!</t>
  </si>
  <si>
    <t>Alana</t>
  </si>
  <si>
    <t>Alean</t>
  </si>
  <si>
    <t>María Elisa</t>
  </si>
  <si>
    <t>Calle 90 #58-51 - Edificio Forest 59 apto 502</t>
  </si>
  <si>
    <t>Feliz cumpleaños mami, gracias por ser siempre el apoyo más grande de nuestras vidas y por ser un ejemplo para nosotros. Que Dios te bendiga. Siempre te amamos con todo el corazón ❤️</t>
  </si>
  <si>
    <t>Ramos</t>
  </si>
  <si>
    <t>Angie Sanchez</t>
  </si>
  <si>
    <t>PENDIENTE - Casa</t>
  </si>
  <si>
    <t>Carolina Sanchez</t>
  </si>
  <si>
    <t>flores surtidAS</t>
  </si>
  <si>
    <t xml:space="preserve">Pastores Alicia y Javier castro </t>
  </si>
  <si>
    <t>Calle 105 #53-55 edificio living torre 3 apto 102 - Edificio</t>
  </si>
  <si>
    <t>Prs Javier y Alicia castro 
Gracias por caminar delante de nosotros con un corazón rendido a Dios.
Su amor, su oración constante y su entrega silenciosa han sido refugio, guía y ánimo en cada temporada.
Damos gracias al Señor por sus vidas, por su fidelidad y por sembrar esperanza incluso cuando no siempre se ve el fruto.
Que en esta Navidad, el nacimiento de Jesús renueve sus fuerzas, llene su hogar de paz y les recuerde que su labor en Él nunca es en vano.
Los honramos, los bendecimos y les deseamos una Feliz Navidad, llena de la presencia y el gozo del Señor.</t>
  </si>
  <si>
    <t>ver foto whatsapp - pago tambien por transferencia</t>
  </si>
  <si>
    <t>H</t>
  </si>
  <si>
    <t xml:space="preserve">Geraldine </t>
  </si>
  <si>
    <t>Carrera 39 #45-33 - Casa</t>
  </si>
  <si>
    <t>320 5673773</t>
  </si>
  <si>
    <t xml:space="preserve">Bendiciones a millón para ti y que se vengan muchos viajes juntos </t>
  </si>
  <si>
    <t xml:space="preserve">Marco  </t>
  </si>
  <si>
    <t>Bossio</t>
  </si>
  <si>
    <t>Marco Bossio</t>
  </si>
  <si>
    <t>312 2968193</t>
  </si>
  <si>
    <t xml:space="preserve">Aarón </t>
  </si>
  <si>
    <t xml:space="preserve">Suaza </t>
  </si>
  <si>
    <t>calle 3a ·24 -70 edificio sankara apto 1603 villa campestre (justo en frente del colegio bearkley) - Edificio</t>
  </si>
  <si>
    <t>Quería escribirte este mensaje porque eres alguien muy especial para mí. Me gusta mucho cuando hablamos, cuando nos reímos y cuando compartimos momentos divertidos. Siempre haces que mis días sean más bonitos y que todo sea más alegre.
Te quiero mucho y me importa mucho que estés bien. Me gusta poder contar contigo, compartir cosas y sentir que siempre hay confianza y cariño. Eres una persona muy importante para mí.
Ojalá sigamos compartiendo muchas experiencias lindas, muchas risas y recuerdos felices. Espero que todo lo bonito que tenemos dure por muchísimo tiempo y para siempre.</t>
  </si>
  <si>
    <t>bouquet en rosas amarillas</t>
  </si>
  <si>
    <t>Emilio</t>
  </si>
  <si>
    <t>Suaza</t>
  </si>
  <si>
    <t>Emilio Suaza</t>
  </si>
  <si>
    <t>surtido rosas</t>
  </si>
  <si>
    <t>Dexter</t>
  </si>
  <si>
    <t>Rodríguez Díaz</t>
  </si>
  <si>
    <t>Carrera 56 #82-174 - Edificio</t>
  </si>
  <si>
    <t>En la carta debe decir o nota mención al cumpleaños 
Feliz Cumpleaños María Alejandra</t>
  </si>
  <si>
    <t>claudia</t>
  </si>
  <si>
    <t>claudia Castro</t>
  </si>
  <si>
    <t>arreglo de jarron</t>
  </si>
  <si>
    <t>Sarue Betancourt</t>
  </si>
  <si>
    <t>Andrea Ortega</t>
  </si>
  <si>
    <t>Calle 96#71-109 Apt403B - Edificio</t>
  </si>
  <si>
    <t>Feliz Navidad!
Te Quiero,</t>
  </si>
  <si>
    <t>rosas fuscia si no hay rojas</t>
  </si>
  <si>
    <t xml:space="preserve">Sánchez y ortiz abogados S.A.S. </t>
  </si>
  <si>
    <t xml:space="preserve">Lilibeth Sánchez </t>
  </si>
  <si>
    <t>Carrera 57 nro 78-30 - Edificio</t>
  </si>
  <si>
    <t xml:space="preserve">Sin mensaje </t>
  </si>
  <si>
    <t>tres arreglos $100.000 c/u con bases ver chat, colores de navidad</t>
  </si>
  <si>
    <t>D.</t>
  </si>
  <si>
    <t>PLAN BÁSICO (BOUQUET DE 9 ROSAS ROSADAS)
BOLSA DE PÉTALOS ROSADOS  ENTREGA HOY 12</t>
  </si>
  <si>
    <t>HILDA.</t>
  </si>
  <si>
    <t>DURAN</t>
  </si>
  <si>
    <t>HILDA DURAN</t>
  </si>
  <si>
    <t>Cra 52 # 82-253 Edificio riu 52 apto 401 - casa</t>
  </si>
  <si>
    <t>JARRONES EN VERDE Y BLANCO</t>
  </si>
  <si>
    <t xml:space="preserve">LUIS </t>
  </si>
  <si>
    <t>LUIS SANCHEZ</t>
  </si>
  <si>
    <t xml:space="preserve">Castro jaramillo </t>
  </si>
  <si>
    <t>Sandra Castro</t>
  </si>
  <si>
    <t>Calle 70 #53-19, edificio Carbo, apto 5C - Edificio</t>
  </si>
  <si>
    <t>Mamita, hoy celebro tu cumpleaños desde la distancia. No imaginas cuánto te extraño y la falta que me haces, pero sé que pronto nos volveremos a abrazar.
Te amo con todo mi corazón. Espero que tengas un día hermoso y que este ramo te haga sentir un pedacito de mí acompañándote hoy.</t>
  </si>
  <si>
    <t>Liz</t>
  </si>
  <si>
    <t xml:space="preserve">Acuña Menco </t>
  </si>
  <si>
    <t xml:space="preserve">Enis Menco </t>
  </si>
  <si>
    <t>Cra 14A 74A-76 - Casa</t>
  </si>
  <si>
    <t>Feliz cumpleaños.
Gracias por tu amor incondicional, tu fuerza y la ternura que nos brindas todos los días. Que hoy y siempre la vida te regale tanta alegría como la que tú nos das.</t>
  </si>
  <si>
    <t>Garcia julio</t>
  </si>
  <si>
    <t>Julieth polo</t>
  </si>
  <si>
    <t>La dirección es cra 73 #75-152 conjunto ribera alta torre 4 apto 1202</t>
  </si>
  <si>
    <t xml:space="preserve">Feliz navidad Lovia! Sonrie siempre mi amor eterno. </t>
  </si>
  <si>
    <t>Nicolás</t>
  </si>
  <si>
    <t>Galeano Bolaño</t>
  </si>
  <si>
    <t>Danna Sofia Cardona Bermúdez</t>
  </si>
  <si>
    <t>Un pequeño detalle con mucho amor, nuestra primera navidad de muchas. Te amo, preciosa.</t>
  </si>
  <si>
    <t>Luigi</t>
  </si>
  <si>
    <t>Aronna</t>
  </si>
  <si>
    <t>Edif. Canadu</t>
  </si>
  <si>
    <t>000</t>
  </si>
  <si>
    <t xml:space="preserve">Portilla Munevar </t>
  </si>
  <si>
    <t xml:space="preserve">Francesca </t>
  </si>
  <si>
    <t>Arreglo como el de la foto - recogen puntual</t>
  </si>
  <si>
    <t>alvaro</t>
  </si>
  <si>
    <t>angelica gonzález</t>
  </si>
  <si>
    <t>cra 31#61-42 - Casa</t>
  </si>
  <si>
    <t>los hijos que nos nacen son ricas bendiciones del Señor
salmos 127:3
feliz navidad te desea la familia rodríguez caballero.</t>
  </si>
  <si>
    <t>base de cerámica con arreglo mini box orquídea</t>
  </si>
  <si>
    <t>Dorian</t>
  </si>
  <si>
    <t>Isaura</t>
  </si>
  <si>
    <t>Todo pasa, prometo hacerte sonreír en momentos donde parezca no haber motivos.
¡Feliz navidad! .</t>
  </si>
  <si>
    <t>todas rosadas</t>
  </si>
  <si>
    <t>Merchan</t>
  </si>
  <si>
    <t xml:space="preserve">Valentina Rodríguez Anaya </t>
  </si>
  <si>
    <t>Calle76#52-98 edificio milemar apto 405 - Edificio</t>
  </si>
  <si>
    <t>Mi flaca hermosa, estas flores son solo un pequeño reflejo de lo maravillosa que eres. Tu belleza ilumina mis días, pero tu inteligencia y tu corazón son lo que más admiro y amo de ti. Quiero que sepas que siempre estaré para ti, en todo lo que necesites, hoy y siempre. Tú eres todo lo que necesito en mi vida y la razón de tanta felicidad en mi corazón. Me encanta verte feliz, ver tu carita preciosa sonriendo y cómo tus hermosos ojos se iluminan con esa alegría que tanto amo… eso es lo que quiero ver toda la vida. Feliz Navidad, mi amor. 🌹✨</t>
  </si>
  <si>
    <t>rosas amarillas</t>
  </si>
  <si>
    <t>María estela</t>
  </si>
  <si>
    <t xml:space="preserve">Páez better </t>
  </si>
  <si>
    <t xml:space="preserve">Marashal elite familia alarman florez </t>
  </si>
  <si>
    <t>Carrera 52, # 132 - 87 Casa 24 - Conjunto</t>
  </si>
  <si>
    <t>Gracias familia alemán florez por tanto!! Deseamos de corazón una feliz Navidad rodeada de lo más bonito que es la familia. Gracias por su incondicionalidad y apoyo, Dios guarde sus vidas y regale salud y prosperidad. Los amamos ♥️</t>
  </si>
  <si>
    <t xml:space="preserve">Eduin </t>
  </si>
  <si>
    <t>Bravo</t>
  </si>
  <si>
    <t>Saray</t>
  </si>
  <si>
    <t>Los Olivos II</t>
  </si>
  <si>
    <t>Calle 113 #20-42 - Casa</t>
  </si>
  <si>
    <t>Estoy viendo a la más linda!
♥️</t>
  </si>
  <si>
    <t>José</t>
  </si>
  <si>
    <t xml:space="preserve">Ojeda </t>
  </si>
  <si>
    <t>Irina Sanchez</t>
  </si>
  <si>
    <t>Transversal 44, 102-167, Edificio - Edificio Siena  Torre 2 apartamentos 519</t>
  </si>
  <si>
    <t>Esta Navidad no te tengo cerca, pero te siento en cada recuerdo, en cada canción y en cada pensamiento que aparece cuando el año se apaga lentamente. La distancia duele un poco más en estas fechas, pero también me recuerda lo importante que eres para mí. Que esta noche buena te envuelva con la misma paz y el mismo cariño Aunque hoy no podamos abrazarnos, quiero que sepas que estás muy presente en mi corazón en esta Navidad y en cada uno de mis pensamientos.
Te amo mucho  
Feliz navidad # 10</t>
  </si>
  <si>
    <t xml:space="preserve">Eduardo </t>
  </si>
  <si>
    <t>Samper</t>
  </si>
  <si>
    <t xml:space="preserve">Eduardo Samper </t>
  </si>
  <si>
    <t>Calle 93 no 47-33 - Oficina</t>
  </si>
  <si>
    <t>Amor, eres lo mejor que me ha pasado en la vida, nunca pensé encontrar un ser que me iluminara la vida como lo haces tú, cada vez que te miro veo lo mejor de este mundo, y aunque tengamos diferencia de pensamientos y peleemos por bobas y eres y serás por siempre lo que siempre soñé 
Te amo 
feliz cumple mi flaca</t>
  </si>
  <si>
    <t>Rosas rosadas por favor</t>
  </si>
  <si>
    <t>Jennifer</t>
  </si>
  <si>
    <t>Bayona</t>
  </si>
  <si>
    <t>Bibiana Correa</t>
  </si>
  <si>
    <t>Carrera 32 # 51b 32 - Casa</t>
  </si>
  <si>
    <t>Que dicha es tenerte en casita ma, Bienvenida🤍
Que sea Diosito siempre con nosotros!
Luis, Jenn, Carito y Adrian</t>
  </si>
  <si>
    <t>María Alejandra</t>
  </si>
  <si>
    <t xml:space="preserve">Uribe Gamarra </t>
  </si>
  <si>
    <t>María Alejandra Uribe Gamarra</t>
  </si>
  <si>
    <t>¡Feliz cumpleaños tía Jacinta!
Dios te regale mucha salud para que sigas compartiendo con todos nosotros.  🎂🎈🎉🥳</t>
  </si>
  <si>
    <t>Paso en 1 hora a recogerlo.</t>
  </si>
  <si>
    <t>3 PAQUETES EUCALIPTO</t>
  </si>
  <si>
    <t xml:space="preserve">Walterio </t>
  </si>
  <si>
    <t xml:space="preserve">Guardiola </t>
  </si>
  <si>
    <t>Ana Milena Roncallo</t>
  </si>
  <si>
    <t>Calle 2 A# 20-61 Santa Bárbara club house casa 55 villa campestre puerto Colombia atlántico - Casa</t>
  </si>
  <si>
    <t>Garantía de Amor  Hola mi Bella , estás lejos pero estás cerca siempre , porque con cada latido de mi corazón , con cada respiro que doy , ahí estás tú , que estás rosas bellas delicadas y majestuosas como tu, te platiquén un poco de cuánto te respeto , te admiro y cuánto te pienso , que este pequeño gesto te explique cuánto agradezco a Dios el haberte conocido, el permitirme expresarte cuán importante sos para mí , que te de la garantía de lo puro , profundo y comprometido que es mi sentimiento hacia esta mujer fabulosa, genial , Inteligente, elegante, no podían estas rosas dejar de acompañarte en esta navidad y aunque estás a muchas millas de distancia, de verdad quiero imaginar esa sonrisa en tu hermoso rostro al momento que recibas estas flores que te dicen cuánto te extraño, que te hagan entender que te quiero para toda la vida , que mi compromiso ante Dios y ante ti es el de respetarte , cuidarte ,amarte aún en los días en que sean difíciles, que mi único interés es el de hacerte la mujer más feliz sobre esta tierra .Solo te pido que seas valiente y nos demos la oportunidad de amarnos con la confianza en que lo que se puso desde el día uno en manos de Dios , el sabrá protegerlo .Feliz Navidad Ana Milena y Feliz Navidad para todos los tuyos .  Quien te quiere bonito siempre  Walterio</t>
  </si>
  <si>
    <t>Adjunto texto por WhatsApp para agregar al arreglo muchas gracias</t>
  </si>
  <si>
    <t>Norma saruth</t>
  </si>
  <si>
    <t>calle 82 # 57 unique piso 8 edificio - Edificio</t>
  </si>
  <si>
    <t>HOY Y SIEMPRE TE ABRAZAMOS CON EL ALMA. QUE LA PAZ Y EL AMOR TE ACOMPAÑE</t>
  </si>
  <si>
    <t>ZELE, REBECA y AYDA</t>
  </si>
  <si>
    <t>Baute</t>
  </si>
  <si>
    <t>Cra 57 #79-199</t>
  </si>
  <si>
    <t>Cra 57 #79-199 edificio ferreti apt 902</t>
  </si>
  <si>
    <t>Feliz primera Navidad amor. Te amo!</t>
  </si>
  <si>
    <t xml:space="preserve">Jessica </t>
  </si>
  <si>
    <t>Suarez</t>
  </si>
  <si>
    <t xml:space="preserve">Carmen alzamora </t>
  </si>
  <si>
    <t>cra 55 #82-136 edificio rimini - Casa</t>
  </si>
  <si>
    <t>Querida tía,
En esta Navidad queremos agradecerte por estar siempre pendiente de nosotros, por tu cariño constante y por ser ese apoyo incondicional que nunca falla. Además de todo, eres la partner oficial de carnaval. 
Que estas flores te recuerden lo especial que eres y lo mucho que te queremos. (Al tío también)
Feliz Navidad, con todo nuestro cariño</t>
  </si>
  <si>
    <t>solo rosado</t>
  </si>
  <si>
    <t>Lilian</t>
  </si>
  <si>
    <t>Simanca</t>
  </si>
  <si>
    <t>Lilian Simanca</t>
  </si>
  <si>
    <t>carerra 80 · 109 -40 - Casa</t>
  </si>
  <si>
    <t>condolencias</t>
  </si>
  <si>
    <t>corona funebre 180mil</t>
  </si>
  <si>
    <t xml:space="preserve">Yucelis </t>
  </si>
  <si>
    <t xml:space="preserve">De la Torre </t>
  </si>
  <si>
    <t>Maria hernandez</t>
  </si>
  <si>
    <t>Los olivos primera etapa  Calle 105#26a-39 Cerca olímpica de la 27 Apto enrrejado 1 planta - Casa</t>
  </si>
  <si>
    <t>Maria Da nacimiento al Cristo, que estas flores te recuerden lo poderoso que es Dios, y su amor por ti como hija y como madre, que siempre esté Dios, su hijo y su santo espíritu guiando tu vida. Con amor, tu hija, que te desea lo mejor para este nuevo periodo. 🤍</t>
  </si>
  <si>
    <t>Nieves Campuzano</t>
  </si>
  <si>
    <t>Juan David Nieves Campuzano</t>
  </si>
  <si>
    <t>Te amo en todos los universos pues todas las versiones que existen de si hacen parte de mi futuro❤️</t>
  </si>
  <si>
    <t>mini box orquidea</t>
  </si>
  <si>
    <t>Ternera</t>
  </si>
  <si>
    <t>ANA Ternera</t>
  </si>
  <si>
    <t>Feliz cumpleaños abuelita, !TE AMO!</t>
  </si>
  <si>
    <t>Avila</t>
  </si>
  <si>
    <t>Jorge Avila</t>
  </si>
  <si>
    <t>chechi</t>
  </si>
  <si>
    <t>chechi Lacouture</t>
  </si>
  <si>
    <t>Paredes</t>
  </si>
  <si>
    <t>Daniel Paredes</t>
  </si>
  <si>
    <t>JEANNINE</t>
  </si>
  <si>
    <t>CAICEDO</t>
  </si>
  <si>
    <t>) Cra 56 no 80-163, apto 4B, edificio Scala - Casa</t>
  </si>
  <si>
    <t>VERDE Y HIPERICO BLANCO O ROJO NO HACERLO,YA SE ENTREGARON</t>
  </si>
  <si>
    <t>maria elena</t>
  </si>
  <si>
    <t>caujaral - Casa</t>
  </si>
  <si>
    <t>3× Canasto Surtido Morado</t>
  </si>
  <si>
    <t>OJO YA ESTO SE ENTREGÓ ,NO HACERLOS</t>
  </si>
  <si>
    <t>angelo</t>
  </si>
  <si>
    <t>angelo salazar</t>
  </si>
  <si>
    <t>300 3726129</t>
  </si>
  <si>
    <t>CAJA MEDIANA HORTENCIA BLANCA ROSAS ROSADAS PONERLE ALGUNAS FLORECITAS LILAS PUEDEN SER ASTER</t>
  </si>
  <si>
    <t>hernandez</t>
  </si>
  <si>
    <t>301 2394343</t>
  </si>
  <si>
    <t>flores surtidas ya fueron entregadas</t>
  </si>
  <si>
    <t xml:space="preserve">Miguel </t>
  </si>
  <si>
    <t xml:space="preserve">Adriana Martínez </t>
  </si>
  <si>
    <t>Cra 49C # 99-106 Torre 1 Apto 602 - Casa</t>
  </si>
  <si>
    <t xml:space="preserve">Perdóname, te amo! </t>
  </si>
  <si>
    <t>Michael David</t>
  </si>
  <si>
    <t>Contreras Merchan</t>
  </si>
  <si>
    <t xml:space="preserve">Paula Andrea Arguello Alfonso </t>
  </si>
  <si>
    <t>Calle 71#39-175 barrio las delicias - Casa</t>
  </si>
  <si>
    <t>Que esté nuevo año de vida sea una nueva oportunidad de realizar tus sueños y seguir luchando por lo que quieres. Feliz cumpleaños mi Paula</t>
  </si>
  <si>
    <t>agregar una rosa (total  25 rosas)</t>
  </si>
  <si>
    <t xml:space="preserve">Velez </t>
  </si>
  <si>
    <t>Michelle Navarro</t>
  </si>
  <si>
    <t>Avenida los Robles No 133-08 conjunto los Robles - Conjunto</t>
  </si>
  <si>
    <t>Que Papá Dios los bendiga en este nuevo camino.</t>
  </si>
  <si>
    <t>puntual en la hora</t>
  </si>
  <si>
    <t>(321) 643-3061</t>
  </si>
  <si>
    <t>Flora Box Romantic Flores 24 Rosas</t>
  </si>
  <si>
    <t>Mi mayor deseo es que seas extremadamente feliz!
FELIZ CUMPLEAÑOS!</t>
  </si>
  <si>
    <t>JESUS</t>
  </si>
  <si>
    <t>LEON INSIGNARES</t>
  </si>
  <si>
    <t>ester</t>
  </si>
  <si>
    <t>Calle 104 # 53 - 49 Apto 701 - Casa</t>
  </si>
  <si>
    <t>1× Canasto Artesanal Antique Green</t>
  </si>
  <si>
    <t>Para . Esther 
De . Tu esposo
Feliz cumpleaños amor
Dios bendiga tu vida y cuide siempre tus pasos. 
Yo sé que sabes que te amo pero lo que no sabes es cuanto TE AM</t>
  </si>
  <si>
    <t>Moncayo</t>
  </si>
  <si>
    <t>mafe peñaloza</t>
  </si>
  <si>
    <t>carrera 65 #99 - 20 apto 201 torre 2 - Casa</t>
  </si>
  <si>
    <t>feliz cumpleaños, te amo</t>
  </si>
  <si>
    <t>montilla</t>
  </si>
  <si>
    <t>maría montilla</t>
  </si>
  <si>
    <t>Sandoval Llanos</t>
  </si>
  <si>
    <t>Juan Guillermo espinosa</t>
  </si>
  <si>
    <t>Cra 57 #79-319 - Edificio</t>
  </si>
  <si>
    <t xml:space="preserve">Para mi familia de Colombia, que Dios os bendiga, Feliz Navidad y prospero año nuevo. </t>
  </si>
  <si>
    <t>Kopp</t>
  </si>
  <si>
    <t>Humberto Sierra Camargo</t>
  </si>
  <si>
    <t>Cementerio jardines de la eternidad</t>
  </si>
  <si>
    <t>Sala de velacion cementerio Jardines de la Eternidad Norte - Casa</t>
  </si>
  <si>
    <t>Descansa en paz papito. Tu recuerdo vivirá por siempre en nuestros corazones. Abrazos hasta el cielo. 
Te amamos!</t>
  </si>
  <si>
    <t>Entregar en sala de velacion Jardines de la Eternidad Norte.</t>
  </si>
  <si>
    <t>DIANA</t>
  </si>
  <si>
    <t>SANTIAGO</t>
  </si>
  <si>
    <t>DIANA SANTIAGO</t>
  </si>
  <si>
    <t>320 5315481</t>
  </si>
  <si>
    <t>DANIELA PAOLA</t>
  </si>
  <si>
    <t>BRUGÉS YEPES</t>
  </si>
  <si>
    <t xml:space="preserve">Ainy Saray Lopez Palacio </t>
  </si>
  <si>
    <t>Cra 54 #59-247 edificio los pioneros - Edificio</t>
  </si>
  <si>
    <t>310 6544613</t>
  </si>
  <si>
    <t>Las flores son temporales, pero nuestra conexión es para siempre.</t>
  </si>
  <si>
    <t>nicolle</t>
  </si>
  <si>
    <t xml:space="preserve"> amin</t>
  </si>
  <si>
    <t>Juliana Trujillo</t>
  </si>
  <si>
    <t>Carrera 65 # 99-109 Edificio Central Garden  Apartamento 204 Torre 1 - Casa</t>
  </si>
  <si>
    <t>: Juli, 
En este momento tan difícil queremos que sepas que te acompañamos y estamos contigo. No hay palabras que puedan aliviar lo que estás viviendo, pero queremos que sientas todo nuestro amor y cariño.
Te queremos con todo el corazón y le pedimos a papa Dios que te de fortaleza y que encuentres consuelo en los recuerdos y los momentos tan lindos que viviste con tu abuelita.
Nicky, Meli y Andre</t>
  </si>
  <si>
    <t>Daniela Maury</t>
  </si>
  <si>
    <t>Por muchos años más de enseñanzas, amor, y días a tu lado.
¡Feliz Cumpleaños Mami!
"Que te conceda lo que tu corazón desea;
que haga que se cumplan todos tus planes."
(Salmo 20:4)</t>
  </si>
  <si>
    <t>Barros</t>
  </si>
  <si>
    <t>Michelle Barros</t>
  </si>
  <si>
    <t xml:space="preserve">Valeria Pérez </t>
  </si>
  <si>
    <t>Mi kiwi, solo quiero abrazarte con estas palabras y recordarte que estoy aquí para ti, siempre. No necesitas explicarme nada ni tener fuerzas ahora mismo. Si hoy el corazón pesa, yo lo sostengo contigo. Si solo necesitas compañía, silencio o un poquito de calma, cuenta conmigo sin dudarlo. Te adoro y no estás sola, ni por un segundo.
Que esta Navidad te envuelva con un poco de luz, descanso y amor, aunque sea despacito.</t>
  </si>
  <si>
    <t>Con amor, Nane</t>
  </si>
  <si>
    <t>MARIA ANGELICA</t>
  </si>
  <si>
    <t>Ruiz</t>
  </si>
  <si>
    <t xml:space="preserve">Alba Palacio de Navas </t>
  </si>
  <si>
    <t>Calle 75 #52-55 Edificio las palmas apartamento Alba Palacio de Navas - Edificio</t>
  </si>
  <si>
    <t xml:space="preserve">Tia Alba siempre te recordaremos con mucho cariño. </t>
  </si>
  <si>
    <t>el apartamento es el 3A pero es mejor decir el apartamento de Alba Palacio de Navas</t>
  </si>
  <si>
    <t>Catalina Galvis</t>
  </si>
  <si>
    <t>Calle 104#53-49 - Casa</t>
  </si>
  <si>
    <t xml:space="preserve">Feliz Cumpleaños Vale, te amamos. </t>
  </si>
  <si>
    <t>Con mucho amor, Mela, Boni, Cata y Mary</t>
  </si>
  <si>
    <t>VIRGEN MILAGROSA</t>
  </si>
  <si>
    <t>Nico</t>
  </si>
  <si>
    <t>Sanchez</t>
  </si>
  <si>
    <t>Cra 64#99-100</t>
  </si>
  <si>
    <t>Central park  apto 513 Cra 64#99-100 - Edificio</t>
  </si>
  <si>
    <t>De nico para: mile</t>
  </si>
  <si>
    <t xml:space="preserve">Jose </t>
  </si>
  <si>
    <t>Jose Alvarez</t>
  </si>
  <si>
    <t>Con mucho cariño de josé</t>
  </si>
  <si>
    <t>Por un 2026 lleno de muchas bendiciones para ti y tu familiá.</t>
  </si>
  <si>
    <t>juan salvador</t>
  </si>
  <si>
    <t>juan salvador salcedo</t>
  </si>
  <si>
    <t>JESSICA</t>
  </si>
  <si>
    <t>DUQUE</t>
  </si>
  <si>
    <t>JESSICA DUQUE</t>
  </si>
  <si>
    <t>Cra. 52 #99A-168 Conjunto Residencial Reservas de San Bernardo, Casa 34 - Casa</t>
  </si>
  <si>
    <t>MINI CALAS</t>
  </si>
  <si>
    <t>maria clara</t>
  </si>
  <si>
    <t>maria clara maestre</t>
  </si>
  <si>
    <t>Antonio</t>
  </si>
  <si>
    <t>Yaspe</t>
  </si>
  <si>
    <t>Danielys Audivet</t>
  </si>
  <si>
    <t>Hotel Barranquilla Plaza - Casa</t>
  </si>
  <si>
    <t>Hoy empieza nuestro para siempre. Gracias por ser mi hogar, mi refugio y mi fortaleza. Te amo futura esposa</t>
  </si>
  <si>
    <t>Con amor, tu futuro esposo</t>
  </si>
  <si>
    <t>Comparto número de planeadora para que la contacten Gianina Márquez 3002702002, con el fin de que indique habitación de hotel. Color de rosas y orquídeas según lo que se informe por WhatsApp</t>
  </si>
  <si>
    <t>amanda</t>
  </si>
  <si>
    <t>obando</t>
  </si>
  <si>
    <t>amanda obando</t>
  </si>
  <si>
    <t>centros de mesa verdes y boquet surtido</t>
  </si>
  <si>
    <t>Paredes Labrador</t>
  </si>
  <si>
    <t>Maria Alejandra Vargas Coronado</t>
  </si>
  <si>
    <t>Carrera 44 #74-85 - Edificio</t>
  </si>
  <si>
    <t>Llegó nuestro día, te espero en el altar</t>
  </si>
  <si>
    <t>Tú Esposo</t>
  </si>
  <si>
    <t>caty</t>
  </si>
  <si>
    <t>yacaman</t>
  </si>
  <si>
    <t>sacristan danilo</t>
  </si>
  <si>
    <t>iglesia espíritu santo parroquía - Casa</t>
  </si>
  <si>
    <t>2 laterales como foto con 24 rosas blancas con la perla de novia sin los crisantemos y arreglo caja de cenizas de 50cm de ancho x 15 cmd de fondo en rosas blancas,gypso y ruscus</t>
  </si>
  <si>
    <t xml:space="preserve">luis </t>
  </si>
  <si>
    <t>luis gomez</t>
  </si>
  <si>
    <t>valeria Rodriguez</t>
  </si>
  <si>
    <t>alberto</t>
  </si>
  <si>
    <t>madero</t>
  </si>
  <si>
    <t>alberto madero</t>
  </si>
  <si>
    <t>Cra58#82-40 edificio Palmarosa apto.7</t>
  </si>
  <si>
    <t>Cra58#82-40 edificio Palmarosa apto.7 - Casa</t>
  </si>
  <si>
    <t>alexandra</t>
  </si>
  <si>
    <t>algarin cheij</t>
  </si>
  <si>
    <t>alexandra algarin cheij</t>
  </si>
  <si>
    <t>Elías</t>
  </si>
  <si>
    <t>Marchena</t>
  </si>
  <si>
    <t xml:space="preserve">Sabinne </t>
  </si>
  <si>
    <t>Cra 26b 2 #73c-59 - Casa</t>
  </si>
  <si>
    <t>Con estas flores renuevo la promesa que un día te hice y en la que fallé</t>
  </si>
  <si>
    <t>Con mucho cariño Elias 💚</t>
  </si>
  <si>
    <t>kennet</t>
  </si>
  <si>
    <t>barbosa</t>
  </si>
  <si>
    <t>kennet barbosa</t>
  </si>
  <si>
    <t>Te quiero mi amor un poquito mas cada dia ❤️</t>
  </si>
  <si>
    <t>Kenneth</t>
  </si>
  <si>
    <t>Plan básico(bouquet de 9 rosas rosadas)</t>
  </si>
  <si>
    <t>mercado</t>
  </si>
  <si>
    <t>daniela mercado</t>
  </si>
  <si>
    <t>Marina</t>
  </si>
  <si>
    <t>Marina suarez</t>
  </si>
  <si>
    <t>Carrera 49C 76 116 - Edificio</t>
  </si>
  <si>
    <t>Abuelita hermosa, no estás sola ni un solo momento. Dios y la Virgen te acompañan y te llenan de fuerza cada día. Te mandamos un fuerte abrazo</t>
  </si>
  <si>
    <t>Cindy, Angie y Manuel</t>
  </si>
  <si>
    <t xml:space="preserve">Laura gamarra </t>
  </si>
  <si>
    <t>Hotel hilton garden - Oficina</t>
  </si>
  <si>
    <t>Lau! Que el amor que hoy celebras te acompañe todos los días de tu vida! Que este nuevo capítulo esté lleno de amor, complicidad y felicidad eterna! 
Disfruta este dia como ningun otro! 
Te queremos con todo nuestro corazon!</t>
  </si>
  <si>
    <t>Con mucho amor, Clau y Cindy</t>
  </si>
  <si>
    <t>Ok</t>
  </si>
  <si>
    <t>michelle janer</t>
  </si>
  <si>
    <t>cra 42F # 84b - 99 APTO 101 EDIF,TORRE ZAMAR - Casa</t>
  </si>
  <si>
    <t>1× Gift Box Flora Heart</t>
  </si>
  <si>
    <t>Feliz cumpleaños!
te deseo toda la felicidad del mundo,que nunca te falte la salud y el amor. espero que todos tus sueños se hagan realidad.
¡disfruta mucho tu día!
te amo,NN</t>
  </si>
  <si>
    <t>CAJA LARGA TODA EN ROSAS Y EL CORAZON VA APARTE TODO EN ROSAS ROJAS</t>
  </si>
  <si>
    <t>Jaime Andrés</t>
  </si>
  <si>
    <t xml:space="preserve"> García Echeverry</t>
  </si>
  <si>
    <t>: Maria Teresa Echeverry Shek</t>
  </si>
  <si>
    <t>Cra 54 74 134 Oficina Davivienda - Casa</t>
  </si>
  <si>
    <t>1× Arreglo Personalizado | 1× Flora Gift Box JP</t>
  </si>
  <si>
    <t>Hoy queremos felicitarte por llegar a este momento tan importante de tu vida: tu pensión laboral. No es solo el cierre de una etapa, es el reflejo de muchos años de trabajo intachable, de disciplina, compromiso y, sobre todo, de un sacrificio silencioso que siempre nos tuvo como prioridad.
Gracias por cada esfuerzo, por cada día largo, por cada jornada adicional, por cada patrulla, por cada preocupación que asumiste sin quejarte, y por enseñarnos con tu ejemplo el valor del trabajo honesto y bien hecho. Todo lo que somos hoy tiene una parte enorme de tu entrega y de tu amor.
Esperamos, de corazón, que nosotros estemos siendo una forma de retribuir todo lo que sembraste, y que puedas sentir orgullo y tranquilidad al mirar atrás y ver todo lo que lograste.
Te amamos y celebramos contigo esta nueva etapa, que mereces vivir con descanso, alegría y la satisfacción del deber cumplido, Salud!
Tus hijos!</t>
  </si>
  <si>
    <t>TARJETA LISTA</t>
  </si>
  <si>
    <t>Marrugo</t>
  </si>
  <si>
    <t>Nohelia Bruges</t>
  </si>
  <si>
    <t>Cl. 96 #72B - 43. Edificio Catleya torre 2, apt 809 - Edificio</t>
  </si>
  <si>
    <t xml:space="preserve">Feliz Aniversario, mi amor. Por este gran logro y muchos más juntos. Nuestros años pasarán, y de la misma forma crecerá nuestro amor siempre. Te Amo. </t>
  </si>
  <si>
    <t>Con mucho Amor, Nicolás</t>
  </si>
  <si>
    <t xml:space="preserve">Quintana </t>
  </si>
  <si>
    <t xml:space="preserve">Alvaro Quintana </t>
  </si>
  <si>
    <t>Los Jobos</t>
  </si>
  <si>
    <t>Calle 104#Transversal 43A - 37 Torre 4 930 Dimaro  Mirama - Casa</t>
  </si>
  <si>
    <t>2 CENTROS DE MESA COMO FOTO EN AZUL,BLANCO Y VERDE</t>
  </si>
  <si>
    <t>DANIEL</t>
  </si>
  <si>
    <t>NICOLLE SANDOVAL</t>
  </si>
  <si>
    <t>cra 30 - 73-60 casa - Casa</t>
  </si>
  <si>
    <t xml:space="preserve">:3013161730 </t>
  </si>
  <si>
    <t>BOUQUET VARA DE ORQUÍDEAS DE 10 ORQUÍDEAS</t>
  </si>
  <si>
    <t>servicios y tic</t>
  </si>
  <si>
    <t>ana arrieta</t>
  </si>
  <si>
    <t>Cll 68c n 63-67 - Casa</t>
  </si>
  <si>
    <t>1× Arreglo Personalizado | 1× Bouquet 6 Rosas FUCSIA</t>
  </si>
  <si>
    <t>Con mucho cariño, feliz cumpleaños y muchos éxitos 😊</t>
  </si>
  <si>
    <t>en color fucsia</t>
  </si>
  <si>
    <t>plan básico 9 rosas rosadas</t>
  </si>
  <si>
    <t>PLAN BÁSICO 9 ROSAS ROSADAS</t>
  </si>
  <si>
    <t xml:space="preserve"> alejandro mario </t>
  </si>
  <si>
    <t xml:space="preserve">dominguez barcelo </t>
  </si>
  <si>
    <t xml:space="preserve">alejandro mario dominguez barcelo </t>
  </si>
  <si>
    <t>carrera 15b #25-04 apartamento segundo piso - Casa</t>
  </si>
  <si>
    <t>1× Bouquet  COMO EL AIRE PERO TONOS OTOÑALES</t>
  </si>
  <si>
    <t xml:space="preserve">eres 100% yo y soy 100% tú </t>
  </si>
  <si>
    <t>OJO EN TONOS OTOÑALES NARANJA,OCRE,AMARILLO</t>
  </si>
  <si>
    <t xml:space="preserve">Acevedo </t>
  </si>
  <si>
    <t>Katherine Gomez</t>
  </si>
  <si>
    <t>Altos del Limón</t>
  </si>
  <si>
    <t>Cra 65 # 99 - 109 - Casa</t>
  </si>
  <si>
    <t>Mi amor,
Saber que el fruto de nuestro amor te eligió a ti como madre, me llena el corazón de motivos para seguir amándote para la eternidad. 
Gracias por compartir minuto a minuto tu vida junto a mi.
Feliz aniversario !
Te amo</t>
  </si>
  <si>
    <t>Iván Acevedo</t>
  </si>
  <si>
    <t>Sara</t>
  </si>
  <si>
    <t>Eslait</t>
  </si>
  <si>
    <t>Calle 95 # 42g-105 - Casa</t>
  </si>
  <si>
    <t>caja mediana hortencias entre blancas y rosadas,rosas rosadas y 3 orquídeas</t>
  </si>
  <si>
    <t>En tu cumpleaños celebramos tu dulzura, tu amor y la bendición de tenerte.</t>
  </si>
  <si>
    <t>Con todo nuestro cariño, tu esposo e hijos.</t>
  </si>
  <si>
    <t>Arreglo mediano con hortensias, rosas y orquídeas.</t>
  </si>
  <si>
    <t>maria andrea</t>
  </si>
  <si>
    <t>polo</t>
  </si>
  <si>
    <t>maria andrea polo</t>
  </si>
  <si>
    <t>norman</t>
  </si>
  <si>
    <t>cuello</t>
  </si>
  <si>
    <t>norman cuello</t>
  </si>
  <si>
    <t>RUSSI</t>
  </si>
  <si>
    <t>PAOLA RUSSI</t>
  </si>
  <si>
    <t xml:space="preserve">Daniela Sofía Pineda </t>
  </si>
  <si>
    <t>Calle 84A#41-44  Casa 17 - Casa</t>
  </si>
  <si>
    <t>301 6009187</t>
  </si>
  <si>
    <t>bouquet x 4 tulipanes</t>
  </si>
  <si>
    <t>BOUQUET X 4 TULIPANES</t>
  </si>
  <si>
    <t>jesús</t>
  </si>
  <si>
    <t>ardila</t>
  </si>
  <si>
    <t>jesús ardila</t>
  </si>
  <si>
    <t>Hector</t>
  </si>
  <si>
    <t xml:space="preserve">Angie Sofía Durán </t>
  </si>
  <si>
    <t>Calle 53 #52 68, Torres Del Metro Apto D201 - Conjunto</t>
  </si>
  <si>
    <t>Felices 15 años!
Que disfrutes de cada experiencia que te da la vida y nunca dejes de sonreir
aún en las adversidades.
Te deseo las mejores alegrías y un buen futuro para tu vida.</t>
  </si>
  <si>
    <t>Tu Padre</t>
  </si>
  <si>
    <t>Guerrero</t>
  </si>
  <si>
    <t>Estefanía Pineda</t>
  </si>
  <si>
    <t>Cra 55 # 82-227 Edificio OM Club House piso 16 apto 1601 - Casa</t>
  </si>
  <si>
    <t>Con cariño, Alejandro Guerrero</t>
  </si>
  <si>
    <t>Brandon</t>
  </si>
  <si>
    <t xml:space="preserve">De alba </t>
  </si>
  <si>
    <t xml:space="preserve">Lineth caraballo </t>
  </si>
  <si>
    <t>Cra 43 n 99 -50 - Centro Comercial</t>
  </si>
  <si>
    <t>Feliz mes amor mío 
Que sea cada día  especial y juntos con la mano de Dios , te amo</t>
  </si>
  <si>
    <t>Con cariño BD</t>
  </si>
  <si>
    <t>conde</t>
  </si>
  <si>
    <t>shaila</t>
  </si>
  <si>
    <t>cra 52 82 212 edificio torre flamingo - Casa</t>
  </si>
  <si>
    <t>Le doy gracias a Dios por tu vida, por tu amor infinito y por cada oración que has hecho por mí. Tu amor me ha sostenido en cada etapa de mi vida y tu ejemplo me inspira todos los días a ser mejor persona. Eres una bendición en mi camino, un instrumento de Su amor y una prueba viva de Su gracia.  Feliz cumpleaños!</t>
  </si>
  <si>
    <t>PONERLE HORTENCIAS</t>
  </si>
  <si>
    <t xml:space="preserve"> Centro Cancerologico del Caribe Ltda</t>
  </si>
  <si>
    <t>Laura Aguirre</t>
  </si>
  <si>
    <t>* Dirección de envio Cra 55 82 194  Piso 16 Edificio Xanadu - Casa</t>
  </si>
  <si>
    <t>1× Flora Box Redonda 24 Rosas de Jardín | 1× Flora Box Mediana Aire</t>
  </si>
  <si>
    <t>ARREGLO EN CAJA REDONDA ROSAS FUCSIAS</t>
  </si>
  <si>
    <t>cielo</t>
  </si>
  <si>
    <t>cielo rodríguez</t>
  </si>
  <si>
    <t>Elkin</t>
  </si>
  <si>
    <t xml:space="preserve"> salcedo</t>
  </si>
  <si>
    <t xml:space="preserve"> yenis baloco</t>
  </si>
  <si>
    <t>calle 65 47 45 edificio realix primer piso - Casa</t>
  </si>
  <si>
    <t>1× Flora Gift Box Rosa Roja JP</t>
  </si>
  <si>
    <t>para el amor de mi vida,te amo</t>
  </si>
  <si>
    <t>luis fernando</t>
  </si>
  <si>
    <t>luis fernando guzman</t>
  </si>
  <si>
    <t>isaza</t>
  </si>
  <si>
    <t>maría isaza</t>
  </si>
  <si>
    <t>PLAN BÁSICO 9 ROSAS ROSADAS (X2)</t>
  </si>
  <si>
    <t>MARIA CLAUDIA</t>
  </si>
  <si>
    <t xml:space="preserve">Balerina </t>
  </si>
  <si>
    <t>Herrera</t>
  </si>
  <si>
    <t xml:space="preserve">Balerina Herrera </t>
  </si>
  <si>
    <t>k</t>
  </si>
  <si>
    <t>Sigue siendo tu siempre 
Love u ♥️</t>
  </si>
  <si>
    <t>Con amor F</t>
  </si>
  <si>
    <t>Oñate</t>
  </si>
  <si>
    <t>Ruby Milena Ariza</t>
  </si>
  <si>
    <t>⁠Carrera 10B #45c2-117 - Casa</t>
  </si>
  <si>
    <t>Bienvenida de regreso a ti mi pedacito de cielo, confiado en que hayas vivido y disfrutado todo ese viaje y tu cumpleaños. Te amo mi pequeña ya estoy ansioso por verte.</t>
  </si>
  <si>
    <t>Juan Oñate</t>
  </si>
  <si>
    <t xml:space="preserve">Sofía Pérez Gutiérrez </t>
  </si>
  <si>
    <t>Cra 59 # 96-153 Apto 1103 Edificio Bruxxel - Edificio</t>
  </si>
  <si>
    <t>Hoy se cumplen 16 años desde que llegaste a nuestras vidas ¡Felices 16, hija! Que cumplas muchos años más, que Dios te bendiga con salud, sabiduría y amor infinito. Que tu camino esté lleno de buenos momentos y que siempre sientas nuestro amor incondicional.
Eres una joven increíble, cariñosa, noble, talentosa, llena de luz, un ser único y especial.
Celebramos tu vida, tu ser y tu hacer ✨
Te amamos Sofi ♥️</t>
  </si>
  <si>
    <t>Tu papá, tu mamá, tu hermanita y abuelita.</t>
  </si>
  <si>
    <t>Zilary</t>
  </si>
  <si>
    <t>Gamarra</t>
  </si>
  <si>
    <t xml:space="preserve">Iveth Mejía </t>
  </si>
  <si>
    <t>Calle 69C #39-73 apto 3B - Edificio</t>
  </si>
  <si>
    <t xml:space="preserve">Hoy celebramos un día especial. Con mucho cariño, te deseo un cumpleaños lleno de amor, salud y momentos felices junto a la familia. Dios te bendiga </t>
  </si>
  <si>
    <t>Es un regalo de cumpleaños que ojalá llegue en la mañana de hoy</t>
  </si>
  <si>
    <t xml:space="preserve">Carla </t>
  </si>
  <si>
    <t>Grosso</t>
  </si>
  <si>
    <t xml:space="preserve">David y Carla </t>
  </si>
  <si>
    <t>Cra 52 n 82-161 ed asturia ap 7 - Edificio</t>
  </si>
  <si>
    <t>Abuelita linda, feliz cumpleaños. Que tu día esté lleno de amor, paz y sonrisas, como las que tú nos regalas.</t>
  </si>
  <si>
    <t>David y Carla</t>
  </si>
  <si>
    <t>000 - Casa</t>
  </si>
  <si>
    <t>2 centros de mesa en base de madera alargado como foto uno en blanco y otro con rojo</t>
  </si>
  <si>
    <t>centros de mesa como foto uno en blanco y otro con rojo</t>
  </si>
  <si>
    <t>Rocío</t>
  </si>
  <si>
    <t>Chapman</t>
  </si>
  <si>
    <t>enrique chapman</t>
  </si>
  <si>
    <t>Carrera. 55 # 82158 - Casa</t>
  </si>
  <si>
    <t>Cnasta de frutas con girasoles,no tantas flores</t>
  </si>
  <si>
    <t>Feliz cumpleaños querido hermano tu  hermana y cuñado, Rocío &amp; Alvaro</t>
  </si>
  <si>
    <t>ponerle girasoles no tantas flores</t>
  </si>
  <si>
    <t xml:space="preserve">Dilan </t>
  </si>
  <si>
    <t xml:space="preserve">Kendry Fernandez </t>
  </si>
  <si>
    <t>Cl. 77b #59b-27, Nte. Centro Historico, Barranquilla, Atlántico - Oficina</t>
  </si>
  <si>
    <t xml:space="preserve">Eres admirable y radiante como la hermosura de estos girasoles. Te amo </t>
  </si>
  <si>
    <t>Kaira</t>
  </si>
  <si>
    <t xml:space="preserve">De la hoz </t>
  </si>
  <si>
    <t>Cra 53 #72-169 oficina bancoomeva - Oficina</t>
  </si>
  <si>
    <t>Happy birthday!!</t>
  </si>
  <si>
    <t>Vergara Danies</t>
  </si>
  <si>
    <t>Viviana</t>
  </si>
  <si>
    <t>Cra 51 No 79 85 Aopt 904 - Edificio</t>
  </si>
  <si>
    <t>Feliz Aniversario No 2. Gracias por alegrar mis días, por ser mi motivación y por complacerme tanto. Que lindo es despertarse y ver mi sonrisa favorita. Por muchos años mas de la mano de Dios. Que todos nuestros sueños se cumplan. Te amo</t>
  </si>
  <si>
    <t>Mau</t>
  </si>
  <si>
    <t>FUNDACION CON AMOR SOCIAL</t>
  </si>
  <si>
    <t>rosas rojas,pino,hipérico rojo</t>
  </si>
  <si>
    <t xml:space="preserve">Rincón </t>
  </si>
  <si>
    <t xml:space="preserve">Jackeline </t>
  </si>
  <si>
    <t>Calle 53d #31-73 - Casa</t>
  </si>
  <si>
    <t>Mamá hermosa:
Estos días han sido duros, pero tu fortaleza y tu fe nos han enseñado una vez más lo grande que eres.
Cada flor de este ramo lleva nuestro amor, nuestras oraciones y la certeza de que la fuerza que habita en ti nos ha sostenido cada día de nuestras vidas. Qué hermoso ver cómo Dios te ha sostenido, cuidado y restaurado, porque sabemos que el propósito de él es mayor de lo que podemos ver. Aquí estamos para darte la bienvenida que te mereces, con el corazón lleno de gratitud por tu vida, por este regalo que Dios nos concedió. 
Gracias por ser nuestra mamá, nuestro refugio y nuestro ejemplo.
Te amamos infinitamente. Con todo nuestro amor, tus hijos, y nieta.</t>
  </si>
  <si>
    <t>Con amor, Kaithy, Danilo, Darly y Ami.</t>
  </si>
  <si>
    <t>Nuestra mamá acaba de llegar a casa después de un fuerte accidente, por favor llenen el ramo de amor y gratitud.</t>
  </si>
  <si>
    <t xml:space="preserve">RICARDO </t>
  </si>
  <si>
    <t>RUMIE</t>
  </si>
  <si>
    <t>RICARDO RUMIE</t>
  </si>
  <si>
    <t>ana karina</t>
  </si>
  <si>
    <t xml:space="preserve"> lopez</t>
  </si>
  <si>
    <t>cra 53 # 64-226 - Casa</t>
  </si>
  <si>
    <t>304 5710986</t>
  </si>
  <si>
    <t>4 rosas blancas
4000 de gypso</t>
  </si>
  <si>
    <t xml:space="preserve">Juan Carlos </t>
  </si>
  <si>
    <t xml:space="preserve">Márquez </t>
  </si>
  <si>
    <t>Gladys pulgar</t>
  </si>
  <si>
    <t>Cra57#79-319 - Edificio</t>
  </si>
  <si>
    <t>Con amor</t>
  </si>
  <si>
    <t>Márquez</t>
  </si>
  <si>
    <t xml:space="preserve">Luz María </t>
  </si>
  <si>
    <t>Cra70 # 91-35 apartamento 103. Torre 1 parques del tivoli - Conjunto</t>
  </si>
  <si>
    <t>Para mi linda esposa Lucy</t>
  </si>
  <si>
    <t xml:space="preserve">Bleidys </t>
  </si>
  <si>
    <t xml:space="preserve">Barrios </t>
  </si>
  <si>
    <t xml:space="preserve">Para el amor de mi vida; Mi Mami </t>
  </si>
  <si>
    <t>Carrera 9E # 45B- 128 - Casa</t>
  </si>
  <si>
    <t xml:space="preserve">Feliz cumpleños mami, Eres lo más lindo, hermoso y verdadero que tengo en mi vida, le doy gracias a Dios por darme una mamá tan excepcional en todos los sentidos, Eres junto a mi niño mi motor a seguir, no me faltes nunca, Jacmid y yo te amamos infinito… </t>
  </si>
  <si>
    <t>Con amor, Bley y Jac 🤍✨</t>
  </si>
  <si>
    <t>ludwing</t>
  </si>
  <si>
    <t>landazabal</t>
  </si>
  <si>
    <t>maría angélica garcía</t>
  </si>
  <si>
    <t>cra 52B #94-226 apto 501 - Casa</t>
  </si>
  <si>
    <t xml:space="preserve">deja mensaje
</t>
  </si>
  <si>
    <t>claudia pacheco</t>
  </si>
  <si>
    <t>roca</t>
  </si>
  <si>
    <t>maría rodríguez</t>
  </si>
  <si>
    <t>Crr 8k N: 128/25 casa 100 ciudad caribe, Manzana 19 - Casa</t>
  </si>
  <si>
    <t>1× Bouquet 6 Rosas Rojas | 1× Ferrero Rocher 8 und | 1× Vino Espumoso JP. Chenet 175 ml</t>
  </si>
  <si>
    <t>Estas rosas las escogí amarillas
porque ese color vive en los leones que amas,
en los atardeceres que te encantan
y en la luz que pones cada día en todo lo que haces.
Gracias por ser por tu compromiso
y por ese corazón tan que confía siempre en Dios.
P. D.: Sabes que iban a ser tulipanes 💛,
pero no los conseguí… aun así, son para ti, con el mismo assmor.</t>
  </si>
  <si>
    <t>ROSAS AMARILLAS</t>
  </si>
  <si>
    <t>Rita</t>
  </si>
  <si>
    <t>Kra 8 # 30_158 - Conjunto</t>
  </si>
  <si>
    <t>1× Canasto Lavanda pero en tonos amarillos,no rosas</t>
  </si>
  <si>
    <t xml:space="preserve">Familia Rangel Meriño </t>
  </si>
  <si>
    <t>ojo tonos amarillos</t>
  </si>
  <si>
    <t xml:space="preserve">Nicolas </t>
  </si>
  <si>
    <t xml:space="preserve">Nicolás </t>
  </si>
  <si>
    <t>calle 81#64-29. edf Rosa del parque, apto 4D - Edificio</t>
  </si>
  <si>
    <t>Que la tarjeta diga: bienvenida a casa. Te amamos mucho!!</t>
  </si>
  <si>
    <t xml:space="preserve">stefani </t>
  </si>
  <si>
    <t>echeverri</t>
  </si>
  <si>
    <t>stefani echeverri</t>
  </si>
  <si>
    <t xml:space="preserve">Melany Andrea </t>
  </si>
  <si>
    <t>Acosta Padilla</t>
  </si>
  <si>
    <t xml:space="preserve">Melany Acosta </t>
  </si>
  <si>
    <t>Calle 85 #78D-26 edificio puerto real APT 708 - Edificio</t>
  </si>
  <si>
    <t xml:space="preserve">Deseo que en este nuevo año florezcas en todos los ámbitos.  Eres y serás una  psicóloga exitosa, alado de tu mejor e inigualable Socio, Amigo y Padre: Dios.  Bendiciones para ti y tu familia. </t>
  </si>
  <si>
    <t>Carlos E. Perez</t>
  </si>
  <si>
    <t>miller daniel</t>
  </si>
  <si>
    <t>montealegre trujillo</t>
  </si>
  <si>
    <t>miller daniel montealegre trujillo</t>
  </si>
  <si>
    <t>Yuranys</t>
  </si>
  <si>
    <t>Vieira Oviedo</t>
  </si>
  <si>
    <t xml:space="preserve">Annie </t>
  </si>
  <si>
    <t>Centro Comercial Plaza del Parque - Centro Comercial</t>
  </si>
  <si>
    <t>Hoy cosechas lo que con amor y esfuerzo has sembrado, me siento muy orgullosa de ti. Que Dios te siga bendiciendo, guiando y prosperando.
Con muchísimo cariño ♥️</t>
  </si>
  <si>
    <t xml:space="preserve">santigo </t>
  </si>
  <si>
    <t>londoño</t>
  </si>
  <si>
    <t>santigo londoño</t>
  </si>
  <si>
    <t>¿Quieres ser mi novia?</t>
  </si>
  <si>
    <t>Bent Borrero</t>
  </si>
  <si>
    <t>María Alejandra Doria</t>
  </si>
  <si>
    <t>Campo Alegre</t>
  </si>
  <si>
    <t>Carrera 41C #84-107 detrás del conjunto atardeceres, esquina, campo alegre - Conjunto</t>
  </si>
  <si>
    <t>1× Mini Box Hortensias y Mini Rosa OJO HORTENCIA AZUL Y MINI ROSAS BLANCAS</t>
  </si>
  <si>
    <t>Amixxx, Dios te confía una vida por conoce tu corazón y tu bondad. Amo verte tan feliz y plena, que tus sueños siempre se hagan realidad. Dios bendiga a tu familia, pero sobretodo proteja a nuestro nuevo roomie de todo mal 
TQM</t>
  </si>
  <si>
    <t>Laura Bent</t>
  </si>
  <si>
    <t>Stefee</t>
  </si>
  <si>
    <t>Agudelo</t>
  </si>
  <si>
    <t xml:space="preserve">Neyra Sánchez </t>
  </si>
  <si>
    <t>la victoria</t>
  </si>
  <si>
    <t>Calle 45 No. 10E 107 - Casa</t>
  </si>
  <si>
    <t>300 7595042</t>
  </si>
  <si>
    <t>Feliz cumpleaños a la mejor Abue del mundo. Dios te colme de salud y muchos momentos felices. 
Te quiero mucho</t>
  </si>
  <si>
    <t>Stefee Agudelo</t>
  </si>
  <si>
    <t>GABRIEL</t>
  </si>
  <si>
    <t>BARBOSA</t>
  </si>
  <si>
    <t>GABRIEL BARBOSA</t>
  </si>
  <si>
    <t>1× Bouquet 12 Rosas Rosadas</t>
  </si>
  <si>
    <t>Nicolle Del Valle</t>
  </si>
  <si>
    <t>Cra 43b #90-138 - Casa</t>
  </si>
  <si>
    <t>Felices 18 mi Nicky! Espero que este nuevo año de vida esté lleno de todas las cosas lindas de la vida, porque te mereces todas y cada una de ellas. Cheers a 1 cumpleaños más de mi ride or die, y espero que sean muchísimos más en cualquier parte del mundo en las que lo celebremos. 
Te amo</t>
  </si>
  <si>
    <t>Con mucho amor, Andreita</t>
  </si>
  <si>
    <t>Dentro de lo posible, flores moradas, rosadas</t>
  </si>
  <si>
    <t>Jhovanni</t>
  </si>
  <si>
    <t>grosso</t>
  </si>
  <si>
    <t>Jhovanni grosso</t>
  </si>
  <si>
    <t>Grace</t>
  </si>
  <si>
    <t>Patricia goenaga</t>
  </si>
  <si>
    <t>TV 44 #100-82 depto 732 Torre 8 conjunto tozcana - Edificio</t>
  </si>
  <si>
    <t xml:space="preserve">Señora Patricia feliz cumpleaños que mi Dios le dé muchos años más de vida llenos de salud y mucha felicidad al lado de toda su familia que la ama son nuestros más sinceros deseos </t>
  </si>
  <si>
    <t>Con mucho amor Isabella lascano y Grace Forero ❤️</t>
  </si>
  <si>
    <t>gabriela castro</t>
  </si>
  <si>
    <t>ANUAR</t>
  </si>
  <si>
    <t>MEOLA</t>
  </si>
  <si>
    <t>ANUAR MEOLA</t>
  </si>
  <si>
    <t>1× Bouquet Gerbera | 1× Bouquet Flora Antique</t>
  </si>
  <si>
    <t xml:space="preserve">JENNIFER </t>
  </si>
  <si>
    <t>JENNIFER TORRES</t>
  </si>
  <si>
    <t>CLL 79B 42E - 323 APT 201 EDIFICIO HANABERT - Casa</t>
  </si>
  <si>
    <t>318 3740725</t>
  </si>
  <si>
    <t>nidia martinez</t>
  </si>
  <si>
    <t>Calle 3 No 51B - 137 Corales 1 Casa 33 - Casa</t>
  </si>
  <si>
    <t>CANASTO GRANDE X 50 ROSAS ROJAS SIN EUCALIPTO</t>
  </si>
  <si>
    <t>Mamita Linda
Mi admiración por Ti es infinita, llenas de orgullo mi corazón. Te veo y siento que Dios me dió mucho más de lo que merecía con el Privilegio de tenerte como Madre, todo te lo debo, cada enseñanza que me hizo forjarme, cada gota de sudor tuya me hizo más fuerte a Mi.
Solo le pido a Dios que te siga guardando cómo nuestra joya más valiosa 
Te Amamos Ma
Flia Carreño Fernández</t>
  </si>
  <si>
    <t>NO EUCALIPTO OJO ,EL ARREGLO ESE PERO EN CANASTO OJOOOOOOO</t>
  </si>
  <si>
    <t xml:space="preserve">Zulay </t>
  </si>
  <si>
    <t xml:space="preserve">Kelly Contreras </t>
  </si>
  <si>
    <t>Cra42A#80-20- Edificio  Marsella in</t>
  </si>
  <si>
    <t>314 3438769</t>
  </si>
  <si>
    <t>Kelly…
No hace falta un día especial para recordarte lo valiosa e importante que eres en mi vida.
Con este pequeño detalle quiero demostrarte mi cariño, a pesar de los kilómetros que nos separan.
Feliz Navidad y te deseo un Año Nuevo hermoso.
Que este 2026 esté lleno de paz, tranquilidad
y de muchas chocoaventuras juntas 🍫✨
Con mucho cariño,
Zu ❤️</t>
  </si>
  <si>
    <t>Daniel José</t>
  </si>
  <si>
    <t xml:space="preserve">Durán Quiroz </t>
  </si>
  <si>
    <t>Carolina de la hoz</t>
  </si>
  <si>
    <t>Cra. 51 #82-26 - Oficina contactamos</t>
  </si>
  <si>
    <t>Hace 517 días comenzamos esta historia y desde entonces mi corazón agradece a Dios cada momento a tu lado, y por la maravillosa mujer que tengo conmigo.
“Mejor son dos que uno” (Eclesiastés 4:9)
Gracias a Dios por unirnos, por permitirnos crecer, por guiarnos en cada paso y por bendecir nuestro amor.</t>
  </si>
  <si>
    <t>Daniel D</t>
  </si>
  <si>
    <t>Ninguna solo la nota que pase</t>
  </si>
  <si>
    <t>Rodriguez leon</t>
  </si>
  <si>
    <t xml:space="preserve">Isabella arteta </t>
  </si>
  <si>
    <t>Carrera 50#107-110 -  Conjunto villas de santoral  Casa 27</t>
  </si>
  <si>
    <t>No alcanzaría el papel para el mensaje que te mereces, gracias por este maravilloso año, te quiero mucho.
Sebastián.</t>
  </si>
  <si>
    <t xml:space="preserve">Carolina </t>
  </si>
  <si>
    <t>Carolina Guzman</t>
  </si>
  <si>
    <t>Cra 73 # 77-97 esquina  Casa amarilla</t>
  </si>
  <si>
    <t>Bouquet de novia en cartuchos,gypso,lepidium y 3 rosas blancas y un botonier como foto</t>
  </si>
  <si>
    <t>bouquet de  novia y botinier como el de la foto en wpp</t>
  </si>
  <si>
    <t xml:space="preserve">Andreina Arango </t>
  </si>
  <si>
    <t>Cra 42 no 80b-92 - Casa</t>
  </si>
  <si>
    <t>De Juan david</t>
  </si>
  <si>
    <t>Ariza Vásquez</t>
  </si>
  <si>
    <t>Mairym</t>
  </si>
  <si>
    <t>Cra 41 f #83-18 - Casa</t>
  </si>
  <si>
    <t>Obviamente que para fin de año no te quedarías sin tus flores, se lo mucho que te encantan.
No solo se trata de lo que hago por ti, es lo que no hago por nadie más. Discúlpame por tan poco.
Que tengas el cierre de año más lindo y hermosa que alguien pueda tener.</t>
  </si>
  <si>
    <t>Att: L</t>
  </si>
  <si>
    <t>Quiero que el arreglo sea un bouquets, surtido entre hortensias, orquídeas, claveles y rosas, en lo posible colores pasteles, suaves. Un bouquets de los que valen 70.000</t>
  </si>
  <si>
    <t>Ospina Burgos</t>
  </si>
  <si>
    <t>57313 7545246</t>
  </si>
  <si>
    <t xml:space="preserve">Isabella morón </t>
  </si>
  <si>
    <t>Cra 72#88-61 torre 6 apto 501 Edificio balcones de Andalucía 1 Villa Carolina - Edificio</t>
  </si>
  <si>
    <t>Amiga linda,feliz por tu recuperación 
Dios te continue bendiciendo 
Que en este nuevo año 2026 sea Él quien te de mucha salud y mucha felicidad a tu vida
Filipenses 4:13 
Love you!</t>
  </si>
  <si>
    <t>María José Ospina</t>
  </si>
  <si>
    <t xml:space="preserve">Thalia </t>
  </si>
  <si>
    <t xml:space="preserve">Zambrano </t>
  </si>
  <si>
    <t xml:space="preserve">Kate Gómez </t>
  </si>
  <si>
    <t>Calle 8#10-132 torre 7 apto 101 - Casa</t>
  </si>
  <si>
    <t>Gracias por su apoyo constante, su confianza y su manera tan especial de liderar. Su dedicación y empatía inspiran a dar siempre lo mejor. Trabajar bajo su liderazgo ha sido una experiencia enriquecedora que valoramos profundamente.
Gracias por tanto. La amamos ❤️</t>
  </si>
  <si>
    <t>Tu equipo de trabajo.</t>
  </si>
  <si>
    <t>Bojanini</t>
  </si>
  <si>
    <t>Jackie Bojanini</t>
  </si>
  <si>
    <t>cra. 53 # 82-93  edificio Danielle apto 6 - Edificio</t>
  </si>
  <si>
    <t>dejo mensaje listo</t>
  </si>
  <si>
    <t>canasto surtido</t>
  </si>
  <si>
    <t>Jaime</t>
  </si>
  <si>
    <t>Jaime Fernandez</t>
  </si>
  <si>
    <t>Lidueña</t>
  </si>
  <si>
    <t xml:space="preserve">Daniela González </t>
  </si>
  <si>
    <t>Calle 48a 16 sur 19 - Casa</t>
  </si>
  <si>
    <t xml:space="preserve">Gracias por la compañía que me has brindado en este año, Te Quiero mucho mi niña hermosa. </t>
  </si>
  <si>
    <t>Con todo mi amor, Jhonny.</t>
  </si>
  <si>
    <t>Daza</t>
  </si>
  <si>
    <t>Juan Sebastian Daza</t>
  </si>
  <si>
    <t>Bienvenida amor</t>
  </si>
  <si>
    <t>Pedro Osorio</t>
  </si>
  <si>
    <t>Ibarra</t>
  </si>
  <si>
    <t xml:space="preserve">Valentina gomez perez </t>
  </si>
  <si>
    <t>Cra 43 #98-86 Torre 2 apto 306 balcones de miramar 2 - Edificio</t>
  </si>
  <si>
    <t>Te quiero mucho 
😘</t>
  </si>
  <si>
    <t>Con cariño tu angel</t>
  </si>
  <si>
    <t>Jesus</t>
  </si>
  <si>
    <t>Valles</t>
  </si>
  <si>
    <t>Sra Olga y tiffany</t>
  </si>
  <si>
    <t>Calle 80 #22-04 - Casa  Robles  Por la olímpica derecho</t>
  </si>
  <si>
    <t>1× Mini Box Surtida | 1× Mini Box Hortensias y Mini Rosa</t>
  </si>
  <si>
    <t xml:space="preserve">Feliz cumpleaños Sra. Olga
</t>
  </si>
  <si>
    <t>Con cariño, Jesús</t>
  </si>
  <si>
    <t>La nota solo sería en uno</t>
  </si>
  <si>
    <t>Generans</t>
  </si>
  <si>
    <t>Andrés Anaya</t>
  </si>
  <si>
    <t>Sofy</t>
  </si>
  <si>
    <t>Cra 57 # 81 - 77 Edificio villa aleida 801 - Edificio</t>
  </si>
  <si>
    <t>Nona Sofy! Siempre nos han dicho que el amor de una madre por su hijo es algo unico he Indescriptible, pero estos dias verte a ti junto a ezequiel nos has enseñado lo inmenso que ese amor puede ser algo inimaginable.  Eres un modelo a seguir y lo que nos has enseñado a nosotros de la parentabilidad son lecciones que valorarnos para el restos de nuestras vidas. Te amamos eres una madre y ejemplo que juntos luchemoremos cada dia para poder ser como tu. Gracias por cada segundo que compartiste con esta nueva y pequeña familia tuya. Te amamos como no tienes idea.  Atte. Eze, ka y pipe</t>
  </si>
  <si>
    <t xml:space="preserve">Lorena </t>
  </si>
  <si>
    <t xml:space="preserve">Vasquez </t>
  </si>
  <si>
    <t xml:space="preserve">Lorena Vasquez </t>
  </si>
  <si>
    <t>Calle 83 41 E 44 - Casa</t>
  </si>
  <si>
    <t xml:space="preserve">El guacal es de flores amarillas rosas y mi dirección es calle 83 #41e 44 ciudad jardín </t>
  </si>
  <si>
    <t xml:space="preserve">Ada </t>
  </si>
  <si>
    <t xml:space="preserve">Ruiz </t>
  </si>
  <si>
    <t>Ada Ruiz</t>
  </si>
  <si>
    <t>Cra 59 # 81-229 Apto 602 Edificio Venice - Edificio</t>
  </si>
  <si>
    <t>1× Flora Mini Plus Box Redonda surtida ponerle 3 mini girasoles y ponerle virgen pequeña milagrosa.</t>
  </si>
  <si>
    <t xml:space="preserve">Arreglo personalizado - Virgen </t>
  </si>
  <si>
    <t>Feliz Año y Próspero 2026 
Fila Abdala Ruiz</t>
  </si>
  <si>
    <t>Jhojan</t>
  </si>
  <si>
    <t>Anelays mendoza</t>
  </si>
  <si>
    <t>Simón Bolívar</t>
  </si>
  <si>
    <t>Carrera 5b #23-68 - Casa</t>
  </si>
  <si>
    <t>Ya no quiero conocer a alguien más, contigo ha terminado la búsqueda, te elijo con la tranquilidad de que también... Te elegiré mañana.
Te juro por todo lo que me conforma que le voy a darse sentido a todo esto.
Att. Enamorado anónimo.
Feliz año nuevo adelantado.</t>
  </si>
  <si>
    <t>Que quede divino, es para la mujer de mis sueños. Entregar temprano.</t>
  </si>
  <si>
    <t>yanelis</t>
  </si>
  <si>
    <t>Cr 71 80- 25 paraíso - Casa</t>
  </si>
  <si>
    <t>Te soñé por muchos días, le hablé al cielo buscando paz y tranquilidad, buscando a quien amar.  Te esperé pacientemente y me prepare para ti y mi forma de amar sanó por ti.  Miré fijamente al futuro y mágicamente apareciste en él, una boda, una familia, una navidad, un carnaval, todo eso y mucho más lo soñaba despierto y tú estabas allí.  Que mi mano izquierda no dañe todo lo que con la derecha hemos construido. Feliz aniversario, cangurin.</t>
  </si>
  <si>
    <t>Con amor, coco</t>
  </si>
  <si>
    <t>Camaño</t>
  </si>
  <si>
    <t>Jesús Camaño</t>
  </si>
  <si>
    <t>Carrera 63 #77C-177 - Casa</t>
  </si>
  <si>
    <t>1× Mini Box Hortensias y Mini Rosa | 1× Marquito Girasol</t>
  </si>
  <si>
    <t>Nero</t>
  </si>
  <si>
    <t>Feliz cumpleaños mi princesa hermosa. Te amo</t>
  </si>
  <si>
    <t>indira</t>
  </si>
  <si>
    <t>cañas</t>
  </si>
  <si>
    <t>indira cañas</t>
  </si>
  <si>
    <t>tv 57#99-180 apto 703 select</t>
  </si>
  <si>
    <t>5 hortencias,1 paq. de pino,1 de eucalipto,1 de astromelia,2 de hipérico,18 rosas rojas.</t>
  </si>
  <si>
    <t>david rodas</t>
  </si>
  <si>
    <t>Calle 62 #46-56</t>
  </si>
  <si>
    <t>laura</t>
  </si>
  <si>
    <t>paternostro</t>
  </si>
  <si>
    <t>laura paternostro</t>
  </si>
  <si>
    <t>medio paquete de pino</t>
  </si>
  <si>
    <t>lourdes</t>
  </si>
  <si>
    <t>atique</t>
  </si>
  <si>
    <t>stephanie saieh</t>
  </si>
  <si>
    <t>Cra 58 no 90-88 Casa - Casa</t>
  </si>
  <si>
    <t>5 paq.de soliaster,3 paqu. de eucalipto,2 paqu.de fuyi,1 paq.de pinopio amarillo,5 rosas,2 paq.de boca de dragon blanca,2 paq.de ruscus,1 paq,de aster,12 piñas.</t>
  </si>
  <si>
    <t xml:space="preserve">eli </t>
  </si>
  <si>
    <t>eli franco</t>
  </si>
  <si>
    <t>Wilfran</t>
  </si>
  <si>
    <t xml:space="preserve">Hernández Gómez </t>
  </si>
  <si>
    <t>LUISA FERNANDA ZAPATA</t>
  </si>
  <si>
    <t>Cra9g#122-94 Caribe plaza 1 torre 1 apto 702 - Casa</t>
  </si>
  <si>
    <t xml:space="preserve">Feliz cumpleaños amor de mi vida, te amo muchísimo </t>
  </si>
  <si>
    <t>Con cariño, Willo</t>
  </si>
  <si>
    <t>Quisiera que fuera envuelta en un papel elegante</t>
  </si>
  <si>
    <t xml:space="preserve">Tita </t>
  </si>
  <si>
    <t>Cra 38d #76-60 - Casa</t>
  </si>
  <si>
    <t xml:space="preserve">Feliz 2026. Le deseo un año lleno de salud, tranquilidad y una pronta recuperación. Gracias de corazón por su apoyo y por creer en mí en su momento. Con mucho cariño Sebastián Martínez </t>
  </si>
  <si>
    <t xml:space="preserve">Jamid </t>
  </si>
  <si>
    <t>Jamid Orozco</t>
  </si>
  <si>
    <t>Para niña con los ojos más lindos del mundo,  mereces todo y más.</t>
  </si>
  <si>
    <t>De: Jamid</t>
  </si>
  <si>
    <t>eder</t>
  </si>
  <si>
    <t>arrieta</t>
  </si>
  <si>
    <t>eder arrieta</t>
  </si>
  <si>
    <t>300 5631561</t>
  </si>
  <si>
    <t>un bouquet de 4 girasoles y margaritas y dos ramitos de una rosa con otra florecitas</t>
  </si>
  <si>
    <t>Antwan</t>
  </si>
  <si>
    <t>Sara Catalina Rodríguez Osorio-casa 5</t>
  </si>
  <si>
    <t>Transversal 3b n23-200 - Conjunto balcones de villacampestre casa 5</t>
  </si>
  <si>
    <t xml:space="preserve">Te amo </t>
  </si>
  <si>
    <t>Sausan</t>
  </si>
  <si>
    <t>Osman</t>
  </si>
  <si>
    <t>Widad Osman</t>
  </si>
  <si>
    <t>Cra 59 # 96-153 apto 304 - Casa</t>
  </si>
  <si>
    <t>313709-2142</t>
  </si>
  <si>
    <t>Con cariño: Noor, Hannan, Ejsen y toda la family.</t>
  </si>
  <si>
    <t>Feliz cumpleaños a la mejor mamá, hija, hermana, cuñada y tía del mundo. Te queremos mucho. Que Dios conceda cada uno de tus deseos y te llene de bendiciones siempre.</t>
  </si>
  <si>
    <t xml:space="preserve">Coronell Higgins </t>
  </si>
  <si>
    <t>Karilin Arteta</t>
  </si>
  <si>
    <t>Carrera 44 número 84 - 126 edificio Verona apto 802 - Edificio</t>
  </si>
  <si>
    <t>1× Flora Mini Plus Box  cuadrada surtida pastel y topper hbd</t>
  </si>
  <si>
    <t>Feliz cumpleaños amiga hermosa, Papito Dios y nuestra virgen santísima sean guiándote en esta etapa tan hermosa de tu vida, hoy es un día diferente pero llenito de amor, esa carita de Helena es y será tu gran regalo y tu gran bendición para siempre, hoy te admiro mucho más amiga porque sé que no es tarea fácil, pero Dios está de tu lado en este proceso tan precioso, no lo dudes nunca. Te mando un abrazote amiga mía, espero verlas pronto y apapacharlas🥹🩷💗 te amamos mucho tía Kary, feliz cumpleaños 🎉🎁🎊</t>
  </si>
  <si>
    <t>Con Cariño, Laura Coronell</t>
  </si>
  <si>
    <t>Mejia</t>
  </si>
  <si>
    <t>Fabiola Menco</t>
  </si>
  <si>
    <t>Transversal 43 No. 100-50 Edificio Napoli Torre 5 Apto 519 - Conjunto</t>
  </si>
  <si>
    <t xml:space="preserve">Se que ha sido un año complejo, de muchos obstáculos, de muchos altibajos. De muchas cosas por mejorar. Pero al final del día estamos tú y yo, y yo para ti. Gracias por tanto, te amo! Y que este 2026 sea lleno de bendiciones, salud y sonrisas para nuestro hogar. </t>
  </si>
  <si>
    <t>Con amor Mario Andrés</t>
  </si>
  <si>
    <t>Silvia</t>
  </si>
  <si>
    <t>Quintero</t>
  </si>
  <si>
    <t xml:space="preserve">Magdolia Sánchez </t>
  </si>
  <si>
    <t>Cra 59b 84 48 apto 1704 torre 1  edificio Vivace - Edificio</t>
  </si>
  <si>
    <t>Magdo:   Hoy cierras el año con una gran victoria: tu última quimio.  Tu fuerza nos inspira y este nuevo año llega con más vida, luz y esperanza.   Te admiramos y queremos mucho amiga.   Att. Las divinas</t>
  </si>
  <si>
    <t>mary</t>
  </si>
  <si>
    <t>nuñez</t>
  </si>
  <si>
    <t>mary nuñez</t>
  </si>
  <si>
    <t>Cra75a #88-71 conjunto puerto alegre apt 501G - Casa</t>
  </si>
  <si>
    <t>315 6151131</t>
  </si>
  <si>
    <t>rosas blancas una docena CANJE</t>
  </si>
  <si>
    <t>cra 59 # 81-149 piso 4 edificio Lenox - Edificio - Edificio</t>
  </si>
  <si>
    <t>Bohorquez rodelo</t>
  </si>
  <si>
    <t xml:space="preserve">Camila gonzales </t>
  </si>
  <si>
    <t>Cra 45 #84-29 edificio Hispania real apart 11 - Casa</t>
  </si>
  <si>
    <t>Doce rosas, una por cada mes que elijo seguir caminando contigo.
Tres años no se celebran por el tiempo, sino por todo lo que hemos construido en él.
Feliz aniversario, hoy y siempre.</t>
  </si>
  <si>
    <t>David Estifed Bohorquez</t>
  </si>
  <si>
    <t>Jacobo</t>
  </si>
  <si>
    <t>Jacobo Jaramillo</t>
  </si>
  <si>
    <t>Calle 99 C # 64 A - 45. Edif. Vallarta, apto 815 T4 - Edificio</t>
  </si>
  <si>
    <t>Que este nuevo año venga lleno de bendiciones, metas cumplidas y mas momentos bonitos a tu lado !
Feliz año nuevo mi reina, te amo mucho ♥️</t>
  </si>
  <si>
    <t>Con amor, Jaco.</t>
  </si>
  <si>
    <t xml:space="preserve">Novia </t>
  </si>
  <si>
    <t>Feliz año chipi. 
Que este amor dure mil años más. 
Te amo.</t>
  </si>
  <si>
    <t>Mono</t>
  </si>
  <si>
    <t xml:space="preserve">Mauricio </t>
  </si>
  <si>
    <t>Cuesta</t>
  </si>
  <si>
    <t>Daniela Guette</t>
  </si>
  <si>
    <t>Calle 68 No 22c-16 - Casa</t>
  </si>
  <si>
    <t>Hoy despedimos este año que cambió mi vida para siempre, porque en él llegaste tú y la noticia más hermosa: nuestro bebé. Gracias por tu amor, por tu fortaleza y por permitirme compartir este camino contigo. Espero el nuevo año con ilusión, tomados de la mano y soñando juntos.</t>
  </si>
  <si>
    <t>Con mucho amor Mauricio</t>
  </si>
  <si>
    <t>bouquet de 12 rosas lilas como el de la foto</t>
  </si>
  <si>
    <t xml:space="preserve">Magdolia </t>
  </si>
  <si>
    <t>Magdolia Sánchez</t>
  </si>
  <si>
    <t>Carrera 59B#84-48 edificio vivace apto 1704 T1 - Edificio</t>
  </si>
  <si>
    <t>Amiga, hoy floreces en colores de vida: esperanza, fortaleza y amor.
Cada pétalo cuenta tu valentía y cada aroma habla de tu fe.
Dios ha estado contigo en cada paso, y la Virgen María te ha cubierto con su manto lleno de luz.
Que esta nueva etapa sea un jardín de salud, paz y bendiciones. Te amamos. Atte Flia Guerrero Barrios❤️</t>
  </si>
  <si>
    <t>Pablo</t>
  </si>
  <si>
    <t xml:space="preserve">Diana Rodriguez </t>
  </si>
  <si>
    <t>carrera 35 #63b-31 - Casa</t>
  </si>
  <si>
    <t>Gracias por entrar a mi vida y ser la persona más presente que tengo…
A mi me volvió loco tu forma de ser</t>
  </si>
  <si>
    <t>P</t>
  </si>
  <si>
    <t>claudia castro</t>
  </si>
  <si>
    <t>cra 58#79-121 apto 902B - Casa</t>
  </si>
  <si>
    <t xml:space="preserve">Estefanía Pérez </t>
  </si>
  <si>
    <t>Cra 51 # 84-149 - Conjunto  Edificio yuma - apto 303</t>
  </si>
  <si>
    <t>1× Flora mini box orquidea</t>
  </si>
  <si>
    <t>De : Carlos Moreno De caro  Para : Estefanía Pérez  Desde la distancia te envío un abrazo con mucho cariño. Espero verte pronto. Feliz año nena💕</t>
  </si>
  <si>
    <t>Con cariño tu Abuelo</t>
  </si>
  <si>
    <t>jorge agudelo</t>
  </si>
  <si>
    <t>ZIOON TOWERS - Casa</t>
  </si>
  <si>
    <t xml:space="preserve">karen </t>
  </si>
  <si>
    <t>karen Quintero</t>
  </si>
  <si>
    <t>12 rosas rojas</t>
  </si>
  <si>
    <t>Castillo palacio</t>
  </si>
  <si>
    <t>VICTORIA ROMERO CASTILLO</t>
  </si>
  <si>
    <t>Calle 90#42e-11 casa 1 Barranquilla - Casa</t>
  </si>
  <si>
    <t>Mi Reina Hermosa , en este momento quisiera estar más cerca de ti para poder abrazarte y darte mi amor  pero aún en la distancia que nos separa por unos  cuantos días quiero que con este pequeño detalle sientas mi amor más cerca , deseo para ti este nuevo años que esté lleno de muchas Bendiciones de parte de Dios y con ella muchas emociones lindas como son los momentos cuando estoy a tu lado, FELIZ 2026  TE AMO… NUNCA LO OLVIDES</t>
  </si>
  <si>
    <t>Con mucho cariño: JOSÉ RAFAEL CASTILLO PALACIO</t>
  </si>
  <si>
    <t>Zora</t>
  </si>
  <si>
    <t>Virginia</t>
  </si>
  <si>
    <t>Maria Kamila</t>
  </si>
  <si>
    <t>Recreo kra 34 #58-46 - Casa</t>
  </si>
  <si>
    <t>sembrado sin orquidas y rosas rosadas</t>
  </si>
  <si>
    <t>5 canastos surtidos en amarillo</t>
  </si>
  <si>
    <t>5 canastos surtidos</t>
  </si>
  <si>
    <t xml:space="preserve">vivian </t>
  </si>
  <si>
    <t>feris</t>
  </si>
  <si>
    <t>vivian feris</t>
  </si>
  <si>
    <t xml:space="preserve">Julieth </t>
  </si>
  <si>
    <t>Julieth Martinez</t>
  </si>
  <si>
    <t xml:space="preserve">jorge </t>
  </si>
  <si>
    <t>visbal</t>
  </si>
  <si>
    <t>ELEANA LOPEZ</t>
  </si>
  <si>
    <t>CRA 20#2A-10 CONJ, TERRA CASA 271 - Casa</t>
  </si>
  <si>
    <t>Bebita, en tu cumpleaños queremos recordarte que eres la mejor mama, esposa y amiga. Gracias por cuidarnos siempre. Por ser el polo a tierra de nuestro hogar. Feliz Cumpleaños!!! ATTE:  Tu adorado hijo  Tu amado esposo.</t>
  </si>
  <si>
    <t xml:space="preserve">DANIEL </t>
  </si>
  <si>
    <t>CHAZAROWATTY</t>
  </si>
  <si>
    <t>CRA 42 # 82A-96 - Casa</t>
  </si>
  <si>
    <t>Feliz cumpleaños,que hoy y siempre te sientas tan especial como eres para mí. prendi la giacca,perché andiamo a sciare in silia.
te quiero mucho.
con cariño,daniel</t>
  </si>
  <si>
    <t>Tatiana</t>
  </si>
  <si>
    <t>Guerrero Londoño</t>
  </si>
  <si>
    <t>Tatiana Guerrero Londoño</t>
  </si>
  <si>
    <t>Juany 
Que este nuevo año de vida esté lleno de salud, alegría y momentos hermosos.
Te deseamos muchas bendiciones y razones para sonreír siempre.</t>
  </si>
  <si>
    <t>Luz Del Carmen, Margarita, Tatiana, Lorena, Balbina, Angie, Javier, Liceth, Dawi, Claudia, Adriana S., Karen, Fernando y Luz Marina</t>
  </si>
  <si>
    <t>Para: Juany Álvarez 
De: Luz Del Carmen, Margarita, Tatiana, Lorena, Balbina, Angie, Javier, Liceth, Dawi, Claudia, Adriana S., Karen, Fernando y Luz Marina.</t>
  </si>
  <si>
    <t>william</t>
  </si>
  <si>
    <t xml:space="preserve"> Eichler</t>
  </si>
  <si>
    <t>Isabella Clavijo</t>
  </si>
  <si>
    <t>Calle 76  #39-39 - Casa</t>
  </si>
  <si>
    <t>HAPPY SWEET 16 
Deseo con todo mi corazón que nos podamos ver pronto y que todos tus sueños y deseos se hagan realidad. 
Con mucho amor, 
William Eichler Quijano</t>
  </si>
  <si>
    <t>Botero</t>
  </si>
  <si>
    <t>Saida Sojo</t>
  </si>
  <si>
    <t>Calle 82 #59-59, Apto 303 - Edificio</t>
  </si>
  <si>
    <t>Feliz Cumpleaños Mamita Hermosa
Te queremos mucho</t>
  </si>
  <si>
    <t>Sebastian, Laura y Poncho</t>
  </si>
  <si>
    <t>samir</t>
  </si>
  <si>
    <t>vence</t>
  </si>
  <si>
    <t>samir vence</t>
  </si>
  <si>
    <t xml:space="preserve">Humberto </t>
  </si>
  <si>
    <t>de Armas</t>
  </si>
  <si>
    <t>silvana</t>
  </si>
  <si>
    <t>cra 54#91-76 - Casa</t>
  </si>
  <si>
    <t>jarrón con 24 rosas amarillas y rojas
entregado</t>
  </si>
  <si>
    <t>Yepez</t>
  </si>
  <si>
    <t xml:space="preserve">Laura Manotas </t>
  </si>
  <si>
    <t>Calle 85 # 44-27 - Oficina</t>
  </si>
  <si>
    <t>Lau / Dianis 
Que Dios siempre sea su guía y respaldo. Éxitos en esta nueva etapa de Life.</t>
  </si>
  <si>
    <t>Las quiero Andrea Yepez</t>
  </si>
  <si>
    <t xml:space="preserve"> Vásquez</t>
  </si>
  <si>
    <t>María José Vásquez</t>
  </si>
  <si>
    <t>2415832909 rappi</t>
  </si>
  <si>
    <t>Vásquez</t>
  </si>
  <si>
    <t>Valentina Vásquez</t>
  </si>
  <si>
    <t>Feliz cumpleaños Bruny! Gracias por tu gran corazón, tu sonrisa sincera y por estar siempre para nosotros. Eres una amiga única y muy especial.
Proverbios 31:10❤️</t>
  </si>
  <si>
    <t>Te amamos, Familia De La Hoz Vásquez</t>
  </si>
  <si>
    <t>Maryuris</t>
  </si>
  <si>
    <t xml:space="preserve">Mayra Arrieta </t>
  </si>
  <si>
    <t>Kra 43 B # 82-114 edificio los cedros apto 705</t>
  </si>
  <si>
    <t>Lo siento mucho</t>
  </si>
  <si>
    <t>M.V</t>
  </si>
  <si>
    <t>lina</t>
  </si>
  <si>
    <t>marquez</t>
  </si>
  <si>
    <t>lina marquez</t>
  </si>
  <si>
    <t>300 8162675</t>
  </si>
  <si>
    <t xml:space="preserve">Isaac Camilo </t>
  </si>
  <si>
    <t xml:space="preserve">Polo </t>
  </si>
  <si>
    <t xml:space="preserve">Melina Aníbal </t>
  </si>
  <si>
    <t>Calle 47B #26-100 TORRE 32 APTO 1C - Edificio</t>
  </si>
  <si>
    <t>¡Feliz cumpleaños, amor de mi vida!
Hoy te envío estas hortensias porque me recuerdan a ti: porque eres , única y llenas de alma. Cada pétalo representa un momento en el que mi corazón late por ti.
Hay algo que pasa cuando pienso en tu sonrisa, en tu mirada, en todo lo que eres… *que no alcanza el aire para describir lo que siento.* Eres mi razón, mi calma y mi emoción más grande.
En este día tan especial quiero que sepas lo infinito que es mi cariño por ti, que Te amo mucho, mucho bastante, y no hay distancia ni tiempo que cambie lo que vive dentro de mí cuando estás a mi lado.
Que este año nuevo de vida te traiga tanta felicidad como la que tú me das cada día.
Con todo mi amor.</t>
  </si>
  <si>
    <t>Isaac Camilo Polo</t>
  </si>
  <si>
    <t xml:space="preserve">Juan Camilo </t>
  </si>
  <si>
    <t xml:space="preserve">Rodelo Navarro </t>
  </si>
  <si>
    <t>Luisa Fernanda Payares Jiménez JEFA DE ENFERMERIA</t>
  </si>
  <si>
    <t>Ciudadela 20 de Julio</t>
  </si>
  <si>
    <t>camino ciudadela 20 de julio calle 47</t>
  </si>
  <si>
    <t>Si pueden llamar al número para que ella lo reciba o si no dejarlo en portería con el vigilante de turno, sin embargo llamarla o dejarle un mensaje para que lo vaya a recoger</t>
  </si>
  <si>
    <t>Tú Sr Marido: Juan Camilo</t>
  </si>
  <si>
    <t>Sé que aveces peleamos y que incluso puede pasar más seguido de lo que quisiéramos, pero eres lo primero en lo que pienso cuando me levanto y lo último antes de irme a dormir, Discúlpame esta vez por hacerte coger rabia! 
Quiero estar contigo hasta que Dios no lo permita.
Te amo mucho ❤️</t>
  </si>
  <si>
    <t xml:space="preserve">Fabian </t>
  </si>
  <si>
    <t xml:space="preserve">Cantillo Navas </t>
  </si>
  <si>
    <t xml:space="preserve">Isabella Cantillo </t>
  </si>
  <si>
    <t>calle 79#50-20 apto 45 - Edificio</t>
  </si>
  <si>
    <t xml:space="preserve">No hay una razón, te amo mucho hermanita </t>
  </si>
  <si>
    <t>Tu hermano</t>
  </si>
  <si>
    <t>Raul</t>
  </si>
  <si>
    <t>Raul Marino</t>
  </si>
  <si>
    <t>bouquet solitario de rosa roja</t>
  </si>
  <si>
    <t>Alba</t>
  </si>
  <si>
    <t>Alba Diaz</t>
  </si>
  <si>
    <t>palmas mall cra 51b  con 82 local 4 joyeria Alba Diaz - Centro Comercial</t>
  </si>
  <si>
    <t>canasto surtido de 200.000 agregar 1 botella de vino</t>
  </si>
  <si>
    <t>calle 38 # 41-36 joyeria cristales - Oficina</t>
  </si>
  <si>
    <t>2 canasto surtidos de 300.000
agregar los obsequios</t>
  </si>
  <si>
    <t>carrera 57 # 99a - 65 torres del atlantico - Edificio</t>
  </si>
  <si>
    <t>1× Arreglo Personalizado vino</t>
  </si>
  <si>
    <t>guacal rectangular surtido de $200.000 con vino</t>
  </si>
  <si>
    <t>Jaramillo Calle</t>
  </si>
  <si>
    <t>Calle 99 c # 64 a - 45 - Casa</t>
  </si>
  <si>
    <t>Feliz aniversario mi reina !♥️
Dios nos regale muchos años más llenos amor y felicidad. 
Te amo con todo mi corazón ♥️</t>
  </si>
  <si>
    <t>altos de riomar - Casa</t>
  </si>
  <si>
    <t>1× Arreglo personalizado</t>
  </si>
  <si>
    <t>guacal rectangular con vino</t>
  </si>
  <si>
    <t>teydi mariano</t>
  </si>
  <si>
    <t>ucros</t>
  </si>
  <si>
    <t>maria altamar</t>
  </si>
  <si>
    <t>Cl 70c #34-12 - Casa</t>
  </si>
  <si>
    <t>Feliz cumpleaños mi Mary hermosa te mereces lo mejor de este mundo se feliz hoy y siempre!</t>
  </si>
  <si>
    <t>Bouquet 5 rosas rosadas y margaritas blancas</t>
  </si>
  <si>
    <t>Lady barros</t>
  </si>
  <si>
    <t>Conjunto maria mulata torre 10 apto 1203 - Conjunto</t>
  </si>
  <si>
    <t>Te admiramos mucho, deseamos que todos los sueños de tu corazón se hagan realidad, estaremos siempre para apoyarte.</t>
  </si>
  <si>
    <t>Te amamos, papi y nana💗</t>
  </si>
  <si>
    <t>Diego</t>
  </si>
  <si>
    <t xml:space="preserve">Fernández </t>
  </si>
  <si>
    <t>Dayanna Sanjuan</t>
  </si>
  <si>
    <t>TORRES DE SAN MARINO, torre 5, apto 503, Cra. 77a #85-75, Riomar, Barranquilla, Atlántico - Conjunto</t>
  </si>
  <si>
    <t>Te necesito a mi lado.
Porque resucito con tu beso cálido,
tenés algo de magia… como un hada que aparece justo cuando hace falta.
En este plano, cuando tu presencia se acerca a la mía
y tu sonrisa me encuentra,
me regalás el momento más bonito que existe.</t>
  </si>
  <si>
    <t>Con mucho cariño, Diego</t>
  </si>
  <si>
    <t>El número de teléfono es de Argentina, pero se le pueden realizar llamadas por WhatsApp</t>
  </si>
  <si>
    <t>Luis Manuel</t>
  </si>
  <si>
    <t xml:space="preserve">Melo Henríquez </t>
  </si>
  <si>
    <t>Luis Manuel Melo</t>
  </si>
  <si>
    <t>Calle 79 #50-20 apto 21 - Conjunto</t>
  </si>
  <si>
    <t xml:space="preserve">Entregar 4:00 pm por favor </t>
  </si>
  <si>
    <t>Para la mona más linda, mi novia</t>
  </si>
  <si>
    <t xml:space="preserve">Liliana </t>
  </si>
  <si>
    <t xml:space="preserve">Navarro </t>
  </si>
  <si>
    <t>karla olmos</t>
  </si>
  <si>
    <t>Calle40b 20-61 - Casa</t>
  </si>
  <si>
    <t>1× Arreglo Personalizado con 8 rosas rosadas y  3 varas de lirios blancos envuelto en papael rosado</t>
  </si>
  <si>
    <t>Unos lirios para mi delirio</t>
  </si>
  <si>
    <t>Bouquet como el de la foto 10 r0sas rosadas 3 varas de lirios blancos ,gypso y eucalipto</t>
  </si>
  <si>
    <t xml:space="preserve">angelo </t>
  </si>
  <si>
    <t>cianci</t>
  </si>
  <si>
    <t>greys noguera</t>
  </si>
  <si>
    <t>clle 99c#65-97 edificio aria apto 605 - Casa</t>
  </si>
  <si>
    <t xml:space="preserve">para mi amor bonito,feliz cumpleaños, te amo.
</t>
  </si>
  <si>
    <t>carmen elena rios de la cruz</t>
  </si>
  <si>
    <t>los olivos vía al mar - Casa</t>
  </si>
  <si>
    <t>sudario rosas amarillas</t>
  </si>
  <si>
    <t>carmen ríos</t>
  </si>
  <si>
    <t>cementerio los olivos - Casa</t>
  </si>
  <si>
    <t>SUDARIO EN ROSAS ROSADAS Y GYPSO</t>
  </si>
  <si>
    <t>ALEXANDER</t>
  </si>
  <si>
    <t>ALMA GÓMEZ</t>
  </si>
  <si>
    <t>CRA 67B # 48-07 FOUNDEVER - Casa</t>
  </si>
  <si>
    <t>FELIZ ANIVERSARIO</t>
  </si>
  <si>
    <t xml:space="preserve">Edgardo </t>
  </si>
  <si>
    <t>Sabat</t>
  </si>
  <si>
    <t>Edgardo Sabat</t>
  </si>
  <si>
    <t>rappi2415936155</t>
  </si>
  <si>
    <t>Carrera 55 # 82-227 apartamento 802 Edificó OM - Edificio</t>
  </si>
  <si>
    <t>1× Flora Box Romantic Flores 24  Rosas</t>
  </si>
  <si>
    <t>Lili,
Estas son las primeras flores del 2026 y quise que fueran tuyas, porque empezar el año contigo me nace desde el cariño y la intención de estar.
Sé que tienes muchas gestiones y responsabilidades este año, y quiero que sepas que cuentas conmigo, con mi apoyo y mi presencia, paso a paso.
Y un abrazo con mucho cariño para Emi, que acompaña tu camino con su luz. 🌸</t>
  </si>
  <si>
    <t xml:space="preserve">Josué </t>
  </si>
  <si>
    <t xml:space="preserve">Altafulla Mancilla </t>
  </si>
  <si>
    <t>Valentina D'Auria</t>
  </si>
  <si>
    <t>Carrera 49C #100-33 Edificio Génesis - Edificio</t>
  </si>
  <si>
    <t>Edificio genesis (Timbre 3A)</t>
  </si>
  <si>
    <t>Con amor, Josué Altafulla</t>
  </si>
  <si>
    <t>liss</t>
  </si>
  <si>
    <t>puentes</t>
  </si>
  <si>
    <t>liss puentes</t>
  </si>
  <si>
    <t>cra 58#79-121 apto 1002B - Casa</t>
  </si>
  <si>
    <t>UN PAQUETE DE EUCALIPTO,UN PAQUETE DE ROSAS FUCSIA,2 VARAS DE PINO 8 ROSAS FUCSIA Y MEDIO DE GYPSO</t>
  </si>
  <si>
    <t>stefani</t>
  </si>
  <si>
    <t>carlos</t>
  </si>
  <si>
    <t>de la cruz</t>
  </si>
  <si>
    <t>carlos de la cruz</t>
  </si>
  <si>
    <t>solitario</t>
  </si>
  <si>
    <t>Arthur</t>
  </si>
  <si>
    <t>Ferrer</t>
  </si>
  <si>
    <t>Ceni</t>
  </si>
  <si>
    <t>Cra 41 # 65 - 26 - Casa</t>
  </si>
  <si>
    <t>1× Marquito ROSAS ROJAS</t>
  </si>
  <si>
    <t>Feliz mesiversario, amor de mi vida.</t>
  </si>
  <si>
    <t>Arthurito</t>
  </si>
  <si>
    <t>15 rosas</t>
  </si>
  <si>
    <t xml:space="preserve">Royero </t>
  </si>
  <si>
    <t>Carlos Meisel</t>
  </si>
  <si>
    <t>Feliz cumpleaños mejor amiga. 
Le agradezco a Dios por tu vida y por estar en la mía. 
Deseo para ti todas las bendiciones del mundo y que siempre seas feliz porque tus alegrías son mías. 
Te amo más de lo que puedas imaginar y de lo que te demuestro. 
Siempre A y S 🩷</t>
  </si>
  <si>
    <t>Con amor S</t>
  </si>
  <si>
    <t>Entregar en horas de la tarde  a las 6 pm</t>
  </si>
  <si>
    <t xml:space="preserve">Arturo </t>
  </si>
  <si>
    <t xml:space="preserve">Aguilar </t>
  </si>
  <si>
    <t xml:space="preserve">Andrea Fonseca </t>
  </si>
  <si>
    <t>Carrera 49C #84 - 72 apto 201 - Casa</t>
  </si>
  <si>
    <t xml:space="preserve">Perdón por mis defectos, por encima de ellos te amo </t>
  </si>
  <si>
    <t>AA</t>
  </si>
  <si>
    <t>MELO</t>
  </si>
  <si>
    <t>DIANA MELO</t>
  </si>
  <si>
    <t>300 2381311</t>
  </si>
  <si>
    <t>Maria Alejandra .</t>
  </si>
  <si>
    <t>2416022121 rappi</t>
  </si>
  <si>
    <t>Natalia Villalba</t>
  </si>
  <si>
    <t>Calle 62 # 44-43 edificio Daniel Eduardo apt 403 - Casa</t>
  </si>
  <si>
    <t xml:space="preserve"> con amor, el amor de tu vida</t>
  </si>
  <si>
    <t>prato 52 - Casa</t>
  </si>
  <si>
    <t>2 hortencias blancas
1 paq. de ruscus
1 paq. de margaritas blancas</t>
  </si>
  <si>
    <t xml:space="preserve">Luisa María </t>
  </si>
  <si>
    <t>gómez</t>
  </si>
  <si>
    <t>luisa maría gómez</t>
  </si>
  <si>
    <t>kra 64e n 86-200 apartamento 504B - Casa</t>
  </si>
  <si>
    <t>paquete de 24 rosas explorer</t>
  </si>
  <si>
    <t>antonio</t>
  </si>
  <si>
    <t>de vuono</t>
  </si>
  <si>
    <t>Ilsy de la Torre</t>
  </si>
  <si>
    <t>Calle 99 # 58- 112 1601 Torre 2 - Edificio</t>
  </si>
  <si>
    <t xml:space="preserve">Han sido años de miradas que aún se encuentran de manos que se reconocen sin palabras de caminos compartidos donde tu amor ha sido mi refugio y mi hogar. Gracias mi amor por cada día por cada sonrisa por caminar conmigo, incluso cuando el tiempo pesó nuestra historia, es hermosa, porque es verdadera porque sigue latiendo intacta y profunda. Feliz aniversario. Te amo más allá del tiempo. </t>
  </si>
  <si>
    <t>Con Amor Giovanni</t>
  </si>
  <si>
    <t xml:space="preserve">Karoll </t>
  </si>
  <si>
    <t xml:space="preserve">Castro Henríquez </t>
  </si>
  <si>
    <t xml:space="preserve"> Diana De Vivero </t>
  </si>
  <si>
    <t>calle 90 #65-61 Balcones de Andalucía - Casa</t>
  </si>
  <si>
    <t>Felicitaciones en su día Miss Diana .
Gracias por marcar la diferencia ,con su cariño ,su paciencia y gran amor a su vocación.
Es usted muy especial para nuestra familia .
Le damos gracias a Dios y a la Viegencita por regalarnos en mostró caminar una persona especial .
Pase un día hermoso con sus seres amados .</t>
  </si>
  <si>
    <t>Cabrera Merlano</t>
  </si>
  <si>
    <t>Luis Cabrera Merlano</t>
  </si>
  <si>
    <t xml:space="preserve">Las flores representan la Belleza de los nuevos comienzos, felicidades mi amor, éxitos en tu nuevo trabajo!
</t>
  </si>
  <si>
    <t>2416117234 RAPPI</t>
  </si>
  <si>
    <t>Pedro Luis</t>
  </si>
  <si>
    <t>Díaz Ariza</t>
  </si>
  <si>
    <t>Pedro Luis Díaz Ariza</t>
  </si>
  <si>
    <t>buoquet en hortencias y rosas y colores claros</t>
  </si>
  <si>
    <t xml:space="preserve">Wilfred </t>
  </si>
  <si>
    <t>Anaya osas</t>
  </si>
  <si>
    <t xml:space="preserve">Heriberto Zanguña Sanabria </t>
  </si>
  <si>
    <t>Jardines de la eternidad sede norte sala 1 vip - Casa</t>
  </si>
  <si>
    <t>En esta hora de tristeza, queremos ofrecer nuestras condolencias más sinceras por la pérdida del señor  Heriberto Zanguña Sanabria Que el afecto de quienes los rodean les brinde consuelo y apoyo en este momento difícil</t>
  </si>
  <si>
    <t>Estación Petromil terminal</t>
  </si>
  <si>
    <t xml:space="preserve">MARIA JOSE </t>
  </si>
  <si>
    <t xml:space="preserve">Dávila Quevedo </t>
  </si>
  <si>
    <t>MARIA CAROLINA</t>
  </si>
  <si>
    <t>Contigo aprendí que los detalles sí importan, y mucho.
Estas flores son un intento de representar todo mi amor por ti y de los feliz que estoy de coincidir contigo.
Feliz mes , mi amor.</t>
  </si>
  <si>
    <t>Sebas</t>
  </si>
  <si>
    <t>Jhoel Thomas Guardo</t>
  </si>
  <si>
    <t>funeraria universal Cl 47#29-93 - Casa</t>
  </si>
  <si>
    <t>corona</t>
  </si>
  <si>
    <t>Antonella Amath</t>
  </si>
  <si>
    <t>calle 2A # 20-61  Santa Bárbara casa 20 - Conjunto</t>
  </si>
  <si>
    <t>Anto que hoy sea un día increíble lleno de mucha alegría, verte crecer ha sido una experiencia maravillosa para nosotros.. eres una mujer  noble sencilla y muy dulce!!  felices 15 te queremos mucho!</t>
  </si>
  <si>
    <t>Con cariño la familia Poche</t>
  </si>
  <si>
    <t>El conjunto  de casas Santa Bárbara queda cerca del colegio San José !</t>
  </si>
  <si>
    <t>57323 3201869</t>
  </si>
  <si>
    <t>Cl 117#42b-25 torre 14 apto 401- turpial</t>
  </si>
  <si>
    <t>Cl 117 #42b 25 - Edificio</t>
  </si>
  <si>
    <t>Perdón por haberte herido.
Pongo nuestra situación en manos de nuestro señor jesuscristo y su espíritu santo , no me escudo con el solo quiero que sepas que mi fe no apagara nunca por nuestro amor 
Te amo, te respeto y espero con calma el momento para hablar.</t>
  </si>
  <si>
    <t>karen</t>
  </si>
  <si>
    <t>torres</t>
  </si>
  <si>
    <t>karen torres</t>
  </si>
  <si>
    <t>!Felicidades por su compromiso y nuevo hogar!  Muchos exitos, Dios les bendiga. Los queremos mucho.</t>
  </si>
  <si>
    <t>shawnn y karen croes</t>
  </si>
  <si>
    <t xml:space="preserve">Calderón </t>
  </si>
  <si>
    <t>pumarejo - soledad</t>
  </si>
  <si>
    <t>Calle18#15A-105 Pumarejo, Soledad - Casa</t>
  </si>
  <si>
    <t>300 2947857</t>
  </si>
  <si>
    <t>Andre C, Mariana, Andre X, Kath</t>
  </si>
  <si>
    <t>Una flor para otra flor, Feliz cumpleaños amiga! Disfruta mucho.</t>
  </si>
  <si>
    <t>valeria</t>
  </si>
  <si>
    <t>valeria goméz</t>
  </si>
  <si>
    <t>Gracias por la hospitalidad y por todo,la pasé increíble.
Zaida,Guillermo,Jhonatan,Victoria,los quiero mucho.
Behrad Mohseni</t>
  </si>
  <si>
    <t>Luis David</t>
  </si>
  <si>
    <t>Garza Mendoza</t>
  </si>
  <si>
    <t xml:space="preserve">Nana </t>
  </si>
  <si>
    <t>Urb Lagos del caujaral Calle 11 8-501 Puerto Colombia, Atlántico Colombia - Casa</t>
  </si>
  <si>
    <t>Felices 2 meses</t>
  </si>
  <si>
    <t>Con cariño, de Luis :)</t>
  </si>
  <si>
    <t>celular mauricio ortíz</t>
  </si>
  <si>
    <t xml:space="preserve">Romero </t>
  </si>
  <si>
    <t xml:space="preserve">Ayleen Solano </t>
  </si>
  <si>
    <t>Carrera 59#96-166 apto 2D, Edificio Vizcaya - Edificio</t>
  </si>
  <si>
    <t xml:space="preserve">Te amo con todo mi corazón, vas a ver que pronto todo va estar bien y Toñin se va recuperar. Eres el amor de mi vida hoy, mañana y siempre. </t>
  </si>
  <si>
    <t>Chachita</t>
  </si>
  <si>
    <t>Camila</t>
  </si>
  <si>
    <t>Camila Correa</t>
  </si>
  <si>
    <t>Llegó el gran día mi pocha, estoy muy feliz de acompañarte en esta nueva etapa de tu vida, de la mano de Diosito. Hoy va a ser el mejor día de tu vida! Gózatelo de principio a fin, los hubiera no existen!! TE AMO CON EL ALMA HERMANA. Con cariño, tu mejor amiga❤️</t>
  </si>
  <si>
    <t>Daniela San Juan</t>
  </si>
  <si>
    <t>Calle 82 49C-21 Barranquilla, Atlántico Colombia - Oficina</t>
  </si>
  <si>
    <t>Que la distancia no sea un obstáculo. Que este año nos regale momentos bonitos y felices. Gracias por ser única, especial y maravillosa.
Te quiero amor, JJ.</t>
  </si>
  <si>
    <t>FOTO</t>
  </si>
  <si>
    <t>Jafeth</t>
  </si>
  <si>
    <t>Pacheco</t>
  </si>
  <si>
    <t>Cra 78c#82-38 - Casa</t>
  </si>
  <si>
    <t>Feliz cumpleaños, amor. Que tu día esté lleno de sonrisas, abrazos y momentos que te hagan sentir tan especial como eres. Gracias por llenar mi vida de luz y alegría; que este nuevo año te regale todo lo que mereces. 💖✨</t>
  </si>
  <si>
    <t>Con amor, Jafeth.</t>
  </si>
  <si>
    <t>Maria Valentina</t>
  </si>
  <si>
    <t>Zapata Echeverría</t>
  </si>
  <si>
    <t>Rosalba Cajamarca</t>
  </si>
  <si>
    <t>cra 58 #99-46 edificio murano apto 603 - Edificio</t>
  </si>
  <si>
    <t>Para: Tita  Feliz cumpleaños!  Te queremos mucho  Pierre, Caro, Manu y Emilio</t>
  </si>
  <si>
    <t>Ingri</t>
  </si>
  <si>
    <t>Geronimo</t>
  </si>
  <si>
    <t>Ingri Geronimo</t>
  </si>
  <si>
    <t>1× Bouquet Gerbera colores amarillo pálido,lila y rosado</t>
  </si>
  <si>
    <t>Te amo más que a nada en el mundo, eres mi compañera de aventuras, mi confidente y mi mejor amiga.
¡HBD Twin Sis! 👸🏻🩷</t>
  </si>
  <si>
    <t>Con amor, Andrea.</t>
  </si>
  <si>
    <t>Agregar flores amarillo claro o pastel al arreglo.</t>
  </si>
  <si>
    <t xml:space="preserve">Eliana </t>
  </si>
  <si>
    <t>Cantillo figueroa</t>
  </si>
  <si>
    <t>Eliana Cantillo figueroa</t>
  </si>
  <si>
    <t>rappi : 2416206421</t>
  </si>
  <si>
    <t>rosmeri</t>
  </si>
  <si>
    <t>de la osa</t>
  </si>
  <si>
    <t>rosmeri de la osa</t>
  </si>
  <si>
    <t xml:space="preserve">Camilo </t>
  </si>
  <si>
    <t xml:space="preserve">Gorayeb  </t>
  </si>
  <si>
    <t xml:space="preserve">Valezka Guerrero </t>
  </si>
  <si>
    <t>1× Flora Box surtida con rosas rosadas</t>
  </si>
  <si>
    <t xml:space="preserve">marina </t>
  </si>
  <si>
    <t>marina gómez</t>
  </si>
  <si>
    <t>eucalipto</t>
  </si>
  <si>
    <t>María Claudia</t>
  </si>
  <si>
    <t xml:space="preserve">Sánchez Sánchez </t>
  </si>
  <si>
    <t>Jorge Sánchez</t>
  </si>
  <si>
    <t>Cra 52 # 80 - 43 restaurante Storia D’Amore - Casa</t>
  </si>
  <si>
    <t>Amor mío,
Hoy celebramos 36 años de caminar juntos, de tomarnos de la mano en los días buenos y en los difíciles. Gracias por tu amor constante, por tu paciencia, por tu sonrisa que sigue iluminando mi vida y por ser mi hogar todos estos años.
A tu lado aprendí que el verdadero amor no se desgasta con el tiempo, sino que se fortalece con cada experiencia compartida. Te amo más hoy que ayer y menos que mañana. Gracias por estos 36 años maravillosos y por todos los que aún nos esperan. Gracias por nuestros hijos y por nuestra familia 💕
Te amo.</t>
  </si>
  <si>
    <t>Tu esposo Jorge</t>
  </si>
  <si>
    <t>samuel</t>
  </si>
  <si>
    <t>nieto</t>
  </si>
  <si>
    <t>samuel nieto</t>
  </si>
  <si>
    <t>bouquet x 14 rosas rosadas y blancas</t>
  </si>
  <si>
    <t>YESENIA</t>
  </si>
  <si>
    <t>QUIÑONES</t>
  </si>
  <si>
    <t>yesenia quiñones</t>
  </si>
  <si>
    <t>carrera 55 No 99 B-24 edificio Bali torre 1 Apto 1301 - Casa</t>
  </si>
  <si>
    <t>Feliz Primer Mes Hijo de mi alma 
Para Iván Amado 
De : Tus papitos y hermanitas</t>
  </si>
  <si>
    <t xml:space="preserve">Manuel </t>
  </si>
  <si>
    <t xml:space="preserve">Geraldine Monsalvo </t>
  </si>
  <si>
    <t>Carrera52#106-213 - Conjunto</t>
  </si>
  <si>
    <t>1× Bouquet 6 Rosas Rosadas</t>
  </si>
  <si>
    <t>Manuel Ortega</t>
  </si>
  <si>
    <t>Rosas rosadas o blancas</t>
  </si>
  <si>
    <t>German</t>
  </si>
  <si>
    <t>Gisel</t>
  </si>
  <si>
    <t>Cra 57 #94-174 apto 601 - Edificio</t>
  </si>
  <si>
    <t xml:space="preserve">Para la mejor mamá y esposa, con todo nuestro amor, feliz cumpleaños </t>
  </si>
  <si>
    <t>Isabella, Luis Antonio y Luigi</t>
  </si>
  <si>
    <t>Garzon</t>
  </si>
  <si>
    <t>Ana Flora Torres</t>
  </si>
  <si>
    <t>cra 26 #3a-252 Portal 2 Villa Campestre Casa 30 - Puerto Colombia - Conjunto</t>
  </si>
  <si>
    <t xml:space="preserve">Feliz Cumpleaños Florecita, te deseamos salud, prosperidad y amor. Un abrazo desde Bogotá </t>
  </si>
  <si>
    <t>Mariana, Juancho y Lukitas</t>
  </si>
  <si>
    <t>jose luis</t>
  </si>
  <si>
    <t>lara silva</t>
  </si>
  <si>
    <t xml:space="preserve">Maria José Mahecha </t>
  </si>
  <si>
    <t>Loma Fresca</t>
  </si>
  <si>
    <t>Cra 53#135-49 quintas de Villa campestre 1 casa 80 - Casa</t>
  </si>
  <si>
    <t>Felices 5 años de casados amor: Quiero ponerle como felices bodas de madera : esta fecha simbolizando la solidez, estabilidad y raíces fuertes que la relación ha desarrollado !!! Te amo tu esposo</t>
  </si>
  <si>
    <t>CASA DE FERNAN LARA</t>
  </si>
  <si>
    <t>parra</t>
  </si>
  <si>
    <t>sofia parra</t>
  </si>
  <si>
    <t xml:space="preserve"> Santiago </t>
  </si>
  <si>
    <t xml:space="preserve">Brochero </t>
  </si>
  <si>
    <t>Santiago Brochero</t>
  </si>
  <si>
    <t>Amor, eres la persona más bonita que he conocido, estoy muy seguro de que tendremos una relación muy linda y hermosa, estoy aquí para cuidarte, proteger, respetarte y amarte, eres mi felicidad y siempre lo serás, con mucho amor y cariño.
Santiago.</t>
  </si>
  <si>
    <t>Ossa</t>
  </si>
  <si>
    <t>Marcela Rodriguez de Chain</t>
  </si>
  <si>
    <t>Cra 58 # 94-143.   Ed Valladolid piso 1 - Edificio</t>
  </si>
  <si>
    <t>¡Feliz Cumpleaños Marcela!</t>
  </si>
  <si>
    <t>Con cariño, Diego</t>
  </si>
  <si>
    <t xml:space="preserve">melisa </t>
  </si>
  <si>
    <t>mendoza</t>
  </si>
  <si>
    <t>melisa mendoza</t>
  </si>
  <si>
    <t>Carvajal Ballestas</t>
  </si>
  <si>
    <t>Sofia Moreno</t>
  </si>
  <si>
    <t>Cra 63 #66 18. Hospedaje Casa Rueda. Preguntar por Sofia Moreno en recepción. - Casa</t>
  </si>
  <si>
    <t xml:space="preserve">Amor mío se que no han sido días fáciles, mucho estrés y muchas cosas al tiempo. Quiero recordarte que no estás sola, aquí estoy para lo que necesites y que le saques una sonrisa al día que hoy será mucho mejor. Te amo mucho vida. </t>
  </si>
  <si>
    <t>Visbal Alcala</t>
  </si>
  <si>
    <t>⁠Sofia Osorto</t>
  </si>
  <si>
    <t>⁠Cra 58 #90-136 - Edificio Arcangeles - apto 201 - Edificio</t>
  </si>
  <si>
    <t>6. “Mi amor, como antes te lo he dicho, hiciste del año pasado algo especial que no pensé que pudiera ser.
Estar contigo, reírnos, pasar tiempo juntos y dejarme conocerte me hizo sentir completo.
Y quiero que este año esté lleno de muchos más momentos así contigo.
Te amo.” - Juan David</t>
  </si>
  <si>
    <t>Yonia</t>
  </si>
  <si>
    <t xml:space="preserve">Luna Garcia </t>
  </si>
  <si>
    <t>Calle 96 no 71 165 torre2a 1003 Edificio Altares - Edificio</t>
  </si>
  <si>
    <t>¡Feliz cumpleaños! 💖 Que la vida te regale hoy y siempre motivos para sonreír, sueños cumplidos y mucho amor. 
Te amo mucho</t>
  </si>
  <si>
    <t>Con amor, Tu mami que te ama !!! 💖💖💖💖</t>
  </si>
  <si>
    <t xml:space="preserve">daniel </t>
  </si>
  <si>
    <t>daniel gonzalez</t>
  </si>
  <si>
    <t>vargas</t>
  </si>
  <si>
    <t>rappi : 2416397373</t>
  </si>
  <si>
    <t xml:space="preserve">holsen </t>
  </si>
  <si>
    <t>holsen suarez</t>
  </si>
  <si>
    <t>Alvaro Ramos</t>
  </si>
  <si>
    <t xml:space="preserve">farid </t>
  </si>
  <si>
    <t>radi</t>
  </si>
  <si>
    <t>farid radi</t>
  </si>
  <si>
    <t>Consultoría</t>
  </si>
  <si>
    <t>Aficot SAS</t>
  </si>
  <si>
    <t>Camila yaber</t>
  </si>
  <si>
    <t>Calle 99A # 42F - 211 Torre 04 apartamento 604 - Casa</t>
  </si>
  <si>
    <t>Camila Yaber,
contigo he descubierto que el amor no necesita del tiempo para revelarse; basta sentirlo. Admiro cada acción tuya, cada gesto, cada palabra, y todo lo que envuelve tu esencia.
Tu energía es hermosa, única, y deseo tenerla a mi lado todo el tiempo que Dios nos permita… ojalá sea muchísimo, ojalá sea siempre.
Te quiero profundamente, mi reina. Te admiro con el corazón y sé que serás grande en todo lo que te propongas, porque llevas luz y fortaleza en tu ser.
Con amor,
Lewis Peña</t>
  </si>
  <si>
    <t>Que mis actos expresen lo que tú amor me inspira… 
Me siento muy afortunado.</t>
  </si>
  <si>
    <t>Con cariño, Carlos Arturo</t>
  </si>
  <si>
    <t xml:space="preserve">DANNY </t>
  </si>
  <si>
    <t>CASTRO NAVARRO</t>
  </si>
  <si>
    <t>DANNY CASTRO NAVARRO</t>
  </si>
  <si>
    <t>"Amo ver cómo Dios brilla a través de ti. Eres una bendición en mi vida."</t>
  </si>
  <si>
    <t>Tu regalo de Dios.</t>
  </si>
  <si>
    <t xml:space="preserve">García </t>
  </si>
  <si>
    <t xml:space="preserve">Ana Sofía arias </t>
  </si>
  <si>
    <t>Cl. 94 #51B - 57, Riomar, Barranquilla, Atlántico edificio movich piso 4 oficina 415 - Oficina</t>
  </si>
  <si>
    <t>A pesar de los errores del pasado, cada paso que hemos dado nos ha traído aquí. Hoy quiero escribir un nuevo capítulo a tu lado. Te amo ❤️</t>
  </si>
  <si>
    <t>Con cariño, Mateo</t>
  </si>
  <si>
    <t>La entrega deberá hacerse a las 10 de las mañana</t>
  </si>
  <si>
    <t xml:space="preserve">Mariluna </t>
  </si>
  <si>
    <t xml:space="preserve">Pérez </t>
  </si>
  <si>
    <t xml:space="preserve">Milena Barraza </t>
  </si>
  <si>
    <t>Calle 3a#25-66 Edificio Club Tower 1 apto 1905 - Edificio</t>
  </si>
  <si>
    <t>De: Mary Pérez 
Para: Señorita Milena Barraza 
Feliz cumpleaños. Que Dios la bendiga hoy y siempre💕</t>
  </si>
  <si>
    <t>Pulgar</t>
  </si>
  <si>
    <t>Elisabet Rozo</t>
  </si>
  <si>
    <t>Calle 114 #43-26 Edificio Esmeralda Torre 2 Apto 616 - Conjunto</t>
  </si>
  <si>
    <t>Eli,
Queremos que sepas que estamos aquí para apoyarte en este momento tan difícil. Te mandamos un abrazo desde la distancia.</t>
  </si>
  <si>
    <t>Con cariño, TA Team</t>
  </si>
  <si>
    <t>jaime</t>
  </si>
  <si>
    <t>escobar</t>
  </si>
  <si>
    <t xml:space="preserve">arnulfo palacio </t>
  </si>
  <si>
    <t>jardines de la eternidad del norte sala 11 kilometro 5 - Casa</t>
  </si>
  <si>
    <t>En este momento de gran dolor y pérdida, quiero expresar nuestras más sinceras condolencias. La partida de un ser querido es un vacío imposible de llenar, pero espero que encuentre consuelo en los hermosos recuerdos que compartieron juntos.
Que el Señor le brinde su paz, su amor y su fortaleza en estos momentos difíciles, y que su familia esté rodeada de su presencia y su consuelo.
Jayme y Natalia</t>
  </si>
  <si>
    <t xml:space="preserve">Yojainis </t>
  </si>
  <si>
    <t xml:space="preserve">María Camila Mejía </t>
  </si>
  <si>
    <t>Cll 3b TV 3b- 275 Plazuela del Mar uno  torre 2 apto 503 - Conjunto</t>
  </si>
  <si>
    <t>Por muchos meses más a tu lado te amo por siempre! 
con amor</t>
  </si>
  <si>
    <t>Sebastián M.</t>
  </si>
  <si>
    <t>Jeiner</t>
  </si>
  <si>
    <t>Britney Guzman</t>
  </si>
  <si>
    <t>Carrera 52 #80-40 Sala de venta Inacar - Oficina</t>
  </si>
  <si>
    <t>1 mini box hortensias y mini rosas</t>
  </si>
  <si>
    <t>Quiero que nunca olvides lo importante que eres para mí.
Estas flores simbolizan todo lo que compartimos: cuidado, paciencia y un amor que se siente en los pequeños detalles.</t>
  </si>
  <si>
    <t>Con cariño Jeiner</t>
  </si>
  <si>
    <t>Isabel Diaz</t>
  </si>
  <si>
    <t>rappi: 2416506676</t>
  </si>
  <si>
    <t>grace</t>
  </si>
  <si>
    <t>arnulfo palacio manjarrez</t>
  </si>
  <si>
    <t>cementerio jardines de la eternidad norte - Casa</t>
  </si>
  <si>
    <t>1× Sudario #77</t>
  </si>
  <si>
    <t>reemplazar lirios pór orquideas y ponerle mas rosas</t>
  </si>
  <si>
    <t>Salazar Perez</t>
  </si>
  <si>
    <t xml:space="preserve">Antonella Fuentes </t>
  </si>
  <si>
    <t>Cra. 20 #2A-10, Sabanilla Montecarmelo, Barranquilla, Atlántico, Colombia Casa 61 - Conjunto</t>
  </si>
  <si>
    <t xml:space="preserve">Gracias por todo, feliz vida </t>
  </si>
  <si>
    <t>JS</t>
  </si>
  <si>
    <t>flores surtidas con el iva</t>
  </si>
  <si>
    <t xml:space="preserve">Rosales </t>
  </si>
  <si>
    <t>Vanessa Rosales</t>
  </si>
  <si>
    <t>320 5659770</t>
  </si>
  <si>
    <t>Riascos Escolar</t>
  </si>
  <si>
    <t>Yvonne Escolar</t>
  </si>
  <si>
    <t>Calle 78 No. 55-57 Apto 7 - Casa</t>
  </si>
  <si>
    <t>Bubi,
Damos gracias por tenerte en nuestras vidas. Sin ti no seríamos. Sin ti no sabríamos lo que es el amor incondicional. Gracias por amarnos, por apoyarnos, por ayudarnos y por ser un ejemplo de autosuperacion. De siempre ir más allá y aprender el verdadero significado del amor.
¡Feliz cumpleaños!</t>
  </si>
  <si>
    <t>Te amamos, Los Restrepo Riascos</t>
  </si>
  <si>
    <t>Las rosas pueden ser de un color que no sea rojo. Preferiblemente algún color pastel.</t>
  </si>
  <si>
    <t>Salcedo Medina</t>
  </si>
  <si>
    <t>Kevin Salcedo Medina</t>
  </si>
  <si>
    <t>Calle 81 # 38 - 45 - Casa</t>
  </si>
  <si>
    <t>Espero que disfrutes mucho tu regalo. Siempre buscare tu felicidad y que podamos crear momentos magicos juntos. Te amo!</t>
  </si>
  <si>
    <t>Con mucho cariño, Kevin.</t>
  </si>
  <si>
    <t>Que sea lo mas lindo por favor.</t>
  </si>
  <si>
    <t>Nelson</t>
  </si>
  <si>
    <t xml:space="preserve">Ortiz </t>
  </si>
  <si>
    <t xml:space="preserve">Halime Ortiz </t>
  </si>
  <si>
    <t>Calle 69 #47-64 casa #5 (favor entregar 8:00 AM) - Casa</t>
  </si>
  <si>
    <t>Para mi pequeña flor 
Te amo más de lo que las palabras pueden decir.
Mi mayor deseo es que crezcas siendo una persona íntegra, respetuosa y responsable, esas son las raíces que te harán fuerte y feliz.
Que todos tus sueños se hagan realidad,  deseo lo mejor del mundo para ti.
Feliz cumpleaños 
Atte Papá</t>
  </si>
  <si>
    <t>santiago</t>
  </si>
  <si>
    <t>arana</t>
  </si>
  <si>
    <t>santiago arana</t>
  </si>
  <si>
    <t>Muriel fruto</t>
  </si>
  <si>
    <t>Luis Fernando muriel</t>
  </si>
  <si>
    <t>Carrera 59b #96-133 apto 10A - Edificio</t>
  </si>
  <si>
    <t>1× Flora Box Redonda 70 Rosas | 1× Flora Box Grande 36 Rosas | 1× Flora Box Grande 50 Rosas</t>
  </si>
  <si>
    <t xml:space="preserve">Te amo negra </t>
  </si>
  <si>
    <t>Con amor tu negro</t>
  </si>
  <si>
    <t>lesly natera</t>
  </si>
  <si>
    <t>Calle 92num 52b 62 edf emporium apto 703 - Casa</t>
  </si>
  <si>
    <t>BOTONIER COMO ARREGLO RAMO,RESTA LOS 8000 DEL DOMICILIO</t>
  </si>
  <si>
    <t>Durango</t>
  </si>
  <si>
    <t>Andrea Durango</t>
  </si>
  <si>
    <t>ID de la orden 2416623725</t>
  </si>
  <si>
    <t>ID de la orden RAPPI
2416623725</t>
  </si>
  <si>
    <t>Gil</t>
  </si>
  <si>
    <t>Natalia Díaz</t>
  </si>
  <si>
    <t>Carrera 42G 2, #97-67 - Casa</t>
  </si>
  <si>
    <t>REY</t>
  </si>
  <si>
    <t>REY RODRÍGUEZ</t>
  </si>
  <si>
    <t>BOUQUET X 12 ROSAS ROJAS</t>
  </si>
  <si>
    <t>“Felicidades por tu primer lanzamiento amor, te amo” Att: RR</t>
  </si>
  <si>
    <t>Orozco Mercado</t>
  </si>
  <si>
    <t>Alexandra Pertuz</t>
  </si>
  <si>
    <t>Cra 52b #94-114 Conjunto Triana Casa 23 - Casa</t>
  </si>
  <si>
    <t>Que estas flores te hagan tan feliz como feliz me has hecho estos 2 meses.</t>
  </si>
  <si>
    <t>Juan Sebastián Orozco</t>
  </si>
  <si>
    <t xml:space="preserve">Yarem </t>
  </si>
  <si>
    <t xml:space="preserve">Omaira Mercado </t>
  </si>
  <si>
    <t>Calle 86 #42A2 - 37 - Casa</t>
  </si>
  <si>
    <t xml:space="preserve">Feliz cumpleaños Mami, Te amo con todo mi corazón! </t>
  </si>
  <si>
    <t>Con cariño, tu hija Yarem</t>
  </si>
  <si>
    <t>Angely</t>
  </si>
  <si>
    <t>Cristina Molina</t>
  </si>
  <si>
    <t>Calle 98#47-114 Parque 98 Apto 102 - Edificio</t>
  </si>
  <si>
    <t>Feliz cumpleaños cristi!! 
Eres alegría donde llegues. Te adoramos! 
Muchas bendiciones🫶</t>
  </si>
  <si>
    <t>Con cariño, Angie y Sofi</t>
  </si>
  <si>
    <t>1× Cerámica orquídea</t>
  </si>
  <si>
    <t>Tus sueños y tus logros son también nuestros! estamos muy orgullosos y felices por ti.</t>
  </si>
  <si>
    <t>Con amor, mami, papi y Luisfer jr.</t>
  </si>
  <si>
    <t>Andrea Olave</t>
  </si>
  <si>
    <t>Calle 117 # 42B - 189 Conjunto Azulejo, torre 4, apto 604 - Conjunto</t>
  </si>
  <si>
    <t>301 3302438</t>
  </si>
  <si>
    <t xml:space="preserve">Donde floreces, el día se vuelve más amable </t>
  </si>
  <si>
    <t>Con cariño, Carlos Mario</t>
  </si>
  <si>
    <t>Anaya Imitola</t>
  </si>
  <si>
    <t>Guadalupe Cervantes</t>
  </si>
  <si>
    <t>Calle104#Transv.43A-37.Edificio Dimaro.Apto 812 - Edificio</t>
  </si>
  <si>
    <t>Una etapa que florece y treinta mil razones para celebrar. Feliz Cumpleaños</t>
  </si>
  <si>
    <t>Entregar entre 10am y 1pm del Sabado 10 de Enero de 2026. Que sea totalmente anonimo</t>
  </si>
  <si>
    <t>Price</t>
  </si>
  <si>
    <t>DS</t>
  </si>
  <si>
    <t>Calle 99C # 64-25 Torre 2 Apt 207 - Casa</t>
  </si>
  <si>
    <t>1× flora box grande 36 rosas rojas</t>
  </si>
  <si>
    <t>Eres guerrera. Eres fuerte. Eres capaz. Eres encantadora. Abre tu mente y tu corazón para todo lo BONITO que está llegando y llegará a tu vida. Bendito cinco! 
 Te ADMIRO me INSPIRAS ❤️</t>
  </si>
  <si>
    <t>DP</t>
  </si>
  <si>
    <t>karoll</t>
  </si>
  <si>
    <t>rojas</t>
  </si>
  <si>
    <t>karoll rojas</t>
  </si>
  <si>
    <t>Kyle</t>
  </si>
  <si>
    <t>Maguire</t>
  </si>
  <si>
    <t>Kyle Maguire</t>
  </si>
  <si>
    <t xml:space="preserve">Sara </t>
  </si>
  <si>
    <t xml:space="preserve">De la Barrera </t>
  </si>
  <si>
    <t xml:space="preserve">Lina de la Barrera </t>
  </si>
  <si>
    <t>trasversal 43 # 100 - 50 torre 8 apto 931 Edificio Napoli - Edificio</t>
  </si>
  <si>
    <t>He aquí, herencia de Jehová son los hijos; cosa de estima el fruto del vientre. 
Salmos 127:3</t>
  </si>
  <si>
    <t>Con mucho amor, de parte de tu mamá y tu hermana</t>
  </si>
  <si>
    <t>debe pagar $22000 en efectivo</t>
  </si>
  <si>
    <t>Barraza</t>
  </si>
  <si>
    <t>Calle 74A 21-02 - Casa</t>
  </si>
  <si>
    <t>1× Flora Box Solitario Rosa roja</t>
  </si>
  <si>
    <t xml:space="preserve">Es un detalle con cariño </t>
  </si>
  <si>
    <t>Ricado</t>
  </si>
  <si>
    <t>Edificio mystic park apto 501 - Edificio</t>
  </si>
  <si>
    <t>No han sido días fáciles, pero tú sigues siendo mi lugar favorito. Estas rosas son un pequeño paso para decirte que me importas y que quiero hablar desde el corazón</t>
  </si>
  <si>
    <t>Con cariño el amor de tu vida</t>
  </si>
  <si>
    <t>carlos m</t>
  </si>
  <si>
    <t xml:space="preserve"> Andrea</t>
  </si>
  <si>
    <t xml:space="preserve"> Rocha </t>
  </si>
  <si>
    <t xml:space="preserve">Marta Calderón </t>
  </si>
  <si>
    <t>Carrera 43b #82-114 edificio el cedro apto 405 - Edificio</t>
  </si>
  <si>
    <t>Mami, gracias por cada una de las cosas que hacer por nosotros y por tu amor incondicional. Que este nuevo año venga cargado de mucha felicidad y sueños cumplidos. 
Feliz cumpleaños
Te amamos,
Cami y Andre</t>
  </si>
  <si>
    <t>elias</t>
  </si>
  <si>
    <t>elias flores</t>
  </si>
  <si>
    <t>Brito</t>
  </si>
  <si>
    <t>Alexandra Almarales</t>
  </si>
  <si>
    <t>Cll 98 # 65 A - 54 (Conjunto Brisas del Río) Torre 3 - Apart 1001 - Conjunto</t>
  </si>
  <si>
    <t xml:space="preserve">Queremos que sepas cuánto te amamos. Gracias por ser tú, por estar, por acompañarnos y por ser tan importante en nuestras vidas.
</t>
  </si>
  <si>
    <t>Con amor Valeria y Cecilia</t>
  </si>
  <si>
    <t>Con rosas rojas</t>
  </si>
  <si>
    <t xml:space="preserve">Sebastián Escaf </t>
  </si>
  <si>
    <t>Carrera 45B #90-44 - Casa</t>
  </si>
  <si>
    <t>maria victoria</t>
  </si>
  <si>
    <t>mejía</t>
  </si>
  <si>
    <t>Castellana</t>
  </si>
  <si>
    <t>Calle 104 # 51b-154 Castellana campestre  Casa 37 - Casa</t>
  </si>
  <si>
    <t>luis</t>
  </si>
  <si>
    <t>aguilar</t>
  </si>
  <si>
    <t>luis aguilar</t>
  </si>
  <si>
    <t>Nashua</t>
  </si>
  <si>
    <t>Cra 58 #84-214 apto 301 - Casa</t>
  </si>
  <si>
    <t>Happy Birthday Mi Amor and to the best mom to Elias! We love you!</t>
  </si>
  <si>
    <t>With love, Alan</t>
  </si>
  <si>
    <t>Eduardo Visbal</t>
  </si>
  <si>
    <t>ID de la orden
2416787516 rappi</t>
  </si>
  <si>
    <t>abou</t>
  </si>
  <si>
    <t>ali abou zeeni</t>
  </si>
  <si>
    <t>Juan De Jesús</t>
  </si>
  <si>
    <t>Acevedo Peinado</t>
  </si>
  <si>
    <t xml:space="preserve"> Carolina Cuervo</t>
  </si>
  <si>
    <t>Cra 26b # 72b-39 - Casa</t>
  </si>
  <si>
    <t>Feliz Mes amor mío, te amo.</t>
  </si>
  <si>
    <t>Juande</t>
  </si>
  <si>
    <t>Maria Veronica</t>
  </si>
  <si>
    <t>Andrea Sarue</t>
  </si>
  <si>
    <t>Carrera 52 # 82 - 234 apt 1003 - Casa</t>
  </si>
  <si>
    <t>Para: Amaia
De: Maria Veronica</t>
  </si>
  <si>
    <t>Con amor, Maria Veronica</t>
  </si>
  <si>
    <t>Bienvenida a casa princesa! Que la Virgencita te bendiga y proteja siempre!!</t>
  </si>
  <si>
    <t>Michelle Janer</t>
  </si>
  <si>
    <t>Cra 42f # 84b-99 apto 101 - Edificio</t>
  </si>
  <si>
    <t>Tu sabes lo que eres para mi
Perdoname
Te amo</t>
  </si>
  <si>
    <t>Melissa de Leon</t>
  </si>
  <si>
    <t>Cra 55 # 105-23 - Edificio</t>
  </si>
  <si>
    <t>Pensando en ustedes y su familia. Mucha fuerza y amor en estos momentos. Las queremos mucho</t>
  </si>
  <si>
    <t>Maki y Lau</t>
  </si>
  <si>
    <t>De La Hoz</t>
  </si>
  <si>
    <t>Gabriela Jordan</t>
  </si>
  <si>
    <t>Cra. 57 #79-188, El Golf, Barranquilla, Atlántico - Edificio</t>
  </si>
  <si>
    <t>Con amor, Dela.</t>
  </si>
  <si>
    <t>Agregar un girasol si es posible.</t>
  </si>
  <si>
    <t>Eileen</t>
  </si>
  <si>
    <t>Sara Rojas</t>
  </si>
  <si>
    <t>Calle 67 41 88 apto 201 edificio Torre Ibiza - Edificio</t>
  </si>
  <si>
    <t>2× Marquito Surtido Pastel</t>
  </si>
  <si>
    <t>Feliz cumpleaños hija! 
Que Dios te bendiga y te guarde por siempre
Te amamos mucho!</t>
  </si>
  <si>
    <t>Papá y Mamá</t>
  </si>
  <si>
    <t>Sotter Ricardo</t>
  </si>
  <si>
    <t>Ana Maria Sotter Ricardo</t>
  </si>
  <si>
    <t>310 3637919</t>
  </si>
  <si>
    <t>bouquet de 35 rosas rojas y 1 girasol</t>
  </si>
  <si>
    <t>FRANK</t>
  </si>
  <si>
    <t>GARNICA</t>
  </si>
  <si>
    <t>Luis Mauricio Aragón</t>
  </si>
  <si>
    <t>Cra. 59 #82 63 apto 1604 - Edificio</t>
  </si>
  <si>
    <t>Feliz cumpleaños Luismi!!!
Que todos los días hayan motivos para florecer. 
Te quiero mucho amigo.</t>
  </si>
  <si>
    <t>Frank Garnica P.</t>
  </si>
  <si>
    <t>plan premium( bouquet de 12 rosas, 2 rosas y 1 solitario)</t>
  </si>
  <si>
    <t>diaz</t>
  </si>
  <si>
    <t xml:space="preserve">Maria camila Díaz </t>
  </si>
  <si>
    <t>Carrera 52c #94-17 - EDIFICIO RIOMAR 94, APTO 1004</t>
  </si>
  <si>
    <t>Nathy, gracias por estar siempre y por ser tan detallista con nosotras. Tu amistad es un regalo enorme. Te queremos mucho.</t>
  </si>
  <si>
    <t>Cami, Mary y Taty.</t>
  </si>
  <si>
    <t xml:space="preserve">greis </t>
  </si>
  <si>
    <t>villalba</t>
  </si>
  <si>
    <t>greis villalba</t>
  </si>
  <si>
    <t>follaje surtido</t>
  </si>
  <si>
    <t>Buitrago L</t>
  </si>
  <si>
    <t xml:space="preserve">María Camila Vélez </t>
  </si>
  <si>
    <t>Cra 49D # 94- 49 - Casa 1</t>
  </si>
  <si>
    <t>Que solo diga la tarjeta para: María Vélez y el mensaje FELIZ CUMPLEAÑOS. Solo rosas rojas</t>
  </si>
  <si>
    <t>Cindy Nuñez</t>
  </si>
  <si>
    <t>Calle 85 # 53-14 super giros - Oficina</t>
  </si>
  <si>
    <t>PFGV</t>
  </si>
  <si>
    <t>Poner una nota que diga: Disculpa, entre el shock y las ocupaciones no te habia agradecido por devolverme todo, ahora por darme todo, las amo!</t>
  </si>
  <si>
    <t>Vivianne</t>
  </si>
  <si>
    <t>Tàmara</t>
  </si>
  <si>
    <t>vivianne</t>
  </si>
  <si>
    <t>Cr 55 82 69-  Edificio Castillo del prado - Edificio</t>
  </si>
  <si>
    <t>3 paquetes de statis</t>
  </si>
  <si>
    <t>andrade</t>
  </si>
  <si>
    <t xml:space="preserve">Nanita &amp; Carlos A. </t>
  </si>
  <si>
    <t>Cra 57#133-170 Condominio Lagomar Casa 44C - Conjunto</t>
  </si>
  <si>
    <t>¿Quieren ser nuestros padrinos?
Nuestro camino al "si" sería aún más especial con ustedes a nuestro lado. 
NANITA &amp; CARLOS A.
Sábado 28 de febrero 2026.</t>
  </si>
  <si>
    <t>Con Cariño Cami &amp; Nico.</t>
  </si>
  <si>
    <t>podemos cambiar la botella de licor por unos chocolates?</t>
  </si>
  <si>
    <t>Torres Barona</t>
  </si>
  <si>
    <t>Maria Paula Torres</t>
  </si>
  <si>
    <t>TV 57#99-180 - Edificio</t>
  </si>
  <si>
    <t>¡Feliz cumpleaños Momey!</t>
  </si>
  <si>
    <t>Con amor, Pau, July y Popey</t>
  </si>
  <si>
    <t>maria paula</t>
  </si>
  <si>
    <t>garcia</t>
  </si>
  <si>
    <t>maria paula garcia</t>
  </si>
  <si>
    <t xml:space="preserve">escobar </t>
  </si>
  <si>
    <t>claudia escobar</t>
  </si>
  <si>
    <t>arno</t>
  </si>
  <si>
    <t>liebmann</t>
  </si>
  <si>
    <t>arno liebmann</t>
  </si>
  <si>
    <t xml:space="preserve">Martín </t>
  </si>
  <si>
    <t xml:space="preserve">Echeverri </t>
  </si>
  <si>
    <t xml:space="preserve">Nabila Jubiz </t>
  </si>
  <si>
    <t>Las cayenas</t>
  </si>
  <si>
    <t>Calle 96 # 59 - 56  Conjunto Las Cayenas  Casa 18 - Casa</t>
  </si>
  <si>
    <t>Que te mejores</t>
  </si>
  <si>
    <t>Jurgen</t>
  </si>
  <si>
    <t>Mery Ann</t>
  </si>
  <si>
    <t>Carrera 52#79-249 - Edificio</t>
  </si>
  <si>
    <t>Para que tu día sea tan brillante y hermoso como tu sonrisa</t>
  </si>
  <si>
    <t>Con cariño, Jurgen</t>
  </si>
  <si>
    <t>Carolayn</t>
  </si>
  <si>
    <t>Carmen pulgar</t>
  </si>
  <si>
    <t>recoge</t>
  </si>
  <si>
    <t xml:space="preserve">Feliz cumpleaños, que Dios te de larga vida con salud! </t>
  </si>
  <si>
    <t>Con cariño Noylen t.</t>
  </si>
  <si>
    <t>Juan Pablo</t>
  </si>
  <si>
    <t>PUELLO CABALLERO</t>
  </si>
  <si>
    <t>Juan Pablo PUELLO CABALLERO</t>
  </si>
  <si>
    <t>favor dejar en blanco</t>
  </si>
  <si>
    <t>CARMEN</t>
  </si>
  <si>
    <t>BOLAÑOS</t>
  </si>
  <si>
    <t>CARMEN BOLAÑOS</t>
  </si>
  <si>
    <t>Cra 49C #82 /253 Edif el poblado APTO 301 - Edificio</t>
  </si>
  <si>
    <t>UNA ROSA BLANCA,UNA ROJA Y UNA ROSADA</t>
  </si>
  <si>
    <t>CASTILLA</t>
  </si>
  <si>
    <t>ANDRES CASTILLA</t>
  </si>
  <si>
    <t>Que tengas un Feliz Cumple  Regi
Att,  Equipo GTH</t>
  </si>
  <si>
    <t xml:space="preserve"> Iglesias</t>
  </si>
  <si>
    <t>Sandra Iglesias</t>
  </si>
  <si>
    <t>ID de la orden
2417042902</t>
  </si>
  <si>
    <t>Yuranis daniela</t>
  </si>
  <si>
    <t xml:space="preserve"> Blanco Escobar</t>
  </si>
  <si>
    <t>Yuranis daniela Blanco Escobar</t>
  </si>
  <si>
    <t>ID de la orden
2417042005</t>
  </si>
  <si>
    <t>max</t>
  </si>
  <si>
    <t>veronica rodriguez</t>
  </si>
  <si>
    <t>Dirección: Cra 56 #82-161 edf testarosa apto 1501 - Edificio</t>
  </si>
  <si>
    <t>Yoryani</t>
  </si>
  <si>
    <t>Cohen</t>
  </si>
  <si>
    <t>Ada Santrich</t>
  </si>
  <si>
    <t>Cra 64b #84b-72, napoles 601 - Edificio</t>
  </si>
  <si>
    <t>301 2041507</t>
  </si>
  <si>
    <t>Nos unimos en oración por el descanso eterno y por la fortaleza de toda la familia</t>
  </si>
  <si>
    <t>Con cariño Met Caribe</t>
  </si>
  <si>
    <t>Hortensias azules minirosas beige</t>
  </si>
  <si>
    <t>No es un pollo asado, pero es mi ofrenda de paz. Siempre es un buen día para recordar la mujer excepcional que eres. Te amo mucho!</t>
  </si>
  <si>
    <t>Con amor, JC</t>
  </si>
  <si>
    <t xml:space="preserve">Daza Rodríguez </t>
  </si>
  <si>
    <t xml:space="preserve">GLORIA FIGUEROA </t>
  </si>
  <si>
    <t>Cra 68b 96 70 apto 1002 torre 1 - Edificio</t>
  </si>
  <si>
    <t>1× Mini Box Orquidea | 1× Vino Tinto Terra Vega</t>
  </si>
  <si>
    <t>Glori!
Nos anticipamos!! Y tu celebración empieza yaaaa ! 
Que este año llegue cargado de éxitos y bendiciones!! Y mucha felicidad para ti l!
Un abrazo muy grande 
Con cariño 
Tu equipower!!</t>
  </si>
  <si>
    <t>Tu equipower tradicional</t>
  </si>
  <si>
    <t>Feliz cumpleaños Glori</t>
  </si>
  <si>
    <t>carrera 70 # 79-115 apto 201 - Casa</t>
  </si>
  <si>
    <t>Jose Melo</t>
  </si>
  <si>
    <t xml:space="preserve">E.tawfick </t>
  </si>
  <si>
    <t>de la Espriella</t>
  </si>
  <si>
    <t>Karla Cure</t>
  </si>
  <si>
    <t>Torre 1 Apt 301 - Casa</t>
  </si>
  <si>
    <t>1× Flora Box Redonda 24 Rosas de Jardin</t>
  </si>
  <si>
    <t>300.000 EL ARREGLO Y 40.000 EL DOMICILIO</t>
  </si>
  <si>
    <t>Calle 107 49 e 59 casa 1 - Casa</t>
  </si>
  <si>
    <t>2 paquetes de aucalipto, medio paquete de gypso, 1 oasis doble.</t>
  </si>
  <si>
    <t>movich empresa</t>
  </si>
  <si>
    <t>PLAN AMIGAS( 2 BOUQUETS SURTIDOS)
4 HOJAS DE BALAZO PEQUEÑAS</t>
  </si>
  <si>
    <t>Brayan</t>
  </si>
  <si>
    <t>Brayan Orozco</t>
  </si>
  <si>
    <t xml:space="preserve">Para mi novia y futura esposa </t>
  </si>
  <si>
    <t>Con cariño tu novio futuro esposo</t>
  </si>
  <si>
    <t xml:space="preserve">Miguel Angel </t>
  </si>
  <si>
    <t>Rincon Hoyos</t>
  </si>
  <si>
    <t xml:space="preserve">Miranda Santander </t>
  </si>
  <si>
    <t>Apto 905  cra 59b #84-100 duville - Edificio</t>
  </si>
  <si>
    <t>314 2757041</t>
  </si>
  <si>
    <t>Disfruta mucho en tu día rodeada de las personas que más quieres, un abrazo!!</t>
  </si>
  <si>
    <t>Con cariño Miguel Angel</t>
  </si>
  <si>
    <t>Fray</t>
  </si>
  <si>
    <t xml:space="preserve">Guerrero Martinez </t>
  </si>
  <si>
    <t>Rosalía Triviño</t>
  </si>
  <si>
    <t>Cra 42F 99A 46 - Conjunto</t>
  </si>
  <si>
    <t>Bienvenida a casa. Te amo mucho. 💙</t>
  </si>
  <si>
    <t>Con amor. Tú nieto Fray</t>
  </si>
  <si>
    <t xml:space="preserve"> CENTRO DE ORTOPEDIA Y REHABILITACION ORTOVITAL INTEGRAL S.A.S.</t>
  </si>
  <si>
    <t>Janneth Artuz Díaz</t>
  </si>
  <si>
    <t>Jardines de la eternidad sede norte  sala 4 - Casa</t>
  </si>
  <si>
    <t>Doctor. Manotas. 
Desde Ortovital expresamos nuestras más sinceras condolencias a usted y a su familia, acompañándolos con respeto y solidaridad en este difícil momento. Nos unimos en oración, deseando fortaleza, consuelo y paz para afrontar esta irreparable pérdida, elevando una plegaria por el eterno descanso de la Sra Janneth.
Extendemos nuestro mensaje de acompañamiento y apoyo, con sentimientos de consideración y respeto.</t>
  </si>
  <si>
    <t>facturas@ortovitalsas.com</t>
  </si>
  <si>
    <t>emp.</t>
  </si>
  <si>
    <t>B.YOU ACTIVE WEAR S.A.S.</t>
  </si>
  <si>
    <t>COLORES BLANCO,NUDE Y VERDE</t>
  </si>
  <si>
    <t>Stephanie</t>
  </si>
  <si>
    <t xml:space="preserve">Godoy Molinares </t>
  </si>
  <si>
    <t xml:space="preserve"> Rosarito </t>
  </si>
  <si>
    <t>calle 102 No 49 e 89 Edificio Soho 102 apto 11A * - Casa</t>
  </si>
  <si>
    <t>Señora Rosarito
*Que el Señor le regale abundante vida gozosa en el cuerpo y en el alma, y que la Virgen María la abrace hoy y siempre con su amor maternal.
Feliz y bendecido cumpleaños 
Con Cariño. Stephanie &amp; Victor *</t>
  </si>
  <si>
    <t>VIRGEN DE GUADALUPE</t>
  </si>
  <si>
    <t>José Andrés</t>
  </si>
  <si>
    <t>Pabón</t>
  </si>
  <si>
    <t>Jose Pabon</t>
  </si>
  <si>
    <t>Cra 67, 75-12 Ap. 10F - Casa</t>
  </si>
  <si>
    <t>Feliz cumpleaños Hermosa. Que mi Dios te cuide siempre. Te amamos mucho.</t>
  </si>
  <si>
    <t>Con Amor, José</t>
  </si>
  <si>
    <t>Las rosas rosadas</t>
  </si>
  <si>
    <t>Jason</t>
  </si>
  <si>
    <t>Moreno Rojas</t>
  </si>
  <si>
    <t xml:space="preserve">Claudia vergara </t>
  </si>
  <si>
    <t>Calle 94 # 51B - 43 Hotel Movich - Edificio</t>
  </si>
  <si>
    <t>Para una recer</t>
  </si>
  <si>
    <t>Con Amor Jason</t>
  </si>
  <si>
    <t>Feliz aniversario, amor mío. Que Dios nos siga guiando y bendiciendo en cada paso de nuestra vida juntos.</t>
  </si>
  <si>
    <t>Carlier</t>
  </si>
  <si>
    <t>Victoria Pinilla</t>
  </si>
  <si>
    <t>Cra. 56 #94-84 edificio Montecarlo apto 302a - Edificio</t>
  </si>
  <si>
    <t>¡Mi glorbi! Feliz mes, gracias por hacerme tan feliz y por ser la mejor compañera de vida. Cada nuevo mes llega y mi amor por ti crece y crece. Gracias por ser mi familia y por tanto amor. Que vengan muchos meses mas como este en el que cumplimos sueños juntos con el amor siempre por delante.</t>
  </si>
  <si>
    <t>Te amo siempre, Jose Giuliano.</t>
  </si>
  <si>
    <t>bouquet de 40.000 pesos con 3 rosas y hortensias, por favor no le pongan maticas verdes que usan para decorar.</t>
  </si>
  <si>
    <t>Salome</t>
  </si>
  <si>
    <t xml:space="preserve">Karen Ortiz </t>
  </si>
  <si>
    <t>Calle 98 #52b -10 hotel dan carlton Barranquilla habitación 909 - Casa</t>
  </si>
  <si>
    <t>Hoy se forma un hogar que esperamos que siempre esté lleno de amor, felicidad y respeto, En esta nueva etapa te deseamos lo mejor y siempre ten presente que estaremos ahí acompañándolos con amor. 
Los queremos</t>
  </si>
  <si>
    <t>Flia Ortiz Arenas</t>
  </si>
  <si>
    <t xml:space="preserve">Ivan </t>
  </si>
  <si>
    <t xml:space="preserve">Pelaez </t>
  </si>
  <si>
    <t xml:space="preserve">Vivian Gutiérrez </t>
  </si>
  <si>
    <t>Cra 57#99-196 ed allegro apto 1506 - Edificio</t>
  </si>
  <si>
    <t>Cada año que pasa es más especial, maravilloso y bendecido a tu lado. 
Feliz aniversario vida mía. 
Te amo.</t>
  </si>
  <si>
    <t xml:space="preserve">Moises </t>
  </si>
  <si>
    <t xml:space="preserve">Eljadue </t>
  </si>
  <si>
    <t>Valentina Montaño</t>
  </si>
  <si>
    <t>Cll 87 #77C-95 Balcones de San Marino Torre 7 apto 424</t>
  </si>
  <si>
    <t>Feliz cumpleaños corazoncito, te amo❤️🦋</t>
  </si>
  <si>
    <t>De: Moises Eljadue</t>
  </si>
  <si>
    <t>Cra 42A 4 # 84-202 Apto 3B - Casa</t>
  </si>
  <si>
    <t>Eugenia Coronell</t>
  </si>
  <si>
    <t>Calle 117b #34-115 La Pradera - Casa</t>
  </si>
  <si>
    <t>Feliz cumpleaños Sra Eugenia, que Dios la siga bendiciendo siempre.
Firma: Aldair Molina M.</t>
  </si>
  <si>
    <t xml:space="preserve">Elsa cecilia </t>
  </si>
  <si>
    <t>Cleves</t>
  </si>
  <si>
    <t>María Teresa cleves</t>
  </si>
  <si>
    <t>Calle 99 - 58 112 T 2 apto 602 - Conjunto</t>
  </si>
  <si>
    <t>Manita un bendecido cumpleaños yo, juan José, Andrés Mauricio y Luis Antonio tus sobrinos te abrazan en la distancia. Eres una hermana y tía especial y te amamos</t>
  </si>
  <si>
    <t>Rosas en salmón o rosadas si es posible</t>
  </si>
  <si>
    <t>MARÍA ISABEL</t>
  </si>
  <si>
    <t>GRANADOS</t>
  </si>
  <si>
    <t>MARÍA ISABEL GRANADOS</t>
  </si>
  <si>
    <t>CLAVEL BLANCO 1 PAQUETE 25,000
CLAVELLINA  MEDIO PAQUETE 12500
DRACENA 2 2.000
HELECHO 4 VARAS $ 4000
UN OASIS SENCILLO 4000</t>
  </si>
  <si>
    <t>Castro cabrera</t>
  </si>
  <si>
    <t>Pili</t>
  </si>
  <si>
    <t>Calle 3A 24-70  Avenida Tajamares villa campestre edificio samkaras palmas 1901 - Edificio</t>
  </si>
  <si>
    <t>Gracias por tu amistad !! Feliz cumpleaños pili, aunque aveces los afanes de la vida nos hagan olvidar fechas importante queremos hacerte saber que eres muy especial para nosotros !! Y por eso no queremos dejar pasar una fecha tan importante Por eso queremos invitarte a celebrarlo cuando tú escojas el dia !!</t>
  </si>
  <si>
    <t>Con cariño kelly, adry y lili</t>
  </si>
  <si>
    <t>Cira</t>
  </si>
  <si>
    <t xml:space="preserve">Rita Caballero </t>
  </si>
  <si>
    <t>Cra 53 # 82-202 apartamento 6C - Edificio</t>
  </si>
  <si>
    <t>Feliz cumple Riti ! Y que sean muchos más, llenos de salud y abundancia 
Te queremos 
Sira &amp; Sofi</t>
  </si>
  <si>
    <t xml:space="preserve">Jaramillo Molina </t>
  </si>
  <si>
    <t>María José Mendoza</t>
  </si>
  <si>
    <t>Cra 58#82-59 apto 9 - Casa</t>
  </si>
  <si>
    <t>Tu Gordo</t>
  </si>
  <si>
    <t>SHARON</t>
  </si>
  <si>
    <t>VELAZQUEZ</t>
  </si>
  <si>
    <t>SHARON VELAZQUEZ</t>
  </si>
  <si>
    <t>300 5040045</t>
  </si>
  <si>
    <t>30 CLAVELES SURTIDOS</t>
  </si>
  <si>
    <t>erika rozo</t>
  </si>
  <si>
    <t>Calle 91 n 49c-46 oceana 91 apartamento 405 - Casa</t>
  </si>
  <si>
    <t>flores surtidas en tonos pasteles,ponerle rosas,claveles, clavellinas,gerbera</t>
  </si>
  <si>
    <t>Fayad Barcelo</t>
  </si>
  <si>
    <t>Martha Franco</t>
  </si>
  <si>
    <t>Cra 56#81-136 APTO 2 Edificio ETERNITY - Edificio</t>
  </si>
  <si>
    <t>314 5812074</t>
  </si>
  <si>
    <t>Para Helder y Martha
De: Ale Fayad
Gracias por ser tan especiales!</t>
  </si>
  <si>
    <t>Alejandra Fayad</t>
  </si>
  <si>
    <t xml:space="preserve">Gabriel </t>
  </si>
  <si>
    <t xml:space="preserve">Berrio </t>
  </si>
  <si>
    <t xml:space="preserve">Karina González </t>
  </si>
  <si>
    <t>Casas - Casa</t>
  </si>
  <si>
    <t>Cra 17#52-22</t>
  </si>
  <si>
    <t xml:space="preserve">Feliz cumpleaños para la persona más amargada </t>
  </si>
  <si>
    <t>Feliz cumpleaños para la persona más amargada</t>
  </si>
  <si>
    <t>Isabella Puerto</t>
  </si>
  <si>
    <t>Calle 78 # 55-157 Edificio Boulevard 78 apto 203 - Edificio</t>
  </si>
  <si>
    <t>321 6162586</t>
  </si>
  <si>
    <t xml:space="preserve">Feliz 10, te extraño siempre </t>
  </si>
  <si>
    <t>Love: Emi Emi</t>
  </si>
  <si>
    <t>silvia</t>
  </si>
  <si>
    <t>pineda</t>
  </si>
  <si>
    <t>alejandro molinares perez</t>
  </si>
  <si>
    <t>jardines eternidad norte sala #5 - Casa</t>
  </si>
  <si>
    <t>Con profundo pesar los acompañamos a la distancia en este momento tan difícil. Que el señor lo tenga en su gloria.
Mucha fortaleza queridos amigos.
Familia Pineda Laiton.</t>
  </si>
  <si>
    <t>alí nieto</t>
  </si>
  <si>
    <t>maría carolina  sará rubio</t>
  </si>
  <si>
    <t>cra 77a#85-75  apto 404 torre 1 torres de san marino - Edificio</t>
  </si>
  <si>
    <t xml:space="preserve">envía por celular
</t>
  </si>
  <si>
    <t xml:space="preserve">Valentina Navarro </t>
  </si>
  <si>
    <t>Feliz cumpleaños princesa ♥️</t>
  </si>
  <si>
    <t>Mussy</t>
  </si>
  <si>
    <t xml:space="preserve">Mónica Rodríguez </t>
  </si>
  <si>
    <t>Calle 81 #69-08 - Casa</t>
  </si>
  <si>
    <t>Me comprometo a contradecir ese estudio que dice que quienes cumplen en enero están en desventaja. 
Feliz casi cumpleaños y que este semestre que inicias hoy sea uno lleno de buenas noticias, oportunidades y crecimiento.</t>
  </si>
  <si>
    <t>Te quiere, Liz.</t>
  </si>
  <si>
    <t>Entregar en el último horario que tengan disponible.</t>
  </si>
  <si>
    <t>nasser</t>
  </si>
  <si>
    <t>ali nasser</t>
  </si>
  <si>
    <t xml:space="preserve">PAULA </t>
  </si>
  <si>
    <t>DÍAZGRANADOS</t>
  </si>
  <si>
    <t>PAULA DÍAZGRANADOS</t>
  </si>
  <si>
    <t>1× Mini Box Hortensias y Mini Rosa Y 12 ROSAS SUELTAS</t>
  </si>
  <si>
    <t xml:space="preserve">Angelly Milena Rivera </t>
  </si>
  <si>
    <t>Calle 40#37-51 - Casa</t>
  </si>
  <si>
    <t xml:space="preserve">Barrio la arboleda </t>
  </si>
  <si>
    <t>Con todo el amor puercospin y bong bong</t>
  </si>
  <si>
    <t>Querida Angie 
Feliz cumpleaños 🎂💫
Solo queremos decirte cuánto te amamos y lo agradecidos que estamos de tenerte en nuestras vidas. Nos haces muy felices y ocupas un lugar enorme en nuestros corazones. Soñamos con que nuestros hijos crezcan llamándote tía, porque para nosotras ya eres familia.
Que hoy y siempre recibas todo el amor que das. Te amamos  muchísimo 💕🎉</t>
  </si>
  <si>
    <t>cristina</t>
  </si>
  <si>
    <t>araujo</t>
  </si>
  <si>
    <t>cristina araujo</t>
  </si>
  <si>
    <t>ID de la orden
2418286420</t>
  </si>
  <si>
    <t>Hernandez Yabrudy</t>
  </si>
  <si>
    <t>Juliana Moises Cabrales</t>
  </si>
  <si>
    <t>Carrera 59B 84 48 - Edificio</t>
  </si>
  <si>
    <t>Con cariño: Andy, Emi y Alejo</t>
  </si>
  <si>
    <t>liss puente</t>
  </si>
  <si>
    <t>cra 58#79-121 torres dilugano apto 1002 b - Casa</t>
  </si>
  <si>
    <t>rosas rojas,eucalipto abierto super lindo</t>
  </si>
  <si>
    <t xml:space="preserve">Julian </t>
  </si>
  <si>
    <t>Caro</t>
  </si>
  <si>
    <t xml:space="preserve">María Paula Peralta </t>
  </si>
  <si>
    <t>La Playa</t>
  </si>
  <si>
    <t>Cra 14a #16-21</t>
  </si>
  <si>
    <t xml:space="preserve">Feliz mes amorcito </t>
  </si>
  <si>
    <t>PAGO $8000 por 5431</t>
  </si>
  <si>
    <t>Fayad</t>
  </si>
  <si>
    <t>William Fayad</t>
  </si>
  <si>
    <t>Mahecha</t>
  </si>
  <si>
    <t>Ivan Mahecha</t>
  </si>
  <si>
    <t>1× Corazón Mediano Surtido | 1× Topper Feliz Día</t>
  </si>
  <si>
    <t>Jackelyne</t>
  </si>
  <si>
    <t>Troncoso</t>
  </si>
  <si>
    <t>María José Mendoza Utria</t>
  </si>
  <si>
    <t>Cra 51B # 87-50, Piso 3 - Local 337 - Centro Comercial</t>
  </si>
  <si>
    <t>Duncan</t>
  </si>
  <si>
    <t>Nelvis Álvarez</t>
  </si>
  <si>
    <t>Calle 27b #12-34 - Casa</t>
  </si>
  <si>
    <t>Miranda Sawan</t>
  </si>
  <si>
    <t>cr 52 n 85-33 apart 70 - Edificio</t>
  </si>
  <si>
    <t>Felices 11 meses mi princesa de fé
Te amamos❤️</t>
  </si>
  <si>
    <t>Giovanni</t>
  </si>
  <si>
    <t>Maria Beatriz Gonzalez</t>
  </si>
  <si>
    <t>Cra 56 no. 79 - 14 apto 14 B - Edificio</t>
  </si>
  <si>
    <t>Amor Mío, 25 años de compañía con más aciertos y felicitad que desaciertos y momentos tristes, hemos construido un hogar sólido que nos ha permitido tener una estabilidad emocional y familiar demasiado fuerte que es un ejemplo para la familia y los que nos rodean !!! De este fruto hemos criado y educado dos personajes que son nuestro orgullo, nuestros motores para seguir guapeando, verlos crecer y formarse para que sean personas exitosas y de bien !! Te amo con todo mi corazón, que vengan otros 25 años llenos de mucha salud y con más Pastelazos !!!!  Gio, Salvo y Franche !!!!</t>
  </si>
  <si>
    <t>Giova, Salvi y Franche!!!</t>
  </si>
  <si>
    <t>Entregar hoy</t>
  </si>
  <si>
    <t>Schiller</t>
  </si>
  <si>
    <t xml:space="preserve"> María Claudia Sánchez de Schiller </t>
  </si>
  <si>
    <t>Carrera 53 No. 92 - 75  Colegio Hello Children Star - Edificio</t>
  </si>
  <si>
    <t>Para: María Claudia Sánchez de Schiller 
De: Carlos Mario Schiller de Sánchez.
Eres la mejor mujer del mundo, la mejor mamá, la mejor novia, esposa, amante, cómplice, la mejor del mundo.
Doy gracias a Dios por ti, por mis hijos, por tu vida, por el hogar, gracias a Dios por la oportunidad de tenerte y de a ti por la oportunidad de amarte, 
TE AMO.</t>
  </si>
  <si>
    <t>Salwa</t>
  </si>
  <si>
    <t>Jaller Chagui</t>
  </si>
  <si>
    <t>Sophie Char</t>
  </si>
  <si>
    <t>Carrera 59B #79-373 - Casa</t>
  </si>
  <si>
    <t>Soph liinda! Te dejamos estas florecitas para que tengas algo bonito para ver ya que pasaras unos diitas en el cuarto. Con muchisimo amor y las mejores energias para que te recuperes rapidito de parte de tus hermanas de sas! 🩷 SMAPS</t>
  </si>
  <si>
    <t>Con mucho amor, Meli, Poli, Salwi y Ana</t>
  </si>
  <si>
    <t xml:space="preserve"> gonzalez</t>
  </si>
  <si>
    <t>jesus gonzalez</t>
  </si>
  <si>
    <t>3007540337,</t>
  </si>
  <si>
    <t>ID de la orden
2418313911</t>
  </si>
  <si>
    <t xml:space="preserve">Ana Diaz </t>
  </si>
  <si>
    <t>Cra 52 # 94-296 casa 4 - Conjunto</t>
  </si>
  <si>
    <t>En este día tan especial, doy gracias a Dios por tu vida. 
¡Feliz Cumpleaños!</t>
  </si>
  <si>
    <t>Con amor Lucho</t>
  </si>
  <si>
    <t>Serje</t>
  </si>
  <si>
    <t>Eliana Rocha</t>
  </si>
  <si>
    <t>umarejo - soledad</t>
  </si>
  <si>
    <t>Calle 18 # 42-213 conjunto villa serena apto 304 torre E5 - Soledad - Conjunto</t>
  </si>
  <si>
    <t>Eli, felicidades por el nacimiento de Liana! Que su llegada traiga una vida llena de alegrías, momentos inolvidables y bendiciones a tu hogar!</t>
  </si>
  <si>
    <t>Con cariño Jose Serje</t>
  </si>
  <si>
    <t xml:space="preserve">Salcedo </t>
  </si>
  <si>
    <t xml:space="preserve">Jhoselin Roa </t>
  </si>
  <si>
    <t>Calle 75 #66-41 Apto 204C - Edificio</t>
  </si>
  <si>
    <t>Hoy celebramos tu vida y lo afortunadas que somos de compartirla contigo.
Esperamos que disfrutes tu día especial y que este nuevo año este lleno de bendiciones, salud y del amor de todos los que te queremos.</t>
  </si>
  <si>
    <t>Con cariño, Dani y Cami</t>
  </si>
  <si>
    <t>Camila Devis</t>
  </si>
  <si>
    <t>Carrera 52 #80-96 edificio vivien apartamento 9b - Edificio</t>
  </si>
  <si>
    <t xml:space="preserve">Espero verte pronto. </t>
  </si>
  <si>
    <t>Jesus Orozco</t>
  </si>
  <si>
    <t>1× Arreglo Personalizado | 1× Topper Happy Birthday</t>
  </si>
  <si>
    <t>Fanny:
Gracias por todo, en ti se recrea las virtudes mas hermosas de Dios.
Te amo
Feliz cumpleaños.</t>
  </si>
  <si>
    <t>arreglo guacal lirio, en base rectangular. mas cambios de flores</t>
  </si>
  <si>
    <t>Alvaro alfonso</t>
  </si>
  <si>
    <t>Otero españa</t>
  </si>
  <si>
    <t>Alexandra munarriz</t>
  </si>
  <si>
    <t>Calle 105# 53-55 edificio living - Edificio</t>
  </si>
  <si>
    <t>Dios me bendijo este año conociendo una persona tan especial 
Un besito</t>
  </si>
  <si>
    <t>Ng</t>
  </si>
  <si>
    <t>Luis Ng</t>
  </si>
  <si>
    <t>Cra 71 #98-55 apto 1614 edificio riverside - Edificio</t>
  </si>
  <si>
    <t>1× Arreglo Personalizado + topper feliz cumpleaños</t>
  </si>
  <si>
    <t>Feliz cumpleaños mi amor  TE AMO</t>
  </si>
  <si>
    <t>GUACAL LIRIO CON BASE RECTANGUALAR CON CARTUCHOS Y ROSAS ROJAS - 
james sabe como hacerlo.</t>
  </si>
  <si>
    <t>Cra. 59b #96-133 - Edificio Park Avenue apto. 3B</t>
  </si>
  <si>
    <t>Maria Catalina</t>
  </si>
  <si>
    <t>Maria Catalina ucros</t>
  </si>
  <si>
    <t xml:space="preserve">Pao, Feliz cumpleaños con abundante salud, prosperidad y unión familiar. Brindo por tu vida. te quiero mucho </t>
  </si>
  <si>
    <t>arreglo caja mediana surtida</t>
  </si>
  <si>
    <t>felipe</t>
  </si>
  <si>
    <t>llinas</t>
  </si>
  <si>
    <t>magdalena muñoz</t>
  </si>
  <si>
    <t>cra 58-81-160 ph edif bosques del golf - Casa</t>
  </si>
  <si>
    <t>feliz cumpleaños magda,con todo cariño tu familia ,que la vida te llene de bendiciones,felipe.</t>
  </si>
  <si>
    <t xml:space="preserve">Vivian </t>
  </si>
  <si>
    <t xml:space="preserve">Tovar </t>
  </si>
  <si>
    <t>Vivian Tovar</t>
  </si>
  <si>
    <t>Feliz cumpleaños, amiga linda 👑✈️
El amigo  (Tu esposo) se lució con esta sorpresota! …pero nosotras prometemos y casi que garantizamos hacerlo inolvidable. Prepárate para celebrar como te mereces: con risas, brindis y anécdotas que seguro no podremos contar 😜.
… así que ponte pálida y en modo disfrute, relax  y celebración a lo grande (como siempre) porque ¡este viaje es todo tuyo! 🎂✈️💖</t>
  </si>
  <si>
    <t>Tus frenchys</t>
  </si>
  <si>
    <t>Pineres</t>
  </si>
  <si>
    <t>Ana Maria Villarreal</t>
  </si>
  <si>
    <t>Carrera 51 # 80 34 edificio ferrari apt 11a - Edificio</t>
  </si>
  <si>
    <t>JMP</t>
  </si>
  <si>
    <t>Pedrozo</t>
  </si>
  <si>
    <t xml:space="preserve">Carrera 26 # 3A 252 </t>
  </si>
  <si>
    <t>Apto 1504 torre A - Conjunto</t>
  </si>
  <si>
    <t>“Eres mi segunda mamá y mi Tita  madrina”
Tu amor es el tesoro más grande que he recibido y tu abrazo, mi refugio favorito. 
Gracias por estar siempre para nosotros Tita, te amamos mucho, feliz cumpleaños, Papito Dios y mamita María te bendigan por siempre ❣️</t>
  </si>
  <si>
    <t>Martina y Néstor José</t>
  </si>
  <si>
    <t>No</t>
  </si>
  <si>
    <t>Gomez Medina</t>
  </si>
  <si>
    <t>Melissa Paez</t>
  </si>
  <si>
    <t>Calle 116 n 43b -38 Conjunto picaflor Torre 1 Apt 1004 - Edificio</t>
  </si>
  <si>
    <t>Feliz cumpleaños Meli! 
Hoy celebro tu vida, tu luz y todo lo bonito que eres. Gracias por tu amistad, por tu apoyo incondicional y por estar incluso en los momentos difíciles. Deseo que este nuevo año te abrace con paz, amor y sueños cumplidos. Nunca olvides lo valiosa y especial que eres para mí. Te quiero muchísimo</t>
  </si>
  <si>
    <t>Con cariño Jessica Gómez</t>
  </si>
  <si>
    <t>colmenares</t>
  </si>
  <si>
    <t>alberto colmenares</t>
  </si>
  <si>
    <t>De la Peña</t>
  </si>
  <si>
    <t>Diyei Villa</t>
  </si>
  <si>
    <t>Calle 43 # 45-15 - Edificio</t>
  </si>
  <si>
    <t>Gracias por compartir conmigo esta aventura. 
Te amo!</t>
  </si>
  <si>
    <t>Jose De la Peña</t>
  </si>
  <si>
    <t>Todo ok</t>
  </si>
  <si>
    <t>ELVIRA</t>
  </si>
  <si>
    <t>CHEIJ</t>
  </si>
  <si>
    <t>ELVIRA CHEIJ</t>
  </si>
  <si>
    <t>312 6608647</t>
  </si>
  <si>
    <t>Karla</t>
  </si>
  <si>
    <t>López</t>
  </si>
  <si>
    <t>Karla López</t>
  </si>
  <si>
    <t>Te vuelven loca las flores, porque tu alma está llena de ellas. 
Porque por dentro eres color y por fuera también. Porque aunque te apagues a veces, luego vuelves a brillar mil veces más. Porque tienes el corazón de guerrera y una sonrisa que no para de enamorarme. ¡Te amo!</t>
  </si>
  <si>
    <t>kelly</t>
  </si>
  <si>
    <t>tirado</t>
  </si>
  <si>
    <t>kelly tirado</t>
  </si>
  <si>
    <t xml:space="preserve">Miguel  </t>
  </si>
  <si>
    <t xml:space="preserve">Buritica </t>
  </si>
  <si>
    <t>Miguel Buritica</t>
  </si>
  <si>
    <t>3004317963,</t>
  </si>
  <si>
    <t>ID de la orden
2418412502</t>
  </si>
  <si>
    <t>Carvajalino</t>
  </si>
  <si>
    <t>Jeannete Carvajalino</t>
  </si>
  <si>
    <t>36 rosas rojas</t>
  </si>
  <si>
    <t xml:space="preserve">Flavia </t>
  </si>
  <si>
    <t>Sánchez</t>
  </si>
  <si>
    <t>Flavia Sánchez</t>
  </si>
  <si>
    <t>1 (610) 716-1764</t>
  </si>
  <si>
    <t>CORONA CABEZA EN EUCALIPTO MONEDA Y PARVIFOLIA Y PONERLE 5 ORQUÍDEAS</t>
  </si>
  <si>
    <t>Marisabella</t>
  </si>
  <si>
    <t>Martha Muñoz</t>
  </si>
  <si>
    <t>Calle 97#42g-120 - Casa</t>
  </si>
  <si>
    <t>Tarjeta que diga:
Feliz cumpleaños!!! Gracias por ser tan especial. Te queremos mucho!!</t>
  </si>
  <si>
    <t>Eduar y Marisabella</t>
  </si>
  <si>
    <t>christopher</t>
  </si>
  <si>
    <t>inoa</t>
  </si>
  <si>
    <t>Cra 71#94- 124 torre 1 Apt 703</t>
  </si>
  <si>
    <t xml:space="preserve">Eres lo máximo </t>
  </si>
  <si>
    <t>INOA</t>
  </si>
  <si>
    <t>Laino</t>
  </si>
  <si>
    <t>Camila Baena</t>
  </si>
  <si>
    <t>Cra 64c #94 - 57 Edificio BOE apto 204 - Edificio</t>
  </si>
  <si>
    <t xml:space="preserve">Feliz primer mes de muchos mi amor. Gracias por hacerme tan feliz todos los días. Te amo! </t>
  </si>
  <si>
    <t>Tu Novio</t>
  </si>
  <si>
    <t>Felisa Susana</t>
  </si>
  <si>
    <t xml:space="preserve"> Gleiser</t>
  </si>
  <si>
    <t>Gina Molinari Barcelo</t>
  </si>
  <si>
    <t>Eternity medicina estética Carrera47 numero76/76 - Oficina</t>
  </si>
  <si>
    <t>Felicidades por años de salud y prosperidad!</t>
  </si>
  <si>
    <t>Ivette</t>
  </si>
  <si>
    <t>Niebles</t>
  </si>
  <si>
    <t>María del Socorro de Niebles</t>
  </si>
  <si>
    <t>Cra 52 #82-76 Apto B - Edificio</t>
  </si>
  <si>
    <t>Hoy celebramos tu vida. Que Dios te regale mucha salud, felicidad y nos permita compartir muchos momentos más juntos. Gracias por tu amor, por tu guía y por ser luz en nuestras vidas. Feliz cumpleaños!!</t>
  </si>
  <si>
    <t>Esposo, hijos, yerno, nuera y nietos</t>
  </si>
  <si>
    <t>Acuña Remolina</t>
  </si>
  <si>
    <t>Mery Ellen Fabián</t>
  </si>
  <si>
    <t>Hotel movich, calle 94#51b-57 Barranquilla - Oficina</t>
  </si>
  <si>
    <t>Te quiero mucho mi amor 💙</t>
  </si>
  <si>
    <t>Con amor: Santiago</t>
  </si>
  <si>
    <t>Bouquet de Hortensias y Rosas</t>
  </si>
  <si>
    <t>Solarte</t>
  </si>
  <si>
    <t>Santiago Solarte</t>
  </si>
  <si>
    <t>Flora flox redonda pequeña topiario de rosas y claveles</t>
  </si>
  <si>
    <t xml:space="preserve"> Castro</t>
  </si>
  <si>
    <t>Efrain Castro</t>
  </si>
  <si>
    <t>Hija, siempre te he dicho y te diré eres el mejor regalo que Papito Dios me ha dado. Amo estar contigo, tu existencia y tu felicidad son mi felicidad.  Le doy gracias a Papito Dios por tu risa, por tu vida y por haberte dado el corazón mas lindo y puro que he conocido. Quiero ser mi mejor versión para ti, quiero ser un papá del que te sientas orgullosa. Siempre que me necesites aquí estaré.  14/01/2026 Te ama tu papito💙 EC.</t>
  </si>
  <si>
    <t>OSCAR BUSTILLO</t>
  </si>
  <si>
    <t>OSCAR BUSTILLO RAPPI</t>
  </si>
  <si>
    <t>id 2418589937</t>
  </si>
  <si>
    <t>JORGE jaramillo</t>
  </si>
  <si>
    <t>Daniela Donoso</t>
  </si>
  <si>
    <t>Cra 59 no 90-44, edificio Turkana - Casa</t>
  </si>
  <si>
    <t>300 6110052</t>
  </si>
  <si>
    <t>Amiga, te acompaño desde la distancia en este día tan especial. Tu felicidad es la mía. Te quiero mucho!</t>
  </si>
  <si>
    <t>Con cariño, Naty Daza</t>
  </si>
  <si>
    <t>Que la entrega sea en la mañana</t>
  </si>
  <si>
    <t>VANESSA GONZALEZ</t>
  </si>
  <si>
    <t>Romero Barros</t>
  </si>
  <si>
    <t>Mateo Romero Barros</t>
  </si>
  <si>
    <t>Feliz cumpleaños, mi cielo.</t>
  </si>
  <si>
    <t>Con cariño, tu sol.</t>
  </si>
  <si>
    <t>Bouquet de 10 rosas rojas</t>
  </si>
  <si>
    <t>tata</t>
  </si>
  <si>
    <t>becerra</t>
  </si>
  <si>
    <t>300 4614501</t>
  </si>
  <si>
    <t>Karol</t>
  </si>
  <si>
    <t xml:space="preserve">Camargo </t>
  </si>
  <si>
    <t>Jesús Polo</t>
  </si>
  <si>
    <t>Carrera 64d#86-61 edificio Bellini 86 - Edificio</t>
  </si>
  <si>
    <t>Te deseamos bendiciones y una pronta recuperación para que continúes gozando de tu hermosa familia, que cada día traiga más fuerza y muchas sonrisas.</t>
  </si>
  <si>
    <t>Con cariño, Familia Camargo Celia</t>
  </si>
  <si>
    <t>Adicional las uvas por favor</t>
  </si>
  <si>
    <t>jessica</t>
  </si>
  <si>
    <t>pimienta giraldo</t>
  </si>
  <si>
    <t>jessica pimienta giraldo</t>
  </si>
  <si>
    <t>Feliz cumpleaños abuelita te amamos con todo nuestro corazón, esperamos que dios te regale mucha salud y prosperidad en este nuevo año de vida.</t>
  </si>
  <si>
    <t>Vale y Sebas</t>
  </si>
  <si>
    <t>Marcos</t>
  </si>
  <si>
    <t>Jennifer Verdeza</t>
  </si>
  <si>
    <t>Calle 96#58-84 Edificio Murano Apto 7 - Edificio</t>
  </si>
  <si>
    <t>Adivinanza exclusiva para ti:
Vence la distancia;
Es inquebrantable;
Su templanza nos sorprende;
Su existencia me fascina;
Su dimensión es de otro mundo;
Lo defiendo ante el más poderoso;
Durará…
¿Qué es?</t>
  </si>
  <si>
    <t>MQG</t>
  </si>
  <si>
    <t>Sergio Cervantes</t>
  </si>
  <si>
    <t xml:space="preserve">Martinez </t>
  </si>
  <si>
    <t xml:space="preserve">Stefania Gutiérrez </t>
  </si>
  <si>
    <t>Calle 3 #22-356 - Conjunto</t>
  </si>
  <si>
    <t xml:space="preserve">Disfruta cada momento de esta aventura, antes de conocer al segundo amor de tu vida José Maria, los amo! 
 </t>
  </si>
  <si>
    <t>Sarita</t>
  </si>
  <si>
    <t xml:space="preserve"> kimberly rodelo anillo</t>
  </si>
  <si>
    <t>calle 13a #7a-114 barrio la playa. - Casa</t>
  </si>
  <si>
    <t>GUACAL CANOA EN FLORES BLANCAS LINDO</t>
  </si>
  <si>
    <t>Omaira</t>
  </si>
  <si>
    <t>Omaira Fonseca</t>
  </si>
  <si>
    <t xml:space="preserve">Lina María </t>
  </si>
  <si>
    <t xml:space="preserve">Tocasuchil </t>
  </si>
  <si>
    <t xml:space="preserve">Stefany Orduz </t>
  </si>
  <si>
    <t>KR 42G N 82 182 Barranquilla - Casa</t>
  </si>
  <si>
    <t xml:space="preserve">Esperamos que te recuperes pronto y sientas nuestro abrazo a pesar de la distancia te queremos mucho tu familia OHANA </t>
  </si>
  <si>
    <t>Tu Equipo OHANA</t>
  </si>
  <si>
    <t>JOSHUA</t>
  </si>
  <si>
    <t>ANGARITA</t>
  </si>
  <si>
    <t>JOSHUA ANGARITA</t>
  </si>
  <si>
    <t>LUIS MANUEL</t>
  </si>
  <si>
    <t>LUIS MANUEL DE LA HOZ</t>
  </si>
  <si>
    <t>“Gracias por estar conmigo estos años, gracias por ser parte de mi vida, gracias por ser como eres y por permitirme vivir un año más a tu lado. Feliz aniversario y que nuestro amor nunca acabe.”</t>
  </si>
  <si>
    <t>L S</t>
  </si>
  <si>
    <t>se dio la explicación via mensaje</t>
  </si>
  <si>
    <t>solano</t>
  </si>
  <si>
    <t>maría solano</t>
  </si>
  <si>
    <t>310 3673789</t>
  </si>
  <si>
    <t>OSORIO CHACON</t>
  </si>
  <si>
    <t>ARLENE DOMINGUEZ MERCADO</t>
  </si>
  <si>
    <t>Calle 80#55-78 - Casa</t>
  </si>
  <si>
    <t xml:space="preserve">Pendientes </t>
  </si>
  <si>
    <t>Esposo</t>
  </si>
  <si>
    <t>Pendiente</t>
  </si>
  <si>
    <t>ibarra</t>
  </si>
  <si>
    <t>Valentina gomez</t>
  </si>
  <si>
    <t>Cra 42d1 #80a 63 apto 304 - Edificio</t>
  </si>
  <si>
    <t xml:space="preserve">Quien mas te quiere </t>
  </si>
  <si>
    <t>Tu angel</t>
  </si>
  <si>
    <t xml:space="preserve">FUAD </t>
  </si>
  <si>
    <t>ANDONN</t>
  </si>
  <si>
    <t>FUAD ANDONN</t>
  </si>
  <si>
    <t>dario jose</t>
  </si>
  <si>
    <t>gaivao</t>
  </si>
  <si>
    <t>dario jose gaivao</t>
  </si>
  <si>
    <t>Felicidades princesa por haber terminado las entrevistas ! Ha sido maravilloso poder acompañarte y estoy muy orgullo de ti ❤️🙌🏼
Lo mejor esta por venir, de eso no tengo dudas. 
Te mereces todas las flores del mundo pelaita hermosa 🌹👸🏼</t>
  </si>
  <si>
    <t>D</t>
  </si>
  <si>
    <t>rafael</t>
  </si>
  <si>
    <t>key león</t>
  </si>
  <si>
    <t>restaurante el palenque ,en la cra 43#87-158 - Casa</t>
  </si>
  <si>
    <t>¡Feliz mes y que sean muchos más!</t>
  </si>
  <si>
    <t>Maria Alejandra Gomez</t>
  </si>
  <si>
    <t>Calle 98 #42G - 61| Mirador del Mar 1 | Torre 9 | Apto 303 - Conjunto</t>
  </si>
  <si>
    <t>A soñar!
Una vida con sueños grandes que a veces parecen inalcanzables, es una vida que vale vivirla. 
Te celebro en tus victorias, y te acompaño en las derrotas. 
Siempre contigo y para ti. 
No sabemos que pasará el día de mañana, más lo único claro es que será lo mejor, y eso hay que celebrarlo.
Te amo.</t>
  </si>
  <si>
    <t>Santiago Castro</t>
  </si>
  <si>
    <t>Un bouquet de 50.000 COP de colores pastel tendiendo al rosadito o lila.  Y jugar con contrastes.</t>
  </si>
  <si>
    <t>Brochado</t>
  </si>
  <si>
    <t xml:space="preserve">Ivonne Cruz </t>
  </si>
  <si>
    <t>Cra 75b 81 46 - Casa</t>
  </si>
  <si>
    <t>302 2513029</t>
  </si>
  <si>
    <t>Feliz cumpleaños 🩷 AB</t>
  </si>
  <si>
    <t>AB</t>
  </si>
  <si>
    <t>Emily</t>
  </si>
  <si>
    <t>Juliana Montoya</t>
  </si>
  <si>
    <t>Hotel crowne plaza Cra 57 # 99a 65 - Edificio</t>
  </si>
  <si>
    <t>1× Canasto 24 Rosas + Orquideas BLANCAS OJO</t>
  </si>
  <si>
    <t>Mi princesa linda,
Hoy celebramos este paso tan hermoso que estamos dando juntos. Antes de los votos, antes del “sí”, quiero recordarte que eres el regalo más grande que Dios puso en mi vida. Tu amor, tu ternura y tu fe han transformado mi historia y me han enseñado lo que significa amar de verdad.
Juan David no sería el hombre que es hoy sin July a su lado. Gracias por caminar conmigo, por creer en nosotros incluso en los momentos difíciles, y por soñar una vida juntos tomada de la mano de Dios.
Estas flores son solo un pequeño reflejo de todo lo que siento por ti. Hoy, mañana y siempre, te elijo.
Te amo con todo mi corazón.
Con amor eterno,</t>
  </si>
  <si>
    <t>Este arreglo va para la novia es importante que llegue a ella a las 11:00 am que es cuando le darán la habitación</t>
  </si>
  <si>
    <t>laura marcela</t>
  </si>
  <si>
    <t>laura marcela ,</t>
  </si>
  <si>
    <t>641502303,</t>
  </si>
  <si>
    <t>ID: 2418855660 rappi</t>
  </si>
  <si>
    <t>beatriz</t>
  </si>
  <si>
    <t>beatriz daza</t>
  </si>
  <si>
    <t xml:space="preserve">Sánchez Amorocho </t>
  </si>
  <si>
    <t xml:space="preserve">Deborah guerra </t>
  </si>
  <si>
    <t>Calle 80b #42d-191 apto 601 Edifico aleg 82 - Edificio</t>
  </si>
  <si>
    <t>1× Flora Gift Box JP | 1× Topper Happy Birthday</t>
  </si>
  <si>
    <t xml:space="preserve">Feliz cumpleaños mi vida. Deseo estar contigo muchos más años a tu lado y verte feliz. Te amo </t>
  </si>
  <si>
    <t>Con amor Santi</t>
  </si>
  <si>
    <t>Ariano</t>
  </si>
  <si>
    <t>Camilo Ariano</t>
  </si>
  <si>
    <t>Bienvenido al mundo, José Alejandro. Felicidades Diana Carolina por este hermoso milagro.</t>
  </si>
  <si>
    <t>Con cariño, José y Camilo.</t>
  </si>
  <si>
    <t>JORGE AGUDELO</t>
  </si>
  <si>
    <t xml:space="preserve">Zulma </t>
  </si>
  <si>
    <t xml:space="preserve">Donado </t>
  </si>
  <si>
    <t xml:space="preserve">Marcela Lafaurie </t>
  </si>
  <si>
    <t>El Rosario</t>
  </si>
  <si>
    <t>Calle 48 43 104 Comfamiliar atlántico  Dpto compras centro de atención - Oficina</t>
  </si>
  <si>
    <t>Marce, aunque la distancia no me permite estar contigo hoy, mi corazón sí lo está. Felicitaciones por este logro, fruto de tu esfuerzo, disciplina,  resiliencias y dedicación. Sabes que me siento  muy orgulloso de ti. Te amo ❤️</t>
  </si>
  <si>
    <t>Wilder Sandoval</t>
  </si>
  <si>
    <t xml:space="preserve"> LAURA DAVILA S.A.S</t>
  </si>
  <si>
    <t>empr.</t>
  </si>
  <si>
    <t>LAURA DAVILA S.A.S</t>
  </si>
  <si>
    <t>Beltran</t>
  </si>
  <si>
    <t>Maria Beltran</t>
  </si>
  <si>
    <t>Calle 76B #42f_24, edicio naxos, apartamento 803</t>
  </si>
  <si>
    <t>Con amor, Dani y Maria</t>
  </si>
  <si>
    <t>Feliz cumpleaños a nuestro pollito de colores. Te amamos…</t>
  </si>
  <si>
    <t>canasto grande surtido</t>
  </si>
  <si>
    <t xml:space="preserve">Héctor Arturo . </t>
  </si>
  <si>
    <t>Barrera Castellanos</t>
  </si>
  <si>
    <t>Cra 52#106-213 apto 1210 t2 - Casa</t>
  </si>
  <si>
    <t>huawei</t>
  </si>
  <si>
    <t>sanabria</t>
  </si>
  <si>
    <t>andrea sanabria</t>
  </si>
  <si>
    <t>ID de la orden rappi
2418917862</t>
  </si>
  <si>
    <t>Clara Anamy</t>
  </si>
  <si>
    <t>Vanstrahlen Jiménez</t>
  </si>
  <si>
    <t xml:space="preserve">Miryam Jiménez </t>
  </si>
  <si>
    <t>Calle 87#44-77 ed sol caribe apto 15 - Edificio</t>
  </si>
  <si>
    <t>Feliz cumpleaños, mamá hermosa 🎉💐
Gracias por ser mi apoyo constante, por tu amor infinito y por enseñarme con el ejemplo. Tu fuerza, tu paciencia y tu cariño…Te deseo un año lleno de salud, alegrías, sueños cumplidos y momentos que te hagan sonreír.
Te amo con todo mi corazón 🤍✨</t>
  </si>
  <si>
    <t>yennys</t>
  </si>
  <si>
    <t>Arraez</t>
  </si>
  <si>
    <t xml:space="preserve">GRUPO ADMINISTRATIVO </t>
  </si>
  <si>
    <t>Cra 54 75-119 - Oficina</t>
  </si>
  <si>
    <t>Sra Mari, feliz cumpleaños 
Le deseamos un año lleno de salud, éxitos y alegría. 
Que esta nueva vuelta al sol venga cargado de cosas bonitas.</t>
  </si>
  <si>
    <t>Grupo Administrativo</t>
  </si>
  <si>
    <t>Rim</t>
  </si>
  <si>
    <t>Alfakih</t>
  </si>
  <si>
    <t>Rayan Dabaje</t>
  </si>
  <si>
    <t>Cra 59-94-100 Apto 401 - Casa</t>
  </si>
  <si>
    <t>Alf mabrukk, mi reina!! les deseo toda la felicidad del mundo, Allah yhannikunn. Te quieroo🤍</t>
  </si>
  <si>
    <t>-Rim Alfakih</t>
  </si>
  <si>
    <t>Por favor que llegue a las 11 am! Si es posiblee</t>
  </si>
  <si>
    <t>felix</t>
  </si>
  <si>
    <t>chapman</t>
  </si>
  <si>
    <t>felix chapman</t>
  </si>
  <si>
    <t xml:space="preserve">Espitia Aleán </t>
  </si>
  <si>
    <t xml:space="preserve">Laura Espitia </t>
  </si>
  <si>
    <t>Kra 51b # 96 A - 19 - Apto 504, edificio arlequín - Casa</t>
  </si>
  <si>
    <t>Te amo y estaré contigo por toda la vida!</t>
  </si>
  <si>
    <t>Claveles naranjas y fucsias</t>
  </si>
  <si>
    <t>Juliana Alcocer</t>
  </si>
  <si>
    <t>Cra 55#82-194 edificio Xanadu. apto 9 Alto prado - Casa</t>
  </si>
  <si>
    <t>De: Luigi Para: Juli, Te amo mucho juli.</t>
  </si>
  <si>
    <t>Bermúdez</t>
  </si>
  <si>
    <t>Diego Bermúdez</t>
  </si>
  <si>
    <t>Nasly</t>
  </si>
  <si>
    <t xml:space="preserve"> Boude</t>
  </si>
  <si>
    <t xml:space="preserve">Yamile Boude Figueredo y OScar Boude </t>
  </si>
  <si>
    <t>Calle 72 No 60 -  50 Apto 6A Edificio Bellavista. - Edificio</t>
  </si>
  <si>
    <t>315 780 33 92</t>
  </si>
  <si>
    <t>Gracias por hacernos parte de esta gran historia de amor.  ¡Feliz 55 aniversario!  Lili, Lagar y Nas</t>
  </si>
  <si>
    <t>3 VARAS DE ORQUÍDEAS,TERRACOTA,VERDE CLARO Y AMARILLO</t>
  </si>
  <si>
    <t xml:space="preserve">Florez Castillo </t>
  </si>
  <si>
    <t xml:space="preserve">Tatiana García </t>
  </si>
  <si>
    <t>Calle 94#51b-57 - Oficina</t>
  </si>
  <si>
    <t>Feliz cumpleaños mi Tati! Dios siga bendiciendo tu hermoso corazón y llene tu vida de amor, tranquilidad y sabiduría en este nuevo año! Te queremos</t>
  </si>
  <si>
    <t>Con cariño, tus niñas, Kari y Lau!</t>
  </si>
  <si>
    <t>Si pueden prevalecer el color lila y azul bebé, sería perfecto</t>
  </si>
  <si>
    <t xml:space="preserve">andrea </t>
  </si>
  <si>
    <t>cujar</t>
  </si>
  <si>
    <t>andrea cujar</t>
  </si>
  <si>
    <t>Amiga,que sea para ti un año lleno de las promesas de Dios. te amamos,feliz cumpleaños</t>
  </si>
  <si>
    <t xml:space="preserve">alfredo </t>
  </si>
  <si>
    <t>jaddad</t>
  </si>
  <si>
    <t>carina ariza</t>
  </si>
  <si>
    <t>clle 81# 59-59edifi park view apto 1304 - Edificio</t>
  </si>
  <si>
    <t>adicionar 3 orquídeas</t>
  </si>
  <si>
    <t xml:space="preserve">camilo </t>
  </si>
  <si>
    <t>camilo quizena</t>
  </si>
  <si>
    <t>Adriana Rua</t>
  </si>
  <si>
    <t>Cl130#9g-07 - Conjunto</t>
  </si>
  <si>
    <t>Feliz cumpleaños mi amor ♥️
Que Dios te siga dando muchos años más de vida 
Te amo ♥️</t>
  </si>
  <si>
    <t>LFSC</t>
  </si>
  <si>
    <t>Dr. Wilson Peña González</t>
  </si>
  <si>
    <t>Calle 104 # 53-49  Apto 1001 Edificio Zioon Towers - Edificio</t>
  </si>
  <si>
    <t>OJO LLEVA BOTELLA DE VINO RAMON BILBAO FLORES EN TONOS HOMBRE,QUE QUEDE SUPER DIVINAAA</t>
  </si>
  <si>
    <t xml:space="preserve">Adíela Mejía </t>
  </si>
  <si>
    <t>Cra 59#81-229 - Edificio</t>
  </si>
  <si>
    <t xml:space="preserve">Para entrega inmediata </t>
  </si>
  <si>
    <t>Con cariño mariana, los quiero mucho!</t>
  </si>
  <si>
    <t>Juan jose</t>
  </si>
  <si>
    <t>Baquero</t>
  </si>
  <si>
    <t>Diana Iregui</t>
  </si>
  <si>
    <t>Tv 57 #99 180 apto 902 - Edificio</t>
  </si>
  <si>
    <t>Nuestro recorrido no es más que la alegría de estar junto. Better Together ❤️ 
Feliz aniversario</t>
  </si>
  <si>
    <t>Con todo mi Amor</t>
  </si>
  <si>
    <t>Entregar antes de 2pm. En la tardes no estamos.</t>
  </si>
  <si>
    <t>Del valle</t>
  </si>
  <si>
    <t xml:space="preserve">Andrea lobelo </t>
  </si>
  <si>
    <t>Cra 42g # 84b - 77 edificio mirador 42g apto 4b - Edificio</t>
  </si>
  <si>
    <t xml:space="preserve">Te mereces todas las flores del mundo y quiero ser yo quien te las dé </t>
  </si>
  <si>
    <t>Sin firma</t>
  </si>
  <si>
    <t>Colores suaves y pasteles combinados con colores fuertes en las flores</t>
  </si>
  <si>
    <t xml:space="preserve">Juan Felipe </t>
  </si>
  <si>
    <t xml:space="preserve">Pájaro </t>
  </si>
  <si>
    <t xml:space="preserve">Chary geronimo </t>
  </si>
  <si>
    <t>Cra 3# 7-12 - Casa</t>
  </si>
  <si>
    <t xml:space="preserve">Barrio la risotta puerto Colombia </t>
  </si>
  <si>
    <t>Con amor, Juan Felipe</t>
  </si>
  <si>
    <t>Así como la flor más linda, tu belleza y carisma embellecen todo a su alrededor, y con la fé de que tu esfuerzo y dedicación valdrán la pena en todo este camino, estoy muy orgulloso de ti</t>
  </si>
  <si>
    <t xml:space="preserve">Andy </t>
  </si>
  <si>
    <t>Gisella Lilian De La Torre Peña</t>
  </si>
  <si>
    <t>Calle 53 #44-150 conjunto la plazuela Torre 01 apto 903 - Conjunto</t>
  </si>
  <si>
    <t>Feliz aniversario, mi amor Gisella De La Torre ❤️
Hoy celebramos un día muy especial: el día en que comenzó nuestra historia.
Gracias por llegar a mi vida, por tu amor, por tu paciencia, por tu forma tan linda de hacerme sentir en casa aunque estemos lejos.
Eres mi felicidad, mi paz y mi razón para seguir luchando cada día.
Que este aniversario sea solo el inicio de muchos más, porque yo quiero seguir escribiendo contigo esta historia tan hermosa.
Te amo con todo mi corazón, mi princesa 👑💕
¡Feliz aniversario, amor de mi vida!</t>
  </si>
  <si>
    <t>Andy Avila</t>
  </si>
  <si>
    <t>Rosas Blancas y Hortencias</t>
  </si>
  <si>
    <t>Jose Rodriguez</t>
  </si>
  <si>
    <t>4966 $100.EFECTIVO $100.000</t>
  </si>
  <si>
    <t>Soto</t>
  </si>
  <si>
    <t>Andrés Soto</t>
  </si>
  <si>
    <t>Que éste sea el inicio de algo lindo para ambos, espero tener la oportunidad de verte crecer y lograr todo lo que te propongas. Te amo</t>
  </si>
  <si>
    <t>Obediently yours, Andrés</t>
  </si>
  <si>
    <t>Pasaria a recoger el arreglo a alrededor de las 3pm.</t>
  </si>
  <si>
    <t>Gongora</t>
  </si>
  <si>
    <t>Diego Gongora</t>
  </si>
  <si>
    <t>Muñoz</t>
  </si>
  <si>
    <t>Mateo Muñoz</t>
  </si>
  <si>
    <t>ROSAS AMARILLAS Y FUCSIA</t>
  </si>
  <si>
    <t>Cristina Isabel</t>
  </si>
  <si>
    <t>Baca Guerrero</t>
  </si>
  <si>
    <t>Cristina Isabel Baca Guerrero</t>
  </si>
  <si>
    <t>Centro comercial gran Boulevard - Entrega En Tienda</t>
  </si>
  <si>
    <t>Con cariño su equipo</t>
  </si>
  <si>
    <t>¡Qué alegría enorme darle la bienvenida de nuevo! La extrañamos mucho durante este tiempo y estamos felices de tenerla otra vez con nosotras.
Esperamos que haya disfrutado al máximo esta etapa tan especial y que regrese con el corazón lleno de momentos inolvidables. La recibimos con los brazos abiertos, con muchas ganas de volver a compartir el día a día y aprender de usted, como siempre.
Le deseamos un exitoso regreso en el cual estará acompañada. Cuenta con nosotras para lo que necesite.
¡Bienvenida de nuevo Jefe!
Con mucho cariño,</t>
  </si>
  <si>
    <t>Chain Saieh</t>
  </si>
  <si>
    <t>Sara Campo</t>
  </si>
  <si>
    <t>Calle 78 No. 55-97 Apto 9B - Casa</t>
  </si>
  <si>
    <t>Amor mío: que hoy sea un día para recordarte lo mucho que te amo, y para recalcarte lo importante y vital que eres tú en mi vida! Nunca olvides lo mucho que te amo! Gracias a Dios por tenerte en mi vida</t>
  </si>
  <si>
    <t>Tu esposo que te ama, Roberto</t>
  </si>
  <si>
    <t>Recaman</t>
  </si>
  <si>
    <t>Marcela Castilla</t>
  </si>
  <si>
    <t>Cra 51b 125-70 torre 2 apto 804, edificio Torres de cadiz - Edificio</t>
  </si>
  <si>
    <t>Feliz cumpleaños.</t>
  </si>
  <si>
    <t>Con cariño de Alejandro</t>
  </si>
  <si>
    <t>Entregar entre 3-5 PM TOPPER FELIZ CUMPLEAÑOS</t>
  </si>
  <si>
    <t>Lizcano</t>
  </si>
  <si>
    <t>Claudia Lizcano</t>
  </si>
  <si>
    <t>Calle 102 #49e89 Apt 1203a - Edificio</t>
  </si>
  <si>
    <t>2× Canasto Mediano Sweet</t>
  </si>
  <si>
    <t>Maria Teresa</t>
  </si>
  <si>
    <t>Lopez Caro</t>
  </si>
  <si>
    <t xml:space="preserve">Andrea Arzuaga </t>
  </si>
  <si>
    <t>Cra 75a # 88-71 apto 702 torre E - Edificio</t>
  </si>
  <si>
    <t>Feliz cumpleaños princesa 
Te amamos siempre ❤️</t>
  </si>
  <si>
    <t>Francisco y María T</t>
  </si>
  <si>
    <t>juan pablo</t>
  </si>
  <si>
    <t>cabarcas</t>
  </si>
  <si>
    <t>juan pablo cabarcas</t>
  </si>
  <si>
    <t>camilo</t>
  </si>
  <si>
    <t>garces</t>
  </si>
  <si>
    <t>Keyla Philco</t>
  </si>
  <si>
    <t>Calle 133 #51c-383 (North Frontier-Casa 3)  Villa campestre - Edificio</t>
  </si>
  <si>
    <t xml:space="preserve"> 318-601-0527</t>
  </si>
  <si>
    <t xml:space="preserve">Adrian </t>
  </si>
  <si>
    <t>De La Espriella</t>
  </si>
  <si>
    <t xml:space="preserve">María Paula Bula Díaz </t>
  </si>
  <si>
    <t>Desde que entendí lo que mi corazón siente por ti, supe que quería luchar por tenerte a mi lado. Hoy tengo claro que eres la persona con la que quiero compartir mi vida. Por eso quiero preguntarte: ¿me permites ser tu novio?</t>
  </si>
  <si>
    <t>A.D</t>
  </si>
  <si>
    <t>Francisco Alberto</t>
  </si>
  <si>
    <t>Lopez Herrera</t>
  </si>
  <si>
    <t xml:space="preserve">Julieta Suescun </t>
  </si>
  <si>
    <t>calle 99c #64a-45 edificio Vallarta - Edificio</t>
  </si>
  <si>
    <t xml:space="preserve">Tú sabes que no puedo vivir sin ti </t>
  </si>
  <si>
    <t>Te adoro, Pacho</t>
  </si>
  <si>
    <t>MAGNO COMUNICACIONES Y MARKETING SAS</t>
  </si>
  <si>
    <t>MAGNO COMUNICACIONES Y MARKETING SAS Empresa</t>
  </si>
  <si>
    <t>300 3006459</t>
  </si>
  <si>
    <t>administrativo@magnocomunicaciones.com</t>
  </si>
  <si>
    <t>bedoya</t>
  </si>
  <si>
    <t>alvaro bedoya</t>
  </si>
  <si>
    <t>3 rosas rojas</t>
  </si>
  <si>
    <t>Salazar Sierra</t>
  </si>
  <si>
    <t>Natalia Salazar</t>
  </si>
  <si>
    <t>Carrera 57 # 74 - 106 Edificio villa Michelle  Apto 701 - Edificio</t>
  </si>
  <si>
    <t>Naty y Andy:
Esa princesita viene a robarse el corazón de todos! Desde ya la queremos mucho y nos vemos la hora de conocer a nuestra Julieta (la primogénita jajajaja)</t>
  </si>
  <si>
    <t>Att: Tia Dani y Tío Jose</t>
  </si>
  <si>
    <t>Por favor que tenga buenas flores rosadas ya que es para una revelación de género de bebe</t>
  </si>
  <si>
    <t>sergio</t>
  </si>
  <si>
    <t>díaz</t>
  </si>
  <si>
    <t>valentina roa</t>
  </si>
  <si>
    <t>cra 72#91A-100 t 8 apto 331 palmeras del parque - Casa</t>
  </si>
  <si>
    <t>feliz cumpleaños,mi amor.</t>
  </si>
  <si>
    <t>ROSAAS ROJAS Y FUCSIA</t>
  </si>
  <si>
    <t>maría claudia</t>
  </si>
  <si>
    <t>juliao</t>
  </si>
  <si>
    <t>maría claudia juliao</t>
  </si>
  <si>
    <t>lustgarten</t>
  </si>
  <si>
    <t>oriana lustgarten</t>
  </si>
  <si>
    <t>estefany</t>
  </si>
  <si>
    <t>gonzález</t>
  </si>
  <si>
    <t>estefany gonzález</t>
  </si>
  <si>
    <t>blanco</t>
  </si>
  <si>
    <t>maria blanco</t>
  </si>
  <si>
    <t>OPENSKY</t>
  </si>
  <si>
    <t>CONSULTORES</t>
  </si>
  <si>
    <t>Elvira del Castillo</t>
  </si>
  <si>
    <t>Cra. 52 #82 - 278 edificio PRATO 52 APTO 1504 - Conjunto</t>
  </si>
  <si>
    <t xml:space="preserve"> 304 3823658</t>
  </si>
  <si>
    <t>Fabio Aroca</t>
  </si>
  <si>
    <t>FAVOR QUE EL ENVÍO SE HAGA a las 9AM</t>
  </si>
  <si>
    <t>Leonardo</t>
  </si>
  <si>
    <t>Pamela Visbal</t>
  </si>
  <si>
    <t>Calle 95 # 43 - 47 - Casa</t>
  </si>
  <si>
    <t>Feliz cumpleaños hermosa. Que hoy sea un día lleno de plenitud, alegría y momentos que te hagan sonreír de principio a fin. Que este nuevo año de vida llegue cargado de aprendizajes, oportunidades y éxitos en todo aquello que te propongas. Admiro mucho la persona que eres y el camino que has construido, y deseo que tu crecimiento, continúe fortaleciéndose con cada paso. Que cada experiencia te acerque a esa versión de ti que sueñas y mereces. Te deseo todo lo bueno, lo bonito y lo verdadero que la vida puede regalar, que este nuevo año lo puedas vivir con calma, propósito y gratitud.
Un beso gigante.
LB</t>
  </si>
  <si>
    <t>LB</t>
  </si>
  <si>
    <t>ana margarita</t>
  </si>
  <si>
    <t>ana margarita Navarro</t>
  </si>
  <si>
    <t>claveles</t>
  </si>
  <si>
    <t>pavajeau</t>
  </si>
  <si>
    <t>lina pavajeau</t>
  </si>
  <si>
    <t>350 4574956</t>
  </si>
  <si>
    <t>vélez</t>
  </si>
  <si>
    <t>felipe vélez</t>
  </si>
  <si>
    <t>Zuñiga</t>
  </si>
  <si>
    <t xml:space="preserve">Lilian Lara </t>
  </si>
  <si>
    <t>Calle 99#56-41 apto 1903 - Edificio</t>
  </si>
  <si>
    <t>POR SIEMPRE, SI</t>
  </si>
  <si>
    <t>CA</t>
  </si>
  <si>
    <t xml:space="preserve">Liseth </t>
  </si>
  <si>
    <t xml:space="preserve">Córdoba Chaverra </t>
  </si>
  <si>
    <t>573137918110    3046233693</t>
  </si>
  <si>
    <t>María Camila Idarraga</t>
  </si>
  <si>
    <t>Calle 93#71-117 Paseo del parque t4 apto 814 - Casa</t>
  </si>
  <si>
    <t>314822-9535</t>
  </si>
  <si>
    <t>“Para: MC 
Porque sé que te gustan mucho…🙏🏽”</t>
  </si>
  <si>
    <t xml:space="preserve">Wendy </t>
  </si>
  <si>
    <t xml:space="preserve">Saavedra </t>
  </si>
  <si>
    <t>Catalina Barrios</t>
  </si>
  <si>
    <t>Calle 74 # 38 46 - Edificio</t>
  </si>
  <si>
    <t xml:space="preserve">Felicidades mami. Mereces todo lo bueno de este mundo. Dios siempre trae sus recompensas y esta es una de ellas. </t>
  </si>
  <si>
    <t>Wen</t>
  </si>
  <si>
    <t>Cindy</t>
  </si>
  <si>
    <t xml:space="preserve">Guerrero </t>
  </si>
  <si>
    <t>Cra 48 100 34 - Conjunto</t>
  </si>
  <si>
    <t>Bendito 17,
Feliz aniversario mi amor.
Te Amo hoy, mañana y siempre. MICAELA!</t>
  </si>
  <si>
    <t>Con todo mi amor. Javier</t>
  </si>
  <si>
    <t>Avendaño Polo</t>
  </si>
  <si>
    <t>Myriam Polo</t>
  </si>
  <si>
    <t>Carrera 45 # 53 - 47 Edificio Catedral Plaza - Apto 308 - Edificio</t>
  </si>
  <si>
    <t>No tengo como pagarte lo que te mereces, pero sabes qué eres mi mayor ejemplo de vida! 
Gracias por tanto mamá, que me alcance la vida para retribuirte así sea 1% de todo lo que nos brindas. 
Te deseo un feliz cumpleaños 🎂🎁🎊🎈. 
Te amo con todo mi corazón ♥️</t>
  </si>
  <si>
    <t>Con amor, tu hija Andrea!</t>
  </si>
  <si>
    <t>Gómez</t>
  </si>
  <si>
    <t>cra 78#79c34 - Casa</t>
  </si>
  <si>
    <t>Te extraño mi princesa, nos vemos pronto!!</t>
  </si>
  <si>
    <t>Cortes</t>
  </si>
  <si>
    <t>Patricia Idrovo</t>
  </si>
  <si>
    <t>Cra 42F 75B 124 local 4-5 - Oficina</t>
  </si>
  <si>
    <t>¡Feliz Cumpleaños! 
Que tu 4to quinceañero te traiga solo cosas bellas. Muchos viajes, muchas risas, comidas ricas y momentos felices.</t>
  </si>
  <si>
    <t>Con cariño</t>
  </si>
  <si>
    <t>MARTINEZ</t>
  </si>
  <si>
    <t>LAURA HERRERA</t>
  </si>
  <si>
    <t>CRA 55#79-34 APTO 901 RINCON DEL ALTO PRADO - Edificio</t>
  </si>
  <si>
    <t>Lagos</t>
  </si>
  <si>
    <t>Maria Lagos</t>
  </si>
  <si>
    <t>Calle 68 No 57 13 Apto 10A - Casa</t>
  </si>
  <si>
    <t xml:space="preserve">Cómo cada año, unas flores para recordarte cuánto te queremos y deseamos felicidad para ti, Nina. Feliz cumpleaños. Que sea un año de amor y felicidad. </t>
  </si>
  <si>
    <t>Con amor, Enith y Esteban</t>
  </si>
  <si>
    <t xml:space="preserve">Lesli Sanchez </t>
  </si>
  <si>
    <t>Cra 42C # 90-38 - Casa</t>
  </si>
  <si>
    <t>1× Guacal Surtido Lirio | 1× Vino Blanco Terra Vega</t>
  </si>
  <si>
    <t>Querida Lesli, Dios te bendiga grandemente y te siga conservando con esa energía que te caracteriza.
Te deseamos un feliz cumpleaños.
Agradecidos con tigo siempre</t>
  </si>
  <si>
    <t>Con cariño, Jhon y Sara</t>
  </si>
  <si>
    <t>Por favor me organizan mejor el
Mensaje.</t>
  </si>
  <si>
    <t>Brayam Padilla</t>
  </si>
  <si>
    <t>cra 52#82-109 arrecife apto 501 - Entrega En Tienda</t>
  </si>
  <si>
    <t>Felipe</t>
  </si>
  <si>
    <t>Eusse</t>
  </si>
  <si>
    <t xml:space="preserve">Patry </t>
  </si>
  <si>
    <t>Cra.59#81-149 edificio Lenox apt ph2 - Edificio</t>
  </si>
  <si>
    <t>Feliz cumpleaños!!!! Con muchísimo cariño Felo y Lala</t>
  </si>
  <si>
    <t>linda</t>
  </si>
  <si>
    <t>callejas</t>
  </si>
  <si>
    <t xml:space="preserve">Mariam Ajami </t>
  </si>
  <si>
    <t>Cra 52 # 82 - 212 apto 1001 - Edificio</t>
  </si>
  <si>
    <t>Hola linda 
Te quiero muchísimo. Deseo que la vida te regale siempre motivos para sonreír y que sepas que aquí estoy para ti, hoy y siempre ❤️
COE</t>
  </si>
  <si>
    <t>COE</t>
  </si>
  <si>
    <t>vanessa</t>
  </si>
  <si>
    <t>hoselvis</t>
  </si>
  <si>
    <t>vanessa hoselvis</t>
  </si>
  <si>
    <t>ana sofía</t>
  </si>
  <si>
    <t>suescun</t>
  </si>
  <si>
    <t>ana sofía suescun</t>
  </si>
  <si>
    <t>Luz Marina</t>
  </si>
  <si>
    <t>Estrellita Chams</t>
  </si>
  <si>
    <t>Calle 78 # 57-50 Ap 1A - Edificio</t>
  </si>
  <si>
    <t>Estrellita te amamos no sabes cuánto gracias por todo tu amor infinito y toda la alegría que traes a nuestra familia. Que Diosito te guarde y puedas seguir recuperando tu salud. Feliz cumple!</t>
  </si>
  <si>
    <t>Familia Berastegui Cure</t>
  </si>
  <si>
    <t xml:space="preserve">sonia </t>
  </si>
  <si>
    <t>vargas pérez</t>
  </si>
  <si>
    <t>sonia vargas pérez</t>
  </si>
  <si>
    <t>Duque Sierra</t>
  </si>
  <si>
    <t>Wendy Lengua</t>
  </si>
  <si>
    <t>Conjunto Palmeras del parque apto 529 - Edificio</t>
  </si>
  <si>
    <t>1× Bouquet 12 Rosas blancas</t>
  </si>
  <si>
    <t>Dicen que en medio de la felicidad el tiempo transcurre de manera apresurada, por eso a tu lado el tiempo se me hace tan corto. Te amo 🤍</t>
  </si>
  <si>
    <t>Que quede hermoso</t>
  </si>
  <si>
    <t>Maria paula</t>
  </si>
  <si>
    <t xml:space="preserve">Mendoza Vargas </t>
  </si>
  <si>
    <t>Maria paula Mendoza Vargas</t>
  </si>
  <si>
    <t>Cra 56 # 79-276 Edficio domenico apt 2 - Edificio</t>
  </si>
  <si>
    <t>Amiga bella!!!! 
Hoy celebramos el amor de Fernando y tuyo! Que estas flores sean un pequeño reflejo de la alegria, la ilusion y la bendición tan grande que recibes al unir tu vida con la persona que amas. Le pedimos a papa Dios que sea el centro de su matrimonio, que los guíe con sabiduría, paciencia y ternura y que su amor los cubra en cada paso en los días fáciles y en los retadores. Aquí estamos tus amigas que te amamos celebrándote, agradeciendo a Dios por tu vida y acompañándote con el corazón lleno de alegría. Que este nuevo camino esté lleno de paz, fe y un amor que crezca cada día más. Con muchísimo cariño ! 
Te amamos 
Gaby , maripau , Mariam , Alemart , Andre , Marigaby, cata y nati!</t>
  </si>
  <si>
    <t>Iglesias</t>
  </si>
  <si>
    <t>Ricardo Iglesias</t>
  </si>
  <si>
    <t xml:space="preserve">Sé que a veces puedo cometer muchas pendejadas y fallar, y de verdad te pido perdón por eso. Pero si hay algo que quiero que nunca pongas en duda es que te amo con todo mi corazón y que haré todo lo posible para demostrártelo siempre. </t>
  </si>
  <si>
    <t>Con cariño de Riqui con Q !!</t>
  </si>
  <si>
    <t>artel</t>
  </si>
  <si>
    <t>camilo artel</t>
  </si>
  <si>
    <t>bouquet surtido y solitario girasol</t>
  </si>
  <si>
    <t>Lhizz</t>
  </si>
  <si>
    <t xml:space="preserve"> Cuéllar</t>
  </si>
  <si>
    <t>lizz cuellar</t>
  </si>
  <si>
    <t>Calle 104 # 53-93 Torre 1 apto 1202 Edificio Prestige - Casa</t>
  </si>
  <si>
    <t>314 3302416</t>
  </si>
  <si>
    <t>arreglo surtido en un icopor en flores como foto</t>
  </si>
  <si>
    <t xml:space="preserve">sergio </t>
  </si>
  <si>
    <t>ortega</t>
  </si>
  <si>
    <t>sergio ortega</t>
  </si>
  <si>
    <t xml:space="preserve">yeimer </t>
  </si>
  <si>
    <t>yeimer herrera</t>
  </si>
  <si>
    <t>María Andrea</t>
  </si>
  <si>
    <t>Tatis Solano</t>
  </si>
  <si>
    <t>Sharon Acosta - pero primero a Yamile Posada</t>
  </si>
  <si>
    <t>Cra. 52 #72-46, Nte. Centro Historico, Barranquilla, Atlántico - Centro Comercial</t>
  </si>
  <si>
    <t>Reina,
¡Te deseamos éxitos en tu coronación! Sabemos que vas a brillar y contagiar a toda Barranquilla con tu alegría. Estamos felices de acompañarte en este día tan especial.</t>
  </si>
  <si>
    <t>Marfil</t>
  </si>
  <si>
    <t>Colores fuertes es para la reina del carnaval de los niños</t>
  </si>
  <si>
    <t>Cristy</t>
  </si>
  <si>
    <t>Torrents</t>
  </si>
  <si>
    <t>Cristy Torrents</t>
  </si>
  <si>
    <t>Cra 57 no 84 - 155 - Casa</t>
  </si>
  <si>
    <t>1× Mini Box Hortensias y Mini Rosa | 1× Mini Box Surtida</t>
  </si>
  <si>
    <t xml:space="preserve">Karen González </t>
  </si>
  <si>
    <t>calle 99#65-64 gratia torre 5 apto 203 - Casa</t>
  </si>
  <si>
    <t>Celebramos su vida y su liderazgo. Que este nuevo año le regale motivos infinitos para sonreír. ¡Feliz cumpleaños!</t>
  </si>
  <si>
    <t>Equipo Corpoplastic</t>
  </si>
  <si>
    <t>Aldo Barreto Velásquez</t>
  </si>
  <si>
    <t>clara ines</t>
  </si>
  <si>
    <t>niño</t>
  </si>
  <si>
    <t>ana mercedez</t>
  </si>
  <si>
    <t>calle 64# 44-76 casa - Casa</t>
  </si>
  <si>
    <t>"¡Feliz cumpleaños! 🎉 Noventa y dos años y todavía no te has rendido (aunque entendemos que es un logro estar tan bella). Eres un ejemplo de que la edad es solo un número... y que el sarcasmo es una virtud que nunca pasa de moda.  Juan B</t>
  </si>
  <si>
    <t xml:space="preserve">Caterine </t>
  </si>
  <si>
    <t xml:space="preserve">Arcia </t>
  </si>
  <si>
    <t xml:space="preserve">Karla Perdomo y bebé Jesús </t>
  </si>
  <si>
    <t>Cra 65 #99-109 torre 3 apto 717 - Casa</t>
  </si>
  <si>
    <t>Familia Afanador Arcia</t>
  </si>
  <si>
    <t>Felicidades por esta nueva etapa, estamos felices de acompañarlos en esta nueva aventura, bienvenido al mundo bebé Jesús, felicidades a esa mamá berraca, felicidades a toda la familia Orlando y Amando 
El amor se multiplica</t>
  </si>
  <si>
    <t xml:space="preserve">Yulianis </t>
  </si>
  <si>
    <t xml:space="preserve">Yulianis López </t>
  </si>
  <si>
    <t>Calle 84#42b1-78 Nogales casa - Casa</t>
  </si>
  <si>
    <t>“Por la dicha de estar viva y vivir agradecida! 
Celebro tu vida hoy y siempre💖
Felices 28 loml 
22/01/2026”
El mensaje que tenga fecha del 22 por favor, el pedido es para el 21 pero que la tarjeta diga 22/01/2026</t>
  </si>
  <si>
    <t>El mensaje que tenga fecha del 22 por favor, el pedido es para el 21 pero que la tarjeta diga 22/01/2026</t>
  </si>
  <si>
    <t>Calle 114 No 42-300</t>
  </si>
  <si>
    <t>Apto 404 T 6 - Conjunto</t>
  </si>
  <si>
    <t xml:space="preserve">Feliz cumpleaños Rox, mis mejores deseos en este día </t>
  </si>
  <si>
    <t>Con cariño Fer</t>
  </si>
  <si>
    <t>Enviar a las 10: 00 am</t>
  </si>
  <si>
    <t>olga</t>
  </si>
  <si>
    <t>olga rueda</t>
  </si>
  <si>
    <t>flores suritdas</t>
  </si>
  <si>
    <t>insignares</t>
  </si>
  <si>
    <t>claudia insignares</t>
  </si>
  <si>
    <t>cra 51#76-175 apto 301 - Casa</t>
  </si>
  <si>
    <t>bases grises prestadas,con flores guardadas en cuarto frío</t>
  </si>
  <si>
    <t xml:space="preserve">danka </t>
  </si>
  <si>
    <t xml:space="preserve">: hellen Weddeking </t>
  </si>
  <si>
    <t>Cra 53 no 132- 173  conjunto Mónaco   villa - Casa</t>
  </si>
  <si>
    <t>Amiga linda 
Deseamos  que este nuevo año te regale paz, salud  y muchos momentos que iluminen tus días. 
Admiramos tu fortaleza y tu corazón valiente. 
Aquí estamos para  ti, hoy y siempre. 
Te queremos mucho 
Happy Birthday 
La rosca</t>
  </si>
  <si>
    <t>MariaEmma</t>
  </si>
  <si>
    <t>Crespo</t>
  </si>
  <si>
    <t>Julia Charris</t>
  </si>
  <si>
    <t>Calle 80 # 42 D1 - 80 - Casa</t>
  </si>
  <si>
    <t>301 3526753</t>
  </si>
  <si>
    <t>Juli: feliz cumpleaños. Un abrazo grande</t>
  </si>
  <si>
    <t>Willy, Mary y Angela</t>
  </si>
  <si>
    <t>Mailyn</t>
  </si>
  <si>
    <t xml:space="preserve"> ching</t>
  </si>
  <si>
    <t xml:space="preserve"> mailyn ching.</t>
  </si>
  <si>
    <t>Habitacion 1508 HOTEL BARRANQUILLA PLAZA - Casa</t>
  </si>
  <si>
    <t xml:space="preserve">Steffy </t>
  </si>
  <si>
    <t>Lindemeyer</t>
  </si>
  <si>
    <t>Steffy Lindemeyer</t>
  </si>
  <si>
    <t>ID de la orden
2420218875</t>
  </si>
  <si>
    <t xml:space="preserve"> Ricardo</t>
  </si>
  <si>
    <t>Adriana Ricardo</t>
  </si>
  <si>
    <t>3013971458,</t>
  </si>
  <si>
    <t>ID de la orden
2420206190</t>
  </si>
  <si>
    <t>Jennifer Barba</t>
  </si>
  <si>
    <t>Cr57#99A-65 Torre sur oficina 903 - Edificio</t>
  </si>
  <si>
    <t>Por favor enviar antes de Medio dia</t>
  </si>
  <si>
    <t>Con cariño tu esposo, feliz cumpleaños</t>
  </si>
  <si>
    <t>Gina</t>
  </si>
  <si>
    <t xml:space="preserve">Perez </t>
  </si>
  <si>
    <t>Rosaura</t>
  </si>
  <si>
    <t>Calle 80B No 42D 191 - Edificio</t>
  </si>
  <si>
    <t xml:space="preserve">Felicitaciones! Te deseo lo mejor en esta nueva etapa. Súper orgullosa de ti. Te amo </t>
  </si>
  <si>
    <t>Con amor Gina</t>
  </si>
  <si>
    <t xml:space="preserve">ALBERTO </t>
  </si>
  <si>
    <t>SALEZAR ESTRADA</t>
  </si>
  <si>
    <t>ELIZABETH PINO</t>
  </si>
  <si>
    <t>HOTEL DANN CARLTON HABT,410 - Casa</t>
  </si>
  <si>
    <t>1× Corazón Grande Rosas | 1× Oso de Peluche</t>
  </si>
  <si>
    <t>AMADA,HERMOS,BELLA Y LEAL,ESPOSA MÍA,RECIBE ESTE DETALLE EN HONOR EN TU CUMPLEAÑOS CON UN AMOR INMENSO Y TOTAL DE LA MANO DE DIOS EN ESTE DÉ 20 DE ENERO DEL 2026.
TE AMO,
ALBERTO</t>
  </si>
  <si>
    <t>Marianne</t>
  </si>
  <si>
    <t>Martinez Gallego</t>
  </si>
  <si>
    <t>Daniella Martinez Gallego</t>
  </si>
  <si>
    <t>Transversal 57#99-180 - Apto 1003 - Edificio</t>
  </si>
  <si>
    <t>Happy 30th birthday! 
Que la pases muy bien en tu dia
Te adoro!</t>
  </si>
  <si>
    <t>Con mucho cariño, Monita</t>
  </si>
  <si>
    <t>Yanibis</t>
  </si>
  <si>
    <t>Alian</t>
  </si>
  <si>
    <t>YANIBIS ALIAN</t>
  </si>
  <si>
    <t>Zona Franca</t>
  </si>
  <si>
    <t>ZONA FRANCA ZOFIA KM 114 V/CORD MZ 20 LOTE 318 - Casa</t>
  </si>
  <si>
    <t>¡Feliz cumpleaños, Angeles! Esperamos que este nuevo año de vida le traiga mucha salud, éxitos y alegrías junto a sus seres queridos. Gracias por su liderazgo y por el apoyo que nos brinda siempre al equipo.</t>
  </si>
  <si>
    <t>Con cariño, áreas administrativas y financieras.</t>
  </si>
  <si>
    <t>Juliette</t>
  </si>
  <si>
    <t xml:space="preserve">Santiago Celis </t>
  </si>
  <si>
    <t xml:space="preserve">Edificio el condado </t>
  </si>
  <si>
    <t>Carrera 51b #82-97 apt 3c, edificio el condado - Casa</t>
  </si>
  <si>
    <t>Gracias, chiqui, por darme la oportunidad de ser parte del grupo folclórico Bambazú.
Tal vez no hayas obtenido una recompensa económica, pero has ganado algo inmensamente valioso: el respeto, la admiración y el cariño de todos los que tenemos el privilegio de conocerte.
Gracias por tu entrega incansable en preservar nuestra cultura, nuestras tradiciones y la danza que da vida a nuestro carnaval.</t>
  </si>
  <si>
    <t>Con cariño, Juliette Santiago</t>
  </si>
  <si>
    <t>El box surtido que sea con colores: amarillo, rojo y naranja.</t>
  </si>
  <si>
    <t xml:space="preserve">SUGEY </t>
  </si>
  <si>
    <t xml:space="preserve">ESCOBAR </t>
  </si>
  <si>
    <t>STEFANIA RUIZ</t>
  </si>
  <si>
    <t>CR 49C 82 70 - Edificio</t>
  </si>
  <si>
    <t>¡Feliz cumpleaños!
Aunque fue el día de ayer, queremos desearte un año lleno de éxitos, crecimiento profesional y grandes logros para tu vida.
Nos agrada contar contigo en este equipo y te deseamos lo mejor de parte del Grupo financiero.
Con aprecio,
Tus compañeros.</t>
  </si>
  <si>
    <t>con aprecio equipo financiero</t>
  </si>
  <si>
    <t>preguntar por sugey en el edifio clinica bonnadona recepcion.</t>
  </si>
  <si>
    <t>Andrea Segovia</t>
  </si>
  <si>
    <t>Cl. 94 #51B - 57 edificio Movich - Oficina</t>
  </si>
  <si>
    <t>310 5972280</t>
  </si>
  <si>
    <t>Tenerte en mi vida es el privilegio más grande. Mi corazón vive lleno de amor.
Feliz cumpleaños, Pechi.</t>
  </si>
  <si>
    <t>Tu flaca</t>
  </si>
  <si>
    <t>villegas</t>
  </si>
  <si>
    <t xml:space="preserve">Yesenia Aristizabal </t>
  </si>
  <si>
    <t>Cl 98 # 65A-54 Torre 2 apto 402 BRISAS DEL RIO - Edificio</t>
  </si>
  <si>
    <t>Para: Yess
Quiero agradecerte mucho por permitirme compartir contigo estos últimos 5 meses. Ha sido una experiencia increíble y has demostrado ser una persona con muchas cosas buenas. Gracias le doy a Dios por eso.</t>
  </si>
  <si>
    <t>andres</t>
  </si>
  <si>
    <t>andres guzman</t>
  </si>
  <si>
    <t>2420237323 rappi</t>
  </si>
  <si>
    <t>de la peña</t>
  </si>
  <si>
    <t>Jose de la peña</t>
  </si>
  <si>
    <t>GENOVEVA</t>
  </si>
  <si>
    <t>CRIALES</t>
  </si>
  <si>
    <t>heydi barrera</t>
  </si>
  <si>
    <t>calle 98 No 65A-54. Ap 1301- torre 1 . - Casa</t>
  </si>
  <si>
    <t>Mi amor , quiero decirte que te amo y te necesito en mi vida . Le pido a Dios que nos guíe y nos dé la sabiduría necesaria para sobrepasar las diferencias y convertirlas en fortalezas por el bien de nuestra relación y de la familia que quiero construir contigo . 
Te amo como ha nada en la vida , eres mi luz y mi verdadera felicidad .
Jei</t>
  </si>
  <si>
    <t xml:space="preserve">Rodríguez Mejía </t>
  </si>
  <si>
    <t>Marcela y Karen</t>
  </si>
  <si>
    <t>Calle 91#64-58 edificio El Trébol, Apto 43B - Edificio</t>
  </si>
  <si>
    <t xml:space="preserve">Para Marcela y Karen
</t>
  </si>
  <si>
    <t>Con cariño, Santiago!</t>
  </si>
  <si>
    <t xml:space="preserve">Nicolle </t>
  </si>
  <si>
    <t xml:space="preserve">Ramírez </t>
  </si>
  <si>
    <t xml:space="preserve">Rosaura de León </t>
  </si>
  <si>
    <t>Edificio Caribe - Edificio</t>
  </si>
  <si>
    <t>Feliz cumpleaños, Rous. 
Tu amistad es un regalo enorme en mi vida.
Que este año venga lleno de luz para ti.</t>
  </si>
  <si>
    <t>Con cariño, Nico</t>
  </si>
  <si>
    <t>Bouquet surtido de 60.000</t>
  </si>
  <si>
    <t>Nancy Teran</t>
  </si>
  <si>
    <t>Los Andes</t>
  </si>
  <si>
    <t>Calle 59 #24 - 133 - Casa</t>
  </si>
  <si>
    <t>1× Marquito 12 Rosas | 1× Topper Happy Birthday</t>
  </si>
  <si>
    <t>Estas flores llevan lo que no sé decir,
un gesto sencillo, un sentimiento sincero,
para ti, que das color a mis días.</t>
  </si>
  <si>
    <t>Con cariño Mario</t>
  </si>
  <si>
    <t>Gonzalez Perez</t>
  </si>
  <si>
    <t>Maria Angelica Gonzalez Perez</t>
  </si>
  <si>
    <t>Calle 85#49c-37 tienda la 50 - Casa</t>
  </si>
  <si>
    <t>Feliz cumpleaños señora tinto.</t>
  </si>
  <si>
    <t>Con cariño, angie.</t>
  </si>
  <si>
    <t>Quiero que el arreglo llegue a las 3:00 pm.</t>
  </si>
  <si>
    <t>Sanabria</t>
  </si>
  <si>
    <t>Alejandra Álvarez Correa</t>
  </si>
  <si>
    <t>Carrera 52 # 100-105 - Casa</t>
  </si>
  <si>
    <t>Mi vida, 
Eres el amor de mi vida, la mujer con la que me quiero casar, la mamá de mis hijos, y solo busco hacerte la mujer más feliz de mundo.
Nos enfrentaremos a muchos retos en nuestra relación, pero lo importante es que los enfrentemos juntos porque así se construye una relación sólida y estable como la nuestra. 
Prometo siempre trabajar por lo nuestro y hacer todos los esfuerzos que tenga que hacer para corresponder a tu amor, y hacerte sentir como la mujer más feliz y afortunada del mundo. 
Me muero por ti y me siento el hombre más afortunado del mundo por tenerte en mi vida.</t>
  </si>
  <si>
    <t>Te amo,</t>
  </si>
  <si>
    <t xml:space="preserve">Andrés </t>
  </si>
  <si>
    <t xml:space="preserve">Zuluaga Bravo </t>
  </si>
  <si>
    <t>Andrés Zuluaga Bravo</t>
  </si>
  <si>
    <t>En este día le queremos dar gracias a Dios por permitir que todo haya salido de excelente manera, eres muy especial para nosotros y muy valiosa, gracias por ser muy buena madre, amiga, hermana, hija, te amamos y le damos gracias a Dios de tenerte nuevamente en casa para seguir disfrutando de tu presencia🤍</t>
  </si>
  <si>
    <t>Con cariño Andrés y Sthefy🤍</t>
  </si>
  <si>
    <t xml:space="preserve">Jesús </t>
  </si>
  <si>
    <t>Cervantes Castillo</t>
  </si>
  <si>
    <t>Angie Orejarena</t>
  </si>
  <si>
    <t>Carrera 38a#74b-74 #201 - Casa</t>
  </si>
  <si>
    <t xml:space="preserve">Flores, porque sí, sin motivo alguno. </t>
  </si>
  <si>
    <t>Con mucho amor, Jesús</t>
  </si>
  <si>
    <t xml:space="preserve">Ana Gabriela </t>
  </si>
  <si>
    <t xml:space="preserve">Campo </t>
  </si>
  <si>
    <t xml:space="preserve">Sharina Méndez </t>
  </si>
  <si>
    <t>El Limón</t>
  </si>
  <si>
    <t>Cra 7c #33-107 - Casa</t>
  </si>
  <si>
    <t>Aunque esté lejos nunca dejaré que pase en blanco esa fecha tan especial 
Gracias por ser mi 911 
FELIZ CUMPLEAÑOS ❤️ te quiero mucho</t>
  </si>
  <si>
    <t>Con cariño: Gabi</t>
  </si>
  <si>
    <t>Fadia</t>
  </si>
  <si>
    <t>Saade Karut</t>
  </si>
  <si>
    <t>Margarita Gutierrez</t>
  </si>
  <si>
    <t>Cra 57 # 96-47 Apto 301 - Edificio</t>
  </si>
  <si>
    <t>Feliz cumpleaños a la mamá y esposa mas especial del mundo! Que Dios te bendiga y te proteja hoy y siempre! Te amamos y te extrañamos mucho ❤️</t>
  </si>
  <si>
    <t>Con mucho cariño, Juan Ma y Juan K</t>
  </si>
  <si>
    <t>valentina</t>
  </si>
  <si>
    <t>arevalo</t>
  </si>
  <si>
    <t>michelle bernier</t>
  </si>
  <si>
    <t>calle 99 #48-19 - Casa</t>
  </si>
  <si>
    <t>Feliz cumpleaños mi vida, te mereces el mundo entero 
te amo</t>
  </si>
  <si>
    <t>-V</t>
  </si>
  <si>
    <t>de ser posible entregar antes de medio dia por favor</t>
  </si>
  <si>
    <t>Daniela Herrera</t>
  </si>
  <si>
    <t>Con cariño, SIMBA SAS</t>
  </si>
  <si>
    <t>Ramirez</t>
  </si>
  <si>
    <t>Carrera 52c # 94 - 17</t>
  </si>
  <si>
    <t>apt 904 - Casa</t>
  </si>
  <si>
    <t>Felicitaciones, mi amor, por ser una persona tan dedicada e inteligente. Me llena de orgullo verte alcanzar tus metas. Que la Virgen siga iluminando tu camino y te guíe siempre hacia el éxito. Te lo mereces todo.</t>
  </si>
  <si>
    <t>Con cariño Santiago</t>
  </si>
  <si>
    <t>Virgen milagrosa y flores coloridas</t>
  </si>
  <si>
    <t xml:space="preserve">martha </t>
  </si>
  <si>
    <t>María Alejandra Molina</t>
  </si>
  <si>
    <t>Cra 52#106-213 apto 1210 torre 2 edificio Oceana 52 - Edificio</t>
  </si>
  <si>
    <t>Calle 3a # 25-66 - Edificio</t>
  </si>
  <si>
    <t>Feliz aniversario mi amor lindo</t>
  </si>
  <si>
    <t>ana maria</t>
  </si>
  <si>
    <t>ana maria suarez</t>
  </si>
  <si>
    <t>300 3476056</t>
  </si>
  <si>
    <t xml:space="preserve">Daimer </t>
  </si>
  <si>
    <t>Catherine gomez</t>
  </si>
  <si>
    <t>Cr 20 #45b-86 casa de dos pisos - Casa</t>
  </si>
  <si>
    <t xml:space="preserve">Lo siento </t>
  </si>
  <si>
    <t>vicente</t>
  </si>
  <si>
    <t>caiafa</t>
  </si>
  <si>
    <t>vicente caiafa</t>
  </si>
  <si>
    <t>Corbacho</t>
  </si>
  <si>
    <t>Dayanna Escorcia</t>
  </si>
  <si>
    <t>Calle 1D - 20 - 45 torre 1 apto 701 ciudad mallorquin edificio el alba - Edificio</t>
  </si>
  <si>
    <t>Feliz cumpleaños mi reina hermosa
Te Amo!</t>
  </si>
  <si>
    <t>Tu Esposo</t>
  </si>
  <si>
    <t>Calle 1D - 20 - 45 torre 1 apto 701 ciudad mallorquin edificio "El alba"</t>
  </si>
  <si>
    <t>Kudha Solutions</t>
  </si>
  <si>
    <t>Silvana Tarud</t>
  </si>
  <si>
    <t>cra. 58 #96 - 106 edificio artefacto apto 13b - Edificio</t>
  </si>
  <si>
    <t>lleva carta</t>
  </si>
  <si>
    <t xml:space="preserve">Lauren Fernandez </t>
  </si>
  <si>
    <t>Calle 106 # 50-67 ofc 205 A gran boulevard centro de eventos - Oficina</t>
  </si>
  <si>
    <t>Feliz cumpleaños Lau 💗
Así como estas flores, que tu vida esté siempre llena de color y alegría.</t>
  </si>
  <si>
    <t>Con cariño papi, Naty y Ruth</t>
  </si>
  <si>
    <t>Que porfa las flores lleguen entre 8:30 y 11:00 am</t>
  </si>
  <si>
    <t>Rosado</t>
  </si>
  <si>
    <t>martha Rosado</t>
  </si>
  <si>
    <t>300 8305726</t>
  </si>
  <si>
    <t>rusco y hortensias</t>
  </si>
  <si>
    <t>De la Hoz</t>
  </si>
  <si>
    <t>Maria De la Hoz</t>
  </si>
  <si>
    <t>Daniela Ruiz</t>
  </si>
  <si>
    <t>cra 51 # 106 - 252 apto 808 Daniela Ruiz “Castellana 51” ( al lado de makro , bajando la 51 antes de llegar a la circunvalar)</t>
  </si>
  <si>
    <t>1× Mini Box Hortensias y Mini Rosa | 1× Mini Box Orquidea</t>
  </si>
  <si>
    <t>Feliz cumpleaños miamor. 
Te amo mucho.</t>
  </si>
  <si>
    <t>Henry :)</t>
  </si>
  <si>
    <t xml:space="preserve">Caballero </t>
  </si>
  <si>
    <t>Cra 59 no. 81-149 Edificio Lennox - Edificio</t>
  </si>
  <si>
    <t xml:space="preserve">Zuluaga </t>
  </si>
  <si>
    <t>Feliz Cumpleaños Amor de mi vida, que sean muchos más a tu lado! 
Te amamos mucho ❤️
A&amp;Gael</t>
  </si>
  <si>
    <t>Dulce Serrano</t>
  </si>
  <si>
    <t>Carrera 75 # 78-54 - Edificio</t>
  </si>
  <si>
    <t>CON MUCHO ANOR</t>
  </si>
  <si>
    <t>ricardo esteban afanador</t>
  </si>
  <si>
    <t>clle 38 # 41-36 joyería cristales - Casa</t>
  </si>
  <si>
    <t>De : Alba 
Para : Ricardo Esteban
Mi Amor hoy celebramos 25 años de tu vida y siento una gratitud inmensa. Eres mi orgullo, mi alegría y una de las razones más grandes de mi felicidad. Ser tu mamá ha sido el regalo más hermoso que Dios  me ha dado.
Me llena el corazón verte crecer, convertirte en el hombre que eres, con valores, fortaleza y un corazón noble. Cada logro tuyo lo siento como propio, y cada paso que das me recuerda lo bendecida que soy por tenerte como hijo.
Dios y la Virgen te bendigan y te guarden siempre y te concedan  todos los anhelos y sueños que desean. 
FELIZ CUMPLEAÑOS MI AMOR 🌻❤️
TE AMA MAMÁ 
Mas de lo que las palabras pueden decir.
20 enero / 26</t>
  </si>
  <si>
    <t>CAJA CON TAPA GRANDE,PONERLE TRES STELLAS,FLORES TONOS MASCULINOS,SUPER WAOOOOO... TOPPER HBD</t>
  </si>
  <si>
    <t>paula angulo</t>
  </si>
  <si>
    <t>hotel country internacional cra 52 con 75 - Edificio</t>
  </si>
  <si>
    <t>Stephany</t>
  </si>
  <si>
    <t xml:space="preserve">Lara </t>
  </si>
  <si>
    <t>Cra 57 # 99 - 180 apto 1001 - Casa</t>
  </si>
  <si>
    <t>Te amo mami y maru</t>
  </si>
  <si>
    <t>Stephy</t>
  </si>
  <si>
    <t>Q sea igual a la foto</t>
  </si>
  <si>
    <t xml:space="preserve">George </t>
  </si>
  <si>
    <t xml:space="preserve">González </t>
  </si>
  <si>
    <t xml:space="preserve">Liseth herrera de González </t>
  </si>
  <si>
    <t>Cll78b #41D-29   Apto 1602 - Edificio</t>
  </si>
  <si>
    <t>317 5748630</t>
  </si>
  <si>
    <t xml:space="preserve">Feliz cumpleaños a mi reina más hermosa </t>
  </si>
  <si>
    <t>Con cariño ft_george</t>
  </si>
  <si>
    <t>Entrega estimada 9 am 
Llegando al edificio</t>
  </si>
  <si>
    <t>isabel</t>
  </si>
  <si>
    <t>tcherassi</t>
  </si>
  <si>
    <t>Isabella Tcherassi</t>
  </si>
  <si>
    <t>Cra 58 # 81-160 / Edificio Bosques Del Golf / Apt 6 - Edificio</t>
  </si>
  <si>
    <t>Feliz Cumpleaños Mami!</t>
  </si>
  <si>
    <t>Manuel</t>
  </si>
  <si>
    <t xml:space="preserve">Hoy cumplen los ojos más lindos que hay en la tierra </t>
  </si>
  <si>
    <t>Giovanny</t>
  </si>
  <si>
    <t xml:space="preserve"> Vega </t>
  </si>
  <si>
    <t xml:space="preserve">Jeanne Carvajalino   </t>
  </si>
  <si>
    <t>) Carrera 59- #96 - 06  Edificio CHATEAU - Edificio</t>
  </si>
  <si>
    <t xml:space="preserve">  Unas rosas para alguien que, sin querer, ya hizo mis días más bonitos ...GRACIAS POR EXISTIR !.....   Gio Vega</t>
  </si>
  <si>
    <t>caja mediana redonda topiario rosas rojas</t>
  </si>
  <si>
    <t>vanessa gonzález</t>
  </si>
  <si>
    <t xml:space="preserve">Mayra Alejandra </t>
  </si>
  <si>
    <t>Gutierrez Perez</t>
  </si>
  <si>
    <t>Malory Florez</t>
  </si>
  <si>
    <t>Cra. 43 #74 - 179 Piso1 Pladani - Oficina</t>
  </si>
  <si>
    <t>a mi mejor amiga!!! feliz cumpleaños que Dios te bendiga siempre ... que la vida te siga regalando todo lo bonito que das, yo se por todo lo que has pasado y que a pesar de todo eso sigues adelante con la mejor actitud, de eso se trata la vida ! eres una excelente mama, hermana, hija, que estos 365 dias mas sean una bendicion constate, Hemos crecido juntas, llorado juntas, reído hasta que dolía el estómago y nos hemos sostenido incluso en los momentos más difíciles. Te amo con todo mi corazón</t>
  </si>
  <si>
    <t>Laura y Juliana.</t>
  </si>
  <si>
    <t xml:space="preserve">carolina </t>
  </si>
  <si>
    <t>correa</t>
  </si>
  <si>
    <t>carolina correa</t>
  </si>
  <si>
    <t>Naty, junto con este corazón de rosas quería decirte un par de cosas. No soy el hombre perfecto ni nada por el estilo; he cometido y seguramente cometeré errores en el tiempo que esté a tu lado. Errores que quizá te hayan hecho sentir mal o, incluso, llorar, y solo el saber eso me lastima por dentro porque, como tu novio, lo que menos quiero es verte triste, y mucho menos si soy yo el culpable. Te pido perdón por eso; nunca ha sido mi intención que algo así pase.
Aunque no soy el hombre perfecto, siempre me esfuerzo en tratar de ser TU hombre perfecto. No tienes ni idea de lo mucho que te amo y de lo presente que estás en mis pensamientos cada día. Cada detalle, cada ramo que te doy, lo hago con todo el cariño del mundo. Siempre pienso en qué puedo darte la próxima vez que te vea, porque quiero que sientas que tienes a un hombre detallista, que te ama y que piensa en ti.
Dicho todo esto, solo quiero agradecerte por hacerme sentir el hombre más afortunado del mundo a tu lado. Mis días son más bonitos desde que estás en mi vida. Gracias por tu amor, por tu paciencia y por estar conmigo. Te amo y te extraño como no te imaginas. Y para concluir esta carta: ¡feliz mes, mi amor!
Con mucho amor,  
Sebastián.
PD: Contando los días para volver a ver esos bellos ojitos.</t>
  </si>
  <si>
    <t>Jissel marina</t>
  </si>
  <si>
    <t>Fontalvo meza</t>
  </si>
  <si>
    <t>Cemida meza</t>
  </si>
  <si>
    <t>Calle 3A#23-40 torre 1 apartamento 14-03 tajamares de Villa campestre - Edificio</t>
  </si>
  <si>
    <t>Con cariño, Jeanpi y jisse</t>
  </si>
  <si>
    <t xml:space="preserve">leisy </t>
  </si>
  <si>
    <t>castaño</t>
  </si>
  <si>
    <t>leisy castaño</t>
  </si>
  <si>
    <t xml:space="preserve">TATIANA </t>
  </si>
  <si>
    <t xml:space="preserve">ABELLO </t>
  </si>
  <si>
    <t xml:space="preserve">TATIANA ABELLO CRIALES </t>
  </si>
  <si>
    <t>CRA 52B # 94-103 - Entrega En Tienda</t>
  </si>
  <si>
    <t>Querida Dianipat,
Hoy queremos celebrar contigo esta etapa que culminas y decirte lo orgullosos que estamos de ti.
Tu valentía, tu fortaleza y la actitud con la que enfrentaste este proceso nos ha dado una gran lección.
Sabemos que aún hay camino por recorrer, pero esta victoria merece ser celebrada, con flores y con todo nuestro amor.
Gracias por inspirarnos tanto. Seguimos contigo, paso a paso. 💛</t>
  </si>
  <si>
    <t>Te queremos!! Con amor, tu familia.</t>
  </si>
  <si>
    <t xml:space="preserve">Didier </t>
  </si>
  <si>
    <t xml:space="preserve">Paba </t>
  </si>
  <si>
    <t xml:space="preserve">Jonaha chamorro </t>
  </si>
  <si>
    <t>Centro comercial el viva Ambiente Gourmet, local 125 - Centro Comercial</t>
  </si>
  <si>
    <t>Eres mucho cielo , para un infierno como yo :3</t>
  </si>
  <si>
    <t>Corazón de melón :3</t>
  </si>
  <si>
    <t xml:space="preserve">Eusebio </t>
  </si>
  <si>
    <t>Alexandra Jimenez</t>
  </si>
  <si>
    <t>pradomar</t>
  </si>
  <si>
    <t>Calle 1D#16B-76 - Casa</t>
  </si>
  <si>
    <t>Perder el miedo no significa que no duela, significa creer que, aunque hoy no entendamos, Dios sí ve el panorama completo.
Te quiero mamita</t>
  </si>
  <si>
    <t>Eusebio</t>
  </si>
  <si>
    <t>Arreglo con mucho cariño, separación. Gracias!</t>
  </si>
  <si>
    <t>Abate</t>
  </si>
  <si>
    <t>Bethsy Mercado</t>
  </si>
  <si>
    <t>Cra 44 #84-126 edificio Verona apto 804 - Edificio</t>
  </si>
  <si>
    <t>Para recordarte que eres fuerte, valiosa y muy amada. Estoy contigo hoy y siempre. Todo irá mejor, paso a paso. Te amo BOI</t>
  </si>
  <si>
    <t>Andres Abate</t>
  </si>
  <si>
    <t>MOISÉS ALBERTO CORONELL CORONELL</t>
  </si>
  <si>
    <t>calle 117b #34-115 - Casa</t>
  </si>
  <si>
    <t>1xFLORA BOX MEDIANA TOPIARIO</t>
  </si>
  <si>
    <t>Otro mes y yo sigo amándote igual.</t>
  </si>
  <si>
    <t>Aldair Molina</t>
  </si>
  <si>
    <t>ANDRW</t>
  </si>
  <si>
    <t>ECHEVERRÍA</t>
  </si>
  <si>
    <t>ANDRW ECHEVERRÍA</t>
  </si>
  <si>
    <t>juan salcedo</t>
  </si>
  <si>
    <t>Komercado</t>
  </si>
  <si>
    <t>sas</t>
  </si>
  <si>
    <t>Stephanie Bruges</t>
  </si>
  <si>
    <t>CR 57 N 99-60 Edf Palmetto Towers apto 1503 - Edificio</t>
  </si>
  <si>
    <t>Para mi amada esposa. 
Mi compañera de vida. 
Te amo.</t>
  </si>
  <si>
    <t>Andres Consuegra</t>
  </si>
  <si>
    <t xml:space="preserve">Garcia </t>
  </si>
  <si>
    <t xml:space="preserve">Lizethe Leal </t>
  </si>
  <si>
    <t>Carrera 72 # 91a-100 edificio palmeras del parque alto 1031 - Edificio</t>
  </si>
  <si>
    <t>Serán los mejores papás del mundo. 
Gracias por hacerme tía.</t>
  </si>
  <si>
    <t>Con amor, Dani ❤️</t>
  </si>
  <si>
    <t>Guagibi cafarzuza</t>
  </si>
  <si>
    <t>Calle 84b # 41a-19 - Edificio</t>
  </si>
  <si>
    <t>guacal surtido flores blancas,lleva virgen que trajo el cliente</t>
  </si>
  <si>
    <t>Marco</t>
  </si>
  <si>
    <t>Marco Valencia</t>
  </si>
  <si>
    <t>dos jarrones</t>
  </si>
  <si>
    <t>Jhoyse</t>
  </si>
  <si>
    <t>Silvana Rodriguez</t>
  </si>
  <si>
    <t>Calle 2 #5-45 Puerto Colombia</t>
  </si>
  <si>
    <t xml:space="preserve">Feliz cumpleaños Silvana, que la vida siempre le sonría. </t>
  </si>
  <si>
    <t>Con cariño, Jhoyse.</t>
  </si>
  <si>
    <t>Por favor si no abren por la puerta principal, entregar por el portón, Puerto Colombia cerca al Muelle 1888</t>
  </si>
  <si>
    <t>300 6385517</t>
  </si>
  <si>
    <t>1× Bouquet 12 Rosas</t>
  </si>
  <si>
    <t>Como estas flores, que tu día esté lleno de color, amor y belleza. Feliz cumpleaños a la mujer que hace mi mundo más bonito.
Te amo, princesa</t>
  </si>
  <si>
    <t>Tú próximo esposo</t>
  </si>
  <si>
    <t>Comunicarse conmigo para el color de las rosas porfa :)</t>
  </si>
  <si>
    <t>Ballestas Iglesias</t>
  </si>
  <si>
    <t>Angelina Caputo</t>
  </si>
  <si>
    <t>Carrera 56 # 96-52 - Edificio</t>
  </si>
  <si>
    <t>Los acompaño de corazón, con cariño y oración en estos momentos. Que el amor y los recuerdos que compartieron juntas llenen tu corazón de paz y te den consuelo hoy y siempre.
Con mucho cariño,
July</t>
  </si>
  <si>
    <t>July</t>
  </si>
  <si>
    <t>Las flores son para un detalle de condolencias, porfa que los colores sean todos blancos y verdes. NADA DE FLORES DE COLORES NI PASTELES. Porfavor enviarme fotos antes de despachar las flores y necesito factura electronica de venta 
Datos para facturacion electronica:
CC: 1001817657
Juliana Ballestas Iglesias
3114317772
ballestasjuliana@gmail.com
Cra 59 #81-49</t>
  </si>
  <si>
    <t xml:space="preserve">Mireya </t>
  </si>
  <si>
    <t>González</t>
  </si>
  <si>
    <t xml:space="preserve"> Jenifer</t>
  </si>
  <si>
    <t>calle 96 # 71-165 conjunto altares torre 3 A apartamento 1001 - Edificio</t>
  </si>
  <si>
    <t>1× Bouquet 50 Rosas Rosadas</t>
  </si>
  <si>
    <t>Happy Birthday, mi amor. Even from the other side of the world, my heart is with you today and always. I can’t wait to celebrate you properly when we’re together again. Every second passed is a second closer you having you back in my arms- Adam
De : Adam 
para : Jenifer Te amo</t>
  </si>
  <si>
    <t>BOUQUET CON ROSAS ROSADAS CLARITAS</t>
  </si>
  <si>
    <t>Helga</t>
  </si>
  <si>
    <t>Helga Acosta</t>
  </si>
  <si>
    <t>Calle 78#57-75 conj arcoíris casa 8 - Conjunto</t>
  </si>
  <si>
    <t>Salwi, este premio es un reflejo de tu impacto, tu corazón y tu esencia! Eres inspiración para todas nosotras y nos llena de orgullo poder acompañarte a celebrar tus logros siempre.
Te amamos,</t>
  </si>
  <si>
    <t>Hasaljugavasha</t>
  </si>
  <si>
    <t>Ariza Otero</t>
  </si>
  <si>
    <t>Lilia Barrios Palma</t>
  </si>
  <si>
    <t>Calle 34 # 40 - 41 - Local 120 - Centro Comercial</t>
  </si>
  <si>
    <t>1× Arreglo Personalizado     ( BOUQUET SURTIDO COMO FOTO EN TONOS ROSADOS)</t>
  </si>
  <si>
    <t>Feliz aniversario mi amor, gracias por hacerme muy feliz en estos 2 años.</t>
  </si>
  <si>
    <t>Te amo, Anderson.</t>
  </si>
  <si>
    <t xml:space="preserve">Amalia </t>
  </si>
  <si>
    <t xml:space="preserve">Noriega </t>
  </si>
  <si>
    <t xml:space="preserve">javier perez y Andrea fayad </t>
  </si>
  <si>
    <t>Caujaral</t>
  </si>
  <si>
    <t>Calle 2 # 9-59 casa quinta  j - Casa</t>
  </si>
  <si>
    <t>El sana a los quebrantados de corazón y sana sus heridas.
Salmos 147:3 
Feliz cumpleaños Princesa Valeria💗🌼
Att: Amalia y Mauricio</t>
  </si>
  <si>
    <t>Melissa</t>
  </si>
  <si>
    <t>Piñeros</t>
  </si>
  <si>
    <t>Maria Pia Tanzini</t>
  </si>
  <si>
    <t>Cra 64b # 84-131 - Casa</t>
  </si>
  <si>
    <t>Nonna!!
Que Dios te llene de mucha vida y salud para que podamos seguir amándote, celebrándote y gozándonos con tu existencia. 
Feliz cumpleaños
Ti vogliamo tantissimo bene</t>
  </si>
  <si>
    <t>Con mucho cariño, Meli y Davy</t>
  </si>
  <si>
    <t>Denisse</t>
  </si>
  <si>
    <t>Cayon</t>
  </si>
  <si>
    <t>Maria Alejandra Aponte</t>
  </si>
  <si>
    <t>Calle 3A #23-88  Torres de Mallorquin  Villa Campestre - Edificio</t>
  </si>
  <si>
    <t>Baby ♥️
Primero quiero decirte que te amo.
Incluso en medio del dolor, la vida sigue floreciendo.
El tiempo de Dios es perfecto, y aunque hoy no lo entendamos todo, los milagros ocurren cada día.
Que la Virgencita te acompañe, te sostenga y te dé la paz que hoy tu corazón necesita.
Estoy contigo, en silencio si hace falta, pero siempre cerca♥️</t>
  </si>
  <si>
    <t>Denisse Cayón</t>
  </si>
  <si>
    <t>Erich</t>
  </si>
  <si>
    <t xml:space="preserve"> Bloch</t>
  </si>
  <si>
    <t xml:space="preserve"> Nora Elena de Martínez</t>
  </si>
  <si>
    <t>Carrera 3B # 38-46 Altos de Prado Mar Castillo de Salgar - Casa</t>
  </si>
  <si>
    <t>Recordando a nuestro amigo, Capitán Edgardo Martínez.
De : Erich Bloch, Sra. e Hijos</t>
  </si>
  <si>
    <t>GUACAL CANOA EN FLORES BLANCASY PONERLE DOS ORQUÍDEAS (FOTOOOOO)</t>
  </si>
  <si>
    <t>mónica</t>
  </si>
  <si>
    <t>bermejo</t>
  </si>
  <si>
    <t>mónica bermejo</t>
  </si>
  <si>
    <t>Jose Carlos</t>
  </si>
  <si>
    <t>Orozco Medina</t>
  </si>
  <si>
    <t>Anadela Medina</t>
  </si>
  <si>
    <t>Transversal 44 #100-123, Torre 1, Apto 501 - Conjunto</t>
  </si>
  <si>
    <t>¡Feliz cumpleaños, Mamá!
Hoy celebro tu vida y te agradezco con el alma por estar siempre ahí, rescatándome y dándome ánimos justo cuando siento que mi mundo se cae. No sé qué haría sin ti.
Sofía, Rocío y yo queremos que sepas lo importante que eres para nosotros. Gracias por ser una madre incondicional, una suegra increíble y la mejor abuela del mundo.
Te amamos inmensamente.</t>
  </si>
  <si>
    <t>Tus tres amores: José, Rocío y Sofía</t>
  </si>
  <si>
    <t>Estupiñan</t>
  </si>
  <si>
    <t>Valerie Romero</t>
  </si>
  <si>
    <t>Calle 96 #72B-43 Conjunto Catleya Torre 2 AP. 404 - Edificio</t>
  </si>
  <si>
    <t xml:space="preserve">Feliz cumpleaños mi peladita linda, siempre con tu energía y actitud que ilumina el mundo. </t>
  </si>
  <si>
    <t>Con cariño, Alexander</t>
  </si>
  <si>
    <t>Zambrano</t>
  </si>
  <si>
    <t xml:space="preserve">Mafe zambrano </t>
  </si>
  <si>
    <t>Carrera 55 82-121 - Edificio</t>
  </si>
  <si>
    <t>1× FLORA MINI PLUS CUADRADA CON MINI ROSAS ROSADAS</t>
  </si>
  <si>
    <t>Hermanita, ¡felicitaciones por este logro tan merecido! Con el corazón hinchado de felicidad y orgullo, y con lágrimas por querer poder abrazarte ahora, te digo lo siguiente: eres inteligente, valiente, segura, trabajadora, comprometida, disciplinada. Eres una mujer muy capaz y siempre has sido y serás mi inspiración. Este logro tan grande me hace inmensamente feliz y orgullosa. Dios te bendiga y camine de tu mano en este nuevo capítulo de tu carrera profesional que pronto comienza. No pongas en duda que sabrás tomar las decisiones correctas, aprenderás muchísimo, te frustrarás pero luego sentirás la satisfacción del deber cumplido, habrán altibajos pero siempre recuerda quién eres y de qué estás hecha, y por supuesto, aquí siempre estaré para aconsejarte y apoyarte. ¡Vamos con toda! Te amo hermanita, ¡¡¡eres muy top!!!</t>
  </si>
  <si>
    <t>Con cariño, Erika</t>
  </si>
  <si>
    <t>Marina Suarez</t>
  </si>
  <si>
    <t>Cra 49C #76-116 apto 2C - Casa</t>
  </si>
  <si>
    <t>Gracias por la maravillosa abuelita que eres, queremos crecer a tu lado, celebrarte y siempre verte feliz, te amamos mucho 
FELIZ CUMPLEAÑOS</t>
  </si>
  <si>
    <t>Con amor, Luciana y Salvador</t>
  </si>
  <si>
    <t>Entregar 3 pm</t>
  </si>
  <si>
    <t>rico</t>
  </si>
  <si>
    <t>very judith rosales de rico</t>
  </si>
  <si>
    <t>cra 59B # 91-13 apto 301 - Edificio</t>
  </si>
  <si>
    <t>Para una madre y esposa que solo Dios sabe cuanto la amamos,
gustavo y jonathan.</t>
  </si>
  <si>
    <t>Valentina sanchez</t>
  </si>
  <si>
    <t>Cra 42d1 #80a 63 edificio Luxor garden apto 304 - Edificio</t>
  </si>
  <si>
    <t>Quien mas te quiere 😉😘</t>
  </si>
  <si>
    <t>Tu Angel</t>
  </si>
  <si>
    <t xml:space="preserve">Daniella Zambrano </t>
  </si>
  <si>
    <t>Calle 99 # 56-41 Palm Avenue - Edificio</t>
  </si>
  <si>
    <t>1× Mini Box Hortensias y Mini Rosa (en base de cerámica)</t>
  </si>
  <si>
    <t>Ms. Meli! HAPPY BIRTHDAY! 
Que este nuevo año esté lleno de mucha salud, amor y prosperidad. 
Te deseamos un cumpleaños rodeado de muchísimo amor y felicidad. 
Te queremos mucho. 
Kusama Family!</t>
  </si>
  <si>
    <t>Con mucho amor,</t>
  </si>
  <si>
    <t>cra 50 # 74 - 91 APTO E4 - Edificio</t>
  </si>
  <si>
    <t>Comenzar el año a tu lado es el regalo más hermoso.
Nuevos proyectos, nuevos planes, nuevos sueños…
y quiero que cada uno de ellos sea contigo, todo lo quiero a tu lado.
Te amo.</t>
  </si>
  <si>
    <t>Hola quiero que sea como un minibox, porque siempre pido de esos, pero que lo traigan en ramo, para poderlo meter acá en un florero, y quiero que sea un ramo de Lirios, me dices cuanto seria asi.</t>
  </si>
  <si>
    <t>Juanita</t>
  </si>
  <si>
    <t xml:space="preserve">De la vega </t>
  </si>
  <si>
    <t xml:space="preserve">Danna Serje </t>
  </si>
  <si>
    <t>Cra 14 #36b-132 - Casa</t>
  </si>
  <si>
    <t>300 8097142</t>
  </si>
  <si>
    <t>Para alegrar tu día… te amo y te extraño.</t>
  </si>
  <si>
    <t>Con cariño, Tomás Padilla.</t>
  </si>
  <si>
    <t>Las flores blancas con rosado, y en vez de la JP unos chocolates ferrero</t>
  </si>
  <si>
    <t>yorbis</t>
  </si>
  <si>
    <t>carly</t>
  </si>
  <si>
    <t>yorbis carly</t>
  </si>
  <si>
    <t>B.YOU ACTIVEWEAR SASEMPR</t>
  </si>
  <si>
    <t>EMPRESA</t>
  </si>
  <si>
    <t>NATALIA HERNANDEZ</t>
  </si>
  <si>
    <t>CALLE 84 58 47 PLZA 59 LOCAL 8 - Casa</t>
  </si>
  <si>
    <t>Margine Cedeño</t>
  </si>
  <si>
    <t>5. Cra 47 # 100-14 Edificio Alameda 100 - Edificio</t>
  </si>
  <si>
    <t>1× Cerámica Orquidea Aire (EN BASE ROSADA)</t>
  </si>
  <si>
    <t>Sra Margine 
Feliz cumpleaños que este día sea tan especial como usted,lleno de amor,risas y momentos inolvidables al lado de su familia..
Con cariño 
Albor,González, Padilla</t>
  </si>
  <si>
    <t>Rocha</t>
  </si>
  <si>
    <t>Orlando Rocha</t>
  </si>
  <si>
    <t>Jacquelin Rojas</t>
  </si>
  <si>
    <t>cra. 59 #82 - 63 edificio langolo 59</t>
  </si>
  <si>
    <t>lo deja listo</t>
  </si>
  <si>
    <t>Maricel</t>
  </si>
  <si>
    <t>Ortega Barros</t>
  </si>
  <si>
    <t xml:space="preserve">Mabel lugo </t>
  </si>
  <si>
    <t>Carrera 36 # 56-49 - Casa</t>
  </si>
  <si>
    <t>corazon mini surtido</t>
  </si>
  <si>
    <t xml:space="preserve">Eres una persona fuerte, valiente y resiliente. Que orgullo que estés en nuestras vidas ! Que este nuevo año esté cargado de mucha salud y que la virgen siempre guíe tus pasos. </t>
  </si>
  <si>
    <t>Con Amor Maricel, Jorge y Abi</t>
  </si>
  <si>
    <t>Llamas</t>
  </si>
  <si>
    <t xml:space="preserve">Mayra escaf </t>
  </si>
  <si>
    <t>Cra 59 #81-229 edificio Venice apto 901 - Casa</t>
  </si>
  <si>
    <t>Mamá esperamos que pases un día súper especial y que cumplas muchos años más.
Te amamos!!</t>
  </si>
  <si>
    <t>De: Valentín y Daniel</t>
  </si>
  <si>
    <t>Puello Caballero</t>
  </si>
  <si>
    <t>Mariana Echeverri</t>
  </si>
  <si>
    <t>Cra 56#91-107 - Casa</t>
  </si>
  <si>
    <t>Feliz cumpleaños, futura esposa.</t>
  </si>
  <si>
    <t>Juan Pablo Puello</t>
  </si>
  <si>
    <t>Baena Ordosgoitia</t>
  </si>
  <si>
    <t xml:space="preserve">Sophie Ruiz </t>
  </si>
  <si>
    <t>Cra 59 # 82 -63 edificio langolo 59, apto 1203 - Edificio</t>
  </si>
  <si>
    <t>¡Mi amor hermosa, feliz cumpleaños!
Que estos 15 años sean motivo de celebración, alegría y absoluta felicidad. Que brilles siempre, cumplas todos tus sueños y recibas en tu vida todo lo bonito que mereces. 
No sé en qué momento pasó el tiempo y creciste tanto, pero soy la más feliz de poder estar cerquita en cada una de tus etapas. Aquí me tienes para ti por siempre.  
Con muchísimo amor, 
Tu madrina 
Angie B.</t>
  </si>
  <si>
    <t>Arreglo personalizado</t>
  </si>
  <si>
    <t xml:space="preserve">Linda </t>
  </si>
  <si>
    <t>Hollenberg</t>
  </si>
  <si>
    <t>Sofia Zabala</t>
  </si>
  <si>
    <t>Cra 52#100-105 quintas de la castellana casa 43 La castellana - Casa</t>
  </si>
  <si>
    <t>Feli cumpleaños a mi mejor amiga! Que tu vida siempre este lleno de felicidad, amor, paz, alegría, tranquilidad y muchas bendiciones. Que Diosito y la virgen te cuiden por siempre. Te amo🩷 
Con cariño, 
Linda Hollenberg</t>
  </si>
  <si>
    <t>santos</t>
  </si>
  <si>
    <t>beatriz santos</t>
  </si>
  <si>
    <t>4 BOUQUET SURTIDOS COLORIDOS PONERLE COLIBRÍ</t>
  </si>
  <si>
    <t>BOUQUET SURTIDO COLORIDOS BELLOS</t>
  </si>
  <si>
    <t xml:space="preserve">Valerie sierra </t>
  </si>
  <si>
    <t>Cra 53#135-49, casa 55, quintas de Villa campestre 1 - Conjunto</t>
  </si>
  <si>
    <t>1× Cerámica Orquidea Aire ( en base de cerÁMICA)</t>
  </si>
  <si>
    <t xml:space="preserve">Mejórate pronto amiga te quiero
</t>
  </si>
  <si>
    <t>VD</t>
  </si>
  <si>
    <t>Hamer</t>
  </si>
  <si>
    <t>Chica Larios</t>
  </si>
  <si>
    <t>Estefanía Carolina Villarreal Martinez</t>
  </si>
  <si>
    <t>Cra 64B#85-80 Dolmen - Oficina</t>
  </si>
  <si>
    <t>1 Pedro 3:7 Del mismo modo, esposos, continúen viviendo con ellas de acuerdo con conocimiento.* Denles honraa como a una vasija más frágil, la femenina, ya que ellas también son herederas con ustedesb del favor inmerecido de la vida, a fin de que las oraciones de ustedes no sean estorbadas.
Analizando todo tu esfuerzo en el hogar y en el trabajo me nace darte honra de manera sincera mi esposa !!! Te amo !!!</t>
  </si>
  <si>
    <t>Ing Hamer Chica L</t>
  </si>
  <si>
    <t>Gómez Naranjo</t>
  </si>
  <si>
    <t>Valery Gómez Naranjo</t>
  </si>
  <si>
    <t>Para el más monito, ¡Feliz cumpleaños mi amor! Que todos tus sueños se cumplan.</t>
  </si>
  <si>
    <t>Con todo el amor del mundo, tu bffa y novia.</t>
  </si>
  <si>
    <t>Añadir imágenes de micos enviadas al whatsapp</t>
  </si>
  <si>
    <t>Dilan</t>
  </si>
  <si>
    <t>Ángela Pumarejo</t>
  </si>
  <si>
    <t>Centro comercial alkarawi piso 2 empresa MOVATE - Centro Comercial</t>
  </si>
  <si>
    <t xml:space="preserve">De parte de tu equipo que te admira como nuestra líder, hermosa, inteligente y capaz, gracias por todo y que tenga un Feliz cumpleaños </t>
  </si>
  <si>
    <t>De tu equipo de Portugués</t>
  </si>
  <si>
    <t>Iguaran</t>
  </si>
  <si>
    <t>Hassay gonzalez</t>
  </si>
  <si>
    <t>Carrera 59b # 94-65 villa alejandra 1 casa 2 - Casa</t>
  </si>
  <si>
    <t>Para alguien que llegó sin avisar y se quedó en mis pensamientos, estas flores son solo un pequeño presente de lo bien que siento compartir contigo… 
No se donde nos lleve este camino pero quiero recorrerlo contigo, no dejo de pensarte ❤️❤️</t>
  </si>
  <si>
    <t>Por favor no especificar el remitente … SIN REMITENTE</t>
  </si>
  <si>
    <t xml:space="preserve">Yecid E </t>
  </si>
  <si>
    <t xml:space="preserve">Pretel </t>
  </si>
  <si>
    <t xml:space="preserve">Restaurante Jardines de Confucio </t>
  </si>
  <si>
    <t>Cra. 54 #75-44, Nte. Centro Historico, Barranquilla, Atlántico - Casa</t>
  </si>
  <si>
    <t>“Gracias por tanto amor, por tu fuerza y tu ternura.
Hoy celebramos 80 años de una vida que bendice a todos los que te amamos.
Con todo nuestro corazón</t>
  </si>
  <si>
    <t>Yecid Dayana Sophy Liah</t>
  </si>
  <si>
    <t>Hernando</t>
  </si>
  <si>
    <t>Morron</t>
  </si>
  <si>
    <t>Daniella Pallares</t>
  </si>
  <si>
    <t>Cra 53 #106-280 Centro Empresarial Buenavista - Edificio</t>
  </si>
  <si>
    <t>Love heals
Love saves</t>
  </si>
  <si>
    <t xml:space="preserve">Orjuela </t>
  </si>
  <si>
    <t>Martha Iguavita</t>
  </si>
  <si>
    <t>Carrera 64 No. 99-100 Torre 2 Apartamento 409 Edificio Central Park - Casa</t>
  </si>
  <si>
    <t xml:space="preserve"> celebramos y agradecemos un año más de tu vida!Eres nuestro tesoro; te amamos. Tus Hijos; yernos y nietos</t>
  </si>
  <si>
    <t>ivan</t>
  </si>
  <si>
    <t>ivan cabarcas</t>
  </si>
  <si>
    <t xml:space="preserve">Maria Gabriella </t>
  </si>
  <si>
    <t>Lidsay Pacheco</t>
  </si>
  <si>
    <t>Cra 42a #80b-59 - Casa</t>
  </si>
  <si>
    <t>Orgullosa de ti hoy y siempre. Este logro es solo el comienzo de todo lo increíble que viene. 
Te amo, felicitaciones.</t>
  </si>
  <si>
    <t>Con cariño,</t>
  </si>
  <si>
    <t>Rodelo</t>
  </si>
  <si>
    <t>Sharon Rodelo</t>
  </si>
  <si>
    <t>Cra 50 101c 35 Villa Santos - Edificio</t>
  </si>
  <si>
    <t>Estamos demasiado orgullosos de ti y de todo el esfuerzo, la dedicación y la pasión que te trajeron hasta aquí. Este logro es solo el comienzo de un camino increíble. Te deseamos lo mejor en todas las aventuras que vienen y una carrera llena exitos! ¡Felicidades por tu graduación Doctora! 
Wen, Vicky y Joche</t>
  </si>
  <si>
    <t>Valentina Angarita</t>
  </si>
  <si>
    <t>Calle 100 48 34 torre 2 apto 303 edificio sunset 100 - Edificio</t>
  </si>
  <si>
    <t>¡Llegó el gran día!
Hoy comienza una nueva etapa y queremos que sepas que aquí estamos siempre para ti, para acompañarte y apoyarte en cada una de las etapas de tu vida. Gózate este día, vívelo con el corazón abierto, y que sea la continuación de una historia hermosa, llena de amor y felicidad.
Te amamos!</t>
  </si>
  <si>
    <t>Mapi, Ana, Steph y Majo O.</t>
  </si>
  <si>
    <t>Por favor enviar en la mañana</t>
  </si>
  <si>
    <t>ANALFE</t>
  </si>
  <si>
    <t xml:space="preserve">ANALFE </t>
  </si>
  <si>
    <t>GUAGIBI CAFARZUZA</t>
  </si>
  <si>
    <t>Calle 84B 41A-19 - Casa</t>
  </si>
  <si>
    <t>Estimada Guagibi; con profundo pesar, extendemos nuestras más sinceras condolencias por el fallecimiento de su señora madre. Acompañamos a usted y a su familia en este difícil momento, deseándoles fortaleza, serenidad y consuelo. Que el recuerdo de su vida y legado permanezca siempre en sus corazones.
Reciba un abrazo solidario y nuestro apoyo. Equipo Analfe.</t>
  </si>
  <si>
    <t>ASOCIACIÓN NACIONAL DE FONDOS DE EMPLEADOS. ANALFE</t>
  </si>
  <si>
    <t>Mauricio Andrés</t>
  </si>
  <si>
    <t>Castañeda Torres</t>
  </si>
  <si>
    <t xml:space="preserve">Sharon </t>
  </si>
  <si>
    <t>Cra 52 # 79 - 110, edificio Kalamary, apto 13B - Edificio</t>
  </si>
  <si>
    <t>1× Flora Box Solitario Rosa rosada</t>
  </si>
  <si>
    <t xml:space="preserve">La ves pasada fueron 3 días. Esta vez fueron 7 días. No importa cuánto tiempo sea pero siempre será motivo de felicidad saber que estás de regreso. Ya quiero darte un abrazo. YA! Con mucho cariño, Mau </t>
  </si>
  <si>
    <t>Rosa color rosada</t>
  </si>
  <si>
    <t>Andrea Becerra</t>
  </si>
  <si>
    <t>Cra 66B#66-60 - Conjunto</t>
  </si>
  <si>
    <t>Amiga hermosa, que estas flores te recuerden que estás rodeada de mucho amor💛
Te abrazo el alma.</t>
  </si>
  <si>
    <t>Dani H</t>
  </si>
  <si>
    <t>Chavarria</t>
  </si>
  <si>
    <t xml:space="preserve">Yaneth Chavarría </t>
  </si>
  <si>
    <t>Calle 105#49E-30 - Casa</t>
  </si>
  <si>
    <t>Mami ,hoy celebro tu vida y la inmensa bondad de Dios al elegirte para ser mi madre. Que el Señor te conceda los deseos de tu corazón y te siga protegiendo con Su amor infinito. ¡Felicidades!"</t>
  </si>
  <si>
    <t>Con mucho amor : Vanessa</t>
  </si>
  <si>
    <t>cilindro pequeño con eucalipto y surtidas rosas pasteles</t>
  </si>
  <si>
    <t>Orejarena</t>
  </si>
  <si>
    <t xml:space="preserve">Jesús David Cervantes Castillo </t>
  </si>
  <si>
    <t>Conjunto guacamaya, torre 17, apt 1101 - Conjunto</t>
  </si>
  <si>
    <t xml:space="preserve">Por este gran logro en tu vida, por no rendirte en los momentos difíciles y permitirme acompañarte en cada momento de este gran sueño. Estoy muy orgullosa de ti mi futuro internista, cardiólogo, electrofisiologo. </t>
  </si>
  <si>
    <t>Con amor Angie</t>
  </si>
  <si>
    <t>bouquet surtido colores morados como en la foto.</t>
  </si>
  <si>
    <t xml:space="preserve">Alexandra </t>
  </si>
  <si>
    <t>Arocha</t>
  </si>
  <si>
    <t>alexandra Arocha</t>
  </si>
  <si>
    <t>Calle 75 # 55-12</t>
  </si>
  <si>
    <t>bouquet surtido  pastel   $50000</t>
  </si>
  <si>
    <t>Jesús</t>
  </si>
  <si>
    <t xml:space="preserve">Siempre estaré orgulloso de ti mi amor, nunca olvides lo fuerte y capaz que eres. Gracias por permitirme soñar a tu lado. </t>
  </si>
  <si>
    <t>Ada</t>
  </si>
  <si>
    <t>Moran</t>
  </si>
  <si>
    <t>Angely Rodriguez</t>
  </si>
  <si>
    <t>Colegio Colón cra 54# 41- 77 - Oficina</t>
  </si>
  <si>
    <t xml:space="preserve">Para mi profe de Matematicas feliz cumple muchos éxitos!
</t>
  </si>
  <si>
    <t>Fabianna Diaz y Fiorella Diaz</t>
  </si>
  <si>
    <t xml:space="preserve">Adrianne </t>
  </si>
  <si>
    <t xml:space="preserve">Arenas </t>
  </si>
  <si>
    <t>Adrianne Arenas</t>
  </si>
  <si>
    <t>Que estas flores te recuerden que eres amada, valorada y profundamente especial para mí, hoy y siempre.</t>
  </si>
  <si>
    <t>Con amor: tú menorcito</t>
  </si>
  <si>
    <t>Para: La luz de mis ojos</t>
  </si>
  <si>
    <t xml:space="preserve">Christian </t>
  </si>
  <si>
    <t>Monroy</t>
  </si>
  <si>
    <t>Ana Herrera</t>
  </si>
  <si>
    <t>Cra 51 # 82 - 255 - Edificio</t>
  </si>
  <si>
    <t>Mensaje:
Feliz Cumpleaños Sra Ana, que este nuevo año de vida venga repleto de bendiciones y éxitos en todas las áreas de su vida! Le mando un abrazo fuerte!</t>
  </si>
  <si>
    <t>Con amor, Andrea</t>
  </si>
  <si>
    <t>Ana María Jaramillo</t>
  </si>
  <si>
    <t>Carrera 64 # 99-100 Apto 720 - Casa</t>
  </si>
  <si>
    <t>Gracias familia,
Gracias Sira,
Gracias Balto.
Te amaremos por siempre</t>
  </si>
  <si>
    <t>Por favor que sea todo blanco</t>
  </si>
  <si>
    <t>Griselda Llanos</t>
  </si>
  <si>
    <t>Cl. 47d #20A18 - Casa</t>
  </si>
  <si>
    <t xml:space="preserve">Feliz cumpleaños suegrita, la quiero un montón </t>
  </si>
  <si>
    <t>Con cariño, daniel</t>
  </si>
  <si>
    <t xml:space="preserve">Jiménez </t>
  </si>
  <si>
    <t xml:space="preserve">Diana ángulo </t>
  </si>
  <si>
    <t>Cra 58 #79-307 edificio Perla del prado apto 16 - Edificio</t>
  </si>
  <si>
    <t>Ñaña damos gracias a Dios por tu vida y tu recuperación. 
Te queremos mucho</t>
  </si>
  <si>
    <t>Malu, Jorge y Cami</t>
  </si>
  <si>
    <t>Tapias Leyva</t>
  </si>
  <si>
    <t>Alison Pacheco</t>
  </si>
  <si>
    <t>Restaurante Toro McCoy - Centro Comercial</t>
  </si>
  <si>
    <t>‪+57 300 8994800‬</t>
  </si>
  <si>
    <t>1× Bouquet Aire | 1× Topper Happy Birthday</t>
  </si>
  <si>
    <t>Gracias por iluminar la vida de todos los que te queremos. 
¡Feliz cumpleaños Ali li!</t>
  </si>
  <si>
    <t>May y Mafe</t>
  </si>
  <si>
    <t xml:space="preserve">Kendy </t>
  </si>
  <si>
    <t xml:space="preserve">Zoila Farak </t>
  </si>
  <si>
    <t>Cra 64c # 91a -12 apt primer piso - Edificio</t>
  </si>
  <si>
    <t>Feliz cumpleaños tía preciosa! Que estas flores te abracen y alegren ese bello corazón que tanto ha amado e inspirado. 
Te queremos mucho. Feliz día!!!</t>
  </si>
  <si>
    <t>Con amor: Domi, Domi papá,Loui y Kendy</t>
  </si>
  <si>
    <t>Leon</t>
  </si>
  <si>
    <t>FADUE BLEL BITTAR</t>
  </si>
  <si>
    <t>Cra 51b # 106-250 Edf catellana 51 int. A apto 910 - Edificio</t>
  </si>
  <si>
    <t>Feliz cumpleaños a la mujer que admiro, quiero y celebro. Tu corazón ahora late por dos y eso te hace aún más grande. Te adoro, hermana.</t>
  </si>
  <si>
    <t>Con amor, Angie</t>
  </si>
  <si>
    <t>N/a</t>
  </si>
  <si>
    <t>NAZLY</t>
  </si>
  <si>
    <t>DAVILA</t>
  </si>
  <si>
    <t>NAZLY DAVILA</t>
  </si>
  <si>
    <t>3 BASES EN TONOS AMARILLO,VERDE,BLANCO</t>
  </si>
  <si>
    <t xml:space="preserve">Tania </t>
  </si>
  <si>
    <t>Tania Iguaran</t>
  </si>
  <si>
    <t>1× Bouquet Gerbera (OJO HACERLO EN UN CANASTO CON LAS FLORES DEL BOUQUET GERBERA)</t>
  </si>
  <si>
    <t>Feliz grado mi Saris !!
Celebramos y nos gozamos junto a ti de  esta gran victoria en este tiempo! 
Te amamos 💝</t>
  </si>
  <si>
    <t>Te amamos David y Tania</t>
  </si>
  <si>
    <t>Hacer en arreglo de flores en una canasta.</t>
  </si>
  <si>
    <t>redondo</t>
  </si>
  <si>
    <t>andres redondo</t>
  </si>
  <si>
    <t>PLAN AMIGAS / 2 BOUQUETS SURTIDOS)
4 HOJAS DE BALAZO</t>
  </si>
  <si>
    <t>pratto 52 - Edificio</t>
  </si>
  <si>
    <t>2 hortencias blancas grandes</t>
  </si>
  <si>
    <t>Wendy</t>
  </si>
  <si>
    <t>conjunto terra</t>
  </si>
  <si>
    <t>Cra 20 No 2a 10 casa 11y - Casa</t>
  </si>
  <si>
    <t>1× Mini Box CLAVELES ROSADOS</t>
  </si>
  <si>
    <t>Amor
16 años que Dios nos juntó, 16 años de momentos hermosos y algunos no tanto, 16 años de amor y respeto,suena mucho pero a tu lado han sido pocos. Sueño con 64 años más
Te aml</t>
  </si>
  <si>
    <t>S</t>
  </si>
  <si>
    <t xml:space="preserve">Maira Mendoza </t>
  </si>
  <si>
    <t>Calle 100 # 17 sur - 67 - Conjunto</t>
  </si>
  <si>
    <t>Feliz Cumpleaños Mi amor!
Te deseo lo mejor en tu día, y que sea un año lleno de bendiciones, logros y metas cumplidas!❤️
Te amo con todo mi corazón ❤️</t>
  </si>
  <si>
    <t>Sonia Tarud</t>
  </si>
  <si>
    <t>Cra 57 # 85-232 - Casa</t>
  </si>
  <si>
    <t>2× Arreglo Personalizado 8 en totnos lilas y rosados)</t>
  </si>
  <si>
    <t>Papi y Mami</t>
  </si>
  <si>
    <t>Felicitaciones!</t>
  </si>
  <si>
    <t>Francia</t>
  </si>
  <si>
    <t xml:space="preserve"> Madero </t>
  </si>
  <si>
    <t>Francia Rincon</t>
  </si>
  <si>
    <t>Carrera 57#79-319 apto 32b - Edificio</t>
  </si>
  <si>
    <t>estas flores son para alegrar un poco tu semana y tus días que no han sido fáciles. Sabemos que ahorita es un momento de mucho estrés y miedo. Aquí nos tienes para siempre acompañarte y darte ánimos. Te amamos mucho todo va a salir bien!!!!!  ❤️❤️❤️ Tu esposo y las Mellitas.</t>
  </si>
  <si>
    <t xml:space="preserve">Karina  </t>
  </si>
  <si>
    <t>Karina Maria</t>
  </si>
  <si>
    <t>310 8181272</t>
  </si>
  <si>
    <t>Happy Birthday Kate
Con cariño de tus amigos.</t>
  </si>
  <si>
    <t>maria carolina</t>
  </si>
  <si>
    <t>navarro</t>
  </si>
  <si>
    <t>maria carolina navarro</t>
  </si>
  <si>
    <t>calle 99 # 56-41 palm avenue apto 104 - Edificio</t>
  </si>
  <si>
    <t>flores surtidas $138,000</t>
  </si>
  <si>
    <t>Joyce</t>
  </si>
  <si>
    <t>Stefanell</t>
  </si>
  <si>
    <t>Tatiana Rojano</t>
  </si>
  <si>
    <t>Con todo mi amor Joyce❤️</t>
  </si>
  <si>
    <t>Feliz cumpleaños Elvira Paulina! Pido a Dios que te dé fuerza, calma y salud. Te abrazo con el corazón desde la distancia te amo abuela, besos!</t>
  </si>
  <si>
    <t>estephanie</t>
  </si>
  <si>
    <t>crismatt</t>
  </si>
  <si>
    <t>estephanie crismatt</t>
  </si>
  <si>
    <t>flores surtidas $15.000
1 paquete de eucalipto $15,000</t>
  </si>
  <si>
    <t>base de barro 100.000
flores surtidas 30.000</t>
  </si>
  <si>
    <t>César</t>
  </si>
  <si>
    <t>Ceballos</t>
  </si>
  <si>
    <t>Cra 46 #92-Centro Comercial Alkarawi Local1 Casa46boutique - Casa</t>
  </si>
  <si>
    <t xml:space="preserve">Con todo el amor para la mujer más maravillosa y extraordinaria que Dios ha traído al mundo. </t>
  </si>
  <si>
    <t>Andrés Ceballos</t>
  </si>
  <si>
    <t>Rosas Rojas</t>
  </si>
  <si>
    <t xml:space="preserve">Gabriel ángel </t>
  </si>
  <si>
    <t xml:space="preserve">Padilla Mejía </t>
  </si>
  <si>
    <t>Gabriel ángel Padilla Mejía</t>
  </si>
  <si>
    <t>324 3155454</t>
  </si>
  <si>
    <t>1× bouquet 24 rosas | 1× Ferrero Rocher 8 und</t>
  </si>
  <si>
    <t>María Camila</t>
  </si>
  <si>
    <t>Jiménez Bustillo</t>
  </si>
  <si>
    <t>Valentina Osorio</t>
  </si>
  <si>
    <t>Cra 52 # 132-300 - Conjunto Villas del portal Casa 2</t>
  </si>
  <si>
    <t>Polar bearAmo verte feliz, que todo ese amor que nos das a todos los que te rodeamos, se te regrese! Eres la mejor amiga de la vida!!!! Andy se lleva el corazón más grande!! Los amo mucho! Estoy muy feliz por ustedes!!!!</t>
  </si>
  <si>
    <t>Con mucho amor, TITA</t>
  </si>
  <si>
    <t>Gonzalo</t>
  </si>
  <si>
    <t>Infante</t>
  </si>
  <si>
    <t>Maria Camila Gutiérrez</t>
  </si>
  <si>
    <t>Calle 96#71-109, Eduficio Irati, Apto 203A - Casa</t>
  </si>
  <si>
    <t>TONOS AMARILLOS</t>
  </si>
  <si>
    <t>Mary Anaya</t>
  </si>
  <si>
    <t>Calle 86 #52 - 98 - Edificio</t>
  </si>
  <si>
    <t>Mi Mary, que Dios te bendiga inmensamente en este día tan especial, que este año sea maravilloso, lleno de mucho amor, salud y felicidad, te deseo siempre lo mejor. Feliz cumpleaños 🩷</t>
  </si>
  <si>
    <t>Vale Espinosa</t>
  </si>
  <si>
    <t>Por favor entregar hoy</t>
  </si>
  <si>
    <t>Leonor de Rocha</t>
  </si>
  <si>
    <t>Cra 50#88-67 apto 903 edificio lauss - Edificio</t>
  </si>
  <si>
    <t>Hoy despedimos a un abuelo, papá y esposo maravilloso. Que Dios le conceda paz y consuelo. Nos quedamos con su sonrisa y su hermoso corazón. Los tenemos presentes en nuestras oraciones y los queremos mucho.
Miryam, Andrea, Guille y familia.</t>
  </si>
  <si>
    <t>Con cariño inmenso: Miryam, Andrea, Guille y familia</t>
  </si>
  <si>
    <t xml:space="preserve">Cristina Peña </t>
  </si>
  <si>
    <t>Cll 86 71 37 - Conjunto</t>
  </si>
  <si>
    <t>Amor 
Eres fuerte y valiente
Confiamos en Dios que todo estará bien.
Queremos que sepas que te apoyamos te amamos y estamos aquí para ti</t>
  </si>
  <si>
    <t>Con amor Juank Dulce y Juan</t>
  </si>
  <si>
    <t>arreglo florales para la casa</t>
  </si>
  <si>
    <t>Ana maria</t>
  </si>
  <si>
    <t>Vicky Del Dago</t>
  </si>
  <si>
    <t>Carrera 57 # 79 - 369 edificio solara</t>
  </si>
  <si>
    <t>Vicky :
Diviértete mucho, baila feliz y sonríe como tu sabes hacerlo !!  Mañana sera tu gran dia y vas a brillar como nunca !!! Estamos muy orgullosas de ti y muy felices de poder bailar contigo !!</t>
  </si>
  <si>
    <t>Love you!!  Cristi y Malu</t>
  </si>
  <si>
    <t xml:space="preserve">Paola </t>
  </si>
  <si>
    <t>Meza Alandete</t>
  </si>
  <si>
    <t>Paola Meza</t>
  </si>
  <si>
    <t>Transv 57 N. 99 - 180, apto 604T2,  Edificio Select, detrás del hotel Crown Plaza</t>
  </si>
  <si>
    <t xml:space="preserve">300 2167124 </t>
  </si>
  <si>
    <t>Para: Sophie
Porque eres el amor de mi vida y quiero que sigamos siendo presente. Te Amo y te cuidaré para que estemos juntos por Siempre.</t>
  </si>
  <si>
    <t>Humberto Sanjuan</t>
  </si>
  <si>
    <t>Salas</t>
  </si>
  <si>
    <t>Karla Salas</t>
  </si>
  <si>
    <t>1 paquete de Rusco, 1 paquete de Pinopio, un paquete de Margaritas y 1 paquete de Clavellinas</t>
  </si>
  <si>
    <t>GRUPO LANGOSTINOS SAS empresa</t>
  </si>
  <si>
    <t>1 bolsa de pétalos
6 rosas rojas sueltas</t>
  </si>
  <si>
    <t>arreglos floral verde base de tronco</t>
  </si>
  <si>
    <t>Quiñones</t>
  </si>
  <si>
    <t>Maira Martinez</t>
  </si>
  <si>
    <t>Calle 75 #41 D - 54 APTO 707 balcones de San José - Edificio</t>
  </si>
  <si>
    <t>Para la hermana y la tía más hermosa 
Feliz feliz cumpleaños hoy 
le pedimos a Dios que llene tu vida de alegrías y felicidad y que sus bendiciones y gracias permanezcan en ti 
Hoy de parte de Dios en el nombre de Jesús quiero declarar que sueños olvidados renacen, nuevos propósitos despiertan en ti y podrás empezar ver las promesas que él tiene para ti cumplidas 
Con mucho Amor Thiago y Mara Ceci 
Te amamos Maira hermosa 
Eres una mujer amada aprobada y aceptada por Dios tu padre celestial que siempre estará esperando por ti ❤️</t>
  </si>
  <si>
    <t xml:space="preserve">Mía Álvarez González </t>
  </si>
  <si>
    <t>Carrera 57#99-60 Palmetto Aprt, 1006 - Edificio</t>
  </si>
  <si>
    <t>1× Flora Box Romantic Flores 12 Rosas | 1× Chocolates Kisses 10 Und | 1× Topper Happy Birthday</t>
  </si>
  <si>
    <t>Mi querida Mía,
aunque hoy la distancia nos separe, mi corazón está abrazándote más fuerte que nunca. En tu cumpleaños quiero que sepas que cada día agradezco la bendición de ser tu papá, de verte crecer al lado de tu mamá , de soñar y brillar con esa luz tan tuya.
Hoy celebro tu vida, tu sonrisa, tu valentía y todo lo hermosa  que eres por dentro y por fuera. No hay kilómetros que puedan apagar el amor inmenso que siento por ti. Estoy contigo en cada pensamiento, en cada recuerdo y en cada deseo que pido para ti .
Feliz cumpleaños, mi amor. Que la vida te regale alegrías, sueños cumplidos y mucho amor , recibe todo mi amor a la distancia.
Siempre tuyo❤️</t>
  </si>
  <si>
    <t>Daniel Escudero</t>
  </si>
  <si>
    <t>flores lila</t>
  </si>
  <si>
    <t>Calle 80b # 42d - 117 - Edificio  Los Jardines apto 1C</t>
  </si>
  <si>
    <t>Felicidades a la mejor Cardióloga del mundo. Estoy orgulloso de ti</t>
  </si>
  <si>
    <t xml:space="preserve">carmen </t>
  </si>
  <si>
    <t>carmen martinez</t>
  </si>
  <si>
    <t>Eilen</t>
  </si>
  <si>
    <t>Duarte</t>
  </si>
  <si>
    <t>Eilen Duarte</t>
  </si>
  <si>
    <t>Acevedo</t>
  </si>
  <si>
    <t>Juliana Acevedo</t>
  </si>
  <si>
    <t>1× Arreglo Personalizado / oso de peluche</t>
  </si>
  <si>
    <t>bouquet surtido tonos azul y blanco</t>
  </si>
  <si>
    <t xml:space="preserve">Marlon </t>
  </si>
  <si>
    <t>Marlon Martinez</t>
  </si>
  <si>
    <t>¿Quieresn ser mi novia?</t>
  </si>
  <si>
    <t xml:space="preserve">garzon </t>
  </si>
  <si>
    <t>silvia garzon</t>
  </si>
  <si>
    <t>Griselda</t>
  </si>
  <si>
    <t>Bermudez</t>
  </si>
  <si>
    <t>Yile Gutierreez</t>
  </si>
  <si>
    <t>Cra 13 #5-26, Lomas de Caujaral - Casa</t>
  </si>
  <si>
    <t>Amiga bella, que cada día celebres tu vida como te lo mereces y la vida siga sorprendiéndote y devolviéndote todo lo que entrega tu hermoso corazón. 
Deseo vida, salud, amor y éxitos en todo lo que hagas! 
Feliz cumpleaños</t>
  </si>
  <si>
    <t>Grise</t>
  </si>
  <si>
    <t>Tienen que llamar al número apenas estén en la entrada del caujaral.</t>
  </si>
  <si>
    <t xml:space="preserve">juan jose </t>
  </si>
  <si>
    <t xml:space="preserve">urquijo </t>
  </si>
  <si>
    <t xml:space="preserve">juan jose urquijo </t>
  </si>
  <si>
    <t>Cra 56 # 80-35 Apto 12 ed.domus - Edificio</t>
  </si>
  <si>
    <t xml:space="preserve">Hildegard </t>
  </si>
  <si>
    <t xml:space="preserve">Piñeros </t>
  </si>
  <si>
    <t>Tatiana Bayter</t>
  </si>
  <si>
    <t>Cra 57 n 79-166 - Edificio</t>
  </si>
  <si>
    <t xml:space="preserve">Jesús Alfonso! Que Dios y la Virgencita te cuiden y protejan siempre!! Felicidades a la hermana mayor, papitos y abuelos </t>
  </si>
  <si>
    <t>Con cariño, Dpto Retina Clínica Oftalmologica del Caribe</t>
  </si>
  <si>
    <t>Dejar en portería porfavor</t>
  </si>
  <si>
    <t>yessenia</t>
  </si>
  <si>
    <t>moreno</t>
  </si>
  <si>
    <t>yessenia moreno</t>
  </si>
  <si>
    <t>301 3289177</t>
  </si>
  <si>
    <t>bouquet aire</t>
  </si>
  <si>
    <t>Este es el comienzo de nuestra historia.
Mi lugar favorito empieza contigo.”</t>
  </si>
  <si>
    <t>aaron</t>
  </si>
  <si>
    <t>Luisa María</t>
  </si>
  <si>
    <t>Luisa María gómez</t>
  </si>
  <si>
    <t>2 paquetes de rosas de esportacion 
1 paquete de eucalipto 
flores surtidas</t>
  </si>
  <si>
    <t>Vega</t>
  </si>
  <si>
    <t>Marien Quintero</t>
  </si>
  <si>
    <t>Calle 45b #7e 05 - Casa</t>
  </si>
  <si>
    <t>Para la mujer que nos inspira con su amor. Te amamos mamá.
Feliz cumpleaños.</t>
  </si>
  <si>
    <t>Con amor, tus hijos</t>
  </si>
  <si>
    <t>Jay</t>
  </si>
  <si>
    <t>Amaya</t>
  </si>
  <si>
    <t>Mercedes Campo</t>
  </si>
  <si>
    <t>Calle 94 # 71 - 91 Torre 1-1101 Edificio reservas de la carolina - Edificio</t>
  </si>
  <si>
    <t>Feliz cumpleaños, Merce! 
Deseo que tu vida se llene de paz, amor, felicidad y muchos amaneceres con cafecito. Que puedas ver la promesa de Dios cumplida sobre ti y los tuyos, y sigas bailando la vida al son de “Voy” de la orquesta Broadway.
Un abrazo grande.</t>
  </si>
  <si>
    <t>Con mucho cariño, Jay A.</t>
  </si>
  <si>
    <t>Por favor entregar lo más temprano posible en la dirección indicada.</t>
  </si>
  <si>
    <t xml:space="preserve">Camilo Jiménez </t>
  </si>
  <si>
    <t>Cra. 53 #76-115, Nte. Centro Historico, Solvo-celer</t>
  </si>
  <si>
    <t>con mucho cariño de parte de AP</t>
  </si>
  <si>
    <t>AP Team</t>
  </si>
  <si>
    <t>Laurie</t>
  </si>
  <si>
    <t xml:space="preserve">Palencia </t>
  </si>
  <si>
    <t xml:space="preserve">Laurie palencia </t>
  </si>
  <si>
    <t>Calle 107 # 50-69 - hotal sky</t>
  </si>
  <si>
    <t xml:space="preserve">Felicitaciones en tu grado Bebe Linda, estamos muy orgullosas de ti, esperamos poderte acompañar en este y todos los logros qué vendran!! Te amamos y sabemos qué Dios tienen un Camino maravilloso para ti💕
</t>
  </si>
  <si>
    <t>De: las ñecas  Para: La bebe</t>
  </si>
  <si>
    <t>Enviare indicaciones del arreglo por wpp</t>
  </si>
  <si>
    <t>Juan Felix</t>
  </si>
  <si>
    <t>Sierra Sanchez</t>
  </si>
  <si>
    <t>57300 6118194</t>
  </si>
  <si>
    <t xml:space="preserve">Laura Patricia Ávila Santos </t>
  </si>
  <si>
    <t>Calle 79b #42-494 edificio jardín plaza II apto 902 - Edificio</t>
  </si>
  <si>
    <t>Feliz cumpleaños esposa hermosa. Que Dios nos siga llenando de bendiciones y mantenidos en unión hasta el fin de nuestras vidas. Te amo</t>
  </si>
  <si>
    <t>Tu eposo</t>
  </si>
  <si>
    <t>Por favor que sea enviado a primera hora.</t>
  </si>
  <si>
    <t>Johann</t>
  </si>
  <si>
    <t xml:space="preserve">Nicole young </t>
  </si>
  <si>
    <t>1× Mini box orquidea</t>
  </si>
  <si>
    <t>Feliz cuarto aniversario mi faro ❤️</t>
  </si>
  <si>
    <t>Con amor tu novio</t>
  </si>
  <si>
    <t>Emilio Tovar</t>
  </si>
  <si>
    <t>Una nota colocar feliz cumpleaños amor</t>
  </si>
  <si>
    <t>Martha Guerra</t>
  </si>
  <si>
    <t>Apto 304/torre 3B - Edificio</t>
  </si>
  <si>
    <t>Querida Martha.
Hoy celebramos tu vida y la inmensa dicha de contar con tu amistad incondicional. Gracias por tu apoyo en las buenas y en las no tan buenas. 
Te queremos mucho</t>
  </si>
  <si>
    <t>Con cariño, Alejandro, Eileen y Alejandra María</t>
  </si>
  <si>
    <t xml:space="preserve">Helida Ospina </t>
  </si>
  <si>
    <t>Calle 99c #64A-45 - Edificio Vallarta  Torre 2 apto 108</t>
  </si>
  <si>
    <t>Para que ya no te robes las mías mami. Att: Cami</t>
  </si>
  <si>
    <t>Calle 92 # 46 -183 - Casa</t>
  </si>
  <si>
    <t>Hermosa: 
Hoy celebramos tus 40 años dando gracias a Dios por tu vida! Gracias por ser la mujer, esposa y madre increíble que eres, por tu amor, tu entrega y por llenar nuestros días de luz. Elisa y yo somos bendecidos de tenerte; eres nuestro corazón, nuestro motor, nuestra ilusión y nuestro hogar. Que este nuevo año te devuelva en alegrías, felicidad, risas, y bendiciones todo el amor que nos das. Te amamos infinitamente!! Feliz cumpleaños mi amor!! Que sean muchos más años celebrando los tres!!</t>
  </si>
  <si>
    <t>Javier y Elisa</t>
  </si>
  <si>
    <t>Entregar entre las 12 pm y la 1 pm</t>
  </si>
  <si>
    <t>mariam</t>
  </si>
  <si>
    <t>alandete</t>
  </si>
  <si>
    <t>mariam alandete</t>
  </si>
  <si>
    <t xml:space="preserve">amanda </t>
  </si>
  <si>
    <t>rivero</t>
  </si>
  <si>
    <t>LUCIA ARTEAGA</t>
  </si>
  <si>
    <t>CARRERA 44#84-51 edificio genesis, centro historico - Edificio</t>
  </si>
  <si>
    <t>301 2216619</t>
  </si>
  <si>
    <t>Sé.
Quién me mira sin decirlo,
quién roza mi mano
fingiendo casualidad.
Sé quién duele con mi ausencia
y me abriga cuando lloro.
Sé ser luz en tu piel
y hoguera en tu costado.
Y cuando seas menos,
aquí estaré.</t>
  </si>
  <si>
    <t>por favor, entregarle el pedido a la persona, no dejarlo en porteria.</t>
  </si>
  <si>
    <t>margarita</t>
  </si>
  <si>
    <t>margarita ortiz</t>
  </si>
  <si>
    <t>310 7676333</t>
  </si>
  <si>
    <t>chamelias un paquete $ 15.000
eucalipto un paquete $ 15.000</t>
  </si>
  <si>
    <t xml:space="preserve">Juliana </t>
  </si>
  <si>
    <t>Bonilla Ricaurte</t>
  </si>
  <si>
    <t>Ingrid Ricaurte</t>
  </si>
  <si>
    <t>Calle 99A#42f-211 - Conjunto</t>
  </si>
  <si>
    <t>Feliz cumpleaños que Dios te bendiga siempre. Gracias por tu apoyo y amor</t>
  </si>
  <si>
    <t>Con cariño tu esposo e hijos</t>
  </si>
  <si>
    <t xml:space="preserve">Ada Luz </t>
  </si>
  <si>
    <t xml:space="preserve">Echeverria </t>
  </si>
  <si>
    <t xml:space="preserve">Andrea Roca </t>
  </si>
  <si>
    <t>Calle 99 # 65 - 64 T5 Apto 1104 - Edificio</t>
  </si>
  <si>
    <t xml:space="preserve">Querida Andre, no hay palabras suficientes para un dolor como este, pero quiero que sepas que estoy contigo, acompañándolos en la distancia. Les mando todo mi cariño, abrazos y luz. Permítanse sentir, llorar y descansar; no están solos. Aquí estoy para ustedes.  </t>
  </si>
  <si>
    <t>Pensándolos mucho, Ada Luz</t>
  </si>
  <si>
    <t>Por favor que sea lo más blanco posible</t>
  </si>
  <si>
    <t>cra 51#76 175 - Casa</t>
  </si>
  <si>
    <t>canastos con (aster blanco,eucalipto,blanco,toque de clavel mandarina y rosado)NO ALTO,PERO SI ORGANICOS
para los 15 frasquitos ambar  se le pueden hacer con gypso,rosas de jardín NO EUCALIPTO,astromelia blanca</t>
  </si>
  <si>
    <t xml:space="preserve">Leiva Sánchez </t>
  </si>
  <si>
    <t xml:space="preserve">Mayra Alejandra vera Duarte </t>
  </si>
  <si>
    <t>Tv 3b # 22-246 - Edificio  Horizonte de villa campestre  Torre 1 apartamento 2003</t>
  </si>
  <si>
    <t>321 6187636</t>
  </si>
  <si>
    <t>1× Mini Box Claveles | 1× Mini Box Orquidea</t>
  </si>
  <si>
    <t>No hay palabra para decirte lo mucho que te amo, desde que llegaste a mi vida has transformado mi mundo desde la distancia he aprendido el valor del amor sincero y genuino Dios nos ha puesto a prueba espero que sepamos comprender cada situación que se nos presente te amo mucho mi cielo hermoso espero darte un día diferente !!!</t>
  </si>
  <si>
    <t>Con mucho amor desde la distancian</t>
  </si>
  <si>
    <t>8 de la mañana el envío</t>
  </si>
  <si>
    <t xml:space="preserve">Agustín </t>
  </si>
  <si>
    <t>Carmen Ospino</t>
  </si>
  <si>
    <t>Calle 94 # 71-91 edificio reserva de la Carolina torre 2 apto 901 - Edificio</t>
  </si>
  <si>
    <t xml:space="preserve">Hoy son 5 meses de esta nueva y maravillosa etapa y Dios te regala más fuerza y más amor para lo que viene. </t>
  </si>
  <si>
    <t>Agustín Torres</t>
  </si>
  <si>
    <t>Detalle para madre en embarazo</t>
  </si>
  <si>
    <t>Verónica</t>
  </si>
  <si>
    <t>Machado</t>
  </si>
  <si>
    <t>Miriam benavides</t>
  </si>
  <si>
    <t>Kra 64b#86-175 - Edificio</t>
  </si>
  <si>
    <t>yerina osorio</t>
  </si>
  <si>
    <t>22222</t>
  </si>
  <si>
    <t xml:space="preserve">Para lo más bonito de mi vida </t>
  </si>
  <si>
    <t>rosas rosadas y blancas</t>
  </si>
  <si>
    <t>rosas blancas y rosadas</t>
  </si>
  <si>
    <t>villa</t>
  </si>
  <si>
    <t>jaime villa</t>
  </si>
  <si>
    <t>jose gregorio</t>
  </si>
  <si>
    <t>hoyos</t>
  </si>
  <si>
    <t>jose gregorio hoyos</t>
  </si>
  <si>
    <t>inversiones pento sas</t>
  </si>
  <si>
    <t>314 7791720</t>
  </si>
  <si>
    <t xml:space="preserve">LUCIANO </t>
  </si>
  <si>
    <t>COPETE</t>
  </si>
  <si>
    <t>: Alexandra Vasquez</t>
  </si>
  <si>
    <t>Cra 52 #86-97 - Casa</t>
  </si>
  <si>
    <t>OJO PONERLE LAS ROSAS ROSADAS O LONDON</t>
  </si>
  <si>
    <t>yeison</t>
  </si>
  <si>
    <t>yeison mejía</t>
  </si>
  <si>
    <t>NICOLAS</t>
  </si>
  <si>
    <t>NICOLAS VARGAS</t>
  </si>
  <si>
    <t>HILDA</t>
  </si>
  <si>
    <t>el riu 52 apto 401 - Casa</t>
  </si>
  <si>
    <t>301 3638788</t>
  </si>
  <si>
    <t>LOS DEL BAÑO SOLO EUCALIPTO Y EL ALTO CON VERDE ,EUCALIPTO Y CLAVEL O FUYI BLANCO</t>
  </si>
  <si>
    <t>Emmanuel Hernandez</t>
  </si>
  <si>
    <t>2 paquete de eucalipto</t>
  </si>
  <si>
    <t>Cra 65 #99-109 apto 1021 torre 4 central garden. - Edificio</t>
  </si>
  <si>
    <t>1× Guacal Surtido Lirio | 1× Oso de Peluche</t>
  </si>
  <si>
    <t>Bienvenido primito Maxi , te amamos con el corazon !!</t>
  </si>
  <si>
    <t>Con amor Mariana y Alejita</t>
  </si>
  <si>
    <t>El peluche es para un niño</t>
  </si>
  <si>
    <t xml:space="preserve">paola </t>
  </si>
  <si>
    <t>montero  rua</t>
  </si>
  <si>
    <t>apartamento - Edificio</t>
  </si>
  <si>
    <t>Solo pase a dejarte un saludito, robarme una sonrisa.</t>
  </si>
  <si>
    <t>paola</t>
  </si>
  <si>
    <t xml:space="preserve"> Danilso</t>
  </si>
  <si>
    <t xml:space="preserve"> Díaz</t>
  </si>
  <si>
    <t xml:space="preserve"> Alexandra cuadros </t>
  </si>
  <si>
    <t>Cra. 53 #106-280, centro empresarial buenavista - Edificio</t>
  </si>
  <si>
    <t xml:space="preserve"> Para que sigas soñando conmigo</t>
  </si>
  <si>
    <t xml:space="preserve">Garavito </t>
  </si>
  <si>
    <t xml:space="preserve">Luna Ángulo Rodríguez </t>
  </si>
  <si>
    <t>Conjunto golondrina torre 5 apto 301 - Conjunto</t>
  </si>
  <si>
    <t xml:space="preserve">Torre 5 apto 301 </t>
  </si>
  <si>
    <t>Con cariño Sebastian Garavito</t>
  </si>
  <si>
    <t>Ningun tulipán es mejor que una rosa , y ninguna rosa es tan perfecta como tu</t>
  </si>
  <si>
    <t xml:space="preserve">Freddy </t>
  </si>
  <si>
    <t>Etel Rada</t>
  </si>
  <si>
    <t>Que todo lo que llegue, sea mejor de lo que buscas, dure más de lo que esperas y te haga más feliz de lo que pudiste imaginar.
Feliz Cumpleaños Bonita...</t>
  </si>
  <si>
    <t>los colores más vivos que manejes</t>
  </si>
  <si>
    <t>Stefanie</t>
  </si>
  <si>
    <t xml:space="preserve"> Luque </t>
  </si>
  <si>
    <t>stefanie luquer</t>
  </si>
  <si>
    <t>Ciudad de Mallorquin</t>
  </si>
  <si>
    <t>Carrera 22 # 1E - 127 Apto 208 Torre 1  Ciudad Mallorquin | Edificio Manglar - Casa</t>
  </si>
  <si>
    <t>BOUQUET DE 12 CARTUCHOS BLANCOS Y BOTONIER COMO FOTO</t>
  </si>
  <si>
    <t>MARIANA Y OSCAR</t>
  </si>
  <si>
    <t>Edificio Vizcayne Cra 51 con 81. Apartamento 704. - Edificio</t>
  </si>
  <si>
    <t>Gabriel,
Bienvenido a este mundo, Dios te premió con unos padres maravillosos! Gracias por ser mensajero de amor y felicidad!
Muchas bendiciones,
Mau y Lau.</t>
  </si>
  <si>
    <t>en colores azules y blanco</t>
  </si>
  <si>
    <t>Myriam</t>
  </si>
  <si>
    <t>Vargas mendoza</t>
  </si>
  <si>
    <t>Myriam de vargas</t>
  </si>
  <si>
    <t xml:space="preserve">Te. Hago llegar una tarjeta  mañana temprano para. Que me la imprimas puedes???? X favor ahí iría el mensaje </t>
  </si>
  <si>
    <t xml:space="preserve">Nathaly </t>
  </si>
  <si>
    <t xml:space="preserve">Elizabeth Tovio </t>
  </si>
  <si>
    <t>Calle 60 #50-26 - Casa</t>
  </si>
  <si>
    <t>Eli, 
Te deseo una pronta recuperación, todo va a salir muy bien, no estás sola.❤️</t>
  </si>
  <si>
    <t>Es un regalo anónimo, entonces no colocar nada de mis datos porfa</t>
  </si>
  <si>
    <t xml:space="preserve"> Rios</t>
  </si>
  <si>
    <t>Julian Rios</t>
  </si>
  <si>
    <t>ID de la orden
2422847413</t>
  </si>
  <si>
    <t xml:space="preserve"> linda </t>
  </si>
  <si>
    <t xml:space="preserve"> Florián</t>
  </si>
  <si>
    <t>Florián Silva</t>
  </si>
  <si>
    <t>calle 59 #44-66 - Casa</t>
  </si>
  <si>
    <t>1× Flora Gift Box JP | 1× Oso de Peluche</t>
  </si>
  <si>
    <t>Hola, Spoiler familiar:
hay un bebé en camino.
Abuelos y tíos, este año llenamos la casa de bebés.</t>
  </si>
  <si>
    <t>Rosa Sanmiguel</t>
  </si>
  <si>
    <t>Carrera 4 # 38b - Casa</t>
  </si>
  <si>
    <t>Feliz cumpleaños Rosi preciosa! Que este nuevo año te abrace bonito, te haga reír mucho y te regale mil razones para agradecer🤍💛</t>
  </si>
  <si>
    <t>Con mucho amor, María, Mahi y Rosie</t>
  </si>
  <si>
    <t xml:space="preserve">Heredia </t>
  </si>
  <si>
    <t xml:space="preserve">Alejandra Garcia </t>
  </si>
  <si>
    <t>Carrera 48 # 76-81 apto 902 edificio Kairos - Edificio</t>
  </si>
  <si>
    <t>Feliz cumpleaños Aleja, que Dios te bendiga y te dé muchos años más de vida, este detalle es con todo el amor del mundo para que nos sientas más cerquita en este día tan especial 
Te amamos 🩷</t>
  </si>
  <si>
    <t>Juli y Tatis</t>
  </si>
  <si>
    <t>Yesit</t>
  </si>
  <si>
    <t xml:space="preserve">Orly Arrieta </t>
  </si>
  <si>
    <t>Cll 99 #65-64 edificio gratia torre 2-903 - Conjunto</t>
  </si>
  <si>
    <t>Feliz cumpleaños!!
Que este nuevo año de vida llegue cargado de calma, sonrisas y muchos motivos para celebrar.
Gracias por tu guía y tu ejemplo. Que hoy y siempre florezcan cosas lindas para ti.</t>
  </si>
  <si>
    <t>Con cariño Yesit</t>
  </si>
  <si>
    <t>Omaris</t>
  </si>
  <si>
    <t>Ruíz</t>
  </si>
  <si>
    <t>Omaris Ruíz</t>
  </si>
  <si>
    <t>La vida me regalo un instante a tu lado, mi corazón decidió que ese instante fuera eterno</t>
  </si>
  <si>
    <t>Con amor, Omi</t>
  </si>
  <si>
    <t>Cra 51# 84-149 - Edificio</t>
  </si>
  <si>
    <t>1× Flora Box Solitario Tulipan | 1× Canasto Mediano Sweet</t>
  </si>
  <si>
    <t>Te deseo un año lleno de salud, aprendizajes y momentos felices. Que sigas creciendo con alegría y cumpliendo cada una de tus metas.
Disfruta mucho tu día.</t>
  </si>
  <si>
    <t>Con cariño, tu abuelo</t>
  </si>
  <si>
    <t>Tuttos Sport Caribe</t>
  </si>
  <si>
    <t xml:space="preserve">Monica Martínez </t>
  </si>
  <si>
    <t>Cra 52 #79-45, edificio El emperador, apto 12 - Casa</t>
  </si>
  <si>
    <t>1× Virgen  Milagrosa Grande</t>
  </si>
  <si>
    <t>“Que la alegría del Señor sea tu fuerza y su amor incondicional te sostenga todos los días de tu vida, Feliz Cumpleaños, con cariño… Kiara “</t>
  </si>
  <si>
    <t xml:space="preserve"> Valerie </t>
  </si>
  <si>
    <t>Frangie</t>
  </si>
  <si>
    <t>Gaby Nieto  (wedding planner)</t>
  </si>
  <si>
    <t>hotel el prado, Dirección: Cra. 54 #70-10 - Casa</t>
  </si>
  <si>
    <t xml:space="preserve">318 5864253 </t>
  </si>
  <si>
    <t>Mayrita, contigo siempre. Que la felicidad, el amor, la familia y el respeto sea su único destino.
Te adoro,
Val.</t>
  </si>
  <si>
    <t>flores surtidas $ 79.000</t>
  </si>
  <si>
    <t xml:space="preserve">Bedoya Madrid </t>
  </si>
  <si>
    <t xml:space="preserve"> Alejandra Osorio</t>
  </si>
  <si>
    <t>Cra 47 # 100-14 Apt 404 Torre A.                            Edificio Alameda 100 46 - Casa</t>
  </si>
  <si>
    <t>Mariantonia Mejia</t>
  </si>
  <si>
    <t>Calle 1A#30-61, edificio sunset boulevard, torre 2 apto 714 - Edificio</t>
  </si>
  <si>
    <t>Mi amor! No te olvides que estas lo suficientemente joven para no dejar de soñar y lo suficientemente sabia para cumplirlo todo. Gracias por hacer la vida muy feliz. Te quiero!</t>
  </si>
  <si>
    <t>MAS</t>
  </si>
  <si>
    <t xml:space="preserve">Mendoza González </t>
  </si>
  <si>
    <t xml:space="preserve">Monica </t>
  </si>
  <si>
    <t>Calle 83 #70-41 - Casa</t>
  </si>
  <si>
    <t>Hola mi amor! Pienso en los buenos momentos que compartimos juntos cada día y solo espero seguir sumando muchos recuerdos a tu lado. Eres la luz de mi vida y te quiero cada día más.
Feliz cumpleaños ❤️</t>
  </si>
  <si>
    <t xml:space="preserve">Olga lucia </t>
  </si>
  <si>
    <t xml:space="preserve">Erazo </t>
  </si>
  <si>
    <t xml:space="preserve">Mariana Tovar </t>
  </si>
  <si>
    <t>Cra 64# 99-100 apto 314 torre 3 central Park - Conjunto</t>
  </si>
  <si>
    <t>Feliz vuelta al sol mi amor, gracias por esa luz hermosa que tienes y contagiarnos de ella, no la apagues nunca.
Te ama muchísimo
tu negrita🤍</t>
  </si>
  <si>
    <t>Trini</t>
  </si>
  <si>
    <t>Michael</t>
  </si>
  <si>
    <t>Hainsfurth</t>
  </si>
  <si>
    <t>Michael Hainsfurth</t>
  </si>
  <si>
    <t>Calle 80 No. 51 B - 25, Barranquilla, Atlantico, 80020 Colombia - Edificio</t>
  </si>
  <si>
    <t>Para la mejor mamá del mundo. Eres la razón y mi propósito de pelear por too en esta vida para que nunca te falté nada. Te amo con mi vida mami</t>
  </si>
  <si>
    <t>Con mucho amor tu hijo favorito y Melanie.</t>
  </si>
  <si>
    <t>Feliz cumpleaños. 66 añitos</t>
  </si>
  <si>
    <t>daniel</t>
  </si>
  <si>
    <t>durán</t>
  </si>
  <si>
    <t>daniel durán</t>
  </si>
  <si>
    <t>le queda como saldo a su favor 50.000</t>
  </si>
  <si>
    <t>estrada</t>
  </si>
  <si>
    <t>daniel estrada</t>
  </si>
  <si>
    <t>ID de la orden
2423009714</t>
  </si>
  <si>
    <t>none</t>
  </si>
  <si>
    <t>Laura none</t>
  </si>
  <si>
    <t>3223064036,</t>
  </si>
  <si>
    <t>ID de la orden
2422872211</t>
  </si>
  <si>
    <t xml:space="preserve">STEPHANIE </t>
  </si>
  <si>
    <t>PALACIO MONSALVO</t>
  </si>
  <si>
    <t>Sra Kary</t>
  </si>
  <si>
    <t>Carrera 42 #87-195 - Casa</t>
  </si>
  <si>
    <t xml:space="preserve">Le deseo un feliz cumpleaños y Pido a Dios que derrame sobre usted y su familia lluvia infinita de bendiciones, que el amor y gracia  de Dios le acompañen siempre.                                                      </t>
  </si>
  <si>
    <t>Con cariño y respeto, Gerardo García.</t>
  </si>
  <si>
    <t xml:space="preserve">Aura </t>
  </si>
  <si>
    <t>Camelo</t>
  </si>
  <si>
    <t>Aura Camelo</t>
  </si>
  <si>
    <t>300 5074397</t>
  </si>
  <si>
    <t xml:space="preserve">Novamed SAS </t>
  </si>
  <si>
    <t xml:space="preserve">Marina Camacho </t>
  </si>
  <si>
    <t>Carrera 53#79-212 Hotel Sheraton Four Points - Centro Comercial</t>
  </si>
  <si>
    <t>Gracias por 21 años de entrega, compromiso y vocación.
Tu labor deja una huella imborrable en nuestra compañia.
Te deseamos una nueva etapa llena de bienestar y bendiciones.</t>
  </si>
  <si>
    <t>Pedro González</t>
  </si>
  <si>
    <t>Entregar en recepción hotel Sheraton four points. Llamar al 3007335753 para recibir el pedido</t>
  </si>
  <si>
    <t>Trianna</t>
  </si>
  <si>
    <t xml:space="preserve">Ortiz montaña </t>
  </si>
  <si>
    <t xml:space="preserve">Ana Maragarita Leon </t>
  </si>
  <si>
    <t>Cra 20 # 2a-10  casa 109 conj terra by kaia - Conjunto</t>
  </si>
  <si>
    <t>Grupo Catarsis</t>
  </si>
  <si>
    <t>Briceño</t>
  </si>
  <si>
    <t xml:space="preserve">Tika Suárez </t>
  </si>
  <si>
    <t>Smart fit mall plaza - Centro Comercial</t>
  </si>
  <si>
    <t xml:space="preserve">Un mes más y aún no creo la suerte que tengo de tenerte a mi lado. </t>
  </si>
  <si>
    <t>Con amor, Danyel Coach</t>
  </si>
  <si>
    <t>María edith</t>
  </si>
  <si>
    <t>vergel</t>
  </si>
  <si>
    <t>María edith vergel</t>
  </si>
  <si>
    <t>12 rosas rosadas</t>
  </si>
  <si>
    <t>villarreal</t>
  </si>
  <si>
    <t>melisa</t>
  </si>
  <si>
    <t>Carrera 64#98-90 apto 709 Alameda campestre Torre 3 - Edificio</t>
  </si>
  <si>
    <t>arthur</t>
  </si>
  <si>
    <t>winston</t>
  </si>
  <si>
    <t>arthur winston</t>
  </si>
  <si>
    <t xml:space="preserve">Matusalem Gerardo </t>
  </si>
  <si>
    <t xml:space="preserve">Hernández Roldán </t>
  </si>
  <si>
    <t xml:space="preserve">Ines Vanessa </t>
  </si>
  <si>
    <t>Cra. 51B #90 Corner, Riomar, Barranquilla, Atlántico, Colombia - Centro Comercial</t>
  </si>
  <si>
    <t>Si recibes mis flores y mi tarjeta
Ponlas en la mesa, cuéntale a todos
Que hay loco obsesionado contigo
Que le falta un tornillo y se siente poeta</t>
  </si>
  <si>
    <t>Con cariño tu charro</t>
  </si>
  <si>
    <t>El local se llama virrey Solís en específico, de la plaza comercial</t>
  </si>
  <si>
    <t xml:space="preserve"> Dangond </t>
  </si>
  <si>
    <t>Valentina Dangond</t>
  </si>
  <si>
    <t>316 5222133</t>
  </si>
  <si>
    <t>Bouquet de novia rosas blancas</t>
  </si>
  <si>
    <t>BOUQUE DE NOVIA EN ROSAS BLANCAS COMO FOTO</t>
  </si>
  <si>
    <t>Carrera 52#79-45</t>
  </si>
  <si>
    <t>Carrera 52#79-45 - Edificio</t>
  </si>
  <si>
    <t>1× Mini Box Orquidea | 1× Mini Box Hortensias y Mini Rosa</t>
  </si>
  <si>
    <t>2 tarjetas para 2 mensajes diferente.
Mensaje #1
Madre de mi vida hoy quiero darte las gracias por existir, por estar sana, por estar viva, gracias por cuidar a mis hijas como tuyas, Gracias por seguir cuidando de mi. Mami te amo con mi vida y pido a Dios que seas eterna porque sin ti, yo no sería nada. Feliz cumpleaños. Con amor tu 1er tesoro.
Mensaje #2
Mami feliz cumpleaños, eres la mejor mamá del mundo, gracias por estar siempre para mí, apoyarme y regalarme esas fuerzas que necesito para seguir adelante. Te mando un abrazo desde la distancia. Te ama tu hija favorita.</t>
  </si>
  <si>
    <t>Deje 2 mensajes para 3 tarjetas</t>
  </si>
  <si>
    <t>juanita</t>
  </si>
  <si>
    <t>abello</t>
  </si>
  <si>
    <t>juanita abello</t>
  </si>
  <si>
    <t xml:space="preserve">Viviana </t>
  </si>
  <si>
    <t xml:space="preserve">Dora Luz Díaz </t>
  </si>
  <si>
    <t>Calle 84 #80-40 - Casa</t>
  </si>
  <si>
    <t>Querida Mimi:
Enzo y Luca te esperan con el amor intacto y los brazos abiertos. Te necesitan fuerte, llena de vida y de luz. Que Dios te envuelva en sanación y esperanza, y que muy pronto volvamos a tenerte en casa con tu sonrisa de siempre. Estamos contigo en cada paso. 
Te amamos.</t>
  </si>
  <si>
    <t>Con amor, Familia Díaz Navarro</t>
  </si>
  <si>
    <t>Bueso</t>
  </si>
  <si>
    <t>Luis Esguerra</t>
  </si>
  <si>
    <t>calle 87#53-122 edificio IBIZA apto 402B Barrio Riomar - Casa</t>
  </si>
  <si>
    <t>Cada día falta menos para verte, mientras tanto aquí va un pedacito de mi amor.
Att: Alejandro B.</t>
  </si>
  <si>
    <t>Con cariño Alejandro B.</t>
  </si>
  <si>
    <t>Cada día falta menos para verte, mientras tanto aquí va un pedacito de mi amor
Att: Alejandro B.</t>
  </si>
  <si>
    <t>kale</t>
  </si>
  <si>
    <t>anders</t>
  </si>
  <si>
    <t>kale anders</t>
  </si>
  <si>
    <t>hotel movich no ha dado la habitación - Edificio</t>
  </si>
  <si>
    <t>302 4083398</t>
  </si>
  <si>
    <t>1× Corazón Extragrande | 1× Corazón Grande Rosas | 1× Corazón Mediano Rosas</t>
  </si>
  <si>
    <t>Transferencia 0005</t>
  </si>
  <si>
    <t>lleva 2 bolsas de pétalos de 25,000 cada una</t>
  </si>
  <si>
    <t xml:space="preserve">Ana Milena D'Onofrio </t>
  </si>
  <si>
    <t>Carrera 20#2a-10 - Casa</t>
  </si>
  <si>
    <t>Te amo profundamente.
Admiro tu valentía infinita.
Estoy contigo,
hoy y siempre.
Con todo mi amor,.</t>
  </si>
  <si>
    <t xml:space="preserve">Sileana </t>
  </si>
  <si>
    <t>Roca</t>
  </si>
  <si>
    <t>Cra 53 No 80-284 - Edificio</t>
  </si>
  <si>
    <t>Adabia</t>
  </si>
  <si>
    <t>Mi baby con todo mi amor 🩷 para endulzarte la tarde y recordarte que te amo mucho!! 🫶🏼🫶🏼</t>
  </si>
  <si>
    <t>Sileana</t>
  </si>
  <si>
    <t>Montaño</t>
  </si>
  <si>
    <t>Jose y Andrea Fragozo</t>
  </si>
  <si>
    <t>Calle 99 # 65 -64 T5 Apto 1104 - Edificio</t>
  </si>
  <si>
    <t>“Y la paz de Dios, que sobrepasa todo entendimiento, cuidará sus corazones.”
Filipenses 4:7
Andre y Jose, Con mucho amor. Que sientan a Dios cerca, abrazándolos, sanando su corazón y cuidando cada paso. Los amamos</t>
  </si>
  <si>
    <t>Familia Montaño Peña</t>
  </si>
  <si>
    <t>Jonatan</t>
  </si>
  <si>
    <t>Hernández Gamez</t>
  </si>
  <si>
    <t xml:space="preserve">Johana Narváez </t>
  </si>
  <si>
    <t>CRA 61#72-104 - Oficina</t>
  </si>
  <si>
    <t>1× Mini Box Hortensias y Mini Rosa | 1× Ferrero Rocher 8 und</t>
  </si>
  <si>
    <t>Quiero expresarte hoy desde el alma que A pesar que no estamos bien, estoy convencido que eres mi mayor felicidad y que Te Amo más que nada.
Perdoname por no saber cuidarte pero te prometo que todos los días daré lo mejor y lucharé por nosotros.
Te Amoo
"Comete tu sola los chocolates "</t>
  </si>
  <si>
    <t>Megan</t>
  </si>
  <si>
    <t>Sonen</t>
  </si>
  <si>
    <t>Verónica Massard</t>
  </si>
  <si>
    <t>Cra 52#99A-168, Casa 8 - Conjunto</t>
  </si>
  <si>
    <t>Te amo y te extraño Ma, siempre acompañándote de corazón 🤍
Feliz cumpleaños!! Por muchos más</t>
  </si>
  <si>
    <t>Megy</t>
  </si>
  <si>
    <t>zioon - Edificio</t>
  </si>
  <si>
    <t xml:space="preserve">María José </t>
  </si>
  <si>
    <t xml:space="preserve">Armenta </t>
  </si>
  <si>
    <t>Vicky Chaur</t>
  </si>
  <si>
    <t>Cra 58 # 94 - 150 Edificio Plaza 94 - Edificio</t>
  </si>
  <si>
    <t>Amiga 
Te acompañamos en tu recuperación!✨ Recuerda que definitivamente tu magia está en tu ser!✨ Estamos muy felices de verte re mamasitaaaaa con tu nueva nariz linda y hermosa! 
TE AMAMOS 
Majo, Maya y Pau!</t>
  </si>
  <si>
    <t>Nathalie Barreneche</t>
  </si>
  <si>
    <t>Cra 71#94-124 Apto 704 torre 1 - Casa</t>
  </si>
  <si>
    <t>301 5229731</t>
  </si>
  <si>
    <t xml:space="preserve">Nath! Feliz Cumpleaños!! Te amamos </t>
  </si>
  <si>
    <t>Familia. Garcia Pinzon Williams</t>
  </si>
  <si>
    <t>Ignacio</t>
  </si>
  <si>
    <t>Olga Casarosa</t>
  </si>
  <si>
    <t>Carrera 21B Numero 68 - 53 - Casa</t>
  </si>
  <si>
    <t>En este dia tan especial, le pido a Dios que te bendiga para que sean muchos mas!!! Feliz Feliz Cumpleaños Olga!!!</t>
  </si>
  <si>
    <t>EDUARDO</t>
  </si>
  <si>
    <t>BERMUDEZ</t>
  </si>
  <si>
    <t>HEIDY BARRERA</t>
  </si>
  <si>
    <t>1301 TORRE 1 - Edificio</t>
  </si>
  <si>
    <t>1× Flora Box Mediana Topiario y peluche</t>
  </si>
  <si>
    <t>Estas flores llevan un mensaje silencioso, pero lleno de mucho amor.
La vida no te ha sido fácil y, aun así, sigues de pie.
Eso lo dice todo de ti.
Quiero que confíes: las tormentas no son eternas,
y tú tienes una fuerza y una energía inmensa
que inspiran a quienes te rodean.
No lo olvides.
Paso a paso, incluso cuando el camino parezca oscuro,
la luz siempre encuentra la forma de aparecer.
No estás sola.
Estoy a tu lado, sosteniéndote, apoyándote
y, sobre todo, queriéndote mucho.
Te admiro y creo profundamente en ti.</t>
  </si>
  <si>
    <t>Con cariño, Eduardo Bermudez</t>
  </si>
  <si>
    <t xml:space="preserve">Juan Manuel  </t>
  </si>
  <si>
    <t>Maestre</t>
  </si>
  <si>
    <t>Juan Manuel Maestre</t>
  </si>
  <si>
    <t>Ashton</t>
  </si>
  <si>
    <t>Mary Sanchez</t>
  </si>
  <si>
    <t>Carrera 59B # 86-148 - Casa</t>
  </si>
  <si>
    <t>Querida Mary,
¡Feliz cumpleaños! Espero que tengas un día muy feliz y especial. Bendiciones en este año más de vida.</t>
  </si>
  <si>
    <t>Abrazos, La Rana Platanera</t>
  </si>
  <si>
    <t>Por favor usar tonos naranja y amarillo, dentro de lo posible</t>
  </si>
  <si>
    <t xml:space="preserve">Mestre </t>
  </si>
  <si>
    <t xml:space="preserve">Esposa </t>
  </si>
  <si>
    <t>Carrera 65 99-109 - Casa</t>
  </si>
  <si>
    <t>Jainer</t>
  </si>
  <si>
    <t>Rosales Martinez</t>
  </si>
  <si>
    <t>Jainer Rosales</t>
  </si>
  <si>
    <t>Cra 44 #88-40 apto 1203 - Casa</t>
  </si>
  <si>
    <t>1 año contigo, y los que faltan!
Te amo ❤️</t>
  </si>
  <si>
    <t>JRM</t>
  </si>
  <si>
    <t>Favor enviar en horas en la mañana del día sábado</t>
  </si>
  <si>
    <t xml:space="preserve">claudia </t>
  </si>
  <si>
    <t>giaimo</t>
  </si>
  <si>
    <t>claudia giaimo</t>
  </si>
  <si>
    <t>cra 56 96-115 edificio Tempus apto 2D - Edificio</t>
  </si>
  <si>
    <t>2 mini box y una mini plus box diseño como la box tierra</t>
  </si>
  <si>
    <t>María Claudia Sánchez de Schiller</t>
  </si>
  <si>
    <t>53 No. 92 - 75 - Casa</t>
  </si>
  <si>
    <t>Para la mejor de todas, tú eres la 10, mamá 10, novia 10, esposa 10, amante 10, cómplice 10.
De ñapa mis hijo 10, mi hogar 10, en fin gracias a Dios por ponerte en mi vida y permitirme hacer parte de la tuya, gracias por ser esa excelente mujer, honesta, fiel, amorosa, entregada, abnegada, inteligente, luchadora, total eres la idónea que Dios puso en mi camino.
TE AMO HASTA EL INFINITO Y MÁS ALLÁ.</t>
  </si>
  <si>
    <t>Carlos Mario Schiller de Sánchez.</t>
  </si>
  <si>
    <t xml:space="preserve">Lamus </t>
  </si>
  <si>
    <t xml:space="preserve">Karol Daza </t>
  </si>
  <si>
    <t>Calle 98 # 65 A -54, torre 1, apto 701 - Conjunto</t>
  </si>
  <si>
    <t>(301) 371-2885</t>
  </si>
  <si>
    <t>Feliz cumpleaños Princesa! Disfruta tu último cumpleaños soltera!</t>
  </si>
  <si>
    <t>Con  Amor, Jesús!</t>
  </si>
  <si>
    <t>Reyes</t>
  </si>
  <si>
    <t>Natalia Zamora Marrugo</t>
  </si>
  <si>
    <t>Transversal 43C #102-153 Sorrento, Torre 2, apto. - Edificio</t>
  </si>
  <si>
    <t>Flaquita:
Te agradezco tanto por cada memoria que creamos juntos. Me voy lleno de cariño. Me voy cargado de muchas risas, abrazos tiernos y largos, de pasos salseros, y patacones bañados con ajo. Me voy llevándote conmigo en mi muñeca derecha y mi corazón. Te quiero mucho, Flaquita Bella. Hasta muy pronto.</t>
  </si>
  <si>
    <t>Carlos, quien pidió video llamada 🤭</t>
  </si>
  <si>
    <t>Bouquet surtido</t>
  </si>
  <si>
    <t>Olga Olivella De Rueda</t>
  </si>
  <si>
    <t>Cra 50 # 80-273 Torres de Salem Apt 181A - Edificio</t>
  </si>
  <si>
    <t>Que en este nuevo año Dios le brinde mucha paz, amor y felicidad. 
Felices 90 años abuela❤️</t>
  </si>
  <si>
    <t>Un fuerte abrazo, Jorge Mario</t>
  </si>
  <si>
    <t>radisom</t>
  </si>
  <si>
    <t>kelly pereira</t>
  </si>
  <si>
    <t>clle 77#58-68 registraduría princial - Casa</t>
  </si>
  <si>
    <t>FELIZ CUMPLEAÑOS ,HERMOSA,CON MUCHO CARIÑO QUE EN ESTE DÍA DIOS TE CUMPLA TODOS TUS DESEOS.ATT. FREDDY,
 N.Y</t>
  </si>
  <si>
    <t>sharon</t>
  </si>
  <si>
    <t>cra 58#90-136 apto 9 arcangeles - Edificio</t>
  </si>
  <si>
    <t>Ruben</t>
  </si>
  <si>
    <t>Marrero</t>
  </si>
  <si>
    <t>Valeria Sierra</t>
  </si>
  <si>
    <t>Calle 86 #71-96 - Casa</t>
  </si>
  <si>
    <t>304 5865609</t>
  </si>
  <si>
    <t>1× Mini Box Surtida | 1× Flora Box Solitario Rosa</t>
  </si>
  <si>
    <t>Con Cariño, Ruben Dario</t>
  </si>
  <si>
    <t>Para la persona que más amo en este mundo: quiero pasar el resto de mis días junto a ti. Gracias a Dios por ponerte en mi camino.
Moahana 💛🩵</t>
  </si>
  <si>
    <t>de las salas</t>
  </si>
  <si>
    <t>Kiki Caballero</t>
  </si>
  <si>
    <t>carrera 58# 96-141 - Edificio</t>
  </si>
  <si>
    <t>Feliz cumpleaños Kiki! Te amamos y te celebramos hoy y siempre. 
 Benji y Piti</t>
  </si>
  <si>
    <t>WESTER UNION entra directamente a la 3220</t>
  </si>
  <si>
    <t>Frieri</t>
  </si>
  <si>
    <t>Lina Agudelo</t>
  </si>
  <si>
    <t>Cra 56 # 80 - 81 edificio cristal apto 11 - Casa</t>
  </si>
  <si>
    <t>Feliz cumple! 
Te amamos y estamos orgullosos de ti. 
Deseamos que tengas el año más Feliz del mundo mundial</t>
  </si>
  <si>
    <t>Con mucho amor, Luigi, Luca y Luna</t>
  </si>
  <si>
    <t>Falquez Ruiz</t>
  </si>
  <si>
    <t>Jeannine Doyen</t>
  </si>
  <si>
    <t>Calle 75 54-80 apto 3A - Edificio</t>
  </si>
  <si>
    <t xml:space="preserve">Janne. Que pases un día lleno de muchas sorpresas y alegrías. FELIZ CUMPLEAÑOS.
</t>
  </si>
  <si>
    <t>Con Cariño. JULIAN</t>
  </si>
  <si>
    <t>Para hoy por fa</t>
  </si>
  <si>
    <t>cardona</t>
  </si>
  <si>
    <t>kevin cardona</t>
  </si>
  <si>
    <t xml:space="preserve">Gloria Isabel </t>
  </si>
  <si>
    <t xml:space="preserve"> adarve montes </t>
  </si>
  <si>
    <t>Gloria Isabel adarve montes</t>
  </si>
  <si>
    <t>TALLER SÉSAMO Y FLORA</t>
  </si>
  <si>
    <t>Daniela gomez</t>
  </si>
  <si>
    <t>TALLER SESAMO Y FLORA</t>
  </si>
  <si>
    <t>entregado un paquete de chispitas $15,000, un paquete de eucalipto$ 15,000
1 girasol $8000 faltan las flores surtidas de los jarrones. COLORES NARANJA ,AMARILLO FUCSIA Y VERDE ,BIEN BAJITOS</t>
  </si>
  <si>
    <t>colores naranja,fucsia,amarillo,gerberas en los alticos 12 servilleteros en solo eucalipto</t>
  </si>
  <si>
    <t xml:space="preserve">Angie cabarcas </t>
  </si>
  <si>
    <t>Feliz cumpleaños a una de las personas más importantes de mi vida, gracias por tanto amor. Eres inolvidable prince🥺</t>
  </si>
  <si>
    <t>Con todo mi amor, tú prince por siempre… Ac</t>
  </si>
  <si>
    <t>29 de enero de 1996, inolvidable</t>
  </si>
  <si>
    <t>samuel arrieta</t>
  </si>
  <si>
    <t>BOUQUET REDONDO EN ROSAS LONDON OJALÁ ABIERTAS</t>
  </si>
  <si>
    <t>Lau gracias por dejarme disfrutar este viaje contigo, cada momento que pasamos juntos me haces muy feliz, eres muy especial para mí. Te quiero ❤️❤️
-Samuel</t>
  </si>
  <si>
    <t>gypso rosada</t>
  </si>
  <si>
    <t xml:space="preserve">Pepe </t>
  </si>
  <si>
    <t>Pepe juan</t>
  </si>
  <si>
    <t>ID de la orden
2423481347</t>
  </si>
  <si>
    <t>eduardo castro</t>
  </si>
  <si>
    <t xml:space="preserve"> de la hoz</t>
  </si>
  <si>
    <t>cindy angarita</t>
  </si>
  <si>
    <t>cra 74#79-172 casa - Edificio</t>
  </si>
  <si>
    <t>Deseo que estas rosas te llenen de alegría y de amor,y cada vez que la veas recuerdes que siempre estaré para ti... te amo
pedro de la hoz</t>
  </si>
  <si>
    <t xml:space="preserve">Idarraga </t>
  </si>
  <si>
    <t xml:space="preserve">María Paula Botero </t>
  </si>
  <si>
    <t>Carrera 57#96-79/cj Niza 1 casa 8 - Conjunto</t>
  </si>
  <si>
    <t xml:space="preserve">Que te mejores, te amo </t>
  </si>
  <si>
    <t>Tu gordo</t>
  </si>
  <si>
    <t xml:space="preserve">rodolfo </t>
  </si>
  <si>
    <t>barcelo</t>
  </si>
  <si>
    <t>SANDRA BARCELO</t>
  </si>
  <si>
    <t>cra 44 82-65 - Edificio</t>
  </si>
  <si>
    <t>Tu nombre es sinónimo de un amor puro, sacrificado y abnegado.
Tienes en tu interior una fuerza increíble, tu fe remueve montañas y provoca milagros maravillosos.
Eres ejemplo de lo que es el perdón y la dedicación
FELIZ DÍA</t>
  </si>
  <si>
    <t>Rodo y Gabi</t>
  </si>
  <si>
    <t>Dejar en Portería</t>
  </si>
  <si>
    <t>De la Rosa</t>
  </si>
  <si>
    <t>Erika De la Rosa</t>
  </si>
  <si>
    <t>brayan</t>
  </si>
  <si>
    <t>torner</t>
  </si>
  <si>
    <t>brayan torner</t>
  </si>
  <si>
    <t>monroy</t>
  </si>
  <si>
    <t>estefany monroy</t>
  </si>
  <si>
    <t>EUCALIPTO UN PAQUETE</t>
  </si>
  <si>
    <t>Loreira Rocha</t>
  </si>
  <si>
    <t>Feliz cumpleaños a la más linda! Por miles de años más a tu lado Lore! Te amamos muchísimo ❤️</t>
  </si>
  <si>
    <t>Con amor, tus hijos y vale</t>
  </si>
  <si>
    <t>cocina de inmigrantes</t>
  </si>
  <si>
    <t>emp</t>
  </si>
  <si>
    <t>cocina de inmigrantes emp</t>
  </si>
  <si>
    <t xml:space="preserve">Hernández Pertuz </t>
  </si>
  <si>
    <t xml:space="preserve">María Hernández </t>
  </si>
  <si>
    <t>Transversal 44 #104-30 conjunto Florencia torre 6 apto 242 - Conjunto</t>
  </si>
  <si>
    <t>Lo que Dios te ha prometido, tus ojos lo verán.
Orgullosos de ti 
Te amamos</t>
  </si>
  <si>
    <t>Tus padres y hermanos</t>
  </si>
  <si>
    <t>Solo con rosas rosadas y blancas y que de follaje le coloquen eucalipto y gypsophilias</t>
  </si>
  <si>
    <t>Deja</t>
  </si>
  <si>
    <t>Hi</t>
  </si>
  <si>
    <t>Hi - Casa</t>
  </si>
  <si>
    <t>1× Topper Mejorate Pronto | 1× Oso de Peluche | 1× Chocolates Kisses 10 Und | 1× Marquito Girasol</t>
  </si>
  <si>
    <t xml:space="preserve">I hope you get better soon my baby. I love you so much. </t>
  </si>
  <si>
    <t>pino</t>
  </si>
  <si>
    <t>ROSMERY ALVAREZ</t>
  </si>
  <si>
    <t>cra 6 # 47a -266 colegio la divina esperanza - Edificio</t>
  </si>
  <si>
    <t xml:space="preserve">DEJA TARJETA
</t>
  </si>
  <si>
    <t xml:space="preserve">Sofía </t>
  </si>
  <si>
    <t>Callejas</t>
  </si>
  <si>
    <t>Estefany Callejas</t>
  </si>
  <si>
    <t>Carrera 51B #106-250  Conjunto castellana 51  Apto 301 - Casa</t>
  </si>
  <si>
    <t>Feliz cumpleaños hija, que Dios te bendiga siempre y te cuide. Te deseamos lo mejor en tu día, siempre estaremos para ti.
Te queremos mucho.</t>
  </si>
  <si>
    <t>Tus papitos, con mucho amor</t>
  </si>
  <si>
    <t>Carmen Alandete Rappi</t>
  </si>
  <si>
    <t>Entre música y color brillas sin igual, corona de sueños, reina del carnaval. Pero más allá del oro y el aplauso fiel, eres la reina eterna de mi querer. Luis Alandete</t>
  </si>
  <si>
    <t>ID de la orden
2423661605</t>
  </si>
  <si>
    <t>CARLOS YESID</t>
  </si>
  <si>
    <t>COTES GARCIA</t>
  </si>
  <si>
    <t xml:space="preserve">Carlos Cotes </t>
  </si>
  <si>
    <t>Restaurante - Edificio</t>
  </si>
  <si>
    <t>"¡Lo lograste, amor! Qué increíble ver que por fin eres profesional. Sé que hubo días pesados, de estudiar mil procesos y dietas, pero ver tu felicidad hoy hace que todo haya valido la pena. Tienes una vocación hermosa y el mundo tiene suerte de tenerte como nutricionista. ¡Te amo y no puedo esperar a ver todo lo que vas a lograr!"</t>
  </si>
  <si>
    <t>Carlos Valbuena</t>
  </si>
  <si>
    <t>Margarita Chardaux</t>
  </si>
  <si>
    <t>Cra 59#59-166 piso 3 Dirección Digital - Oficina</t>
  </si>
  <si>
    <t>Margui💛
Gracias por tu entrega, tu apoyo y los momentos compartidos. Te deseamos una etapa llena de tranquilidad, felicidad y mucha salud🫶🏼
Con cariño,
Tus Pms Dani, Kris, Luz, Andre, Digna, Vin y Ada🥰</t>
  </si>
  <si>
    <t xml:space="preserve">Garrido </t>
  </si>
  <si>
    <t>Laura avila</t>
  </si>
  <si>
    <t>Chiki Feliz cumpleaños!!
Que Dios te abrace con infinita salud, te multiplique las bendiciones en el hogar que te ha regalado y siga fortaleciendo tu fe, ilumine tu fuerza y nos permita compartir nuestra linda amistad hasta viejitas y más allá !! 
Te amo !!</t>
  </si>
  <si>
    <t>Kary G.</t>
  </si>
  <si>
    <t>Bonny Castro</t>
  </si>
  <si>
    <t>Cra 41#63-30 apto 605 - Edificio</t>
  </si>
  <si>
    <t>Ahijada Hermosa💜
Hoy celebramos tu constancia, tu vocación y tu gran corazón. Felicitaciones por este logro tan merecido. El mundo necesita más personas como tú. Con todo mi amor🫶🏼
Yomaira Sarmiento</t>
  </si>
  <si>
    <t>merly</t>
  </si>
  <si>
    <t>julio blanco</t>
  </si>
  <si>
    <t>merly julio blanco</t>
  </si>
  <si>
    <t>andres escobar</t>
  </si>
  <si>
    <t>cra 58 # 94 - 98 - Edificio</t>
  </si>
  <si>
    <t>1× Corazón Mediano Surtido | 1× Bouquet 6 Rosas Rojas</t>
  </si>
  <si>
    <t xml:space="preserve">Anwar </t>
  </si>
  <si>
    <t xml:space="preserve">G. </t>
  </si>
  <si>
    <t xml:space="preserve">Adriana Consuegra </t>
  </si>
  <si>
    <t>Cra. 28B # 79B 15 - Casa</t>
  </si>
  <si>
    <t>Que todos nuestros días sean lo más feliz posible, y los no tan felices, tengamos la suficiente madurez, para hacerlos los más felices posible.  
Eres la respuesta de Dios a mis oraciones… Te Amo.</t>
  </si>
  <si>
    <t>A.G</t>
  </si>
  <si>
    <t>Ashley</t>
  </si>
  <si>
    <t>Marenco</t>
  </si>
  <si>
    <t>Luciana Olivella</t>
  </si>
  <si>
    <t>Calle 64 #47-44 apto 302 - Edificio</t>
  </si>
  <si>
    <t>317 5025910</t>
  </si>
  <si>
    <t>Por favor entrega de 4 a 6 pm</t>
  </si>
  <si>
    <t>Felices 30, te queremos.</t>
  </si>
  <si>
    <t xml:space="preserve">Adriana Lucia </t>
  </si>
  <si>
    <t>Porta Castañeda</t>
  </si>
  <si>
    <t>Adriana Porta</t>
  </si>
  <si>
    <t>Carrera 73 # 75-152 - Conjunto</t>
  </si>
  <si>
    <t>Que la vida fluya con sabiduría en cada latido.
Que las manos que cuidan estén guiadas por luz.
Que el amor rodee a José Manuel y lo envuelva en calma.
Con fe.
Hoy.</t>
  </si>
  <si>
    <t>Para mí.</t>
  </si>
  <si>
    <t>Jessir</t>
  </si>
  <si>
    <t>Catalina Aguilar</t>
  </si>
  <si>
    <t>Cra50#76-167 Martinique - Edificio</t>
  </si>
  <si>
    <t>300 7399232</t>
  </si>
  <si>
    <t>Feliz grado, mi amor. Orgulloso de ti hoy y siempre 💐</t>
  </si>
  <si>
    <t xml:space="preserve">Yuranys </t>
  </si>
  <si>
    <t xml:space="preserve">Luque Sinning </t>
  </si>
  <si>
    <t xml:space="preserve">Ana Milena Donofrio </t>
  </si>
  <si>
    <t>Carrera 20 # 2A-10 Casa 115 conjunto Terra - Conjunto</t>
  </si>
  <si>
    <t xml:space="preserve">Nuestro corazón está contigo, te enviamos un abrazo lleno de fuerza y amor.
</t>
  </si>
  <si>
    <t>Tu equipo Olaya Herrera</t>
  </si>
  <si>
    <t>Virgen la Milagrosa</t>
  </si>
  <si>
    <t>maria victoria mejía</t>
  </si>
  <si>
    <t xml:space="preserve">Ureche Gámez </t>
  </si>
  <si>
    <t>Eliana Ureche Gámez</t>
  </si>
  <si>
    <t>Calle 83#42d-94 Sky condominio casa 4 - Casa</t>
  </si>
  <si>
    <t>Te deseamos una vida profesional cargada de éxito y prosperidad, que Dios te ilumine en esta nueva etapa, te amamos. Estamos orgullosos de ti. Felicidades !</t>
  </si>
  <si>
    <t>Familia Ureche Gámez</t>
  </si>
  <si>
    <t>elias padilla</t>
  </si>
  <si>
    <t xml:space="preserve">Sebastián giraldo </t>
  </si>
  <si>
    <t>Cra 74 No.91 - 120 - Casa</t>
  </si>
  <si>
    <t>Quiero ser siempre el motivo de tu sonrisa ❤️</t>
  </si>
  <si>
    <t>Segi</t>
  </si>
  <si>
    <t>victoria</t>
  </si>
  <si>
    <t>buitrago</t>
  </si>
  <si>
    <t>victoria buitrago</t>
  </si>
  <si>
    <t>Cra 52 82 212 Apto 1202 - Casa</t>
  </si>
  <si>
    <t>4 ruscus,2 de canción de la india 2 eucaliptos y dos paquetes de gypso</t>
  </si>
  <si>
    <t xml:space="preserve">Paula </t>
  </si>
  <si>
    <t xml:space="preserve">Brito </t>
  </si>
  <si>
    <t xml:space="preserve">Juliana García </t>
  </si>
  <si>
    <t>Cra 64b#96a-28 jardines de Tívoli apto 604A - Edificio</t>
  </si>
  <si>
    <t>302 3019802</t>
  </si>
  <si>
    <t xml:space="preserve">Así como Betty perdono a Don Armando, espero que tú también puedas perdonarme. </t>
  </si>
  <si>
    <t>Plantas B.</t>
  </si>
  <si>
    <t>Manjarres</t>
  </si>
  <si>
    <t>Natalia Barrios</t>
  </si>
  <si>
    <t>CRA 65 #86-37 edificio Santa Inés, bloque A apto 1A - Conjunto</t>
  </si>
  <si>
    <t>Hola Nat! De parte mía (Valery) y de tus Aveanos, te enviamos esta canasta llena de flores, frutas y sobretodo, mucho amor. Te deseamos pronta recuperación. Pdta: Regresa que estos muchachos me están acabando la vida. Te extrañamos - AVA team 
01/30/2026</t>
  </si>
  <si>
    <t>AVA Team</t>
  </si>
  <si>
    <t>pereira</t>
  </si>
  <si>
    <t>david pereira</t>
  </si>
  <si>
    <t>Anna</t>
  </si>
  <si>
    <t>Stand</t>
  </si>
  <si>
    <t>Ingrid Kandlar</t>
  </si>
  <si>
    <t>Cll 68 # 32 - 56 apto 2 - Casa</t>
  </si>
  <si>
    <t xml:space="preserve">Mi amor que cumplas muchos años más llena de mucha salud y amor. Que el señor nos permita seguir disfrutando nuestro amor y llegar a viejitos como siempre quisimos, Feliz cumpleaños. </t>
  </si>
  <si>
    <t>Con cariño, Cesar.</t>
  </si>
  <si>
    <t>Porfa que el arreglo venga en tonos azules y blancos. Así lo desea ella.</t>
  </si>
  <si>
    <t xml:space="preserve">Vanessa  </t>
  </si>
  <si>
    <t>Penagos</t>
  </si>
  <si>
    <t>federico severini</t>
  </si>
  <si>
    <t>Cra 55 # 82 227 om club house - Edificio</t>
  </si>
  <si>
    <t>canasto como foto y caja de ferreros</t>
  </si>
  <si>
    <t>juliana</t>
  </si>
  <si>
    <t>cisneros</t>
  </si>
  <si>
    <t>Mayra Bermudez</t>
  </si>
  <si>
    <t>Hotel El Prado, habitación 403 - Edificio</t>
  </si>
  <si>
    <t xml:space="preserve">May siento tanto no poder compartir este día tan especial contigo! Aunque me encantaría estar allá, te acompaño en el corazón. Estoy segura que vas a ser la novia más hermosa del mundo. Les deseo todas las cosas más bellas de la vida a los dos, que se amen, se acompañen y sean muy felices siempre. Te adoro! </t>
  </si>
  <si>
    <t>con mucho cariño, Juliana Cisneros</t>
  </si>
  <si>
    <t>Me gustaria que todas las flores sean blancas si se puede! gracias!</t>
  </si>
  <si>
    <t xml:space="preserve">Rois </t>
  </si>
  <si>
    <t>Manuela Bernal</t>
  </si>
  <si>
    <t>Cra 57 #82-52 - Edificio</t>
  </si>
  <si>
    <t>Se que ya no hablamos pero te extraño y te amo mi reina.</t>
  </si>
  <si>
    <t>Ñeñe</t>
  </si>
  <si>
    <t>vanessa Gutierrez</t>
  </si>
  <si>
    <t>ID de la orden
2423774148</t>
  </si>
  <si>
    <t>Da Silva</t>
  </si>
  <si>
    <t xml:space="preserve">Hotel el prado </t>
  </si>
  <si>
    <t>Dirección: Cra. 54 #70-10, Nte. Centro Historico, Barranquilla, Atlántico - Conjunto</t>
  </si>
  <si>
    <t>Mi Mayra linda, 
Hoy comienzas una de las etapas más hermosas y significativas de tu vida. Aunque no pude estar físicamente a tu lado, quiero que sepas que mi corazón te acompaña en cada instante de este día tan especial.
Soñamos muchas veces con este momento, y verte vivirlo me llena de una emoción inmensa y de orgullo. Te mereces un amor que te cuide, que te abrace en los días luminosos y te sostenga con fuerza en los desafiantes; un amor que sea hogar, calma y complicidad.
Que esta nueva etapa esté colmada de respeto, risas compartidas, crecimiento mutuo y sueños que se hagan realidad. Hoy celebro tu valentía de elegir amar, de comprometerte y de iniciar este camino tan sagrado junto a Walter. 
Deseo de todo corazón que la vida les regale una unión sólida, consciente y profundamente bendecida.
Siempre contigo, incluso en la distancia.
Te quiero muchísimo y soy inmensamente feliz por ti. ❤️
Andrea Da Silva</t>
  </si>
  <si>
    <t>Con amor, Andrea Da Silva.</t>
  </si>
  <si>
    <t>Que le llegue a la habitacion o entregarselo a la wedding planner. Habitacion 403 ejecutivo.</t>
  </si>
  <si>
    <t>javier</t>
  </si>
  <si>
    <t>javier navarro</t>
  </si>
  <si>
    <t>300 4397253</t>
  </si>
  <si>
    <t>melissa</t>
  </si>
  <si>
    <t>melissa escorcia</t>
  </si>
  <si>
    <t>neftalí</t>
  </si>
  <si>
    <t>roncancio</t>
  </si>
  <si>
    <t>neftalí roncancio</t>
  </si>
  <si>
    <t>un paquete de rosas</t>
  </si>
  <si>
    <t>Kenyi</t>
  </si>
  <si>
    <t>Larios</t>
  </si>
  <si>
    <t>Yurico Moreno</t>
  </si>
  <si>
    <t>Cra 15C #36B-90 - Casa</t>
  </si>
  <si>
    <t>¡Feliz cumpleaños mamita! te amamos mucho</t>
  </si>
  <si>
    <t>De tus hijos y esposo, con amor</t>
  </si>
  <si>
    <t>ID de la orden
2423806825</t>
  </si>
  <si>
    <t>KALED</t>
  </si>
  <si>
    <t>Luz Helena mejia</t>
  </si>
  <si>
    <t>Cra 50 # 107-110 - Casa</t>
  </si>
  <si>
    <t xml:space="preserve">A una vida de trabajo y exitos ✨🍾
</t>
  </si>
  <si>
    <t>Tus hijas</t>
  </si>
  <si>
    <t>Borja</t>
  </si>
  <si>
    <t>Loraine Jimenez</t>
  </si>
  <si>
    <t>Calle 75 Carrera 54 esquina - Oficina</t>
  </si>
  <si>
    <t>Once años construyendo juntos esta vida, y sigues siendo mi mejor decisión. Gracias por todo lo que eres. Te Amo</t>
  </si>
  <si>
    <t>Marco Antonio</t>
  </si>
  <si>
    <t>La empresa se llama GHG Global Health Group</t>
  </si>
  <si>
    <t>alma</t>
  </si>
  <si>
    <t>meza</t>
  </si>
  <si>
    <t>cra 38a#74-251 casa - Edificio</t>
  </si>
  <si>
    <t>deja mensaje</t>
  </si>
  <si>
    <t xml:space="preserve">victoria </t>
  </si>
  <si>
    <t>Salgado</t>
  </si>
  <si>
    <t xml:space="preserve"> Isabella Cure  </t>
  </si>
  <si>
    <t>Cra 29 #63b - 35 - Casa</t>
  </si>
  <si>
    <t>302 3413731</t>
  </si>
  <si>
    <t>Isaaa hermosaaaa ! Felices 21  
Que este nuevo año esté lleno de amor, éxitos, alegrías y cosas que te llenen de emoción. Estas flores son un detalle para recordarte cuan importante eres para nosotras 
Te amamos demasiado y estamos agradecidas por tenerte en nuestra vidas.
Att. Luki y Vicky</t>
  </si>
  <si>
    <t>MUNDO RESIDUAL SAS</t>
  </si>
  <si>
    <t xml:space="preserve"> grace hernandez </t>
  </si>
  <si>
    <t>Cra 42e #83-60 🏠Nro Apto: ap 303 - Edificio</t>
  </si>
  <si>
    <t>linda no tengo que esperar el 14 de febrero para recordarte lo importante que eres para mi 
 ivan palacio</t>
  </si>
  <si>
    <t>rosas fucsia,rosadas y blancas,ponerle BASTANTE ASTER MORADO
 ivanpalacioc@hotmail.com</t>
  </si>
  <si>
    <t>MARIA JOSE</t>
  </si>
  <si>
    <t>ESMERAL</t>
  </si>
  <si>
    <t>MARIA JOSE ESMERAL</t>
  </si>
  <si>
    <t>Cra 56 # 82 - 161 piso 702 - Casa</t>
  </si>
  <si>
    <t>Para: mami de: majo
Feliz cumpleaños a la mejor mamá del mundo. Aunque estemos lejos, hoy te abrazo con todo mi corazón. Que Dios y la Virgen nos permitan vivir muchas aventuras juntas. Te amo, mamita, con todo mi corazón.</t>
  </si>
  <si>
    <t>0000 000</t>
  </si>
  <si>
    <t>angela</t>
  </si>
  <si>
    <t>camargo</t>
  </si>
  <si>
    <t>ngela camargo</t>
  </si>
  <si>
    <t>302 2050768</t>
  </si>
  <si>
    <t>canasto rectangular como foto en tonos amarillos</t>
  </si>
  <si>
    <t xml:space="preserve">natalia </t>
  </si>
  <si>
    <t xml:space="preserve">Rondón </t>
  </si>
  <si>
    <t>María Helena Gasca Legarda</t>
  </si>
  <si>
    <t>Cra 56 # 79-69 edificio cartier apto 3 - Edificio</t>
  </si>
  <si>
    <t xml:space="preserve">Feliz cumpleaños. Aunque no podamos estar con usted hoy, le mandamos un abrazo gigante❤️ la amamos mucho, su hijo y nuera. </t>
  </si>
  <si>
    <t>Jahelis Sierra</t>
  </si>
  <si>
    <t>Calle 117 #43-127 conjunto búho torre 1 apartamento 911 - Conjunto</t>
  </si>
  <si>
    <t xml:space="preserve">Gracias por ser tan especial, felicidades en tu día </t>
  </si>
  <si>
    <t>Moscote</t>
  </si>
  <si>
    <t>Ailyn</t>
  </si>
  <si>
    <t>Calle 99 #47-05 - Edificio</t>
  </si>
  <si>
    <t>Feliz cumpleaños chiqui</t>
  </si>
  <si>
    <t>Att: Levi</t>
  </si>
  <si>
    <t>Ibanez</t>
  </si>
  <si>
    <t xml:space="preserve">Silvana Ibáñez </t>
  </si>
  <si>
    <t>calle 81#58-42 Edificio Porto Alegre 3A - Edificio</t>
  </si>
  <si>
    <t xml:space="preserve">Feliz cumpleaños, mamita. Que Dios te regale muchos años más llenos de luz y felicidad. We love you 
</t>
  </si>
  <si>
    <t>Viviana &amp; Tobertb</t>
  </si>
  <si>
    <t>Mamá, gracias por tu amor infinito. Que Dios te bendiga con luz, fuerza y mucha felicidad. Feliz cumpleaños</t>
  </si>
  <si>
    <t>Fonchi</t>
  </si>
  <si>
    <t xml:space="preserve">Luisa </t>
  </si>
  <si>
    <t>Celedon</t>
  </si>
  <si>
    <t>Lauren Natalia</t>
  </si>
  <si>
    <t>carrera 18#51-50 - Casa</t>
  </si>
  <si>
    <t>1× Flora Box Solitario Rosa | 1× Vino Espumoso JP. Chenet 175 ml | 1× Chocolates Kisses 10 Und</t>
  </si>
  <si>
    <t>Lo hiciste excelente esta semana. 
Bonito fin de semana. 
Preciosa</t>
  </si>
  <si>
    <t>Por favor no informar quien envía el detalle</t>
  </si>
  <si>
    <t xml:space="preserve">China, que el Señor te bendiga hoy y siempre. Gracias por hacer mi vida más bella con tu amor. Feliz cumpleaños </t>
  </si>
  <si>
    <t xml:space="preserve">Johnatan Julián </t>
  </si>
  <si>
    <t xml:space="preserve">Bedoya Gil </t>
  </si>
  <si>
    <t>Angélica María Guzmán</t>
  </si>
  <si>
    <t>Cra65# 84-145 Apto 4F Edificio victoria Plaza - Casa</t>
  </si>
  <si>
    <t>mereces lo mejor del mundo
 Y que la tarjeta es de parte de Guadalupe y Alana te amamos feliz cumpleaños</t>
  </si>
  <si>
    <t xml:space="preserve"> Rincón </t>
  </si>
  <si>
    <t xml:space="preserve"> Isabella Rodríguez </t>
  </si>
  <si>
    <t>Conjunto Tivoly Plaza - Cra 71 #93-37 torre 11 apto 535 - Edificio</t>
  </si>
  <si>
    <t xml:space="preserve">Felicidades doctorcita
</t>
  </si>
  <si>
    <t>lirios ,orquídeas rosas blancas y ponerle lorado</t>
  </si>
  <si>
    <t>Medina Avendaño</t>
  </si>
  <si>
    <t>Luna Nuñez</t>
  </si>
  <si>
    <t>Carrera 27 #53D 36 - Casa</t>
  </si>
  <si>
    <t>Mi amistad puede estar lejos, cerca, presente o a veces un poco ausente, pero aun así no he dejado de pensarte ni un solo día desde que te fuiste. Te extraño, especialmente en días como hoy.
Feliz vida, Luni Luni, aunque nos separen 6.564 km</t>
  </si>
  <si>
    <t>Con amor tu lesbiana &lt;3</t>
  </si>
  <si>
    <t>Melannie</t>
  </si>
  <si>
    <t xml:space="preserve">Rosa Alonso </t>
  </si>
  <si>
    <t>Cll 47 #7c-54 - Casa</t>
  </si>
  <si>
    <t>FELIZ CUMPLEAÑOS TÍA 
Gracias por cuidarme, criarme, acompañarme y siempre apoyarme desde que tengo memoria, espero que la vida me permita darte todos los frutos que sembraste en mi, espero que la vida te sonría y que Dios te brinde todas las bendiciones que te mereces, te queremos mucho, eres una persona excepcional.</t>
  </si>
  <si>
    <t>Con cariño, Melannie</t>
  </si>
  <si>
    <t>Me gustaría que le pusieran el “feliz cumpleaños “</t>
  </si>
  <si>
    <t>Mayda George</t>
  </si>
  <si>
    <t>Club Lagos del Caujaral casa de César Sánchez - Casa</t>
  </si>
  <si>
    <t xml:space="preserve">Con todo mi amor, para la mujer que ilumina mi vida cada día </t>
  </si>
  <si>
    <t>Tu corisito</t>
  </si>
  <si>
    <t xml:space="preserve">Andrés Pérez </t>
  </si>
  <si>
    <t>Cr 43b 80 -225 - Casa</t>
  </si>
  <si>
    <t>Feliz cumpleaños mami!  
Dios te bendiga grandemente, gracias por demostrarme que con amor y templanza todo es posible.
Te amo.</t>
  </si>
  <si>
    <t>Andrés Pérez</t>
  </si>
  <si>
    <t>rosita</t>
  </si>
  <si>
    <t>rosita barrios</t>
  </si>
  <si>
    <t>rosario</t>
  </si>
  <si>
    <t>caña</t>
  </si>
  <si>
    <t>rosario caña</t>
  </si>
  <si>
    <t>ENTREGADO</t>
  </si>
  <si>
    <t>flores surtidas 48.000</t>
  </si>
  <si>
    <t>lourdes atique</t>
  </si>
  <si>
    <t>Cra 58 no 90-88 casa - Casa</t>
  </si>
  <si>
    <t>Ricardo Otero</t>
  </si>
  <si>
    <t>Alejandra Martínez Hoyos</t>
  </si>
  <si>
    <t>Carrera 72 #68-59 Torre 24 APTO 204 Conjunto Villa Tarel - Conjunto</t>
  </si>
  <si>
    <t>Te deseo un hermoso cumpleaños, uno tan hermoso como tú y como los deseos que tengo para ti. 
Te envío muchos recuerdos.</t>
  </si>
  <si>
    <t>Con amor, Elkin</t>
  </si>
  <si>
    <t xml:space="preserve">Alvarado </t>
  </si>
  <si>
    <t>Juliana Schultz</t>
  </si>
  <si>
    <t>Carrera 65 #86-204 (edificio conjunto residencial tivoli, 1er piso) - Conjunto</t>
  </si>
  <si>
    <t>Encontraré mil maneras de acortar la distancia por que es lo mínimo que te mereces</t>
  </si>
  <si>
    <t>- S (ññ)</t>
  </si>
  <si>
    <t>KAREN</t>
  </si>
  <si>
    <t xml:space="preserve">Sheyla Salah </t>
  </si>
  <si>
    <t>Calle 104 # 50-55, casa 2 Villa santo - Casa</t>
  </si>
  <si>
    <t xml:space="preserve">
Amiga que dicha celebrar un año más de tu vida. Deseo que este año Dios te cumpla  ese anhelo de tu corazón. Te quiero mucho. Karen Sánchez</t>
  </si>
  <si>
    <t>Zabala</t>
  </si>
  <si>
    <t>Juanita Guerrero</t>
  </si>
  <si>
    <t>Transversal 57 #99 - 180 - Casa</t>
  </si>
  <si>
    <t>Te mandamos un abrazo grande y muchos buenos deseos para que te recupere pronto</t>
  </si>
  <si>
    <t>Isa Zabala y Mary Arroyo</t>
  </si>
  <si>
    <t>Bermejo</t>
  </si>
  <si>
    <t>Marbel Herrera</t>
  </si>
  <si>
    <t>Cra 58 # 94-121 Apt 401 Edificio Monticello - Edificio</t>
  </si>
  <si>
    <t>Feliz aniversario, Negri. Gracias por compartir conmigo una vida entera, por tu paciencia, tu fortaleza y por el amor que siempre nos has regalado. A tu lado he conocido lo que significa el verdadero compañerismo, caminar juntos en los buenos momentos y también en los difíciles.
Eres y siempre serás mi gran amor. Gracias por nunca soltar mi mano. Te amo hoy, mañana y siempre.</t>
  </si>
  <si>
    <t>Rafa</t>
  </si>
  <si>
    <t xml:space="preserve"> jaramillo </t>
  </si>
  <si>
    <t>Cesar jaramillo</t>
  </si>
  <si>
    <t xml:space="preserve">Enrique </t>
  </si>
  <si>
    <t>Cecilia Campo</t>
  </si>
  <si>
    <t>Cra. 53 # 91-23, Casa 4 - Edificio</t>
  </si>
  <si>
    <t>Feliz cumple Mami !!!
Pido a Papa Dios que cumpla su voluntad en tu vida hoy en tu cumpleaños y siempre.
Aprovecho esta fecha especial para darte gracias por todo lo que has hecho por mi durante mis 52 anos de vida y te pido disculpas si en algo te he fallado.
Espero que pases un lindo dia en compañia de mis hermanos y de las personas que quieres y que te quieren.
Te mando un super abrazo de estas tierras heladas con todo mi cariño.
Te amo Madre.
Quique</t>
  </si>
  <si>
    <t>RACHED</t>
  </si>
  <si>
    <t>FARAH</t>
  </si>
  <si>
    <t>CAROLINA FRANCO</t>
  </si>
  <si>
    <t>CRA 23 #DIAGONAL 2C- 175 APTO 704 TORRE 2 - Edificio</t>
  </si>
  <si>
    <t>feliz cumpleaños a la mejor mamá del mundo, te amamos papá y yo❤️”</t>
  </si>
  <si>
    <t>lucila esther velasquez</t>
  </si>
  <si>
    <t>jardines de la eternidad norte sala 7 - Edificio</t>
  </si>
  <si>
    <t>Tía Chiqui... 
Fuiste una madre para todos nosotros. Gracias por todas las enseñanzas, apoyo y cariño que nos compartiste en vida.
Arturito, Huguito, Mau, Carlitos</t>
  </si>
  <si>
    <t>Lilibeth pana</t>
  </si>
  <si>
    <t>Carrera 55 # 82-227 edificio Om club house apartamento 802 - Edificio</t>
  </si>
  <si>
    <t>Princesa Lili,
Cada mes te envío flores, pero lo que realmente quiero enviarte es constancia. No es un detalle vacío sino por el contrario  es mi forma de decirte que sigo aquí, que te pienso, que te valoro y que quiero construir contigo, incluso en los días más simples. Que nunca falten flores… pero, sobre todo, que nunca falte la intención de cuidarnos y elegirnos. 🌹
Con todo lo que siento,
Milton</t>
  </si>
  <si>
    <t>de Vuono</t>
  </si>
  <si>
    <t>Ilsy de la torre</t>
  </si>
  <si>
    <t>calle 99 58 112 apto 1601 torre 2 - Edificio</t>
  </si>
  <si>
    <t>¡Feliz cumpleaños, mi amor! Eres la mamá increíble y dedicada de nuestros hijos, la que llena nuestra casa de risas, abrazos y amor incondicional cada día. Juntos formamos la familia más hermosa, y no imagino la vida sin ti. ¡Gracias por todo lo que eres y que este año nos traiga más momentos inolvidables en familia! Te amo con todo el corazón.</t>
  </si>
  <si>
    <t>Con amor -  Giovanni</t>
  </si>
  <si>
    <t>Arregoces Toloza</t>
  </si>
  <si>
    <t>Laura Cabrales Arenas</t>
  </si>
  <si>
    <t>Cra 70 No. 87-26 - Casa</t>
  </si>
  <si>
    <t>Con todo el amor del mundo para nuestra hermana de la vida. Siempre contigo, pase lo que pase❤️
Andre, Dani y Majo</t>
  </si>
  <si>
    <t>Andre, Dani y Majo</t>
  </si>
  <si>
    <t>JORGE ALBERTO</t>
  </si>
  <si>
    <t>JOHANNA ESCAFF</t>
  </si>
  <si>
    <t>CRA 56 #79-342 APTO 16 01 SAN ANGELIO - Edificio</t>
  </si>
  <si>
    <t>DEJA MENSAJE</t>
  </si>
  <si>
    <t xml:space="preserve">Estefanía </t>
  </si>
  <si>
    <t>Aleja Martinez</t>
  </si>
  <si>
    <t>Calle 84 no. 50 36 oficina 7 segundo piso - Oficina</t>
  </si>
  <si>
    <t>Le doy muchas gracias a Dios por ti, por darme la oportunidad de verte sonreír y hacerte feliz.
Eres mi primer pensamiento al despertar Te amo mi amor</t>
  </si>
  <si>
    <t>Tu amor</t>
  </si>
  <si>
    <t>Entregar en oficina laboratorio ecar</t>
  </si>
  <si>
    <t>julio</t>
  </si>
  <si>
    <t>enriquez</t>
  </si>
  <si>
    <t>Viviana Correa</t>
  </si>
  <si>
    <t>Las Tres ave maria</t>
  </si>
  <si>
    <t>cra 45#70-149 consultorio - Edificio</t>
  </si>
  <si>
    <t>Te admiro mucho por ser una maravillosa mujer guerrera. Trabajadora emprendedora genial detallista honesta  valiente  
Te deseo un súper feliz cumpleaños</t>
  </si>
  <si>
    <t>Castro De castro</t>
  </si>
  <si>
    <t>Julian Castro De castro</t>
  </si>
  <si>
    <t>1× Topper Happy Birthday | 1× Bouquet 24 Rosas Rojas</t>
  </si>
  <si>
    <t>Feliz cumpleaños a la mujer que ilumina mis días. Gracias por tu amor, tu sonrisa y tu forma tan bonita de hacerme feliz. Que este nuevo año sea increíble para ti.</t>
  </si>
  <si>
    <t>Con mucho amor, Julian</t>
  </si>
  <si>
    <t>maria isabel</t>
  </si>
  <si>
    <t>granados</t>
  </si>
  <si>
    <t>maria isabel granados</t>
  </si>
  <si>
    <t>2 peceras en claveles rojos</t>
  </si>
  <si>
    <t>claveles rojos</t>
  </si>
  <si>
    <t xml:space="preserve">Mileida </t>
  </si>
  <si>
    <t xml:space="preserve">González Pabon </t>
  </si>
  <si>
    <t xml:space="preserve">Cll 101C #49e-63 </t>
  </si>
  <si>
    <t>Casa 1 - Casa</t>
  </si>
  <si>
    <t>Con mucho amor de tu hija</t>
  </si>
  <si>
    <t>Te mereces todo en esta vida, eres la mejor madre, hija, esposa, hermana. Te amo</t>
  </si>
  <si>
    <t>claveles 3</t>
  </si>
  <si>
    <t>Kenneth Gonzalez</t>
  </si>
  <si>
    <t>Carrera 10b #115-67</t>
  </si>
  <si>
    <t xml:space="preserve">Agredo </t>
  </si>
  <si>
    <t xml:space="preserve">Kelly Johana Soto </t>
  </si>
  <si>
    <t>Cra. 67 #74-170, apartamento 104 A edificio Corozo - Edificio</t>
  </si>
  <si>
    <t xml:space="preserve">Feliz pre-cumpleaños </t>
  </si>
  <si>
    <t>Con amor Miguel</t>
  </si>
  <si>
    <t xml:space="preserve">Grupo Folclorico Cipote Garabato </t>
  </si>
  <si>
    <t xml:space="preserve"> Elizabeth Urueta</t>
  </si>
  <si>
    <t>Carrera 7 A # 47 A 147 - Casa</t>
  </si>
  <si>
    <t>La envía Cipote Garabato 
Para Elizabeth Urueta</t>
  </si>
  <si>
    <t>cipotegarabato@gmail.com</t>
  </si>
  <si>
    <t>ANTONIO</t>
  </si>
  <si>
    <t>OROZCO</t>
  </si>
  <si>
    <t>CL 50 # 41-44 - Oficina</t>
  </si>
  <si>
    <t>bouquet surtido como foto</t>
  </si>
  <si>
    <t>Hija Flez cumpleaños, Que Dios te bendiga y te cuide. No olvides nunca que tanto te amamos!</t>
  </si>
  <si>
    <t>Con Cariño tu Super Papaito!</t>
  </si>
  <si>
    <t>La oficina se llama PUBLICENTER, local 202.
Necesito el favor y me lo entreguen aca en mi oficina Mañana a las 11:00AM</t>
  </si>
  <si>
    <t xml:space="preserve">Checho </t>
  </si>
  <si>
    <t>Checho De La Hoz</t>
  </si>
  <si>
    <t>ID de la orden
2424865281</t>
  </si>
  <si>
    <t xml:space="preserve">Noreña </t>
  </si>
  <si>
    <t>conjunto brisas del Río  Torre 3 apto 1103</t>
  </si>
  <si>
    <t>Calle 98 # 65a-54 - Conjunto</t>
  </si>
  <si>
    <t>Feliz cumpleaños Liche ,amor de mi vida.
Gracias por llenar mis días de luz,  paciencia y sonrisas,a tu lado,todo es mejor . Te amo</t>
  </si>
  <si>
    <t>Con amor, Hugo</t>
  </si>
  <si>
    <t>Domicilio 7 am</t>
  </si>
  <si>
    <t xml:space="preserve"> Angélica </t>
  </si>
  <si>
    <t>Jaraba</t>
  </si>
  <si>
    <t>Mariana Spath Jaraba</t>
  </si>
  <si>
    <t>Cra 59B # 84-100 Edificio Duville, apto 303 - Casa</t>
  </si>
  <si>
    <t>314 5951466</t>
  </si>
  <si>
    <t>Dedicatoria:  Feb 4 2025  Marianita hace 15 años nos alegramos y regocijamos con tu vida, brincabamos de felicidad por esa bebe tan divina que llegaba a nuestra familia.   Que estas rosas rosadas te recuerden lo especial que eres para nosotras y lo mucho que te amamos. Tu eres un regalo de Dios para nosotras y le damos muchas gracias a Dios por tu vida!  Tu hermoso corazón nos llena y engrandece nuestro corazón!.  Que Dios y la Virgen María te acompañen siempre.  Felices 15 años!   Te amamos!  Mami Lucy Tía Andre Y  Tía Ange</t>
  </si>
  <si>
    <t>Samuel David</t>
  </si>
  <si>
    <t>Comas Pastrana</t>
  </si>
  <si>
    <t>Samuel David Comas Pastrana</t>
  </si>
  <si>
    <t>Cra 51b Número 87-50 Local 109 Basic Shoes Viva Primer piso - Centro Comercial</t>
  </si>
  <si>
    <t>Para la mujer mas hermosa del planeta y la dueña de mi corazón</t>
  </si>
  <si>
    <t>Con cariño, Samuel</t>
  </si>
  <si>
    <t xml:space="preserve">Olinda Josefina Escorcia de Meriño </t>
  </si>
  <si>
    <t>Cra. 53#55-161 Funeraria Abadia de Ascensión. Sala 3 - Casa</t>
  </si>
  <si>
    <t>GUACAL CANOA SURTIDO EN FLORES BLANCAS</t>
  </si>
  <si>
    <t>maria luisa</t>
  </si>
  <si>
    <t>prado</t>
  </si>
  <si>
    <t>maria luisa prado</t>
  </si>
  <si>
    <t>gases del caribe</t>
  </si>
  <si>
    <t>irina</t>
  </si>
  <si>
    <t>Transversal 44 #102-167  Conjunto Siena  Apto 1021 torre 3  Miramar - Edificio</t>
  </si>
  <si>
    <t>Cuando alguien importante se va, no hay palabras de consuelo, nos queda su amor, sus enseñanzas y su ejemplo que nos acompañarán hasta el día en que nos volvamos a encontrar.
Nuestras más sentidas condolencias. 
Que Dios les dé la fortaleza necesaria para enfrentar este momento doloroso.
Gestión Humana. Gases del Caribe</t>
  </si>
  <si>
    <t>Cl. 77b #57 -141 - Conjunto</t>
  </si>
  <si>
    <t>Porque tu presencia tiene la misma magia que las flores: iluminas, alegras y haces que todo florezca a tu alrededor Firma: Con cariño Diego, recuerda que te quiero mucho.</t>
  </si>
  <si>
    <t>Con mucho cariño, Diego, Te quiero.</t>
  </si>
  <si>
    <t>Parra</t>
  </si>
  <si>
    <t>Luz marina jimenez</t>
  </si>
  <si>
    <t>Calle 85 # 43 - 75 / edificio la mision apto 203 - Edificio</t>
  </si>
  <si>
    <t>Lorenzo llegó para llenar de luz tu vida. Felicidades mamá por esta bendición tan grande.</t>
  </si>
  <si>
    <t>Con amor familia deluque jimenez</t>
  </si>
  <si>
    <t>Cameron</t>
  </si>
  <si>
    <t>Mccormick</t>
  </si>
  <si>
    <t>Cameron Mccormick</t>
  </si>
  <si>
    <t>ilitya</t>
  </si>
  <si>
    <t>lasprilla</t>
  </si>
  <si>
    <t>Andrea Ostos</t>
  </si>
  <si>
    <t>Ubicación: Atlántico, Puerto Colombia. CARRERA 6 NO. 8 -109 Apto 601 – Conjunto Residencial Puntamar - Ubicado en Salgar- Sabanilla. Punta roca. Código postal 081007 - Edificio</t>
  </si>
  <si>
    <t>1× Arreglo Personalizado botella de vino</t>
  </si>
  <si>
    <t>Feliz Cumpleaños Amiga Querida !! Te deseo hoy y siempre toda la felicidad de este mundo. Te mereces todo lo bello y bueno de la vida!!  , Te quiero mucho !!</t>
  </si>
  <si>
    <t>con Cariño , tu Amiga  , Ily</t>
  </si>
  <si>
    <t>Arreglo con colores pasteles $60000, botella de vino Terra vega malbec tinto. ver foto</t>
  </si>
  <si>
    <t>Florian</t>
  </si>
  <si>
    <t xml:space="preserve"> Dietrich</t>
  </si>
  <si>
    <t>Florian Dietrich</t>
  </si>
  <si>
    <t>3244313909,</t>
  </si>
  <si>
    <t xml:space="preserve">Para mi hermosa esposa Cris. Es nuestro primer aniversario de bodas. Por favor hagan lo bonito 🙏
</t>
  </si>
  <si>
    <t>ID de la orden
2425063421</t>
  </si>
  <si>
    <t>Javier de la Cruz Picalua</t>
  </si>
  <si>
    <t>jardines de la eternidad norte - Casa</t>
  </si>
  <si>
    <t>Javier de la Cruz Picalúa, fuiste una persona especial en nuestra familia. Siempre quedará en nuestro corazón esos buenos momentos compartidos. Hoy despedimos al gran amigo.
Juan 11:25-26: 'Yo soy la resurrección y la vida. El que cree en mí, aunque esté muerto, vivirá.' 🌹
Adolfo Olivares e Hijas</t>
  </si>
  <si>
    <t>Paba</t>
  </si>
  <si>
    <t>Darinka Inigo</t>
  </si>
  <si>
    <t>Cra 52#82-212 apto 902 - Casa</t>
  </si>
  <si>
    <t>Alvaro Paba</t>
  </si>
  <si>
    <t>Que sean ROSAS ROJAS 
Feliz Aniversario!❤️Llenas mi vida de felicidad todos los días 
Te amo!</t>
  </si>
  <si>
    <t>Massiel</t>
  </si>
  <si>
    <t>Pardo de oro</t>
  </si>
  <si>
    <t>Clínica Portoazul</t>
  </si>
  <si>
    <t>Clínica porto azul habitación 212 - Oficina</t>
  </si>
  <si>
    <t>1× Canasto 24 Rosas + Orquideas ROSAS ROSADAS</t>
  </si>
  <si>
    <t>Ana Milena,Hoy celebramos con alegría tu cumpleaños y queremos recordarte lo especial que eres para nosotros. Que esta nueva vuelta al sol venga cargada de salud, sonrisas y momentos felices.
De parte de tus pediatras que te adoramos —Carmen, Álvaro, Jonathan y Massy— te enviamos un abrazo enorme y nuestros mejores deseos para que tu recuperación sea pronta y llena de fuerza.
¡Feliz cumpleaños! 🎂🌸💖</t>
  </si>
  <si>
    <t>Álvaro,Jonathan, Carmen y Massy</t>
  </si>
  <si>
    <t>Feris</t>
  </si>
  <si>
    <t>Sofia Duran</t>
  </si>
  <si>
    <t>Cra 52#82-76 edificio Alicante PHB - Edificio</t>
  </si>
  <si>
    <t>Que se repita pronto, pase increíble contigo!</t>
  </si>
  <si>
    <t>JRF</t>
  </si>
  <si>
    <t>Maria paulina</t>
  </si>
  <si>
    <t>Carolina Segebre</t>
  </si>
  <si>
    <t>Cra 56 #79-342 - Edificio</t>
  </si>
  <si>
    <t>Feliz cumpleaños a la amiga más especial!  Que Dios te bendiga y te dé salud para que cumplas infinitos años más! 
Te adoro,
Mari Pau</t>
  </si>
  <si>
    <t>Mari Pau</t>
  </si>
  <si>
    <t xml:space="preserve">Laurina </t>
  </si>
  <si>
    <t>de Sanabria</t>
  </si>
  <si>
    <t>Shadia Hanna</t>
  </si>
  <si>
    <t>Cra 59 #85-125 - Edificio</t>
  </si>
  <si>
    <t>Shadiiii q te mejores pronto! Te amo y te extraño
Vicente</t>
  </si>
  <si>
    <t>Maria Jose Morales</t>
  </si>
  <si>
    <t>Calle 95#49d-85 - Casa</t>
  </si>
  <si>
    <t>Que estes tan feliz como lo estoy yo cada vez que veo tus ojitos lindos</t>
  </si>
  <si>
    <t>Cra 2F #45-99 - Casa</t>
  </si>
  <si>
    <t>Amiga, aunque la distancia nos haya separado un momento, nunca dejé de apreciarte. Lamento no haber estado más presente, pero hoy quiero que sepas que estoy aquí, emocionada por ti y por tu bebé. Que este detalle te recuerde que estoy a tu lado, con todo mi cariño, para lo que venga. ¡Felicidades a la futura mamá!</t>
  </si>
  <si>
    <t>Un abrazo desde Cali, Manita</t>
  </si>
  <si>
    <t xml:space="preserve">Pineda </t>
  </si>
  <si>
    <t>Ana Pineda</t>
  </si>
  <si>
    <t>1× Flora Box Mediana Sembrado ROSAS BLANCAS</t>
  </si>
  <si>
    <t xml:space="preserve">Reciban con estas flores, nuestro amor, cariño y compañía por siempre. Los queremos mucho. </t>
  </si>
  <si>
    <t>Lucia De la Espriella, Lucía Suárez, Mia López, Alejandra Suárez y Sarah Jaramillo</t>
  </si>
  <si>
    <t>Rosas blancas o amarillas</t>
  </si>
  <si>
    <t>Manuela</t>
  </si>
  <si>
    <t>Gallego Guillén</t>
  </si>
  <si>
    <t xml:space="preserve">Daniela Ramírez Mercado </t>
  </si>
  <si>
    <t>Carrera 43b #84 norte-80 edificio El cacique - Edificio</t>
  </si>
  <si>
    <t>Feliz cumpleaños ❤️ que este nuevo año traiga cosas lindas para tu vida. Que pases un día muy feliz</t>
  </si>
  <si>
    <t>Un abrazo, Manuela</t>
  </si>
  <si>
    <t>HT industries colombia S.A.S. esp</t>
  </si>
  <si>
    <t>Carol  Nobmann</t>
  </si>
  <si>
    <t>Cra 57 # 90-38 - Vitra 57 Edf  Apto 1402 - Casa</t>
  </si>
  <si>
    <t>Feliz inicio de carnavales, 
Antonio Blasco</t>
  </si>
  <si>
    <t>CAJA REDONDA POR 24 ROSAS ROSADAS CLARAS</t>
  </si>
  <si>
    <t xml:space="preserve">Maria Margarita </t>
  </si>
  <si>
    <t>Acosta Del Gallego</t>
  </si>
  <si>
    <t xml:space="preserve">Francesca Ochoa </t>
  </si>
  <si>
    <t>Cra. 56 #80-131. Apto 5. Edificio Avanti - Edificio</t>
  </si>
  <si>
    <t>No hay palabras para aliviar el dolor que hoy sientes. Te mandamos un abrazo Naty y Margui</t>
  </si>
  <si>
    <t xml:space="preserve">Lorena Navarro </t>
  </si>
  <si>
    <t>Cra 71 # 94-127  Edificio Ibiza  Torre 1  Apto 405 - Edificio</t>
  </si>
  <si>
    <t>‪+57 300 4618732‬</t>
  </si>
  <si>
    <t>Feliz cumpleaños, lluvia de bendiciones!!</t>
  </si>
  <si>
    <t>Marguie alvarez</t>
  </si>
  <si>
    <t>HACERLO EN ROSAS ROSADAS</t>
  </si>
  <si>
    <t xml:space="preserve">jakob </t>
  </si>
  <si>
    <t>cra 55 # 84-227 apto 1004 - Edificio</t>
  </si>
  <si>
    <t>1× Corazón Mini Surtido | 1× Bouquet 24 Rosas Rojas</t>
  </si>
  <si>
    <t xml:space="preserve">fanny </t>
  </si>
  <si>
    <t>sales</t>
  </si>
  <si>
    <t xml:space="preserve">María Andrea González </t>
  </si>
  <si>
    <t>cra 56 num 84 90 edificio guayaba piso 10b - Casa</t>
  </si>
  <si>
    <t>Para María Andrea González 
Felicidades!!! 
De :luis escaf y Fanny sales</t>
  </si>
  <si>
    <t>OJO ROSAS ROSADAS Y LILAS</t>
  </si>
  <si>
    <t>Doncel</t>
  </si>
  <si>
    <t>MINI BOX EN ROSAS ROSADAS</t>
  </si>
  <si>
    <t>Familia Doncel Granadillo</t>
  </si>
  <si>
    <t>Feliz cumpleaños, de parte de la familia Doncel Granadillo te deseamos muchas bendiciones, salud y amor  por tu día tan especial.</t>
  </si>
  <si>
    <t>Aristizabal</t>
  </si>
  <si>
    <t>Fabiana Perez</t>
  </si>
  <si>
    <t>Cra 26B #75-67 - Casa</t>
  </si>
  <si>
    <t>Feliz aniversario mi amor, gracias por estos 5 años maravillosos a tu lado❤️</t>
  </si>
  <si>
    <t>Bryan</t>
  </si>
  <si>
    <t>Buitrago</t>
  </si>
  <si>
    <t>Veronika</t>
  </si>
  <si>
    <t>Cra 45B#90-44 edificio Distrito 90 - Casa</t>
  </si>
  <si>
    <t>Que la rutina no te haga olvidar que te amo y te admiro, eres todo lo que quiero para mi vida</t>
  </si>
  <si>
    <t>Karol jimenez</t>
  </si>
  <si>
    <t>Cr 81 # 83 - 17 - Casa</t>
  </si>
  <si>
    <t>300 6851743</t>
  </si>
  <si>
    <t>1× Bouquet 24 Rosas Rojas | 1× Flora Box Mediana Pastel</t>
  </si>
  <si>
    <t>Rosas: Cada rosa representa lo mucho que te amo y lo agradecido que estoy de tenerte en mi vida. Feliz San Valentín, mi amor.
Pastel: Feliz cumpleaños, mi amor. Que este nuevo año esté lleno de paz, sonrisas y sueños cumplidos. Gracias por ser luz en mi vida y por hacer mis días más bonitos. Te amo por siempre !</t>
  </si>
  <si>
    <t>Con amor, Mateo</t>
  </si>
  <si>
    <t>Entrega 13 de febrero lo más tarde</t>
  </si>
  <si>
    <t>Villa Henríquez</t>
  </si>
  <si>
    <t>Catalina Villa Henríquez</t>
  </si>
  <si>
    <t>ID de la orden
2425191163</t>
  </si>
  <si>
    <t>Luis Escaf</t>
  </si>
  <si>
    <t>84 #58-47 Local # 1 - Oficina</t>
  </si>
  <si>
    <t>Feliz día para mama, en su gran dia de lanzamiento de "Filial"
Te amamos</t>
  </si>
  <si>
    <t>Luis Carlos y Palomita</t>
  </si>
  <si>
    <t>Villalobos</t>
  </si>
  <si>
    <t>Dayana Nuñez</t>
  </si>
  <si>
    <t>Cra 53 # 80 198 (torre atlántica) - Edificio</t>
  </si>
  <si>
    <t>Por el inicio de nuestra vida juntos. Cada día contigo merece flores. Te amo.</t>
  </si>
  <si>
    <t>Mario Andrés</t>
  </si>
  <si>
    <t>Flores blancas</t>
  </si>
  <si>
    <t>Maria Victoria</t>
  </si>
  <si>
    <t>de Gonzalez</t>
  </si>
  <si>
    <t>Epoca Sound Bar</t>
  </si>
  <si>
    <t>Cl. 84 #58 - 47, Local 1 - Oficina</t>
  </si>
  <si>
    <t>1× Flora Box Mediana Tulipanes</t>
  </si>
  <si>
    <t xml:space="preserve">Adorada Chinita..... Te felicitamos y esperamos que continues con tu producción literaria.  Nos encanta tener una POETISA en la Familia, heredera y continuadora de tus ancestros Mutis. Alvaro Mutis, Aurelio Martinez Mutis. </t>
  </si>
  <si>
    <t>Maria Victoria y Jaime</t>
  </si>
  <si>
    <t>ZAID</t>
  </si>
  <si>
    <t>ZAID DE LA HOZ</t>
  </si>
  <si>
    <t>Felíz cumpleaños princesa,Dios te bendiga cada paso y cada año.
Te Ama papá.</t>
  </si>
  <si>
    <t>Cra27#10-32 country club villa - Casa</t>
  </si>
  <si>
    <t>1× Flora Box Romantic Flores 24 Rosas ROJAS</t>
  </si>
  <si>
    <t>Mi Amor 
Hoy es el día más maravilloso del año, hoy celebramos el nacimiento de la mujer más maravillosa que pueda existir en este mundo, pido a Dios que llene tu vida de cosas maravillosas y muchas bendiciones te mereces lo mejor de este mundo amor de mi vida te amo mucho mi reina linda 
Feliz cumpleaños</t>
  </si>
  <si>
    <t>Con mucho amor tu Novio</t>
  </si>
  <si>
    <t>erika</t>
  </si>
  <si>
    <t>ospina</t>
  </si>
  <si>
    <t>erika ospina</t>
  </si>
  <si>
    <t>Rodado</t>
  </si>
  <si>
    <t xml:space="preserve">Oly Sánchez </t>
  </si>
  <si>
    <t>Calle 1E #21-89 T5 APT1706 Mirador De La Ciénaga - Conjunto</t>
  </si>
  <si>
    <t xml:space="preserve">Hola! Es para el cumpleaños de mami. Se podría entregar a eso de 2:40? Es que quiero que sea sorpresa </t>
  </si>
  <si>
    <t>Con amor, tu hija</t>
  </si>
  <si>
    <t>tapia</t>
  </si>
  <si>
    <t>carlos tapia</t>
  </si>
  <si>
    <t>Sonia</t>
  </si>
  <si>
    <t>Vivian Estor</t>
  </si>
  <si>
    <t>calle 2A 20  70 Torre 1 Apto 507 conjunto altamar caribe / puerto colombia - Conjunto</t>
  </si>
  <si>
    <t>1× Canasto Surtido Morado | 1× Vino Tinto Terra Vega</t>
  </si>
  <si>
    <t>Bienvenida al quinto piso Vivian!
Que esta nueva década venga acompañada de momentos inolvidables, salud, amor, dinero y muchísimas razones para celebrar y dar gracias a Dios.
Que los 50 los celebres, comiendo rico platos santandeboyacosteños acompañándolos con este vinito y muchos mimos
Te mandamos un abrazo gigante desde la distancia llenito de mucho amor</t>
  </si>
  <si>
    <t>Oscar, Francesc, Sonia, Viviana, Juliana y Pau  ❤️💙</t>
  </si>
  <si>
    <t>al lado del colegio san jose y universidad del norte</t>
  </si>
  <si>
    <t>rosas fucsia</t>
  </si>
  <si>
    <t>Carmen Casalins</t>
  </si>
  <si>
    <t>Cra38a#74-191 - Casa</t>
  </si>
  <si>
    <t>1× Mini Box claveles</t>
  </si>
  <si>
    <t>Feliz 100 primaveras.</t>
  </si>
  <si>
    <t>Angelica y Maria/angie y mari.</t>
  </si>
  <si>
    <t>mario</t>
  </si>
  <si>
    <t>mario ruiz</t>
  </si>
  <si>
    <t>OSORIO</t>
  </si>
  <si>
    <t>PAULA OSORIO</t>
  </si>
  <si>
    <t>Cra 58 # 79-121 Torres Dilugano apto 1201B - Casa</t>
  </si>
  <si>
    <t>311 6881566</t>
  </si>
  <si>
    <t>4 EUCALIPTOS
4 RUSCUS</t>
  </si>
  <si>
    <t>armando</t>
  </si>
  <si>
    <t>de la hoz</t>
  </si>
  <si>
    <t xml:space="preserve">Yelenis Ahumada </t>
  </si>
  <si>
    <t>carrera 55#79-197 apto 3a villa magna - Casa</t>
  </si>
  <si>
    <t>Nety !!
Feliz Aniversario, Gracias mi amor por estos 20 años de amor y felicidad. 
Eres lo más hermoso que Dios puso en mi vida; espero que el señor nos regale mucha vida y salud , para ver los frutos de nuestro amor . 
Bodas de Porcelana</t>
  </si>
  <si>
    <t>Armando , Tu Nety</t>
  </si>
  <si>
    <t>Iván Darío</t>
  </si>
  <si>
    <t xml:space="preserve"> Ruiz</t>
  </si>
  <si>
    <t xml:space="preserve">Dariana Gómez </t>
  </si>
  <si>
    <t>Torre Médica Portoazul - Consultorio 516 - Edificio</t>
  </si>
  <si>
    <t>313 7652515</t>
  </si>
  <si>
    <t>Felicidades por tus logros amor! Eres la mejor del mundo.</t>
  </si>
  <si>
    <t xml:space="preserve">Luz </t>
  </si>
  <si>
    <t xml:space="preserve">Oviedo </t>
  </si>
  <si>
    <t>Luz Oviedo</t>
  </si>
  <si>
    <t>Pablo Anaya</t>
  </si>
  <si>
    <t>Carrera 44 # 85-163 - Casa</t>
  </si>
  <si>
    <t>Ver tus ojos me hacen recordar que son mi debilidad y todo lo malo se convierte en bueno 
Te quiero mucho nunca olvides eso</t>
  </si>
  <si>
    <t>aap</t>
  </si>
  <si>
    <t>LAURA</t>
  </si>
  <si>
    <t>RADA TERAN</t>
  </si>
  <si>
    <t>HELLEN YULIANA CABARCAS PEREZ</t>
  </si>
  <si>
    <t>Cl 47#21b-69 apto 301b portal de San José - Edificio</t>
  </si>
  <si>
    <t>16 años celebrando con amor y agradeciendo por tu existir .
Sigue Brillándo mi reina porque el amor de Dios siempre te acompañará . 
Desde hoy empezamos a celebrar tus cumpleaños , Tu Mamá te Ama ❤️</t>
  </si>
  <si>
    <t>Brillith</t>
  </si>
  <si>
    <t>que sean en tonos rosados de un costo de 45.000</t>
  </si>
  <si>
    <t xml:space="preserve">Maru </t>
  </si>
  <si>
    <t>Txa</t>
  </si>
  <si>
    <t>Maru Txa</t>
  </si>
  <si>
    <t>Feliz cumpleaños, mamá. Gracias por tu amor infinito, tu fuerza y tu abrazo que siempre lo cura todo. Te amo hoy y siempre Att: Maru</t>
  </si>
  <si>
    <t>ID de la orden
2425398774</t>
  </si>
  <si>
    <t xml:space="preserve">Silvia Juliana Bayter Fuentes </t>
  </si>
  <si>
    <t>Calle 43#43-50 - Oficina</t>
  </si>
  <si>
    <t>316 2430444</t>
  </si>
  <si>
    <t>Feliz cumpleaños, mi bebé
Eres una persona muy especial y estas flores son solo un pequeño detalle.
Que tengas un día hermoso.</t>
  </si>
  <si>
    <t>Con amor , Jesús</t>
  </si>
  <si>
    <t>La oficina se llama : Led y colores Sas ( Bayter)</t>
  </si>
  <si>
    <t xml:space="preserve">Sabina </t>
  </si>
  <si>
    <t>Ayús otero</t>
  </si>
  <si>
    <t>Fairuz Ayus M</t>
  </si>
  <si>
    <t>Calle 98#42g-105 Conjuntos parque 98 torre 2 apto 101 - Conjunto</t>
  </si>
  <si>
    <t>316 7348124</t>
  </si>
  <si>
    <t>Feliz cumpleaños a la mejor hermana y cuñada, te amamos</t>
  </si>
  <si>
    <t>Con cariño Sabina y Junior</t>
  </si>
  <si>
    <t>Con la virgen de la Guadalupe</t>
  </si>
  <si>
    <t>Laura Marcela</t>
  </si>
  <si>
    <t>Patrón Pérez</t>
  </si>
  <si>
    <t xml:space="preserve">Valeria Patrón </t>
  </si>
  <si>
    <t>Cra 58 No 79-121 apto 401B edificio torres dilugano - Edificio</t>
  </si>
  <si>
    <t>Mi princesa hermosa Kiki,
sé que hoy fue un día importante y que puedes estar un poquito nerviosa, y quiero decirte que está bien sentirse así.
Quiero que sepas que eres muy fuerte y muy valiente, mucho más de lo que imaginas.
Nunca estás sola. Tu tía Kiki siempre está contigo, pensándote y sosteniéndote, incluso a la distancia, con todo su corazón.
Eres mi vida, mi orgullo y mi alegría.
Todo va a estar bien, porque tú puedes con esto y con mucho más.
Descansa, respira y recuerda cuánto te amo, como uno de esos abrazos que alivian. ✨💕</t>
  </si>
  <si>
    <t>Tu tía Kiki</t>
  </si>
  <si>
    <t xml:space="preserve">alejandra </t>
  </si>
  <si>
    <t>Juan Diego</t>
  </si>
  <si>
    <t>De La Ossa Serrano</t>
  </si>
  <si>
    <t>Gabriella Coronel</t>
  </si>
  <si>
    <t>Calle 98#58-58 - Edificio</t>
  </si>
  <si>
    <t>Definitivamente que eres capaz de hacer todo lo que te propongas. Te felicito por esta etapa amor y feliz de acompañarte en todas las que vienen ❤️</t>
  </si>
  <si>
    <t>Juandipands</t>
  </si>
  <si>
    <t>3 rosas y 3 lirios por favor</t>
  </si>
  <si>
    <t>Silva</t>
  </si>
  <si>
    <t>Mariana Florian</t>
  </si>
  <si>
    <t>Para la mas hermosa 
¡Te deseo un feliz cumpleaños!</t>
  </si>
  <si>
    <t>Con todo mi amor: Juan David</t>
  </si>
  <si>
    <t>Hernando Morron</t>
  </si>
  <si>
    <t>1× Flora Box Solitario girasol</t>
  </si>
  <si>
    <t>sin contexto, porque mereces que te quieran</t>
  </si>
  <si>
    <t>Girasol</t>
  </si>
  <si>
    <t>Ronaldo</t>
  </si>
  <si>
    <t>Negrete</t>
  </si>
  <si>
    <t>Calle 57 #21B 146 T2 APTO 303 - Casa</t>
  </si>
  <si>
    <t>Hoy celebro tu vida y lo afortunado que soy de tenerte. Feliz cumpleaños, amor.</t>
  </si>
  <si>
    <t>Con cariño, Ronaldo.</t>
  </si>
  <si>
    <t>Quisiera que las rosas fuesen rosadas</t>
  </si>
  <si>
    <t xml:space="preserve">Emily Villalobos </t>
  </si>
  <si>
    <t>Calle106#49e-21 apto 8A - Edificio</t>
  </si>
  <si>
    <t>320 6842029</t>
  </si>
  <si>
    <t>Mi reina , espero pronto te mejores y mantengas esa sonrisa tan dulce que tienes 🤍</t>
  </si>
  <si>
    <t>Con mucho amor J</t>
  </si>
  <si>
    <t>Que sean 3 rosas rojas y 3 blancas</t>
  </si>
  <si>
    <t>Camila Figueroa</t>
  </si>
  <si>
    <t>arreglo personalizado como foto</t>
  </si>
  <si>
    <t>Eres más de lo que podría pedir y de lo que tanto anhelaba encontrar. Tu llegada a mi vida se ha visto en vuelta en mucha felicidad. ♡</t>
  </si>
  <si>
    <t>Con cariño, Cam.</t>
  </si>
  <si>
    <t>Me gustaría usar claveles, peonías y rosas en tonos rosados (claro) y blancos,junto con gypsophila. La decoración del papel podría ser así y un ramo no tan grande. Que sea algo similar a la cotización que ya realice</t>
  </si>
  <si>
    <t>NATASHA</t>
  </si>
  <si>
    <t>CHEWING</t>
  </si>
  <si>
    <t>melissa de la valle</t>
  </si>
  <si>
    <t>calle 98# 65a-54 torre 1 apto 1206 brisas del río - Edificio</t>
  </si>
  <si>
    <t>josé</t>
  </si>
  <si>
    <t>adriana zapata hoyos</t>
  </si>
  <si>
    <t>cra 50# 80-273 edif torres de salem apto 132b - Edificio</t>
  </si>
  <si>
    <t>conocerte fue,es y será una de las mejores cosas que me pasó en la vida.
josé castro</t>
  </si>
  <si>
    <t>tarud</t>
  </si>
  <si>
    <t>daniel tarud</t>
  </si>
  <si>
    <t>tata becerra</t>
  </si>
  <si>
    <t>Sebastián Ospina</t>
  </si>
  <si>
    <t>flora box solitario rosa</t>
  </si>
  <si>
    <t>ID de la orden
2425480122</t>
  </si>
  <si>
    <t>maria del mar</t>
  </si>
  <si>
    <t>alzate</t>
  </si>
  <si>
    <t>maria del mar alzate</t>
  </si>
  <si>
    <t>aroca</t>
  </si>
  <si>
    <t>betty</t>
  </si>
  <si>
    <t>cra 57 # 85-82 apto 302 arte 57 - Casa</t>
  </si>
  <si>
    <t>envía al celular</t>
  </si>
  <si>
    <t xml:space="preserve">Veraine </t>
  </si>
  <si>
    <t xml:space="preserve">Vera Mateus </t>
  </si>
  <si>
    <t>Veraine Vera Mateus</t>
  </si>
  <si>
    <t>300 8205218</t>
  </si>
  <si>
    <t>Arnaldo</t>
  </si>
  <si>
    <t>Cra 57 no 79-330 - Casa</t>
  </si>
  <si>
    <t>Por una vida Juntos… te amo</t>
  </si>
  <si>
    <t>Luis Potes</t>
  </si>
  <si>
    <t>Carrera 2 sur #48b09 - Casa</t>
  </si>
  <si>
    <t>Feliz cumpleaños mi chiquita. 
Feliz cumpleaños a la niña de mis sueños, Que Dios y la vida te permitan cumplir todas tus metas y sueños. Que nunca te falten motivos para sonreír, hoy es un día muy especial para ti, y ahora se convierte en especial para mi también, ahora tu cumpleaños me recuerda lo afortunado que soy de tenerte a mi lado. Te deseo mucha felicidad mi chiquita. Te amo.</t>
  </si>
  <si>
    <t>Con amor, Luis.</t>
  </si>
  <si>
    <t xml:space="preserve">LIQUITECH </t>
  </si>
  <si>
    <t>LIQUITECH</t>
  </si>
  <si>
    <t>Calle 73 #42b-51 Edificio Giuliana</t>
  </si>
  <si>
    <t>320 9674178</t>
  </si>
  <si>
    <t>guacal surtido lirio</t>
  </si>
  <si>
    <t xml:space="preserve">Colocar el siguiente mensaje en la tarjeta: Andre, los acompañamos con mucho cariño en este momento y te queremos expresar toda nuestra solidaridad. Recibe, de parte de todo el Liquiteam, un abrazo sincero acompañado de nuestras oraciones y nuestro apoyo. Estamos contigo
</t>
  </si>
  <si>
    <t>Diannys Solano</t>
  </si>
  <si>
    <t>Victor</t>
  </si>
  <si>
    <t>Abuchaibe</t>
  </si>
  <si>
    <t>Rocio peña</t>
  </si>
  <si>
    <t>Cra 58 núm 85-41 edificio Castello apto 1 - Casa</t>
  </si>
  <si>
    <t>bouquet gerbera</t>
  </si>
  <si>
    <t>Mamita que tengas un feliz cumpleaños. Disfruta tu día y que Dios te llene de muchas bendiciones y de salud.</t>
  </si>
  <si>
    <t>Con mucho amor, Lore y Yuyo.</t>
  </si>
  <si>
    <t xml:space="preserve">katherine </t>
  </si>
  <si>
    <t>páez</t>
  </si>
  <si>
    <t>katherine páez</t>
  </si>
  <si>
    <t>calle 98 65a-54 Torre3apto 1103 Brisas del rio</t>
  </si>
  <si>
    <t xml:space="preserve">Mario </t>
  </si>
  <si>
    <t>Urzola</t>
  </si>
  <si>
    <t xml:space="preserve">Mario Urzola </t>
  </si>
  <si>
    <t>Cll 77 # 66-07 - Oficina</t>
  </si>
  <si>
    <t>Feliz Cumpleaños Amor de mi vida 
TE AMO</t>
  </si>
  <si>
    <t>Papi</t>
  </si>
  <si>
    <t xml:space="preserve">sofía </t>
  </si>
  <si>
    <t>aristizabal</t>
  </si>
  <si>
    <t>calle 96 #71-165 Altares Torre 3A apto 401</t>
  </si>
  <si>
    <t>Calle 96#71-165 Altares Torre 3A apto 401 - Edificio</t>
  </si>
  <si>
    <t>te amo, mami happy birthaday ❤️</t>
  </si>
  <si>
    <t>con cariño, la pechiche de la casa</t>
  </si>
  <si>
    <t>Alvarino Rojas</t>
  </si>
  <si>
    <t xml:space="preserve">Gabriela Guzmán </t>
  </si>
  <si>
    <t>Calle 99c 43-150 Edificio Tarragona / apto 503C - Edificio</t>
  </si>
  <si>
    <t>350 7488129</t>
  </si>
  <si>
    <t>corazon grande de rosas</t>
  </si>
  <si>
    <t>⁠Feliz cumpleaños, con amor: Juan.</t>
  </si>
  <si>
    <t>Con amor: Juan</t>
  </si>
  <si>
    <t>keiner</t>
  </si>
  <si>
    <t>paez</t>
  </si>
  <si>
    <t>Eimmy</t>
  </si>
  <si>
    <t>Calle 117 No 42B - 189 - Entrega En Tienda</t>
  </si>
  <si>
    <t>Keiner</t>
  </si>
  <si>
    <t xml:space="preserve">Samuel </t>
  </si>
  <si>
    <t xml:space="preserve"> Isabella Fiorillo </t>
  </si>
  <si>
    <t>Cra 65#84-120 - Casa</t>
  </si>
  <si>
    <t>310 3282739</t>
  </si>
  <si>
    <t>SAN VALENTIN Mini Box Orquídea</t>
  </si>
  <si>
    <t>TE AMO MUCHO</t>
  </si>
  <si>
    <t>CATALOGO SAN VALENTIN # 22</t>
  </si>
  <si>
    <t xml:space="preserve">Grethell </t>
  </si>
  <si>
    <t xml:space="preserve">Alma Gómez </t>
  </si>
  <si>
    <t>Calle 1e # 21 89, conj mirador de la ciénaga Torre 4 Ap 1107 - Conjunto</t>
  </si>
  <si>
    <t>Feliz cumpleaños Madre de mi alma , que Dios te bendiga y me seas eterna , Te Amo con toda mi vida ♥️</t>
  </si>
  <si>
    <t>Tu Hija Grethell</t>
  </si>
  <si>
    <t>Corrales</t>
  </si>
  <si>
    <t>Daniel Corrales</t>
  </si>
  <si>
    <t>Sebastian RIVERO</t>
  </si>
  <si>
    <t>Troute</t>
  </si>
  <si>
    <t>Ana Maria Troute</t>
  </si>
  <si>
    <t xml:space="preserve">Stephanie </t>
  </si>
  <si>
    <t>Smit</t>
  </si>
  <si>
    <t>Stephanie Smit</t>
  </si>
  <si>
    <t>310 5095798</t>
  </si>
  <si>
    <t>3 lirio blancos</t>
  </si>
  <si>
    <t>3 lirios</t>
  </si>
  <si>
    <t>Mayra Alejandra</t>
  </si>
  <si>
    <t>cra. 74 # 86b -50 - Casa</t>
  </si>
  <si>
    <t>como en la foto tonos pasteles</t>
  </si>
  <si>
    <t xml:space="preserve"> Farid </t>
  </si>
  <si>
    <t>Tania de Radi</t>
  </si>
  <si>
    <t>Cra 56 # 91-86 - Edificio</t>
  </si>
  <si>
    <t>Tania feliz cumpleaños sabes q desde q te conocí has sido y serás siempre mi cielo y mi felicidad . Te amo hasta más de los límites de mi corazón.
Eres el centro de todos.
Farid, samir , lina , farid y elias</t>
  </si>
  <si>
    <t>Malory Mendoza</t>
  </si>
  <si>
    <t>Cra 58 # 98-71 apto 701 edificio Toledo - Edificio</t>
  </si>
  <si>
    <t>300 8765169</t>
  </si>
  <si>
    <t>"¡Feliz vuelta al sol! Te mando estas rosas porque, más allá de lo que digan los astros hoy, me gusta lo que pasa cuando estoy cerca de tu energía.
Que hoy sea el mejor día!</t>
  </si>
  <si>
    <t>Sabrina</t>
  </si>
  <si>
    <t>Raad</t>
  </si>
  <si>
    <t xml:space="preserve">Soraya Del Risco </t>
  </si>
  <si>
    <t>Calle 99 #56-41 edifico Palm Avenue apt 1804 - Edificio</t>
  </si>
  <si>
    <t>Feliz cumpleaños mamá! Te amo &lt;3</t>
  </si>
  <si>
    <t>Sabri</t>
  </si>
  <si>
    <t>Tinoco</t>
  </si>
  <si>
    <t>Fernando Diaz</t>
  </si>
  <si>
    <t>Carrera 65 #99-109 - Edificio</t>
  </si>
  <si>
    <t>Amor, hoy el cachorrito está corriendo por las nubes y cuidándonos desde el cielo. Benji estará siempre con nosotros en nuestros corazones y nunca dejaremos de amarlo. Fuiste el mejor papá perruno. 
Te amo amor mío. Aquí estoy para ti.</t>
  </si>
  <si>
    <t>Con amor, Pao</t>
  </si>
  <si>
    <t>Quisiera que fueran todas flores blancas</t>
  </si>
  <si>
    <t xml:space="preserve">Indira </t>
  </si>
  <si>
    <t>Cra 65 # 99 - 109 apto 308 - Edificio</t>
  </si>
  <si>
    <t>Amor 
Ojalá nunca nos falten motivos para permanecer y sentirnos  unidos  con Dios entre nosotros.  
Te ama tu esposo</t>
  </si>
  <si>
    <t>Favor entregar antes de 11:00 am</t>
  </si>
  <si>
    <t xml:space="preserve"> Roman Cabrera</t>
  </si>
  <si>
    <t>Sergio Roman Cabrera</t>
  </si>
  <si>
    <t>ID de la orden
2425680782</t>
  </si>
  <si>
    <t>Alina</t>
  </si>
  <si>
    <t xml:space="preserve"> krebs </t>
  </si>
  <si>
    <t>Hannah Pimienta</t>
  </si>
  <si>
    <t>Transversal 44 # 102-72 Piamonte - Edificio</t>
  </si>
  <si>
    <t>A la dueña del milagro de mi vida: Gracias por ser el mapa que redibujó mi persona. No busques ser perfecta, solo sé tú misma, como fuiste creada, única en irrepetible, ese incendio de autenticidad que tanto amo. Que estas flores te recuerden la luz que irradias. Felices 16 años, bb hermosa. Te ama, Papa.</t>
  </si>
  <si>
    <t xml:space="preserve">Eddy </t>
  </si>
  <si>
    <t>Viloria</t>
  </si>
  <si>
    <t>Eddy Viloria</t>
  </si>
  <si>
    <t xml:space="preserve">Ramirez </t>
  </si>
  <si>
    <t xml:space="preserve">Paola Ramirez </t>
  </si>
  <si>
    <t>Cra 49c #80-29 (Cimedical) - Casa</t>
  </si>
  <si>
    <t xml:space="preserve"> Burgos</t>
  </si>
  <si>
    <t>Luis Burgos</t>
  </si>
  <si>
    <t>ID de la orden
2425699340</t>
  </si>
  <si>
    <t xml:space="preserve">Andres </t>
  </si>
  <si>
    <t>Torres Cepeda</t>
  </si>
  <si>
    <t>Andres Torres Cepeda</t>
  </si>
  <si>
    <t>ID de la orden
2425696718</t>
  </si>
  <si>
    <t>robinson</t>
  </si>
  <si>
    <t>robinson cuello</t>
  </si>
  <si>
    <t>para 110</t>
  </si>
  <si>
    <t>Josué</t>
  </si>
  <si>
    <t>Altafulla Mancilla</t>
  </si>
  <si>
    <t xml:space="preserve">Josué altafulla </t>
  </si>
  <si>
    <t>Conjunto Amore Cra. 22 #1e-86 - Conjunto</t>
  </si>
  <si>
    <t>Me llama y yo bajo a buscarlo tipo 6 pm</t>
  </si>
  <si>
    <t>Dos meses y cada día me gustas más. Te amo. Con cariño, Josué Altafulla</t>
  </si>
  <si>
    <t xml:space="preserve"> MARTINEZ BUSTAMANTE </t>
  </si>
  <si>
    <t xml:space="preserve">	SUSANA ROSALES </t>
  </si>
  <si>
    <t>TV 57 #99-180 APTO 1702 - Casa</t>
  </si>
  <si>
    <t>TENIA SALDO A FAVOR DE 489000</t>
  </si>
  <si>
    <t>ROSIRISPARDOR@SALUDFAMILIAR.COM.CO</t>
  </si>
  <si>
    <t>zandra</t>
  </si>
  <si>
    <t>zandra vasquez</t>
  </si>
  <si>
    <t>316 4543781</t>
  </si>
  <si>
    <t xml:space="preserve">Paula Rodríguez </t>
  </si>
  <si>
    <t>Barrio Río Alto, Cl. 96 #72 - 43, Altavista del rio - Conjunto</t>
  </si>
  <si>
    <t>Feliz cumpleaños 🤍 Que este día te recuerde lo especial que eres y lo mucho que te quiero. Que la vida te siga sonriendo.</t>
  </si>
  <si>
    <t>JD</t>
  </si>
  <si>
    <t>3 HORT. BLANCAS Y UN PAQUETE DE RUSCUS</t>
  </si>
  <si>
    <t>Luis Angel Peralta</t>
  </si>
  <si>
    <t>Calle 66 # 12-28 casa de rejas amarillas - Casa</t>
  </si>
  <si>
    <t>Eres mi lugar seguro, mi sonrisa favorita y la parte más bonita de mis días. Te amo muchísimo.</t>
  </si>
  <si>
    <t>Con amor Coby.</t>
  </si>
  <si>
    <t>ABONÓ 130,000 RESTA 130,000</t>
  </si>
  <si>
    <t xml:space="preserve">Laury  </t>
  </si>
  <si>
    <t>Rodríguez</t>
  </si>
  <si>
    <t xml:space="preserve"> Laury Rodríguez </t>
  </si>
  <si>
    <t>Monterivera - Calle 99 # 65 - 83 apto 604 - Casa</t>
  </si>
  <si>
    <t>Mi Lau hermosa
Desde el día en que comenzó nuestra amistad, jamás imaginé lo importante que llegarías a ser en mi vida. Hoy entiendo que Dios no solo me regaló una amiga, sino una hermana del alma.
Gracias por tu amor, por tu lealtad, por tus consejos y también por tus regaños, porque siempre vienen desde el cariño.
Solo le pido a Dios que nos permita seguir así, juntas, apoyándonos y riéndonos, hasta viejitas.
Eres una mujer muy valiosa, mi Lau. Jamás, pero jamás de los jamases, lo olvides.
Con todo mi cariño,</t>
  </si>
  <si>
    <t>MINI BOX ORQUÍDEA 90,000 SAN VALENTÍN</t>
  </si>
  <si>
    <t xml:space="preserve">Crusibel </t>
  </si>
  <si>
    <t xml:space="preserve">De Los Reyes Alonso </t>
  </si>
  <si>
    <t xml:space="preserve">Sophia Barros De Los Reyes </t>
  </si>
  <si>
    <t>Calle 91a # 64c -38 - Edificio</t>
  </si>
  <si>
    <t>Con todo mi amor. Mamá.</t>
  </si>
  <si>
    <t>Roberto Jose</t>
  </si>
  <si>
    <t>Mary Zaher</t>
  </si>
  <si>
    <t>Carrera 57#79-304 - Edificio</t>
  </si>
  <si>
    <t>Abuelita, FELIZ CUMPLEANOS, TE QUIERO MUCHO!</t>
  </si>
  <si>
    <t xml:space="preserve">saverio </t>
  </si>
  <si>
    <t>minervini</t>
  </si>
  <si>
    <t>entregado</t>
  </si>
  <si>
    <t>todos los arreglos del hotel en follaje verde
 y se le vendieron 2 cilindros grandes</t>
  </si>
  <si>
    <t xml:space="preserve">maría del pilar </t>
  </si>
  <si>
    <t>maría del pilar tinoco</t>
  </si>
  <si>
    <t>inversiones pento sas empresa</t>
  </si>
  <si>
    <t>rosas,rosadas,fucsia y beige y ponerle aster</t>
  </si>
  <si>
    <t xml:space="preserve">En blanco </t>
  </si>
  <si>
    <t>En blanco</t>
  </si>
  <si>
    <t xml:space="preserve"> Luis Eduardo </t>
  </si>
  <si>
    <t>Montoya Pereira</t>
  </si>
  <si>
    <t>Andrea Espitia Pereira</t>
  </si>
  <si>
    <t>calle 6#20-1670 altos de Monticello, torre 3 apto 109. - Casa</t>
  </si>
  <si>
    <t>No hay distancia que me separe de ti, te adoro linda ❤️. Atte: Tu novio online.</t>
  </si>
  <si>
    <t>SAN VALENTIN</t>
  </si>
  <si>
    <t>JUAN PABLO</t>
  </si>
  <si>
    <t>CORREA LLANOS</t>
  </si>
  <si>
    <t xml:space="preserve">Juan Pablo Correa </t>
  </si>
  <si>
    <t>Cra 52#132-87 Marasha Elite - Casa</t>
  </si>
  <si>
    <t>bouquet surtido # 46</t>
  </si>
  <si>
    <t xml:space="preserve">Puedo ser tu novio? </t>
  </si>
  <si>
    <t>Juanpi</t>
  </si>
  <si>
    <t>MÁS PEQUEÑO ES DE 300</t>
  </si>
  <si>
    <t>camila barrios</t>
  </si>
  <si>
    <t>cra 43B# 98-18 casa - Edificio</t>
  </si>
  <si>
    <t xml:space="preserve">envia al celular
</t>
  </si>
  <si>
    <t>MARÍA FERNANDA</t>
  </si>
  <si>
    <t>VALENCIA</t>
  </si>
  <si>
    <t>MARÍA FERNANDA VALENCIA</t>
  </si>
  <si>
    <t>CRA 55 # 82-227 APTO 1801 - Casa</t>
  </si>
  <si>
    <t xml:space="preserve">Giovanni </t>
  </si>
  <si>
    <t>Duluc Martí</t>
  </si>
  <si>
    <t xml:space="preserve"> Sheyla Giacometto</t>
  </si>
  <si>
    <t>Cra 64B #85-62 edificio parque 85 piso 6D - Casa</t>
  </si>
  <si>
    <t>301 1709235</t>
  </si>
  <si>
    <t>Mi amor Sheyla te regalo estas orquídeas no solo porque sé que te gustan, ni solo porque me recuerdan a ti, sino porque las orquídeas son flores únicas así como tu eres única también para mí. 
No dejo de pensar en los momenticos tan hermosos que tuvimos en Madrid, los extraño muchísimo así como te extraño a ti. Me hace falta tu olor de tus perfumes, tu mano agarrada de la mía, esa sonrisa tuya cuando te ríes tan contagiosa que  e como la gripe.
También extraño cuando nos reímos juntitos, cuando jugábamos al impostor, cuando tomábamos vino con la amiga de mi mamá , esos momentos simples que se quedan para siempre.
Te amo Sheyla, de verdad eres lo mejor que me ha pasado. Espero que disfrutes muchísimo este sábado en el carnaval, te mando millones de besos, que Dios te cuide siempre.</t>
  </si>
  <si>
    <t>PLANTA DE ORQUÍDEA</t>
  </si>
  <si>
    <t>juan sebastian</t>
  </si>
  <si>
    <t>fábregas</t>
  </si>
  <si>
    <t>juan sebastian fábregas</t>
  </si>
  <si>
    <t>orlando</t>
  </si>
  <si>
    <t>andrea orlando</t>
  </si>
  <si>
    <t xml:space="preserve">Pamela </t>
  </si>
  <si>
    <t>Aponte</t>
  </si>
  <si>
    <t xml:space="preserve">Pamela Aponte </t>
  </si>
  <si>
    <t>Cra 71 # 93 37 Edif Tivoly plaza torre 2 apt 502 - Edificio</t>
  </si>
  <si>
    <t>Ronald Rolando</t>
  </si>
  <si>
    <t>Romero Figueroa</t>
  </si>
  <si>
    <t>Vanessa Henriquez Esmeral</t>
  </si>
  <si>
    <t>Calle 79#42-432 - Edificio</t>
  </si>
  <si>
    <t>Mi Reina Linda Feliz Cumpleaños que dios todo poderoso te cumpla todos los deseos de tu corazon.
Te adoro.</t>
  </si>
  <si>
    <t>Honorato Romero</t>
  </si>
  <si>
    <t>Carvajal</t>
  </si>
  <si>
    <t>Kelly Tirado</t>
  </si>
  <si>
    <t>Carrera 47 No. 100-144 - Edificio</t>
  </si>
  <si>
    <t>Mamita felices 47 años, estoy muy contento de ser tu hijo, te amo infinitamente. Gracias por darme todo lo que tengo y enseñarme todo lo que sé. Eres mi protectora, mi salvadora, eres la mejor madre del universo gracias por haberme traído a la vida y enseñarme todos los valores aprendidos. Te amo hasta la estrellas y mucho más. Feliz cumpleaños te amo.</t>
  </si>
  <si>
    <t>Ojalá que disfrutes este regalito te amo 6767</t>
  </si>
  <si>
    <t>Fragoso</t>
  </si>
  <si>
    <t>José Fragoso</t>
  </si>
  <si>
    <t>Cra 45#99c-84 - Casa</t>
  </si>
  <si>
    <t>Para ti, que haces mis días más bonitos. Gracias por llegar a mi vida! Feliz cumpleaños.</t>
  </si>
  <si>
    <t xml:space="preserve">Carrera 43b 90-23 </t>
  </si>
  <si>
    <t>Carrera 43b 90-23 Edf Bedfor aprt 491 - Edificio</t>
  </si>
  <si>
    <t>No todos los días tenemos la dicha de pasar la estrecha línea de una década juntos. Gracias por ser mi compañera de 1000 batallas aveces tenemos buenos días buenos, días malos y días regulares pero lo importante es que al final de cada día cuando nos necesitamos siempre estás uno al lado del otro 
Te amo</t>
  </si>
  <si>
    <t>Por favor que llegue tipo 9-10 am</t>
  </si>
  <si>
    <t xml:space="preserve">CÁMARA DE COMERCIO DE BARRANQUILLA </t>
  </si>
  <si>
    <t xml:space="preserve">Cámara de comercio </t>
  </si>
  <si>
    <t>Vía 40 n 36:135 - Oficina</t>
  </si>
  <si>
    <t>Dra. Lina, 
Hoy  le queremos agradecer profundamente por cada momento compartido y por todas las enseñanzas que nos dejó. Su ejemplo de mujer verraca y luchadora deja una huella imborrable en nuestros corazones. Gracias por su paso por esta entidad, que hoy y siempre seguirá siendo su casa. La queremos mucho</t>
  </si>
  <si>
    <t>Tu familia CCB</t>
  </si>
  <si>
    <t>María Margarita Carbonell</t>
  </si>
  <si>
    <t>Edificio Aqualina cra58#79-295 ap 6b - Edificio</t>
  </si>
  <si>
    <t>CANATO POR 24 ROSAS ROJAS</t>
  </si>
  <si>
    <t>Por WhatsApp</t>
  </si>
  <si>
    <t xml:space="preserve">Kassen </t>
  </si>
  <si>
    <t>Saleh Bultaif</t>
  </si>
  <si>
    <t>Juan Guillermo Correa</t>
  </si>
  <si>
    <t>Carrera 42F No. 79B - 47 Apto 6 edificio  cristina María - Edificio</t>
  </si>
  <si>
    <t>“Revístanse de entrañas de misericordia, de bondad, humildad, mansedumbre y paciencia… y, por encima de todo, revístanse del amor, que es el vínculo de la perfección.”
 *Colosenses 3,12-15*
 _Juangui y Julieth_ , que estas palabras se vuelvan vida en su día a día. Que el amor sea siempre su abrigo, su fuerza y su camino, y que Dios los acompañe en cada paso de esta hermosa historia que hoy comienzan juntos" Les enviamos un abrazo,  los queremos mucho!!!</t>
  </si>
  <si>
    <t>Con cariño Kassen y Aleja</t>
  </si>
  <si>
    <t>Pastrana</t>
  </si>
  <si>
    <t>Paula Bautista</t>
  </si>
  <si>
    <t>transversal 43 #100-50 conjunto Napoli/ Miramar torre 9 apto 938 - Conjunto</t>
  </si>
  <si>
    <t>315 7892201</t>
  </si>
  <si>
    <t xml:space="preserve">Pronta recuperación ❤️ </t>
  </si>
  <si>
    <t>Con cariño: JP</t>
  </si>
  <si>
    <t xml:space="preserve">Velación Sr Francisco Yance </t>
  </si>
  <si>
    <t>Jardines de la Eternidad Sala 11 - Casa</t>
  </si>
  <si>
    <t>Descanse en los brazos de Jesús…</t>
  </si>
  <si>
    <t>Oscar Tilano, Sra e hijos</t>
  </si>
  <si>
    <t>Gina Garrido</t>
  </si>
  <si>
    <t>Galapa</t>
  </si>
  <si>
    <t>Calle 9 No. 12-38 Galapa (Atlántico) Barrio La Florida - Casa</t>
  </si>
  <si>
    <t>Querida amiga,
Hoy nuestros pensamientos y corazones están contigo. Sabemos que este momento llegó de manera inesperada, pero confiamos en tu fortaleza y en cada pequeño avance que darás. Que estas flores te acompañen como un abrazo lleno de esperanza, ánimo y luz. No estás sola; aquí estamos contigo, sosteniéndote a la distancia y deseando tu pronta recuperación.</t>
  </si>
  <si>
    <t>Con todo nuestro cariño, Oscar, Jennifer y el pequeño Juan Martín 🌸</t>
  </si>
  <si>
    <t>Ninguno</t>
  </si>
  <si>
    <t xml:space="preserve">SALVATORE </t>
  </si>
  <si>
    <t>VALDEBLANQUEZ</t>
  </si>
  <si>
    <t>SALVATORE VALDEBLANQUEZ</t>
  </si>
  <si>
    <t>SIN CASPIA</t>
  </si>
  <si>
    <t>elizabeth</t>
  </si>
  <si>
    <t>mancera</t>
  </si>
  <si>
    <t>elizabeth mancera</t>
  </si>
  <si>
    <t xml:space="preserve">Marco andres </t>
  </si>
  <si>
    <t xml:space="preserve">Garcia Cediel </t>
  </si>
  <si>
    <t xml:space="preserve">Daniela Amaris </t>
  </si>
  <si>
    <t>Calle no 55-140 Edificio country Avenida apto 7a - Edificio</t>
  </si>
  <si>
    <t xml:space="preserve">Te amo mucho mi amor. Felicitaciones por tu nuevo trabajo </t>
  </si>
  <si>
    <t xml:space="preserve">Katherine </t>
  </si>
  <si>
    <t xml:space="preserve">Jimenez Rodriguez </t>
  </si>
  <si>
    <t xml:space="preserve">Isabella Horta </t>
  </si>
  <si>
    <t>Cra 51 #79-194 - Casa</t>
  </si>
  <si>
    <t>Holi Ami, espero que te hayas disfrutado mucho tu celebración anoche y mucho más nuestra compañía hoy. Se que estuviste un poco desanimada por tú cumpleaños, pero sabemos que es una fecha especial para ti e intentamos que disfrutaras cada momento al máximo. Te amamos un montón y cada uno puso su granito de arena armar este regalito. Esperamos que te guste mucho y que puedas disfrutar cada una de las cositas que tiene. 
Yupi.</t>
  </si>
  <si>
    <t>Con mucho cariño Kathe, Isa C, Juli, Ana, Mari, Lu, Danny, Tato y Cárdenas</t>
  </si>
  <si>
    <t>María Camila Devoz</t>
  </si>
  <si>
    <t>Cra 22 #1E - 86 conjunto Amore, Torre 12, Apto 404 - Conjunto</t>
  </si>
  <si>
    <t xml:space="preserve">Desde acá, que cerca queda el cielo. </t>
  </si>
  <si>
    <t>SC</t>
  </si>
  <si>
    <t xml:space="preserve">Stefano </t>
  </si>
  <si>
    <t xml:space="preserve">Chiriví León  </t>
  </si>
  <si>
    <t>Daniya Nakyp</t>
  </si>
  <si>
    <t>Calle 99 # 56 -41 apto 204 - Edificio</t>
  </si>
  <si>
    <t>¡Feliz primer año mi amorcito! Soy el mas afortunado por tenerte y espero seguir compartiendo momentos inolvidables contigo. ¡Te amo con todo mi corazón!</t>
  </si>
  <si>
    <t>Fefo</t>
  </si>
  <si>
    <t xml:space="preserve">Mayra </t>
  </si>
  <si>
    <t xml:space="preserve">Hernández </t>
  </si>
  <si>
    <t xml:space="preserve">Mayra Hernández </t>
  </si>
  <si>
    <t>3#51B-505,- Conjunto Arrecifes Porteria 2 casa 21., - Conjunto</t>
  </si>
  <si>
    <t>May</t>
  </si>
  <si>
    <t xml:space="preserve">Julio </t>
  </si>
  <si>
    <t xml:space="preserve">Gina Rodríguez </t>
  </si>
  <si>
    <t>Carrera 51 no 79-85 apto 301 - Casa</t>
  </si>
  <si>
    <t>A medida que pasa el tiempo, la verdadera belleza se transforma, no se evapora. Se alimenta del espíritu y de nuestro desarrollo interior. 
Aunque tú belleza física me impacta cada día más, es la belleza de tu espíritu , tu fuerza y determinación, lo que  alimenta cada día de mi vida. 
Te amo : Julio</t>
  </si>
  <si>
    <t xml:space="preserve">Natalia Cuee </t>
  </si>
  <si>
    <t>Cra 58# 91-99. Apto 3A - Edificio</t>
  </si>
  <si>
    <t>Feliz cumpleaños para el ser más especial y hermoso que nos regaló la vida.
Sebas y Cami 
Te amamos</t>
  </si>
  <si>
    <t>Sebas y Cami</t>
  </si>
  <si>
    <t>Que llegue a las 8 am</t>
  </si>
  <si>
    <t xml:space="preserve">juancarlos </t>
  </si>
  <si>
    <t>joya</t>
  </si>
  <si>
    <t>juancarlos joya</t>
  </si>
  <si>
    <t>Sepulveda</t>
  </si>
  <si>
    <t xml:space="preserve">Lidia &amp; Juanita Prieto </t>
  </si>
  <si>
    <t>Transversal 44 #102-80, Torre 6 apto 1417. Edificio Olivenza.</t>
  </si>
  <si>
    <t>1× Canasto Lavanda | 1× Canasto Mediano Sweet</t>
  </si>
  <si>
    <t>Abuelita : Mucha salud y bendiciones para la mejor abuela del mundo". Recupérate pronto ! 
Tía Juanita: Tu amor incondicional ha dejado una huella imborrable en el corazón de todos especialmente en el mío. Gracias por tus amor y tus cuidados. Te amamos.</t>
  </si>
  <si>
    <t>Sharon &amp; Sarita</t>
  </si>
  <si>
    <t>El arreglo más pequeño es para tía Juanita y el más grande para abuelita</t>
  </si>
  <si>
    <t>montenegro</t>
  </si>
  <si>
    <t>luis montenegro</t>
  </si>
  <si>
    <t>andrea escorcia</t>
  </si>
  <si>
    <t>rosas rojas,claveles blancos,ruscus,oasis,helecho</t>
  </si>
  <si>
    <t>Ruddy</t>
  </si>
  <si>
    <t>Ruddy Rodriguez</t>
  </si>
  <si>
    <t>Calle 98 # 65a-54 torre 1 apartamento 1301 - Edificio</t>
  </si>
  <si>
    <t>12 rojas rojas en una caja bien linda las rosas. Que esté a las 10 am  o antes por favor del día de hoy</t>
  </si>
  <si>
    <t xml:space="preserve">Ivonne </t>
  </si>
  <si>
    <t xml:space="preserve">Villamil </t>
  </si>
  <si>
    <t xml:space="preserve">Blanca Rodríguez Saavedra </t>
  </si>
  <si>
    <t>Cra 73 #86-83 edificio Italia apto 102 - Edificio</t>
  </si>
  <si>
    <t>Mamá, Dios me cuida
y yo sigo cuidándote a ti.
mi amor vive en ti.
-Ivone Villamil 🩵</t>
  </si>
  <si>
    <t>Ivonne Villamil</t>
  </si>
  <si>
    <t>Entregar personalmente a blanca Rodríguez o en su defecto a alguno de sus hijos (Pedro Rebolledo , Omar Rebolledo)</t>
  </si>
  <si>
    <t>Mayrub</t>
  </si>
  <si>
    <t>Aragon</t>
  </si>
  <si>
    <t>Marietha carrillo</t>
  </si>
  <si>
    <t>Calle85#47-44 - Edificio</t>
  </si>
  <si>
    <t>Feliz cumpleaños mami te amo!♥️</t>
  </si>
  <si>
    <t>Mayrub Aragón</t>
  </si>
  <si>
    <t xml:space="preserve">Andrea Uribe </t>
  </si>
  <si>
    <t>Hotel movich buró 51b - Edificio</t>
  </si>
  <si>
    <t>Nos vemos en el altar.
Te amo para siempre</t>
  </si>
  <si>
    <t>Atte tu esposo</t>
  </si>
  <si>
    <t>Es un hotel, hotel
Movich
Habitación 1217</t>
  </si>
  <si>
    <t>Fiorella</t>
  </si>
  <si>
    <t>Manosalva</t>
  </si>
  <si>
    <t xml:space="preserve">Laura Romero </t>
  </si>
  <si>
    <t>Cr 43 b # 85 - 171 - Casa</t>
  </si>
  <si>
    <t>Amor mío, hoy mi corazón rebosa de gratitud y admiración por ti. Gracias por el regalo más hermoso que la vida me ha dado, nuestro hijo Federico.
Verte convertirte en mamá ha sido el momento más mágico y emocionante que he vivido. Hoy celebro tu valentía y la felicidad inmensa que me regalan tú y nuestro hermoso bebé.
Los amo con todo mi corazón ❤️</t>
  </si>
  <si>
    <t>Por favor que las flores sean en tonos claros, rosado pastel, etc</t>
  </si>
  <si>
    <t>Salleg</t>
  </si>
  <si>
    <t>Diana Guarin</t>
  </si>
  <si>
    <t>Edificio Venice carrera 59#81-229 - Edificio</t>
  </si>
  <si>
    <t>Te amo infinitoooo</t>
  </si>
  <si>
    <t>Humberto Salleg</t>
  </si>
  <si>
    <t>Jeannete</t>
  </si>
  <si>
    <t>cra 59#96-06PH 16b - Edificio</t>
  </si>
  <si>
    <t>carvajalino</t>
  </si>
  <si>
    <t>3 DOCENAS DE ROSAS ROJAS</t>
  </si>
  <si>
    <t>calle 98 No 65A-54. Ap 1301- torre 1 . - Edificio</t>
  </si>
  <si>
    <t>: Doy  gracias a Dios por permitirnos cumplir un año lleno de momentos de complicidad , de risas , de enseñanzas, de sueños , de aventuras , de retos que hemos sobrepasado pero sobretodo de mucho amor . Gracias por llegar a mi vida y enseñarme que hay lenguajes del amor diferente , gracias por enseñarme a creer , gracias por enseñarme a no rendirme y gracias por darme tu amor y tu compañía. Espero este año sea el primero de la vida que nos queda por recorrer .
Te amo 
Jei</t>
  </si>
  <si>
    <t>Catalina mijhail</t>
  </si>
  <si>
    <t>Peinado canchila</t>
  </si>
  <si>
    <t>Samira valeta</t>
  </si>
  <si>
    <t>Calle 96 # 71-37 Torre 5. - Apartamento 103 Edificio Bora  Villa Carolina - Edificio</t>
  </si>
  <si>
    <t>Sami, recupérate pronto 🤍 aquí estamos contigo, mandándote mucho amor y un abrazo gigante. Te queremos🌸</t>
  </si>
  <si>
    <t>Con cariño Cata,Ale y Moño.</t>
  </si>
  <si>
    <t>sonia</t>
  </si>
  <si>
    <t>esther</t>
  </si>
  <si>
    <t>Calle 104 # 53 - 49 Edf zioon tower Apto 701 - Casa</t>
  </si>
  <si>
    <t>Para. Esther
De. Jesús 
Esposa mía te amo , Dios te bendiga siempre y no olvides que además eres hermosa por la arquitectura de tu bello alma</t>
  </si>
  <si>
    <t>Giovanny Vega</t>
  </si>
  <si>
    <t>Doris</t>
  </si>
  <si>
    <t>Teran</t>
  </si>
  <si>
    <t>Carmen Ortega</t>
  </si>
  <si>
    <t>cll 72#38-202 apto 302 - Casa</t>
  </si>
  <si>
    <t>1× Flora Box Redonda Lirio | 1× Canasto Aire</t>
  </si>
  <si>
    <t xml:space="preserve">Feliz Cumpleaños a la mujer más fuerte y hermosa de todas. Espero que la vida nos alcance para devolverte todo lo que has hecho por nosotras. Te amo mami. </t>
  </si>
  <si>
    <t>MONICA LOPESIERRA</t>
  </si>
  <si>
    <t>restaurante don ernesto - Casa</t>
  </si>
  <si>
    <t>COTIZACION EN EL TABLERO</t>
  </si>
  <si>
    <t>Cesar santiago</t>
  </si>
  <si>
    <t>Saavedra schwartz</t>
  </si>
  <si>
    <t>Cesar santiago Saavedra schwartz</t>
  </si>
  <si>
    <t>Amor de mi vida, feliz de cumplir 25 meses de este sueño que pronto llamaremos hogar, eres mi más grande  orgullo. 
Gracias por ser mi apoyo, mi mejor amiga, por ser tan sabia y amorosa conmigo. Estoy para ti por siempre, con amor tu bebé leon.</t>
  </si>
  <si>
    <t>Santy tu bebé leon</t>
  </si>
  <si>
    <t>Rosas rosadas y rojas</t>
  </si>
  <si>
    <t>Cra. 59b #96-133 edificio Park Avenue apto 3B - Edificio</t>
  </si>
  <si>
    <t>Te Amo
Firma: Andrés</t>
  </si>
  <si>
    <t>Sosa Reyes</t>
  </si>
  <si>
    <t>Juan Sebastian Sosa Reyes</t>
  </si>
  <si>
    <t>bouquet con gerbera rosada,rosas rosadas,margaritas blancas,como foto</t>
  </si>
  <si>
    <t>OJO COMO FOTO</t>
  </si>
  <si>
    <t>enelsida</t>
  </si>
  <si>
    <t>maza</t>
  </si>
  <si>
    <t>enelsida maza</t>
  </si>
  <si>
    <t>claveles 25 unidades</t>
  </si>
  <si>
    <t>Keily</t>
  </si>
  <si>
    <t>Rua</t>
  </si>
  <si>
    <t xml:space="preserve">Tania Molina </t>
  </si>
  <si>
    <t>Calle 99a #42F-211 torre apto 804. - Edificio</t>
  </si>
  <si>
    <t>304 5326262</t>
  </si>
  <si>
    <t>Damos gracias a Dios por la vida que crece en tu vientre. Que Él cubra cada momento de esta espera y bendiga a tu bebé con salud, amor y un futuro lleno de luz.</t>
  </si>
  <si>
    <t>Con mucho cariño, los maestros del Colegio Pies Descalzos.</t>
  </si>
  <si>
    <t>zabala</t>
  </si>
  <si>
    <t>javier zabala</t>
  </si>
  <si>
    <t>1× Mini Box Orquidea y arreglo surtido</t>
  </si>
  <si>
    <t xml:space="preserve">ZORAIDA </t>
  </si>
  <si>
    <t>BARROS</t>
  </si>
  <si>
    <t>ZORAIDA BARROS</t>
  </si>
  <si>
    <t>1× Arreglo Personalizado Y APARTE 12  HORTENCIAS AZUES Y BLANCAS</t>
  </si>
  <si>
    <t>HORTENCIAS BLANCAS Y AZULES ,EUCALIPTO Y OASIS CRA 51 #80 -34  APTO 144</t>
  </si>
  <si>
    <t xml:space="preserve">Mariana Patrón </t>
  </si>
  <si>
    <t>Carrera 58 # 79-121 apto 401B torres dilugano - Edificio</t>
  </si>
  <si>
    <t>Mi hermosa Mariana,
solo quería dejarte este mensajito porque sí, porque te lo mereces.
Quiero que sepas que eres una niña increíble, llena de luz, fuerza y una sonrisa que alegra el corazón. A veces no hace falta que pase nada especial para recordar lo valiosa que eres.
Tu tía Kiki piensa en ti, te quiere y te manda un abrazo grande, de esos que hacen sentir acompañada y querida, aunque no estemos cerquita.
Nunca olvides lo mucho que brillan tus pasos y lo orgullosa que estoy de ti.
Sigue siendo tú, con todo lo bonito que llevas dentro.
Con todo mi amor ✨💕</t>
  </si>
  <si>
    <t>La tía Kiki</t>
  </si>
  <si>
    <t xml:space="preserve">federico </t>
  </si>
  <si>
    <t>campos</t>
  </si>
  <si>
    <t>natalia rueda</t>
  </si>
  <si>
    <t>cra 58#99-46 edificio miurano torre 2 apto 1502 - Edificio</t>
  </si>
  <si>
    <t>1× Bouquet 12 Rosas Rojas Y ROSADAS</t>
  </si>
  <si>
    <t xml:space="preserve">envía
</t>
  </si>
  <si>
    <t>Afiuni</t>
  </si>
  <si>
    <t>María Martinez</t>
  </si>
  <si>
    <t>Calle 90 #49C-29 - Casa</t>
  </si>
  <si>
    <t>Changuis, 
Quiero que sepas que siempre estaré para ti, no importa lo que suceda, aquí me tienes a tu lado.</t>
  </si>
  <si>
    <t>Tu Chango</t>
  </si>
  <si>
    <t>maría castro</t>
  </si>
  <si>
    <t xml:space="preserve">Kelly </t>
  </si>
  <si>
    <t>Núñez</t>
  </si>
  <si>
    <t>Kelly Núñez</t>
  </si>
  <si>
    <t>310 4362258</t>
  </si>
  <si>
    <t>Andres Pacheco</t>
  </si>
  <si>
    <t>313 5040604</t>
  </si>
  <si>
    <t>Valentina Barros Donado</t>
  </si>
  <si>
    <t>Calle 73 #40-350 - Oficina</t>
  </si>
  <si>
    <t>1× Arreglo Personalizado COMO FOTO EN FLORES AMARILLAS Y PONERLE GIRASOLES</t>
  </si>
  <si>
    <t>OJO ABONÓ 107,000 RESTA 105.000</t>
  </si>
  <si>
    <t>Sarabia</t>
  </si>
  <si>
    <t>Edificio Prestige apt 1501 Calle 104 #53-93 - Edificio</t>
  </si>
  <si>
    <t>Adele,
Im the proudest friend! No veo la hora de ver la Corona, se todo el esfuerzo, reto y dedicación que hubo behind the scenes. New milestone para Joyeria Moderna and you!! I loveyou gem queen. 
-Cristy Sarabia</t>
  </si>
  <si>
    <t xml:space="preserve"> Noguera</t>
  </si>
  <si>
    <t>Diana Noguera</t>
  </si>
  <si>
    <t>BASE DE CERAMICA EN TONOS ROSADOS</t>
  </si>
  <si>
    <t>hillary</t>
  </si>
  <si>
    <t xml:space="preserve">fonseca </t>
  </si>
  <si>
    <t>maria Camila Idarraga</t>
  </si>
  <si>
    <t>calle 93 #71-117 paseo del parque T4 apt 814 - Edificio</t>
  </si>
  <si>
    <t>314 822 9535</t>
  </si>
  <si>
    <t xml:space="preserve">feliz cumpleaños mila, que cumplas mil años mas </t>
  </si>
  <si>
    <t>con cariño H y lala</t>
  </si>
  <si>
    <t>Daniella Payares</t>
  </si>
  <si>
    <t>Cra 48 no. 99 - 121 apto 704 - Edificio</t>
  </si>
  <si>
    <t>El amor no se va, se transforma.
Hoy, mientras honras un recuerdo tan importante, una nueva vida comienza a latir.
Que este día te llene de luz y esperanza.</t>
  </si>
  <si>
    <t>Te amamosAndrea, Elycaro &amp; Majo</t>
  </si>
  <si>
    <t>EN COLORES BLANCO,AZUL Y ROSADO</t>
  </si>
  <si>
    <t>Dala Nicolle</t>
  </si>
  <si>
    <t>Cra 72 # 86 148 Casa piso 1, Rejas plateadas - Casa</t>
  </si>
  <si>
    <t>(300) 114-6739</t>
  </si>
  <si>
    <t>Amor,estas flores van con todo mi cariño para recordarte que no estás sola. Estoy contigo siempre</t>
  </si>
  <si>
    <t>Melany</t>
  </si>
  <si>
    <t>Pabon hernandez</t>
  </si>
  <si>
    <t>Yerli hernandez</t>
  </si>
  <si>
    <t>Para el amor de todas mis vidas, feliz cumpleaños ❤️</t>
  </si>
  <si>
    <t>Entrega a las 3PM</t>
  </si>
  <si>
    <t>Gabis</t>
  </si>
  <si>
    <t xml:space="preserve">Greys Rodríguez </t>
  </si>
  <si>
    <t>Carrera 72 81 140, casa 4 - Casa</t>
  </si>
  <si>
    <t>Feliz Día a mi colega favorita y al amor de mi vida.
Qué fortuna compartir la vida y contarla a tu lado. Te amo 🤍</t>
  </si>
  <si>
    <t>GA</t>
  </si>
  <si>
    <t>Que sea virgen de la dulce espera</t>
  </si>
  <si>
    <t>Sierra Pereira</t>
  </si>
  <si>
    <t>Salgar</t>
  </si>
  <si>
    <t>Via Salgar # 13-45 Casa B3  Condominio Campestre Pielago - Casa</t>
  </si>
  <si>
    <t>301 4808131</t>
  </si>
  <si>
    <t>1× Ancheta Lirio</t>
  </si>
  <si>
    <t xml:space="preserve">Caro este es tan solo un pequeño detalle de parte de todo el equipo. Nos quedan cortas las palabras y los detalles para darte las gracias por todo. Nos hubiera encantando al menos poder decir adiós pero sabemos que no será la última vez que nos veamos o hablemos. Te queremos y apreciamos mucho. Te deseamos muchos muchos éxitos en todo lo que emprendas en este nuevo comienzo. Aquí siempre podrás contar con nosotros. </t>
  </si>
  <si>
    <t>Con cariño tu Team Compras</t>
  </si>
  <si>
    <t>Calle 99A #52-160, Edificio Balcones del Parque, Torre 1 Apto 1103</t>
  </si>
  <si>
    <t xml:space="preserve">Para el amor de esta y todas mis vidas. Happy Valentines! </t>
  </si>
  <si>
    <t>Teo</t>
  </si>
  <si>
    <t>Florez Meza</t>
  </si>
  <si>
    <t>Francesca Nicolella</t>
  </si>
  <si>
    <t>Cra. 49c # 80-81 - Edificio</t>
  </si>
  <si>
    <t>1x mini box rosas rojas</t>
  </si>
  <si>
    <t>Haciéndole honor a mi apellido. Te quiero muchísimo ❤️</t>
  </si>
  <si>
    <t xml:space="preserve">Francisco </t>
  </si>
  <si>
    <t>Racedo</t>
  </si>
  <si>
    <t>Francisco Racedo</t>
  </si>
  <si>
    <t>1× Corazón Mediano Rosas | 1× Topper Feliz Aniversario | 1× Topper I love You</t>
  </si>
  <si>
    <t>Cll 101 B # 50-15 - Oficina</t>
  </si>
  <si>
    <t>Eres mi mejor regalo amor de mi vida, te amo❤️
Feliz cumpleaños</t>
  </si>
  <si>
    <t>Tú Esposito</t>
  </si>
  <si>
    <t>11AM</t>
  </si>
  <si>
    <t>Nathalie</t>
  </si>
  <si>
    <t>Rieder Prez</t>
  </si>
  <si>
    <t>Nathalie Rieder Pérez</t>
  </si>
  <si>
    <t>calle 85 # 50-159 - Casa</t>
  </si>
  <si>
    <t>Bouquet surtido en tonos pasteles</t>
  </si>
  <si>
    <t>Gracias por su valiosa participación en nuestro 2do Workshop iineternacional de endoscopia bariatrica.
13/02/2026.
-Endomedical Ips.</t>
  </si>
  <si>
    <t>3 ramos de flores pasteles. presupuesto de $70.000 por ramo.</t>
  </si>
  <si>
    <t>Michelle</t>
  </si>
  <si>
    <t>Soto cardenas</t>
  </si>
  <si>
    <t>Viviana Pabon</t>
  </si>
  <si>
    <t>Transversal 44 # 99 - 115  Apto 201 torre E Conjunto residencial Barcelona Barrio Miramar - Edificio</t>
  </si>
  <si>
    <t>Como en la foto</t>
  </si>
  <si>
    <t>Lírios para mi delirio - Aldair</t>
  </si>
  <si>
    <t>como foto</t>
  </si>
  <si>
    <t xml:space="preserve">Marta </t>
  </si>
  <si>
    <t>Dra Janneth Abello</t>
  </si>
  <si>
    <t>Doctora Janneth 
Deseamos para usted Infinitas bendiciones en esta fecha especial 
Todo nuestro cariño y nuestro agradecimiento 
Feliz cumpleaños</t>
  </si>
  <si>
    <t>Álvaro Duarte y Marta Mejía</t>
  </si>
  <si>
    <t>sixta garcia</t>
  </si>
  <si>
    <t>Barrio Abajo</t>
  </si>
  <si>
    <t>CALLE 46 N 46-33 - Casa</t>
  </si>
  <si>
    <t>Feliz cumpleaños, querida Sixta 🌷
Hoy celebro tu vida y la hermosa persona que eres. Gracias por tu cariño tan sincero, por tu cercanía y por la forma tan especial en la que has estado presente conmigo. Eres una mujer llena de bondad, de palabras suaves y de gestos que hablan por sí solos.
Gracias también por ser la gran mamá que eres con tus hijos, por el amor, la dedicación y los valores que siembras cada día en tu hogar. Por permitir que la amistad tan bonita entre Jerónimo y mi Fernando nos una también a nosotras de una manera especial. Que Dios te bendiga abundantemente, te regale salud, paz en el corazón y muchos momentos de alegría junto a los tuyos.
Que este nuevo año de vida te abrace con amor, te recompense todo lo bueno que das y te recuerde lo valiosa que eres. Te envío un abrazo grande, lleno de gratitud y buenos deseos.</t>
  </si>
  <si>
    <t>SHIRLY Y FERNANDO TE QUEREMOS</t>
  </si>
  <si>
    <t>Jhon danilo</t>
  </si>
  <si>
    <t>Arteaga cano</t>
  </si>
  <si>
    <t>Jhon danilo Arteaga cano</t>
  </si>
  <si>
    <t>Calle33 # 40-89 local 108 - Casa</t>
  </si>
  <si>
    <t>Son 7 años ya de casados  y de la mano de DIOS que sean muchos más te amo esposa de mi vida ❤️❤️❤️❤️</t>
  </si>
  <si>
    <t xml:space="preserve">Brian </t>
  </si>
  <si>
    <t xml:space="preserve">Selene Ramírez </t>
  </si>
  <si>
    <t>Zona Industrial</t>
  </si>
  <si>
    <t>calle 110, Av. Circunvalar #6-361 - Oficina</t>
  </si>
  <si>
    <t>1× Bouquet 12 Rosas Rojas | 1× Ferrero Rocher 8 und</t>
  </si>
  <si>
    <t>MONICA</t>
  </si>
  <si>
    <t>OROZCO GONZALEZ</t>
  </si>
  <si>
    <t xml:space="preserve">Carolina  Cayon </t>
  </si>
  <si>
    <t>Calle 77 #55-35 edificio Verona apto 4 - Edificio</t>
  </si>
  <si>
    <t>Feliz cumpleaños Caro 
Que tengas un día lleno de alegría y amor. Un abrazo
Armando</t>
  </si>
  <si>
    <t>Luis Miguel de Jesus</t>
  </si>
  <si>
    <t>Manga Sierra</t>
  </si>
  <si>
    <t xml:space="preserve">Laura Vanessa Recuero cogollo </t>
  </si>
  <si>
    <t>Calle 50e#2f-28 - Casa</t>
  </si>
  <si>
    <t>1× Chocolates Kisses 10 Und arreglo como foto hortencia azul,4 rosas rojas y gypso</t>
  </si>
  <si>
    <t>Un pequeño gesto para recordarte que eres especial y muy apreciada.
Que este detalle alegre tu día tanto como tu sonrisa alegra a los demás.
Que tengas un día hermoso.</t>
  </si>
  <si>
    <t>Firma tú más fiel admirador.</t>
  </si>
  <si>
    <t>Es un arreglo personalizado, lo envié a los mensajes de WhatsApp, es un detalle anónimo porque aún nuestro romance no es aceptado, y quiero agregar que la dirección es en el barrio carrizal, pero no aparece en la opciones que tienen ahí así que pondré ciudadela que está cerca de ahí.</t>
  </si>
  <si>
    <t>Guido</t>
  </si>
  <si>
    <t>Velazco</t>
  </si>
  <si>
    <t>Guido Velazco</t>
  </si>
  <si>
    <t>Hassan</t>
  </si>
  <si>
    <t xml:space="preserve"> shah </t>
  </si>
  <si>
    <t>Mary alvarino acuna</t>
  </si>
  <si>
    <t>Torres Del Atlantico  Cra. 57 #99A-65 - Edificio</t>
  </si>
  <si>
    <t>300 5441857</t>
  </si>
  <si>
    <t>Mary, 
¡Una pequeña sorpresa que espero que te alegre el día! Eres una persona especial que se merece todo lo mejor. ¡Espero que tengas un día tan maravilloso como tú! 
Hassan</t>
  </si>
  <si>
    <t>calvano de la rosa hermanos sas</t>
  </si>
  <si>
    <t>gertrudiz fernandez</t>
  </si>
  <si>
    <t>Cra 42E #80-69 edificio sagrado corazón apto 601 - Casa</t>
  </si>
  <si>
    <t>Querida Gertru,
Estamos muy contentos de que te sientas mejor, te deseamos una pronta recuperación, nuestras oraciones contigo, estamos para ti. 
Con mucho cariño tu familia Clínica De La Rosa
Dra María Helena, Dr César, Astrid y Samuel.</t>
  </si>
  <si>
    <t>CON ROSAS AMARILLAS</t>
  </si>
  <si>
    <t>renata jiménez</t>
  </si>
  <si>
    <t>cra 56# 96-115 apto 10c edif. tempus - Edificio</t>
  </si>
  <si>
    <t>Para : Renata Jiménez 
De : Nadin Abdalá 
Te amo</t>
  </si>
  <si>
    <t>BOUQUET REDONDO SIN FOLLAJE EN ROSAS FUCSIA</t>
  </si>
  <si>
    <t>310 3603142</t>
  </si>
  <si>
    <t>Bouquet redondo sin follaje sin papel solo con la cinta flora 15 rosas rojas</t>
  </si>
  <si>
    <t>1140856978</t>
  </si>
  <si>
    <t>dejar en portería monica blanco</t>
  </si>
  <si>
    <t>cra 57# 84/ 118 casa - Casa</t>
  </si>
  <si>
    <t>2× Bouquet 36 Rosas BLANCAS</t>
  </si>
  <si>
    <t>ROSAS BLANCAS</t>
  </si>
  <si>
    <t>Laura Anaya</t>
  </si>
  <si>
    <t>Cra 55 79-107 - Casa</t>
  </si>
  <si>
    <t>1× Flora Box Romantic Flores 24 Rosas ROJAS OJOOOO</t>
  </si>
  <si>
    <t>Feliz aniversario Linda. Que sean muchos años más construyendo juntos nuestra felicidad.</t>
  </si>
  <si>
    <t>Que sean rosas rojas</t>
  </si>
  <si>
    <t xml:space="preserve">Reina </t>
  </si>
  <si>
    <t xml:space="preserve">Isabella Perdomo </t>
  </si>
  <si>
    <t>Carrera 64c#86-298 casa esquina - Casa</t>
  </si>
  <si>
    <t>304 3769555</t>
  </si>
  <si>
    <t>Para enamorarte las flores no son tan caras, pero llevan todo el cariño de mi alma.</t>
  </si>
  <si>
    <t>Villarreal Rivera</t>
  </si>
  <si>
    <t>Andrea Villarreal</t>
  </si>
  <si>
    <t>castellana real Carrera 52 #106 140 casa 68 - Conjunto</t>
  </si>
  <si>
    <t>Quiero pasarme todo lo q me queda de vida demostrándote lo mucho que te Amo Feliz día de San Valentin</t>
  </si>
  <si>
    <t>Con amor Antonio</t>
  </si>
  <si>
    <t>ascencio</t>
  </si>
  <si>
    <t>kevin ascencio</t>
  </si>
  <si>
    <t xml:space="preserve">Hillary Orellano </t>
  </si>
  <si>
    <t>Cra 32 #58-61 - Casa</t>
  </si>
  <si>
    <t>Feliz día de san Valentín mi amor te amo♥️</t>
  </si>
  <si>
    <t>Neuman</t>
  </si>
  <si>
    <t>Valentina Perdomo</t>
  </si>
  <si>
    <t>Cra 55 #99B-24 - Casa</t>
  </si>
  <si>
    <t>amor de mi vida feliz cumpleaños!!! primero que todo quería mandarte este regalito deseándote un súper feliz cumpleaños princesa y que estoy infinitamente feliz de poder compartir este día tan especial contigo y de que ya en poco tiempo vamos a disfrutar de un día más para celebrar nuestro amor 14 de febrero del 2026 y te pregunto si estás disponible este 14 de febrero para que seas mi valentine amor de mi vida, mándame una fotico de un check si quieres al whatsapp jejejeje te amo princesa ❤️</t>
  </si>
  <si>
    <t>Con amor Tu peque</t>
  </si>
  <si>
    <t>ana</t>
  </si>
  <si>
    <t>accini</t>
  </si>
  <si>
    <t>ana accini</t>
  </si>
  <si>
    <t>1× Bouquet 24 Rosas amarillas</t>
  </si>
  <si>
    <t>Villarreal</t>
  </si>
  <si>
    <t>Carrera 64#98-90 apto 709 Alameda campestre - Edificio</t>
  </si>
  <si>
    <t>Bienvenida a casa espero verte pronto un beso Álvaro</t>
  </si>
  <si>
    <t xml:space="preserve"> Kevin</t>
  </si>
  <si>
    <t xml:space="preserve"> smith </t>
  </si>
  <si>
    <t>Katia García</t>
  </si>
  <si>
    <t>alle 96 # 71-37 edificio Bora Torre 2 apto 901 - Edificio</t>
  </si>
  <si>
    <t>301 6364186</t>
  </si>
  <si>
    <t>Planta de orquidea en una base</t>
  </si>
  <si>
    <t>Sé que las cosas en los últimos meses han sido muy tediosas, complicadas para ambas partes, tal vez más para ti que para mí, por mis comportamientos y inmadurez en algunas ocasiones, mi falta de autocontrol, vengo trabajando en ello.
pero nunca perderé la costumbre de sorprenderte, alegrarte y demostrarte cuán valiosa eres para mí y cuando influyes en mi vida, espero sacarte una hermosa sonrisa con este pequeño detalle, sé cuánto amas las rosas y más estás que sé que te esmeras por conservar ❤️ 
Espero poder hablar nuevamente contigo como esos primeros días que te conocí y que todo sea diferente, pero sobre todo. quiero verte feliz y quiero estar ahí a tu lado viéndote sonreír una vez más. 
Te quiero mucho 
Kevin smith</t>
  </si>
  <si>
    <t xml:space="preserve">Arévalo Correa </t>
  </si>
  <si>
    <t xml:space="preserve">Zamara Martínez </t>
  </si>
  <si>
    <t>Mirado de la ciénaga , Apt 1707, torre 4 - Edificio</t>
  </si>
  <si>
    <t>1× Bouquet 12 Rosas ROJAS Y ROSADAS</t>
  </si>
  <si>
    <t xml:space="preserve">Para la mujer de mis ojos, gracias por hacerme el hombre más feliz del mundo, te amo </t>
  </si>
  <si>
    <t>Con todo mi corazón, Samuel 🖤</t>
  </si>
  <si>
    <t>Póngale todo lo rosado posible porfavor, si puede llegar después de 4 mejor</t>
  </si>
  <si>
    <t>Pita Julio</t>
  </si>
  <si>
    <t>Juan David Pota Julio</t>
  </si>
  <si>
    <t>1× Bouquet Surtido # 46</t>
  </si>
  <si>
    <t>"Te amo todos los días un poco más y nunca dejas de sorprenderme. Eres una mujer asombrosa y soy afortunado de tenerte a mi lado. Elegirte cada día es la decisión más fácil del mundo."</t>
  </si>
  <si>
    <t>Con mucho amor, Juan David</t>
  </si>
  <si>
    <t>Omes</t>
  </si>
  <si>
    <t xml:space="preserve">Emmanuel </t>
  </si>
  <si>
    <t>Calle 93 71-117 apto 804 - Edificio</t>
  </si>
  <si>
    <t>Para la duela de mi corazón .
Sofi
Hoy cumple años la persona más linda del mundo 💕🎉 Que la vida te sorprenda con cosas bonitas, risas infinitas y sueños cumplidos. Disfruta tu día como te lo mereces ✨💫</t>
  </si>
  <si>
    <t>Con cariño Emmanuel</t>
  </si>
  <si>
    <t>Es para una niña de 14 años tener en cuenta 
El destinatario es Enmanuel quien lo recibe .
Sofía es la que recibirá las rosas</t>
  </si>
  <si>
    <t>CABALLERO</t>
  </si>
  <si>
    <t>JUAN CARLOS CABALLERO</t>
  </si>
  <si>
    <t>2427433291 RAPPI</t>
  </si>
  <si>
    <t xml:space="preserve">Nataly Martínez </t>
  </si>
  <si>
    <t>Calle 93 #42C - 123 Apt. 608 - Edificio</t>
  </si>
  <si>
    <t>“Elegirte cada día es mi forma favorita de amar.”</t>
  </si>
  <si>
    <t>LFFT</t>
  </si>
  <si>
    <t>Max</t>
  </si>
  <si>
    <t xml:space="preserve">Karlsson </t>
  </si>
  <si>
    <t>Carrera 63 # 64 - 62 apto 201 edificio Baltimore</t>
  </si>
  <si>
    <t>Carrera 63 # 64 - 62 apto 201 edificio Baltimore - Casa</t>
  </si>
  <si>
    <t>1× Flora Box Mediana Surtida | 1× Oso de Peluche | 1× Ferrero Rocher 8 und</t>
  </si>
  <si>
    <t>Feliz día de San Valentín y cumpleaños, mi increíble señorita. Te amo con todo lo que soy y todo lo que siempre seré. Hasta el infinito y más allá.</t>
  </si>
  <si>
    <t>Gubben</t>
  </si>
  <si>
    <t>Ramiro</t>
  </si>
  <si>
    <t>Nuñez</t>
  </si>
  <si>
    <t>Natalia Nazzar</t>
  </si>
  <si>
    <t>Torre 2 apt 508 - Edificio</t>
  </si>
  <si>
    <t>Solo es un detalle</t>
  </si>
  <si>
    <t>Federico</t>
  </si>
  <si>
    <t>Rueda</t>
  </si>
  <si>
    <t>Natalia Rueda</t>
  </si>
  <si>
    <t>Carrera 58 No. 99 - 46 - Edificio</t>
  </si>
  <si>
    <t>Feliz cumpleaños Nata! 
Deseamos siempre lo mejora para ti, te deseamos un año lleno de felicidad y amor. Gracias por tu cariño incondicional.</t>
  </si>
  <si>
    <t>Con cariño, Mamá, Papá y Hermano</t>
  </si>
  <si>
    <t>Carrera 58 número 99 - 46 Entregar en portería de Edificio Murano, Apto 1502</t>
  </si>
  <si>
    <t>Julián David</t>
  </si>
  <si>
    <t>Vengoechea</t>
  </si>
  <si>
    <t>Julián David Vengoechea Romero</t>
  </si>
  <si>
    <t>Cra64#98-90 apto 309 - Conjunto</t>
  </si>
  <si>
    <t>William Gonzalez</t>
  </si>
  <si>
    <t>Castillo Cuello</t>
  </si>
  <si>
    <t>Andrea Pinedo</t>
  </si>
  <si>
    <t>Carrera 51 #80-159. Apto 202. Edificio Alférez Real - Edificio</t>
  </si>
  <si>
    <t xml:space="preserve">Te amo. Por siempre y para siempre! </t>
  </si>
  <si>
    <t>Jackson</t>
  </si>
  <si>
    <t>Andrea Giraldo</t>
  </si>
  <si>
    <t>En esta fecha especial. Quiero decirte que me siento muy feliz y afortunado de tener como novia a la mujer mas hermosa. Eres el motivo de mis alegrías. Gracias por brindarme lo mejor de ti.  Estas flores con amor para ti. Te adoro mi amor.  Att Kevin J</t>
  </si>
  <si>
    <t>Kevin Jackson</t>
  </si>
  <si>
    <t>Daniela Jiménez Senegal</t>
  </si>
  <si>
    <t>Calle 92#71a-90 Torre A Apto 204 conjunto springfield - Conjunto</t>
  </si>
  <si>
    <t>1× Flora Heart Mediano</t>
  </si>
  <si>
    <t>Estas flores son solo un detalle, pero mi admiración y apoyo para ti es mucho más grande.</t>
  </si>
  <si>
    <t>Con cariño, Mateo.</t>
  </si>
  <si>
    <t>zuluaga salazar</t>
  </si>
  <si>
    <t xml:space="preserve">Lucy salazar </t>
  </si>
  <si>
    <t>Calle 81#56-74 - Edificio</t>
  </si>
  <si>
    <t>Para la mejor mamá , amiga , y abuela del mundo! 
Te amamos</t>
  </si>
  <si>
    <t>Con amor Gael y Lela</t>
  </si>
  <si>
    <t>Keirys Velásquez</t>
  </si>
  <si>
    <t>Calle 86 #51b-51, Banco de Bogotá piso 2 - Oficina</t>
  </si>
  <si>
    <t>Qué tengas un día maravilloso
¡Feliz cumpleaños!</t>
  </si>
  <si>
    <t>César Tinoco</t>
  </si>
  <si>
    <t>HENRIQUEZ IBARRA</t>
  </si>
  <si>
    <t>Carmen Rosa Lorduy</t>
  </si>
  <si>
    <t>via 40</t>
  </si>
  <si>
    <t>Vía 40 # 73 - 50 (Despacho 05 del Tribunal Administrativo del Atlántico) - Oficina</t>
  </si>
  <si>
    <t>Feliz cumpleaños, eres grandiosa (corazón)</t>
  </si>
  <si>
    <t>Pabon</t>
  </si>
  <si>
    <t xml:space="preserve">Carlos anduquia </t>
  </si>
  <si>
    <t>Carrera 43b #82 -42 - Casa</t>
  </si>
  <si>
    <t xml:space="preserve">Martha </t>
  </si>
  <si>
    <t>Ma Alejandra Molina</t>
  </si>
  <si>
    <t>Cra 52#106-213 apto 1210 torre 2 edificio Oceana 52 - Edificio - Edificio</t>
  </si>
  <si>
    <t>313 2804038</t>
  </si>
  <si>
    <t>De Víctor 
Para Ma Alejandra</t>
  </si>
  <si>
    <t>Cra 42A 4 # 84-202 APTO 3B - Edificio</t>
  </si>
  <si>
    <t>katerin</t>
  </si>
  <si>
    <t>Paez</t>
  </si>
  <si>
    <t>katerin Paez</t>
  </si>
  <si>
    <t>mini box de rosas rojas y amarillas</t>
  </si>
  <si>
    <t>Samuel Gamarra</t>
  </si>
  <si>
    <t>Con amor, para mi reina hermosa, Samuel 12/10/22</t>
  </si>
  <si>
    <t>Entregar en lo posible en una bolsa para llevar por favor</t>
  </si>
  <si>
    <t xml:space="preserve">juan sebastián </t>
  </si>
  <si>
    <t>alviz de lisa</t>
  </si>
  <si>
    <t>wendy perez</t>
  </si>
  <si>
    <t>cra54#132-75 obellix village casa 8 - Conjunto</t>
  </si>
  <si>
    <t>4284 ❤️</t>
  </si>
  <si>
    <t xml:space="preserve">Claire </t>
  </si>
  <si>
    <t xml:space="preserve">McLean </t>
  </si>
  <si>
    <t>Rossana Capella</t>
  </si>
  <si>
    <t>Cra 59B #94-134 Edificio Azalea - Edificio</t>
  </si>
  <si>
    <t xml:space="preserve">Feliz Cumpleaños Rochi 
</t>
  </si>
  <si>
    <t>Con mucho cariño</t>
  </si>
  <si>
    <t>YUNG</t>
  </si>
  <si>
    <t xml:space="preserve">Jefa </t>
  </si>
  <si>
    <t>Calle 52 #54-38 restaurante la gente primer piso - Restaurante</t>
  </si>
  <si>
    <t>1× Flora Box Mediana Surtida</t>
  </si>
  <si>
    <t>Preciosa,
Te extraño más de lo que puedo explicar.
No hay un solo día en el que no te piense
ni un momento en el que no te sienta conmigo.
Lo que siento por ti es claro, firme y real.
La distancia no me hace dudar,
me confirma que eres tú.
Muy pronto te voy a ver
y ese abrazo va a decir todo lo que hoy me falta decir.
Te espero, preciosa.
Con todo mi amor. 💖</t>
  </si>
  <si>
    <t>El jefe</t>
  </si>
  <si>
    <t>Por favor hacer entrega entre las 2PM</t>
  </si>
  <si>
    <t xml:space="preserve">Juan Castro </t>
  </si>
  <si>
    <t>¿Quieres ser mi San Valentín?</t>
  </si>
  <si>
    <t>Tu Osito</t>
  </si>
  <si>
    <t xml:space="preserve">González Vásquez </t>
  </si>
  <si>
    <t>Zharick Muñoz</t>
  </si>
  <si>
    <t>Kennedy</t>
  </si>
  <si>
    <t>Calle 50a #8F-56 - Casa</t>
  </si>
  <si>
    <t>1× Mini Box Orquidea | 1× Oso de Peluche | 1× Chocolates Kisses 10 Und</t>
  </si>
  <si>
    <t>Maitret Manica</t>
  </si>
  <si>
    <t>Sofia Valentina Morelli Daconte</t>
  </si>
  <si>
    <t>Calle 104 #51b-154 - Casa</t>
  </si>
  <si>
    <t>Feliz San Valentín amor mío!! Que felicidad poder pasar juntos este día tan especial, te amo y soy el mas feliz a tu lado!</t>
  </si>
  <si>
    <t>Daniel Maitret Mánica</t>
  </si>
  <si>
    <t>michelle</t>
  </si>
  <si>
    <t>lafaurie</t>
  </si>
  <si>
    <t>camila giraldo</t>
  </si>
  <si>
    <t>cra 57#81-15 edificio unique - Edificio</t>
  </si>
  <si>
    <t>Cl. 96a #46-09 Apto 7b - Casa</t>
  </si>
  <si>
    <t>Amor de mi vida, feliz aniversario! Gracias por estos 3 años de tanto amor. Soy afortunado de que seas mi compañera de vida, de seguir creciendo a tu lado como persona y de disfrutar de nuestra vida juntos. Que este nuevo año este lleno de cosas lindas, de muchos sueños cumplidos y metas por alcanzar.</t>
  </si>
  <si>
    <t>Bouquet de 80.000 que tenga rosas y hortensias cuyos colores combinen Y que porfa no tenga maticas verde.</t>
  </si>
  <si>
    <t>Ariza Rey</t>
  </si>
  <si>
    <t>Sebastian Ariza Rey</t>
  </si>
  <si>
    <t>Montecristo</t>
  </si>
  <si>
    <t>Calle 58 #59b-45 - Conjunto</t>
  </si>
  <si>
    <t>Te amo mi niña</t>
  </si>
  <si>
    <t xml:space="preserve">Ana Navarro </t>
  </si>
  <si>
    <t>Gracias por ser mi fuerza y mi refugio, ¡feliz cumpleaños, mamá!" o "Te amo infinito, que Dios te bendiga Siempre 🩷</t>
  </si>
  <si>
    <t>Tu hija Carito</t>
  </si>
  <si>
    <t>Rois</t>
  </si>
  <si>
    <t xml:space="preserve">Happy valentines mi amor </t>
  </si>
  <si>
    <t>Con amor, Cami</t>
  </si>
  <si>
    <t xml:space="preserve">Natalia Rodríguez </t>
  </si>
  <si>
    <t xml:space="preserve">¡Feliz día, mi amor! Te amo mucho </t>
  </si>
  <si>
    <t xml:space="preserve">Jonathan Solano </t>
  </si>
  <si>
    <t>Calle 114#43b-78 Torre 1 603 - Conjunto</t>
  </si>
  <si>
    <t>1× Flora Heart Grande</t>
  </si>
  <si>
    <t>Happy V-Day 
Te Amo Mami
02/26</t>
  </si>
  <si>
    <t>Jonathan Solano</t>
  </si>
  <si>
    <t>Por favor entregar el viernes. Lo más tarde posible ya que es para darlo el sábado</t>
  </si>
  <si>
    <t>miranda sawan</t>
  </si>
  <si>
    <t>playlab clle 3 #25-28cc las dunas open villacampestre - Casa</t>
  </si>
  <si>
    <t xml:space="preserve">
Hoy queremos darle gracias a Dios por tu primer cumpleaños, te amamos hija hermosa ❤️</t>
  </si>
  <si>
    <t>Souad sawan</t>
  </si>
  <si>
    <t>Calle 94 n 49c -120 - Edificio</t>
  </si>
  <si>
    <t>Feliz cumpleaños mama, te amo
Att: Danny Sawan</t>
  </si>
  <si>
    <t>Calla 1a#30-61</t>
  </si>
  <si>
    <t>Apto 511 torre 2 - Edificio</t>
  </si>
  <si>
    <t>Se vienen cositas señoritaaa</t>
  </si>
  <si>
    <t>Con cariño nico</t>
  </si>
  <si>
    <t xml:space="preserve">Rodas </t>
  </si>
  <si>
    <t>Stephanie Jiménez</t>
  </si>
  <si>
    <t>Calle 90 # 49C-29 Edificio Biel Apto 810 - Edificio</t>
  </si>
  <si>
    <t>1× Flora Box Romantic Flores 24 Rosas fenix</t>
  </si>
  <si>
    <t>Mi amor,
La vida a tu lado es mejor. Gracias por los años más maravillosos de mi vida. 
Te amo hasta el infinito.
FELIZ ANIVERSARIO 11/02/23</t>
  </si>
  <si>
    <t>Sebas R.</t>
  </si>
  <si>
    <t>Flores color amarillo.</t>
  </si>
  <si>
    <t>Aguirre</t>
  </si>
  <si>
    <t xml:space="preserve">Astor Y Rosa </t>
  </si>
  <si>
    <t>Cra 55 82 194 - Edificio</t>
  </si>
  <si>
    <t>Gordito y Rose,
Aunque hace algunos años pensaba que era mejor que no estuvieran juntos, hoy se que ninguno de ustedes puede vivir sin el otro. No son perfectos, pero así los amo profundamente (más de lo que se imaginan). 
Gracias por su amor, su esfuerzo y por ser mis Padres y amarme. Espero que Dios los siga acompañando por muchos años más. 
Feliz aniversario ❤️.</t>
  </si>
  <si>
    <t>Su hija, Laura.</t>
  </si>
  <si>
    <t>astor</t>
  </si>
  <si>
    <t>Rosi a mi esposa con todo mi amor. Feliz aniversario</t>
  </si>
  <si>
    <t>Yackeline</t>
  </si>
  <si>
    <t xml:space="preserve">Leidy Tatiana Aristizabal </t>
  </si>
  <si>
    <t>Calle 74 #38-46 apto 13 03 B - Edificio</t>
  </si>
  <si>
    <t xml:space="preserve">Un año más de vida y momentos inolvidables a tu lado, sin duda alguna tu presencia nos da alegría. </t>
  </si>
  <si>
    <t>Con mucho amor; tus padres</t>
  </si>
  <si>
    <t>arreglo base de cerámica  como foto</t>
  </si>
  <si>
    <t>Valentina Pana</t>
  </si>
  <si>
    <t>Calle 78 # 55 -56 Edificio Villa Country II apto 301 - Casa</t>
  </si>
  <si>
    <t>Dayana Ruth Salazar Araujo</t>
  </si>
  <si>
    <t>Calle 77b #59-61 Edificio las Americas 2  Office 508 interport logistics - Edificio</t>
  </si>
  <si>
    <t xml:space="preserve">Happy birthday!!! </t>
  </si>
  <si>
    <t>Zubillaga Prado</t>
  </si>
  <si>
    <t>Gabriella Jaramillo</t>
  </si>
  <si>
    <t>Cra 49c #80-255 Apartamento 15B - Edificio las vistas</t>
  </si>
  <si>
    <t>1× Mini Box Rosas Rojas</t>
  </si>
  <si>
    <t>Mi vida hermosa,
Feliz día de San Valentín! Te amo con todo mi corazón. El año que viene lo celebramos con flores y Gails! Ya no me aguanto mas para que estemos para siempre!</t>
  </si>
  <si>
    <t>Tu futuro esposo Armando</t>
  </si>
  <si>
    <t>bg</t>
  </si>
  <si>
    <t>velasquez</t>
  </si>
  <si>
    <t>maria camila velasquez</t>
  </si>
  <si>
    <t>cra 64 E# 86-99 - Edificio</t>
  </si>
  <si>
    <t>pagina web</t>
  </si>
  <si>
    <t>Escolar</t>
  </si>
  <si>
    <t>Samuel Escolar</t>
  </si>
  <si>
    <t>Cra 52 # 132 - 87 casa 22 - Conjunto</t>
  </si>
  <si>
    <t xml:space="preserve">Quieres ser mi san valentin? </t>
  </si>
  <si>
    <t>Lina Mendoza</t>
  </si>
  <si>
    <t>Cra 64e # 86-99 - Casa</t>
  </si>
  <si>
    <t xml:space="preserve">Con mucho cariño desde San Juan </t>
  </si>
  <si>
    <t>LA TRIBU</t>
  </si>
  <si>
    <t>Rosas lila y blancas</t>
  </si>
  <si>
    <t>Barranco</t>
  </si>
  <si>
    <t>Apto 516 torre 2 - Conjunto</t>
  </si>
  <si>
    <t>Transversal 43C 102-153 conjunto SORRENTO</t>
  </si>
  <si>
    <t>1× Mini Box Orquidea | 1× Flora Box Mediana Surtida</t>
  </si>
  <si>
    <t>En arreglo mediano: Gracias por ser mi fortaleza cuando dudo, mi refugio cuando todo pesa, mi escudo y mi espada en cada batalla. A tu lado todo es más llevadero y tiene sentido.
Te amo hoy y siempre. 💐❤️
En caja mini: Mi princesa hermosa,
Eres mi alegría más grande y mi rayito de luz todos los días. Estoy muy orgulloso de ti y de tu corazón tan lindo.
Te ama muchísimo,
Papá 💕✨</t>
  </si>
  <si>
    <t>Solo caja mini</t>
  </si>
  <si>
    <t>Ambos arreglos surtidos que incluyan lirios que resalten</t>
  </si>
  <si>
    <t>Orieta Ospino</t>
  </si>
  <si>
    <t>Cra 42H No 84B - 41. Apto 404. Edificio La Mar - Edificio</t>
  </si>
  <si>
    <t>Feliz cumpleaños mi amorcito</t>
  </si>
  <si>
    <t>Tu Moshi</t>
  </si>
  <si>
    <t>Joawuin</t>
  </si>
  <si>
    <t>Laura Suárez Amin</t>
  </si>
  <si>
    <t>Cra 57 No 82-61 Edf Vila seca 9B - Edificio</t>
  </si>
  <si>
    <t>Eres Lo más Importante para mi. 
Te amo</t>
  </si>
  <si>
    <t>Joaquín Buitrago</t>
  </si>
  <si>
    <t>Porfavor entregar en la mañana si es posible</t>
  </si>
  <si>
    <t xml:space="preserve">estefania </t>
  </si>
  <si>
    <t>pachon</t>
  </si>
  <si>
    <t>estefania pachon</t>
  </si>
  <si>
    <t>clle 85#73-06 segundo piso - Casa</t>
  </si>
  <si>
    <t>Gracias por hacerme tan feliz y por ser tan especial conmigo, feliz primer mes mi amor</t>
  </si>
  <si>
    <t>Brian</t>
  </si>
  <si>
    <t>Ortega Gomez</t>
  </si>
  <si>
    <t>Gisella Portillo</t>
  </si>
  <si>
    <t>Calle 74 # 41 - 11 Conjunto Residencial Oporto Apt 720 torre 3 - Edificio</t>
  </si>
  <si>
    <t>Para la profesora pelirroja más hermosa. Quieres ser mi Valentín?</t>
  </si>
  <si>
    <t>Pensandote Siempre, Atentamente Brian</t>
  </si>
  <si>
    <t xml:space="preserve">keneth </t>
  </si>
  <si>
    <t>keneth rodríguez</t>
  </si>
  <si>
    <t>VILLARREAL</t>
  </si>
  <si>
    <t xml:space="preserve">PAOLA VILLAMIZAR </t>
  </si>
  <si>
    <t>carrera 55 No. 99b-24 torre 1 apto 301 edi. Bali - Edificio</t>
  </si>
  <si>
    <t>Hola Pao, te enviamos estas flores con todo nuestro cariño, desde nuestros corazones te acompañamos día a día en este proceso de sanción. Te queremos y te admiramos mucho. Estamos aquí para ti.
Poquito a poquito, tu corazón se siente mejor.
Abrazos suaves ayudan a curar.
Olas de amor te cuidan y te hacen sonreír. 🧸🌈</t>
  </si>
  <si>
    <t>Con cariño, Pipe, Dani, Adri, Lars y Hsq</t>
  </si>
  <si>
    <t>Juan Jose</t>
  </si>
  <si>
    <t>Jaller Char</t>
  </si>
  <si>
    <t>Alexandra zambrano</t>
  </si>
  <si>
    <t>Transversal 57 No 99 - 180 - Edificio</t>
  </si>
  <si>
    <t>1× Flora Heart Extragrande</t>
  </si>
  <si>
    <t>Feliz día de amor y amistad para la mamá y esposa más especial 
Te amo</t>
  </si>
  <si>
    <t>Juan José Jaller</t>
  </si>
  <si>
    <t>Maripaz</t>
  </si>
  <si>
    <t>Sarah Buelvas</t>
  </si>
  <si>
    <t>Cra 64c # 86-80, apto 302 - Casa</t>
  </si>
  <si>
    <t>Felicitaciones a los nuevos papas y Bienvenida a este mundo Sienna!
Con mucho cariño tus Chamis</t>
  </si>
  <si>
    <t>Francesca, Maripaz y Alicia</t>
  </si>
  <si>
    <t xml:space="preserve">Isabella Mantilla </t>
  </si>
  <si>
    <t>Calle 106 # 49E-59 Edificio Luxor apto 902 - Edificio</t>
  </si>
  <si>
    <t xml:space="preserve">Feliz San Valentín mi amor </t>
  </si>
  <si>
    <t>Vera Montaña</t>
  </si>
  <si>
    <t>Valeria Montejo</t>
  </si>
  <si>
    <t>Cra 52b no 100-334 villas de la castellana - Conjunto</t>
  </si>
  <si>
    <t>1× Marquito Rosas</t>
  </si>
  <si>
    <t>Would you be my Valentine's</t>
  </si>
  <si>
    <t>Que el mensaje quede así en inglés porfavor</t>
  </si>
  <si>
    <t xml:space="preserve">Eder </t>
  </si>
  <si>
    <t>Balseiro</t>
  </si>
  <si>
    <t xml:space="preserve">Luis Del rio </t>
  </si>
  <si>
    <t>Calle 118 #43-46  Conjunto María mulata  Torre 7 apto 604 Alameda del Rio - Edificio</t>
  </si>
  <si>
    <t>313 6733954</t>
  </si>
  <si>
    <t xml:space="preserve">Te mereces todas las flores del mundo, y quiero ser yo quien te las dé. </t>
  </si>
  <si>
    <t>Estoy interesado en este arreglo pero en tonalidades blancas en vez de rosa</t>
  </si>
  <si>
    <t>lagares</t>
  </si>
  <si>
    <t>andres lagares</t>
  </si>
  <si>
    <t>, - Entrega En Tienda</t>
  </si>
  <si>
    <t>José Mario</t>
  </si>
  <si>
    <t>Mestra Carrascal</t>
  </si>
  <si>
    <t xml:space="preserve">Andrés Otero </t>
  </si>
  <si>
    <t>Transversal 44 calle 102 72 Barrio Miramar  Conjunto residencial Piamonte  Torre 2 apto 1111 - Conjunto</t>
  </si>
  <si>
    <t>Feliz cumple Mayiii, te quiero mucho y espero que tengas un día increíble, disfruta tu día princesa ❤️</t>
  </si>
  <si>
    <t>Con mucho cariño Jose Mestra</t>
  </si>
  <si>
    <t xml:space="preserve"> Alfonso</t>
  </si>
  <si>
    <t>Rojas Perez</t>
  </si>
  <si>
    <t>Alfonso Rojas Perez</t>
  </si>
  <si>
    <t>1× Arreglo Personalizado ( Solitario Girasol)</t>
  </si>
  <si>
    <t>Cada vez que te digo "te amo", 
Es también un "gracias" silencioso por elegirme y permitirme acompañarme estos momentos tan complicados. Te deseo sanidad absoluta, amor mío.</t>
  </si>
  <si>
    <t xml:space="preserve">Grace </t>
  </si>
  <si>
    <t>Helena de Jaramillo</t>
  </si>
  <si>
    <t>Cra 43B # 85-26 - Casa</t>
  </si>
  <si>
    <t>Hoy celebramos 99 años de una vida llena de amor y servicio. Gracias por su apoyo y su luz en un momento tan importante de mi vida. Siempre llevaré en el corazón su ejemplo de bondad y fortaleza. Que este nuevo año esté lleno de tranquilidad, alegría y el cariño de quienes la rodean.</t>
  </si>
  <si>
    <t>Con Cariño Grace Escobar Caicedo</t>
  </si>
  <si>
    <t>El arreglo como la foto enviada al WhatsApp</t>
  </si>
  <si>
    <t>Rodrigo</t>
  </si>
  <si>
    <t>Bernales</t>
  </si>
  <si>
    <t>Carrera 65#99-20, torre 1 apt 602, Conjunto residencial lago alto - Edificio</t>
  </si>
  <si>
    <t>1× Cerámica Orquidea Aire (base Ceramica mediana)</t>
  </si>
  <si>
    <t xml:space="preserve">Abue que pases un buen cumpleaños y que sean muchos mas </t>
  </si>
  <si>
    <t>Con cariño Rodrigo y Daniela</t>
  </si>
  <si>
    <t>Amelia</t>
  </si>
  <si>
    <t>Gonzalez Fuenmayor</t>
  </si>
  <si>
    <t>Sophie y Luis Eduardo</t>
  </si>
  <si>
    <t>Calle 81B#64-27.Apt.101 Edificio Valle Ordeza - Edificio</t>
  </si>
  <si>
    <t>Felíz aniversario #9. Besos, Ame</t>
  </si>
  <si>
    <t>Ame</t>
  </si>
  <si>
    <t xml:space="preserve">fabian </t>
  </si>
  <si>
    <t>bahamontes</t>
  </si>
  <si>
    <t>clle 91  # 57-19 apto 201 - Entrega En Tienda</t>
  </si>
  <si>
    <t>1× Arreglo Personalizado | 1× Bouquet Orquidea</t>
  </si>
  <si>
    <t>Gracias a la vida por ti y gracias a ti por elegir vivirla a mi lado. Te amo
Firma: Fabián</t>
  </si>
  <si>
    <t>Janeth</t>
  </si>
  <si>
    <t xml:space="preserve"> De  Cabello</t>
  </si>
  <si>
    <t>Janeth De  Cabello</t>
  </si>
  <si>
    <t>100 ruscus</t>
  </si>
  <si>
    <t xml:space="preserve">Andrea Rojas </t>
  </si>
  <si>
    <t>Calle 51b #26b 87 - Casa</t>
  </si>
  <si>
    <t xml:space="preserve">Te mereces el mundo entero y te lo quiero dar, empezando por pequeños detalles. </t>
  </si>
  <si>
    <t>JdeDobleR</t>
  </si>
  <si>
    <t>Cra 14a #16-21 - Casa</t>
  </si>
  <si>
    <t>Hoy son 10 meses desde que empezamos esto y solo puedo decir que me alegra muchísimo que sigamos aquí.
Contigo todo es más bonito.
Gracias por estar, por quererme como soy y por hacerme mejor persona.
Feliz mes, amor. Te amo.</t>
  </si>
  <si>
    <t xml:space="preserve">LEONOR </t>
  </si>
  <si>
    <t>BORELLY</t>
  </si>
  <si>
    <t>LEONOR BORELLY</t>
  </si>
  <si>
    <t>CRA 59#81-229 VENICE APTO 3001 - Edificio</t>
  </si>
  <si>
    <t>ROSAS AMARILLAS Y FUCSIA 50 ROSAS,OASIS  RUSCUS</t>
  </si>
  <si>
    <t xml:space="preserve">Lina </t>
  </si>
  <si>
    <t xml:space="preserve">Rocío Terán </t>
  </si>
  <si>
    <t>Calle 96A # 46-52 casa 8 - Casa</t>
  </si>
  <si>
    <t xml:space="preserve">Celebrar tu vida siempre será una bendición. Pero tu vida en la nuestra, es un privilegio. Te amamos un mundo!   Feliz cumpleaños mamá, esposa y suegra 🤍 </t>
  </si>
  <si>
    <t>Tu familia</t>
  </si>
  <si>
    <t>Milena</t>
  </si>
  <si>
    <t>Mia Solano</t>
  </si>
  <si>
    <t>Club lagos del Cauajral Torre 1 apto 302 - Casa</t>
  </si>
  <si>
    <t>Hoy celebramos el regalo más hermoso que la vida nos dio: tu vida.
Eres luz, alegría y dulzura en nuestro hogar. Tu sonrisa ilumina nuestros días y tu ternura llena nuestro corazón de amor y orgullo.
Gracias por enseñarnos cada día el verdadero significado del amor.
Que Dios te cuide, te proteja y te guíe siempre. 
Feliz cumpleaños hija .
Te amamos</t>
  </si>
  <si>
    <t>Papá &amp; Mamá</t>
  </si>
  <si>
    <t>Prieto</t>
  </si>
  <si>
    <t>MARIA CAMILA FIGUEROA</t>
  </si>
  <si>
    <t>CRA 75 #78-75 CONJUNTO MADEIRA T2 APTO207 - Conjunto</t>
  </si>
  <si>
    <t>Aunque hoy no podamos abrazarnos ni estar juntos , La distancia no cambia lo que siento por ti, al contrario, me hace valorar aún más cada momento, cada llamada y cada recuerdo que compartimos
Eres una bendición en mi vida, La distancia es temporal, pero lo nuestro es real. Pronto celebraremos juntos
Te amo</t>
  </si>
  <si>
    <t>Juan P Arellano</t>
  </si>
  <si>
    <t>Rosas Blancas y Melon, Si no llegan las Lilas, las melón están bien.</t>
  </si>
  <si>
    <t xml:space="preserve">Madeleine </t>
  </si>
  <si>
    <t>madeleine</t>
  </si>
  <si>
    <t>Transversal 44 n 102-167 torre 1 apto 210 edificio siena - Casa</t>
  </si>
  <si>
    <t>5 rosas rojas</t>
  </si>
  <si>
    <t>Alejandro Carvajal Ballestas</t>
  </si>
  <si>
    <t>Calle 99 #58 99 Edi portobelo Torre 2 apto 702</t>
  </si>
  <si>
    <t>Amor mío en el tiempo que llevamos juntos he aprendido a amar desde el fondo de mi corazón, aprendiendo la importancia de los detalles que tengamos el uno con el otro, creando esos pequeños momentos que se vuelven eternos. Por eso quiero invitarte a ser mi Valentines este 14 de Febrero ¿ Aceptas ?</t>
  </si>
  <si>
    <t>surtidos colores fuertes</t>
  </si>
  <si>
    <t>Sarmiento</t>
  </si>
  <si>
    <t>Milena Sarmiento</t>
  </si>
  <si>
    <t>Calle 84B#42C-164 - Casa</t>
  </si>
  <si>
    <t>Salome,
Amada hija, eres una bendición para nueatras vidas, damos gracias a Dios por tu vida. Me siento una mujer bendecida por verte crecer cada día. Eres luz para las personas que te rodeamos, eres tierra fértil que da los más bellos frutos. Te amo mi reina, mi amor, mi bella, mi niña hermosa. Dios te bendiga todos tus proyectos.
Te amamos,
Mamá, Papá y Hermano.
Pd: Sigue soñando que voy pedaleando.</t>
  </si>
  <si>
    <t>Que la fecha sea de Feb 12,2026</t>
  </si>
  <si>
    <t>Mercado</t>
  </si>
  <si>
    <t xml:space="preserve">Michely Jiménez </t>
  </si>
  <si>
    <t>Cra. 45B #95-23 Local SUNNY APP</t>
  </si>
  <si>
    <t>1× Bouquet 36 Rosas</t>
  </si>
  <si>
    <t>Let's be eternal, I love you very much</t>
  </si>
  <si>
    <t>La empresa se llama: SunnyApp S.A.S</t>
  </si>
  <si>
    <t>Emy Shilena</t>
  </si>
  <si>
    <t xml:space="preserve">Torres Villalobos </t>
  </si>
  <si>
    <t>Orlaida Villalobos</t>
  </si>
  <si>
    <t>Calle 57#43-147 - Casa</t>
  </si>
  <si>
    <t>1× Flora Box Grande Pastel | 1× Flora Box Mediana Sembrado</t>
  </si>
  <si>
    <t>Para una invaluable mujer! 
 El Señor recompense tu obra y todo el amor y esfuerzo que has puesto en tu esposo y tus hijos! 
Te amamos, Gracias por tanto!</t>
  </si>
  <si>
    <t>Con amor profundo, tu esposo e hijos!</t>
  </si>
  <si>
    <t>El otro arreglo que es el más pequeño, debe tener el siguiente mensaje: 
Hermana Orlaida Dios le bendiga de que mi madre aquí en Colombia hoy es su cumpleaños quiero desearle que el señor Jesucristo siga bendiciendo su vida porque sé que la ha bendecido hasta hoy dándole vida salud dándole una hermosa familia y dándole la convicción de servirle a él con todo el corazón y ota la disposición que  siempre ha estado dispuesta a su servicio toda su vida eso es una bendición grande.
Le ha dado honor al hermano Plutarco ungido de Dios. Con su ejemplo de  vida ha enseñado y guiado a la salvación a muchos ha Sido inspiración ha tantas mujeres Dios le de vida y salud para servirle y honrarle seguir siendo ese ejemplo que ha sido hasta hoy que siga dejando esas huellas en la cual muchos van siguiéndole.
Le quiero muchísimo.
Dios le bendiga grandemente.
Feliz cumpleaños</t>
  </si>
  <si>
    <t>cuencas</t>
  </si>
  <si>
    <t>CRA 59 #96-166 apto 3 A - Casa</t>
  </si>
  <si>
    <t>300 4898716</t>
  </si>
  <si>
    <t>¿Quieres ser mi Valentín, María?</t>
  </si>
  <si>
    <t>Te amo, Philip</t>
  </si>
  <si>
    <t>El corazón de rosas rojas con 2 rosas rosadas en un extremo superior</t>
  </si>
  <si>
    <t>astrid</t>
  </si>
  <si>
    <t>gallardo</t>
  </si>
  <si>
    <t>Maria Camila Rudas</t>
  </si>
  <si>
    <t>Calle 84 # 42 A3 - 13 edificio heredia II apto 301 - Edificio</t>
  </si>
  <si>
    <t>1× Oso de Peluche | 1× Flora Box Mediana Surtida | 1× Mini Box Orquidea</t>
  </si>
  <si>
    <t>El arreglo Rojo Con el mensaje que dice:  Amor, Aunque hoy la distancia nos separe, mi corazón sigue eligiéndote todos los días. Feliz San Valentín. Siempre túyo. Daniel ----------------------------------------------------------------------- El arreglo pastel con el mensaje que dice: Mi princesa, Tu sonrisa es mi fuerza y mi razón para seguir soñando en grande. Papá te ama hoy y siempre, sin importar la distancia. Feliz día , mi luz hermosa.  Con amor  Papá</t>
  </si>
  <si>
    <t>El peluche es para el arreglo rosa</t>
  </si>
  <si>
    <t xml:space="preserve">Yelesvy </t>
  </si>
  <si>
    <t>Ruiz Benitez</t>
  </si>
  <si>
    <t>Adalgiza Cogollo</t>
  </si>
  <si>
    <t>Calle 99 56 41 Torre 1 apto 1902 - Edificio</t>
  </si>
  <si>
    <t>Adalgiza 
Bella, buena e inteligente mujer 
Con los años llegan los buenos momentos, que se desarrollan cuando se acaban los apegos,  los resentimientos y los inadecuados sentimientos y se vive a plenitud independientemente como estemos  y con quiénes  estemos. 
Esa es la felicidad de la vida,
Vivir a plenitud con nosotros mismos 
Evidentemente la felicidad  como la buena salud son buenos estados mentales 
Feliz día de tu cumpleaños 
Y que la felicidad siempre te acompañe, por muchos, muchos, años más 
Amén.</t>
  </si>
  <si>
    <t>Dr. Leonardo Duran</t>
  </si>
  <si>
    <t xml:space="preserve">Juan José </t>
  </si>
  <si>
    <t xml:space="preserve">Mulato agredo </t>
  </si>
  <si>
    <t>Juan Jose Mulato</t>
  </si>
  <si>
    <t>Estelar alto prado habitacion 1126 - Hotel</t>
  </si>
  <si>
    <t>1× Flora Box Romantic 24 Rosas</t>
  </si>
  <si>
    <t xml:space="preserve">“Porque te mereces lo mejor del mundo y le agradezco a la vida por llegar a la mía. Gracias por existir y por hacerla más hermosa cada día. Te amo, mi amor de ojos color avellana.” </t>
  </si>
  <si>
    <t>Juan J</t>
  </si>
  <si>
    <t>Estelar alto prado</t>
  </si>
  <si>
    <t xml:space="preserve">fany </t>
  </si>
  <si>
    <t>fany solano</t>
  </si>
  <si>
    <t xml:space="preserve">Real </t>
  </si>
  <si>
    <t>Yang</t>
  </si>
  <si>
    <t>Real Yang</t>
  </si>
  <si>
    <t>ID de la orden
2427690318</t>
  </si>
  <si>
    <t>Withney</t>
  </si>
  <si>
    <t xml:space="preserve">Simanca </t>
  </si>
  <si>
    <t xml:space="preserve">Mayra Gutiérrez </t>
  </si>
  <si>
    <t>Vía 40 82 34 - Oficina</t>
  </si>
  <si>
    <t xml:space="preserve">Feliz cumpleaños a la tía y amiga más especial de todas. Te amamos de aquí a la luna! Esperamos que seas muy feliz.
</t>
  </si>
  <si>
    <t>Withney, y Olivia🌸</t>
  </si>
  <si>
    <t>b</t>
  </si>
  <si>
    <t>Ernesto</t>
  </si>
  <si>
    <t xml:space="preserve">Cid </t>
  </si>
  <si>
    <t xml:space="preserve">Zharay Osorio </t>
  </si>
  <si>
    <t>Carrera 12 H 70 62, barrio el manantial frente a la cancha de fútbol grande - Casa</t>
  </si>
  <si>
    <t>Me enteré de que en Colombia el amor espera hasta el tercer sábado de septiembre... pero tener a un mexicano cautivado por ti tiene sus privilegios te da el derecho exclusivo de celebrar doble.
La verdad es que, sin importar el calendario o el país en el que estemos, mi lugar favorito siempre será en donde estés tú. Gracias por ser mi motivo para celebrar todos los días. Feliz San Valentín</t>
  </si>
  <si>
    <t>ECV</t>
  </si>
  <si>
    <t>Confío en su buen gusto de ustedes, si no hay una flor, se entiende, pero confío en que el resultado final estará a la altura, muchas gracias</t>
  </si>
  <si>
    <t>María Marrugo</t>
  </si>
  <si>
    <t>Cra 67 81 94 - Casa</t>
  </si>
  <si>
    <t>Mamá te deseamos un feliz cumpleaños, gracias a Dios que te mantiene con salud y nos brinda la oportunidad de seguir en familia.
Te amamos 
Papá y maty</t>
  </si>
  <si>
    <t>Papa y Maty</t>
  </si>
  <si>
    <t>Regalo de cumpleaños                                                                                           b</t>
  </si>
  <si>
    <t>Ucros</t>
  </si>
  <si>
    <t xml:space="preserve">Dilianys </t>
  </si>
  <si>
    <t>Calle 3b transversal 3b-275 plazuela del mar 1, Apto 70</t>
  </si>
  <si>
    <t xml:space="preserve">Sería imperdonable que alguien como tú pasara este día sin recibir algo bonito. Te quiero. </t>
  </si>
  <si>
    <t>Favor llamar a la persona ya que es una sorpresa</t>
  </si>
  <si>
    <t xml:space="preserve">Arias Acosta </t>
  </si>
  <si>
    <t xml:space="preserve">Lorena Hernández </t>
  </si>
  <si>
    <t>Clínica porto azul - Oficina</t>
  </si>
  <si>
    <t xml:space="preserve">Estamos muy felices que todo haya salido muy bien. Damos gracias a Dios por tu vida y por la dicha de tenerte en la nuestra. Te amamo!  </t>
  </si>
  <si>
    <t>Te amamos Tus hijos Jeinner y Loraine, nietos Isaac y Pablo</t>
  </si>
  <si>
    <t>es en clínica Portoazul deben llamar al destinatario para que baje por el</t>
  </si>
  <si>
    <t>Laura Gonzalez</t>
  </si>
  <si>
    <t>Calle 1A # 24-86 apto 304 Edificio Lanikai - Edificio</t>
  </si>
  <si>
    <t xml:space="preserve">To my better half, my ride or die, my person, my best friend, my sister and my B.B. Happy Valentine’s! </t>
  </si>
  <si>
    <t>Love you, Diana</t>
  </si>
  <si>
    <t>Misma dirección - Casa</t>
  </si>
  <si>
    <t>2× Arreglo Personalizado</t>
  </si>
  <si>
    <t>Mensaje 1: Feliz San Valentín, mi chiqui!
Mensaje 2: Feliz San Valentín, mi mayor!</t>
  </si>
  <si>
    <t>Te ama, tu tía Diana</t>
  </si>
  <si>
    <t>91.847    b</t>
  </si>
  <si>
    <t xml:space="preserve">Jeff </t>
  </si>
  <si>
    <t>Edwards</t>
  </si>
  <si>
    <t>Carrera 70 # 92 -35  torre 5, apartamento 517. conjunto residencial parques de tivoly - Edificio</t>
  </si>
  <si>
    <t>1-519-630-0471 (Angela) 57-304-6456548 (Valentina)</t>
  </si>
  <si>
    <t>1× Bouquet 12 Rosas | 1× Bouquet 6 Rosas | 2× Flora Box  Solitario Rosa | 1× Ferrero Rocher 8 und</t>
  </si>
  <si>
    <t>1. Happy Valentine's Day 
2. Happy Valentine's Day
3. Valentina - Happy Valentine's Day - Siempre para siempre 
4. Angela - Happy Valentine's Day</t>
  </si>
  <si>
    <t>paypal los ferreros van el cualquier arreglo</t>
  </si>
  <si>
    <t>Simmonds dumar</t>
  </si>
  <si>
    <t xml:space="preserve">María José Carrascal vega </t>
  </si>
  <si>
    <t>Calle 87 # 47 - 88  Hotel wybdham gardem Habitación 506 - Casa</t>
  </si>
  <si>
    <t>322) 254-0882</t>
  </si>
  <si>
    <t>Negrilla 
Hoy es uno de esos días que un padre sueña y, al mismo tiempo, teme un poco, porque cuesta aceptar que aquella niña que un día tomé de la mano para enseñarle a caminar, hoy camina firme hacia una nueva vida. Te miro y no puedo evitar que el corazón se me llene de orgullo, de emoción y de una felicidad inmensa.
Verte hoy tan plena, tan segura y tan enamorada es la mayor recompensa que puedo tener.
Quiero que sepas que, aunque hoy cambie una etapa, nunca dejaré de ser tu refugio, tu apoyo y tu hogar. Donde estés, siempre tendrás mis brazos abiertos, mis consejos cuando los necesites y mi amor incondicional, ese que no entiende de distancias ni de tiempos.
Deseo que tu matrimonio esté lleno de respeto, paciencia, risas compartidas y sueños construidos de la mano. Que en los días buenos celebren juntos y en los difíciles se elijan una y otra vez. Que nunca falte el diálogo, la comprensión y el amor que hoy los une.
Te amo 
Tu tío Bernardo</t>
  </si>
  <si>
    <t>Bernardo Vega</t>
  </si>
  <si>
    <t>domicilio 10000                                      b</t>
  </si>
  <si>
    <t xml:space="preserve">sharles steven </t>
  </si>
  <si>
    <t>beltran</t>
  </si>
  <si>
    <t>María Andrea oyóla</t>
  </si>
  <si>
    <t>calle 3b # transversal 3b - 311 conjunto residencial ciudad del mar apto 504 torre j - Conjunto</t>
  </si>
  <si>
    <t>300 3782504</t>
  </si>
  <si>
    <t>1× Bouquet 50 Rosas</t>
  </si>
  <si>
    <t xml:space="preserve">feliz mes de amor y la amistad, orgulloso de la doctora en formación que estas llegando hacer, Dios te bendiga. &lt;3. </t>
  </si>
  <si>
    <t>Sharles beltran</t>
  </si>
  <si>
    <t>Renas</t>
  </si>
  <si>
    <t xml:space="preserve">Koca </t>
  </si>
  <si>
    <t>carrera 7b # 46-35 apto 1 barrio santuario</t>
  </si>
  <si>
    <t>1 - Casa</t>
  </si>
  <si>
    <t>Erley</t>
  </si>
  <si>
    <t>Ibara</t>
  </si>
  <si>
    <t>Yalile</t>
  </si>
  <si>
    <t>La Esmeralda</t>
  </si>
  <si>
    <t>calle 73D#12-13 - Casa</t>
  </si>
  <si>
    <t>Había un perro que se llamaba “pafuera” y el dueño le dijo “pafuera pa dentro” y el perro se volvió loco así como estoy de loco yo por ti, te amo mi amor🖤</t>
  </si>
  <si>
    <t>Erley Ibarra</t>
  </si>
  <si>
    <t>si pueden ser rosas rosadas, mejor</t>
  </si>
  <si>
    <t>RAMIRO NUÑEZ</t>
  </si>
  <si>
    <t>VA CON LA ORDEN # 91758 - Entrega En Tienda</t>
  </si>
  <si>
    <t>1× Ferrero Rocher 8 und</t>
  </si>
  <si>
    <t>VA CON LA ORDEN # 91758</t>
  </si>
  <si>
    <t>Olga Myleidy Mejia</t>
  </si>
  <si>
    <t>Cra 52 #100-105, Quintas de la Castellana casa 39 - Casa</t>
  </si>
  <si>
    <t>Mi reina hermosa, eres mi persona favorita para hablar, reir y compartir por eso te quiero preguntar: 
¿Do you wanna be my Valentine?</t>
  </si>
  <si>
    <t>David Angulo Osorio</t>
  </si>
  <si>
    <t>Maria Camila Gutierrez Suarez</t>
  </si>
  <si>
    <t>Calle 96#71-109, Edificio Irati, Apto 203A - Edificio</t>
  </si>
  <si>
    <t>1x Mini Heart Surtido</t>
  </si>
  <si>
    <t>“Quieres ser mi San Valentín?”</t>
  </si>
  <si>
    <t>Por favor solo agregar flores amarillas</t>
  </si>
  <si>
    <t xml:space="preserve">Isabella González Henao </t>
  </si>
  <si>
    <t>Calle 99 #56-48 Edif Santillana Apto 1506 - Edificio - Conjunto</t>
  </si>
  <si>
    <t>1× Bouquet 6 Rosas</t>
  </si>
  <si>
    <t xml:space="preserve">Feliz de tenerte a mi lado!! Te amo mucho. </t>
  </si>
  <si>
    <t>Sebastián A</t>
  </si>
  <si>
    <t>Monsalve</t>
  </si>
  <si>
    <t xml:space="preserve">Lilia Maldonado </t>
  </si>
  <si>
    <t>Cevillar</t>
  </si>
  <si>
    <t>carrera 14b #46-23 - Casa</t>
  </si>
  <si>
    <t>317 5904161</t>
  </si>
  <si>
    <t>❤️ Feliz San Valentín ❤️</t>
  </si>
  <si>
    <t>Con mucho amor, CM.</t>
  </si>
  <si>
    <t xml:space="preserve">Walter </t>
  </si>
  <si>
    <t xml:space="preserve">Guette </t>
  </si>
  <si>
    <t xml:space="preserve">Alejandra Guzmán </t>
  </si>
  <si>
    <t>Calle 86 no47-78 - Casa</t>
  </si>
  <si>
    <t>Aleja, En tan poco tiempo te has convertido en mi persona favorita. Te quiero mucho mi flaca ❤️</t>
  </si>
  <si>
    <t>Walter Guette</t>
  </si>
  <si>
    <t>veterinaria Mastervet</t>
  </si>
  <si>
    <t>ARREGLO SURTIDO</t>
  </si>
  <si>
    <t>Peralta Acosta</t>
  </si>
  <si>
    <t>Daniela Peralta Acosta</t>
  </si>
  <si>
    <t>Calle 86 #42B1 - 172 Edi Bonnavista Apto 901 - Edificio</t>
  </si>
  <si>
    <t>304 5267702</t>
  </si>
  <si>
    <t xml:space="preserve">Aquí puedes ver los colores de mi tierra, pero también los colores que pronto serán los de la tuya. Espero que estas florecitas te saquen la sonrisa que prometo grabar en tu rostro por el resto de nuestros días. Te amaré por siempre, mi Daniela. </t>
  </si>
  <si>
    <t>Tu Louis</t>
  </si>
  <si>
    <t>Mailliw</t>
  </si>
  <si>
    <t>Manuel alejandro</t>
  </si>
  <si>
    <t>Fernandez rada</t>
  </si>
  <si>
    <t xml:space="preserve">Camila vilariño </t>
  </si>
  <si>
    <t>cra 55 #99b-24 edificio bali torre 2 apto 503 - Edificio</t>
  </si>
  <si>
    <t>+57 314 6557057</t>
  </si>
  <si>
    <t>Feliz 14 mi amor 🫶🏻</t>
  </si>
  <si>
    <t xml:space="preserve">Orlando </t>
  </si>
  <si>
    <t>Retamozo</t>
  </si>
  <si>
    <t>Sofia Nieto</t>
  </si>
  <si>
    <t>Cra 57#81-15 - Edificio Unique, ap, 20</t>
  </si>
  <si>
    <t>Happy Valentines mi princesa
Te adoro❤️❤️</t>
  </si>
  <si>
    <t>mayerlis</t>
  </si>
  <si>
    <t>Gina Geraldino</t>
  </si>
  <si>
    <t>Cra 52 #106 213 apto 1910 torre 2 - Casa</t>
  </si>
  <si>
    <t xml:space="preserve">Feliz Cumpleaños Vida Mia! Siempre eres mi razon para celebrar!! Te Amo infinito ♾️ </t>
  </si>
  <si>
    <t xml:space="preserve">JOHANA </t>
  </si>
  <si>
    <t>AGUILAR</t>
  </si>
  <si>
    <t>JOHANA AGUILAR</t>
  </si>
  <si>
    <t>HORTENCIAS</t>
  </si>
  <si>
    <t xml:space="preserve">Adriana </t>
  </si>
  <si>
    <t xml:space="preserve">Adriana Herrera </t>
  </si>
  <si>
    <t>verificar en chat</t>
  </si>
  <si>
    <t>alberto rodríguez</t>
  </si>
  <si>
    <t>samsung</t>
  </si>
  <si>
    <t>Bouquet redondo con 24 rosas curuba guardadas ,eucalipto y clavellina amarillita.</t>
  </si>
  <si>
    <t xml:space="preserve">Deivis </t>
  </si>
  <si>
    <t>Cantillo Somerson</t>
  </si>
  <si>
    <t>Daniela Noriega</t>
  </si>
  <si>
    <t>Calle 78 #53-70 Bancolombia country plaza - Oficina</t>
  </si>
  <si>
    <t>1× Bouquet 12 Rosas | 1× Ferrero Rocher 8 und</t>
  </si>
  <si>
    <t xml:space="preserve">te mando un beso en el petalo de cada flor, me encantas y no te imaginas cuanto. Te Amo. </t>
  </si>
  <si>
    <t>Con muchisimo amor, deivis cantillo somerson</t>
  </si>
  <si>
    <t>Jose david</t>
  </si>
  <si>
    <t>Plata duarte</t>
  </si>
  <si>
    <t>Yésica Ariza</t>
  </si>
  <si>
    <t>Calle 46 B # 14D 25 casa primer piso - Casa</t>
  </si>
  <si>
    <t>Hoy celebro el amor con una gran mujer, que me ha acompañado en momentos importantes, gracias por ser mi apoyo, por estar siempre presente aun  en la distancia, por todo el cariño y amor.
Te amo 🌹</t>
  </si>
  <si>
    <t>Jose David</t>
  </si>
  <si>
    <t>lola</t>
  </si>
  <si>
    <t>Julie Figueredo</t>
  </si>
  <si>
    <t>cra 73 #91-192 - Casa</t>
  </si>
  <si>
    <t>Felizz dia de San Valentin mi pelaita 🌹❤️😘
Eres la mujer mas hermosa y espectacular del mundo, contigo todo es mas bonito! 
Si te diera una rosa por cada momento especial a tu lado no me alcanzaria un jardin !</t>
  </si>
  <si>
    <t>-D</t>
  </si>
  <si>
    <t>A</t>
  </si>
  <si>
    <t xml:space="preserve">Liliana Chaparro </t>
  </si>
  <si>
    <t>Cra 57 # 99 - 60 Apto 1101 Palmetto Towers - Edificio</t>
  </si>
  <si>
    <t>Feliz Cumpleaños .I love you .</t>
  </si>
  <si>
    <t>Pipe</t>
  </si>
  <si>
    <t>Jhosteen</t>
  </si>
  <si>
    <t xml:space="preserve">Yair Comendador </t>
  </si>
  <si>
    <t>Calle 46 # 60 - 41, Alba Studio Barranquilla - Casa</t>
  </si>
  <si>
    <t xml:space="preserve">Por nuestro primer San Valentín de muchos, mi carpincho. Huele nuestras hortensias para que me sientas cerca, a pesar de estar a más de 800kilometros de distancia. Te amo a millones… </t>
  </si>
  <si>
    <t>Con cariño, Jhos</t>
  </si>
  <si>
    <t>Que se tenga mucho cuidado por favor a la hora del envío del regalo. Y entregarlo solo personalmente a Yair Comendador. Gracias!</t>
  </si>
  <si>
    <t>Alessio</t>
  </si>
  <si>
    <t>Onofri Yunes</t>
  </si>
  <si>
    <t xml:space="preserve">Ana Sofía Mosquera </t>
  </si>
  <si>
    <t>Carrera 30, 2C - 196 T2 Apto 502 - Edificio</t>
  </si>
  <si>
    <t>b.</t>
  </si>
  <si>
    <t>Ester</t>
  </si>
  <si>
    <t>Carolina Prieto J</t>
  </si>
  <si>
    <t>Carrera 65#78-54, Edificio Venecia apto 503 - Edificio</t>
  </si>
  <si>
    <t>Carolina. De todo lo que la vida me ha dado... tú eres la mejor parte.
-Tony</t>
  </si>
  <si>
    <t>Por favor qué llegue el viernes bien temprano en la mañana. Rosas rojas frescas</t>
  </si>
  <si>
    <t>alonso</t>
  </si>
  <si>
    <t>xiomara cruz</t>
  </si>
  <si>
    <t>cra 49c# 99-106 torre 2 apto 702 mikonos - Edificio</t>
  </si>
  <si>
    <t>te ama  y siempre estaré contigo.
tu esposo</t>
  </si>
  <si>
    <t xml:space="preserve">Bernal </t>
  </si>
  <si>
    <t xml:space="preserve">Javier Bernal </t>
  </si>
  <si>
    <t>arrera 57 No. 99 A - 65 Torre Sur - Edificio</t>
  </si>
  <si>
    <t>mis palabras no fueron las correctas. A veces me gana el impulso y digo cosas sin pensar, pero nunca con la intención de lastimarte. Si algo tengo claro es que tú eres demasiado importante.
Si me das la oportunidad, quiero endulzar tu vida con detalles sinceros, con paciencia, con respeto y con hechos que hablen más que mis palabras.
TQM</t>
  </si>
  <si>
    <t>Jb</t>
  </si>
  <si>
    <t>JOAQUIN</t>
  </si>
  <si>
    <t>CHERREZ</t>
  </si>
  <si>
    <t>JOAQUIN CHERREZ</t>
  </si>
  <si>
    <t>Abraham</t>
  </si>
  <si>
    <t>Darwish</t>
  </si>
  <si>
    <t>Abraham darwish</t>
  </si>
  <si>
    <t>Cra 52#82-253 - Edificio riu 52 apt 1301 dejar en portería</t>
  </si>
  <si>
    <t>Feliz cumpleaños vida ❤️</t>
  </si>
  <si>
    <t>❤️❤️❤️</t>
  </si>
  <si>
    <t xml:space="preserve">GUSTAVO </t>
  </si>
  <si>
    <t xml:space="preserve">FIGUEROA </t>
  </si>
  <si>
    <t xml:space="preserve">GUSTAVO FIGUEROA </t>
  </si>
  <si>
    <t>CARRERA 52 # 82-278 - Edificio prato 52 apto 705</t>
  </si>
  <si>
    <t xml:space="preserve">TE AMO Y ESPERO QUE SEAN MUCHOAS MAS SAN VALENTIN A TU LADO. </t>
  </si>
  <si>
    <t>GUSTAVO FIGUEROA</t>
  </si>
  <si>
    <t>ARREGLO DE TULIPANES CON FLORES SURTIDAS</t>
  </si>
  <si>
    <t>Pardo</t>
  </si>
  <si>
    <t xml:space="preserve">Mariana Vela </t>
  </si>
  <si>
    <t>Cra. 20 # 2A - 10 - Conjunto</t>
  </si>
  <si>
    <t>1× Flora Box  Solitario Rosa</t>
  </si>
  <si>
    <t>Esta vez no me la pusiste fácil pero el que quiere puede y yo te amo. Feliz San Valentín a la distancia mi amor. Te amo.</t>
  </si>
  <si>
    <t>Transferencia 1340</t>
  </si>
  <si>
    <t>Con amor, Nicopard</t>
  </si>
  <si>
    <t>Casa 47 Conjunto Residencial Terra by Kaia. Puerto Colombia - Atlántico Detrás de la uninorte, última rotonda después del colegio San José</t>
  </si>
  <si>
    <t>Omar</t>
  </si>
  <si>
    <t>Sierra cohen</t>
  </si>
  <si>
    <t xml:space="preserve">Mairim santos </t>
  </si>
  <si>
    <t>Carrera 30 #2-790, conjunto residencial torres de cadiz, torre 2, apto 701, Villa campestre - Conjunto</t>
  </si>
  <si>
    <t>Feliz dia de amor y amistad mi bebé❤️</t>
  </si>
  <si>
    <t>Carrera 75 #78-54 Torre 2 Apartamento 1202 - Conjunto</t>
  </si>
  <si>
    <t>Las flores para ti nunca pueden faltar.</t>
  </si>
  <si>
    <t>Con amor, Nicolas</t>
  </si>
  <si>
    <t>Utilizar un Bouquet en lugar de una caja.   MAYERLIS</t>
  </si>
  <si>
    <t>Jenniffer Paola Nieto Gaviria</t>
  </si>
  <si>
    <t>Cra 49c #82 - 65 Clínica Bonnadona Edif. Administrativo - Oficina</t>
  </si>
  <si>
    <t>Feliz San Valentín, Meisser ❤️Hoy quiero darte gracias por todo lo que eres y por todo lo que compartimos. Gracias por tu compañía, por tu paciencia, por tu cariño y por hacer que cada día tenga más sentido.
Después de 11 años juntos, sigo sintiendo que escogí a la persona correcta, y es gratificante todo lo que aún nos queda por vivir. A tu lado he aprendido que el amor el cariño y la comprensión  no solo se dice, se demuestra en los pequeños detalles, en las sonrisas compartidas y en la tranquilidad de saber que estamos juntos siempre agarrados de la mano de Dios. Espero que sea de tu agrado Te Amo muchoooo!!!! Meisser Misser jaja</t>
  </si>
  <si>
    <t>Con Cariño: Daniel R</t>
  </si>
  <si>
    <t>Cra 53 #80-71 edificio cavalier piso 6 - Edificio</t>
  </si>
  <si>
    <t>1× Bouquet 12 Rosas | 1× Bouquet 6 Rosas   2 tulipanes</t>
  </si>
  <si>
    <t>el bouquet de 6 rosas anexar dos tulipanes</t>
  </si>
  <si>
    <t xml:space="preserve">Carmen </t>
  </si>
  <si>
    <t xml:space="preserve">Barros </t>
  </si>
  <si>
    <t xml:space="preserve">Alexandra Mendoza </t>
  </si>
  <si>
    <t>Calle 72 N 65-160 - Conjunto casa 4</t>
  </si>
  <si>
    <t>JEY</t>
  </si>
  <si>
    <t>Apartamento 211 - Edificio Central Park</t>
  </si>
  <si>
    <t>Carrera 64 # 99-100</t>
  </si>
  <si>
    <t>Perdóname  Quiero ser claro: mis acciones estuvieron mal. Sin importar cómo me sentía, debí haberlo manejado de otra manera. Debí haberme comunicado, establecer límites o tomar distancia y, sinceramente, debí haber llevado mis luchas a Dios en lugar de actuar desde la emoción y la evasión. Tú merecías honestidad desde el principio, y no me mostré como la persona que realmente soy Es un nuevo comenzar y dejemos que Dios nos guíe en este nuevo camino y poder encontrar la felicidad que nos merecemos. Te amo  Charlie</t>
  </si>
  <si>
    <t>Cra 25 # 1A - 55 apto 603 - Edificio Actually  Portal de Genovés</t>
  </si>
  <si>
    <t>JT</t>
  </si>
  <si>
    <t>tienda - Entrega En Tienda</t>
  </si>
  <si>
    <t xml:space="preserve">Espero que regreses pronto de tu viaje. Te extraño </t>
  </si>
  <si>
    <t>blanca</t>
  </si>
  <si>
    <t xml:space="preserve">ampy </t>
  </si>
  <si>
    <t>jimeno</t>
  </si>
  <si>
    <t xml:space="preserve">ampy jimeno </t>
  </si>
  <si>
    <t>Cra 50 # 82 254 apto 405 ed. daniela - Edificio</t>
  </si>
  <si>
    <t xml:space="preserve">llevar lo mas temprano posible </t>
  </si>
  <si>
    <t>Mogollon</t>
  </si>
  <si>
    <t>Gio</t>
  </si>
  <si>
    <t>Cl. 102#43-35 Conjunto Residencial Torino apto 143 torre 7 - Edificio</t>
  </si>
  <si>
    <t>1× Flora Heart grande</t>
  </si>
  <si>
    <t>Feliz san Valentín mi coso te amo❤️</t>
  </si>
  <si>
    <t xml:space="preserve">ANDREA </t>
  </si>
  <si>
    <t>ORLANDO</t>
  </si>
  <si>
    <t>ANDREA ORLANDO</t>
  </si>
  <si>
    <t>CRA 57 # 91-44 APTO 602 - Edificio</t>
  </si>
  <si>
    <t>EMP</t>
  </si>
  <si>
    <t>CON EL IVA</t>
  </si>
  <si>
    <t>Keyla philco</t>
  </si>
  <si>
    <t>Calle 133 #51c-383 Casa 3</t>
  </si>
  <si>
    <t xml:space="preserve">Mi amor quieres ser mi san Valentín? TE AMOOO </t>
  </si>
  <si>
    <t>Con cariño tu hermoso novio</t>
  </si>
  <si>
    <t xml:space="preserve">Kra 64E n86-200 </t>
  </si>
  <si>
    <t>Kra 64E 86-200 Apartamento 504B casa</t>
  </si>
  <si>
    <t>20 ROSAS ROJAS.   MAYERLIS</t>
  </si>
  <si>
    <t>Julio Cezar Aquino Feitosa</t>
  </si>
  <si>
    <t>Julio Cezar</t>
  </si>
  <si>
    <t>Cra. 56 # 89-13, Riomar, Barranquilla, Atlántico, Colombia</t>
  </si>
  <si>
    <t>Oficina - Oficina</t>
  </si>
  <si>
    <t>Mi hermosa Marlin,
aunque aún no hemos estado frente a frente, siento que nuestras almas ya se reconocen. La distancia solo ha sido el camino que nos está preparando para algo mucho más grande. Muy pronto estaremos juntos, no solo para compartir momentos, sino para construir una historia, un hogar y una vida entera.
Lo que viene no es casualidad, es propósito. Y yo quiero caminarlo contigo, paso a paso, para siempre.
Con todo mi cariño,
Julio 💛</t>
  </si>
  <si>
    <t>Marlin Arbelaez</t>
  </si>
  <si>
    <t>La entrega deberá realizarse entre las 9:00 y las 11:30 y entre las 13:00 y las 15:00.</t>
  </si>
  <si>
    <t xml:space="preserve">Petry </t>
  </si>
  <si>
    <t xml:space="preserve">Cielo Tamara </t>
  </si>
  <si>
    <t>Carrera 52 # 79-216 apartamento 701 - Edificio</t>
  </si>
  <si>
    <t>Cielo amiga, ya brillabas antes y ahora vas a deslumbrar 🔥
Descansa como reina y recupérate pronto!
Un abrazo</t>
  </si>
  <si>
    <t>Con mucho cariño, Petry</t>
  </si>
  <si>
    <t>ENVIAR FOTO DEL ARREGLO Y TARJETA.  mayerlis</t>
  </si>
  <si>
    <t xml:space="preserve">Cristian </t>
  </si>
  <si>
    <t>Sharis Muñoz</t>
  </si>
  <si>
    <t>Cra 30#32-331 apto 4037 - Portal del Sol, Soledad - Conjunto</t>
  </si>
  <si>
    <t>ver el chat</t>
  </si>
  <si>
    <t>Con mucho amor, Felipe</t>
  </si>
  <si>
    <t>Gorayeb</t>
  </si>
  <si>
    <t>Cra52#79-184 - Casa</t>
  </si>
  <si>
    <t>Con cariño, Camilo</t>
  </si>
  <si>
    <t>Mayerlis</t>
  </si>
  <si>
    <t>Rahsaan</t>
  </si>
  <si>
    <t>Caine</t>
  </si>
  <si>
    <t>Karen Caine</t>
  </si>
  <si>
    <t>Calle 90 #49C-29 - Edificio</t>
  </si>
  <si>
    <t>1× 36 rosas rosadas</t>
  </si>
  <si>
    <t xml:space="preserve">Liz milena Padilla </t>
  </si>
  <si>
    <t>Clle 53 # 19b 05 - Casa</t>
  </si>
  <si>
    <t>Como los tulipanes en primavera, así florece mi amor por ti,Porque amarte es lo más bonito que me ha pasado.
Feliz dia ,mi vida. 💕</t>
  </si>
  <si>
    <t>Jaider barrios</t>
  </si>
  <si>
    <t>TULIPAN ROJO.   MAYERLIS</t>
  </si>
  <si>
    <t>Alejandra Borrero</t>
  </si>
  <si>
    <t>calle 93 #71-117 paseo del parque. apto 806 torre 2 - Conjunto</t>
  </si>
  <si>
    <t xml:space="preserve">Feliz San Valentín. te amo </t>
  </si>
  <si>
    <t>Orlando López</t>
  </si>
  <si>
    <t xml:space="preserve">jose </t>
  </si>
  <si>
    <t>1 rosa roja arregla             blanca</t>
  </si>
  <si>
    <t xml:space="preserve">Yuca </t>
  </si>
  <si>
    <t>El regalo:  Edificio Gallery Cra 56 # 81-98 Apartamento del Edgardo Osorio - Edificio</t>
  </si>
  <si>
    <t>Feliz día de San Valentin Yuquita</t>
  </si>
  <si>
    <t>Con todo su amor…La Pava</t>
  </si>
  <si>
    <t>CRIS</t>
  </si>
  <si>
    <t>SWIGERT</t>
  </si>
  <si>
    <t xml:space="preserve">CRIS </t>
  </si>
  <si>
    <t>TIRENDA - Entrega En Tienda</t>
  </si>
  <si>
    <t>1× Bouquet 6 Rosas | 1× Topper I love You</t>
  </si>
  <si>
    <t>Fuentes</t>
  </si>
  <si>
    <t>Beatriz Crespo</t>
  </si>
  <si>
    <t>Calle 2A numero 20-70, Altamar Caribe. Apto 112, Torre 2</t>
  </si>
  <si>
    <t>❤️</t>
  </si>
  <si>
    <t>Zirene Fayad</t>
  </si>
  <si>
    <t>Samuel Zirene</t>
  </si>
  <si>
    <t>Cra 52 # 84 - 64 - Entrega En Tienda</t>
  </si>
  <si>
    <t>Muñeca hermosa, hoy se cumplen 6 meses desde el día mas feliz de mi vida. Te amo con locura mujer de mi vida entera</t>
  </si>
  <si>
    <t>Tu esposo que te ama</t>
  </si>
  <si>
    <t xml:space="preserve">Jesús David </t>
  </si>
  <si>
    <t>Vélez de la torre</t>
  </si>
  <si>
    <t xml:space="preserve">Jeimy Paola santos </t>
  </si>
  <si>
    <t>Cra 23c #76 -55 los robles casa blanca con rejas - Casa</t>
  </si>
  <si>
    <t>324 4495328</t>
  </si>
  <si>
    <t>Que estas flores abracen tanto tu corazón como tú has abrazado el mío, Feliz san Valentín.</t>
  </si>
  <si>
    <t>Jesu</t>
  </si>
  <si>
    <t>Son sorpresas, se lo pueden dejar a cualquier persona de la casa para que se lo entreguen a ella</t>
  </si>
  <si>
    <t>MARIA</t>
  </si>
  <si>
    <t>ASIS</t>
  </si>
  <si>
    <t>KELLY ASIS</t>
  </si>
  <si>
    <t>CALLE 96 71 37 - Edif. Bora</t>
  </si>
  <si>
    <t>Milan fue más que un regalo, fue parte de nuestra vida y de nuestro amor. Su recuerdo nos acompañará siempre. Todo va a estar bien❤️</t>
  </si>
  <si>
    <t>Claro Miguel</t>
  </si>
  <si>
    <t>Juan Carlos Manzanera</t>
  </si>
  <si>
    <t>El Golf - Edificio</t>
  </si>
  <si>
    <t>PEDIRSELO ANDREA</t>
  </si>
  <si>
    <t>PEDIRSELO A ANDREA</t>
  </si>
  <si>
    <t>SOFÍA YUNEZ</t>
  </si>
  <si>
    <t>Calle 2A#20-56 - Oficina</t>
  </si>
  <si>
    <t>310 7879617</t>
  </si>
  <si>
    <t xml:space="preserve">Contigo, cualquier dia es San Valentín. Y qué mejor manera de celebrarlo que a tu lado en La Arenosa, con carnavales. Ya estoy contando las horas para verte. 
</t>
  </si>
  <si>
    <t>Christian Chapman</t>
  </si>
  <si>
    <t xml:space="preserve">luigi aronna </t>
  </si>
  <si>
    <t xml:space="preserve">Habib </t>
  </si>
  <si>
    <t xml:space="preserve">Eslait </t>
  </si>
  <si>
    <t>Habib Eslait</t>
  </si>
  <si>
    <t>Calle 95 42G-105 - Conjunto Los Alamos casa 5</t>
  </si>
  <si>
    <t xml:space="preserve">Para ti que haces mi días más bonitos sin esfuerzo. Te quiero más de lo que estás rosas pueden demostrar </t>
  </si>
  <si>
    <t>Con mucho amor: Habib</t>
  </si>
  <si>
    <t>MAILLIW</t>
  </si>
  <si>
    <t>Celemin</t>
  </si>
  <si>
    <t>Calle 47#44-152 - Conjunto Parque hoyuelos APTO 101 TORRE B</t>
  </si>
  <si>
    <t>Juan Pablo Celemin</t>
  </si>
  <si>
    <t>Victor Salazar</t>
  </si>
  <si>
    <t>Cra 57#133-170 conjunto lagomar casa 70D - Conjunto</t>
  </si>
  <si>
    <t>1× Bouquet 24 Rosas</t>
  </si>
  <si>
    <t>Stephi</t>
  </si>
  <si>
    <t>Cra 52 # 132 - 167 Conj Altos de Villa Campestre Casa 9 - Conjunto</t>
  </si>
  <si>
    <t>El tiempo pasa, la vida continúa, el dolor se desvanece y todo termina acomodándose; pero el amor verdadero perdura por toda la eternidad.
FÉLIZ DÍA DE SAN VALENTIN.
Sigues siendo el mio.
Te amo.</t>
  </si>
  <si>
    <t>EL CACHAQUITO</t>
  </si>
  <si>
    <t>Fabrizio</t>
  </si>
  <si>
    <t>Armella</t>
  </si>
  <si>
    <t>Calle 93#71-117 EDF Paseo del Parque - APT 501 TORRE 1 - Casa</t>
  </si>
  <si>
    <t>Feliz cumpleaños, mi vida 
Gracias por llenar mi vida de luz y sonrisas
Te amo!</t>
  </si>
  <si>
    <t>Con mucho amor, Fabrizio</t>
  </si>
  <si>
    <t>Sue</t>
  </si>
  <si>
    <t>Salarrayan</t>
  </si>
  <si>
    <t>Gabriela Machado</t>
  </si>
  <si>
    <t>Portal del Genoves, Cl. 1A #25-40. Habitacion 704. Lote D7, Sabanilla Montecarmelo, Barranquilla, Atlántico, Colombia - Edificio</t>
  </si>
  <si>
    <t>Happy Birthday Gaby!!! Ojala la pases muy hermosooo este fin de semana, con muchisimo amor 💖💖 gracias por ser una persona tan especial, por la amistad tan bonita que nos has dado y por ser esa complice para todo 🥹🥹 te queremos demasiado y te esperamos aqui para celebrarte, te extrañamos 🥹💘</t>
  </si>
  <si>
    <t>Con cariño, Andrea Bermeo y Sue Salarrayan</t>
  </si>
  <si>
    <t>Porfavor entregar en el Marriott Barranquilla habitación 704,</t>
  </si>
  <si>
    <t xml:space="preserve">Juan Eduardo </t>
  </si>
  <si>
    <t>Valentina Padron</t>
  </si>
  <si>
    <t>Cra 50 #74-77 Apto 501 Edificio Elvia María</t>
  </si>
  <si>
    <t xml:space="preserve">Hermosa, Hoy es un día especial, como cada uno de los momentos que paso junto a ti. feliz día de san Valentín </t>
  </si>
  <si>
    <t>Con mucho amor Juan Eduardo</t>
  </si>
  <si>
    <t xml:space="preserve">Andrea Merchan </t>
  </si>
  <si>
    <t>Cl. 1D #21-40, palmar de la ciénaga, apto 1804 torre 1 - Edificio</t>
  </si>
  <si>
    <t>304 2197011</t>
  </si>
  <si>
    <t xml:space="preserve">Se que amas las flores y se que todos los días es un buen dia para recibirlas pero que mejor día que amor y amistad </t>
  </si>
  <si>
    <t>Osito</t>
  </si>
  <si>
    <t>Colocar abajo el dibujo de la leona que mande por whatsapp - Tomado x Mailliw</t>
  </si>
  <si>
    <t>Carrera 72 # 91a 100 conjunto Palmeras del parque, apto 529 - Conjunto</t>
  </si>
  <si>
    <t>Flaca, te escribo desde el amor más honesto que vive en mi. Ha pasado el tiempo y no hay un solo día que no piense en ti y en nosotros, he entendido mucho desde aquel día que pediste tiempo, he reconocido mis errores del pasado, mis silencios incómodos y mis fallas, no para justificar mi actuar, sino para crecer desde las cenizas, porque aún cuando sigas dudando de ello, cuando se ama de verdad, no se quiere perder, se quiere mejorar. 
No has un simple capítulo más en mi vida, eres un parte de mí que sigue latiendo fuerte, en especial en aquellos cuando más extraño tu risa, tu sonrisa, tus palabras, tu amor y en especial, la calidez y paz que me hacías sentir cuando estaba a tu lado. 
No te prometo perfección, te prometo compromiso, no te prometo que nunca discutiremos, te prometo que nunca dejaré de intentar resolver las cosas.
Si aún queda un poquito de lo que nos profesamos, danos la oportunidad de materializar con hechos cada una de mis palabras. Estoy aquí, con el corazón abierto, dispuesto a empezar de nuevo, pero esta vez, mejor.</t>
  </si>
  <si>
    <t>Andrés A.</t>
  </si>
  <si>
    <t>Rosas blancas, por favor entregar lo más temprano posible - tomado x Mailliw</t>
  </si>
  <si>
    <t>Yurleys osorio</t>
  </si>
  <si>
    <t>Calle 93 72 71  T4 apto 513 Ed mirador del parque Villa Carolina - Edificio</t>
  </si>
  <si>
    <t xml:space="preserve">Feliz Día de San Valentín mi amor. Estoy tan agradecido por ti y por cada momento que compartimos juntos Haces que cada día sea más brillante y especial. Te amo </t>
  </si>
  <si>
    <t xml:space="preserve">Anabella Martínez </t>
  </si>
  <si>
    <t>Cra 58 # 79- 121 apartamento 1601 A - Edificio Torres Dilugano</t>
  </si>
  <si>
    <t>Feliz dia de San Valentín 
Te Amo</t>
  </si>
  <si>
    <t>Luis Francisco</t>
  </si>
  <si>
    <t>GENERAR FACTURA.  mayerlis</t>
  </si>
  <si>
    <t>Michelle Char</t>
  </si>
  <si>
    <t>Edificio Miro  Cra 57 #79-330 - Casa</t>
  </si>
  <si>
    <t>Mi Main,
No puedo creer que hoy es el día, ese del que algún día me hablaste hace 8 años cuando nos conocimos en el carnaval de Yeya. Me has hecho llorar con cada video, sonreir con cada foto, reír con cada TikTok y aunque me tocó en época matri y no me has sentido tan presente, no hay día que no piense o ore por ti.  
Eres la mejor reina del carnaval que ha tenido Barranquilla, eres el orgullo de todos los que tenemos la fortuna de conocerte de cerca y de todos los que les has tocado el corazón estos últimos 7 meses. Como tú no hay dos, te amo con todo mi corazón, disfruta cada segundo de tu día y sigue brillando con luz propia, como solo tu sabes hacerlo. Shine queen! 
-Cristy Sarabia</t>
  </si>
  <si>
    <t xml:space="preserve">Socarrás </t>
  </si>
  <si>
    <t xml:space="preserve">María Alejandra Pérez Fernández </t>
  </si>
  <si>
    <t>Cra 22 # 1E-127. Torre 13. Apto 408. Conjunto Manglar. Ciudad mallorquín - Conjunto</t>
  </si>
  <si>
    <t xml:space="preserve">Amor feliz día de san Valentín, Luciano y yo te amamos mucho, que sean muchos años a tu lado construyendo esta hermosa familia </t>
  </si>
  <si>
    <t>Con cariño, Andrés</t>
  </si>
  <si>
    <t>Vanessa De LaValle</t>
  </si>
  <si>
    <t>Carrera 64 No.99-100 Edificio Central Park apto 317 - Edificio</t>
  </si>
  <si>
    <t>1× Mini Heart Surtido</t>
  </si>
  <si>
    <t>Feliz Dia Mi Prometida, Que suerte tenerte. Te amo</t>
  </si>
  <si>
    <t>Atentamente, Tu Prometido.</t>
  </si>
  <si>
    <t>MELIZA</t>
  </si>
  <si>
    <t>MUÑOZ</t>
  </si>
  <si>
    <t>meliza muñoz</t>
  </si>
  <si>
    <t>ID 2428361283</t>
  </si>
  <si>
    <t xml:space="preserve">Eiling y lucciana </t>
  </si>
  <si>
    <t>Cra 59 # 81-229 apto 2602 Edif. Venice - Edificio</t>
  </si>
  <si>
    <t>1× Bouquet 36 Rosas | 1× Mini Box Orquidea</t>
  </si>
  <si>
    <t>Chica Cano</t>
  </si>
  <si>
    <t xml:space="preserve">Gabriela machado Gomez </t>
  </si>
  <si>
    <t>Hotel Marriott Barranquilla Habitación 704 - Edificio</t>
  </si>
  <si>
    <t>Querida Graciela, espero estas rosas sean de todo tu agrado. Por medio de la presente demuestro mi amor y plenitud a tu lado. Cada rosa que vez representa el tiempo el cual hemos pasado juntos tanto en las buenas cómo en las malas. Gracias a Dios por permitirnos vivir un año más de tu vida juntos bien añuñidos. Te amo DAME PECHICHE</t>
  </si>
  <si>
    <t>Con cariño Don Juan y El Goldo</t>
  </si>
  <si>
    <t xml:space="preserve">Wilson </t>
  </si>
  <si>
    <t xml:space="preserve">Duran </t>
  </si>
  <si>
    <t xml:space="preserve">Deisy pájaro </t>
  </si>
  <si>
    <t>Apto 602 trr 1 conjunto esmeralda - Conjunto</t>
  </si>
  <si>
    <t>Hoy celebramos cinco años juntos, y no puedo evitar sentirme el hombre más afortunado del mundo. Estos años han estado llenos de momentos inolvidables, risas y aprendizaje mutuo. Gracias por ser no solo mi esposa, sino también la maravillosa madre de nuestro querido Juan Felipe y mi mejor amiga.
Tu amor y apoyo incondicional han sido el pilar de nuestra familia. Cada día a tu lado es un regalo, y estoy agradecido por cada instante que hemos compartido. Estoy emocionado por todo lo que aún nos espera en el futuro.
Te amo más de lo que las palabras pueden expresar. ¡Feliz aniversario de bodas de madera!</t>
  </si>
  <si>
    <t>Wilson Durán</t>
  </si>
  <si>
    <t>Carrera 52# 82-278 Apartamento 303 Pratto 52 - Casa</t>
  </si>
  <si>
    <t>DOS HORTENSIAS.   Mayerlis</t>
  </si>
  <si>
    <t>Diego Torres</t>
  </si>
  <si>
    <t>Cra 25 #64-66 - Casa</t>
  </si>
  <si>
    <t>Para la mujer mas hermosa del mundo, mi novia bella con la que quiero construir un futuro y crecer a su lado. Te amo un mundo entero❤️</t>
  </si>
  <si>
    <t>lewis</t>
  </si>
  <si>
    <t>luis fernando lewis</t>
  </si>
  <si>
    <t xml:space="preserve">PADILLA </t>
  </si>
  <si>
    <t>Andrea Fontalvo</t>
  </si>
  <si>
    <t>Calle 100 #49D-60 casa - Casa</t>
  </si>
  <si>
    <t>Eres mi instante favorito.</t>
  </si>
  <si>
    <t>Cristina Isabel Guerra</t>
  </si>
  <si>
    <t>Ciudad Jardin</t>
  </si>
  <si>
    <t>Carrera 42d1#80A-63  Luxur garden  Apartamento 904 - Edificio</t>
  </si>
  <si>
    <t>Le pones pausa a mi cabeza y a mi corazón también ❤️</t>
  </si>
  <si>
    <t xml:space="preserve">JUAN PABLO </t>
  </si>
  <si>
    <t xml:space="preserve">CHAMORRO </t>
  </si>
  <si>
    <t>JUAN PABLO CHAMORRO</t>
  </si>
  <si>
    <t>BOUQUET X 24 ROSAS</t>
  </si>
  <si>
    <t>Salomé</t>
  </si>
  <si>
    <t>Lucila Torres</t>
  </si>
  <si>
    <t>Calle 110 #49e -86 condominio isabella apto 1504 - Casa</t>
  </si>
  <si>
    <t>Que pases un excelente día, y todas las bendiciones caigan sobre ti. 
Te queremos Lucy, te queremos.</t>
  </si>
  <si>
    <t>De parte de toda la familia: Pedro, Martha, Salo, Isa, Sofi y Kelly</t>
  </si>
  <si>
    <t>ESTEBAN</t>
  </si>
  <si>
    <t>KARA</t>
  </si>
  <si>
    <t>ESTEBAN KARA</t>
  </si>
  <si>
    <t>BOUQUET CON GERBERA ROSADAS,ROSAS ROSADAS,MARGARITAS BLANCAS</t>
  </si>
  <si>
    <t>Calle 30 #25 442 Empresa Bimbo</t>
  </si>
  <si>
    <t>Que estas flores sean solo un pequeño reflejo de lo hermosa que eres y de lo mucho que iluminas mis días.
Gracias por tu amor, tu ternura y por hacer que cada momento contigo sea especial.
Te amo más de lo que estas flores pueden expresar.
Con todo mi corazón,
Juan Camilo</t>
  </si>
  <si>
    <t>Medina Alvarez</t>
  </si>
  <si>
    <t xml:space="preserve">Juan Diego Medina Alvarez </t>
  </si>
  <si>
    <t>Cra73a #88-79 - Casa</t>
  </si>
  <si>
    <t>Maria Patricia</t>
  </si>
  <si>
    <t>Pabón Ternera</t>
  </si>
  <si>
    <t>Liney Martinez</t>
  </si>
  <si>
    <t>Calle 93 # 42C-123 Edi. Tabor Plaza Apto 608 - Edificio</t>
  </si>
  <si>
    <t>1× Flora Box Sembrado 12 Rosas | 1× Ferrero Rocher 8 und</t>
  </si>
  <si>
    <t>SE ENCUENTRA EN EL CHAT DE WHATSAPP DEL SAMSUNG</t>
  </si>
  <si>
    <t>Iván Edo Caballero</t>
  </si>
  <si>
    <t>1143448367</t>
  </si>
  <si>
    <t xml:space="preserve">caine </t>
  </si>
  <si>
    <t xml:space="preserve">karen caine </t>
  </si>
  <si>
    <t>Calle 90#49C-29 apto 508, edificio biel - Edificio</t>
  </si>
  <si>
    <t>gotas.  mayerlis</t>
  </si>
  <si>
    <t>Giuliano</t>
  </si>
  <si>
    <t>Natalia Morales</t>
  </si>
  <si>
    <t>CL 87 # 75 - 06, Casa en Esquina - Casa</t>
  </si>
  <si>
    <t>I got you Cher</t>
  </si>
  <si>
    <t>Gordo</t>
  </si>
  <si>
    <t xml:space="preserve">maria carolina </t>
  </si>
  <si>
    <t xml:space="preserve">navarro </t>
  </si>
  <si>
    <t>Daniel Jesus</t>
  </si>
  <si>
    <t>Parra Manotas</t>
  </si>
  <si>
    <t>Cra 29 #71-26 apt 1c - Casa</t>
  </si>
  <si>
    <t>Feliz primer mes juntos y feliz 14 de febrero. Gracias por este amor tan bonito. Que sea el primero de muchos.</t>
  </si>
  <si>
    <t>Con cariño Danonino</t>
  </si>
  <si>
    <t>Si se puede porfavor quitar las flores moradas que aparecen en la imagen para este pedido.   Mayerlis</t>
  </si>
  <si>
    <t xml:space="preserve">Juan Alejandro </t>
  </si>
  <si>
    <t xml:space="preserve">Arias Gallego </t>
  </si>
  <si>
    <t xml:space="preserve">Carlos Duque </t>
  </si>
  <si>
    <t>Cra 45#84-29 Edif. Hispana Real - Edificio</t>
  </si>
  <si>
    <t>1× Mini Box Rosas Rojas | 1× Chocolates Kisses 10 Und</t>
  </si>
  <si>
    <t xml:space="preserve">San Valentín me dio la excusa perfecta para enviarte flores. </t>
  </si>
  <si>
    <t>Con cariño, Alejo</t>
  </si>
  <si>
    <t xml:space="preserve">Diego Alejandro </t>
  </si>
  <si>
    <t>Quintero Zuluaga</t>
  </si>
  <si>
    <t>Ximena García</t>
  </si>
  <si>
    <t>Cll 88#44-73 edificio Villa Fanny - Casa</t>
  </si>
  <si>
    <t xml:space="preserve"> Feliz cumpleaños niña bonita siempre será un lindo recuerdo en mi vida y alma</t>
  </si>
  <si>
    <t>Diego Quintero</t>
  </si>
  <si>
    <t>Yuliana</t>
  </si>
  <si>
    <t>ONALCY SUAREZ</t>
  </si>
  <si>
    <t>Cra 53 96 -24 Apto 2B Edificio Sangregori - Edificio</t>
  </si>
  <si>
    <t>Para la más hermosa y especial de todas, feliz cumpleaños.
¡GRACIAS POR EXISTIR!</t>
  </si>
  <si>
    <t>Con amor... Tus hijas.</t>
  </si>
  <si>
    <t>Pelaez Mira</t>
  </si>
  <si>
    <t>Verónica Gutiérrez</t>
  </si>
  <si>
    <t>Carrera 52b # 94-114, Triana, Casa 9 - Conjunto</t>
  </si>
  <si>
    <t>Feliz San Valentin</t>
  </si>
  <si>
    <t>Santi</t>
  </si>
  <si>
    <t xml:space="preserve">restrepo </t>
  </si>
  <si>
    <t xml:space="preserve">jose restrepo </t>
  </si>
  <si>
    <t>Cra64c#91-217 apto 1B altos de riomar edificio parque Baviera - Edificio</t>
  </si>
  <si>
    <t xml:space="preserve">Mi reina, solo quiero que sepas que pienso en ti todo el tiempo. Eres muy importante para mí, y en este 14 de febrero quería que lo sintieras aún más. Te lo dejo con todo mi cariño. Att: Bryan❤️
</t>
  </si>
  <si>
    <t>ver foto del arreglo. mayerlis</t>
  </si>
  <si>
    <t>vergara</t>
  </si>
  <si>
    <t>Sky 96 Calle 96a # 64b - 88  Apto 1211 - Edificio</t>
  </si>
  <si>
    <t>1× Flora Box Redonda Rosas y Claveles</t>
  </si>
  <si>
    <t>JM ENDOSCOPY SAS</t>
  </si>
  <si>
    <t>Nathalie Pérez</t>
  </si>
  <si>
    <t>Calle 85 # 50 -159 of 705 - Oficina</t>
  </si>
  <si>
    <t>Con cariño Jesús Pérez</t>
  </si>
  <si>
    <t>ROSAS ROSADAS</t>
  </si>
  <si>
    <t>RECOGE EN TIENDA - Entrega En Tienda</t>
  </si>
  <si>
    <t>jose osorio</t>
  </si>
  <si>
    <t>presencial - Entrega En Tienda</t>
  </si>
  <si>
    <t>Calle 89 # 40a 46 - Casa</t>
  </si>
  <si>
    <t>En un mundo lleno de caminos, el mío siempre me llevará a ti, te amo♥️</t>
  </si>
  <si>
    <t xml:space="preserve">Jesus </t>
  </si>
  <si>
    <t xml:space="preserve">Cuello </t>
  </si>
  <si>
    <t xml:space="preserve">Carolina Feria </t>
  </si>
  <si>
    <t>Conjunto Residencial Plazuela del Mar Uno, Calle 3B, Transversal 3B #275, Barranquilla, 081007, CO - Conjunto</t>
  </si>
  <si>
    <t>Aquí no celebramos esa vaina pero mi mujer nunca será espectadora. 
Feliz día, amor mío.</t>
  </si>
  <si>
    <t>Jesús.</t>
  </si>
  <si>
    <t>Amaury</t>
  </si>
  <si>
    <t>Amaris</t>
  </si>
  <si>
    <t xml:space="preserve">Betsy Rodriguez </t>
  </si>
  <si>
    <t>Carrera 30A # 1B - 245 Torre 2 Apto 1207 Edificio Paradise Living - Conjunto</t>
  </si>
  <si>
    <t>Amada Esposa
Este San Valentín se siente distinto… más profundo, más intenso, más nuestro. No solo celebro a la mujer increíble que eres, sino también en la madre maravillosa en la que te estás convirtiendo.
Verte vivir este embarazo me ha hecho admirarte de una forma que no sabía que era posible. Tu fortaleza, tu ternura, tu paciencia… todo en ti me enamora otra vez, pero ahora con una dimensión nueva. Estás creando vida, nuestro pequeño milagro, y lo haces con una luz que me deja sin palabras.
Gracias por regalarme este capítulo tan mágico. Gracias por tu amor, por tu entrega y por hacer de nuestro hogar el lugar más cálido del mundo. Prometo cuidarte, sostenerte y amarte en cada etapa: en los días fáciles, en los cansados, en las madrugadas que vendrán y en todos los sueños que estamos construyendo juntos.
Hoy te amo como siempre… pero también como nunca.
Eres mi presente, mi futuro y el corazón de nuestra familia.
Con todo mi amor</t>
  </si>
  <si>
    <t>Catalina</t>
  </si>
  <si>
    <t>Cra 59 # 79 - 225 - Casa</t>
  </si>
  <si>
    <t>Felicitaciones, te reee sobrasteee. Barranquilla te aclama de reina!! Te AMAMOS, Gracias por TODO.
Cata Abello, Titi, Andre y Carli</t>
  </si>
  <si>
    <t>Cata Abello, Titi, Andre y Carli</t>
  </si>
  <si>
    <t>martha CHAJIN</t>
  </si>
  <si>
    <t>CRA 53#82-202 APTO 1C - Edificio</t>
  </si>
  <si>
    <t>Tony</t>
  </si>
  <si>
    <t>McLean</t>
  </si>
  <si>
    <t>Veronica De La Peña</t>
  </si>
  <si>
    <t>Cra 52 # 132-167 - Casa</t>
  </si>
  <si>
    <t xml:space="preserve">Feliz día de amor y amistad Mamá </t>
  </si>
  <si>
    <t>Con amor - Brian, Claire y Tony</t>
  </si>
  <si>
    <t>arreglo del catalogo gral / tomado por MAILLIW</t>
  </si>
  <si>
    <t xml:space="preserve">Maria teresa </t>
  </si>
  <si>
    <t>De moya charris</t>
  </si>
  <si>
    <t xml:space="preserve">María Teresa </t>
  </si>
  <si>
    <t>Cra 7b1#33-40 - Casa</t>
  </si>
  <si>
    <t>La distancia no me va a detener para demostrarte cuánto te quiero, con amor, tu esposo Carlos</t>
  </si>
  <si>
    <t>Ciro fernando</t>
  </si>
  <si>
    <t xml:space="preserve">Estrada Daza </t>
  </si>
  <si>
    <t xml:space="preserve">Saitama </t>
  </si>
  <si>
    <t>Apto 503 - Edificio</t>
  </si>
  <si>
    <t>Te quiero mucho niña bonita 🤍</t>
  </si>
  <si>
    <t>Admirador secreto</t>
  </si>
  <si>
    <t>Eduardo</t>
  </si>
  <si>
    <t xml:space="preserve">Paula Fernández </t>
  </si>
  <si>
    <t>Transversal 43 #100-50, Apartamento 526 Torre 7, Barranquilla, Atlantico, 081008, Colombia - Edificio</t>
  </si>
  <si>
    <t>Si hay alguien que se merece todas las flores, todas las palabras hermosas, todo el amor que este universo nos pueda ofrecer… Esa eres tú Paula, hoy, mañana y siempre! ❤️
feliz 14 de febrero 🤓</t>
  </si>
  <si>
    <t>Desde el corazón :)</t>
  </si>
  <si>
    <t>Cuiden mucho que no sean súper tóxicas las flores para los gatos! mayerlis</t>
  </si>
  <si>
    <t xml:space="preserve">Julio Mario </t>
  </si>
  <si>
    <t>Isabella salcedo</t>
  </si>
  <si>
    <t>Cl.51#43B-29  nuvoli 53 torre apto 621 - Edificio</t>
  </si>
  <si>
    <t>Te mando este detalle no para enmendar mi error porque sé que es algo que no es así de fácil, sino para demostrarte lo mucho que me importas y lo mucho que te amo, eres mi vida completa y jamás quisiera perderte 🩵.</t>
  </si>
  <si>
    <t>Julio Alvarez</t>
  </si>
  <si>
    <t>mayerlis ENVIAR FOTO</t>
  </si>
  <si>
    <t>Jarrett</t>
  </si>
  <si>
    <t>Funderburk</t>
  </si>
  <si>
    <t xml:space="preserve">Ghia Carrasquilla </t>
  </si>
  <si>
    <t>Carrera 43B # 112-89 Conjunto Zafiro  Torre 4 apto 102 - Casa</t>
  </si>
  <si>
    <t>Ghia 
50 flowers for 5 beautiful years with you. Every year with you has been fuller, softer, and more powerful than the last. Thank you for growing with me, loving me, and building this life together.
 I choose you — always. 
Happy Valentine's Day ❤️ Love, 
Jarrett</t>
  </si>
  <si>
    <t>martínez</t>
  </si>
  <si>
    <t>camilo martínez</t>
  </si>
  <si>
    <t>BOUQUET GERBERAS BLANCAS 6,GYPSO Y CLAVELLINA ROSADA CANCELA 50,000 RESTA 30,000</t>
  </si>
  <si>
    <t>duran</t>
  </si>
  <si>
    <t>daniel duran</t>
  </si>
  <si>
    <t>0000 - Entrega En Tienda</t>
  </si>
  <si>
    <t>saldo a favor $50000 cobrado $70000</t>
  </si>
  <si>
    <t>deimer</t>
  </si>
  <si>
    <t>marin</t>
  </si>
  <si>
    <t>maria alexandra jimenez</t>
  </si>
  <si>
    <t>cr 52#86-97 edificio maranata apto 803 - Edificio</t>
  </si>
  <si>
    <t>1× Flora Box Mediana Topiario | 1× Mini Box Hortensias y Mini Rosa</t>
  </si>
  <si>
    <t xml:space="preserve">Leyter </t>
  </si>
  <si>
    <t>Cra 11#36b - 101 la unión - Casa</t>
  </si>
  <si>
    <t>324 2343547</t>
  </si>
  <si>
    <t xml:space="preserve">Siempre hay una primera vez, con mucho cariño. </t>
  </si>
  <si>
    <t>Con cariño Leyter</t>
  </si>
  <si>
    <t xml:space="preserve">Danna Michelle Iglesias </t>
  </si>
  <si>
    <t>Cra 52#70-201 edificio manzanares 306 - Edificio</t>
  </si>
  <si>
    <t xml:space="preserve">Feliz san Valentín </t>
  </si>
  <si>
    <t>CC</t>
  </si>
  <si>
    <t xml:space="preserve">Valest Hernández </t>
  </si>
  <si>
    <t>Jharyt belissa garcia</t>
  </si>
  <si>
    <t>cr 42d 80b 69 - Casa</t>
  </si>
  <si>
    <t xml:space="preserve">"Te amare en esta vida y en la otra wapulsita" </t>
  </si>
  <si>
    <t xml:space="preserve">Sergio </t>
  </si>
  <si>
    <t xml:space="preserve">Reding Samano </t>
  </si>
  <si>
    <t xml:space="preserve">Matilda Cantillo </t>
  </si>
  <si>
    <t>Tv. 57#99-180 edificio select - Edificio</t>
  </si>
  <si>
    <t>Bonita feliz San Valentín espero te gusten tus flores te extraño y espero ya vernos pronto espero te gusten bonita!!!</t>
  </si>
  <si>
    <t>Con Cariño Sergio Reding</t>
  </si>
  <si>
    <t>Dejar en portería para Matilda Cantillo que se entreguen por favor</t>
  </si>
  <si>
    <t xml:space="preserve">cindy </t>
  </si>
  <si>
    <t>rodriguez</t>
  </si>
  <si>
    <t>cindy rodriguez</t>
  </si>
  <si>
    <t>Ariza</t>
  </si>
  <si>
    <t>Cra 41 f #83-18 edificio Horizontes Apto 2c - Edificio</t>
  </si>
  <si>
    <t>No permitas que nadie te haga ser espectador, porque yo, con lo poco que tenía, daba todo por ti. Como te decía, verte feliz es mi recompensa
“Ni ti pingis in isis di vdd”
14/02/2026</t>
  </si>
  <si>
    <t>Att: La L ツ♡ϟ△</t>
  </si>
  <si>
    <t>Por favor podrían ayudarme con la entrega del pedido en horas de la mañana, sé que hay muchos pedidos por la fecha pero me gustaría que la persona vea las flores antes de ir hacer sus labores, se los agradecería un montón.</t>
  </si>
  <si>
    <t>Martina Yorde</t>
  </si>
  <si>
    <t>Cra 59 No 81 229 - Entrega En Tienda</t>
  </si>
  <si>
    <t>Happy Valentines! Te amo❤️</t>
  </si>
  <si>
    <t>Isaac Salcedo</t>
  </si>
  <si>
    <t xml:space="preserve">Contra entrega </t>
  </si>
  <si>
    <t>Carrera 70#91-35 - Entrega En Tienda</t>
  </si>
  <si>
    <t xml:space="preserve">Eres la casualidad que se volvió lo mas lindo que me ha pasado, y te elegiré a ti una y mil veces, por que mi corazón es tuyo </t>
  </si>
  <si>
    <t>A.N</t>
  </si>
  <si>
    <t>Geberth</t>
  </si>
  <si>
    <t>Tamayo Martinez</t>
  </si>
  <si>
    <t>ADRIANNA CATANZARO</t>
  </si>
  <si>
    <t>CALLE 81B #64-10 - Edificio</t>
  </si>
  <si>
    <t>Happy Valentines Day! to my one and only. 
te amo,</t>
  </si>
  <si>
    <t xml:space="preserve">Pablo Esteban </t>
  </si>
  <si>
    <t xml:space="preserve">Sánchez Castro </t>
  </si>
  <si>
    <t xml:space="preserve">Natalia Vega Sánchez </t>
  </si>
  <si>
    <t>Palmar de la ciénaga Torre 5 1er piso apto             - Edificio</t>
  </si>
  <si>
    <t>Dicen que amar a veces duele en silencio… pero incluso en la oscuridad, lo que siento por ti sigue brillando. Feliz San Valentín. Ojalá estas flores hablen por mí.</t>
  </si>
  <si>
    <t>Con cariño, para Nati.</t>
  </si>
  <si>
    <t xml:space="preserve">Sela </t>
  </si>
  <si>
    <t>An</t>
  </si>
  <si>
    <t xml:space="preserve">Jaireth Arrieta </t>
  </si>
  <si>
    <t>CRA 42G 82 127 - Apto 602 - Edificio</t>
  </si>
  <si>
    <t>Happy Valentine’s Day mi amor, love you</t>
  </si>
  <si>
    <t>Sela</t>
  </si>
  <si>
    <t>cristian</t>
  </si>
  <si>
    <t>crietian cardona</t>
  </si>
  <si>
    <t>Cra 44b #99c-80 Torres de Montreal Torre 4 apto 414 - Conjunto</t>
  </si>
  <si>
    <t>310 8241040</t>
  </si>
  <si>
    <t>1/♾️</t>
  </si>
  <si>
    <t>Estefanía Sierra</t>
  </si>
  <si>
    <t>Cra 52C #94-70 apto 601 - Edificio</t>
  </si>
  <si>
    <t>Gracias por ser mi San Valentín, te amo❤️</t>
  </si>
  <si>
    <t>Tu novio</t>
  </si>
  <si>
    <t>Iveth</t>
  </si>
  <si>
    <t>Fernandez de Castro</t>
  </si>
  <si>
    <t xml:space="preserve">Nathalia Torres </t>
  </si>
  <si>
    <t>Calle 104# 53-49 apto 1105 - Edificio</t>
  </si>
  <si>
    <t>Nathito, Pablo, Manu, Vale, Muchas gracias por recibirnos siempre con tanto cariño. Los queremos mucho</t>
  </si>
  <si>
    <t>Con mucho cariño, Iveth y Juan Pablo</t>
  </si>
  <si>
    <t>Brahian</t>
  </si>
  <si>
    <t>Ruiz muñeton</t>
  </si>
  <si>
    <t xml:space="preserve">Melany Agudelo </t>
  </si>
  <si>
    <t>Calle 80#47-26 - Casa</t>
  </si>
  <si>
    <t xml:space="preserve"> 324 2458184</t>
  </si>
  <si>
    <t>A veces me pregunto cómo cojones puede ser esto
Como puede ser que sienta con tan solo un texto
Sueño con tus besos tu mirada mi deseo
De tenerte entre mis brazos y decirte que te quiero Hoy me he levantado y me he encontrado tus buenos días
Y he pensado en tus mensajes buscando tu compañía
Yo que a mí me prometía que no te conocería
Y sin saber nada de tu vida te metiste en la mía gracia soor tu mensajes de cada día te deseo un hermoso día y nunca desaparecer de tu días quiero se el hombre que te acompañe en cada una de tus sonrisas</t>
  </si>
  <si>
    <t>Con mucho amor y ternura tu MINI🙈</t>
  </si>
  <si>
    <t>Chaman</t>
  </si>
  <si>
    <t>Ana Arciniegas</t>
  </si>
  <si>
    <t>Calle 81 # 64-20 Edif. Arrecife - Edificio</t>
  </si>
  <si>
    <t xml:space="preserve">Que seas mi San Valentín el resto de mi vida.
</t>
  </si>
  <si>
    <t>Casa</t>
  </si>
  <si>
    <t>Cra 65 # 99-20 - Edificio</t>
  </si>
  <si>
    <t>4× Mini Box Rosas Rojas</t>
  </si>
  <si>
    <t>Matheo</t>
  </si>
  <si>
    <t>Trigos</t>
  </si>
  <si>
    <t>Matheo Trigos</t>
  </si>
  <si>
    <t>carrera 50 # 101 - 49 - Casa</t>
  </si>
  <si>
    <t>Nuestro primer San Valentín, te quiero muchísimo ❤️</t>
  </si>
  <si>
    <t>Con cariño, Matheo</t>
  </si>
  <si>
    <t>Montejo Torres</t>
  </si>
  <si>
    <t>Orietta Castilla</t>
  </si>
  <si>
    <t>Cra 52 B#100-334 casa 56 - Conjunto</t>
  </si>
  <si>
    <t>Amor, que este día sea el momento propicio para rendirte un sentido homenaje por el hermoso ser humano que  eres como esposa y madre. Te amo por ser tan especial y amorosa; gracias por acompañarme en este camino de la vida de construir una familia. Te amo inmensamente, con todo mi amor, tuyo</t>
  </si>
  <si>
    <t>Ojalá entregar en hora de la mañana, gracias</t>
  </si>
  <si>
    <t xml:space="preserve">Massimo </t>
  </si>
  <si>
    <t>Gaby Carreño</t>
  </si>
  <si>
    <t>Calle 86 # 42B1 - 199 - Casa   3 piso</t>
  </si>
  <si>
    <t>‪+57 300 4674710‬</t>
  </si>
  <si>
    <t>1× Mini Heart Rosas | 1× Ferrero Rocher 8 und | 1× Chocolates Kisses 10 Und</t>
  </si>
  <si>
    <t>😘</t>
  </si>
  <si>
    <t xml:space="preserve">Ericka </t>
  </si>
  <si>
    <t>erika palacio</t>
  </si>
  <si>
    <t>cra 42 B # 83-82 - Edificio</t>
  </si>
  <si>
    <t>Vida Mia  ❤️
Aunque hoy la distancia nos separe, quiero que estas flores lleven hasta ti todo lo que mi corazón guarda por nosotros.
Happy Valentine's Day.
- GR</t>
  </si>
  <si>
    <t>Jabib Barake</t>
  </si>
  <si>
    <t xml:space="preserve">Abraham Jabib </t>
  </si>
  <si>
    <t>Cra 64b #96-119 apto 2E - Edificio</t>
  </si>
  <si>
    <t>Te amaré hasta que el 14 se vuelva biciesto</t>
  </si>
  <si>
    <t>Con amor ab</t>
  </si>
  <si>
    <t>Beky</t>
  </si>
  <si>
    <t>Margarita Cadavid</t>
  </si>
  <si>
    <t>Transversal 44 #102-72 torre 1 apt 701 - Edificio</t>
  </si>
  <si>
    <t>Feliz día de san Valentín , siempre estás presente en mi corazón , desde que te conocí mi vida tiene mas color . Gracias por estar conmigo 
Te quiero Juan David</t>
  </si>
  <si>
    <t>Con mucho amor Juan David Barrera</t>
  </si>
  <si>
    <t>Nando</t>
  </si>
  <si>
    <t>Danna Perez</t>
  </si>
  <si>
    <t>Las moras</t>
  </si>
  <si>
    <t>Carrera 24c #60B-45 - Casa</t>
  </si>
  <si>
    <t>Feliz día de San Valentín, amor mío. Gracias por compartir tu vida junto a la mía, eres mi alegría y mi motivación a pesar de la distancia.
Te amo muchísimo!</t>
  </si>
  <si>
    <t>Con amor tu Arquitecto favorito</t>
  </si>
  <si>
    <t xml:space="preserve">Gabriela García Ricardo </t>
  </si>
  <si>
    <t>Carrera 57 # 99-196 - Casa</t>
  </si>
  <si>
    <t xml:space="preserve">Te amo mucho cielito linda, pronto a tu lado. </t>
  </si>
  <si>
    <t>Andrea R.S.</t>
  </si>
  <si>
    <t>Hurtado</t>
  </si>
  <si>
    <t xml:space="preserve">Wendy molina </t>
  </si>
  <si>
    <t>Cl 72b cr24c -58 apto 01 - Casa</t>
  </si>
  <si>
    <t>Por qué mereces celebrar nuestro amor hoy y todos los días. Hoy quiero recordarte que eres mi mayor tesoro. Te amo
Esposa</t>
  </si>
  <si>
    <t>Daniel Hurtado</t>
  </si>
  <si>
    <t>Su teléfono sólo tiene whatsapp ya que es del extranjero. Dejo el teléfono de un familiar de la misma casa: 3024288729 ludis torres, quien le puede recibir el detalle por ella.</t>
  </si>
  <si>
    <t>Eliécer</t>
  </si>
  <si>
    <t>Avilez Barros</t>
  </si>
  <si>
    <t>Eliécer Avilez Barros</t>
  </si>
  <si>
    <t>BASE DE CERÁMICAS CORAZONES SURTIDO</t>
  </si>
  <si>
    <t>Mireya</t>
  </si>
  <si>
    <t>Velez</t>
  </si>
  <si>
    <t>Valentina Rodriguez</t>
  </si>
  <si>
    <t>Cra 58 no 81-35 edificio Grattacielo apto 26 - Edificio</t>
  </si>
  <si>
    <t>Juan Pablo De Armas</t>
  </si>
  <si>
    <t xml:space="preserve">Cabrales Vernaza </t>
  </si>
  <si>
    <t xml:space="preserve">  Cra 58 # 81 - 110  Edificio golf 58 apto 1102</t>
  </si>
  <si>
    <t>Apto 1102 edificio Golf - Conjunto</t>
  </si>
  <si>
    <t>Grethel mi Asesora Floral
Que tengas un feliz dia y que esta amistad perdure.
Te quedo debiendo otra vez el carambuco de suero</t>
  </si>
  <si>
    <t>Con mucho cariño de  mitad cachaco</t>
  </si>
  <si>
    <t>porras</t>
  </si>
  <si>
    <t>paola porras</t>
  </si>
  <si>
    <t>Bryan Diaz</t>
  </si>
  <si>
    <t>fitz</t>
  </si>
  <si>
    <t>fitz tirado</t>
  </si>
  <si>
    <t>ID 2428451207</t>
  </si>
  <si>
    <t>Real</t>
  </si>
  <si>
    <t>ID 2427690318</t>
  </si>
  <si>
    <t>Nataly</t>
  </si>
  <si>
    <t>Izah</t>
  </si>
  <si>
    <t>Corregimiento Eduardo Santos</t>
  </si>
  <si>
    <t>Cra. 26 # 4-56 - Casa</t>
  </si>
  <si>
    <t>1× Ferrero Rocher 8 und | 1× Topper I love You | 1× Canasto 24 Rosas + Orquideas</t>
  </si>
  <si>
    <t>Uwu&lt;3</t>
  </si>
  <si>
    <t>N.</t>
  </si>
  <si>
    <t xml:space="preserve">Kenya </t>
  </si>
  <si>
    <t>Ochoa Bedoya</t>
  </si>
  <si>
    <t>angelica Guzmán</t>
  </si>
  <si>
    <t>Cra 65# 84-145 Apto 4F Edificio victoria Plaza - Edificio</t>
  </si>
  <si>
    <t>Feliz día mi princesa</t>
  </si>
  <si>
    <t>Calle 99 # 56-41 Edificio Palm avenue apto 502 - Edificio</t>
  </si>
  <si>
    <t>1× Flora Mini Plus Box Redonda | 1× Topper Welcome Baby</t>
  </si>
  <si>
    <t>¡Bienvenida, princesa hermosa!
Tu llegada es una gran bendición que llenará de mucho más amor y alegría a todos los que te esperábamos. No podemos estar más felices y emocionadas por conocerte. 
Familia. Los acompañamos desde la distancia y les mandamos los mejores deseos para esta nueva etapa. 
Los amamos. 
Siempre con ustedes.
Titi Andre y Titi Ali 🤍</t>
  </si>
  <si>
    <t xml:space="preserve">Hilary Sandoval </t>
  </si>
  <si>
    <t>Cra 34#24-47 - Casa</t>
  </si>
  <si>
    <t>300 7363442</t>
  </si>
  <si>
    <t>Es un regalo sorpresa, no le digan a la destinataria mi identidad.</t>
  </si>
  <si>
    <t>VALENTINA</t>
  </si>
  <si>
    <t>ARAUJO</t>
  </si>
  <si>
    <t>VALENTINA ARAUJO</t>
  </si>
  <si>
    <t>1× Canasto Surtido con Rosas</t>
  </si>
  <si>
    <t>Johan</t>
  </si>
  <si>
    <t>Serrano Millan</t>
  </si>
  <si>
    <t xml:space="preserve">Laura y salomé </t>
  </si>
  <si>
    <t>Cra 52 # 132-40 - Edificio</t>
  </si>
  <si>
    <t>1× Mini Box Orquidea | 1× Bouquet 36 Rosas</t>
  </si>
  <si>
    <t>Feliz san valentin mi amor! Te amo.</t>
  </si>
  <si>
    <t>Su esposo</t>
  </si>
  <si>
    <t>MARIA CRISTINA</t>
  </si>
  <si>
    <t>PEÑA</t>
  </si>
  <si>
    <t>MARIA CRISTINA PEÑA</t>
  </si>
  <si>
    <t>1× Bouquet 6 Rosas Y ESTRELLA DE BELEN UN PAQUETE</t>
  </si>
  <si>
    <t>SERÍA EN TOTAL 100000</t>
  </si>
  <si>
    <t xml:space="preserve"> cadena</t>
  </si>
  <si>
    <t>andres cadena</t>
  </si>
  <si>
    <t>2× Flora Box Solitario Rosa | 1× Mini Box Orquidea</t>
  </si>
  <si>
    <t>ID de la orden 2428733689 entregado</t>
  </si>
  <si>
    <t xml:space="preserve">luna </t>
  </si>
  <si>
    <t>acevedo</t>
  </si>
  <si>
    <t>luna acevedo</t>
  </si>
  <si>
    <t>1× Flora Box Solitario Rosa | 1× Corazón Mini Surtido</t>
  </si>
  <si>
    <t>ID de la orden
2428740544</t>
  </si>
  <si>
    <t xml:space="preserve">JOSE </t>
  </si>
  <si>
    <t xml:space="preserve">VIZCAINO </t>
  </si>
  <si>
    <t>JOSE VIZCAINO</t>
  </si>
  <si>
    <t>310 7217947</t>
  </si>
  <si>
    <t>MINI BOX ORQUIDEA EN BOUQUET.  mayerlis</t>
  </si>
  <si>
    <t>frank</t>
  </si>
  <si>
    <t>lora</t>
  </si>
  <si>
    <t>Luisa Pretel</t>
  </si>
  <si>
    <t>Transversal 44 #104-30 Barranquilla conjunto residencial Florencia torre 1 apartamento 101 - Conjunto</t>
  </si>
  <si>
    <t>De: FL para: Luchy. 
Sé que estás sonriendo como la primera vez, guarda una risa para cuando te vea. Feliz día mi chinche consentida.</t>
  </si>
  <si>
    <t>HECTOR</t>
  </si>
  <si>
    <t>FARFAN</t>
  </si>
  <si>
    <t>HECTOR FARFAN</t>
  </si>
  <si>
    <t>Palmera</t>
  </si>
  <si>
    <t xml:space="preserve">Sofía Torres </t>
  </si>
  <si>
    <t>Cra 10 #33-02 - Casa</t>
  </si>
  <si>
    <t>Feliz San Valentín mi amor hermosa
Qué bonito ha sido coincidir en la vida contigo. Te amo</t>
  </si>
  <si>
    <t>Con mucho amor</t>
  </si>
  <si>
    <t xml:space="preserve">Buitriago </t>
  </si>
  <si>
    <t xml:space="preserve">Abbib Rondon </t>
  </si>
  <si>
    <t>Cr  22 Calle 1e-86 conjunto amore al lado de esperanza ciudad mallorquin - Conjunto</t>
  </si>
  <si>
    <t xml:space="preserve">Te amo mucho mi ling ling </t>
  </si>
  <si>
    <t xml:space="preserve">Gyna paola vicioso Yanes </t>
  </si>
  <si>
    <t>Calle 75b 41 87 torre 5 apt 318 - Edificio</t>
  </si>
  <si>
    <t>Happy valentine, mi amor!!</t>
  </si>
  <si>
    <t xml:space="preserve">orozco </t>
  </si>
  <si>
    <t>melissa orozco</t>
  </si>
  <si>
    <t>Diaz Tatis</t>
  </si>
  <si>
    <t>Carrera 65 # 99 - 109 - Edificio</t>
  </si>
  <si>
    <t>Para mi mayor apoyo y cómplice favorita de aventuras, cafés, panecitos y todo lo demás. Te amo.</t>
  </si>
  <si>
    <t xml:space="preserve">gilberto </t>
  </si>
  <si>
    <t xml:space="preserve">mora </t>
  </si>
  <si>
    <t>gilberto mora</t>
  </si>
  <si>
    <t xml:space="preserve">felipe </t>
  </si>
  <si>
    <t>raoppi</t>
  </si>
  <si>
    <t>felipe raoppi</t>
  </si>
  <si>
    <t xml:space="preserve">Ariza </t>
  </si>
  <si>
    <t xml:space="preserve"> Natalia de La Rosa </t>
  </si>
  <si>
    <t>calle 63 # 24-91   casa de dos piso de balcón azul, rejas blancas - Casa</t>
  </si>
  <si>
    <t>300 6815833</t>
  </si>
  <si>
    <t xml:space="preserve">feliz día de san Valentín, te amo princesa 
</t>
  </si>
  <si>
    <t>casa de dos piso de balcón azul, rejas blancas - Casa</t>
  </si>
  <si>
    <t>Maikel</t>
  </si>
  <si>
    <t>Grajales</t>
  </si>
  <si>
    <t>Leidy Grajales</t>
  </si>
  <si>
    <t>Calle 1d # 21 - 55 Conjunto Maui apto 1538 torre 5 - Edificio</t>
  </si>
  <si>
    <t>1× Bouquet 24 Rosas | 1× Bouquet 12 Rosas</t>
  </si>
  <si>
    <t>Deseándoles un dia muy especial, las amo mucho!</t>
  </si>
  <si>
    <t>Negro</t>
  </si>
  <si>
    <t>Juan Felipe</t>
  </si>
  <si>
    <t>De leon Garrido</t>
  </si>
  <si>
    <t xml:space="preserve">Isabella revollo </t>
  </si>
  <si>
    <t>Edificio Brizza Cl. 100 # 47-14, Riomar, Barranquilla, Atlántico Apartamento 402 - Edificio</t>
  </si>
  <si>
    <t>No somos amigos ni novios, pero te amo de una manera única y te mereces esto 💗💗</t>
  </si>
  <si>
    <t>Tu sabes quién soy</t>
  </si>
  <si>
    <t>Hagan lo lo mas hermoso posible.  no decir quien lo envio.   mayerlis</t>
  </si>
  <si>
    <t>Linda Nicoll Rodriguez</t>
  </si>
  <si>
    <t>Calle 1D # 22 - 24, Ciudad Mallorquín - Conjunto</t>
  </si>
  <si>
    <t>1× Flora Box Mediana Topiario | 1× Ferrero Rocher 8 und</t>
  </si>
  <si>
    <t>Cra 72 # 86 148 - Casa</t>
  </si>
  <si>
    <t xml:space="preserve"> (300) 114-6739</t>
  </si>
  <si>
    <t>Amor, sé que hoy no es un san Valentín cualquiera, pero quiero que sientas mi abrazo más fuerte que nunca. No estás sola, estoy contigo en todo. Te amo</t>
  </si>
  <si>
    <t>HERNANDEZ</t>
  </si>
  <si>
    <t>Paola Martinez-Villalba</t>
  </si>
  <si>
    <t>CALLE 81B # 64 - 10, 304 - Edificio</t>
  </si>
  <si>
    <t>Mensaje: Mi reina, que cada dia sin importar que, sea un motivo para estar feliz, TE AMAMOS tu hijo y yo ❤️</t>
  </si>
  <si>
    <t>Tu hijo y yo</t>
  </si>
  <si>
    <t>Charry</t>
  </si>
  <si>
    <t xml:space="preserve">Leidy Mendoza </t>
  </si>
  <si>
    <t>Cra 44 #75b-67  Apartamento 501b Edificio central Plaza - Edificio</t>
  </si>
  <si>
    <t>Solo espero volvernos a ver para decirte cuánto te amo, esto es una pequeña muestra de lo que te amo mi niña 💛</t>
  </si>
  <si>
    <t>Francesco</t>
  </si>
  <si>
    <t>Digregorio Ruiz</t>
  </si>
  <si>
    <t>Francesco Digregorio Ruiz</t>
  </si>
  <si>
    <t xml:space="preserve">valeria </t>
  </si>
  <si>
    <t>valeria rappi</t>
  </si>
  <si>
    <t>Flora frame rosas</t>
  </si>
  <si>
    <t xml:space="preserve">Naiked </t>
  </si>
  <si>
    <t>Echeverry</t>
  </si>
  <si>
    <t xml:space="preserve">Astrid y Stephy </t>
  </si>
  <si>
    <t>Carrera 42a # 80 - 78 Casa 1 - Casa</t>
  </si>
  <si>
    <t>2× Bouquet 6 Rosas</t>
  </si>
  <si>
    <t xml:space="preserve">¡Feliz san Valentín! Las amamos </t>
  </si>
  <si>
    <t>Naiked y Chris</t>
  </si>
  <si>
    <t>Naiked</t>
  </si>
  <si>
    <t xml:space="preserve">Javier Echeverry </t>
  </si>
  <si>
    <t>edificio Paradise living  Kra 30a 1B-245 apto 0802</t>
  </si>
  <si>
    <t>311 6602838</t>
  </si>
  <si>
    <t xml:space="preserve">¡Feliz san Valentín! Te amamos </t>
  </si>
  <si>
    <t>Antes de la clínica porto azul</t>
  </si>
  <si>
    <t>jose rappi</t>
  </si>
  <si>
    <t xml:space="preserve">fabio tejeda </t>
  </si>
  <si>
    <t>fabio tejeda rappi</t>
  </si>
  <si>
    <t xml:space="preserve">Ríos </t>
  </si>
  <si>
    <t xml:space="preserve">Mariale Bermúdez </t>
  </si>
  <si>
    <t>Calle 1d # 22-24 Aquanova torre 1 apto 1001 - Conjunto</t>
  </si>
  <si>
    <t>305 7085844</t>
  </si>
  <si>
    <t xml:space="preserve">Feliz día Kendall Nicole, gracias por siempre estar, por siempre ser la voz de mi conciencia y la mejor amiga que la vida me pudo regalar. </t>
  </si>
  <si>
    <t>Con amor tu Marida</t>
  </si>
  <si>
    <t>Forbes</t>
  </si>
  <si>
    <t>Daniel Forbes</t>
  </si>
  <si>
    <t>Cra 58 #74-111 - Casa</t>
  </si>
  <si>
    <t>Quiero llenar tu vida y tu corazón de amor y felicidad.</t>
  </si>
  <si>
    <t>Con mucho amor, tu novio.</t>
  </si>
  <si>
    <t>Coronado Gomez</t>
  </si>
  <si>
    <t>Caroline Jimenez</t>
  </si>
  <si>
    <t>Cra 30 # 69b-143 - Conjunto</t>
  </si>
  <si>
    <t>Chichi, hoy quiero recordarte lo increíblemente especial que eres. Que estas flores te saquen una sonrisa tan hermosa y brillante como la tuya, de esas que iluminan todo a tu alrededor.Te mando un abrazo gigante, de esos que se sienten hasta el alma 🧡 y que te recuerden lo mucho que te quiero.</t>
  </si>
  <si>
    <t>Andres.</t>
  </si>
  <si>
    <t xml:space="preserve">Keyli polo </t>
  </si>
  <si>
    <t>Cll 117 #42B-189 Edf azulejo torre 6-304 - Edificio</t>
  </si>
  <si>
    <t>Con Cariño RB</t>
  </si>
  <si>
    <t>Mi reina</t>
  </si>
  <si>
    <t>Carrera 7A 33B 29 - Casa</t>
  </si>
  <si>
    <t xml:space="preserve">Mi amor es un mes mas en que nuestros proyectos y anhelos se van haciendo más fuertes, gracias por brindarme tanto amor. Te amo mucho </t>
  </si>
  <si>
    <t>campo</t>
  </si>
  <si>
    <t>alvaro campo</t>
  </si>
  <si>
    <t>Morales caldas</t>
  </si>
  <si>
    <t xml:space="preserve">Kaira de la hoz </t>
  </si>
  <si>
    <t>Dirección: cll 37 #27-115 - Casa</t>
  </si>
  <si>
    <t>Son delicadas y lindas como tú mi amor, te extraño y te amo kai❤️</t>
  </si>
  <si>
    <t>Rincon Eckardt</t>
  </si>
  <si>
    <t>Lamia</t>
  </si>
  <si>
    <t>4 años y contando. Gracias por la vida que me regalas. Te amo.</t>
  </si>
  <si>
    <t>BOUQUET DE 4 ROSAS.   Mayerlis</t>
  </si>
  <si>
    <t xml:space="preserve">manuel </t>
  </si>
  <si>
    <t xml:space="preserve">rueda </t>
  </si>
  <si>
    <t>manuel rueda</t>
  </si>
  <si>
    <t>1× ceramica con rosas rojas</t>
  </si>
  <si>
    <t>Macarena</t>
  </si>
  <si>
    <t>Te amo hija. Que seas siempre tan feliz como hoy.</t>
  </si>
  <si>
    <t>BOUQUET 2 ROSAS.   Mayerlis</t>
  </si>
  <si>
    <t xml:space="preserve">Annicchiarico </t>
  </si>
  <si>
    <t xml:space="preserve">Natalia Uribe </t>
  </si>
  <si>
    <t>Calle 99 A #52-160 edificio Balcones del parque - Edificio</t>
  </si>
  <si>
    <t>Feliz día de San Valentín ♥️</t>
  </si>
  <si>
    <t>Bernardo Mejía Annicchiarico</t>
  </si>
  <si>
    <t xml:space="preserve">Mery Ellen Fabian </t>
  </si>
  <si>
    <t>Calle 117 # 42b 25 T3 901 Conjunto Turpial</t>
  </si>
  <si>
    <t>Cada día que pasa me enamoro más de ti ❤️</t>
  </si>
  <si>
    <t>Por favor llevarlo después de las 2:00pm</t>
  </si>
  <si>
    <t>George</t>
  </si>
  <si>
    <t>Cormane</t>
  </si>
  <si>
    <t>Sandra Cormane</t>
  </si>
  <si>
    <t>Carrera 72#91a100 palmeras del parque torre 4 1113 - Edificio</t>
  </si>
  <si>
    <t>Para la mujer que se robó mi corazon. Te adoro mi cochi!</t>
  </si>
  <si>
    <t>Tu honey</t>
  </si>
  <si>
    <t>Linda</t>
  </si>
  <si>
    <t>Laura Castro</t>
  </si>
  <si>
    <t>Calle 120 #42a -30 conjunto amatista torre 2 apto 702 - Conjunto</t>
  </si>
  <si>
    <t>323 5345169</t>
  </si>
  <si>
    <t>En esta y todas mis vidas, mi corazón florece contigo 
Happy San Valentín</t>
  </si>
  <si>
    <t>LLOP</t>
  </si>
  <si>
    <t>Al llegar al conjunto dejar en recepción para : Linda Orozco</t>
  </si>
  <si>
    <t xml:space="preserve">Armando </t>
  </si>
  <si>
    <t>Estrada</t>
  </si>
  <si>
    <t xml:space="preserve">Natalia Samper </t>
  </si>
  <si>
    <t>Calle 99 No. 47-14 Laure II apto 1B - Edificio</t>
  </si>
  <si>
    <t>Radiante estaba el día, tan linda se veía mi amor, que una mariposa al ver su belleza detuvo el vuelo y se volvió una flor. Y hasta los árboles por su presencia vencieron su orgullo, que se inclinaban como por encanto ante su hermosura. 
Un remolino formado en las aguas la acariciaba mansamente y fascinado por tanta belleza me provocó fundirme en el ambiente. 
En ese momento sorprendida, me miro y su mirada reflejaba la pureza de un gran amor, me decían sus ojos que todavía me amaba, que no me fuera más de su lado y con mucha alegría entonces comprendí que el amor de mi Naty no había cambiado. 
Te amo ❤️</t>
  </si>
  <si>
    <t>Fergie Pulido</t>
  </si>
  <si>
    <t>cra 10 b #45 c 2 88 - Casa</t>
  </si>
  <si>
    <t>Para la persona mas linda del mundo</t>
  </si>
  <si>
    <t>Con Cariño Danny</t>
  </si>
  <si>
    <t>Alejandra Rieda</t>
  </si>
  <si>
    <t>La castellana, Cra. 52 #104-13 conjunto castellana del mar casa 31 - Conjunto</t>
  </si>
  <si>
    <t>Feliz San Valentín
Te amo</t>
  </si>
  <si>
    <t xml:space="preserve">Keyla </t>
  </si>
  <si>
    <t xml:space="preserve">Maria Sanchez </t>
  </si>
  <si>
    <t>Calle 36 #19 - 172 - Casa</t>
  </si>
  <si>
    <t xml:space="preserve">Con todo mi amor, para ti que eres una mujer especial y luchadora que hace mis días cada vez más feliz </t>
  </si>
  <si>
    <t>Att: Alberto</t>
  </si>
  <si>
    <t xml:space="preserve">Maria de Los Angeles </t>
  </si>
  <si>
    <t>Carrera 52b#100-334 - Conjunto</t>
  </si>
  <si>
    <t>Que siempre seamos felices y nos abunde el amor. Te amo mi Cielo ❤️</t>
  </si>
  <si>
    <t>BPS</t>
  </si>
  <si>
    <t>Que llegué en buen estado.</t>
  </si>
  <si>
    <t xml:space="preserve">Gabriela Solórzano </t>
  </si>
  <si>
    <t>Cra 71 #81 -34 - Casa</t>
  </si>
  <si>
    <t>1× Bouquet 24 Rosas | 1× Vino Blanco Terra Vega</t>
  </si>
  <si>
    <t>Te amo 🩵 Feliz día !</t>
  </si>
  <si>
    <t>Luis Negrete</t>
  </si>
  <si>
    <t>Carrera 74 #79-119 - Casa</t>
  </si>
  <si>
    <t xml:space="preserve">Feliz San Valentín </t>
  </si>
  <si>
    <t>BOUQUET DE 4 ROSAS BLANCAS Y ROSADAS</t>
  </si>
  <si>
    <t>Carrera 51 #80-159 Apto 202 Edificio Alférez Real - Edificio</t>
  </si>
  <si>
    <t xml:space="preserve">Happy Valentines!  Sin importar la distancia, te celebro hoy y todos los días. Te amo! </t>
  </si>
  <si>
    <t>OCTAVIO</t>
  </si>
  <si>
    <t>Valentina vera</t>
  </si>
  <si>
    <t>Calle 99 58-99 apto 1503 torre 1 - Edificio</t>
  </si>
  <si>
    <t>SIN MENSAJE</t>
  </si>
  <si>
    <t>BOUQUET DE 8 ROSAS ROJAS</t>
  </si>
  <si>
    <t xml:space="preserve">SUAD HANA </t>
  </si>
  <si>
    <t>SUAD HANA RAPPI</t>
  </si>
  <si>
    <t xml:space="preserve">Daniela Guerra </t>
  </si>
  <si>
    <t>Daniela Guerra  Dir: Cra 23 No. 2C - 65 torre 1 apto 1402. Edificio Porto Rosso, Villa campestre - Edificio</t>
  </si>
  <si>
    <t xml:space="preserve">Porque amar también es empezar a soñar con alguien… y yo empecé a soñar el día que entendí que era contigo. 
</t>
  </si>
  <si>
    <t>Att: Alejandro B.</t>
  </si>
  <si>
    <t>Porque amar también es empezar a soñar con alguien… y yo empecé a soñar el día que entendí que era contigo.</t>
  </si>
  <si>
    <t>Fermin</t>
  </si>
  <si>
    <t>Malkun</t>
  </si>
  <si>
    <t>Silvana Fayad</t>
  </si>
  <si>
    <t>Cra 52#82-76. Edificio alicante. Apt 2a - Edificio</t>
  </si>
  <si>
    <t>Para mi forever valentine❤️</t>
  </si>
  <si>
    <t xml:space="preserve">Luis Gonzalo </t>
  </si>
  <si>
    <t>Jusayu</t>
  </si>
  <si>
    <t>Conjunto Oporto</t>
  </si>
  <si>
    <t>Cra 41d # 74-95. torre 1 apartamento 505 - Conjunto</t>
  </si>
  <si>
    <t xml:space="preserve">Nunca serás espectadora, siempre estás y estarás en mi corazón </t>
  </si>
  <si>
    <t>Luisgo</t>
  </si>
  <si>
    <t>Para Sheryl Sofía.   mayerlis</t>
  </si>
  <si>
    <t xml:space="preserve">Jhon </t>
  </si>
  <si>
    <t>Adriana Díaz</t>
  </si>
  <si>
    <t>Calle 3B, Transversal 3 B 105. Conjunto residencial Plazuela del mar 2. Torre 8 apto 804 - Edificio</t>
  </si>
  <si>
    <t>"Mi corazón es un jardín, y tú, tú eres la flor más bonita que ha crecido en él "
 Con amor, Jhon.</t>
  </si>
  <si>
    <t>Would you be my Valentine?</t>
  </si>
  <si>
    <t xml:space="preserve">Tous </t>
  </si>
  <si>
    <t xml:space="preserve">Isabella Zuleta </t>
  </si>
  <si>
    <t>Calle 96a#64b-08 - Edificio sky 96 en la torre 3 apto 810</t>
  </si>
  <si>
    <t>311 3198429</t>
  </si>
  <si>
    <t>Que la tarjeta sea en anónimo.  mayerlis</t>
  </si>
  <si>
    <t xml:space="preserve">MARIA ISABEL </t>
  </si>
  <si>
    <t xml:space="preserve">TRUJILLO </t>
  </si>
  <si>
    <t>CARRERA 57 # 94-73 EDI - Edificio</t>
  </si>
  <si>
    <t>FLORES SUELTAS</t>
  </si>
  <si>
    <t>Juan pablo</t>
  </si>
  <si>
    <t>Muñoz gomez</t>
  </si>
  <si>
    <t xml:space="preserve">Marasha elite </t>
  </si>
  <si>
    <t>Carrera 52#132-87 - Conjunto casa 28</t>
  </si>
  <si>
    <t>Feliz San Valentín Sophi Estas flores son hermosas pero ninguna se compara contigo Gracias por hacer mi vida más feliz desde que estás en ella Te amo muchísimo.</t>
  </si>
  <si>
    <t>Con mucho amor Juan pablo M</t>
  </si>
  <si>
    <t>Laura Laborde</t>
  </si>
  <si>
    <t>Cl. 78 #55 120, edificio Calatrava, apto 5 - Edificio</t>
  </si>
  <si>
    <t>Feliz día, te amo.</t>
  </si>
  <si>
    <t>Carlos Mario Álvarez</t>
  </si>
  <si>
    <t>Zuluaga</t>
  </si>
  <si>
    <t>Daniela Garcia</t>
  </si>
  <si>
    <t>cra 21 n 47B-79 el carmen casa segundo</t>
  </si>
  <si>
    <t>Mi amor🤎
Que estas flores representen el amor que siento hacia ti y lo mucho que deseo que siempre estés bien! Te amo</t>
  </si>
  <si>
    <t>Con mucho amor, tu negrito</t>
  </si>
  <si>
    <t>Idarraga</t>
  </si>
  <si>
    <t>Maria Guadalupe</t>
  </si>
  <si>
    <t>Calle 96 #71-37 edificio Bora torre 5 304 - Edificio</t>
  </si>
  <si>
    <t xml:space="preserve">Otro fecha especial al lado del amor de mi vida , espero que sean mil más. Gracias por absolutamente todos los momentos que pasamos juntos y esto es para que veas que cada día me enamoro más de ti. Te amo con toda mi alma amor mío ❤️ </t>
  </si>
  <si>
    <t>Con mucho cariño de EADTV</t>
  </si>
  <si>
    <t>Heidy</t>
  </si>
  <si>
    <t>Oropeza</t>
  </si>
  <si>
    <t>Rita Goncalves y Hellen Oropeza</t>
  </si>
  <si>
    <t>Calle 80 #42-204 apto 202  Barrio Alto Prado  Barranquilla - Casa</t>
  </si>
  <si>
    <t>1× Canasto 24 Rosas + Orquideas | 1× Flora Box Redonda Rosas y Claveles</t>
  </si>
  <si>
    <t>Son dos tarjetas
1. Siempre recuerdo con cariño aquel 14 de febrero cuando me enviaste flores a mi oficina. Fue de los gestos más bonitos que atesoro en mi corazón. Te quiero muchísimo.
2. Hermana, a pesar de las dificultades te quiero muchísimo. No hay nada que la voluntad y el tiempo no puedan curar.</t>
  </si>
  <si>
    <t>1. Con cariño, tu hija que te ama.</t>
  </si>
  <si>
    <t>Carrera 57#96-79  Niza 1 casa 8 - Casa</t>
  </si>
  <si>
    <t>Feliz día ❤️</t>
  </si>
  <si>
    <t>Ayala</t>
  </si>
  <si>
    <t xml:space="preserve">Angie Orostegui </t>
  </si>
  <si>
    <t>Santa Mónica</t>
  </si>
  <si>
    <t>Cra 52C#90-125 apto 402 C Edificio Nerja - Edificio</t>
  </si>
  <si>
    <t>TE AMO MI NIÑA</t>
  </si>
  <si>
    <t>MATEO</t>
  </si>
  <si>
    <t>Porfavor que las rosas sean rosadas y blancas.  mayerlis</t>
  </si>
  <si>
    <t>Jamid</t>
  </si>
  <si>
    <t>Orozco El Reda</t>
  </si>
  <si>
    <t>Jamid Orozco El Reda</t>
  </si>
  <si>
    <t xml:space="preserve">Para una niña pequeñita y especial </t>
  </si>
  <si>
    <t>Con cariño, jamid</t>
  </si>
  <si>
    <t>Cra 52#82-76 edificio Alicante PHB Colombia - Edificio</t>
  </si>
  <si>
    <t>JR</t>
  </si>
  <si>
    <t>Alvear</t>
  </si>
  <si>
    <t>Maria Camila Mendieta</t>
  </si>
  <si>
    <t>Cra 44 #85-130 - Edificio</t>
  </si>
  <si>
    <t>Feliz Vuelta al Sol Mari, que la vida florezca y vivas por siempre en abundancia. I loveyou.</t>
  </si>
  <si>
    <t>Margarita Alvear</t>
  </si>
  <si>
    <t>Bernardo</t>
  </si>
  <si>
    <t>Natalia Uribe</t>
  </si>
  <si>
    <t>Cl. 99a #52-160 - Apto 1902 Torre 2 - Edificio</t>
  </si>
  <si>
    <t>Feliz San Valentin, te amo</t>
  </si>
  <si>
    <t>Con cariño Berna</t>
  </si>
  <si>
    <t xml:space="preserve">DURAN </t>
  </si>
  <si>
    <t>GUSTAVO DURAN</t>
  </si>
  <si>
    <t>BOUQUET DE 4 ROSAS ROJAS</t>
  </si>
  <si>
    <t xml:space="preserve">Kalina malo </t>
  </si>
  <si>
    <t>Cra 26c7 # 74c - 35  Barrio el silencio - Casa</t>
  </si>
  <si>
    <t xml:space="preserve">Feliz día por nosotros y por seguir enamorándote todos los días </t>
  </si>
  <si>
    <t>Chahin</t>
  </si>
  <si>
    <t>Apartamentos Oceana 52  apto 1211 - Edificio</t>
  </si>
  <si>
    <t xml:space="preserve">Mi mejor Valentine’s fue conocerte </t>
  </si>
  <si>
    <t xml:space="preserve">SAMUEL </t>
  </si>
  <si>
    <t>MORALES</t>
  </si>
  <si>
    <t>SAMUEL MORALES</t>
  </si>
  <si>
    <t>Lithany Vaceannie</t>
  </si>
  <si>
    <t>Cra 64 #98-90 Alameda Campestre Torre 4 Apto 613 - Conjunto</t>
  </si>
  <si>
    <t>El amor es darle al otro la posibilidad de que sea la persona que es, y no la que el resto espera que sea. Sé que ahora mismo no soy la persona que te enorgullece pero desde el primer día mi sentimiento ha sido real y sincero.</t>
  </si>
  <si>
    <t>Con amor, Milton.</t>
  </si>
  <si>
    <t>Mauricio de la Espriella</t>
  </si>
  <si>
    <t>Cra 52 # 82 - 203 Lucca 52 - Edificio</t>
  </si>
  <si>
    <t>Feliz Dia te amo!</t>
  </si>
  <si>
    <t xml:space="preserve">Esther María </t>
  </si>
  <si>
    <t>Carrera 22 #1E-116 conjunto speranza t4 apt 1002 - Edificio</t>
  </si>
  <si>
    <t xml:space="preserve">Feliz Valentín para la mejor mamá Te amamos </t>
  </si>
  <si>
    <t>Tus hijos</t>
  </si>
  <si>
    <t>Un paquete de Ferrero             gomez</t>
  </si>
  <si>
    <t>gabriela zambrano</t>
  </si>
  <si>
    <t>CAMILO</t>
  </si>
  <si>
    <t>NOGUERA</t>
  </si>
  <si>
    <t>Camilo noguera</t>
  </si>
  <si>
    <t>cra 57 #84-174 CASA BLANCA - Casa</t>
  </si>
  <si>
    <t>Gracias por llegar a mi vida,  cada día contigo es un regalo y espero que este sea el primero de muchos. Te amo Paula. Feliz día san Valentín
- CN</t>
  </si>
  <si>
    <t>MAYERLIS</t>
  </si>
  <si>
    <t>Juan Pineres</t>
  </si>
  <si>
    <t>ARMANDO RAPPI</t>
  </si>
  <si>
    <t>130000</t>
  </si>
  <si>
    <t>ELKIN</t>
  </si>
  <si>
    <t>GUTIERREZ</t>
  </si>
  <si>
    <t>ELKIN GUTIERREZ</t>
  </si>
  <si>
    <t>BOUQUET MAS BOLSA DE PETALOS</t>
  </si>
  <si>
    <t>Zape</t>
  </si>
  <si>
    <t xml:space="preserve">Fiorella Claudina Barcasnegras Pérez </t>
  </si>
  <si>
    <t>Cra. 22 #1e86, Sabanilla Montecarmelo  Torre 4 apartamento 901 Conjunto amore, Ciudad de mallorquin - Conjunto</t>
  </si>
  <si>
    <t>1× Ferrero Rocher 8 und | 1× Flora Box  Solitario Rosa</t>
  </si>
  <si>
    <t>pendiente</t>
  </si>
  <si>
    <t>Donaldo</t>
  </si>
  <si>
    <t>Tijera</t>
  </si>
  <si>
    <t>Jenny Dao</t>
  </si>
  <si>
    <t>Calle 91 #53-196 - Edificio</t>
  </si>
  <si>
    <t>Mi bella hermosa.. eres divina espectacular te amo.. Gracias a Dios por estar conmigo.. 
Tu feliz esposo</t>
  </si>
  <si>
    <t>Tu negro</t>
  </si>
  <si>
    <t xml:space="preserve">hernando </t>
  </si>
  <si>
    <t>hernando duran</t>
  </si>
  <si>
    <t xml:space="preserve">alvarez </t>
  </si>
  <si>
    <t>david alvarez</t>
  </si>
  <si>
    <t>Mayra Escobar</t>
  </si>
  <si>
    <t>Calle 73 #39-196 - Edificio Boracay Apto 702</t>
  </si>
  <si>
    <t>Feliz San Valentín, Yiye. Te amo ❤️</t>
  </si>
  <si>
    <t xml:space="preserve">Stephania </t>
  </si>
  <si>
    <t>Tamayo parra</t>
  </si>
  <si>
    <t xml:space="preserve">Jakeline Ramírez Sandoval </t>
  </si>
  <si>
    <t>Marriot Barranquilla habitación 415 - Edificio</t>
  </si>
  <si>
    <t>1× Bouquet 100 Rosas | 1× Ferrero Rocher 8 und</t>
  </si>
  <si>
    <t>Feliz día del amor mi vida la amo mucho mi amor que Dios la guarde y la bendiga. 
su futuro esposo Oscar lacota</t>
  </si>
  <si>
    <t>Carlos Arevalo</t>
  </si>
  <si>
    <t>Lo recogerá un domiciliario</t>
  </si>
  <si>
    <t>Feliz día de San Valentín , Te amo</t>
  </si>
  <si>
    <t xml:space="preserve">alberto </t>
  </si>
  <si>
    <t>muñoz</t>
  </si>
  <si>
    <t>alberto muñoz</t>
  </si>
  <si>
    <t>3× Bouquet 12 Rosas Rojas</t>
  </si>
  <si>
    <t>steven</t>
  </si>
  <si>
    <t xml:space="preserve">gutierrez </t>
  </si>
  <si>
    <t>steven gutierrez</t>
  </si>
  <si>
    <t xml:space="preserve">Garcia Peña </t>
  </si>
  <si>
    <t xml:space="preserve">Danna Valdés </t>
  </si>
  <si>
    <t>En Pepe anca  Cra 49c #76-164 - Restaurante</t>
  </si>
  <si>
    <t>Feliz cumpleaños mi amor, que todos los anhelos de tu corazón se cumplan, Dios te bendiga siempre.</t>
  </si>
  <si>
    <t xml:space="preserve">mateo </t>
  </si>
  <si>
    <t>paz</t>
  </si>
  <si>
    <t>mateo paz</t>
  </si>
  <si>
    <t>bouquet de hortencias surtido</t>
  </si>
  <si>
    <t xml:space="preserve">Córdoba </t>
  </si>
  <si>
    <t>SOFIA GORAYEB</t>
  </si>
  <si>
    <t>Cra. 57 #79 199 - Edificio ferreti Piso 6</t>
  </si>
  <si>
    <t>De: José Ignacio Arango</t>
  </si>
  <si>
    <t xml:space="preserve">lucas </t>
  </si>
  <si>
    <t xml:space="preserve">zambrano </t>
  </si>
  <si>
    <t>lucas zambrano</t>
  </si>
  <si>
    <t>Pena Herrera</t>
  </si>
  <si>
    <t>Iliana Herrera</t>
  </si>
  <si>
    <t>Cra 52 104 - 13 Castellana del Mar Casa 24 - Casa</t>
  </si>
  <si>
    <t>Te amamos demasiado!! Que te mejores pronto! &lt;3</t>
  </si>
  <si>
    <t>Isa, Rori y Kikeline</t>
  </si>
  <si>
    <t>Mariana vergara</t>
  </si>
  <si>
    <t>Calle 133 #53-365 lomas de Villa campestre casa 1 - Conjunto</t>
  </si>
  <si>
    <t>Feliz san Valentín te amo ❤️</t>
  </si>
  <si>
    <t>Sebastian Malkun</t>
  </si>
  <si>
    <t xml:space="preserve">Santiago Gomez </t>
  </si>
  <si>
    <t>Cra 47 #102-80 - Edificio Bio Banús apto 1202</t>
  </si>
  <si>
    <t>12 ROSAS ROJAS.   mayerlis</t>
  </si>
  <si>
    <t xml:space="preserve">nicolas </t>
  </si>
  <si>
    <t>nicolas torres</t>
  </si>
  <si>
    <t>mini box orquídea</t>
  </si>
  <si>
    <t xml:space="preserve">WALTER </t>
  </si>
  <si>
    <t>ZUÑIGA</t>
  </si>
  <si>
    <t>ALANIS MARTINEZ</t>
  </si>
  <si>
    <t>Calle 112#42 Edificio alondra torre 7 apto 1003</t>
  </si>
  <si>
    <t>300 6448361</t>
  </si>
  <si>
    <t>Para la mujer más hermosa del planeta, feliz San Valentin, espero te gusten tus florecitas, con mucho cariño, ya sabes quien❤️ 
wz</t>
  </si>
  <si>
    <t>1 BOUQUET SURTIDO COMO FOTO, 2 CAJAS DE FERRERO.   mayerlis</t>
  </si>
  <si>
    <t>robert</t>
  </si>
  <si>
    <t>cottaye</t>
  </si>
  <si>
    <t>robert cottaye</t>
  </si>
  <si>
    <t>corona colorida para la cabeza</t>
  </si>
  <si>
    <t xml:space="preserve">Nabetse </t>
  </si>
  <si>
    <t xml:space="preserve">Sarah Cedeño </t>
  </si>
  <si>
    <t>Calle 93 #72-71 - Conjunto</t>
  </si>
  <si>
    <t>1× Mini Box orquidea</t>
  </si>
  <si>
    <t xml:space="preserve">Feliz cumpleaños Sarita, te deseo muchas bendiciones en tus 15 años!! </t>
  </si>
  <si>
    <t>Con cariño Karina</t>
  </si>
  <si>
    <t>Michel Sierra Castro</t>
  </si>
  <si>
    <t>Te deseamos feliz cumpleaños. Que este nuevo año de vida esté lleno de salud, sabiduría, felicidad, éxito y muchas bendiciones. 
Que Dios continúe fortaleciendo cada uno de sus pasos y cumpliendo los deseos de su corazón. 
“Mira que te mando que te esfuerces y seas valiente; no temas ni desmayes, porque Biblia dice en Josué 1:9: ‘Porque el Señor tu Dios estará contigo dondequiera que vayas’.”
Que esta promesa la acompañe hoy y siempre, disfruta mucho tu nueva vuelta al sol. 
Equipo Fundación Triple A</t>
  </si>
  <si>
    <t>PLAN AMIGAS (2 BOUQUETS SURTIDOS)
4 HOJAS DE BALAZO PEQUEÑAS</t>
  </si>
  <si>
    <t>Marta villarreal</t>
  </si>
  <si>
    <t>Calle 100 #49 155 Casa 1 - Casa</t>
  </si>
  <si>
    <t>Amor mío,
En tu cumpleaños quiero recordarte lo especial que eres para mí. Gracias por tu amor, tu paciencia y tu sonrisa que ilumina mis días. Eres mi compañera, mi fuerza y mi mayor bendición. Le pido a Dios que te regale muchos años más de vida para seguir celebrándolos juntos. Feliz cumpleaños, te amo con todo mi corazón.</t>
  </si>
  <si>
    <t xml:space="preserve">joseph </t>
  </si>
  <si>
    <t>joseph ibarra</t>
  </si>
  <si>
    <t>Vilaro campo</t>
  </si>
  <si>
    <t>Carolina Vilaro campo</t>
  </si>
  <si>
    <t>ID de la orden
2430141407</t>
  </si>
  <si>
    <t xml:space="preserve">VANESSA </t>
  </si>
  <si>
    <t>TORREGROSA</t>
  </si>
  <si>
    <t>VANESSA TORREGROSA</t>
  </si>
  <si>
    <t>ID de la orden
2430141345</t>
  </si>
  <si>
    <t xml:space="preserve">Duvan </t>
  </si>
  <si>
    <t xml:space="preserve">Mejia </t>
  </si>
  <si>
    <t xml:space="preserve">G </t>
  </si>
  <si>
    <t>Calle 90#49c-54 Apt 1004 - Edificio</t>
  </si>
  <si>
    <t>Feliz cumpleaños, mi niña. 
Te amo mucho y espero que sean mucho más cumpleaños juntos.</t>
  </si>
  <si>
    <t>Duvan M</t>
  </si>
  <si>
    <t>Helmer</t>
  </si>
  <si>
    <t>Heidy Rivera</t>
  </si>
  <si>
    <t>Calle 53 No. 46 - 192, piso 3 (oficinas de Grupo Olimpica, entrar por el sotano) - Oficina</t>
  </si>
  <si>
    <t>Hoy te regalo los tulipanes que una vez pinté a medias, porque hoy se materializan. Así mismo, materializado y completo, quiero darte mi amor y todo de mí.
Te los entrego como símbolo de lo que siento: un amor que no quiere quedarse a medias, sino ser real, sincero y completo.
Te amo demasiado. Este amor que tengo por ti es tan grande que es capaz de cualquier cosa, pero nace desde la verdad y la intención de hacerlo bien. No hay un día en el que no te sueñe, incluso despierto.
Doy gracias a Dios por tu vida y por el regalo tan bonito de haberte conocido, de ser parte de ti, de tu amor y de tu forma más bonita de amar.</t>
  </si>
  <si>
    <t>HRH</t>
  </si>
  <si>
    <t xml:space="preserve">Andrea Marcela </t>
  </si>
  <si>
    <t>Parra hernández</t>
  </si>
  <si>
    <t xml:space="preserve"> Astrid Hernandez </t>
  </si>
  <si>
    <t>Carrera 59 # 91 - 161 apto 201A edificio Orsomarso - Edificio</t>
  </si>
  <si>
    <t>Pulguita, gracias por haberme amado primero.
Hoy ese mismo amor abraza a Noah,
y verte convertirte en su abuela es uno de los regalos más grandes de mi vida.
Tu ternura nos sostiene, tu ejemplo nos guía y tu presencia nos llena el alma.
Feliz cumpleaños mamin, abuela y Astrid.
Con todo nuestro amor,
Mauro, Noah y nena.</t>
  </si>
  <si>
    <t>Ruiz Cogollo</t>
  </si>
  <si>
    <t>Alejandra Herrera</t>
  </si>
  <si>
    <t>Calle 1A #30-61, Sunset Boulevard - Edificio</t>
  </si>
  <si>
    <t>Felices 6 meses, amor de mi vida.</t>
  </si>
  <si>
    <t>Con cariño, coqui.</t>
  </si>
  <si>
    <t>Si se puede, que tengas más flores azul cielo que ningún otro color.</t>
  </si>
  <si>
    <t>contreras</t>
  </si>
  <si>
    <t>daniel contreras</t>
  </si>
  <si>
    <t>95.000 en EFECTIVO Y 255.000 EN TARJETA DE CREDIDO</t>
  </si>
  <si>
    <t xml:space="preserve">Carolina Manotas </t>
  </si>
  <si>
    <t>calle 99#58-99 edificio portobelo apto 1301 torre 2 - Edificio</t>
  </si>
  <si>
    <t>Abuelita Feliz Cumpleaños!
Hoy celebramos tu vida y queremos manifestarte nuestro amor e inmensa gratitud por entregarnos lo mas valioso de un ser humano:su amor y dedicación.Eres una abuela excepcional y Dios no pudo darnos una mejor. Dios te conceda larga vida para seguir disfrutando de tu compañía, tus enseñanzas que son un legado invaluable para todos nosotros. Eres fuente de inspiración de la fortaleza , el amor incondicional , la perseverancia y la nobleza de corazón. Te amamos por siempre .</t>
  </si>
  <si>
    <t>Tus nietos Juan Pablo, Alejandro,  Sebastián,  Andres y Laury</t>
  </si>
  <si>
    <t>De acuerdo a lo conversado se solicita este mismo arreglo en tonos lilas y morados</t>
  </si>
  <si>
    <t>CRA 50 74 91 apto E4 - Edificio</t>
  </si>
  <si>
    <t>Te amo cielito, soy el hombre más feliz de compartir este camino a tu lado, por toda la eternidad ❤️</t>
  </si>
  <si>
    <t>Hola, me gustaría que este ramo tenga colores un poco más cercanos con la fecha de san Valentín si es posible, entre rosa y rojo, muchas gracias por siempre hacer unos ramos preciosos</t>
  </si>
  <si>
    <t>sanchez</t>
  </si>
  <si>
    <t xml:space="preserve"> Manuela Carriazo</t>
  </si>
  <si>
    <t>Lagos de Caujaral, casa Carriazo - Casa</t>
  </si>
  <si>
    <t>Vi tu cuarto sin flores
Te mando un beso grande, sin que estés distraída 
Firma: Alejandro Sánchez</t>
  </si>
  <si>
    <t>BOUQUET REDONDO CON 15 HORTENCIAS AZULES</t>
  </si>
  <si>
    <t>Gerlein</t>
  </si>
  <si>
    <t>Silvia Acosta</t>
  </si>
  <si>
    <t>CRA 57#79-138 - Edificio</t>
  </si>
  <si>
    <t>Pivy: 
Mil gracias por todas las atenciones del fin de semana, nos sentimos como en casa. Aprovechamos también y te deseamos un feliz cumpleaños, que Dios te bendiga!</t>
  </si>
  <si>
    <t>Beto, Mario, y Lex</t>
  </si>
  <si>
    <t xml:space="preserve">Maria Monica </t>
  </si>
  <si>
    <t>Castellano</t>
  </si>
  <si>
    <t>Maria Monica Castellano</t>
  </si>
  <si>
    <t>ID de la orden
2430158334</t>
  </si>
  <si>
    <t>Daniel Garcia julio</t>
  </si>
  <si>
    <t xml:space="preserve">Leonardo </t>
  </si>
  <si>
    <t>Leonardo Escobar</t>
  </si>
  <si>
    <t>ID de la orden
2430171563</t>
  </si>
  <si>
    <t xml:space="preserve"> Tatiana </t>
  </si>
  <si>
    <t>Dugand</t>
  </si>
  <si>
    <t>Familia Martinez</t>
  </si>
  <si>
    <t>Cra 56 no 79-165 - Casa</t>
  </si>
  <si>
    <t>Familia Martinez 
Agradeciendo el cariño y las atenciones de cada uno de ustedes.
Alfredo y Tatiana</t>
  </si>
  <si>
    <t>PLANTA DE ORQUÍDEA ARREGLADA</t>
  </si>
  <si>
    <t xml:space="preserve">Conto quintero </t>
  </si>
  <si>
    <t xml:space="preserve">Familia García Medina </t>
  </si>
  <si>
    <t>Conjunto poblado villa campestre - Conjunto</t>
  </si>
  <si>
    <t xml:space="preserve">Virgen milagrosa </t>
  </si>
  <si>
    <t>Con mucho amor juanma y aleja</t>
  </si>
  <si>
    <t>Querida familia 
Gracias de corazón por recibirnos con tanto cariño y generosidad durante nuestro viaje a Barranquilla. Nos hicieron sentir como en casa, rodeados de afecto, cuidado y una hospitalidad que no se olvida.
Con este pequeño detalle quiero expresarles nuestro agradecimiento y enviarles los mejores deseos. La Virgen de los Milagros (o Nuestra Señora de las Gracias), símbolo de fe y esperanza, promete abundantes bendiciones a quienes la portan con fe. Que ella los cubra con su manto, les conceda salud, paz, amor y mucha abundancia en todos los aspectos de sus vidas.
Gracias por tanto. Los llevamos en el corazón y esperamos reencontrarnos  pronto</t>
  </si>
  <si>
    <t>MICHELLE</t>
  </si>
  <si>
    <t>PELAEZ</t>
  </si>
  <si>
    <t>MICHELLE PELAEZ</t>
  </si>
  <si>
    <t>3 BOUQUETS SURTIDOS</t>
  </si>
  <si>
    <t>maría fernanda</t>
  </si>
  <si>
    <t>maría fernanda tatis</t>
  </si>
  <si>
    <t>cra 58 #82-40 palmarosa apto 7 - Casa</t>
  </si>
  <si>
    <t>2 paquetes de fuyi amarillo
un paquete de margaritas amarillas
un paquete de ruscus
3 tallos de lirio amarillo</t>
  </si>
  <si>
    <t>Jacky</t>
  </si>
  <si>
    <t>Troncoso Hernandez</t>
  </si>
  <si>
    <t>FOCA - Centro Comercial</t>
  </si>
  <si>
    <t>Mary, todos los días son especiales. 
Te regalo esta virgencita para que ilumine tu camino y te haga feliz siempre.</t>
  </si>
  <si>
    <t>Rapalino</t>
  </si>
  <si>
    <t>Omaira Montes</t>
  </si>
  <si>
    <t>Cra 57 No 74 - 106, apto 304 - Edificio</t>
  </si>
  <si>
    <t>Te deseamos pronta recuperación! 
Te mandamos un fuerte abrazo.</t>
  </si>
  <si>
    <t>Con cariño, Andy y Diego</t>
  </si>
  <si>
    <t xml:space="preserve">José </t>
  </si>
  <si>
    <t>Segebre</t>
  </si>
  <si>
    <t>José Segebre</t>
  </si>
  <si>
    <t>Para la mujer más hermosa de este mundo</t>
  </si>
  <si>
    <t>Con mucho amor José</t>
  </si>
  <si>
    <t>ERNST &amp; YOUNG S A S</t>
  </si>
  <si>
    <t>empr</t>
  </si>
  <si>
    <t>Diana Falquez</t>
  </si>
  <si>
    <t>Cra 59C # 79-350 - Casa</t>
  </si>
  <si>
    <t>1× Ancheta Lirio | 1× Topper Mejorate Pronto</t>
  </si>
  <si>
    <t>Los socios EY Colombia te desean pronta recuperación y esperamos sinceramente que cada día te sientas mejor. Que este tiempo de descanso te permita renovar fuerzas y volver con plena salud.
Recibe un abrazo solidario y nuestros mejores deseos para que tengas una recuperación rápida y tranquila.</t>
  </si>
  <si>
    <t>EY Colombia</t>
  </si>
  <si>
    <t>Walter Hernandez</t>
  </si>
  <si>
    <t>ID de la orden
2430229427</t>
  </si>
  <si>
    <t>Concep</t>
  </si>
  <si>
    <t>Sas</t>
  </si>
  <si>
    <t>Concep Sas</t>
  </si>
  <si>
    <t>Cra 49 # 75-58 - Oficina</t>
  </si>
  <si>
    <t>Adriana Rugeles</t>
  </si>
  <si>
    <t xml:space="preserve">Jairo </t>
  </si>
  <si>
    <t>Jairo Osorio</t>
  </si>
  <si>
    <t>ID de la orden
2430239673</t>
  </si>
  <si>
    <t>Sijan Kuzmar</t>
  </si>
  <si>
    <t>Cra 56 #79-342 Apt 802 - Edificio</t>
  </si>
  <si>
    <t>Feliz cumple Siji! Que este dia este lleno de felicidad y mucho amor! Te deseamos un año lleno de paz, prosperidad, risas y que todos tus deseos se cumplan! celebrandote siempre asi sea de lejitos! Cristy y Andre</t>
  </si>
  <si>
    <t>Con cariño Cristy y Andre</t>
  </si>
  <si>
    <t>Mariana Buendia</t>
  </si>
  <si>
    <t>Cra 55 #84-95  Rincon de la 55 Piso 6 - Edificio</t>
  </si>
  <si>
    <t>Nana y Emma,
No podemos explicar la felicidad tan grande que sentimos por ustedes. Que esta nueva etapa este llena de bendiciones, amor, felicidad y ternura. No tenemos duda que lo harán increíble y seran los mejores papas para Fede.
Bienvenido Fede a la familia, estas tias no ven la hora de consentirte y llenarte de abrazos, risas y momentos inolvidables.
Los queremos muchisimo.
Naty, Nicky, Cata y Cristy</t>
  </si>
  <si>
    <t xml:space="preserve">Barranco Camargo </t>
  </si>
  <si>
    <t>Cra41 #33-24 costa hermosa - soledad - Casa</t>
  </si>
  <si>
    <t xml:space="preserve">Te doy este anillo con la promesa de que te lo cambiaré por uno de matrimonio con la ayuda de Dios, te amo </t>
  </si>
  <si>
    <t>Con amor Jhon B</t>
  </si>
  <si>
    <t>Robles</t>
  </si>
  <si>
    <t xml:space="preserve">Lesly Domínguez </t>
  </si>
  <si>
    <t>Con mucho amor Luis Robles</t>
  </si>
  <si>
    <t>Para la mujer más hermosa en su cumpleaños 
Feliz cumpleaños, mi amor 🌸 Hoy celebro el día en que nació la mujer que cambió mi vida para siempre, la que le dio sentido a mis días y paz a mi corazón. Gracias por existir, por tu sonrisa que ilumina todo, por tu ternura, por tu fuerza y por ese amor tan puro que me regalas. Eres mi lugar seguro, mi alegría constante y lo mejor que me ha pasado en la vida. Que este nuevo año esté lleno de sueños cumplidos, abrazos largos y momentos que nos acerquen aún más. Te amo infinitamente, más de lo que las palabras pueden explicar, y me siento el hombre más afortunado por poder llamarte mía. Con todo mi amor, Luis 🤍</t>
  </si>
  <si>
    <t>liseth</t>
  </si>
  <si>
    <t xml:space="preserve">María Belén cáliz </t>
  </si>
  <si>
    <t>Carrera 20 # 2a-10 casa 151 - Conjunto</t>
  </si>
  <si>
    <t>Hoy cumples 7 añitos y mi corazón se derrite de amor por ti. Eres mi pedacito de cielo, mi alegría más bonita y mi abrazo favorito. ✨
Que tu día esté lleno de magia, dulces, risas y muchos sueños de colores. Nunca olvides que mamá te ama hasta el infinito y más allá 
¡Mi princesa hermosa, eres mi mayor felicidad</t>
  </si>
  <si>
    <t>Con cariño mamá</t>
  </si>
  <si>
    <t>María Belén cáliz</t>
  </si>
  <si>
    <t>ISAIAS ANGEL</t>
  </si>
  <si>
    <t>HERRERA AVILA</t>
  </si>
  <si>
    <t>ISAIAS ANGEL HERRERA AVILA</t>
  </si>
  <si>
    <t>Amor mía, que hoy y siempre Dios bendiga infinitamente tu vida y que me permita estar a tu lado por el resto de todos tus cumpleaños. Te quiero mucho más que demasiado. Feliz Cumpleaños!</t>
  </si>
  <si>
    <t>I.H.A.</t>
  </si>
  <si>
    <t>Samaniego</t>
  </si>
  <si>
    <t>Naty Sosa</t>
  </si>
  <si>
    <t>3A - Edificio balcones de santa monica  Calle 92 #52B-28,</t>
  </si>
  <si>
    <t xml:space="preserve">Gracias por estos días tan divinos. 
</t>
  </si>
  <si>
    <t>Con amor, Jusef y Juandi.</t>
  </si>
  <si>
    <t>helistar</t>
  </si>
  <si>
    <t>helistar emp</t>
  </si>
  <si>
    <t xml:space="preserve">bonis </t>
  </si>
  <si>
    <t>madrid</t>
  </si>
  <si>
    <t>bonis madrid</t>
  </si>
  <si>
    <t>ID de la orden
2430289601</t>
  </si>
  <si>
    <t>Cra 47 #76-60</t>
  </si>
  <si>
    <t>Te locoamolotro , por siempre #19 💜</t>
  </si>
  <si>
    <t>Arteta</t>
  </si>
  <si>
    <t>Ana María Charris</t>
  </si>
  <si>
    <t>Palmeras del Caribe Torre 25 apto 204 - Conjunto</t>
  </si>
  <si>
    <t>Mami, como estos girasoles, iluminas nuestras vidas y haces que todo florezca. Eres nuestro sol, refugio y hogar. Que hoy recibas todo el amor que has sembrado en nosotros. Te admiramos y te amamos infinito. Feliz cumpleaños!!! 
Con amor, Ana Rebeca, Cata y tu amor Jacobo</t>
  </si>
  <si>
    <t>fandiño</t>
  </si>
  <si>
    <t>jessica fandiño</t>
  </si>
  <si>
    <t>EDUARDO ANGULO</t>
  </si>
  <si>
    <t xml:space="preserve"> Pupo </t>
  </si>
  <si>
    <t>Lafaurie</t>
  </si>
  <si>
    <t>Pupo Lafaurie</t>
  </si>
  <si>
    <t>ID de la orden
2430403337</t>
  </si>
  <si>
    <t xml:space="preserve">Gabriela </t>
  </si>
  <si>
    <t>Muñoz Barrios</t>
  </si>
  <si>
    <t>Gabriela Muñoz Barrios</t>
  </si>
  <si>
    <t>“Feliz aniversario, amor mío. Te amo inmensamente. BxTP”</t>
  </si>
  <si>
    <t>ID de la orden
2430302773</t>
  </si>
  <si>
    <t xml:space="preserve">Alzate </t>
  </si>
  <si>
    <t xml:space="preserve">Martha Alzate </t>
  </si>
  <si>
    <t>Calle  114#43b-83 - Edificio</t>
  </si>
  <si>
    <t xml:space="preserve">Feliz cumpleaños a la mujer más maravillosa del universo siempre serás la niña de mis ojos </t>
  </si>
  <si>
    <t>Sorpresa</t>
  </si>
  <si>
    <t xml:space="preserve">Angie Arrazola </t>
  </si>
  <si>
    <t>Cra 55 #105-23 apto 1402 condominio 55 - Edificio</t>
  </si>
  <si>
    <t xml:space="preserve">Falta 1 mes…. y no veo la hora de que nuestro amor tenga la bendición de Dios. Te Amo!! </t>
  </si>
  <si>
    <t>Diego Rueda</t>
  </si>
  <si>
    <t>Cra 58#79-79  Apt 3a - Edificio</t>
  </si>
  <si>
    <t xml:space="preserve"> gloria  </t>
  </si>
  <si>
    <t>adarve montes</t>
  </si>
  <si>
    <t xml:space="preserve"> Leidy Sampayo </t>
  </si>
  <si>
    <t>Cra 55 105-23 conjunto 55cien torre 2 apto 804 - Edificio</t>
  </si>
  <si>
    <t>301 4560565</t>
  </si>
  <si>
    <t>Feliz aniversario amor, espero seguir construyendo momentos de felicidad con ti y nuestra familia ❤️</t>
  </si>
  <si>
    <t xml:space="preserve">Carrillo </t>
  </si>
  <si>
    <t>Marina Carrillo</t>
  </si>
  <si>
    <t>317 3009284</t>
  </si>
  <si>
    <t>Para: Paola Mary
Pronta recuperación, nos haces mucha falta. Cuídate mucho.
Un gran abrazo! 
Marina Carrillo</t>
  </si>
  <si>
    <t>OJO CON CLAVELLINA  O MINI ROSAS FUCSIA Y PINOPIO LILA</t>
  </si>
  <si>
    <t xml:space="preserve">Angelie </t>
  </si>
  <si>
    <t xml:space="preserve">Ponce </t>
  </si>
  <si>
    <t xml:space="preserve">Sandra Orozco </t>
  </si>
  <si>
    <t>Calle 73B # 39 – 142 sede administrativa colegio Boston internacional - Oficina</t>
  </si>
  <si>
    <t>Querida Sandra, Dios te llene de gracia y favor siempre.
Feliz cumpleaños ❤️
Dios te bendiga.</t>
  </si>
  <si>
    <t>Con cariño, Angelie Ponce</t>
  </si>
  <si>
    <t xml:space="preserve">Ludmila </t>
  </si>
  <si>
    <t xml:space="preserve">Parra </t>
  </si>
  <si>
    <t>Ludmila Parra</t>
  </si>
  <si>
    <t>314 5958525</t>
  </si>
  <si>
    <t>Maria Camila Amador Sanabria</t>
  </si>
  <si>
    <t>cra 75 # 86b - 137 Casa Blanca de un piso rejas aluminio - Casa</t>
  </si>
  <si>
    <t>Siempre eligiéndonos
19/02/2026</t>
  </si>
  <si>
    <t>Con amor, Carlos.</t>
  </si>
  <si>
    <t>Al llegar a la casa llamar al número de Luisa Amador 3015926162. El timbre se encuentra detrás de la reja y es difícil de ubicar.</t>
  </si>
  <si>
    <t xml:space="preserve"> Ramos </t>
  </si>
  <si>
    <t xml:space="preserve">Estefany Aguirre </t>
  </si>
  <si>
    <t>Calle 74#66-32 - Edificio</t>
  </si>
  <si>
    <t>311 772 7776</t>
  </si>
  <si>
    <t>“No solo mereces flores los días especiales, mereces detalles todos los días, porque tú haces que cualquier día sea especial.”
Te amo mi flaca 💚</t>
  </si>
  <si>
    <t xml:space="preserve">MARIA ANGELICA </t>
  </si>
  <si>
    <t>FERNANDEZ GUEVARA</t>
  </si>
  <si>
    <t xml:space="preserve">Valentina Padròn </t>
  </si>
  <si>
    <t>CRA 50 # 74-77, EDF ELVIA MARIA AP 501 - Edificio</t>
  </si>
  <si>
    <t xml:space="preserve">Sigue siendo tú.  Feliz cumpleaños.  Tqm </t>
  </si>
  <si>
    <t>Con cariño,  Angie</t>
  </si>
  <si>
    <t>DANIEL PAREDES</t>
  </si>
  <si>
    <t>BURO 51 - Casa</t>
  </si>
  <si>
    <t>REVICIÓN</t>
  </si>
  <si>
    <t>Mariño</t>
  </si>
  <si>
    <t xml:space="preserve">Dayana Robles </t>
  </si>
  <si>
    <t>Balcones de San José, Cl. 75 #41D - 54 - Edificio</t>
  </si>
  <si>
    <t>Espero que te gusten te amo</t>
  </si>
  <si>
    <t>Bula</t>
  </si>
  <si>
    <t xml:space="preserve">Vivian Amín </t>
  </si>
  <si>
    <t>Carrera 56 # 81-98 Edf gallery apto 3A - Casa</t>
  </si>
  <si>
    <t xml:space="preserve">Mss Vivi lo sentimos mucho. Te acompañamos en tu dolor, te mandamos un abrazo enorme </t>
  </si>
  <si>
    <t>Con cariño, Vicky y María Angélica</t>
  </si>
  <si>
    <t>gina</t>
  </si>
  <si>
    <t>gina contreras</t>
  </si>
  <si>
    <t>Porfirio</t>
  </si>
  <si>
    <t>Porfirio Bayuelo</t>
  </si>
  <si>
    <t>Calle 80 #51-69. Edificio Girasol, Piso 26. - Edificio</t>
  </si>
  <si>
    <t xml:space="preserve">Feliz cumpleaños mi niña linda. </t>
  </si>
  <si>
    <t>Con amor Porfi</t>
  </si>
  <si>
    <t>Itsvan</t>
  </si>
  <si>
    <t xml:space="preserve">María Camila blanco </t>
  </si>
  <si>
    <t xml:space="preserve">Para la mujer que me alegra la vida… Te Amo </t>
  </si>
  <si>
    <t>De parte de tu amorcito</t>
  </si>
  <si>
    <t>Carrera 57#79-188 - Edificio</t>
  </si>
  <si>
    <t>“El viento sopló hasta casi ser un tornado, pero al final el sol salió de entre las nubes y sonrió.” 
No hace falta que todo esté perfecto para que el día sea bonito. A veces solo hacen falta unas flores y saber que alguien piensa en ti.</t>
  </si>
  <si>
    <t>Con Amor, Dela.</t>
  </si>
  <si>
    <t>Necesito que porfavor le pongan Un girasol</t>
  </si>
  <si>
    <t xml:space="preserve">Emilis </t>
  </si>
  <si>
    <t>Emilis Alian</t>
  </si>
  <si>
    <t>ID de la orden
2430523452</t>
  </si>
  <si>
    <t xml:space="preserve">Parque y Grama Construcciones </t>
  </si>
  <si>
    <t>e</t>
  </si>
  <si>
    <t>Familia Atencio Blanco</t>
  </si>
  <si>
    <t>Jardines de la eternidad del sur - Edificio</t>
  </si>
  <si>
    <t>En nombre del equipo Parque y Grama, queremos expresarte nuestras más sinceras condolencias por la pérdida que hoy enluta tu vida y la de tu familia.
Lamentamos profundamente este difícil momento y deseamos que encuentres fortaleza, paz y consuelo. Cuentas con nuestro apoyo y solidaridad.</t>
  </si>
  <si>
    <t>Equipo Parque y Grama</t>
  </si>
  <si>
    <t>Jardines de la eternidad del sur
Sala 4 
Familia Atencio Blanco</t>
  </si>
  <si>
    <t>Villafañe</t>
  </si>
  <si>
    <t>Jose Villafañe</t>
  </si>
  <si>
    <t>Edificio Vivien Apto 10A - Edificio</t>
  </si>
  <si>
    <t>Abuelos Pilar y José:
Muchas gracias por consentirme cuando más lo necesitaba</t>
  </si>
  <si>
    <t>Agustina</t>
  </si>
  <si>
    <t xml:space="preserve"> Yesenia </t>
  </si>
  <si>
    <t xml:space="preserve">cantillo </t>
  </si>
  <si>
    <t xml:space="preserve"> hermanos Cantillo Rosales </t>
  </si>
  <si>
    <t>Calle 3 # 22-356 conjunto Riviera club house casa 3 - Edificio</t>
  </si>
  <si>
    <t>Felicidades al mejor hermano mayor!!! Desde hoy para siempre juntos…. Los amamos mucho 
Fatima y Tomas bienvenidos a casa 
Con amor 
Lucas, pau y tíos</t>
  </si>
  <si>
    <t>Natalia Consuegra</t>
  </si>
  <si>
    <t>Cra 47 # 96 a - 39 conjunto rivello casa 9 - Casa</t>
  </si>
  <si>
    <t>Natalia, Congratulations! We are thrilled to hear your wonderful news. Wishing you a healthy and joyful journey ahead. We couldn't be happier for you!</t>
  </si>
  <si>
    <t>PayOli Team</t>
  </si>
  <si>
    <t>Escribir esto en la tarjeta: Natalia, Congratulations! We are thrilled to hear your wonderful news. Wishing you a healthy and joyful journey ahead. We couldn't be happier for you!</t>
  </si>
  <si>
    <t>Pérez</t>
  </si>
  <si>
    <t xml:space="preserve">Eliana López </t>
  </si>
  <si>
    <t>Hoy celebro 7 años de promesas cumplidas, de compartir y construir una vida con alguien que me ama, me valora y le da sentido a mi vida. Te volveria a elegir una y mil veces más. 
Feliz aniversario 
Te amo</t>
  </si>
  <si>
    <t>Juan José Díaz</t>
  </si>
  <si>
    <t>Moreu de Acevedo</t>
  </si>
  <si>
    <t xml:space="preserve">Mireya Caballero de García </t>
  </si>
  <si>
    <t>Carrera 59 #79-180 - Casa</t>
  </si>
  <si>
    <t>1× Flora Box Lirios NARANJAS</t>
  </si>
  <si>
    <t>Infinito agradecimiento por tu gestión para apoyarnos en este Carnaval 2026. 
Que sin este apoyo no hubiese sido posible.</t>
  </si>
  <si>
    <t>Martha Moreu de Acevedo - Grupo Folclórico La Misma Vaina</t>
  </si>
  <si>
    <t>Farid</t>
  </si>
  <si>
    <t xml:space="preserve"> Meléndez</t>
  </si>
  <si>
    <t>Farid Meléndez</t>
  </si>
  <si>
    <t>Cra 68 74 80 conjunto Residencial Oasis T1 101 - Edificio</t>
  </si>
  <si>
    <t>Para la Mami más amada. Farid Jr y Diego.</t>
  </si>
  <si>
    <t>PLAN PREMIUM (BOUQUET DE 12 ROSAS ROSADAS EN PAPEL DE FLORES,2 ROSAS ARREGLADAS Y UNA ROSA ARREGLADA)</t>
  </si>
  <si>
    <t xml:space="preserve">Estefania </t>
  </si>
  <si>
    <t>Torregroza</t>
  </si>
  <si>
    <t>Estefania Torregroza</t>
  </si>
  <si>
    <t>ID de la orden
2430577563</t>
  </si>
  <si>
    <t>Aley</t>
  </si>
  <si>
    <t>Leonardo Aley</t>
  </si>
  <si>
    <t>ID de la orden
2430580799</t>
  </si>
  <si>
    <t>mauricio ortiz</t>
  </si>
  <si>
    <t>boulevar country - Casa</t>
  </si>
  <si>
    <t>1× Arreglo Personalizado 6 tulipanes</t>
  </si>
  <si>
    <t>Victor jose</t>
  </si>
  <si>
    <t>Nassiff escobar</t>
  </si>
  <si>
    <t>Victor jose Nassiff escobar</t>
  </si>
  <si>
    <t xml:space="preserve">Feliz cumple mi reina hermosa </t>
  </si>
  <si>
    <t xml:space="preserve">WEDO INVERSIONES S.A.S </t>
  </si>
  <si>
    <t>Cra 57#79-67 apt 502 edificio aqua 57 - Casa</t>
  </si>
  <si>
    <t>Calle 1E #21-89 - Edificio</t>
  </si>
  <si>
    <t>321 8956893</t>
  </si>
  <si>
    <t>Feliz cumpleaños, mi niña hermosa 🎂✨
Hoy celebro tu vida, pero también celebro lo afortunada que soy de tenerte en la mía. No sabes lo especial que eres para mí… te amo con todo mi corazón y agradezco tanto que hayas llegado a mi vida. Jamás había tenido una amiga tan linda, tan genuina y tan especial como tú.
Gracias por escucharme, por abrazarme cuando lo necesito, por tus consejos, por tu risa y por tu forma tan única de hacerme sentir acompañada siempre. Eres un regalo que Dios puso en mi camino y no dejo de agradecerlo.
Como te dije en el concierto de Silvestre Dangond, te dedicaba esa canción con todo mi corazón 🥹 y hoy también te dedico “Es por ti”de Juanes, porque literalmente está hecha para ti.
Que este nuevo año esté lleno de bendiciones, sueños cumplidos y momentos felices. Que sigas brillando como siempre lo haces.
Te amo infinito 🤍✨</t>
  </si>
  <si>
    <t>Con amor María</t>
  </si>
  <si>
    <t>Rosas rojas</t>
  </si>
  <si>
    <t>carlos gómez</t>
  </si>
  <si>
    <t>Rafael Diaz</t>
  </si>
  <si>
    <t>Calle 47 #44 - 152 1101A - Casa</t>
  </si>
  <si>
    <t>Feliz cumpleaños madre, te amo mucho</t>
  </si>
  <si>
    <t>Con amor, tu hijo Rafael</t>
  </si>
  <si>
    <t xml:space="preserve">Keily </t>
  </si>
  <si>
    <t xml:space="preserve">Gordillo </t>
  </si>
  <si>
    <t>PATRICIA BLANCO</t>
  </si>
  <si>
    <t>Transversal 43c #102-153 - Edificio</t>
  </si>
  <si>
    <t>Feliz cumpleaños a la mejor mamá del mundo. Gracias por tu amor infinito, por tu fuerza silenciosa y por estar siempre cuando más te necesitamos. Que la vida te regale tanta felicidad como la que tú nos das cada día. Te amamos.</t>
  </si>
  <si>
    <t>Con amor, Keily, Mari y papi.</t>
  </si>
  <si>
    <t>Angela Paba</t>
  </si>
  <si>
    <t>Transversal 43 # 100-50 Napoli apto 1043 - Edificio</t>
  </si>
  <si>
    <t>1× Corazón Mini Rosas | 1× Flora Box Romantic Flores 24 Rosas</t>
  </si>
  <si>
    <t>El msj que va en el corazón mini es el siguiente: Hija de mi vida te envío este regalo como un muestra del amor que te tengo espero disfrutes tu próximo cumpleaños, te amo.
El msj del flora box es el siguiente: Esposa mía, mi bebesita hermosa  te amo con todo mi corazón espero podamos estar juntos el resto de nuestras vidas, eres la dueña de mi corazón. Te adoro.</t>
  </si>
  <si>
    <t>Tener en cuenta que cada arreglo va para una persona diferente el corazón mini para mi hija y la flora box para mi esposa, lo aclaro para que lo tengan en cuenta en el msj de la tarjeta</t>
  </si>
  <si>
    <t>HOT AMERICAS FAVORITE PIZZA SAS</t>
  </si>
  <si>
    <t>SILVIA ZENAIDA HERRERA</t>
  </si>
  <si>
    <t>ABADIA DE LA ASCENCION CRA 53# 55 - Casa</t>
  </si>
  <si>
    <t>Con respeto y cariño honramos su vida,su partida nos llena de profunda tristeza,hoy nos unimos en solidaridad con su familia ofreciendo nuestras sinceras condolencias.
Nazira montero,david y alex gutierrez</t>
  </si>
  <si>
    <t>corona fúnebre</t>
  </si>
  <si>
    <t>Angelo</t>
  </si>
  <si>
    <t xml:space="preserve">Chávez </t>
  </si>
  <si>
    <t xml:space="preserve">Gabriela Martínez </t>
  </si>
  <si>
    <t>Calle 95 no. 43 - 120 (apto 701) house tabor - Edificio</t>
  </si>
  <si>
    <t>“Feliz cumpleaños a lo más hermoso” ACHS</t>
  </si>
  <si>
    <t>dayana masias</t>
  </si>
  <si>
    <t>carrea 58 # 74 - 71 - Oficina</t>
  </si>
  <si>
    <t>320 5063581</t>
  </si>
  <si>
    <t>david muñoz</t>
  </si>
  <si>
    <t>Amy</t>
  </si>
  <si>
    <t>Cra 59b 91 224</t>
  </si>
  <si>
    <t>Blanca, As you begin treatment know we are all thinking of you. Your strength, perseverance, and the grace will carry through. You are not alone in this — we are cheering you on and here to support every step of the way.</t>
  </si>
  <si>
    <t>Sincerely, Emily and Local Parti Team</t>
  </si>
  <si>
    <t>Marco Tulio</t>
  </si>
  <si>
    <t xml:space="preserve"> Guzman Martinez</t>
  </si>
  <si>
    <t xml:space="preserve"> Michelle Susana Durán Smalbach</t>
  </si>
  <si>
    <t>Carrera 58 # 75 - 12, Piso 2 Edificio, Banco Caja Social. Oficinas Colmena seguros - Casa</t>
  </si>
  <si>
    <t>No importa la distancia, estas en mis pensamientos y mi corazón. Te amo.  
ATTE: MG</t>
  </si>
  <si>
    <t>Eduin</t>
  </si>
  <si>
    <t>Juli Jaimes</t>
  </si>
  <si>
    <t>Calle 85 # 78D-26 Edificio Puerto Real Apto 301 - Edificio</t>
  </si>
  <si>
    <t>300 4768221</t>
  </si>
  <si>
    <t xml:space="preserve"> Solo verte, ya es una ocasión especial ♥️</t>
  </si>
  <si>
    <t xml:space="preserve">CARLOS </t>
  </si>
  <si>
    <t>ANDRES MARTINEZ</t>
  </si>
  <si>
    <t>72 # 31-24 - Casa</t>
  </si>
  <si>
    <t>1× Marquito Orquidea ponerle más rosas blancas ojooo</t>
  </si>
  <si>
    <t xml:space="preserve"> HOY CELEBRO TU VIDA, TU SONRISA Y TODO LO BONITO QUE ERES</t>
  </si>
  <si>
    <t>Johan Samper</t>
  </si>
  <si>
    <t>1× Bouquet Flora Antique OJO EN TONOS PASTELES</t>
  </si>
  <si>
    <t>Te amaré para toda la vida mi futura esposa ❤️</t>
  </si>
  <si>
    <t>Con mucho amor, tu futuro esposo</t>
  </si>
  <si>
    <t>Colores pastel</t>
  </si>
  <si>
    <t>Silvana Hennessey</t>
  </si>
  <si>
    <t>Cra 59n90-44. Edificio Turkana Apto 1502. - Edificio</t>
  </si>
  <si>
    <t>feliz aniversario, 
gracias por ser ese ejemplo para nosotros siempre, por amarnos y por enseñarnos de el amor. Hace 22 años inició esta linda unión y crearon una hermosa familia (ósea nosotros). Disfruten mucho hoy y desde la distancia les mandamos muchos abrazos y besos que nana les dará por nosotros.</t>
  </si>
  <si>
    <t>Los amamos, Luisvi, Nana y Majo</t>
  </si>
  <si>
    <t>Andrea Viñas</t>
  </si>
  <si>
    <t>Cra 55#80-265 - Casa</t>
  </si>
  <si>
    <t>Feliz cumpleaños a la mujer mas fuerte de este mundo. Que Dios te siga bendiciendo grandemente.
Te queremos mucho</t>
  </si>
  <si>
    <t xml:space="preserve">Gracias por todo tu esfuerzo, dedicación y compromiso. TE AMO! </t>
  </si>
  <si>
    <t xml:space="preserve">Ernesto </t>
  </si>
  <si>
    <t>Cra 71#93 37 Tivoly plaza torre 11 apto 535 - Conjunto</t>
  </si>
  <si>
    <t>Feliz cumpleaños Isa. Que tengas un lindo día y que seas muy feliz. Un beso enorme 😘</t>
  </si>
  <si>
    <t>Con cariño Ernesto P</t>
  </si>
  <si>
    <t>Bouquet de lirios amarillos</t>
  </si>
  <si>
    <t>Hormiga</t>
  </si>
  <si>
    <t xml:space="preserve">Sara de la hoz </t>
  </si>
  <si>
    <t>Calle 72 # 54-35 - Oficina</t>
  </si>
  <si>
    <t>Para mi migajera favorita ❤️</t>
  </si>
  <si>
    <t>Nadie</t>
  </si>
  <si>
    <t>Detalles en el chat</t>
  </si>
  <si>
    <t>Eyleen Alfaro</t>
  </si>
  <si>
    <t>Cra. 38 #74-232, Las Mercedes, Barranquilla, veterianaria 38plus - Oficina</t>
  </si>
  <si>
    <t>🌹 Para Eyleen 🌹
“Eyleen, estas flores son solo un pequeño reflejo de lo que siento por ti.
Llegaste a mi vida para llenarla de alegría, calma y sueños nuevos.
Hoy quiero que sepas que no solo me gustas…
quiero caminar contigo, crecer contigo y construir un futuro a tu lado.
Si la vida me da la oportunidad, quiero vivir el resto de mis días contigo.
Gracias por existir y por inspirar lo mejor de mí.”
Con cariño,
Jorge 💖</t>
  </si>
  <si>
    <t>Eres mi persona favorita</t>
  </si>
  <si>
    <t xml:space="preserve">Daniel José </t>
  </si>
  <si>
    <t xml:space="preserve">Rico García </t>
  </si>
  <si>
    <t xml:space="preserve">Linda florian </t>
  </si>
  <si>
    <t>Calle 59#44-66, barrio Boston - Casa</t>
  </si>
  <si>
    <t>Amor mío, 
Hoy estas flores llevan lo que a veces las palabras no alcanzan a decir.
Cada pétalo es mi amor por ti.
Cada color es la luz que eres en mi vida.
Cada aroma es un abrazo que te envuelve y te recuerda que no estás sola.
Eres hermosa incluso en tus silencios, fuerte incluso en tu ternura.
Estoy contigo.
Te amo más de lo que imaginas.
Siempre tuyo. 🌷</t>
  </si>
  <si>
    <t>De tu amado esposo, tu pechiche</t>
  </si>
  <si>
    <t>Deseo que sea hermoso, deseo que sea especial, acabamos de perder un bebé y quiero resaltar que la vida es luz  .</t>
  </si>
  <si>
    <t>Isaac David</t>
  </si>
  <si>
    <t>Escobar Suarez</t>
  </si>
  <si>
    <t>Familia Nova Peñaranda</t>
  </si>
  <si>
    <t>Cementerio los olivos</t>
  </si>
  <si>
    <t>Vía al Mar #Km 7, Capilla del cementerio los olivos, vía Puerto Colombia. Preguntar por la familia nova - Edificio</t>
  </si>
  <si>
    <t>“Cercano está Jehová a los quebrantados de corazón; Y salva a los contritos de espíritu.”
‭‭SALMOS‬ ‭34‬:‭18‬ ‭</t>
  </si>
  <si>
    <t>Con cariño, sus alumnos de duodécimo grado.</t>
  </si>
  <si>
    <t>Que llegue antes de 4:30pm</t>
  </si>
  <si>
    <t>Lequerica</t>
  </si>
  <si>
    <t>Michelle esquiaqui</t>
  </si>
  <si>
    <t>Feliz Aniversario. Wiyu?</t>
  </si>
  <si>
    <t>Jean Pierre Lequerica</t>
  </si>
  <si>
    <t>Calle 1D #21-40 Palmar de la Ciénaga, T3-1704 - Edificio</t>
  </si>
  <si>
    <t xml:space="preserve">Sin importar lo que decidamos, un gesto de cariño y agradecimiento. Nunca te voy a olvidar. </t>
  </si>
  <si>
    <t>Con amor, su mono.</t>
  </si>
  <si>
    <t>Si es posible, colores tierra o más “masculinos”. Recordar la foto que les haré llegar.</t>
  </si>
  <si>
    <t>Rico García</t>
  </si>
  <si>
    <t>Linda florian</t>
  </si>
  <si>
    <t>Calle 59#44-66, barrio Boston - Casa - Edificio</t>
  </si>
  <si>
    <t xml:space="preserve">Escarly </t>
  </si>
  <si>
    <t xml:space="preserve">Miranda Díaz </t>
  </si>
  <si>
    <t xml:space="preserve">Escarly Miranda </t>
  </si>
  <si>
    <t>Cra 65 # 84-235 - Casa</t>
  </si>
  <si>
    <t>Feliz cumpleaños, mamá. Hoy quiero aprovechar para decirte algo que quizá no te digo todos los días: gracias por ser el corazón de nuestra familia y la luz que guía mi vida. Gracias por cada sacrificio silencioso, por cada consejo lleno de amor, por cada abrazo que me ha dado fuerza cuando más lo he necesitado. Tu amor es el regalo más grande que he recibido.
Eres una mujer increíble, fuerte, valiente y llena de bondad. Me has enseñado con tu ejemplo a ser mejor persona, a no rendirme y a creer en mí. Cada logro que tengo lleva un pedacito de ti, porque sin tu apoyo y tus palabras de ánimo no sería quien soy hoy.
Deseo que este nuevo año de vida esté lleno de salud, tranquilidad, sueños cumplidos y momentos hermosos. Que la vida te devuelva multiplicado todo el amor que siembras cada día. Te mereces lo mejor del mundo, hoy y siempre.
Gracias por ser mi mamá, mi guía y mi mayor bendición. Te amo con todo mi corazón. ¡Feliz cumpleaños!</t>
  </si>
  <si>
    <t>De tu hija hermosa</t>
  </si>
  <si>
    <t>Rosas</t>
  </si>
  <si>
    <t>Berrio</t>
  </si>
  <si>
    <t>Katherine Cantillo</t>
  </si>
  <si>
    <t>Balcones de San Marino - Edificio</t>
  </si>
  <si>
    <t>¡Feliz cumpleaños! 
Hoy celebro que exista alguien con esa sonrisa tan especial.
Que Dios te bendiga, mereces todo lo bueno de la vida. No permitas que nadie apague tu brillo. Te mando un abrazo grande, que lo disfrutes.</t>
  </si>
  <si>
    <t>Con mucho cariño, Pipe</t>
  </si>
  <si>
    <t xml:space="preserve">Villa </t>
  </si>
  <si>
    <t xml:space="preserve">Luis montes </t>
  </si>
  <si>
    <t>Torre 10 804</t>
  </si>
  <si>
    <t>Solo espero ser el primero de muchas y poder demostrarte todo lo que te mereces!</t>
  </si>
  <si>
    <t>🐥 de colores!</t>
  </si>
  <si>
    <t xml:space="preserve">Jhoynnier </t>
  </si>
  <si>
    <t xml:space="preserve">María José  Cayón Cuspoca </t>
  </si>
  <si>
    <t>Carrera 49C#96-24</t>
  </si>
  <si>
    <t>Te amo ❤️‍🔥</t>
  </si>
  <si>
    <t>León</t>
  </si>
  <si>
    <t>Carrera 44 # 76-30 - Edificio Roxana Apt 403</t>
  </si>
  <si>
    <t>¡Feliz día de la mujer!
Feliz día para ti que eres una mujer maravillosa, que tus ojos sigan brillando siempre como el sol y tu sonrisa siga llenando el alma de quienes te rodean 💞</t>
  </si>
  <si>
    <t>Bouquet de 20 Rosas Rosadas y Margaritas Lila.</t>
  </si>
  <si>
    <t>AMMM</t>
  </si>
  <si>
    <t>QUE LAS FLORES SEAN ROJAS Y BLANCAS</t>
  </si>
  <si>
    <t>Jeisson</t>
  </si>
  <si>
    <t>Noya</t>
  </si>
  <si>
    <t>Edificio Sorrento T3 APTO 324</t>
  </si>
  <si>
    <t>TV 43c # 102 - 153 T3 APTO 324</t>
  </si>
  <si>
    <t xml:space="preserve">Amara y yo estamos muy feliz de que estés en casa de nuevo amor!! Te amamos! </t>
  </si>
  <si>
    <t>JN</t>
  </si>
  <si>
    <t xml:space="preserve">Vanessa </t>
  </si>
  <si>
    <t xml:space="preserve">Fragozo </t>
  </si>
  <si>
    <t>CARMEN RODRIGUEZ</t>
  </si>
  <si>
    <t>Calle 98 #52B - 10</t>
  </si>
  <si>
    <t>1× Flora Box Mediana Aire | 1× Topper Happy Birthday</t>
  </si>
  <si>
    <t xml:space="preserve">Feliz cumpleaños mami. Le doy gracias a Dios por darme la oportunidad de ser tu hija, de ser hija de una mujer luchadora, alegre, valiente, cariñosa, honesta, y llena de tantas cualidades que han sido mi ejemplo. Que seas feliz hoy y siempre! GRACIAS POR TANTO. Te amo con todo mi ser. </t>
  </si>
  <si>
    <t>Vane tu princesa</t>
  </si>
  <si>
    <t>Me gustaría que llevara un rosario, o virgen. Por favor</t>
  </si>
  <si>
    <t xml:space="preserve">diala  </t>
  </si>
  <si>
    <t>hanna</t>
  </si>
  <si>
    <t xml:space="preserve">diala hanna </t>
  </si>
  <si>
    <t>calle85#42h-22</t>
  </si>
  <si>
    <t xml:space="preserve">que dios te bendiga en este día especial,mi amor.Agradezco cada día por tenerte como esposo y padre de nuestros hijos. Feliz cumpleaños tqm 😘 
</t>
  </si>
  <si>
    <t>emmanuel</t>
  </si>
  <si>
    <t>emmanuel polo</t>
  </si>
  <si>
    <t>bouquet de claveles</t>
  </si>
  <si>
    <t xml:space="preserve">Bernando </t>
  </si>
  <si>
    <t>mejia</t>
  </si>
  <si>
    <t>Bernando mejia</t>
  </si>
  <si>
    <t xml:space="preserve">Beatriz Bolaño García </t>
  </si>
  <si>
    <t>Cra 43B # 90-141 edificio Novo 90 - Edificio</t>
  </si>
  <si>
    <t>Feliz cumpleaños. Que la vida te siga regalando motivos para sonreír, sueños por cumplir y momentos tan especiales como tú, Hoy celebro tu vida y la fortuna de conocerte, te amo.</t>
  </si>
  <si>
    <t>Abraham Scoll</t>
  </si>
  <si>
    <t>Así como aparece en la foto</t>
  </si>
  <si>
    <t>Durante</t>
  </si>
  <si>
    <t>Julieth Meriño</t>
  </si>
  <si>
    <t>Calle 44#17-57 Conjunto Maravilla Real - Conjunto</t>
  </si>
  <si>
    <t>1× Bouquet 12 Rosas Rojas | 1× Topper Feliz Aniversario</t>
  </si>
  <si>
    <t>Feliz aniversario, mi amor. 💛
Gracias por llegar a mi vida y convertir lo cotidiano en magia.
Contigo aprendí que el amor no se promete… se construye cada día.
Que este sea solo el comienzo de todas las historias que nos faltan por vivir juntos. ✨</t>
  </si>
  <si>
    <t>Juanca</t>
  </si>
  <si>
    <t>Jurado</t>
  </si>
  <si>
    <t>Alexa Abudinen</t>
  </si>
  <si>
    <t>Cra 53 # 82 -177 Edificio Grecia Apto. 602 - Edificio</t>
  </si>
  <si>
    <t>¡Feliz Cumpleaños Sitty Ale! 
Hoy celebramos tu vida y todo lo que significas para nuestra familia.  Le pedimos a Dios que este nuevo año de vida esté lleno de muchas bendiciones, salud y alegría y que nos conceda más oportunidades para compartir juntos. 
Te queremos mucho!</t>
  </si>
  <si>
    <t>Samih, Clau, Daniel, Maxi, Wiwi y Oreo</t>
  </si>
  <si>
    <t>Colores pastel.</t>
  </si>
  <si>
    <t>Lorena Castro</t>
  </si>
  <si>
    <t>LeColate de Plaza del Parque</t>
  </si>
  <si>
    <t>Para: Lore y Emilie
De: 4th Grade
¡Con mucho cariño!</t>
  </si>
  <si>
    <t>Bienvenidas Emilie</t>
  </si>
  <si>
    <t>Julieth</t>
  </si>
  <si>
    <t>Polo</t>
  </si>
  <si>
    <t>En memoria Gladys Duncan De Lopez</t>
  </si>
  <si>
    <t>Cementerio jardines de la eternidad, sede norte, sala 9 - Casa</t>
  </si>
  <si>
    <t>1× Corona Lirios | 2× Sudario</t>
  </si>
  <si>
    <t>KM HANDLING BARRANQUILLA</t>
  </si>
  <si>
    <t>Laura Mendoza</t>
  </si>
  <si>
    <t>Carrera 8#134-107, Torre 19 apto 504, conjunto bávaro - Conjunto</t>
  </si>
  <si>
    <t>BOUQUET DE MARGARITAS BLANCAS Y LILAS</t>
  </si>
  <si>
    <t xml:space="preserve">Feliz día para nuestra princesa hermosa🩷 </t>
  </si>
  <si>
    <t>Con amor, tus papitos</t>
  </si>
  <si>
    <t>Ramo de margaritas color lila y blanco, me gustaría que el papel de envoltura combine con las flores</t>
  </si>
  <si>
    <t>Guzman velez</t>
  </si>
  <si>
    <t>Valentina Guzman velez</t>
  </si>
  <si>
    <t>Orne:
Hemos crecido juntas, hemos cambiado, pero lo que nunca ha cambiado es la alegría de celebrar los momentos importantes.
Hoy celebramos el amor que encontraste y el hogar que estás empezando a construir.
Que el amor que hoy celebramos se multiplique en cada etapa que viene.
We love you!!</t>
  </si>
  <si>
    <t>Vale Guzmán, Danisam, Lex, Calla, Gaby, Vale Saade , vale Gutierrez</t>
  </si>
  <si>
    <t>Estilo romántico porque es para felicitar un compromiso de una boda</t>
  </si>
  <si>
    <t xml:space="preserve">Kiara </t>
  </si>
  <si>
    <t>Archbold</t>
  </si>
  <si>
    <t>Wilva Garcia</t>
  </si>
  <si>
    <t>Hotel marriot habitación 316 - Hotel</t>
  </si>
  <si>
    <t>301 2023268</t>
  </si>
  <si>
    <t>Hoy el amor celebra tu historia y el comienzo de un “para siempre” lleno de luz. Que cada mirada, cada abrazo y cada amanecer juntos les recuerde por qué se eligieron. Que construyan un amor profundo, paciente y eterno, de esos que crecen con el tiempo y florecen en cada detalle.
Te deseo una vida llena de magia, complicidad y sueños cumplidos.</t>
  </si>
  <si>
    <t>Kiara Archbold</t>
  </si>
  <si>
    <t>Colores pasteles como está en la foto de referencia</t>
  </si>
  <si>
    <t>cindy mantilla</t>
  </si>
  <si>
    <t>hOTEL MOVICH - Hotel</t>
  </si>
  <si>
    <t>BOUQUET DE 12 ROSAS ROJAS,UNA BOLSA DE PÉTALOS ROSADOS Y 10 VARAS DE RUSCUS.</t>
  </si>
  <si>
    <t xml:space="preserve">Carlo </t>
  </si>
  <si>
    <t xml:space="preserve">Avila Muñoz </t>
  </si>
  <si>
    <t xml:space="preserve">Carlo Avila Muñoz </t>
  </si>
  <si>
    <t>CRA 71#94-23 torre 3 Apto 210 - Conjunto</t>
  </si>
  <si>
    <t>1× Marquito como el degirasol pero surtido con rosas amarillas</t>
  </si>
  <si>
    <t>Eres el sol que da calor a mi alma.</t>
  </si>
  <si>
    <t>Com mucho amor, Carlo</t>
  </si>
  <si>
    <t>fernandez de castro</t>
  </si>
  <si>
    <t>diana fernandez de castro</t>
  </si>
  <si>
    <t>arzanios</t>
  </si>
  <si>
    <t>julio arzanios</t>
  </si>
  <si>
    <t>andrés</t>
  </si>
  <si>
    <t>meriño</t>
  </si>
  <si>
    <t>andrés meriño</t>
  </si>
  <si>
    <t>bouquet de 12 rosas</t>
  </si>
  <si>
    <t>Gabriela</t>
  </si>
  <si>
    <t>Bornacelli Jubiz</t>
  </si>
  <si>
    <t>Carmen Jubiz</t>
  </si>
  <si>
    <t>Cra 56, #84-63 - Casa</t>
  </si>
  <si>
    <t xml:space="preserve">Feliz cumpleaños señora camen, la queremos mucho </t>
  </si>
  <si>
    <t>Con cariño, Gaby B, Gaby U, y Anto</t>
  </si>
  <si>
    <t>Adriana Lucia</t>
  </si>
  <si>
    <t>Adriana Lucia Porta Castañeda</t>
  </si>
  <si>
    <t>Transversal 57# 99-180 apto 703 Edificio Select - Edificio</t>
  </si>
  <si>
    <t>2 paquetes de ruscus un paquete de 24 rosas fucsia</t>
  </si>
  <si>
    <t>cepeda</t>
  </si>
  <si>
    <t>maria isabel cepeda</t>
  </si>
  <si>
    <t>Cra 57 # 86-27  Casa - Casa</t>
  </si>
  <si>
    <t>20 rosas rosadas claritas</t>
  </si>
  <si>
    <t>Gisely</t>
  </si>
  <si>
    <t xml:space="preserve"> López </t>
  </si>
  <si>
    <t xml:space="preserve">Alejandra Hernández </t>
  </si>
  <si>
    <t>CALLE 3B #51B #505 Conjunto Residencial Arrecifes, casa 21 - Edificio</t>
  </si>
  <si>
    <t>Eras tú la cintura de aquella guitarra que toque en las tinieblas y sonó como el mar desmedido .
Te amé sin que yo lo supiera y busqué tu memoria .
en las casas vacías entré con linterna a robar tu retrato , pero yo ya sabía cómo era.
Te toque y se detuvo mi vida : frente a mis ojos estabas, reinándome y reinas …👸🏻
Feliz cumpleaños a la mujer más hermosa de mi querida Barranquilla .</t>
  </si>
  <si>
    <t xml:space="preserve"> HEILBRON</t>
  </si>
  <si>
    <t xml:space="preserve"> EMMA HEILBRON</t>
  </si>
  <si>
    <t>⁠Cra 26a #73c 28 - Casa</t>
  </si>
  <si>
    <t>arreglo mujer en rosados como foto</t>
  </si>
  <si>
    <t>EMMA has conquistado una meta, ahora conquista tu sueño, muchas felicidades. 
De: LUIS HEILBRON</t>
  </si>
  <si>
    <t>Garcia Campo</t>
  </si>
  <si>
    <t xml:space="preserve">Marina López </t>
  </si>
  <si>
    <t>Cra 74# 80-109 casa 2 - Casa</t>
  </si>
  <si>
    <t>Amor, hoy cumplimos 20 años. 
Veinte años de Caminar juntos.
Veinte años de elegirnos cada día
Veinte años de construir algo que no todos logran: una vida real, sólida y llena de propósito. 
Gracias por ser mi compañera de vida, mi apoyo, fuerza y equilibrio. 
Gracias por el hogar que hemos construido y por la familia que es nuestro mayor orgullo.</t>
  </si>
  <si>
    <t xml:space="preserve">MICHELLE </t>
  </si>
  <si>
    <t>CERTAIN</t>
  </si>
  <si>
    <t>MICHELLE CERTAIN</t>
  </si>
  <si>
    <t>Carrera 56 80 163  Edificio SCALA apto 9b - Edificio</t>
  </si>
  <si>
    <t>9 hortencias blancas y dos ruscus</t>
  </si>
  <si>
    <t>Sheila</t>
  </si>
  <si>
    <t>Eloisa Jimenez</t>
  </si>
  <si>
    <t>Carrera 26 #13-06 Apto 3 Concord Malambo Atlantico - Casa</t>
  </si>
  <si>
    <t>300 6225593</t>
  </si>
  <si>
    <t>Feliz Cumpleaños mamita hermosa! Hoy y siempre, te amamos con el alma y el corazón. Te extrañamos!</t>
  </si>
  <si>
    <t>Love you always, Sheila y Josiah</t>
  </si>
  <si>
    <t xml:space="preserve">Lizzeth </t>
  </si>
  <si>
    <t>Burgos</t>
  </si>
  <si>
    <t>Lizzeth Burgos</t>
  </si>
  <si>
    <t xml:space="preserve"> Guarin </t>
  </si>
  <si>
    <t>Sebastian Guarin</t>
  </si>
  <si>
    <t>322 2149571</t>
  </si>
  <si>
    <t>Es toda una dicha poder tenerte en nuestras vidas otro año más, y gracias a eso podremos seguir disfrutando de tu cariño, amor, sinceridad y cuidado. Felicidades por cumplir otro año junto a nosotros, Mabel. Que Dios te siga bendiciendo y dándote fuerzas en todos tus proyectos y nosotros seguiremos a tu lado apoyándote incondicionalmente. 
Con amor, tus amados esposo y e hijos.</t>
  </si>
  <si>
    <t>cabello</t>
  </si>
  <si>
    <t>leonardo cabello</t>
  </si>
  <si>
    <t>cra 23 B # 64-114 CASA</t>
  </si>
  <si>
    <t xml:space="preserve">juan carlos </t>
  </si>
  <si>
    <t>dávila</t>
  </si>
  <si>
    <t>juan carlos dávila</t>
  </si>
  <si>
    <t xml:space="preserve"> orozco </t>
  </si>
  <si>
    <t>andrea daza</t>
  </si>
  <si>
    <t>Modelo</t>
  </si>
  <si>
    <t>Calle 86#73-08 edificio miracle apto 404 - Edificio</t>
  </si>
  <si>
    <t xml:space="preserve"> Solo quiero verte sonreír mi amor</t>
  </si>
  <si>
    <t xml:space="preserve">Lisseth </t>
  </si>
  <si>
    <t xml:space="preserve">Falcon </t>
  </si>
  <si>
    <t>Mi dirección Transv 44 # 102-167 T 5, Apto 742, Conjunto Siena - Edificio</t>
  </si>
  <si>
    <t>Feliz cumpleaños(aunque esto lo estás leyendo un día después) a mi amiga y confidente.
Que Dios te regale muchos años más de vida, llenos de amor, salud y felicidad. Eres un ser excepcional, y soy profundamente afortunada de tenerte en mi vida.
Que este nuevo año llegue cargado de bendiciones y sueños cumplidos, porque mereces todo lo bonito que existe en el mundo.
Te amo</t>
  </si>
  <si>
    <t>Lichito</t>
  </si>
  <si>
    <t>Tal cual como en la imagen</t>
  </si>
  <si>
    <t>claudia patricia</t>
  </si>
  <si>
    <t>montoya</t>
  </si>
  <si>
    <t>claudia patricia montoya</t>
  </si>
  <si>
    <t xml:space="preserve"> González</t>
  </si>
  <si>
    <t xml:space="preserve">Valentina Mercado </t>
  </si>
  <si>
    <t>Cra 59 #82-63 - Edificio</t>
  </si>
  <si>
    <t>Happy Birthday Wiwi,
XOXO</t>
  </si>
  <si>
    <t xml:space="preserve">Lueidis </t>
  </si>
  <si>
    <t xml:space="preserve">Cabana </t>
  </si>
  <si>
    <t>Grimaldina Dávila</t>
  </si>
  <si>
    <t>Soledad</t>
  </si>
  <si>
    <t>Calle 56D 34 A 44 Las gaviotas, Soledad - Casa</t>
  </si>
  <si>
    <t>Grima Te Deseo siempre lo más Bonito que te Pueda pasar en este Planeta 
Gracias por todo tu Cariño y por estar Presente en Todo momento para todos los que en algún momento te Necesitamos 
Dios te guarde y te regale Mucha salud 
Sabes Que Te Quiero Muchoooo!!! Mi Grima 
Te Deseo un Feliz Cumpleaños 🎂</t>
  </si>
  <si>
    <t>Con cariño, Liliana</t>
  </si>
  <si>
    <t>Las rosas que sean rosadas porfavor.</t>
  </si>
  <si>
    <t>Veronica</t>
  </si>
  <si>
    <t>Maria Alejandra Aldana</t>
  </si>
  <si>
    <t>Calle 96 #58-84 - Edificio</t>
  </si>
  <si>
    <t>Feliz cumpleaños. Te amamos.</t>
  </si>
  <si>
    <t>Mona, Veri, Nari, Jess y Pawa</t>
  </si>
  <si>
    <t xml:space="preserve">Danies </t>
  </si>
  <si>
    <t xml:space="preserve">Andres Oliva </t>
  </si>
  <si>
    <t>Calle 95 #42f - 234 Edificio Sarara 2 apto 201 - Edificio</t>
  </si>
  <si>
    <t>301 2520514</t>
  </si>
  <si>
    <t>Me siento muy orgullosa de tener a un hombre tan maravilloso a mi lado.
Te amo y cada dia que pasa estoy segura de pasar mi vida contigo
feliz cumpleaños mi amor</t>
  </si>
  <si>
    <t>Con amor, Isa</t>
  </si>
  <si>
    <t>No tengo instrucciones</t>
  </si>
  <si>
    <t>Danielle</t>
  </si>
  <si>
    <t xml:space="preserve">Jackie Bojanini </t>
  </si>
  <si>
    <t>Carrera 53 #83-93 - Edificio</t>
  </si>
  <si>
    <t>Feliz cumpleaños!!!
Te queremos mucho, 
Sofía, Patrick, Danielle y Eoin</t>
  </si>
  <si>
    <t>Sofía, Patrick, Danielle y Eoin</t>
  </si>
  <si>
    <t xml:space="preserve">Mario De Jesús </t>
  </si>
  <si>
    <t>Barrios Charris</t>
  </si>
  <si>
    <t>Mario De Jesús Barrios Charris</t>
  </si>
  <si>
    <t>Rincón Sarmiento</t>
  </si>
  <si>
    <t>Paulette Fortich</t>
  </si>
  <si>
    <t>Calle 81B no 64 - 27 apto 707 - Edificio</t>
  </si>
  <si>
    <t>Nuestra Pau, en este momento de tanto dolor queremos que sientas nuestro abrazo más fuerte y sincero. Estamos contigo hoy y siempre. Te queremos muchísimo y aquí estaremos para sostenerte, escucharte y acompañarte en cada lágrima. Nunca olvides lo especial y valiosa que eres para nosotras.</t>
  </si>
  <si>
    <t>Claudia, Diana, Kelly, Liz, Lorena, Paola, Vanesa y Maristella.</t>
  </si>
  <si>
    <t>Arreglo en tonos blanco y rosado, sin base alta, que quede bajito, y que la virgen sea de GUADALUPE en tonos rosados.</t>
  </si>
  <si>
    <t>Pauleth</t>
  </si>
  <si>
    <t xml:space="preserve">Kary Sánchez </t>
  </si>
  <si>
    <t>Calle 38B # 8-48  Barrio, El campito Casa rejas blanca esquina - Casa</t>
  </si>
  <si>
    <t>Mensaje : Feliz cumpleaños, Kary 🎂✨
Qué dicha tan grande fue compartir contigo todos estos días y poder conocerte más. Gracias por tu amistad tan bonita.
Deseo de corazón que esta amistad sea para siempre, porque personas como tú se atesoran. Cuentas conmigo hoy y siempre.
Que pases un cumpleaños increíble, lleno de amor, risas y momentos inolvidables. Te mereces todo lo lindo de este mundo.
Ya te extrañamos 🤍
Con amor,
Pauleth y Celeste 💕</t>
  </si>
  <si>
    <t>Con amor pauleth y celeste</t>
  </si>
  <si>
    <t>Jennyffer</t>
  </si>
  <si>
    <t xml:space="preserve">Trens </t>
  </si>
  <si>
    <t>Diosa Romero</t>
  </si>
  <si>
    <t>Calle 68b #31-70 casa 14A - Conjunto</t>
  </si>
  <si>
    <t>Feliz cumpleaños ✨
Que este nuevo año de vida llegue lleno de calma, fuerza y sonrisas renovadas.
Deseamos de corazón que tu recuperación sea rápida y tranquila, y que cada día te sientas un poquito mejor.
Que estas flores le recuerden cuánto la queremos y lo mucho que estamos orando por ti.
¡Mucho ánimo y un abrazo lleno de luz!</t>
  </si>
  <si>
    <t>Con cariño Jenny y Blas</t>
  </si>
  <si>
    <t>Colores pasteles</t>
  </si>
  <si>
    <t>Jimenez Niño</t>
  </si>
  <si>
    <t>Yolany de la Ossa</t>
  </si>
  <si>
    <t>Via 40 #53-57 - Oficina</t>
  </si>
  <si>
    <t>Aunque ahora no lo veas, Dios ya está haciendo algo nuevo en tu vida. “He aquí que yo hago cosa nueva.” – Isaías 43:19
Confía, lo mejor aún está por florecer.</t>
  </si>
  <si>
    <t>Con cariño, Juan y Eileen</t>
  </si>
  <si>
    <t>Luzday</t>
  </si>
  <si>
    <t>Nensoza</t>
  </si>
  <si>
    <t>Elvira pimiento</t>
  </si>
  <si>
    <t>Cra 41 D #74-95 - Conjunto</t>
  </si>
  <si>
    <t>1× Flora Box Mediana Topiario | 1× Topper Happy Birthday</t>
  </si>
  <si>
    <t>Te deseamos un hermoso día, te amamos, eres maravillosa.</t>
  </si>
  <si>
    <t>Con cariño, felix, Nando, luz y fernando</t>
  </si>
  <si>
    <t>Fabian</t>
  </si>
  <si>
    <t>Mónica Berdugo</t>
  </si>
  <si>
    <t>Mi amor, celebremos este 26 de Febrero nuestro aniversario 26.
Será una noche increíble.
Te amo muchísimo ❤️❤️❤️</t>
  </si>
  <si>
    <t>Fabián Martínez</t>
  </si>
  <si>
    <t>Me gustarían tal cual los colores que aparecen en la foto, tonos pasteles blanco y rosado</t>
  </si>
  <si>
    <t xml:space="preserve">Adriana Bayona </t>
  </si>
  <si>
    <t>Cra24 #2b-454 conjunto cororoima casa 1f - Conjunto</t>
  </si>
  <si>
    <t>¡Feliz cumpleaños mami! Gracias por estar a mi lado un año más de vida, eres una mujer maravillosa y espero que todos tus deseos y tus metas se cumplan con el favor de Dios. Te amo</t>
  </si>
  <si>
    <t>Con amor, Silvi</t>
  </si>
  <si>
    <t>Mario De Jesús</t>
  </si>
  <si>
    <t>id 2431920944</t>
  </si>
  <si>
    <t>beto</t>
  </si>
  <si>
    <t>beto dávila</t>
  </si>
  <si>
    <t>id 2431940690</t>
  </si>
  <si>
    <t>Suad</t>
  </si>
  <si>
    <t>Yidios</t>
  </si>
  <si>
    <t>Paulette yidi</t>
  </si>
  <si>
    <t>Calle 81 # 59-59 piso 803 - Edificio</t>
  </si>
  <si>
    <t>Bienvenida Mariana!! Ya queremos conocerte, te queremos mucho.
Brian, Suad y Victoria.</t>
  </si>
  <si>
    <t>Brian, Suad y Victoria</t>
  </si>
  <si>
    <t>Colores pasteles y rosados</t>
  </si>
  <si>
    <t xml:space="preserve">Francisco  </t>
  </si>
  <si>
    <t xml:space="preserve">Saray Teherán </t>
  </si>
  <si>
    <t>calle 94#51B-57 oficina 303lean solutions grup. - Edificio.</t>
  </si>
  <si>
    <t>CAJA MEDIANA CON TULIPANES NARANJA</t>
  </si>
  <si>
    <t>: Un detalle para alegrarle el día a la mujer que alegra los míos. Con cariño, aquel quien no deja de pensarte.  Francisco Pérez</t>
  </si>
  <si>
    <t>Martinez Villalba</t>
  </si>
  <si>
    <t>Daniela Martinez</t>
  </si>
  <si>
    <t>Calle 80#55-25. Edificio Alcazar. Apto 9C - Edificio</t>
  </si>
  <si>
    <t>Muchas gracias por tu apoyo y por ser tan especial con nosotros!</t>
  </si>
  <si>
    <t>Gustavo y Daniela</t>
  </si>
  <si>
    <t xml:space="preserve">Nasly </t>
  </si>
  <si>
    <t>Nasly Davila</t>
  </si>
  <si>
    <t>Entrega En Tienda - Entrega En Tienda.</t>
  </si>
  <si>
    <t>flores surtida</t>
  </si>
  <si>
    <t>Luz</t>
  </si>
  <si>
    <t>#132-40 conjunto residencial rincón campestre casa 10 - Conjunto</t>
  </si>
  <si>
    <t>Vilma</t>
  </si>
  <si>
    <t>Marilyn badilllo</t>
  </si>
  <si>
    <t>Jardines de la eternidad Sur</t>
  </si>
  <si>
    <t>Jardines de la eternidad sur - Edificio</t>
  </si>
  <si>
    <t>Marilyn Como la semilla que cae en tierra y parece desaparecer, así el amor que ella sembró hoy florece en ustedes. Que esa cosecha de recuerdos y ternura les dé consuelo y paz.
Con cariño y solidaridad.</t>
  </si>
  <si>
    <t>Carbones colombianos del cerrejo</t>
  </si>
  <si>
    <t>blanco - corona con aplique</t>
  </si>
  <si>
    <t xml:space="preserve">Ariana </t>
  </si>
  <si>
    <t>Anonimo</t>
  </si>
  <si>
    <t>Ariana</t>
  </si>
  <si>
    <t>Calle 3 N° Transversal 3A - 205 conjunto residencial plazuela del mar 2 - Conjunto</t>
  </si>
  <si>
    <t>me gustas y me interesas</t>
  </si>
  <si>
    <t>Bouquet de hortenzias moradas 3 y
blancas 3 envuelto en papel</t>
  </si>
  <si>
    <t xml:space="preserve"> Carolina </t>
  </si>
  <si>
    <t>Lora</t>
  </si>
  <si>
    <t>carolina  lora</t>
  </si>
  <si>
    <t>Cra 26b # 68b /61 - Casa</t>
  </si>
  <si>
    <t>A una mujer de mar
perdida entre rosas y lunas,
quien la pudiera aconsejar
si tiene el mar que le murmura.</t>
  </si>
  <si>
    <t xml:space="preserve">Molina cabas </t>
  </si>
  <si>
    <t>Nicolle Molina cabas</t>
  </si>
  <si>
    <t>Prince 
feliz cumpleaños te amo mucho. Soy afortunada de tenerte en mi vida.
Nicole .</t>
  </si>
  <si>
    <t>DEBE 5MIL PESOS</t>
  </si>
  <si>
    <t xml:space="preserve">Raymond </t>
  </si>
  <si>
    <t>Raymond Miranda</t>
  </si>
  <si>
    <t>ID de la orden
2432015631</t>
  </si>
  <si>
    <t>Paolo Raffaele</t>
  </si>
  <si>
    <t>Del Vecchio Chamie</t>
  </si>
  <si>
    <t>Lily Salcedo</t>
  </si>
  <si>
    <t>calle 94 #47-53 - Casa</t>
  </si>
  <si>
    <t>Feliz cumpleaños Lily, ¡Muchas gracias por todo!</t>
  </si>
  <si>
    <t>Con cariño, Paolo Raffaele Del Vecchio</t>
  </si>
  <si>
    <t>rojo</t>
  </si>
  <si>
    <t>antonio rojo</t>
  </si>
  <si>
    <t>ID de la orden
2432028019</t>
  </si>
  <si>
    <t>henríquez</t>
  </si>
  <si>
    <t>valentina henríquez</t>
  </si>
  <si>
    <t>alex</t>
  </si>
  <si>
    <t>avilez</t>
  </si>
  <si>
    <t>alex avilez</t>
  </si>
  <si>
    <t>tobón</t>
  </si>
  <si>
    <t>natalia tobon</t>
  </si>
  <si>
    <t>Cra 56 # 82-161 Edificio Testa Rosa Apto 1402 - Casa</t>
  </si>
  <si>
    <t>Cra 25 # 1A-55 apto 603 - Edificio</t>
  </si>
  <si>
    <t>Feliz cumpleaños!</t>
  </si>
  <si>
    <t>Colores pastel.
No rosas rojas.</t>
  </si>
  <si>
    <t xml:space="preserve">Dawing </t>
  </si>
  <si>
    <t xml:space="preserve">Violeta navarro </t>
  </si>
  <si>
    <t>Cra 16 #73B - 18 - Casa</t>
  </si>
  <si>
    <t xml:space="preserve">Feliz cumpleaños hermanita hermosa que Dios te bendiga y te cuide siempre </t>
  </si>
  <si>
    <t>Con todo el amor del mundo, tu hermano</t>
  </si>
  <si>
    <t>juan mendoza</t>
  </si>
  <si>
    <t xml:space="preserve">Inés </t>
  </si>
  <si>
    <t>Lindarte</t>
  </si>
  <si>
    <t>Inés</t>
  </si>
  <si>
    <t>Calle 94 # 57-33 - Casa</t>
  </si>
  <si>
    <t>Feliz cumpleaños tía te quiero mucho, Gracias por estar siempre para mí, Dios te bendiga y que cumplas cada uno de los anhelos de tu corazón.</t>
  </si>
  <si>
    <t>Tu sobrina Inés</t>
  </si>
  <si>
    <t>Colores pastel, pagará en efectivo contra entrega</t>
  </si>
  <si>
    <t xml:space="preserve">Montero Galindo </t>
  </si>
  <si>
    <t>Carlos Montero Galindo</t>
  </si>
  <si>
    <t xml:space="preserve">Feliz aniversario amor de mi vida, que sean muchos más llenos de prosperidad y amor, te amo un mundo mi cielo.#24 </t>
  </si>
  <si>
    <t>Con mucho amor: tu negrito</t>
  </si>
  <si>
    <t>Andrea Villamizar</t>
  </si>
  <si>
    <t>Cra 59 b No 84-100, t2 apto 803 ed Duville - Edificio</t>
  </si>
  <si>
    <t>Feliz aniversario pulga Mía. Gracias por todo lo que eres. Te amo con todo mi corazón y me hace feliz saber que estaremos juntos por siempre</t>
  </si>
  <si>
    <t>jimmy</t>
  </si>
  <si>
    <t>jimenez</t>
  </si>
  <si>
    <t>Jimmy Jimenez</t>
  </si>
  <si>
    <t>carrera 58 #75-158 - Oficina</t>
  </si>
  <si>
    <t>310 2426557</t>
  </si>
  <si>
    <t>Gracias, Laura, por ser inspiración y por acompañarnos en cada reto.
Más allá de las metas alcanzadas, valoramos profundamente el cariño, la cercanía y la confianza que nos brindas cada día.
Que este cumpleaños esté lleno de magia, de alegría y de todo el amor que tú siempre siembras en quienes te rodeamos.
Te queremos mucho.</t>
  </si>
  <si>
    <t>Con cariño, Tu team Comercial.</t>
  </si>
  <si>
    <t xml:space="preserve">Jorge Gutiérrez o Katherine Carrillo </t>
  </si>
  <si>
    <t>Cr 66b # 66-60 apto 1702 - Conjunto</t>
  </si>
  <si>
    <t>300 5906255</t>
  </si>
  <si>
    <t>Mensaje 
Cuando alguien importante se va, no hay palabras de consuelo, nos queda su amor, sus enseñanzas y su ejemplo que nos acompañarán hasta el día en que nos volvamos a encontrar.
Nuestras más sentidas condolencias. 
Que Dios les dé la fortaleza necesaria para enfrentar este momento doloroso.
Fondegases</t>
  </si>
  <si>
    <t>Fondegases</t>
  </si>
  <si>
    <t>Favor colocar la virgen que envió hoy</t>
  </si>
  <si>
    <t xml:space="preserve">Nieto ADIE </t>
  </si>
  <si>
    <t xml:space="preserve">Silvia ADIE </t>
  </si>
  <si>
    <t>Cra 57#81-15 edificio unique apto 20 - Edificio</t>
  </si>
  <si>
    <t>Feliz Cumpleaños Mami! Gracias por tu amor, tu paciencia y fortaleza. Eres la mejor mamá que Dios me pudo haber regalado. Me haces falta todos los días, hoy más que nunca. Te amo y espero pronto darte un abrazo!</t>
  </si>
  <si>
    <t>Vale ❤️</t>
  </si>
  <si>
    <t>Colores pasteles, naturales NO
Colores muy fosforescente</t>
  </si>
  <si>
    <t xml:space="preserve">Serrano </t>
  </si>
  <si>
    <t xml:space="preserve">Rochy mindiola </t>
  </si>
  <si>
    <t>TV 44 #100-123 edificio Bolonia apto 302 Torre 1 - Edificio</t>
  </si>
  <si>
    <t>Después de 1460 días solo puedo darte gracias por tanto amor , por ser tan especial, te amo con locura. 
Para toda la vida ❤️</t>
  </si>
  <si>
    <t>Con todo mi amor</t>
  </si>
  <si>
    <t xml:space="preserve">Jorman </t>
  </si>
  <si>
    <t>Durán</t>
  </si>
  <si>
    <t xml:space="preserve">Jorman Durán </t>
  </si>
  <si>
    <t>Gabriella</t>
  </si>
  <si>
    <t>Senior</t>
  </si>
  <si>
    <t>Fiorella Leon</t>
  </si>
  <si>
    <t>Carrera 59c #79-180 - Edificio</t>
  </si>
  <si>
    <t xml:space="preserve">Mi nanita, un pequeño detalle para alegrarte el dia. Sabes que a pesar de la distancia puedes contar conmigo para toda la vida te amo con todo mi corazon y te mando un abrazo enorme! </t>
  </si>
  <si>
    <t>Tu Ahijada Gaby</t>
  </si>
  <si>
    <t>Si se puede color Lila</t>
  </si>
  <si>
    <t>roberto</t>
  </si>
  <si>
    <t xml:space="preserve"> garcia</t>
  </si>
  <si>
    <t>roberto garcia</t>
  </si>
  <si>
    <t>2432219113</t>
  </si>
  <si>
    <t>Muchísimas gracias por todo su apoyo y ayuda! Los queremos mucho!</t>
  </si>
  <si>
    <t>Dani &amp; Gus</t>
  </si>
  <si>
    <t>Steffano</t>
  </si>
  <si>
    <t>Colonna Ortiz</t>
  </si>
  <si>
    <t>Steffano Colonna</t>
  </si>
  <si>
    <t>calle 59 #24-123 casa 4</t>
  </si>
  <si>
    <t>Viviana Chapman</t>
  </si>
  <si>
    <t>Calle76 #54-54 - Edificio</t>
  </si>
  <si>
    <t>1× Guacal Tierra</t>
  </si>
  <si>
    <t>Feliz Zcumplesnos querida y apreciada Sobrina con mucho cariño, Álvaro&amp; Rocío  E  Hijos ❤️🎂🙏🏾</t>
  </si>
  <si>
    <t>LLEVA UN GLOBO METALIZADO HBD HACERLO EN LOS TONOS QUE HAYA DISPOBLE.</t>
  </si>
  <si>
    <t>estefanía</t>
  </si>
  <si>
    <t xml:space="preserve"> robayo</t>
  </si>
  <si>
    <t>estefania</t>
  </si>
  <si>
    <t>transversal 44 # 104 - 30 edificio Florencia Torre 1 apto 101 - Edificio</t>
  </si>
  <si>
    <t xml:space="preserve">Feliz Cumpleaños hermanita! Que seas siempre muy feliz! Att: Sepa 
</t>
  </si>
  <si>
    <t>Cindy Correa</t>
  </si>
  <si>
    <t>Carrera 59 # 68 - 55 apto 405 edificio imperio - Edificio</t>
  </si>
  <si>
    <t xml:space="preserve">Felices 20 caps! Te amo por y para siempre! </t>
  </si>
  <si>
    <t>Silvio</t>
  </si>
  <si>
    <t>Arcieri</t>
  </si>
  <si>
    <t>Isabella Marquez</t>
  </si>
  <si>
    <t>Para la mujer mas hermosa, divina, inteligente, cariñosa del mundo! Feliz mes mi amor divina.</t>
  </si>
  <si>
    <t>De: tu novio</t>
  </si>
  <si>
    <t xml:space="preserve">Laura Gomez prada </t>
  </si>
  <si>
    <t>Cra 44b # 96-67 torres de las Antillas, apto 1110, torre 2 - Conjunto</t>
  </si>
  <si>
    <t xml:space="preserve">Amarillo como el sol, como tu energía y nuestras risas juntas. Feliz cumpleaños mi Laurita. Te quiero mucho. </t>
  </si>
  <si>
    <t>Con cariño Angie</t>
  </si>
  <si>
    <t>Caja pequeña arreglo flores amarillas</t>
  </si>
  <si>
    <t>lourdes ( estephanie saieh)</t>
  </si>
  <si>
    <t>lourdes ( estephanie saieh) atique</t>
  </si>
  <si>
    <t>CENTRO DE MESA ALARGADOS DE 60CM CADA UNO EN TONOS FOTO (2)
CENTRO DE MESA TRAE BASE
COLORES ROSADO,FUCSIA Y MORADO O LILA.</t>
  </si>
  <si>
    <t>Villalba</t>
  </si>
  <si>
    <t xml:space="preserve">Lilia Sit Hoyos </t>
  </si>
  <si>
    <t>Cra 64b #86-116 Edificio Cantaluna Apto 703 - Edificio</t>
  </si>
  <si>
    <t xml:space="preserve">Madre querida te amamos infinitamente, de corazón estamos contigo hoy y siempre. ¡Feliz cumpleaños! </t>
  </si>
  <si>
    <t>Camilo y Alejandra.</t>
  </si>
  <si>
    <t>Frank</t>
  </si>
  <si>
    <t>BONNETT CABALLERO</t>
  </si>
  <si>
    <t>MARIA NAVARRO</t>
  </si>
  <si>
    <t>TV 44 #100-123 - Edificio</t>
  </si>
  <si>
    <t>No se necesita un día especial para regalarte unas rosas esposa! Para seguir con las buenas costumbres:)</t>
  </si>
  <si>
    <t>Frank Peater</t>
  </si>
  <si>
    <t xml:space="preserve">Diana guarín </t>
  </si>
  <si>
    <t>cra 59#81-229 edificio venice - Edificio</t>
  </si>
  <si>
    <t>Te amo infinitooo</t>
  </si>
  <si>
    <t>Molinos del atlantico</t>
  </si>
  <si>
    <t>DIANA GUARIN</t>
  </si>
  <si>
    <t>CARRERA 59 # 81-229 - Casa</t>
  </si>
  <si>
    <t>1 x Flora Mini Plus Box Redonda</t>
  </si>
  <si>
    <t>Querida Ing. Jenny,
No existen palabras suficientes para aliviar un dolor tan grande como la partida de tu mamá. Solo quiero que sepas que te abrazo con todo mi corazón en este momento tan difícil.
Una madre es amor puro, guía, fuerza y refugio… y todo lo que ella sembró en ti vivirá siempre. Ese amor no se va, se transforma en luz que te acompañará cada día. Té envío mucha fortaleza, paz y consuelo. Cuenta conmigo para lo que necesites. Dios te bendiga siempre a ti y tu familia.</t>
  </si>
  <si>
    <t>con cariño: Diana Guarin</t>
  </si>
  <si>
    <t xml:space="preserve"> Oscar Iván </t>
  </si>
  <si>
    <t>Argüelles Villezca</t>
  </si>
  <si>
    <t>Ana Tovar Palencia</t>
  </si>
  <si>
    <t>World Trade Center, piso 10, oficina 1006 - Edificio</t>
  </si>
  <si>
    <t>Mi querida Ana:
Estas hortensias no llegan a ti como un gesto, sino como un símbolo de todo lo que hemos vivido y de todo lo que seguimos siendo. Cada pétalo guarda la gratitud que siento por tu amor, la admiración que crece al verte como mujer, como madre y la certeza serena de que mi lugar en el mundo sigue siendo a tu lado.
Contigo aprendí que el amor verdadero no es solo promesa, sino presencia; no es solo emoción, sino permanencia. Hoy te miro y reconozco en ti el mismo refugio, la misma calma y la misma fuerza que han sostenido mi vida desde que te elegí y que sigo eligiendo, con la misma convicción, cada día.
Gracias por existir en mi vida, por nuestra historia y por la familia que hemos creado.
Siempre tuyo,
Oscar</t>
  </si>
  <si>
    <t>315 3543653</t>
  </si>
  <si>
    <t>un plan amigas y 4 hojas de balazo</t>
  </si>
  <si>
    <t xml:space="preserve">Benitez Gonzalez </t>
  </si>
  <si>
    <t>Lizeth Eliana Martinez Arce</t>
  </si>
  <si>
    <t>Calle 99 carrera 18 sur - 42, torre 2 apto edificio bahía - Edificio</t>
  </si>
  <si>
    <t xml:space="preserve">Caicedo </t>
  </si>
  <si>
    <t>Milagro Barrios Cantillo</t>
  </si>
  <si>
    <t>Kra 2e #121 ciudadela 20 de Julio bloque 121 apatmento 301 - Casa</t>
  </si>
  <si>
    <t xml:space="preserve"> Estas flores llevan todo el amor y la gratitud que siento por ti. Gracias por ser incondicional espero el próximo ańo pasarlo junto a ti, te amamos. camila lorenz y daniela</t>
  </si>
  <si>
    <t>jeannine caicedo</t>
  </si>
  <si>
    <t>cra 56 # 80-163 scala apto 4 bflores surtidas - Edificio</t>
  </si>
  <si>
    <t>Berneo</t>
  </si>
  <si>
    <t>Jairo Berneo</t>
  </si>
  <si>
    <t>Gallardo</t>
  </si>
  <si>
    <t xml:space="preserve">Flor Jiménez </t>
  </si>
  <si>
    <t>Calle 66#46-46 apto 301 - Edificio</t>
  </si>
  <si>
    <t>Gracias por ser refugio de amor donde sea que estemos. 
A esa mujer valiente y extraordinaria, deseamos que la vida te devuelva lo que nos das cada día y que este nuevo año este lleno de mucho amor y bendiciones.
Feliz cumpleaños, te amamos hoy y siempre 💛</t>
  </si>
  <si>
    <t>Yuliana y Carlos✨</t>
  </si>
  <si>
    <t>Mariana G Ramirez</t>
  </si>
  <si>
    <t>Cra 25 # 1a - 24  edificio Mint . Apt: 1004 torre 1 - Edificio</t>
  </si>
  <si>
    <t>Para mí hermosa HIJA. Mi pequeña niña ayer, mi amiga hoy, mi hija por siempre. Nunca olvides que estoy muy orgullosa de ti, tu felicidad y tus logros son los míos. Nunca dejes de cumplir tus sueños aquí estaré para apoyarte . TE AMO HOY Y SIEMPRE MI PRIMCESA.</t>
  </si>
  <si>
    <t>Con Amo mami</t>
  </si>
  <si>
    <t xml:space="preserve">Jessica Cedeño </t>
  </si>
  <si>
    <t>Avenida los robles con avenida las dunas, conjunto los robles, casa 4, - Edificio</t>
  </si>
  <si>
    <t>313 5038924</t>
  </si>
  <si>
    <t>Este detalle es con mucho cariño, nos vemos pronto en la esquina de siempre 
Taty</t>
  </si>
  <si>
    <t>estefanie saieh</t>
  </si>
  <si>
    <t xml:space="preserve">Andrew </t>
  </si>
  <si>
    <t>Andrew Vargas</t>
  </si>
  <si>
    <t>ID de la orden
2432481030</t>
  </si>
  <si>
    <t xml:space="preserve">Carolina de Los Ángeles </t>
  </si>
  <si>
    <t xml:space="preserve">Amesty de galvan </t>
  </si>
  <si>
    <t xml:space="preserve">Calle 104#53-49 Zioonn tower </t>
  </si>
  <si>
    <t>Torre 2 apartamento 304 - Edificio</t>
  </si>
  <si>
    <t>3× Mini Box Orquidea</t>
  </si>
  <si>
    <t>Feliz cumpleaños te desea thomas Samantha María Virginia Eduardo y Miguel y claro tu bella esposa ❤️Carolina A te amamos ❤️</t>
  </si>
  <si>
    <t>Carolina Amesty de Galván</t>
  </si>
  <si>
    <t>Colores rosa y amarillo</t>
  </si>
  <si>
    <t xml:space="preserve">Esthefany Arrieta </t>
  </si>
  <si>
    <t>Calle 70 # 57-25 oficina issa saieh - Oficina</t>
  </si>
  <si>
    <t>Gracias ❤️</t>
  </si>
  <si>
    <t xml:space="preserve"> carrion</t>
  </si>
  <si>
    <t>laura carrion</t>
  </si>
  <si>
    <t>ID de la orden
2432492309</t>
  </si>
  <si>
    <t xml:space="preserve"> Alexandra Tarud</t>
  </si>
  <si>
    <t>Cra 55#82-121 Edificio Zafira Apto 6 B - Edificio</t>
  </si>
  <si>
    <t>arreglo cenizas</t>
  </si>
  <si>
    <t>María José Perez Castro</t>
  </si>
  <si>
    <t>calle 64#46-19 apto 4D Este - Edificio</t>
  </si>
  <si>
    <t>Feliz grado mi abogadita hermosa</t>
  </si>
  <si>
    <t>Con amor Pato</t>
  </si>
  <si>
    <t>Varon</t>
  </si>
  <si>
    <t>laura molina</t>
  </si>
  <si>
    <t>cra 58 #99-46 apto 903 - Edificio</t>
  </si>
  <si>
    <t>escalante</t>
  </si>
  <si>
    <t>Carrera 18 #51-23 - Casa</t>
  </si>
  <si>
    <t>Solo por ser hoy!
Eres la mujer de mi sueños😍</t>
  </si>
  <si>
    <t>Romántico</t>
  </si>
  <si>
    <t>Andrea Arrieta</t>
  </si>
  <si>
    <t>Cra 45 #99c-84 - Conjunto</t>
  </si>
  <si>
    <t>Feliz Cumpleaños Andre!</t>
  </si>
  <si>
    <t>Con amor de Nico, Mary, Xime y Ari</t>
  </si>
  <si>
    <t>Ariza Lopez</t>
  </si>
  <si>
    <t>Claudia Ariza</t>
  </si>
  <si>
    <t>Cra. 24 #1A - 24 BC EMPRESARIAL - Oficina</t>
  </si>
  <si>
    <t>Te deseamos que tu brillo siga creciendo. Feliz Cumpleaños.</t>
  </si>
  <si>
    <t>Con Cariño. David y Miguel</t>
  </si>
  <si>
    <t xml:space="preserve">Valeri </t>
  </si>
  <si>
    <t xml:space="preserve">Galvis </t>
  </si>
  <si>
    <t>calle 56 #26-31 los pinos</t>
  </si>
  <si>
    <t>Casa de 2 pisos - Casa</t>
  </si>
  <si>
    <t xml:space="preserve"> Feliz cumpleaños Martina que este nuevo año de vida esté lleno de bendiciones, alegría y sueños cumplidos. Gracias por ser una persona tan especial en nuestra familia.
</t>
  </si>
  <si>
    <t>Recibe este pequeño detalle con mucho cariño, de parte de la familia Galvis Bayona.</t>
  </si>
  <si>
    <t>Que se vea bien lindo</t>
  </si>
  <si>
    <t xml:space="preserve">Gutiérrez Vizcaino </t>
  </si>
  <si>
    <t xml:space="preserve">Bonita </t>
  </si>
  <si>
    <t>Kra 52 - 125-550.  Edificio Portorosso  Apto 2001 ( detrás del euro de villa campestre) - Edificio</t>
  </si>
  <si>
    <t>Amo lo que veo cada mañana. No hay un lugar más divertido,  reconfortante y motivador que nuestro CONUCO,  cuando tu estas. Gracias por estos 16 años de Locura !!!   🎵🎵 Todo comenzó,Como empieza un cuento,Se pondrá mejor
Con el sentimiento🎶🎶🎶</t>
  </si>
  <si>
    <t>Priti</t>
  </si>
  <si>
    <t>Hortensias en tonos pastel lirios y rosas</t>
  </si>
  <si>
    <t xml:space="preserve">Mogollon </t>
  </si>
  <si>
    <t>Conjunto brisas del mar, casa 17 Transversal 44#99c-70 - Conjunto</t>
  </si>
  <si>
    <t>1× Corazón Mediano Rosas | 1× Topper Mejorate Pronto</t>
  </si>
  <si>
    <t>Juan, te mando un abrazo en esta etapa de tu vida que yo sé que a ti no te está gustando para nada, ya que tú eres una persona bastante activa y no te gusta estar acostado haciendo nada pero pues ajá que se hace. Sé que no es un proceso fácil, pero confío en tu fortaleza y en que vas a recuperarte pronto. Ahora lo más importante es que descanses y te cuides mucho. Solo quería que supieras que estoy pendiente de ti y que cuentas conmigo para lo que necesites. Tqm 
Att: Ninitaaa</t>
  </si>
  <si>
    <t>Maria Elena</t>
  </si>
  <si>
    <t>Paola Hamburger</t>
  </si>
  <si>
    <t>Cra 64 # 66-23 conjunto paseo del parque, casa 8 - Conjunto</t>
  </si>
  <si>
    <t>Feliz cumpleaños Cochi mío 
Te extraño millones… más de lo que imaginas.
Todos los días le doy gracias a Dios por haberte puesto en mi camino. Eres una bendición en mi vida y un regalo que valoro profundamente.
Que este nuevo año te llene de alegría y cosas lindas.
Te amo muchísimo 💕</t>
  </si>
  <si>
    <t>Ninguno, así tal cual como la imagen del catálogo</t>
  </si>
  <si>
    <t>Stephanie Cecilia</t>
  </si>
  <si>
    <t>Diago Velasquez</t>
  </si>
  <si>
    <t xml:space="preserve">Silvia Cayón Ayub </t>
  </si>
  <si>
    <t>Carrera 56#80-163 Edificio Scala apartamento 10B - Edificio</t>
  </si>
  <si>
    <t>Silvy
En este día tan especial queremos agradecer por tu vida y por ser tan especial y auténtica con todos los que te rodeamos, Dios y la virgen te permitan más años de vida para seguir brillando y permitir que otros lo hagan a través de todo lo bonito que irradias. Te queremos mucho
Feliz cumpleaños</t>
  </si>
  <si>
    <t>Con aprecio, Stephanie, Mario y Antonia</t>
  </si>
  <si>
    <t>Stephanie saieh</t>
  </si>
  <si>
    <t>2 centros de mesa en flores surtidas</t>
  </si>
  <si>
    <t xml:space="preserve">Paula Coy </t>
  </si>
  <si>
    <t>Marcela García</t>
  </si>
  <si>
    <t>Cra 51 #79-296 Edificio Acropolis Apto 6 - Edificio</t>
  </si>
  <si>
    <t>Hola Marce,
Sabemos que despedirse de un compañero tan especial no es fácil.
Desde la distancia, te acompañamos en este momento y te enviamos un abrazo grande.</t>
  </si>
  <si>
    <t>Con cariño, Team MAC Colombia.</t>
  </si>
  <si>
    <t>ramo igual al de la foto. 
imprimir tarjeta con mensaje y firma</t>
  </si>
  <si>
    <t>Amada Mimi 
Hoy en tus 70 Primaveras
Hoy celebramos 70 años
de historias que sembraste en nosotros,
de abrazos que aún nos abrigan
y consejos que florecen en el corazón.
Tus manos nos enseñaron el camino,
tu risa nos regaló luz,
y tu ejemplo es el jardín
donde aprendimos a crecer.
Gracias por cada palabra,
por cada mirada llena de amor,
por ser raíz fuerte y cielo abierto
en nuestra vida.
Que estas flores lleven el perfume
de todo lo que te queremos,
y que cada pétalo susurre:
¡Feliz 70 cumpleaños!
Con todo nuestro amor,
Luca &amp; Enzo Diaz</t>
  </si>
  <si>
    <t>Familia Díaz Navarro</t>
  </si>
  <si>
    <t>Son sus 70 años algo especial que puedas hacer. Ama las flores con locura. Su pastel es dorado si se pudiera combinar</t>
  </si>
  <si>
    <t xml:space="preserve">Moisés </t>
  </si>
  <si>
    <t xml:space="preserve">Anaya </t>
  </si>
  <si>
    <t>Clínica la asunción - habitación 316</t>
  </si>
  <si>
    <t>Delicias</t>
  </si>
  <si>
    <t>Calle 70b # 41-94 - Clinica</t>
  </si>
  <si>
    <t>1× Virgen de la salud</t>
  </si>
  <si>
    <t>Mary: 
“ Eres increíblemente valiente. Está cirugía fue un paso más hacia tu bienestar y confío en que pronto te sentirás mejor. Permítete descansar, aceptar ayuda y recuperar fuerzas”.
la virgen y Dios te acompañarán en cada momento .
Un fuerte abrazo. 
Moisés Anaya</t>
  </si>
  <si>
    <t>Moisés Anaya</t>
  </si>
  <si>
    <t xml:space="preserve">Maria jose </t>
  </si>
  <si>
    <t>Sanchez rojas</t>
  </si>
  <si>
    <t>Farney madera</t>
  </si>
  <si>
    <t>Cra 71 #93-37 apto 220 - Edificio</t>
  </si>
  <si>
    <t>314 6198619</t>
  </si>
  <si>
    <t>Mami fanny feliz cumpleaños te quiero mucho y te deseo un cumpleaños muy muy feliz te extraño demasiado ♡</t>
  </si>
  <si>
    <t>Con mucho cariño Marijo</t>
  </si>
  <si>
    <t>Jonnathan</t>
  </si>
  <si>
    <t>Once</t>
  </si>
  <si>
    <t>Mabel Lorena Torres Flores</t>
  </si>
  <si>
    <t>Carrera 52 No 92-43 Apto 5A Edificio Sant Gervasi - Edificio</t>
  </si>
  <si>
    <t>Espero que te recuperes muy pronto ❤️</t>
  </si>
  <si>
    <t>- J</t>
  </si>
  <si>
    <t>Una tematica que sea de recuperación post-surgery.</t>
  </si>
  <si>
    <t xml:space="preserve">Urrutia </t>
  </si>
  <si>
    <t>Liliana Natera</t>
  </si>
  <si>
    <t>Carrera 41D #74-95 torre 3 Apto 124 - Conjunto</t>
  </si>
  <si>
    <t xml:space="preserve">Feliz 50 años, mamá hermosa. Hoy celebramos tu vida, tu fuerza y ese corazón tan grande que siempre ha sido nuestro refugio. Gracias por cada abrazo, cada consejo y cada sacrificio hecho con amor. Eres nuestra mayor ejemplo y orgullo más grande. Que esta nueva etapa esté llena de salud, felicidad y momentos tan especiales como tú lo eres para nosotros. Te amamos infinitamente. </t>
  </si>
  <si>
    <t>Con cariño, tus hijos, Julian y Julieth</t>
  </si>
  <si>
    <t>juancarlos</t>
  </si>
  <si>
    <t>juancarlos hernandez</t>
  </si>
  <si>
    <t xml:space="preserve">Kathleen </t>
  </si>
  <si>
    <t xml:space="preserve">Gina Saavedra </t>
  </si>
  <si>
    <t>Transversal 44 # 100-82  Torre 4 apto 613  Conjunto residencial Tozcana  Miramar - Edificio</t>
  </si>
  <si>
    <t>Feliz cumpleaños amor mío, hoy no estoy aquí contigo en persona, pero créeme que mi corazón está contigo a tu lado, Te amo y que los cumplas muy feliz, nos vemos el sábado”</t>
  </si>
  <si>
    <t>Tal cual como se ve en la imagen</t>
  </si>
  <si>
    <t>Yojainis</t>
  </si>
  <si>
    <t>Yojainis Gamarra</t>
  </si>
  <si>
    <t>Cll 3B TV 3B-275 Plazuela del Mar uno To 2 Apto 503 - Conjunto</t>
  </si>
  <si>
    <t>Bienvenida Hija!
Que la luz que hoy brilla en ti no se apague nunca. Eres una muestra del amor de Dios en nuestras vidas, te recibimos con los brazos abiertos y el corazón repleto de orgullo. Te amamos!</t>
  </si>
  <si>
    <t>Tus padres y hermana!</t>
  </si>
  <si>
    <t>Por favor que sean rosas ROSADAS! ABONÓ 65.000 RESTA 62.000</t>
  </si>
  <si>
    <t xml:space="preserve">Arrieta cabarcas </t>
  </si>
  <si>
    <t>Jose Arrieta cabarcas</t>
  </si>
  <si>
    <t>Para: Felicidades en este nuevo logro mi pequeña 
De: Jose x❤️‍🩹</t>
  </si>
  <si>
    <t>BOUQUET CON CLAVELES ROSADOS Y FUCSIA EN CASCADA Y 5 ORQUÍDEAS COMO FOTO.</t>
  </si>
  <si>
    <t>angel samuel</t>
  </si>
  <si>
    <t>rosado</t>
  </si>
  <si>
    <t>angel samuel rosado</t>
  </si>
  <si>
    <t>de: Samuel para: Mari.</t>
  </si>
  <si>
    <t>BOUQUET COMO FOTO</t>
  </si>
  <si>
    <t xml:space="preserve">Said </t>
  </si>
  <si>
    <t>Calle 93 # 71 117 - Edificio</t>
  </si>
  <si>
    <t>Estilo romántico, es para un aniversario de matrimonio. Mezcla de rosas rojas con otras flores color rosita más claro</t>
  </si>
  <si>
    <t>Ropero</t>
  </si>
  <si>
    <t>Sofía Ropero</t>
  </si>
  <si>
    <t>Calle 57#34-08 - Casa</t>
  </si>
  <si>
    <t>Bienvenida a casa mami!!! 
Te amamos con todo nuestro corazón y con toda nuestra alma. Eres nuestro motor, nuestra luz y nuestra mayor bendición. Estamos profundamente agradecidos con la vida, con Dios, con el universo y contigo, por seguir luchando por nosotros y por estar aquí, acompañándonos.
Sabemos que estarás con nosotros por mucho tiempo más, que nos seguirás guiando y que verás a tus hijos crecer y cumplir sus sueños. Esta nueva oportunidad es para disfrutar la vida, tu pensión, la tranquilidad y todo lo hermoso que aún está por venir.
Mereces ser feliz, mereces paz, y sobre todo mereces cuidar de tu salud y bienestar como lo más importante.
Te amamos infinito.</t>
  </si>
  <si>
    <t>Con todo el amor del mundo, tus hijos y tu esposo.</t>
  </si>
  <si>
    <t>Colores de las flores blancas, tal como se envió en la foto por WhatsApp n</t>
  </si>
  <si>
    <t>Monica LOPESIERRA</t>
  </si>
  <si>
    <t>evento</t>
  </si>
  <si>
    <t>Genesis</t>
  </si>
  <si>
    <t>Miranda de la Rosa</t>
  </si>
  <si>
    <t>Gloria Cecilia</t>
  </si>
  <si>
    <t>cra. 52 #79-249 restaurante Amalin - Restaurante</t>
  </si>
  <si>
    <t>Que este nuevo año de vida esté lleno de bendiciones, alegrías y sueños cumplidos.</t>
  </si>
  <si>
    <t>Equipo: Dayana, Ricardo, Marcial, Genesis, Ana y Nelson</t>
  </si>
  <si>
    <t>Igual a la imagen de referencia por favor.
Hora de entrega 8:30am
El lugar de dirección es el restaurante donde estaremos compartiendo antes de entrega notificar.</t>
  </si>
  <si>
    <t>Yesyca</t>
  </si>
  <si>
    <t>Chacon</t>
  </si>
  <si>
    <t>Anita Consuegra y Porfirio Bayuelo</t>
  </si>
  <si>
    <t>calle 80# 51-69, edificio girasol último piso - Edificio</t>
  </si>
  <si>
    <t>¡Feliz 37 aniversario de bodas!
Felicidades por sus años caminando juntos, superando retos, compartiendo alegrías y construyendo una historia que inspira a todos los que los conocemos.</t>
  </si>
  <si>
    <t>Hernando Chacón, Gladis y familia</t>
  </si>
  <si>
    <t>Llevar lo más pronto posible el día de hoy</t>
  </si>
  <si>
    <t>Casa 32 - Casa</t>
  </si>
  <si>
    <t xml:space="preserve">Mi amorchicho, te amo. Eres mi amor en esta y todas las vidas. </t>
  </si>
  <si>
    <t>Orlando José</t>
  </si>
  <si>
    <t>Colores rosado pastel</t>
  </si>
  <si>
    <t>Regino</t>
  </si>
  <si>
    <t>Angela Lara</t>
  </si>
  <si>
    <t>Cra. 59A #77-35 - Oficina</t>
  </si>
  <si>
    <t>Mi amor... Samuel, Abbigail y Yo, te deseamos Feliz cumpleaños! eres el amor de nuestras vidas! y nuestro mayor regalo!!</t>
  </si>
  <si>
    <t>Con Amor, Sami, Abbi y Jorge</t>
  </si>
  <si>
    <t>Colores pastel y como se ve el arreglo en la imagen de referencia.</t>
  </si>
  <si>
    <t>Ivan David</t>
  </si>
  <si>
    <t>Arteta Padilla</t>
  </si>
  <si>
    <t>Ivan David Arteta Padilla</t>
  </si>
  <si>
    <t>Calle 92#46-60 Edificio Madrigal IV Apto 201 - Edificio</t>
  </si>
  <si>
    <t>No quiero que el tiempo continúe avanzando y que sigamos siendo “nada”. 
¿Quieres ser mi novia?</t>
  </si>
  <si>
    <t>Te amo… Iván David.</t>
  </si>
  <si>
    <t>Agregar 1 lirio blanco</t>
  </si>
  <si>
    <t xml:space="preserve">Tatiana </t>
  </si>
  <si>
    <t>Dora Luz Díaz</t>
  </si>
  <si>
    <t>Barrio San Salvador Calle 84 # 80-40 - Casa</t>
  </si>
  <si>
    <t xml:space="preserve">La distancia no nos impide estar presentes de alguna manera para enviar, con estas flores, un gran abrazo y los mejores deseos de cumpleaños: salud, amor, paz y protrección divina! Que las puertas del cielo se abran y caiga una lluvia de bendiciones hoy y siempre! La queremos muchísimo. </t>
  </si>
  <si>
    <t>Tomás, Tatiana y Luis!</t>
  </si>
  <si>
    <t>Igual al de la foto!</t>
  </si>
  <si>
    <t>Arrieta</t>
  </si>
  <si>
    <t>María José Castillo Nieto</t>
  </si>
  <si>
    <t>Cara 58#94-20 edificio grecco apto 402</t>
  </si>
  <si>
    <t>1× Flora Box Mediana Pastel / topper welcome baby</t>
  </si>
  <si>
    <t>Bienvenida, Renata 🤍✨ Que Dios te cubra con su luz desde hoy y siempre. Amiga querida, que este nuevo camino junto a tu hija esté lleno de amor profundo, paz en el corazón y bendiciones infinitas para los tres💖 Las amamos mucho Con cariño tus hermanas: Lore, Heidy , Heydi Tatiana y Erika</t>
  </si>
  <si>
    <t>Erika, Heidy A, Heidy C y Lorena</t>
  </si>
  <si>
    <t>Necesitamos añadirle Welcome baby</t>
  </si>
  <si>
    <t>Comité Ejecutivo Seguros del Estado</t>
  </si>
  <si>
    <t>Claudia Patricia Ordoñez</t>
  </si>
  <si>
    <t>Carrera 25# 1A 89 Life PH 1407 Puerto Colombia - Edificio</t>
  </si>
  <si>
    <t>Claudia
Hoy queremos recordarte lo valiosa que eres. Así como lideras con fuerza y corazón, hoy nosotros estamos aquí para sostenerte, acompañarte y enviarte toda nuestra energía para tu pronta recuperación.
Te esperamos con cariño, admiración y el mismo espíritu que siempre nos inspira.
Con aprecio, Comité Ejecutivo.
Seguros del Estado.</t>
  </si>
  <si>
    <t>Con aprecio, Comité Ejecutivo. Seguros del Estado.</t>
  </si>
  <si>
    <t>Inti</t>
  </si>
  <si>
    <t>Cubillos</t>
  </si>
  <si>
    <t>Inti Cubillos</t>
  </si>
  <si>
    <t>3 hortensias</t>
  </si>
  <si>
    <t>De Oro</t>
  </si>
  <si>
    <t xml:space="preserve">Katia Berdugo </t>
  </si>
  <si>
    <t>Calle 49 19b-06 - Edificio</t>
  </si>
  <si>
    <t>Que la vida te devuelva multiplicado todo lo que has sembrado en mí. Te amo más de lo que las palabras pueden explicar. ¡Feliz cumpleaños mami!🩷</t>
  </si>
  <si>
    <t>Con amor, Laura.</t>
  </si>
  <si>
    <t>Me gusta así tal cual como la imagen. Pero que sea menos el color blanco. Que se puedan agregar otras de otros colores o más rosadas</t>
  </si>
  <si>
    <t xml:space="preserve">Lina Rodríguez </t>
  </si>
  <si>
    <t>Carrera 58#94-35 - Edificio</t>
  </si>
  <si>
    <t>Amor de nuestras vidas:
Hoy festejamos un año mas de tu vida al lado nuestro, que cumplas muchísimos años mas.
Te amamos</t>
  </si>
  <si>
    <t>Isa y Luis Jose</t>
  </si>
  <si>
    <t>A Rojas G</t>
  </si>
  <si>
    <t>Gysell Zapotitla</t>
  </si>
  <si>
    <t>Calle 96 # 71 - 165 edificio altares torre 1B apto 201 - Edificio</t>
  </si>
  <si>
    <t>Bienvenida a casa mi amor, te extrañamos muchísimo. Te amo</t>
  </si>
  <si>
    <t>Cosi</t>
  </si>
  <si>
    <t>Madelyne</t>
  </si>
  <si>
    <t xml:space="preserve">Polo Rodríguez </t>
  </si>
  <si>
    <t xml:space="preserve">Lisette Ternera </t>
  </si>
  <si>
    <t>Calle 98 #65a-54 Conjunto Brisas del rio - Conjunto</t>
  </si>
  <si>
    <t>Amiga, quiero desearte mucha felicidad y bendiciones en esta nueva etapa que estás por comenzar. Confío en que serás una excelente Mamá, porque eres una excelente amiga. Gracias por los consejos y por el amor que siempre me has brindado. Te prometo ser la mejor tía para María Salomé! Las amo ❤️</t>
  </si>
  <si>
    <t>Con cariño, Tía Made</t>
  </si>
  <si>
    <t>Por favor los mismos tonos de la foto</t>
  </si>
  <si>
    <t xml:space="preserve">KLEID DRESS SHOP SAS </t>
  </si>
  <si>
    <t>EMP.</t>
  </si>
  <si>
    <t>KLEID</t>
  </si>
  <si>
    <t>CRA 52#79-19 - Oficina</t>
  </si>
  <si>
    <t>Rene</t>
  </si>
  <si>
    <t>Puche</t>
  </si>
  <si>
    <t>Juliana Delgado</t>
  </si>
  <si>
    <t>Edificio Malbec apto 3 - Edificio</t>
  </si>
  <si>
    <t>Happy birthday flaca. Que esta nueva vuelta del sol venga cargada de energía positiva, salud y muchas bendiciones.  Te amo!!</t>
  </si>
  <si>
    <t xml:space="preserve">Vega </t>
  </si>
  <si>
    <t>Sandra díaz</t>
  </si>
  <si>
    <t>Restaurante palo de mango - Restaurante</t>
  </si>
  <si>
    <t xml:space="preserve">Feliz grado de ginecóloga , te amo con todo mi corazón, que Dios te siga bendiciendo enormemente mi amor , vamos por más . </t>
  </si>
  <si>
    <t>Gabriel vega</t>
  </si>
  <si>
    <t>Citarella Polo</t>
  </si>
  <si>
    <t>Valeria Correa</t>
  </si>
  <si>
    <t>Calle 133 #53 conjunto lomas de villa campestre - Valeria Correa - Conjunto</t>
  </si>
  <si>
    <t>Belty,
Que el amor que hoy celebras sea solo el comienzo de una vida llena de complicidad y sueños compartidos. Me vas a hacer mucha falta hoy, pero sé que estás viviendo uno de los días más lindos de tu vida, y no podría estar más feliz por ti. I LOVE YOU TONZ.</t>
  </si>
  <si>
    <t>- Franchi</t>
  </si>
  <si>
    <t>habib</t>
  </si>
  <si>
    <t xml:space="preserve">Alana habib </t>
  </si>
  <si>
    <t>Cra 56 no 91-43. Casa - Casa</t>
  </si>
  <si>
    <t>1× Flora Box Mediana Topiario | 1× Oso de Peluche | 1× Ferrero Rocher 8 und</t>
  </si>
  <si>
    <t>Hoy queremos decirte lo orgulloso que nos sentimos de ti. 
Ser capitana del club no es solo un título, es el reflejo de tu esfuerzo, disciplina y el corazón tan grande que tienes.
Queremos que sigas soñando en grande, sigas bailando con el alma y nunca dudes de lo capaz que eres. Siempre estaremos aquí, apoyándote y celebrando cada uno de tus triunfos.
Te amamos 
Papi, Mami , Josef y Salomón</t>
  </si>
  <si>
    <t xml:space="preserve">Peña Ortega </t>
  </si>
  <si>
    <t xml:space="preserve">María Camila Bermúdez </t>
  </si>
  <si>
    <t>Carrera 56 # 82-97 , apto 1B - Edificio</t>
  </si>
  <si>
    <t>1× Guacal Hortensias topper happy bdh</t>
  </si>
  <si>
    <t>Mi mejor compañerita: 
Hoy celebro tu vida, pero sobre todo celebro tenerte en la mía. Eres luz en los días grises, calma en el caos y alegría en cualquier plan. Que este año te devuelva multiplicado todo lo bueno que das. Nunca olvides lo valiosa que eres. 
Feliz cumpleaños mi Mari cami. 
Te quiero infinito. 
Pdta: Queda pendiente una celebración, no lo olvides.</t>
  </si>
  <si>
    <t>Con mucho cariño , Lili.</t>
  </si>
  <si>
    <t>Adicionar topper de happy birthday</t>
  </si>
  <si>
    <t>JUANCARLOS</t>
  </si>
  <si>
    <t>vera</t>
  </si>
  <si>
    <t>cra 56 con 80 edifico esplendor - Edificio</t>
  </si>
  <si>
    <t>Karen Bula</t>
  </si>
  <si>
    <t>Bienvenida a esta nueva etapa. Estamos completamente segura que lo harás muy bien. Dios le regaló la mejor mamá a María Belén. 
Te admiramos amiga, Te amamos</t>
  </si>
  <si>
    <t>Caro, Gaby, Majo, Male, Karen</t>
  </si>
  <si>
    <t xml:space="preserve">Dubby </t>
  </si>
  <si>
    <t>Calle 85 # 53-14</t>
  </si>
  <si>
    <t>SuperGiros - Oficina</t>
  </si>
  <si>
    <t>¡Feliz cumpleaños, Daniel! 🎉
Que hoy celebres en grande y que el año que empiezas sea aún mejor que el anterior. Aquí estamos siempre para brindar contigo por todo lo que viene.
Un abrazo,
Carlos y Tere.</t>
  </si>
  <si>
    <t>Quiero una base abundante de hortensias blancas que estructuren todo el arreglo, combinadas con rosas blancas o tono marfil. Añadir orquídeas blancas con centro rosado/fucsia como detalle lateral elegante, y complementar con alstroemerias blancas u otra flor de relleno blanca delicada, manteniendo la armonía en tonos blanco y marfil, sin incluir otros colores</t>
  </si>
  <si>
    <t xml:space="preserve"> javier </t>
  </si>
  <si>
    <t xml:space="preserve">Piñeres </t>
  </si>
  <si>
    <t xml:space="preserve"> Laura Carolina moreno sandoval </t>
  </si>
  <si>
    <t>cra 48#72-58 oficina World wide (dynamics solutions) - Edificio</t>
  </si>
  <si>
    <t>“Lo soñaste, lo trabajaste y lo conseguiste. Así eres tú” 
Te quiere JP</t>
  </si>
  <si>
    <t>yamile</t>
  </si>
  <si>
    <t>consuegra</t>
  </si>
  <si>
    <t>gennys sandoval</t>
  </si>
  <si>
    <t>clle 47D #32-53 - Casa</t>
  </si>
  <si>
    <t>Maria del Mar Mancera</t>
  </si>
  <si>
    <t>Gabriel y Natalia
Mauricio y Andrea
Nestor y Maria Claudia</t>
  </si>
  <si>
    <t xml:space="preserve">Santamaría </t>
  </si>
  <si>
    <t xml:space="preserve">Cony Castro </t>
  </si>
  <si>
    <t>transversal 44 # 104-30 torre 6 apto 644 - Edificio</t>
  </si>
  <si>
    <t xml:space="preserve">Amor en este día tan especial para ti y para mi quiero expresarte todo mi amor . Espero que en esta nueva etapa que Dios nos da la oportunidad de vivir el nos regale toda su bendición, para que de ahora en adelante él sea nuestro guía y el conductor de nuestras vidas . Te amo . Att Rafa </t>
  </si>
  <si>
    <t>Maria duran</t>
  </si>
  <si>
    <t>Carrera 56 #79-14 edificio regency apto 15B - Edificio</t>
  </si>
  <si>
    <t>Abuelita: gracias por tus muestras de cariño y por hacerme sentir tan amada antes de nacer🩷 te quiero mucho! Con cariño, Gala.</t>
  </si>
  <si>
    <t>Tamaño mediano-grande con colores pastel</t>
  </si>
  <si>
    <t>Gandini</t>
  </si>
  <si>
    <t>Jeaneth Ospino</t>
  </si>
  <si>
    <t>Cra 67 # 79-85 - Casa</t>
  </si>
  <si>
    <t>Que Dios la bendiga hoy y siempre, que ilumine su camino y se cumplan todos los deseos de su corazón.</t>
  </si>
  <si>
    <t>Caro y Vale</t>
  </si>
  <si>
    <t xml:space="preserve">espinosa </t>
  </si>
  <si>
    <t xml:space="preserve">Orlando Barros </t>
  </si>
  <si>
    <t>carrera 40 # 73 -31. Calle bolsillo. - Casa</t>
  </si>
  <si>
    <t xml:space="preserve"> Hoy celebramos 50 años de una historia que nos inspira a todos. Gracias por enseñarnos el valor del amor y la familia. Felices Bodas de Oro. Que la virgen y Dios siga bendiciendo su union. Liliana, Santi y Sebas</t>
  </si>
  <si>
    <t xml:space="preserve"> Saskia </t>
  </si>
  <si>
    <t>Vasilef</t>
  </si>
  <si>
    <t xml:space="preserve">Deyana Tafurt </t>
  </si>
  <si>
    <t>cra 57 # 79-319 edificio Solara Towers, apto 36B - Edificio</t>
  </si>
  <si>
    <t>feliz cumpleaños Mami! Te amamos mucho! Gracias por todo tu amor, apoyo, y enseñanzas!!! Que Dios te bendiga y sean muchos mas, con cariño Saski y Carlos</t>
  </si>
  <si>
    <t>CANASTO ARREGLO PERSONALIZADO,HACERLO LO MÁS IGUALITO POSIBLE.</t>
  </si>
  <si>
    <t xml:space="preserve">Castro </t>
  </si>
  <si>
    <t xml:space="preserve">Luisa Segovia </t>
  </si>
  <si>
    <t>Calle 46 # 46 - 157 - Oficina</t>
  </si>
  <si>
    <t>312 7041862</t>
  </si>
  <si>
    <t>1× Flora Box Solitario Rosa con 3 rosas rosadas</t>
  </si>
  <si>
    <t xml:space="preserve">Felicidades hoy la rompiste! Esa es la Luisa chimba </t>
  </si>
  <si>
    <t>Colores pasteles rosa sin remitente</t>
  </si>
  <si>
    <t xml:space="preserve">Antonio </t>
  </si>
  <si>
    <t>Antonio Batista</t>
  </si>
  <si>
    <t>Carrera 64 B # 94-128, Apto 8B - Edificio</t>
  </si>
  <si>
    <t>Hoy cumpleaños, nuestra reina, nuestro soporte. Que sean mil años más para disfrutar contigo cada momento. Eres la mejor compañía.</t>
  </si>
  <si>
    <t>Antonio y Micaela</t>
  </si>
  <si>
    <t>marcela</t>
  </si>
  <si>
    <t>serrano</t>
  </si>
  <si>
    <t>marcela serrano</t>
  </si>
  <si>
    <t>flores surtidas y gotas para las flores</t>
  </si>
  <si>
    <t xml:space="preserve">Lindsay </t>
  </si>
  <si>
    <t xml:space="preserve">Vega Angulo </t>
  </si>
  <si>
    <t>Calle 87 71 117</t>
  </si>
  <si>
    <t>Así no 
Te vi en IG. Me gustaría tener el placer de conocerte. Me aceptas una invitación a almorzar!
Att Luis Carlos Pérez (luisperez2975)</t>
  </si>
  <si>
    <t>Luis carlos Pérez</t>
  </si>
  <si>
    <t>Calvacje</t>
  </si>
  <si>
    <t>Manuela Herazo</t>
  </si>
  <si>
    <t>Hotel - Hotel</t>
  </si>
  <si>
    <t>Panelita, que estas semanas de aprendizaje sean el inicio de algo grande. Eres una mujer fuerte, capaz y disciplinada; no olvides todo lo que ya has logrado. Disfruta el proceso, incluso los días retadores, porque ahí es donde más creces. Confía en ti, porque puedes con todo.</t>
  </si>
  <si>
    <t>Con Cariño.</t>
  </si>
  <si>
    <t>Llamar dos veces al número ya que está en modo reunión y a la primera no entran las llamadas</t>
  </si>
  <si>
    <t xml:space="preserve">Martin </t>
  </si>
  <si>
    <t xml:space="preserve">Silvera </t>
  </si>
  <si>
    <t>María Estela Sojo</t>
  </si>
  <si>
    <t>Calle 82 58-20 Apt 2D - Edificio</t>
  </si>
  <si>
    <t>Hoy como todos los días es un regalo tenerte con nosotros 
Te Amamos, Dani, Migue y Martin</t>
  </si>
  <si>
    <t xml:space="preserve"> camargo</t>
  </si>
  <si>
    <t>astrid camargo</t>
  </si>
  <si>
    <t>FUNDACION SANTO DOMINGO</t>
  </si>
  <si>
    <t>Liz Toro Nieto</t>
  </si>
  <si>
    <t>Calle 118#43-46 torre 2 apto 1203 edificio maria mulata - Edificio</t>
  </si>
  <si>
    <t>Querida Liz, 
Tus compañeros de equipo te enviamos todo nuestro cariño y mejores deseos. Queremos que aproveches este tiempo para descansar, cuidarte mucho y dedicarte plenamente a ti y a tu bebé.
Estamos muy pendientes de ti, unidos en oración y confiando en que Dios tiene el control y dispondrá todo para bien. 
Te enviamos mucha fuerza, fe y serenidad. 
Con todo nuestro cariño...</t>
  </si>
  <si>
    <t>Utilizar colores pastel</t>
  </si>
  <si>
    <t>maría mercedes</t>
  </si>
  <si>
    <t>cra 51B # 79-60 entregar a MAYRA - Edificio</t>
  </si>
  <si>
    <t>1× Arreglo Personalizado | 4× Mini Box Surtida</t>
  </si>
  <si>
    <t>leny</t>
  </si>
  <si>
    <t>pava</t>
  </si>
  <si>
    <t xml:space="preserve">Gloria quintero </t>
  </si>
  <si>
    <t>Calle 135 55 09 torre 3 apt 1605  Edificio.  Caribe campestre - Edificio</t>
  </si>
  <si>
    <t>Amor 
Sabes lo mucho que siento por ti , lo importante que te convertiste para mí en mi vida , siempre quiero lo mejor para ti sabes que eres la niña de sus ojos nunca lo olvides mi Dios nunca te deja solita , esto pasa y verás que todo estará mejor mañana sabes q siempre cuentas conmigo. Y aquí estaré siempre para ti  te amo con todo  mi corazón . 
Leny pava</t>
  </si>
  <si>
    <t xml:space="preserve">Amira Arrieta </t>
  </si>
  <si>
    <t>Cra 55 no 79-197 apto 6a - Casa</t>
  </si>
  <si>
    <t xml:space="preserve">Mami este es un día muy especial para todos , poder disfrutar de tu compañía un año más nos llena de felicidad , gracias por ser la mejor mamá, esposa, hermana , abuela y suegra del mundo jejeje … te amamos … feliz cumpleaños  </t>
  </si>
  <si>
    <t>Michelo , Diana y Amirah</t>
  </si>
  <si>
    <t xml:space="preserve">Isabel </t>
  </si>
  <si>
    <t xml:space="preserve">Barreto Arrieta </t>
  </si>
  <si>
    <t xml:space="preserve">Isabel Barreto </t>
  </si>
  <si>
    <t>402 - Edificio</t>
  </si>
  <si>
    <t>2× Mini Box Hortensias y Mini Rosa</t>
  </si>
  <si>
    <t>Como aparecen el las fotos</t>
  </si>
  <si>
    <t xml:space="preserve">mayra </t>
  </si>
  <si>
    <t>mayra gutierrez</t>
  </si>
  <si>
    <t>nicolas vargas</t>
  </si>
  <si>
    <t xml:space="preserve">Giselle Martínez </t>
  </si>
  <si>
    <t>Cra 56 # 91 - 43 casa - Casa</t>
  </si>
  <si>
    <t>Alana, 
Te deseamos el mayor de los éxitos, estamos seguras que brillarás en esta noche inolvidable para ti ! Disfrútalo de principio a fin!! 
Con cariño, 
Cristy y Vivi</t>
  </si>
  <si>
    <t>Fawzi</t>
  </si>
  <si>
    <t>Muvdi</t>
  </si>
  <si>
    <t>Nana y Ale</t>
  </si>
  <si>
    <t>Carrera 57 #79-67 - Casa</t>
  </si>
  <si>
    <t xml:space="preserve">Este es un pequeño detalle para recordarles lo mucho que las amo y las extraño
</t>
  </si>
  <si>
    <t>Mondi</t>
  </si>
  <si>
    <t>Marquez Santiago</t>
  </si>
  <si>
    <t xml:space="preserve">Kathleen Trejo Herrera </t>
  </si>
  <si>
    <t>La victoria</t>
  </si>
  <si>
    <t>Calle 45#10-05, clínica san Agustín, Torre Armonía - Clinica</t>
  </si>
  <si>
    <t>Espero tengas un excelente día. Síguete mejorando ❤️</t>
  </si>
  <si>
    <t>Con cariño, Diego.</t>
  </si>
  <si>
    <t>Graciela Angulo</t>
  </si>
  <si>
    <t>Cra 61# 64 - 11 edificio Garavito - Casa</t>
  </si>
  <si>
    <t>Hoy celebramos la bendición tan grande que es tenerte en nuestras vidas. Gracias por ser mi guía, mi apoyo incondicional y el ejemplo de amor más hermoso que conozco. Todo lo que soy tiene un pedacito de ti.
Te amamos con todo el corazón.
Que este nuevo año esté lleno de salud, alegría y muchos momentos hermosos al lado de tu hija que te adora y tu nieto que ya te ama desde lo más profundo.</t>
  </si>
  <si>
    <t>Con todo nuestro amor, Tu hija y Mateo 🤍</t>
  </si>
  <si>
    <t>Así tal cual como lo venden</t>
  </si>
  <si>
    <t>Gutiérrez Castrillón</t>
  </si>
  <si>
    <t>Isabella Gutiérrez Castrillón</t>
  </si>
  <si>
    <t>ID de la orden
2433113951</t>
  </si>
  <si>
    <t xml:space="preserve">Suárez Berdugo </t>
  </si>
  <si>
    <t>Alba lucia</t>
  </si>
  <si>
    <t>Calle 3a #23-88 edificio torres de mallorquin apto 1404a torre A - Edificio</t>
  </si>
  <si>
    <t>Alba Lucia,
Estoy tan feliz por ti. Que tu matrimonio sea un reflejo de todo el amor y la felicidad que irradias. ¡Te quiero mucho!</t>
  </si>
  <si>
    <t>Que el arreglo tenga la imagen de la virgen de guadalupe</t>
  </si>
  <si>
    <t>Calle 3a#26-282 mar azul torre a-1201 - Edificio</t>
  </si>
  <si>
    <t xml:space="preserve">Felicidades por un logro más </t>
  </si>
  <si>
    <t>Con cariño, Carlos A y Natalia</t>
  </si>
  <si>
    <t>Maria Ester</t>
  </si>
  <si>
    <t>Cl. 37 #46-112 Edificio Aduana - Edificio</t>
  </si>
  <si>
    <t>Te quiero con la mente, con el corazón y con mi vida.</t>
  </si>
  <si>
    <t>Cristian Ariza</t>
  </si>
  <si>
    <t>que sea suave en términos de colorimetria, gracias.</t>
  </si>
  <si>
    <t>RICARDO</t>
  </si>
  <si>
    <t xml:space="preserve">Naizzir </t>
  </si>
  <si>
    <t xml:space="preserve">Paula Angarita </t>
  </si>
  <si>
    <t>Calle 48 no.43-104 Comfamiliar - Oficina</t>
  </si>
  <si>
    <t>Mi Reina: 
Si nuestra historia fuera una serie, sería mi favorita todos los días.
“100 días para siempre” no es solo un título, es una promesa.
Que este detalle te recuerde que quiero seguir viendo todos los capítulos de mi vida a tu lado.
Te amo hoy, mañana y siempre mi reina. ❤️‍🔥👸🏽👑</t>
  </si>
  <si>
    <t>Con amor Cukito.</t>
  </si>
  <si>
    <t>Marquito, con el estilo del mini box N31 , rosas lilas o color pártelo, Hortencias. adicionar el regalo</t>
  </si>
  <si>
    <t>Deybeth</t>
  </si>
  <si>
    <t>Gómez Imitola</t>
  </si>
  <si>
    <t xml:space="preserve">Emma </t>
  </si>
  <si>
    <t>Calle 54 #63-04 apto. 303 - Edificio</t>
  </si>
  <si>
    <t>¡Te amo mamá! 
Dios te conceda vida y salud en su misericordia.</t>
  </si>
  <si>
    <t>Con cariño, Deybeth</t>
  </si>
  <si>
    <t>Deseo este arreglo en rosas de color amarillo y rosadas</t>
  </si>
  <si>
    <t>Amin</t>
  </si>
  <si>
    <t>David Amin</t>
  </si>
  <si>
    <t>cra. 51 # 80-34 ferrari apto 6 torre a - Edificio</t>
  </si>
  <si>
    <t>deja  el mensaje</t>
  </si>
  <si>
    <t>Godoy Molinares</t>
  </si>
  <si>
    <t>Stephanie Godoy</t>
  </si>
  <si>
    <t>Calle 102 no 49 E 89 apto 11A - Edificio</t>
  </si>
  <si>
    <t>Amada Ariana,
Que La Virgen Maria muestra madre espiritual guía siempre tus pasos y resguarde tu corazón.</t>
  </si>
  <si>
    <t>Con amor Tía Nenis y Tio Victor</t>
  </si>
  <si>
    <t>Entregar hoy por favor antes de las 2 pm</t>
  </si>
  <si>
    <t>Elisa</t>
  </si>
  <si>
    <t>Regina Yurrita</t>
  </si>
  <si>
    <t>Edificio cororoima - Conjunto</t>
  </si>
  <si>
    <t>Regina: hoy es un día para agradecer, agradecer a Dios por darte la fuerza, a tu familia por haberte sostenido, pero en especial agradecerte por tu tenacidad, tu fe inquebrantable, tu valentía para afrontar cada situación como un peldaño más hacia la sanidad! Celebramos contigo y tu hermosa familia tu llegada a este momento!! Aquí estamos y estaremos para bailarnos juntos, esa guacherna en enero de 2027!!</t>
  </si>
  <si>
    <t>Te queremos, Angie, Hindo, Luzma y Ely</t>
  </si>
  <si>
    <t>Igual a la foto</t>
  </si>
  <si>
    <t>Angel Martinez</t>
  </si>
  <si>
    <t>Hernández Hincapié</t>
  </si>
  <si>
    <t>Pamela Correa</t>
  </si>
  <si>
    <t>Cra 56#72-64 Casona del Prado Apartamento 309 - Conjunto</t>
  </si>
  <si>
    <t>Pamela, 
Te deseo un muy feliz cumpleaños y espero que Dios y la Virgen siempre te llenen de muchas bendiciones 
¡Te quiero!</t>
  </si>
  <si>
    <t>Sofía H</t>
  </si>
  <si>
    <t>Ojalá que el Yitsu sea blanco y no amarillo</t>
  </si>
  <si>
    <t xml:space="preserve">Valerie </t>
  </si>
  <si>
    <t xml:space="preserve">Senior </t>
  </si>
  <si>
    <t xml:space="preserve">ARLENE DOMÍNGUEZ </t>
  </si>
  <si>
    <t>calle 80 n 55-78 apt 6 Edificio bellagio - Edificio</t>
  </si>
  <si>
    <t>315 7492169</t>
  </si>
  <si>
    <t xml:space="preserve">Arle , muchas gracias por toda la atención y la ayuda con Lucy en la clínica , te quiero mucho gracias por ser siempre tan especial </t>
  </si>
  <si>
    <t>Con mucho cariño VALERIE SENIOR</t>
  </si>
  <si>
    <t>gustavo salazar</t>
  </si>
  <si>
    <t xml:space="preserve">Verónica Martínez </t>
  </si>
  <si>
    <t>Calle 77 #55-161 - Edificio Villa Venecia Piso 5 - Edificio</t>
  </si>
  <si>
    <t>Melanny Whedeking</t>
  </si>
  <si>
    <t>Oficina 7a1 - Oficina Cra 53 #106-280 centro empresarial buena vista</t>
  </si>
  <si>
    <t xml:space="preserve">Gracias por confiar en mi trabajo y en mis manos. Para mí es un honor acompañarte en este proceso y ser parte de tu cambio. </t>
  </si>
  <si>
    <t>Dr Frank Lamadrid - Equipo 4k</t>
  </si>
  <si>
    <t>Me llaman a mí cuando entreguen el arreglo para bajar y Me muestras foto de la tarjeta cuando esté listo.</t>
  </si>
  <si>
    <t>Carrera 64#98-90 apto 709 Alameda campestre torre 3 - Edificio</t>
  </si>
  <si>
    <t>ROSAS  COLOR PALO DE ROSA</t>
  </si>
  <si>
    <t xml:space="preserve">ana maria </t>
  </si>
  <si>
    <t xml:space="preserve">jimenez </t>
  </si>
  <si>
    <t>ana maria jimenez</t>
  </si>
  <si>
    <t>311 4187547</t>
  </si>
  <si>
    <t>Marialix</t>
  </si>
  <si>
    <t>Munoz</t>
  </si>
  <si>
    <t>Ingrid</t>
  </si>
  <si>
    <t>Cra 56#135-80  Casa 12 Conjunto Marasha</t>
  </si>
  <si>
    <t>Feliz cumpleaños madrina,  con amor Jero y Maxi!</t>
  </si>
  <si>
    <t xml:space="preserve">Esteban </t>
  </si>
  <si>
    <t xml:space="preserve">Kattya </t>
  </si>
  <si>
    <t>CLL 46b # 14 d 25 - Casa</t>
  </si>
  <si>
    <t>JM</t>
  </si>
  <si>
    <t>¡Feliz cumpleaños, Kattya!
Que hoy la vida te regale muchas sonrisas y felicidad. Me gustas mucho y deseo que este año este lleno de momentos increíbles !</t>
  </si>
  <si>
    <t>Barina</t>
  </si>
  <si>
    <t xml:space="preserve">Laura Carbo Mancera </t>
  </si>
  <si>
    <t>Cra 54#132-200 apto 502c - Edificio</t>
  </si>
  <si>
    <t>Que el amor de Dios te dé la fuerza que necesitas en estos momentos tan difícil. Estamos contigo hoy y siempre.</t>
  </si>
  <si>
    <t>Shadany rosado , Jennifer Hernández , BArina Pérez</t>
  </si>
  <si>
    <t>Solo color blanco las flores porfavor , y la virgen de Guadalupe si es posible</t>
  </si>
  <si>
    <t xml:space="preserve">Lala </t>
  </si>
  <si>
    <t>Mary Caro Martin Leyes</t>
  </si>
  <si>
    <t>Cra 58 No 91-30 Apt 702 Edif Aeria - Edificio</t>
  </si>
  <si>
    <t>Happy birthday amor miooo!!!!</t>
  </si>
  <si>
    <t>Lala</t>
  </si>
  <si>
    <t xml:space="preserve">edgar </t>
  </si>
  <si>
    <t xml:space="preserve">barcenas </t>
  </si>
  <si>
    <t xml:space="preserve">marianela ochoa </t>
  </si>
  <si>
    <t>cra 59C N 79-350 ed. axxis, ap, 8A - Edificio</t>
  </si>
  <si>
    <t xml:space="preserve">A mi compañera de vida que hoy recibas tanto amor como el que repartes feliz cumpleaños, te amamos. edgar y jacob </t>
  </si>
  <si>
    <t xml:space="preserve">Jeason </t>
  </si>
  <si>
    <t xml:space="preserve">Rodelo </t>
  </si>
  <si>
    <t xml:space="preserve">Lizeth </t>
  </si>
  <si>
    <t>Calle 112# 43-123 - Conjunto</t>
  </si>
  <si>
    <t>Hoy cumple la persona que desde que apareció alegra mis días, me hace entender que la primavera no es una estación, que la luz no es electricidad, que el agua no hidrata, que el sol no calienta, que la mejor postal no es el amanecer y que mi madre no es mi única motivación; porque tu ser encierra todo eso y muchas mas que me es difícil imaginar.</t>
  </si>
  <si>
    <t>Chévere chévere</t>
  </si>
  <si>
    <t xml:space="preserve">tomas </t>
  </si>
  <si>
    <t xml:space="preserve">garcia </t>
  </si>
  <si>
    <t>Mónica Marcela Martínez Ribon</t>
  </si>
  <si>
    <t>Carrera 70 #91-35 Torre 7 apto 428 Edificio parques del tivoly - Edificio</t>
  </si>
  <si>
    <t>300 5333582</t>
  </si>
  <si>
    <t>"Estas flores intentaron ser tan bonitas como tú... pobrecitas, no lo lograron. 🌷 Pero al menos tienen algo en común contigo: cada vez que las veo, me alegran el día. 
Feliz cumpleaños, persona peligrosamente encantadora. 😏🎂 ...Esto hace parte de mi introducción a mi hoja de vida"
Tomás García</t>
  </si>
  <si>
    <t xml:space="preserve">carmen sofia </t>
  </si>
  <si>
    <t xml:space="preserve">perez </t>
  </si>
  <si>
    <t>carmen sofia perez</t>
  </si>
  <si>
    <t>4 hortensias</t>
  </si>
  <si>
    <t>donado</t>
  </si>
  <si>
    <t>Freider Andres</t>
  </si>
  <si>
    <t xml:space="preserve">Prada Sanmiguel </t>
  </si>
  <si>
    <t>Valentina Pareja Bossio</t>
  </si>
  <si>
    <t>Cra. 74 #82 82 - Edificio torre 3 ap. 502</t>
  </si>
  <si>
    <t>Mereces un jardin llenos de girasoles alguien que cuide de ellas por ti. 
Siempre que mires la luna ahi estaré!</t>
  </si>
  <si>
    <t>Siempre tuyo, Freider Prada</t>
  </si>
  <si>
    <t xml:space="preserve">Maria Lucia </t>
  </si>
  <si>
    <t>Francesca Olivella</t>
  </si>
  <si>
    <t>Carrera 57 # 79-67 apto 701 edificio acqua 57 - Edificio</t>
  </si>
  <si>
    <t>Para la mejor bailarina de toda la comparsa!
Estamos muy orgullosos de ti. Disfruta cada momento y baila con el corazón.
Te adoramos!</t>
  </si>
  <si>
    <t>Tus padres luchones♥️</t>
  </si>
  <si>
    <t>ROSAS FUCSIAS!!!</t>
  </si>
  <si>
    <t xml:space="preserve">rios </t>
  </si>
  <si>
    <t>david rios</t>
  </si>
  <si>
    <t xml:space="preserve">te amo pequeñita de amor </t>
  </si>
  <si>
    <t>guacal hortensias en bouquet. PAGO 190.000 EN DATAFONO, SE LE REGRESO 30.000 EN EFECTIVO.</t>
  </si>
  <si>
    <t xml:space="preserve">Sonia delgado </t>
  </si>
  <si>
    <t>Calle 84b 42c 286 apto 8e - Edificio</t>
  </si>
  <si>
    <t>Feliz cumpleaños madre. 
Que Dios te regale muchos años más de vida. 
T.Q.M</t>
  </si>
  <si>
    <t>José de Jesús</t>
  </si>
  <si>
    <t xml:space="preserve">willian </t>
  </si>
  <si>
    <t>delia lopez rico</t>
  </si>
  <si>
    <t>jardines de la eternidad  sala 11 - Casa</t>
  </si>
  <si>
    <t>sudario</t>
  </si>
  <si>
    <t>MOVICH - Oficina</t>
  </si>
  <si>
    <t>PLAN AMIGA(BOUQUET SURTIDOS)</t>
  </si>
  <si>
    <t>Paula</t>
  </si>
  <si>
    <t>Barcelo</t>
  </si>
  <si>
    <t>Clínica Villa 76</t>
  </si>
  <si>
    <t>Cra 50 # 86 - 56 - Clinica</t>
  </si>
  <si>
    <t>Feliz cumpleaños Dra Laura!</t>
  </si>
  <si>
    <t>Con cariño Sus residentes de 2do año</t>
  </si>
  <si>
    <t>Colores pastel hortensias</t>
  </si>
  <si>
    <t>Entrega en Tienda</t>
  </si>
  <si>
    <t>Telly Armando Bolaño Benitez</t>
  </si>
  <si>
    <t>Karen Tellez</t>
  </si>
  <si>
    <t>Calle 50 # 10C - 09 piso 1 Soledad 2000</t>
  </si>
  <si>
    <t>1× Flora Box Solitario Tulipan | 1× Flora Box Solitario Rosa | 1× Guacal Tierra</t>
  </si>
  <si>
    <t>Hoy honro todo lo que eres y todo lo que has tenido que ser. Tu fuerza no siempre se ve, pero se siente en cada paso que das, en cada vez que sigues adelante aun cuando pesa. Tu sensibilidad es valentía, tu amor es resistencia y tu esencia deja huella. Gracias por existir tal como eres. Feliz Día de la Mujer!</t>
  </si>
  <si>
    <t>Con mucho Amor - Telly</t>
  </si>
  <si>
    <t>Luigi Aronna</t>
  </si>
  <si>
    <t>rosas palo de rosa</t>
  </si>
  <si>
    <t>JASON FLOREZ RAVELO</t>
  </si>
  <si>
    <t>Maria Cecilia Bustamante Castro</t>
  </si>
  <si>
    <t>Carrera 59 # 96 - 150</t>
  </si>
  <si>
    <t>Con Amor, Alberto</t>
  </si>
  <si>
    <t>ID de la orden
2433492220</t>
  </si>
  <si>
    <t>Juan camilo Falco</t>
  </si>
  <si>
    <t xml:space="preserve">María Mónica Fragozo </t>
  </si>
  <si>
    <t>Calle 99 58 46 apto 1401 ed. Brizzo</t>
  </si>
  <si>
    <t>Para la
Mejor mamá y esposa del mundo. Que tengas un excelente día. 
Feliz cumpleaños!!! Te amamos</t>
  </si>
  <si>
    <t>Alejandro, Mariana y juank</t>
  </si>
  <si>
    <t>Jose Fuentes</t>
  </si>
  <si>
    <t xml:space="preserve">Dora Mayorga </t>
  </si>
  <si>
    <t>Carrera 52#106-140 casa 132</t>
  </si>
  <si>
    <t>22 años y seguimos floreciendo juntos. Feliz aniversario ❤️🌷</t>
  </si>
  <si>
    <t>Con amor tu esposo</t>
  </si>
  <si>
    <t>Calle 43 # 45-15 edificio el legado apto 604</t>
  </si>
  <si>
    <t>Amor mío gracias por estos tres meses maravillosos. Gracias por verme, por amarme tal y cómo soy. Te amo!</t>
  </si>
  <si>
    <t>Angela garavito</t>
  </si>
  <si>
    <t>Luz, Angie y maty</t>
  </si>
  <si>
    <t>Calle 72 n 68 59 bloq 8 apto 303</t>
  </si>
  <si>
    <t xml:space="preserve">Oramos por tu recuperación y hoy le damos gracias a Dios y a la Virgencita estás de vuelta a casa princesa hermosa, que te sigas recuperando y tu sonrisa nos siga acompañando </t>
  </si>
  <si>
    <t>Te queremos mucho Maty, luzma, Angie y Fabri</t>
  </si>
  <si>
    <t>Acompañar el pedido con la Vigen milagrosa</t>
  </si>
  <si>
    <t>Andres Alzate</t>
  </si>
  <si>
    <t>cra 30 # 1b-215 ed grin park</t>
  </si>
  <si>
    <t>Daniel Felipe Ordoñez Ponnefz</t>
  </si>
  <si>
    <t>Doce meses, 365 días y miles de razones para seguir eligiéndote. Estas rosas son solo un pequeño reflejo de lo hermosa que haces mi vida.</t>
  </si>
  <si>
    <t>Con Amor Daniel Felipe Ordoñez Ponnefz "Amorcito"</t>
  </si>
  <si>
    <t>Sheilla</t>
  </si>
  <si>
    <t>Sheilla Acosta</t>
  </si>
  <si>
    <t>1× Flora Box Lirios naranja</t>
  </si>
  <si>
    <t xml:space="preserve">Tahiana, deseamos que tengas un feliz cumpleaños y que tu vida este llena de sueños cumplidos. Tus amigos: </t>
  </si>
  <si>
    <t>MATIAS, SANTIAGO V, SANTIAGO A, DANIEL, SIMON, ALEJANDRO, Nicolas, Richy, Carlos, Sebastian, Federico  Alvaro</t>
  </si>
  <si>
    <t>Heisy Montes</t>
  </si>
  <si>
    <t>Isabel Herrera</t>
  </si>
  <si>
    <t>Calle 96 # 71-165 Edificio Altares, Apto 1102, Torre 1B</t>
  </si>
  <si>
    <t>Para mí Tía 
Mi mamá me ha contado muchas historias sobre ti, historias que parecen sacadas de un cuento de hadas.  
Dice que tienes superpoderes y una varita especial,
que todo lo que tocas lo vuelves magia de verdad.
Y que tienes una capa que te deja volar muy alto,
para cuidar con amor, sin dar un solo salto. 
Me contó que puedes pintar sonrisas, como la de mi primo Franco, que brilla más cuando te tiene a su lado.  
Que sabes regar corazones, como el de mi tío Angelo, que crece noble y ha montones sin descanso.
Dice que vives con una manada de tigres valientes,
por eso persigues tus sueños ligera y sonriente.
Que sabes rugir fuerte cuando el miedo aparece,
y brillar más bonito cuando el corazón lo siente.
Que donde llegas, todo florece más bonito porque fertilizas con polvo mágico escondido en tus bolsillos.
A mí me gustaría crecer cerquita de esa magia, aprender a soñar grande, sin miedo y sin pausa, a reír fuerte y a amar bonito… Como dice mi mamá que lo haces: Valiente pero despasito.
Yo sé que hoy es tu cumpleaños y mi mamá pensó, pensó,
pero no sabía qué regalo darte. Entonces yo le susurré una idea al oído:
que yo podía ser tu regalo especial,
para que me enseñes tus trucos mágicos y me ayudes a volar.
Para crecer de tu mano, pasito a pasito,
con tu magia, tu fuerza y tu amor infinito.
Te gustaría ser mi hada madrina?</t>
  </si>
  <si>
    <t>Alma</t>
  </si>
  <si>
    <t>MUJER LABIOS FUCSIAS</t>
  </si>
  <si>
    <t xml:space="preserve">NATALIA HERNANDEZ </t>
  </si>
  <si>
    <t>.. - Edificio</t>
  </si>
  <si>
    <t>BOUQUET DE 12 ROSAS ROJAS</t>
  </si>
  <si>
    <t>Jose Molina</t>
  </si>
  <si>
    <t xml:space="preserve">Lilibeth cera </t>
  </si>
  <si>
    <t>Calle 11 n 14-56 galapa</t>
  </si>
  <si>
    <t>En conmemoración al día que me diste ese gran beso. 
Gracias por este año lleno de mucho cariño, comprensión y aventuras.</t>
  </si>
  <si>
    <t>fany</t>
  </si>
  <si>
    <t>327681513153552561</t>
  </si>
  <si>
    <t>Kiara Gamez Simanca</t>
  </si>
  <si>
    <t xml:space="preserve">Mirielys Gamez </t>
  </si>
  <si>
    <t>Carrera 29 70b 37 Casa 2 - Conjunto Quintas de Olaya</t>
  </si>
  <si>
    <t xml:space="preserve">Eres una mujer maravillosa. Llena de magia y bondad! Feliz cumpleaños!! 
</t>
  </si>
  <si>
    <t>Con amor, familia Roca Gamez</t>
  </si>
  <si>
    <t>vibes</t>
  </si>
  <si>
    <t>alberto vibes</t>
  </si>
  <si>
    <t>1× Bouquet 30 Rosas Rojas</t>
  </si>
  <si>
    <t>bouquet de 30 rosas rojas</t>
  </si>
  <si>
    <t>Cra 56 #91-86</t>
  </si>
  <si>
    <t>Feliz cumpleaños mi flaca🤍</t>
  </si>
  <si>
    <t>Con amor, Farid Eduardo</t>
  </si>
  <si>
    <t>Roberto Carlos Gil García</t>
  </si>
  <si>
    <t>Clara Inés García Moreno</t>
  </si>
  <si>
    <t>Cra. 45 #80-67</t>
  </si>
  <si>
    <t xml:space="preserve">Feliz cumpleaños a la mejor mamá del mundo, te amo </t>
  </si>
  <si>
    <t>Con amor, Roberto</t>
  </si>
  <si>
    <t>Sofia Ropero</t>
  </si>
  <si>
    <t>Julia De La Ossa</t>
  </si>
  <si>
    <t>Calle 57#34-08</t>
  </si>
  <si>
    <t>mini box hortensias y mini rosas</t>
  </si>
  <si>
    <t>Feliz cumpleaños, mi Juli!
Que mi Dios y la Virgen te guarden y te bendigan siempre. Que este nuevo año de vida esté lleno de mucha felicidad, amor y, sobre todo, salud.
Agradezco a Dios por tu vida y por nuestra amistad; hoy celebro tu día con el corazón lleno de gratitud. Espero que seas muy amada, muy feliz y que todos tus sueños se sigan haciendo realidad.</t>
  </si>
  <si>
    <t>Con mucho cariño, Sofi 🩷</t>
  </si>
  <si>
    <t>Alexandra Martínez Aparico</t>
  </si>
  <si>
    <t>Calle 81 no 56 - 21 apto 301 Edif Giardino</t>
  </si>
  <si>
    <t>Querida Alana,
Anoche brillaste más que nunca y ese brillo quedará por siempre grabado en nuestras mentes y nuestros corazones!
Estamos muy orgullosos de ti!</t>
  </si>
  <si>
    <t>Te amamos mucho, Tus tías, tías, primas y primos</t>
  </si>
  <si>
    <t>Colocar la fecha en la tarjeta
Favor entregar antes de 3:00 pm</t>
  </si>
  <si>
    <t>Camilo Andrés Ruiz Ruiz</t>
  </si>
  <si>
    <t>Carolina Andrea Gutierrez Trocha</t>
  </si>
  <si>
    <t>Calle 58b#26-37</t>
  </si>
  <si>
    <t>Happy birthday</t>
  </si>
  <si>
    <t>Con amor Tu Grandote</t>
  </si>
  <si>
    <t>Valentina Dominguez</t>
  </si>
  <si>
    <t xml:space="preserve">Angie Méndez figueredo </t>
  </si>
  <si>
    <t>Cl. 99 #65 64, edifico gratia</t>
  </si>
  <si>
    <t>Amiga hermosa 
Quiero que recuerdes algo muy importante: no estás sola. Dios te ama más de lo que imaginas, incluso en los días en que sientes que no puedes más.
“Con amor eterno te he amado; por eso te sigo mostrando mi fidelidad.” — Jeremías 31:3
Eres valiosa, eres fuerte y tu vida tiene propósito.</t>
  </si>
  <si>
    <t>No tengo el número del apartamento</t>
  </si>
  <si>
    <t>Laura Gelvez</t>
  </si>
  <si>
    <t>Rocio Y Alfredo Gelvez García</t>
  </si>
  <si>
    <t>calle 90# 53-86  Edificio palmetto - apto 203B</t>
  </si>
  <si>
    <t>💞Ma y Pa💞
Hoy celebramos 39 años❤️‍🔥!
De una historia que se escribe con amor, con tiempo, con paciencia que solo nace cuando dos corazones deciden no soltarse jamás. Son 39 años de experiencias, de aprendizajes, de caídas y de levantadas, de días simples que se volvieron recuerdos eternos.
Los extrañamos muchísimo…
A veces la nostalgia aprieta fuerte, pero también nos llena el alma saber que tenemos un ejemplo tan grande de lo que significa amar de verdad. Gracias por enseñarnos que el amor no es perfecto, pero sí es constante, valiente y profundamente real.
Que nunca les falten las ganas de irse a comer algo rico juntos, las risas, ni los chistes, ni esa manera tan suya de aligerar la vida.
Que antes de la rabia siempre llegue el entendimiento desde una burla sana, la risa compartida, la complicidad de mirarse y reírse de eso que, al final, no pesa tanto… porque nada pesa más que el amor que existe entre ustedes dos.
Los amamos con todo el corazón.
Se les extraña cada día.
Y le pedimos a Dios que siempre camine de la mano de ustedes, que cuide su unión, que proteja su hogar y que siga llevando este amor tan grande, tan firme y tan bonito…
hasta la eternidad.
Con todo nuestro Amor, son nuestro orgullo más grande, sus hijos…
Dani, Laura , Matthew, Gigo, Lebron 
❤️🧔🏻‍♂️👩🏼👦🏻🐶🐶❤️</t>
  </si>
  <si>
    <t>arreglo de 39 rosas rojas (astromelias, orquideas y clavellinas fucsias)
topper Feliz Aniversario 
2 botellas JP</t>
  </si>
  <si>
    <t>isabella ayala</t>
  </si>
  <si>
    <t xml:space="preserve">cleotilde pinedo </t>
  </si>
  <si>
    <t>cra 42f#84b-55</t>
  </si>
  <si>
    <t xml:space="preserve">Feliz cumpleaños, Cleo. Que este nuevo año le regale mucha salud, tranquilidad y momentos llenos de alegría. Gracias por todo el cariño que siempre nos das.
</t>
  </si>
  <si>
    <t>Con amor, Familia Ayala Escorcia.</t>
  </si>
  <si>
    <t>Fernanda Charris Jiménez</t>
  </si>
  <si>
    <t>Carmen Arteta González</t>
  </si>
  <si>
    <t>Cra 74 #76-91, Clínica la Misericordia vía 40</t>
  </si>
  <si>
    <t>Que Dios siempre bendiga su hogar y que la llegada de Noah siempre mantenga vivo el amor y la paz que tanto se merecen. 
Carmen y Jaime, felicidades por este regalo tan hermoso que nos iluminará a todos.</t>
  </si>
  <si>
    <t>Con amor, tus tíos Fernanda y Juan Camilo.</t>
  </si>
  <si>
    <t>El pedido lo podrán entregar en portería al personal de la salud de turno, ya que Carmen Arteta trabaja en esa clínica y los compañeros podrán recibir.</t>
  </si>
  <si>
    <t>yadira Hernández</t>
  </si>
  <si>
    <t>Mariana Buendia Sierra</t>
  </si>
  <si>
    <t>calle 84 #42A-13 apartamento 302- edificio Heredia II</t>
  </si>
  <si>
    <t>Mi princesa hermosa,
Hoy cumples quince años y mi corazón se llena de orgullo al verte crecer tan maravillosa. Que esta nueva etapa esté llena de sueños cumplidos, alegría y mucho amor.
Siempre estaré para ti.
Con todo mi amor,
Tu madrina</t>
  </si>
  <si>
    <t>TONOS PASTELES, VER CONVERSACION ANTES DE REALIZAR EL ARREGLO.</t>
  </si>
  <si>
    <t>Juan Eduardo Osorio</t>
  </si>
  <si>
    <t xml:space="preserve">Juan Eduardo Osorio </t>
  </si>
  <si>
    <t>natalia rojas rappi</t>
  </si>
  <si>
    <t xml:space="preserve">natalia rojas </t>
  </si>
  <si>
    <t>anonimo anonimo</t>
  </si>
  <si>
    <t xml:space="preserve">anonimo </t>
  </si>
  <si>
    <t>marinella carmona</t>
  </si>
  <si>
    <t xml:space="preserve">marinella carmona </t>
  </si>
  <si>
    <t>De: Miche y Nella 
Feliz Cumpleaños a la mejor mama del mundo, te amamos</t>
  </si>
  <si>
    <t>Johanna Diaz Solano</t>
  </si>
  <si>
    <t xml:space="preserve">Diana Santacoloma </t>
  </si>
  <si>
    <t>Carrera 52#106-203</t>
  </si>
  <si>
    <t>Espero que estas flores suaves y tiernas te llenen de un poco de la luz y alegría que tú siempre irradias. Recuerda que estoy aquí para ti y que te envío toda mi energía positiva y cariño.
Cuídate mucho y recupérate pronto. Te quiero muchísimo.</t>
  </si>
  <si>
    <t>Johy</t>
  </si>
  <si>
    <t>Grace Garcia Natera</t>
  </si>
  <si>
    <t>Francia Ramirez</t>
  </si>
  <si>
    <t>Carrera 17 No. 41-70  (Casa esquina)</t>
  </si>
  <si>
    <t>1× Guacal Surtido Lirio | 1× Topper Happy Birthday</t>
  </si>
  <si>
    <t>¡Hoy le doy gracias a Dios por permitirme celebrar un año más de vida a la persona más especial en mi corazón! Gracias por ser amor y calma, por nunca soltar mi mano y por ser mi apoyo incondicional. Gracias por tu nobleza, tu fuerza, tu templanza y tu esfuerzo incansable. Por siempre apoyarme y estar a mi lado sin importar las circunstancias. Me hiciste fuerte y valiente, y por eso mis logros siempre serán todos tuyos.
¡Gracias infinitas le doy a Dios por permitirle vivir y celebrar sus primeros 90 años! La amo mucho más de lo que las palabras pueden expresar❤️🎉🎈</t>
  </si>
  <si>
    <t>Atte; Grace</t>
  </si>
  <si>
    <t>sandra forero</t>
  </si>
  <si>
    <t>sarah</t>
  </si>
  <si>
    <t>cra 52#82-278 apto 805</t>
  </si>
  <si>
    <t>felices 18 hija,que dios te de mucha salud y sabiduría
te ama,</t>
  </si>
  <si>
    <t>tu mamá</t>
  </si>
  <si>
    <t>ID de la orden
2434299490</t>
  </si>
  <si>
    <t>Kathy Garn</t>
  </si>
  <si>
    <t>Maria Teresa arenas</t>
  </si>
  <si>
    <t>Cra 75a #87-28</t>
  </si>
  <si>
    <t>Te quiero cómo una madre porque en Mi corazón he recibido muestras de amor cómo
Si lo hubieses sido… feliz cumpleaños mi Mary!!!</t>
  </si>
  <si>
    <t>Kathy, Jake y Mia</t>
  </si>
  <si>
    <t>Andres Arango</t>
  </si>
  <si>
    <t xml:space="preserve">de parte del tío Andrés y Mao para el nuevo angelito 🤎
</t>
  </si>
  <si>
    <t>ID de la orden
2434063458</t>
  </si>
  <si>
    <t>Arturo Mario Solano Varon</t>
  </si>
  <si>
    <t xml:space="preserve">Arturo Solano </t>
  </si>
  <si>
    <t>Cra 65 no 99 - 20</t>
  </si>
  <si>
    <t>Gracias por tanto. Vida mía, te amo.</t>
  </si>
  <si>
    <t>Artu</t>
  </si>
  <si>
    <t>Jaime  Rueda</t>
  </si>
  <si>
    <t>Ivanna guerra</t>
  </si>
  <si>
    <t>Cra 30#69b-109 apto 201</t>
  </si>
  <si>
    <t>Un detalle para alguien que, aun sin conocernos en persona, ya transmite algo especial. Que tengas un lindo día.</t>
  </si>
  <si>
    <t>Yohana Yaneth Elvir Mejía</t>
  </si>
  <si>
    <t xml:space="preserve">Alba luz Bolaños </t>
  </si>
  <si>
    <t>Calle 1a#30-61</t>
  </si>
  <si>
    <t>Gracias por abrazarme como si fuera suya. Eso no se olvida nunca.
Feliz cumpleaños. La quiero mucho</t>
  </si>
  <si>
    <t>Yohana Elvir</t>
  </si>
  <si>
    <t>GENOVEVA CRIALES</t>
  </si>
  <si>
    <t>heidy barrera</t>
  </si>
  <si>
    <t>calle 98 #65A- 54 apto 1301 torre 1</t>
  </si>
  <si>
    <t>Que este inicio de semana esté lleno de mucha fe , amor y determinación. Esa misma de terminación que siempre te ha caracterizado. Esta es nuestra semana de la victoria , confía en Dios y en el impecable proceso que has venido desarrollando desde tus inicios.  El 8 de marzo de la mano de Dios recogerás los frutos de tanto esfuerzo , disciplina, compromiso , nobleza , dedicación y amor . 
Aquí estoy para ti mi amor , te acompañaré y jamás te soltaré . 
Te amo</t>
  </si>
  <si>
    <t>Jei</t>
  </si>
  <si>
    <t>Carmen Molina</t>
  </si>
  <si>
    <t>nohema rueda</t>
  </si>
  <si>
    <t>Calle 79a # 35d-25</t>
  </si>
  <si>
    <t xml:space="preserve">Feliz cumpleaños abuelita, te amo y te extraño con todo mi corazón, Dios te bendiga hoy y siempre, espero que pases un muy feliz cumpleaños 🩷
</t>
  </si>
  <si>
    <t>Carmencita</t>
  </si>
  <si>
    <t>marco guerrero</t>
  </si>
  <si>
    <t>calle 81#56-74</t>
  </si>
  <si>
    <t>You made it !!! R3 
Felicidades 
- MG</t>
  </si>
  <si>
    <t>You made it !!! R3  Felicidades   - MG</t>
  </si>
  <si>
    <t>DIANA MARTINEZ</t>
  </si>
  <si>
    <t>GLORIA RUBIANO</t>
  </si>
  <si>
    <t>CALLE 91a #64c-38 apto 302</t>
  </si>
  <si>
    <t>Jorge Iván Pertuz</t>
  </si>
  <si>
    <t xml:space="preserve">Luisa Zambrano </t>
  </si>
  <si>
    <t>Sala de ventas ubicada en la Cra 21 #1a-86 junto al BC empresarial, sector portal de Genovés, Puerto Colombia.</t>
  </si>
  <si>
    <t>La distancia nos separa pero nos queremos, cuando nos encontremos se unirán nuestras almas. 🎵</t>
  </si>
  <si>
    <t>Jorge Iván</t>
  </si>
  <si>
    <t>JAN CARLOS VASQUEZ RODRIGUEZ</t>
  </si>
  <si>
    <t>ANGELICA VILLARREAL OSORIO</t>
  </si>
  <si>
    <t>CALLE 53 #44-150 CONJUNTO LA PLAZUELA, TORRE 2 APARTAMENTO1205.</t>
  </si>
  <si>
    <t xml:space="preserve"> FELIZ ANIVERSARIO BB, GRACIAS POR ESTAR A MI LADO EN ESTOS 20 AÑOS, ERES LO MEJOR QUE ME HA PASADO, LE PIDO A DIOS QUE ESTEMOS JUNTOS POR TODO LA VIDA, TE AMO Y TE AMARÉ POR SIEMPRE. CON MUCHO AMOR PARA TI</t>
  </si>
  <si>
    <t>ATTE: JAN</t>
  </si>
  <si>
    <t>Carlos Andrés Mendoza Sandoval</t>
  </si>
  <si>
    <t>María Gabriela Echeverría Ramos</t>
  </si>
  <si>
    <t>Cra 49c #99-85</t>
  </si>
  <si>
    <t>Para la princesa más hermosa del universo</t>
  </si>
  <si>
    <t>Tu amor lindo</t>
  </si>
  <si>
    <t>Requiero que llegue antes de 3pm. Entre 1pm y 3pm, por favor 🙏</t>
  </si>
  <si>
    <t>Andrés Duque Sierra</t>
  </si>
  <si>
    <t>Carrera 72 # 91a-100, torre 8 apto 529</t>
  </si>
  <si>
    <t>Feliz cumpleaños flaquita 🤍</t>
  </si>
  <si>
    <t>Con mucho amor tu mamá, María José y Andrés A.</t>
  </si>
  <si>
    <t>Rosas blancas</t>
  </si>
  <si>
    <t>Juan Felipe Pájaro</t>
  </si>
  <si>
    <t xml:space="preserve">Chary Geronimo </t>
  </si>
  <si>
    <t>Cra 3# 7-12 la risota</t>
  </si>
  <si>
    <t xml:space="preserve">Porque para el amor no existen razones, a tu lado todos los días son especiales </t>
  </si>
  <si>
    <t>Rafael Jose Freire Moscote</t>
  </si>
  <si>
    <t xml:space="preserve">Luisa Vargas </t>
  </si>
  <si>
    <t>Cra 55 # 82-141</t>
  </si>
  <si>
    <t>Mereces algo bonito</t>
  </si>
  <si>
    <t>RF</t>
  </si>
  <si>
    <t>Diana vecino</t>
  </si>
  <si>
    <t>Brandon velez vasquez</t>
  </si>
  <si>
    <t>Laura fernanda bertel</t>
  </si>
  <si>
    <t>93 71 230</t>
  </si>
  <si>
    <t xml:space="preserve">Feliz vuelta al sol ,que sigas creciendo cada dia más y recuerda que en esta vida se puede lograr todo lo que proyectes en tu mente ,camina de la mano de Dios siempre </t>
  </si>
  <si>
    <t>..</t>
  </si>
  <si>
    <t>Manuela Arboleda Valdés</t>
  </si>
  <si>
    <t xml:space="preserve">Valeria Aguirre </t>
  </si>
  <si>
    <t>Transversal 44 #104-30  Conjunto Florencia Torre 1 - Apto 202</t>
  </si>
  <si>
    <t>PEDIDO DÍA DE LA MUJER</t>
  </si>
  <si>
    <t>monica manga</t>
  </si>
  <si>
    <t>viviana correa</t>
  </si>
  <si>
    <t>cra 45 #70-149</t>
  </si>
  <si>
    <t>Luis Afiuni</t>
  </si>
  <si>
    <t>Bienvenida de vuelta, changuita❤️</t>
  </si>
  <si>
    <t>María Mónica castro</t>
  </si>
  <si>
    <t xml:space="preserve">María Mónica castro </t>
  </si>
  <si>
    <t>Calle79b-42f-158 edificio Fountain apartamento 505</t>
  </si>
  <si>
    <t>Feliz cumpleaños 
Isabella hermosa 
Hace 12 años llegaste a nuestras vidas para llenarlas de amor y alegría. Eres nuestra princesa, nuestro orgullo y el regalo más bonito que Dios nos dio.
Te amamos con todo el corazón, hoy y siempre.</t>
  </si>
  <si>
    <t>Papá y mamá</t>
  </si>
  <si>
    <t>Entregar antes de 9 am el miércoles 4</t>
  </si>
  <si>
    <t>José maestre</t>
  </si>
  <si>
    <t>isabella hoyos</t>
  </si>
  <si>
    <t>Cra 64 # 91-239 ( edificio )</t>
  </si>
  <si>
    <t xml:space="preserve"> felices 2 meses mi amor , feliz porque mi corazón supo elegir una novia hermosa como tú . Mi Isa linda </t>
  </si>
  <si>
    <t>Att: José E. .</t>
  </si>
  <si>
    <t>samuel lerner</t>
  </si>
  <si>
    <t>get better soon</t>
  </si>
  <si>
    <t>benny</t>
  </si>
  <si>
    <t>Nathaly Johana Villota Mesias</t>
  </si>
  <si>
    <t xml:space="preserve"> Yajaira Salas</t>
  </si>
  <si>
    <t>Sankara Palms, Calle 3a # 24-70 Villa Campestre, Apto 505 piso 5</t>
  </si>
  <si>
    <t>1× Marquito Orquidea M</t>
  </si>
  <si>
    <t>Amigaaa!!!
Más que mi amiga, mi hermana, mi confidente, mi apoyo y mi alegría, por eso este día no podía dejar de estar presente en esta maravillosa fecha donde celebramos tu exisistir, te deseo lo mejor del universo, que Dios te bendiga y que todo lo bueno te suceda porque te mereces la felicidad plena. Te quiero muchisimoo.</t>
  </si>
  <si>
    <t>Natha Villota</t>
  </si>
  <si>
    <t>Andres Holguin</t>
  </si>
  <si>
    <t>Adriana Molinares</t>
  </si>
  <si>
    <t>Cra 20 #2A - 10  Conjunto Terra Conjunto Terra Casa287</t>
  </si>
  <si>
    <t>Happy Birthday to you!!</t>
  </si>
  <si>
    <t>Porfavor ponerle una cartita o algo. Tonos pastel y rosado.</t>
  </si>
  <si>
    <t>Mayra Santos</t>
  </si>
  <si>
    <t>Cra 59 # 96-150, Apto 7B</t>
  </si>
  <si>
    <t>3× Flora Box Solitario Rosa ROSADA</t>
  </si>
  <si>
    <t>Feliz Día de la Mujer.
Te quiero</t>
  </si>
  <si>
    <t>Alejandro Mejía S.</t>
  </si>
  <si>
    <t>Que las rosas sean rosadas porfavor(DIA DE LA MUJER)</t>
  </si>
  <si>
    <t>Tatiana Robles</t>
  </si>
  <si>
    <t>INVERSIONES EN RECREACIÓN,DEPORTE Y SALUD SA</t>
  </si>
  <si>
    <t>NO</t>
  </si>
  <si>
    <t>5 PAQUETES DE CLAVELES $35.000</t>
  </si>
  <si>
    <t>Laura Suarez</t>
  </si>
  <si>
    <t xml:space="preserve">Laura Suarez </t>
  </si>
  <si>
    <t>Trasversal 43 #100-50 Conjunto Residencial Napoli Torre 6 Apto 1123</t>
  </si>
  <si>
    <t>No sé cómo será este proceso, pero quiero intentarlo contigo desde la calma, y que te vayas sabiendo que te elijo
Te amo</t>
  </si>
  <si>
    <t>L.S</t>
  </si>
  <si>
    <t>Incluir Hortencia</t>
  </si>
  <si>
    <t>Carmiña Pardey</t>
  </si>
  <si>
    <t>Alejandra Gutiérrez de Piñeres</t>
  </si>
  <si>
    <t>Cra 56 No 80 - 227 Edificio Concorde Piso 10</t>
  </si>
  <si>
    <t>1× Ancheta Grande</t>
  </si>
  <si>
    <t>Querida Ms. Ale,
Te extrañamos muchísimo y el salón no es lo mismo sin ti.
Te enviamos todo nuestro cariño y nuestros mejores deseos para que tengas una pronta y completa recuperación.
¡Esperamos verte muy pronto de regreso en el colegio!
Con mucho amor,
Tus alumnos de Year 6B</t>
  </si>
  <si>
    <t>Year 6B</t>
  </si>
  <si>
    <t>richard dejanon</t>
  </si>
  <si>
    <t>denisse zapata</t>
  </si>
  <si>
    <t>calle 97#42F-43 apto 407 torre 2 mirador del mar 2</t>
  </si>
  <si>
    <t>Sergio Chahin</t>
  </si>
  <si>
    <t xml:space="preserve">JUAN CAMILO </t>
  </si>
  <si>
    <t>Cra. 52 #106-213, apto 1211 Riomar OCEANA APARMENTS 52</t>
  </si>
  <si>
    <t>Mi amor,
Solo tú haces que mi alma se despierte con una sonrisa
Te amo,</t>
  </si>
  <si>
    <t>por favor que sea súper espectacular</t>
  </si>
  <si>
    <t>Paula Sierra Palencia</t>
  </si>
  <si>
    <t xml:space="preserve">Paula Palencia </t>
  </si>
  <si>
    <t>Carrera 65 # 58-35</t>
  </si>
  <si>
    <t>¡Feliz cumpleaños Ñaña!
Te mereces todo lo mejor del mundo. Te amamos con el alma.</t>
  </si>
  <si>
    <t>Puly, Gonza y Abi</t>
  </si>
  <si>
    <t>Catalina Varon</t>
  </si>
  <si>
    <t>Calle 133 # 51 C - 93 casa 11 - Gerona Club House</t>
  </si>
  <si>
    <t>Feliz cumple Yali
Que Dios te llene de bendiciones siempre!!
Te queremos mucho!</t>
  </si>
  <si>
    <t>Las Socias</t>
  </si>
  <si>
    <t>Orlando araque</t>
  </si>
  <si>
    <t xml:space="preserve"> leonor lara baute</t>
  </si>
  <si>
    <t>Carrera 23 # diagonal 2C -175 AP 1301A altos de los Rosales EDIFICIO DELAMAR</t>
  </si>
  <si>
    <t>sofia buelvas</t>
  </si>
  <si>
    <t>cra 58#91-99</t>
  </si>
  <si>
    <t xml:space="preserve">
Happy birthday a la mejor mama del mundo. Gracias por todo lo que haces por nosotras, eres nuestro ejemplo a seguir. Que Dios te bendiga siempre y cumplas muchos mas. Te amamos 
</t>
  </si>
  <si>
    <t>Centro Cancerologico del Caribe Ltda</t>
  </si>
  <si>
    <t>Sra. María Teresa Lafaurie de Sierra</t>
  </si>
  <si>
    <t>cementerio jardines norte,sala 5</t>
  </si>
  <si>
    <t xml:space="preserve">
Acompañándolos en este momento, que Dios les brinde fortalezas y siempre permanezcan los recuerdos en su familia. Sentimos mucho su pérdida</t>
  </si>
  <si>
    <t>Atentamente, Dr. Hernando Chacon, Sra y familia</t>
  </si>
  <si>
    <t>Juan Reatiga</t>
  </si>
  <si>
    <t xml:space="preserve">Juan Reatiga </t>
  </si>
  <si>
    <t>Calle 86#50-63</t>
  </si>
  <si>
    <t>1× Canasto 100 rosas rojas</t>
  </si>
  <si>
    <t>Amor mío, feliz cumpleaños 🎉💖
Hoy celebro el regalo más hermoso que la vida me ha dado: tú. Gracias por tu amor, tu paciencia, tu apoyo incondicional y por llenar mis días de alegría. Eres mi compañera, mi paz, mi fuerza y mi mayor bendición.
Deseo que este nuevo año de vida esté lleno de sueños cumplidos, salud, felicidad y muchas razones para sonreír. Prometo seguir caminando a tu lado, cuidándote, respetándote y amándote cada día más.
Te amo con todo mi corazón. Feliz cumpleaños, mi vida 💕✨</t>
  </si>
  <si>
    <t>Tu amado esposo e hijos</t>
  </si>
  <si>
    <t>Cra 57 # 90-38 Vitra 57 Edf  Apto 1402</t>
  </si>
  <si>
    <t>1× Flora Box Romantic Flores 24 Rosas M/18 | 1× Ferrero Rocher 8 und</t>
  </si>
  <si>
    <t>FELIZ DIA DE LA MUJER
Eres una mujer conforme al corazón de Dios. Que Él te sorprenda cada día con Su amor.
📖 “Con Dios todo es posible.”
— Mateo 19:26 (NTV)</t>
  </si>
  <si>
    <t>Por favor que sean rosas rojas muy frescas, y agregarle los chocolates.
Muchas gracias</t>
  </si>
  <si>
    <t>María José Galeano</t>
  </si>
  <si>
    <t xml:space="preserve">María José Galeano </t>
  </si>
  <si>
    <t>Cra 45#63-53casa de esquina</t>
  </si>
  <si>
    <t>Hoy celebramos tus 15 primaveras y el inicio de una etapa hermosa en tu vida. Que cada día esté lleno de alegría, amor y sueños por cumplir. ¡Feliz cumpleaños!</t>
  </si>
  <si>
    <t>Víctor</t>
  </si>
  <si>
    <t>Luisa Fernanda Sarmiento</t>
  </si>
  <si>
    <t>Sheila y Leiren Sarmiento</t>
  </si>
  <si>
    <t>Calle 57 #44-162 edificio torre portal apartamento 202</t>
  </si>
  <si>
    <t>Feliz día de la mujer de tu hermanita</t>
  </si>
  <si>
    <t>SOLITARIO ROSA COLOR DISPONIBLE EN CAPUCHÓN  PLÁSTICO</t>
  </si>
  <si>
    <t>Claudia Chaparro</t>
  </si>
  <si>
    <t>Claudia chaparro</t>
  </si>
  <si>
    <t>Cra 54 no 72-107 piso 3 DAVIbank</t>
  </si>
  <si>
    <t>Te llevamos en el corazón!</t>
  </si>
  <si>
    <t>Gerentes Zona Norte DAVIbank</t>
  </si>
  <si>
    <t>Debe llegar a más tardar 3pm de hoy</t>
  </si>
  <si>
    <t>Treasure Property Group</t>
  </si>
  <si>
    <t xml:space="preserve">Blanca Quiceno </t>
  </si>
  <si>
    <t>Edificio The Icon Calle 78 #57-35 Apto 1301 Villa Country Barranquilla</t>
  </si>
  <si>
    <t>Hola Tía Blanca, 
Queríamos enviarte este detallito con mucho amor. 
Esperamos te gusten mucho las flores y la torta! 
Te queremos mucho tía Blanca.
PD: Thomas te manda a decir “ Te Amo Tía “</t>
  </si>
  <si>
    <t>Con todo nuestro corazón, Familia Quiceno Arango</t>
  </si>
  <si>
    <t>Juan Pablo Sánchez</t>
  </si>
  <si>
    <t>Ana Maria Reina</t>
  </si>
  <si>
    <t>Calle 114 # 43B - 83 Silbador Torre 10 Apto 1202</t>
  </si>
  <si>
    <t xml:space="preserve">Para nuestra amada Meme, celebramos tu vida, somos afortunados de acompañarte. Te amamos, tu familia. </t>
  </si>
  <si>
    <t>Carrera 55#82-227</t>
  </si>
  <si>
    <t>German duran diaz</t>
  </si>
  <si>
    <t xml:space="preserve">Stephanie Martinez </t>
  </si>
  <si>
    <t>Transversal 44#102-72 apto 404 t1</t>
  </si>
  <si>
    <t>1× Mini Box Orquidea M/22</t>
  </si>
  <si>
    <t xml:space="preserve">Mi amor! Este detalle es para recordarte que nunca estas sola, que cada dia trato de ser mejor y darte la felicidad que mereces. Hoy quiero robarte una sonrisa y recordarte que te amo con todo mi corazón! </t>
  </si>
  <si>
    <t>Giuliana Mejía</t>
  </si>
  <si>
    <t>Angeles Rodrigues</t>
  </si>
  <si>
    <t>Cr 59B # 90-45</t>
  </si>
  <si>
    <t>Nashla Chalela</t>
  </si>
  <si>
    <t xml:space="preserve">Nashla Chalela </t>
  </si>
  <si>
    <t>Cr 49 C # 99 - 106 edificio Mykonos Torre 1 apto 1103</t>
  </si>
  <si>
    <t>solitario rosa blanca o rosada en capuchón plástico</t>
  </si>
  <si>
    <t>Humberto Garcia</t>
  </si>
  <si>
    <t xml:space="preserve">Karen ortiz </t>
  </si>
  <si>
    <t>Siape</t>
  </si>
  <si>
    <t>Vía 40 # 85-560 bodega 20A</t>
  </si>
  <si>
    <t xml:space="preserve">Te amo mi florecita </t>
  </si>
  <si>
    <t>Humbe</t>
  </si>
  <si>
    <t>Es la bodega 20A</t>
  </si>
  <si>
    <t>Iván Camilo Arrieta Lora</t>
  </si>
  <si>
    <t>1× Bouquet 6 Rosas Rojas M/10</t>
  </si>
  <si>
    <t>Elsa Gutierrez de Piñeres</t>
  </si>
  <si>
    <t xml:space="preserve">Angie Leon </t>
  </si>
  <si>
    <t>Cra 58 # 82-60 ap 702 edificio San Remo</t>
  </si>
  <si>
    <t>“Preciosa feliz cumpleaños! Te deseo todo lo mejor. Espero tengas un día genial”</t>
  </si>
  <si>
    <t>El Artista</t>
  </si>
  <si>
    <t>Jenny Peña</t>
  </si>
  <si>
    <t>cristina Peña</t>
  </si>
  <si>
    <t>Cll 96 71 37 edificio Bora t3 apto 1003</t>
  </si>
  <si>
    <t>Gracias por ser mi compañera de vida ,mi refugio y mi mejor decisión. Estos años a tu lado han sido el mejor regalo que el destino me pudo dar. 
Te amo ❤️ tú esposo</t>
  </si>
  <si>
    <t>Con amor Omar</t>
  </si>
  <si>
    <t>Cindy Meza</t>
  </si>
  <si>
    <t xml:space="preserve">Liliana Meza </t>
  </si>
  <si>
    <t>Cra 52 # 99 a - 168 / Casa 24 - Reserva de San Bernardo</t>
  </si>
  <si>
    <t>1× Canasto Lavanda M/3</t>
  </si>
  <si>
    <t>50 años celebrando la bendición que eres en nuestras vidas.
Que estas flores te recuerden cuánto te amamos y lo orgullosas que estamos de ti.
Feliz vida, hoy y siempre.
Con todo nuestro amor,</t>
  </si>
  <si>
    <t>Tu hermana Cindy / Tu mamá</t>
  </si>
  <si>
    <t>BOTONIER Y CENTRO DE MESA COMO FOTO</t>
  </si>
  <si>
    <t>GRAN CENTRAL DE ABASTOS DEL CARIBE S.A</t>
  </si>
  <si>
    <t>PAULA HERRERA</t>
  </si>
  <si>
    <t>KM 4 PROLONGACION AV MURILLO GRANABASTOS</t>
  </si>
  <si>
    <t>¡Feliz Cumpleaños, Paula!
En este día tan especial queremos desearte un año lleno de salud, felicidad y grandes logros.
Agradecemos profundamente tu liderazgo, compromiso y la dedicación con la que desempeñas tu labor. Tu profesionalismo y apoyo constante son fundamentales para nuestro equipo.
Que este nuevo año de vida esté colmado de éxitos, satisfacciones y momentos inolvidables.
Con cariño</t>
  </si>
  <si>
    <t>DEJAR ESPACIO EN LA FIRMA, PARA QUE LA FIRMEN EN FISICO QUIEN LA ENTREGA</t>
  </si>
  <si>
    <t>Diego Dominguez</t>
  </si>
  <si>
    <t>Maryi Castro</t>
  </si>
  <si>
    <t>carrera 43b # 90 141 apto 601</t>
  </si>
  <si>
    <t>1× Canasto Mediano Sweet M/4 | 1× Topper Feliz Aniversario</t>
  </si>
  <si>
    <t xml:space="preserve">Vida, gracias por estos 9 años de noviazgo en los que hemos aprendido a construir una relación hermosa, basada en el amor, la comprensión, la complicidad y el crecimiento mutuo. Hemos alcanzado muchos sueños juntos y seguimos construyendo otros para hacerlos realidad. Solo Dios sabe todo lo que aún nos queda por vivir y aprender de la mano. Me encanta la familia que hemos formado, y le pido a Dios que siempre nos guíe, nos fortalezca y nunca nos abandone. Te Amo! </t>
  </si>
  <si>
    <t>Diego Dominguez (Tu novio por siempre)</t>
  </si>
  <si>
    <t>daniela donado</t>
  </si>
  <si>
    <t>fiordi 51b cra 51b</t>
  </si>
  <si>
    <t>Lorena Sining</t>
  </si>
  <si>
    <t xml:space="preserve">Lorena Sining </t>
  </si>
  <si>
    <t>Cra 59 96 153 apto 601</t>
  </si>
  <si>
    <t>Bouquet tulipanes (10)</t>
  </si>
  <si>
    <t>Feliz dia del mujer, la mujer virtuosa supera a las piedras preciosas!</t>
  </si>
  <si>
    <t>Walter Bayona</t>
  </si>
  <si>
    <t>DÍA DE LA MUJER</t>
  </si>
  <si>
    <t>Wilmer Cañate Herrera</t>
  </si>
  <si>
    <t>Marylin Marriaga</t>
  </si>
  <si>
    <t>Cra 42b #114 31 Torre 17 Ap 801 conjunto guacamaya- Alameda del Río</t>
  </si>
  <si>
    <t>1× Flora Box Solitario rosa  1× Vino Espumoso JP. Chenet 175 ml</t>
  </si>
  <si>
    <t xml:space="preserve">Te amo mi Coshita hermosa, te voy a amar por siempre mi bebé, si tuviera que elegir otra vez; te elegiría a ti. Te amo </t>
  </si>
  <si>
    <t>Con todo mi amor, Wil</t>
  </si>
  <si>
    <t>Isabella Galeano</t>
  </si>
  <si>
    <t xml:space="preserve">Daniela Duque </t>
  </si>
  <si>
    <t>Cra 71 #98-55, Conjunto Residencial Riverside</t>
  </si>
  <si>
    <t xml:space="preserve">¡Gracias por habernos recibido con tanto amor y disposición en su hogar! 
Barranquilla fue el triple de especial porque estuvimos juntos.  
Que estas florecitas les recuerden lo mucho que valoramos su amistad y lo felices que nos hace haber coincidido en la vida con ustedes. </t>
  </si>
  <si>
    <t>Con mucho amor, Isa y Migue.</t>
  </si>
  <si>
    <t>Germán Daniel Orduz Centeno</t>
  </si>
  <si>
    <t xml:space="preserve">German Daniel Orduz Centeno </t>
  </si>
  <si>
    <t>Calle 96 #71-165</t>
  </si>
  <si>
    <t xml:space="preserve">Eres más de lo que siempre le pedí a Dios </t>
  </si>
  <si>
    <t>Con amor, tu viejito</t>
  </si>
  <si>
    <t>Isabella Correa Osio</t>
  </si>
  <si>
    <t>Emita Osio</t>
  </si>
  <si>
    <t>cra 57#94-174 Edificio San Marcos 502</t>
  </si>
  <si>
    <t xml:space="preserve">Feliz cumpleaños mami hermosa, desde la distancia pero acompañándote siempre con mi corazón, te amo infinito. </t>
  </si>
  <si>
    <t>Maria Alejandra Hoyos Hernandez</t>
  </si>
  <si>
    <t xml:space="preserve">Martha Hernández </t>
  </si>
  <si>
    <t>Cra 58#79-173 apto 12</t>
  </si>
  <si>
    <t>1× Guacal Hortensias M/13</t>
  </si>
  <si>
    <t>Tía Martha, hoy celebramos el poder nombrarte y sentirte como nuestra tía. 
Le pedimos a Dios que te de más  anhelo de crecer con su dirección. 
Que te llene cada día más de fe. Que como las plantas rejuvenezcas, que el paso de los años no se note en tu cuerpo, pero si en la sabiduría y discernimiento que manifiestas. 
Te amamos tía  
Tus sobrinos José David, Juanchis y Josías.</t>
  </si>
  <si>
    <t>Tus sobrinos José David, Juanchis y Josías.</t>
  </si>
  <si>
    <t>Omer Guerra Vasco</t>
  </si>
  <si>
    <t>Andrea Bernal</t>
  </si>
  <si>
    <t>Calle 57 #44-162 Apto 903</t>
  </si>
  <si>
    <t>Daniella Bustamante saade</t>
  </si>
  <si>
    <t>Cra 65 n 99-20 Edificio lago alto torre 2 apto 303</t>
  </si>
  <si>
    <t xml:space="preserve">Eres mi presente y futuro de la mano de Dios. 
Te ame, amo y amaré siempre.
Lucharé por este amor hasta el final de mis días. </t>
  </si>
  <si>
    <t>Danny.</t>
  </si>
  <si>
    <t>Michelle Soto cardenas</t>
  </si>
  <si>
    <t>Transversal 44 # 99 - 115  Apto 201 torre E Conjunto residencial Barcelona</t>
  </si>
  <si>
    <t>1× Bouquet 12 Rosas Rojas M/9</t>
  </si>
  <si>
    <t>Amor de mi vida te  amo mucho, feliz cumpleaños 💕</t>
  </si>
  <si>
    <t>Catrin Howard</t>
  </si>
  <si>
    <t xml:space="preserve">Flavia Díaz Granados </t>
  </si>
  <si>
    <t>Cra53#90-81 Apto201b ciudad real 1</t>
  </si>
  <si>
    <t>Ñeña
Hoy en el Día de la Mujer quiero recordarte lo increíble que eres. Gracias por ser mi ejemplo de fortaleza, amor y valentía. Todo lo que soy y todo lo que sueño tiene un pedacito de ti, de tus enseñanzas, de tus consejos y de tu forma tan única de amar.
Admiro tu corazón tan grande, tu capacidad de levantarte siempre y tu manera de darlo todo sin esperar nada a cambio. Eres mi lugar seguro, mi guía y mi mayor bendición.
Gracias por tanto, mami. Que Dios te bendiga hoy y siempre. Te amo con todo mi corazón 🤍🌷</t>
  </si>
  <si>
    <t>Catrin</t>
  </si>
  <si>
    <t>Cristian Ballesteros</t>
  </si>
  <si>
    <t>300 8481430</t>
  </si>
  <si>
    <t>zamara lemus</t>
  </si>
  <si>
    <t>Calle 41 41-69 LA URI Segundo Piso.</t>
  </si>
  <si>
    <t>301 7289460</t>
  </si>
  <si>
    <t>1× Flora Box Romantic Flores 24 Rosas M/18</t>
  </si>
  <si>
    <t>Para: Zamara Lemus  De... Tu infiel Favorito🫶🏻 Mensaje: Feliz dia de la Mujer! 🫶🏻</t>
  </si>
  <si>
    <t>ENVIO EL RESTANTE DEL DOMICILIO A LA CUENTA TERMINADA EN 3671. Mayerlis.</t>
  </si>
  <si>
    <t>Iván Alvarez</t>
  </si>
  <si>
    <t xml:space="preserve">María de Jesús Oñate </t>
  </si>
  <si>
    <t>CRA 64 #99-100 Central Park  1019</t>
  </si>
  <si>
    <t>rocio cuello</t>
  </si>
  <si>
    <t>silvia pantoja</t>
  </si>
  <si>
    <t>CRA 50#82-199 APTO 403</t>
  </si>
  <si>
    <t>SANSUNG</t>
  </si>
  <si>
    <t>SILVIA PANTOJA</t>
  </si>
  <si>
    <t>CRA 50#82-199</t>
  </si>
  <si>
    <t>SAMSUNG</t>
  </si>
  <si>
    <t>Sebastián Meza</t>
  </si>
  <si>
    <t>1× Cerámica Sweet Pea M/16</t>
  </si>
  <si>
    <t>Amorcito,
Para la niña más bonita
de todito mi mundo,
que llegaste a mi vida
y te quedaste en mi corazón,
y ahora, sin entender cómo,
estoy completamente enamorado de ti. 🌸💕</t>
  </si>
  <si>
    <t>Con amor, Sebas 🫶🏻</t>
  </si>
  <si>
    <t>Hola,
Me gustaría que en lo máximo posible se mantenga la estética y colores del arreglo de las muestras. Soy consciente de que todo depende del inventario disponible pero si en lo máximo posible mantener el arreglo y tipos de flores que se ven en el arreglo. Muchísimas gracias</t>
  </si>
  <si>
    <t>Josep Stiven Ibarra Ramos</t>
  </si>
  <si>
    <t>Gabriella López</t>
  </si>
  <si>
    <t>Carrera 66b#66-60</t>
  </si>
  <si>
    <t>Cuatro años y mi corazón sigue eligiéndote como el primer día. Hemos crecido y cambiado, pero lo que siento por ti solo se ha vuelto más profundo. No es solo emoción, es la certeza de que te volvería a escoger una y mil veces. Te amo infinitamente.
¡Feliz aniversario mi princesa!</t>
  </si>
  <si>
    <t>Con amor, tu novio de ojitos serios.</t>
  </si>
  <si>
    <t>Jose Sanjuan</t>
  </si>
  <si>
    <t>Dios quiso que esta fecha especial coincidiera con un hermoso hito de nuestra historia, ya es 1 año de nuestro hogar. Mi amor por ti es infinito como el Universo.</t>
  </si>
  <si>
    <t>Tuyo, Jose David</t>
  </si>
  <si>
    <t>Johnny Mejía Montoya</t>
  </si>
  <si>
    <t>Julieth Paola Llinás</t>
  </si>
  <si>
    <t>Cra. 14 #51-86</t>
  </si>
  <si>
    <t>1× Flora Box Mediana 24 Rosas adicionarle una orquídea</t>
  </si>
  <si>
    <t>Tan magnífica que solo se encuentra una vez en la vida. Ojalá la mía me alcance para encontrarte siempre y perderme una y otra vez en esos maravillosos ojos.</t>
  </si>
  <si>
    <t>Tu felicidad es lo más importante.</t>
  </si>
  <si>
    <t>La dirección es en el trabajo de ella, así que por favor si es posible, contactarla telefónicamente y de forma previa para que directamente reciba ella.
Adicional, es posible agregar 1 orquídea y qué costaría?</t>
  </si>
  <si>
    <t>Lazaro Diaz</t>
  </si>
  <si>
    <t>Lorena Diaz Durango</t>
  </si>
  <si>
    <t>Calle 38#21b_55</t>
  </si>
  <si>
    <t>Quiero ser la razon de tu sonrisa, el remanso en la tempestad, la claridad en la noche, el desvelo de tus fantasias.</t>
  </si>
  <si>
    <t>día de la mujer</t>
  </si>
  <si>
    <t>Óscar Viloria</t>
  </si>
  <si>
    <t>Stefanía aristizabal</t>
  </si>
  <si>
    <t>Transversal 44 #104-30 Edificio Florencia  Torre 1 apto 803</t>
  </si>
  <si>
    <t>BOUQUET SURTIDO COMO FOTO</t>
  </si>
  <si>
    <t>Para la niña más hermosa y noble del mundo.</t>
  </si>
  <si>
    <t>sin firma</t>
  </si>
  <si>
    <t>Angie Coronel Villazón</t>
  </si>
  <si>
    <t>5× Flora Box Solitario Tulipan M/24</t>
  </si>
  <si>
    <t xml:space="preserve">Agradezco por la fortuna y la posibilidad de encontrarme en las historias de todas nosotras, de tejer con palabras y permitirnos amistad. 
Agradezco, una y mil veces, por las mujeres. Por nosotras.
¡Feliz día!
</t>
  </si>
  <si>
    <t>Angie Coronel J16</t>
  </si>
  <si>
    <t>Quisiera por favor que las 5 tarjetas llevaran exactamente este mismo mensaje.</t>
  </si>
  <si>
    <t>Javier Amaya</t>
  </si>
  <si>
    <t xml:space="preserve">Dana Medina </t>
  </si>
  <si>
    <t>Calle 3B, transversal 3b-275</t>
  </si>
  <si>
    <t>Feliz Día de la Mujer, mi reina hermosa 💐❤️
Hoy quiero recordarte lo especial que eres y lo orgulloso que me siento de tener a una mujer como tú a mi lado. Tienes un arte único para amar, para apoyar y para hacer que mi mundo sea más bonito cada día.
El arte de ser la mujer de mi vida lo llevas en todo lo que haces: en tu sonrisa, en tu paciencia, en tu fuerza, en tu forma de luchar por tus sueños y en la manera tan linda en que me haces sentir amado.
Gracias por ser luz, por ser abrazo en los días difíciles y por ser mi alegría en los días felices. No solo hoy, sino todos los días, celebro la mujer increíble que eres.
Te amo con todo mi corazón ❤️</t>
  </si>
  <si>
    <t>Con Amor Javi Amaya</t>
  </si>
  <si>
    <t>Por favor que el arreglo sea en forma circular</t>
  </si>
  <si>
    <t>Christine Jaimes</t>
  </si>
  <si>
    <t>Helen Wehdeking</t>
  </si>
  <si>
    <t>carrera 53 #132-173, Conjunto Monaco casa 5</t>
  </si>
  <si>
    <t>1× Bouquet 6 Rosas Rojas M/10 | 1× Mini Box Hortensias y Mini Rosa</t>
  </si>
  <si>
    <t xml:space="preserve">Para N.31: Feliz dia a nuestra mujer mas chiquita de la casa, que ya esta cumpliendo metas y haciendonos muy orgullosos. Te amamos mucho. 
Para N.53: Feliz dia a una mujer fuerte, guerrera, amorosa, hermosa y perseverante. Tienes todo lo que representa a una mujer ejemplar, lista para triunfar en esta vida de todas las maneras posibles. Te amamos mucho. </t>
  </si>
  <si>
    <t>Carmenza</t>
  </si>
  <si>
    <t>Cra 58#99-46 Edificio Murano 1502 torre 2</t>
  </si>
  <si>
    <t xml:space="preserve">Bienvenida a casa, TATA!
Somos felices de tenerte de regreso y nos sentimos muy orgullosos de tu fuerza y resiliencia. 
Te amamos 
</t>
  </si>
  <si>
    <t>2× Flora Box Solitario Tulipan M/24</t>
  </si>
  <si>
    <t>Hernando Peña Castillo</t>
  </si>
  <si>
    <t xml:space="preserve">Daniela Albornoz </t>
  </si>
  <si>
    <t>Calle 105 # 53-55 Edificio Living, Apto 1201 Torre 2</t>
  </si>
  <si>
    <t xml:space="preserve">Amor mío te deseo un súper Feliz Cumpleaños, que Dios siga bendiciendo enormemente tu vida y nos permita seguir compartiendo este día tan especial por muchos años más, que Dios te dé salud abundancia y prosperidad, te amamos infinito </t>
  </si>
  <si>
    <t>Con amor tu familia; Titi, Chloe y Max</t>
  </si>
  <si>
    <t>Danna sanjuanelo</t>
  </si>
  <si>
    <t>Lilian barrios</t>
  </si>
  <si>
    <t>Carrera 50#82-185</t>
  </si>
  <si>
    <t>Espero que tengas un lindo día 🖤</t>
  </si>
  <si>
    <t>K.R.</t>
  </si>
  <si>
    <t>No diga quien realizó la compra</t>
  </si>
  <si>
    <t>Daniela Celis Rosado</t>
  </si>
  <si>
    <t>Rosa Rosado</t>
  </si>
  <si>
    <t>Calle 114 # 43-204 conjunto andarrios torre 3 apartamento 301</t>
  </si>
  <si>
    <t>Mamita hermosa gracias por ser mi mayor fuente de inspiración y ayudarme a convertir en la mujer que soy, te amo muchísimo eres la mayor bendición de mi vida, eres capaz de lograr absolutamente todo en esta vida, feliz día a la mujer más hermosa del mundo.</t>
  </si>
  <si>
    <t>Con amor tu muñeca hermosa</t>
  </si>
  <si>
    <t>jorge bedoya</t>
  </si>
  <si>
    <t>mariana escafi</t>
  </si>
  <si>
    <t>cra 57#79-129 piso 7</t>
  </si>
  <si>
    <t>Salomon Quintero Chegwin</t>
  </si>
  <si>
    <t>Francesca Conto</t>
  </si>
  <si>
    <t>Carrera 59b #86-174</t>
  </si>
  <si>
    <t>Para la mujer más especial en mi vida y de la que me enamoro más cada día. Gracias por ser la más cariñosa, más real, más dedicada y hacerme tan feliz. TE AMO</t>
  </si>
  <si>
    <t>Con mucho amor, Salomón.</t>
  </si>
  <si>
    <t>Tocar el timbre que hay a la derecha de la puerta que dice 2A. Si no responden, llamar al numero de celular destinatario que adjunte en el pedido.</t>
  </si>
  <si>
    <t>vanessa ariza</t>
  </si>
  <si>
    <t xml:space="preserve">Feliz cumpleaños, Vanessa. Que Dios te bendiga hoy y siempre. Que este nuevo año de vida esté lleno de salud, alegría y muchos momentos especiales. </t>
  </si>
  <si>
    <t>Con cariño, Familia Ayala Escorcia.</t>
  </si>
  <si>
    <t>anamilena gomez</t>
  </si>
  <si>
    <t>carolina arteta y sofia caballero</t>
  </si>
  <si>
    <t>car</t>
  </si>
  <si>
    <t>Juan José</t>
  </si>
  <si>
    <t>Carrera 54, Sabanilla MontecarmeloCondominio Las Palmeras - Carrera 54, Sabanilla Montecarmelo - Villa Campestre - Casa # 1</t>
  </si>
  <si>
    <t>Feliz día de la mujer</t>
  </si>
  <si>
    <t>Milene Reinel Llerena</t>
  </si>
  <si>
    <t xml:space="preserve">Happy woman’s day 
</t>
  </si>
  <si>
    <t>Eres una mujer extraordinaria, fuerte y radiante.   Happy woman’s day  Con amor,  Tomás Zaccaro</t>
  </si>
  <si>
    <t>Con amor, Tomás Zaccaro</t>
  </si>
  <si>
    <t>Solitarios Margaritas, 7 arreglos</t>
  </si>
  <si>
    <t>David Hernández</t>
  </si>
  <si>
    <t>Carrera 22 no 1E 127 Mallorquin Ed Manglar apto 3 1009</t>
  </si>
  <si>
    <t>Kimberly Esther Angulo Hernández</t>
  </si>
  <si>
    <t xml:space="preserve">Martha Patricia Núñez castro </t>
  </si>
  <si>
    <t>Calle 85#47-61 jacur 85 APT 6F</t>
  </si>
  <si>
    <t xml:space="preserve">Feliz día de la Mujer a la persona que llena mi vida de sentido. Admiro tu fuerza, tu inteligencia y la pasión que pones en todo lo que haces.
Gracias por ser mi compañera, mi refugio y mi mejor ejemplo. Te amo </t>
  </si>
  <si>
    <t>Con todo mi amor Kimberly Angulo</t>
  </si>
  <si>
    <t>Juliet Fonseca de la hoz</t>
  </si>
  <si>
    <t xml:space="preserve">Karen Llinas </t>
  </si>
  <si>
    <t>Carrera 55 # 91-101</t>
  </si>
  <si>
    <t>Para Karen 
De Judith 
Feliz cumpleaños, Dios te bendiga y cumplas muchos años más llenos de vida, salud y amor</t>
  </si>
  <si>
    <t>Con cariño, Judy</t>
  </si>
  <si>
    <t>wafeth arana</t>
  </si>
  <si>
    <t>emili armenta</t>
  </si>
  <si>
    <t>cra 59#74-72 apto 2c prado colonial</t>
  </si>
  <si>
    <t>1× Flora Box Grande Pastel / topper welcome baby</t>
  </si>
  <si>
    <t>deja mensaje transcribirlo</t>
  </si>
  <si>
    <t>tonos niño, agregar zapaticos, transcribir tarjeta</t>
  </si>
  <si>
    <t>Angelica Quintero Mojica</t>
  </si>
  <si>
    <t xml:space="preserve">Martha padilla </t>
  </si>
  <si>
    <t>TV 44 102 73 apto</t>
  </si>
  <si>
    <t>Victoria Matera</t>
  </si>
  <si>
    <t>2× Mini Box Orquidea M/22 | 1× Bouquet Gerbera</t>
  </si>
  <si>
    <t xml:space="preserve">BOUQUET GERBERA 
Para la mujer más importante de mi vida. 
Te amo hoy y todos los días.
Por siempre tú y yo 
</t>
  </si>
  <si>
    <t>Att: Vicky</t>
  </si>
  <si>
    <t>Anjali Theran piñeres</t>
  </si>
  <si>
    <t xml:space="preserve">kathy criado </t>
  </si>
  <si>
    <t>Cra 51b #76-163</t>
  </si>
  <si>
    <t>Desde que llegaste a mi vida, todo tiene más sentido, más paz y más felicidad
Hoy no solo te entrego estas flores, te entrego mi intención sincera de caminar contigo!</t>
  </si>
  <si>
    <t>De :monkey  Para:el amor de mi vida</t>
  </si>
  <si>
    <t>Stiven Peña</t>
  </si>
  <si>
    <t>Marilyn Cantillo</t>
  </si>
  <si>
    <t>calle 100 #19 sur 40 conjunto coralina torre 1 apto 803</t>
  </si>
  <si>
    <t>1× Cabeza Mujer M/15</t>
  </si>
  <si>
    <t>Porque admiro tu valentía y la dedicación con la que haces las cosas, hoy quiero que sepas que eres una mujer única, fuerte y entregada.
Admiro tu fuerza, tu forma de pensar y la manera en que haces que todo a tu alrededor tenga más sentido. Hoy celebro a la mujer increíble que eres, pero sobre todo, celebro la suerte que tengo de caminar a tu lado.</t>
  </si>
  <si>
    <t>Transferencia 3671</t>
  </si>
  <si>
    <t>Con amor: tu morito</t>
  </si>
  <si>
    <t>Orlando Niebles</t>
  </si>
  <si>
    <t xml:space="preserve">Stefanny Tellez </t>
  </si>
  <si>
    <t>Cra 59B # 84-100 edificio DUVILLE apto 705</t>
  </si>
  <si>
    <t>1× Canasto 24 Rosas + Orquideas M/2</t>
  </si>
  <si>
    <t xml:space="preserve">Feliz día a la mujer más especial y maravillosa del mundo. La mejor esposa y la mejor mamá. Tú eres nuestro todo. </t>
  </si>
  <si>
    <t>Benjamín Niebles y Orlando Niebles</t>
  </si>
  <si>
    <t>Daniela Hernández Kligman</t>
  </si>
  <si>
    <t>Cra 59 # 96-06 edificio chateau ap 4a</t>
  </si>
  <si>
    <t>kelly Guerrero</t>
  </si>
  <si>
    <t>Recoger en Tienda</t>
  </si>
  <si>
    <t>edgardo Rodrigo</t>
  </si>
  <si>
    <t>Maria jose Tous movilla</t>
  </si>
  <si>
    <t>Maria jose tous movilla</t>
  </si>
  <si>
    <t>Calle 70b#32-66 casa 2</t>
  </si>
  <si>
    <t>bouquet novia con cartuchos</t>
  </si>
  <si>
    <t>Es unas flores para un matrimonio civil,  ramo de cartuchos</t>
  </si>
  <si>
    <t>mini box clavel rosado</t>
  </si>
  <si>
    <t>Julianna Montoya garcia</t>
  </si>
  <si>
    <t xml:space="preserve">Ruby Rubio </t>
  </si>
  <si>
    <t>Carrera 51B # 76-154 apartamento 4E edificio Fénix</t>
  </si>
  <si>
    <t>1× Mini Box  claveles</t>
  </si>
  <si>
    <t xml:space="preserve">Queremos que nos sientas cerquita, que nuestro amor te rodee y te recuerde lo valiosa y especial que eres para nosotros.
Feliz cumpleaños </t>
  </si>
  <si>
    <t>Familia Gordillo Montoya</t>
  </si>
  <si>
    <t>Juan José Zuniga</t>
  </si>
  <si>
    <t>Carrera 56 # 96-115, Edificio Tempus, apto 2C</t>
  </si>
  <si>
    <t>1× Flora Box Romantic Flores 12 Rosas M/18</t>
  </si>
  <si>
    <t xml:space="preserve">Todos los días le doy gracias a Dios por tu vida y espero que todos los años podamos vivirlos juntos y felices como ahora.
</t>
  </si>
  <si>
    <t>Te amamos infinito,</t>
  </si>
  <si>
    <t>Cliente  ivonne torrente</t>
  </si>
  <si>
    <t xml:space="preserve"> Cliente  ivonne torrente</t>
  </si>
  <si>
    <t>ID de la orden
2435193368</t>
  </si>
  <si>
    <t>José Ojeda</t>
  </si>
  <si>
    <t>Irina Rodríguez</t>
  </si>
  <si>
    <t>Cl. 87 #49C-34 clínica san Vicente cardiovascular  Habitación 508</t>
  </si>
  <si>
    <t>Eres de las personas más fuertes que conozco y estoy seguro de que pronto vas a recuperarte y esto solo va a ser un recuerdo. Pero mientras tanto no olvides que te quiero y que siempre voy a estar pendiente para lo que necesites. Mejórate pronto
Besos 😘 10
Siempre estás en mi  pensamientos y en mi corazón.10</t>
  </si>
  <si>
    <t>Isabella Silvera</t>
  </si>
  <si>
    <t>Cra 41D # 76 - 246</t>
  </si>
  <si>
    <t>Feliz día de la mujer, te amo!</t>
  </si>
  <si>
    <t>Con amor, Samuel</t>
  </si>
  <si>
    <t>janni</t>
  </si>
  <si>
    <t>cra 58#82-41 edificio K58</t>
  </si>
  <si>
    <t>Beatriz Torrents</t>
  </si>
  <si>
    <t>Melissa Arteta</t>
  </si>
  <si>
    <t>Carrera 52#82-234 edificó Loft 82 apto 301</t>
  </si>
  <si>
    <t>Meli,
Desde la distancia te abrazamos y te acompañamos de todo corazón.
Que Dios te regale la paz que tu corazón necesita y la fortaleza para seguir adelante.
Te queremos y te pensamos,</t>
  </si>
  <si>
    <t>Tus amigas corssfiteras</t>
  </si>
  <si>
    <t>Samuel Lachmann Lewis</t>
  </si>
  <si>
    <t>Gustavo Recuero</t>
  </si>
  <si>
    <t>ID de la orden
2435203900</t>
  </si>
  <si>
    <t>Daniella Martinez</t>
  </si>
  <si>
    <t xml:space="preserve">Elda Rangel </t>
  </si>
  <si>
    <t>Pumarejo</t>
  </si>
  <si>
    <t>Cra 20b # 61-24 piso 2</t>
  </si>
  <si>
    <t>1× Flora Mini Plus Box Redonda M/21</t>
  </si>
  <si>
    <t xml:space="preserve">Mamita linda,
Hoy celebramos con mucha alegría tus 60 años y agradecemos a Dios por la bendición de tener una mujer tan especial, amorosa y fuerte en nuestra familia.
Que este nuevo año de vida esté lleno de salud, alegría y muchas bendiciones para ti.
</t>
  </si>
  <si>
    <t>Con amor, Dani y Alejo</t>
  </si>
  <si>
    <t>F2X SAS</t>
  </si>
  <si>
    <t>Cra 51 #79-296 Apto 6 Apto 6</t>
  </si>
  <si>
    <t>ampy jimeno</t>
  </si>
  <si>
    <t>Cra 50 # 82 254 apto 405</t>
  </si>
  <si>
    <t>Sharon Lubo</t>
  </si>
  <si>
    <t xml:space="preserve">Madelyne Polo </t>
  </si>
  <si>
    <t>calle 1C # 21 48. torre 3 apto 1018 LANAI</t>
  </si>
  <si>
    <t>Amigaaa te quiero mucho gracias por ser tan especial conmigo en tan poco tiempo recuerda que siempre podrás contar conmigo 🩵 nunca olvides lo maravillosa auténtica guerrera que eres .</t>
  </si>
  <si>
    <t>Sharon lubo</t>
  </si>
  <si>
    <t>MARIA ALEJANDRA PEREZ</t>
  </si>
  <si>
    <t>Vanessa María</t>
  </si>
  <si>
    <t>Cra. 52 #82-203</t>
  </si>
  <si>
    <t>Para mi amor más bonito...</t>
  </si>
  <si>
    <t>un arreglo muy sencillo con dos lirios</t>
  </si>
  <si>
    <t>Marcela Rojas Palacio</t>
  </si>
  <si>
    <t>1× Mini Box Claveles M/23/ Flora mini plus redonda</t>
  </si>
  <si>
    <t>la box mini plus redonda en girasoles pequeños</t>
  </si>
  <si>
    <t>Yarlen Atehortua</t>
  </si>
  <si>
    <t xml:space="preserve">Mayra Contreras </t>
  </si>
  <si>
    <t>Calle 104 #51b-154 castellana campestre casa 29</t>
  </si>
  <si>
    <t>1× Encanto flora  M/15</t>
  </si>
  <si>
    <t>Feliz Día de la Mujer a una persona extraordinaria que ilumina el mundo con su presencia. ¡Celebremos tu grandeza hoy y siempre!</t>
  </si>
  <si>
    <t>La niña</t>
  </si>
  <si>
    <t>maria jose oliva</t>
  </si>
  <si>
    <t>1× Corazón Mini Surtido M/12</t>
  </si>
  <si>
    <t xml:space="preserve">happy birthday !!! </t>
  </si>
  <si>
    <t>con amor, majo</t>
  </si>
  <si>
    <t>Mauricio De La Espriella</t>
  </si>
  <si>
    <t>Cra 52 # 82 - 203 Lucca 52</t>
  </si>
  <si>
    <t>10 años juntos. Te amo Vida</t>
  </si>
  <si>
    <t>Alejandro Gómez</t>
  </si>
  <si>
    <t>Nancy Ballesteros</t>
  </si>
  <si>
    <t>Carrera 52 N 132-87 casa 18</t>
  </si>
  <si>
    <t xml:space="preserve">Gracias a Dios por tu vida y por tu presencia que nos hace felices de tenerte entre nosotros. </t>
  </si>
  <si>
    <t>Con amor, Familia Gómez Daza</t>
  </si>
  <si>
    <t>Por favor casa 18 dejarlo 2:30 máximo 3. Gracias</t>
  </si>
  <si>
    <t>María Sánchez</t>
  </si>
  <si>
    <t xml:space="preserve">Alejandra Gutiérrez </t>
  </si>
  <si>
    <t>Cra 56 No 80 - 227 Edificio Concorde piso 10</t>
  </si>
  <si>
    <t>Miss Ale 
Espero que te recuperes 
Te envío un regalo
Aquí en el salón te extrañamos
Alejandro  Guarin
Miss Ale 
Espero que estés bien 
Te extraño mucho 
Carito Guarin</t>
  </si>
  <si>
    <t>10 ROSAS ROJAS</t>
  </si>
  <si>
    <t>Clara Helena Roca Gamez</t>
  </si>
  <si>
    <t xml:space="preserve">Y ahora que estamos aquí, solo podemos decir:  No hay cielo que cubra, lo que sentimos por ti. Ni palabras para decir. El tiempo que nos queda por vivir, no bastará ! 
Feliz primer mes, nuestro amor. Queremos que seas la más feliz del mundo al lado nuestro. 
Eres exageradamente bella, Clara Helena. 
</t>
  </si>
  <si>
    <t>Con amor, papá y mamá.</t>
  </si>
  <si>
    <t>Jesús David Díaz Díaz</t>
  </si>
  <si>
    <t>María Claudia Navarro</t>
  </si>
  <si>
    <t>Cra 8 #30 - 158 - Apt 802 torre 7</t>
  </si>
  <si>
    <t>Feliz Día de la Mujer, mi amor.  
Admiro mucho la forma en que aportas a la vida de los demás, con tu forma de escuchar, comprender y ayudar. Me siento muy orgulloso de ti y feliz de tenerte en mi vida. Te amo.</t>
  </si>
  <si>
    <t>Daniella Char</t>
  </si>
  <si>
    <t xml:space="preserve">Liliana Rozo </t>
  </si>
  <si>
    <t>carrera 53 #132-109 - Av. los robles casa blanca portón marrón</t>
  </si>
  <si>
    <t xml:space="preserve">Feliz cumpleaños Mami. Gracias por tu amor infinito y por ser siempre mi hogar y refugio. Te amo ❤️ </t>
  </si>
  <si>
    <t>Con amor, tu hija.</t>
  </si>
  <si>
    <t>solitario rosas fucsia #20</t>
  </si>
  <si>
    <t>Suministros E-C SAS</t>
  </si>
  <si>
    <t xml:space="preserve">Andrea Del Gordo  </t>
  </si>
  <si>
    <t>Cra 42 C #93-20 - Apto 202</t>
  </si>
  <si>
    <t>10 solitarios rosas fucsias</t>
  </si>
  <si>
    <t xml:space="preserve">Feliz día de la mujer!
</t>
  </si>
  <si>
    <t>Tomás Hernández Del Gordo</t>
  </si>
  <si>
    <t>10 rosas fucsias individuales para el día de la mujer</t>
  </si>
  <si>
    <t>Anibal Arango</t>
  </si>
  <si>
    <t>Ana Sojo</t>
  </si>
  <si>
    <t>Este dia no tiene por que dejar de ser especial… por lo que fue y por lo que sera algun dia ❤️🦖</t>
  </si>
  <si>
    <t>Anibal</t>
  </si>
  <si>
    <t>William Calderon</t>
  </si>
  <si>
    <t xml:space="preserve">Jazmín Calderon </t>
  </si>
  <si>
    <t>Carrera 37 n 53-73 - Conjunto villas del recreo casa 24b</t>
  </si>
  <si>
    <t>Que en este tiempo que llevamos juntos de tantos aprendizajes Dios nos siga iluminando para que sean muchos más te amo</t>
  </si>
  <si>
    <t>De tu esposo</t>
  </si>
  <si>
    <t>Mateo Rodriguez</t>
  </si>
  <si>
    <t>Cra65#64-27 - Edificio vicenzo apto 4b</t>
  </si>
  <si>
    <t>Feliz cumpleaños, mamá 🌹
En tus manos nacieron nuestros caminos y en tu amor siempre encontramos hogar.
Que la vida te devuelva, en paz y alegría, todo lo que tu corazón nos ha dado. Te amamos</t>
  </si>
  <si>
    <t>Con amor tus hijos y esposo</t>
  </si>
  <si>
    <t>Oscar Cantillo</t>
  </si>
  <si>
    <t>Calle 96 # 72-43 - Torre 1 apto 803</t>
  </si>
  <si>
    <t>Feliz día de la mujer hermosa! Te amo con mi vida❤️</t>
  </si>
  <si>
    <t>Con mucho amor, tu esposo❤️</t>
  </si>
  <si>
    <t>Lo más temprano posible porfavor</t>
  </si>
  <si>
    <t>Brayerlis Navarro</t>
  </si>
  <si>
    <t xml:space="preserve">jamás voy a permitir que pienses que este día es un día cualquiera, feliz cumpleaños mi lunita </t>
  </si>
  <si>
    <t>con amor, tu sol</t>
  </si>
  <si>
    <t>En lo posible, flores moradas</t>
  </si>
  <si>
    <t>Kyra Reyes</t>
  </si>
  <si>
    <t>Nayibes jumenez</t>
  </si>
  <si>
    <t>Carrera 62 #77-90 - Casa</t>
  </si>
  <si>
    <t>, el próximo año lo celebraremos juntos abuelita, feliz cumpleaños de parte de tu nieto que viene en camino, te amo.</t>
  </si>
  <si>
    <t>MILEIDYS ALCENDRA</t>
  </si>
  <si>
    <t>CRA 53 80 198 - OFICINA 408</t>
  </si>
  <si>
    <t>1× Flora Box Solitario Tulipan M/24</t>
  </si>
  <si>
    <t>Así como este tulipán, tu belleza y tu esencia hacen más bonito mi mundo. Feliz día mi Reina</t>
  </si>
  <si>
    <t>Jorge Mario</t>
  </si>
  <si>
    <t>Tomas Ramirez arboleda</t>
  </si>
  <si>
    <t xml:space="preserve">Angelina </t>
  </si>
  <si>
    <t>Calle99c#64a-45 - Torre 4 apt 216</t>
  </si>
  <si>
    <t>Para mi princesa hermosa.</t>
  </si>
  <si>
    <t>Sophia Reyes</t>
  </si>
  <si>
    <t xml:space="preserve">Yamila cure </t>
  </si>
  <si>
    <t>Calle 100#48-49</t>
  </si>
  <si>
    <t xml:space="preserve">Feliz Día de la Mujer, señora Yami.
Hoy doy gracias a Dios por su vida y por la mujer tan especial que es. Su fe, su amor por Dios y su corazón de servicio son un ejemplo y una bendición para todos los que la rodeamos.
Que el Señor continúe guiando sus pasos y llenando su vida de paz, alegría y muchas bendiciones. 
La quiero montontes !!! </t>
  </si>
  <si>
    <t>Sophia Reyes Villarreal</t>
  </si>
  <si>
    <t>maria jose abenoza</t>
  </si>
  <si>
    <t>carera 30A # 1B - 215, apt 103 - centeo internacional del caribe (andes de villa campestre) El edificio se llama “ Green Park”</t>
  </si>
  <si>
    <t>9 hortensias blancas sin arreglar</t>
  </si>
  <si>
    <t>kelly hernández</t>
  </si>
  <si>
    <t>kelly henandez</t>
  </si>
  <si>
    <t>ser mujer es florecer una y otra vez feliz día de la mujer!</t>
  </si>
  <si>
    <t>Javier Restrepo Vieco</t>
  </si>
  <si>
    <t>Javier Restrepo</t>
  </si>
  <si>
    <t>Carrera 57 # 78 - 21. Edificio IRAZU. Apto 1001. Barrio Villa Country. 254V+JM Barranquilla, Atlantico - Colombia. 11.00683° N, 74.80626° W. - Carrera 57 # 78 - 21. Edificio IRAZU. Apto 1001. Barrio Villa Country. 254V+JM Barranquilla, Atlantico - Colombia. 11.00683° N, 74.80626° W.</t>
  </si>
  <si>
    <t>1× Encanto flora  M/15 | 1× Mini Box Orquidea M/22</t>
  </si>
  <si>
    <t>Otto Mora Lerma</t>
  </si>
  <si>
    <t xml:space="preserve">Otto Mora Lerma </t>
  </si>
  <si>
    <t>1× Bouquet Surtido M/5</t>
  </si>
  <si>
    <t xml:space="preserve">Hoy celebramos a la mujer tan maravillosa que eres. Que Dios siga bendiciendo tu vida, que Él guíe tus pasos y llene tu camino de mucho amor. Feliz Día de la mujer </t>
  </si>
  <si>
    <t>Con cariño, Otto!</t>
  </si>
  <si>
    <t>Jefferson Moreno</t>
  </si>
  <si>
    <t>2 girasoles arreglados individuales</t>
  </si>
  <si>
    <t>ADJ ingeniería y construcción sas</t>
  </si>
  <si>
    <t>ADJ Ingeniería y Construcción SAS</t>
  </si>
  <si>
    <t>Calle 77 # 59-35 - Americas 3 oficina 1508</t>
  </si>
  <si>
    <t xml:space="preserve">Hoy celebramos su empoderamiento, su belleza interior, su inteligencia y su capacidad de transformar cada reto en una oportunidad de crecimiento.
Gracias por ser parte fundamental de esta familia empresarial y por contribuir, con su esfuerzo y compromiso, al crecimiento de ADJ Ingeniería y Construcción SAS.
Que este día sea un recordatorio del valor que tienen, del respeto que merecen y del impacto positivo que generan cada día.
¡Feliz Día de la Mujer!
</t>
  </si>
  <si>
    <t>Daniel Mora Pallares</t>
  </si>
  <si>
    <t>Mallorquin</t>
  </si>
  <si>
    <t>CR 20 1E 165 - T3 404 Fidano</t>
  </si>
  <si>
    <t>Feliz día, me inspiras cada día! Te amo!</t>
  </si>
  <si>
    <t>Tu amorcito</t>
  </si>
  <si>
    <t>Alejandro Castelblanco</t>
  </si>
  <si>
    <t xml:space="preserve">Laura Vergara </t>
  </si>
  <si>
    <t>Carrera 52 no 82-203 - Apto 1501</t>
  </si>
  <si>
    <t>1× Flora Box Redonda 24 Rosas de Jardin M/17 | 1× Canasto Mediano Sweet M/4 | 1× Oso de Peluche</t>
  </si>
  <si>
    <t>La mujer que amo con todo el corazón y que me regaló otra pequeña mujer para amar infinitamente, las amo!!!!</t>
  </si>
  <si>
    <t>Pedro Gutierrez Alí</t>
  </si>
  <si>
    <t>Paula Rueda</t>
  </si>
  <si>
    <t>Cra 65 # 99 - 109 - Torre 2 712</t>
  </si>
  <si>
    <t xml:space="preserve">Perdón por el dolor que te causé. Te amo mucho y no quiero una vida sin ti. Hoy que cumplimos 2 años y 2 meses, solo quiero recordarte cuanto te amo y que estoy dispuesto a hacer todo lo necesario por reconstruir lo que somos y seguir construyendo junto a ti. </t>
  </si>
  <si>
    <t>Con amor, PG</t>
  </si>
  <si>
    <t>Dairo Torres varela</t>
  </si>
  <si>
    <t>Carolina &amp; Isabella</t>
  </si>
  <si>
    <t>Calle 2A #20-70 - Torre 2 apto 711</t>
  </si>
  <si>
    <t>1× Mini Box Claveles M/23</t>
  </si>
  <si>
    <t>Feliz día mi amor , gracias por ser esa mujer virtuosa, y por darme la bendición de mi príncesa</t>
  </si>
  <si>
    <t>Con amor Dairo &amp; Santi</t>
  </si>
  <si>
    <t>Samir Akle Lastra</t>
  </si>
  <si>
    <t>Alejandra Amaya</t>
  </si>
  <si>
    <t>Carrera 70#91-35 - Edificio parques de tivoly, torre 1, apto 604</t>
  </si>
  <si>
    <t>Por muchos años más a tu lado</t>
  </si>
  <si>
    <t>Con amor, Sam</t>
  </si>
  <si>
    <t>José David Murillo</t>
  </si>
  <si>
    <t>Lisbeth Moreno Perez</t>
  </si>
  <si>
    <t>Cll 117 #42b-190 Conjunto Las gaviotas - Torre 8 apartamento 301</t>
  </si>
  <si>
    <t>1× Mini Box Claveles M/23 | 1× Ferrero Rocher 8 und</t>
  </si>
  <si>
    <t>Feliz día de la mujer🤭</t>
  </si>
  <si>
    <t>Con amor, M.</t>
  </si>
  <si>
    <t>DEIBY GAMARRA MARTINEZ</t>
  </si>
  <si>
    <t xml:space="preserve">Kathleen González </t>
  </si>
  <si>
    <t>Calle 63 #21b-92 - Casa</t>
  </si>
  <si>
    <t>Feliz aniversario, mi reina 🩵</t>
  </si>
  <si>
    <t>Con amor, Deiby</t>
  </si>
  <si>
    <t>Ivan Acevedo</t>
  </si>
  <si>
    <t>Cra 65 # 99 - 109 - Apto 1021</t>
  </si>
  <si>
    <t xml:space="preserve">Novia mía
Esta nueva etapa es una nueva oportunidad para enamorarte día a día. Sigues siendo mi bombom !
Por siempre tu </t>
  </si>
  <si>
    <t>2 solitarios rosas fucsia</t>
  </si>
  <si>
    <t>Angel Barrera</t>
  </si>
  <si>
    <t>Maria Alejandra Barrera</t>
  </si>
  <si>
    <t>Cra 52 98 105 - casa 11</t>
  </si>
  <si>
    <t>Te quiero mucho mi peque linda, eres mi orgullo</t>
  </si>
  <si>
    <t>Papo</t>
  </si>
  <si>
    <t>Cra58#82-40 apto, 7 edificio Palmarosa - Edificio</t>
  </si>
  <si>
    <t>2 Paquetes de eucalipto</t>
  </si>
  <si>
    <t>Veronica Hoyos</t>
  </si>
  <si>
    <t>1× Mini Box Orquidea M/22 | 1× Virgen Guadalupe o Milagrosa Pequeña</t>
  </si>
  <si>
    <t xml:space="preserve">TARJETA MINIBOX ORQUIDEA
"A la mujer que transforma mis días con solo una mirada: ¡Feliz Día! Gracias por hacer del mundo un lugar mejor, simplemente por ser quién eres"
Con amor, tu esposo. 
TARJETA ARREGLO + VIRGEN DE GUADALUPE
"Admiramos tu fuerza, valentía y cómo enfrentas la vida con una sonrisa. Eres nuestra heroína. ¡Feliz día de la mujer!"
Con amor; Adri, Vero y los 4 fantásticos.
</t>
  </si>
  <si>
    <t>Son 2 tarjetas, en el cudaro del mensaje para la tarjeta especifique los 2 mensajes y coloque para cual era cada uno, muchas gracias.</t>
  </si>
  <si>
    <t>Mariana cepeda</t>
  </si>
  <si>
    <t>8 Solitarios de Tulipán</t>
  </si>
  <si>
    <t>Son varias tarjetas pero puede ser este: “Feliz Día de la Mujer. Tu fuerza, amor y sabiduría hacen el mundo más bonito.”</t>
  </si>
  <si>
    <t>Con cariño Mariana Cepeda</t>
  </si>
  <si>
    <t>lupe van heyl</t>
  </si>
  <si>
    <t>Cra 52 B # 96- 41 - colegio</t>
  </si>
  <si>
    <t>3 bouquets surtidos</t>
  </si>
  <si>
    <t>Jussef Abdala</t>
  </si>
  <si>
    <t xml:space="preserve"> Yennifer Duran </t>
  </si>
  <si>
    <t>Cra 52 # 82-203 Apto 2005 - casa</t>
  </si>
  <si>
    <t>1× Arreglo Personalizado | 1× Mini Box Orquidea M/22</t>
  </si>
  <si>
    <t>“Amor, en ti encontré a la mujer que llena mi vida de felicidad, fuerza y amor. Gracias por caminar a mi lado. Feliz Día de la Mujer. Te amo.”</t>
  </si>
  <si>
    <t>“Con todo mi amor, tu esposo.”</t>
  </si>
  <si>
    <t>Minibox N 22</t>
  </si>
  <si>
    <t xml:space="preserve">Ada Ruiz </t>
  </si>
  <si>
    <t>Cra 59 # 81-229 Apto 602 - apto</t>
  </si>
  <si>
    <t>“Mamá, eres una mujer increíble y mi mayor bendición. Feliz Día de la Mujer.”</t>
  </si>
  <si>
    <t>“Con todo mi amor, tu hijo.”</t>
  </si>
  <si>
    <t>Marlene Orozco Cabrales</t>
  </si>
  <si>
    <t>Yecenia Mendoza</t>
  </si>
  <si>
    <t>Cra 58 74-111 - Casa blanca de 2 pisos</t>
  </si>
  <si>
    <t>Le doy gracias a Dios porque llegaste a mi vida ❤️</t>
  </si>
  <si>
    <t>Steven 🇵🇷</t>
  </si>
  <si>
    <t>Por favor que no se vea el mensaje, si es es posible que venga en un sobre</t>
  </si>
  <si>
    <t>Julieth Abdala</t>
  </si>
  <si>
    <t>Cra 59 # 90-44 Apto 402 - apto</t>
  </si>
  <si>
    <t>“Hermana, eres una mujer fuerte, hermosa y especial. Feliz Día de la Mujer.”</t>
  </si>
  <si>
    <t>Viviana Vargas</t>
  </si>
  <si>
    <t>zona franca la cayena</t>
  </si>
  <si>
    <t>En este Día de la Mujer quiero regalarte estas flores, pero la verdad es que ninguna es tan hermosa como tu sonrisa.
Eres una mujer increíble, llena de luz, fuerza y dulzura.
Hoy celebro lo especial que eres y lo afortunado que me siento de poder pensar en ti.
Que estas flores te recuerden lo mucho que te admiro y lo importante que eres para mí.</t>
  </si>
  <si>
    <t>CLAUDIA SOSA</t>
  </si>
  <si>
    <t>BLANCA QUICENO</t>
  </si>
  <si>
    <t>Carrera 57 #78-30  edificio the icon apto 1301 - edificio</t>
  </si>
  <si>
    <t xml:space="preserve">ver mensaje en chat 
</t>
  </si>
  <si>
    <t>jennifer cabarcas</t>
  </si>
  <si>
    <t>cra 18 # 67A-03 CASA SOLEDAD, LAS MORAS - CASA</t>
  </si>
  <si>
    <t xml:space="preserve">Feliz cumpleañod, a los ojos de amor. 
</t>
  </si>
  <si>
    <t>flores rojas y fucsias, trae obsequio.</t>
  </si>
  <si>
    <t>Flores sueltas</t>
  </si>
  <si>
    <t>Teydi  Marino Ucros</t>
  </si>
  <si>
    <t xml:space="preserve">Teydi </t>
  </si>
  <si>
    <t>Tecnoglass - Garita 1 donde está el semáforo intermitente</t>
  </si>
  <si>
    <t>Amigo porfa me das 6  Solitarios decorados bien linda SON PARA 6 mujeres  Con Rosa FUCSIA  Qué cada tarjetica diga feliz día de la mujer De: El jefe Guillo Para: Claudia  De: El jefe Guillo Para: Andrea De: El jefe Guillo Para: Angelica  De: El jefe Guillo Para: Deisy  De: El jefe Guillo Para: Ivanna  De: El jefe Guillo Para: Teydi</t>
  </si>
  <si>
    <t>Amigo porfa me das 6  Solitarios  de rosas. 3 rojas y 3 fucsias decorados bien linda SON PARA 6 mujeres  Con Rosa FUCSIA</t>
  </si>
  <si>
    <t>Marta Montero</t>
  </si>
  <si>
    <t>Cra 57 #79-67 - Edificio Acqua 57 Apto 1302</t>
  </si>
  <si>
    <t>1× Flora Box Mediana Pastel M/19</t>
  </si>
  <si>
    <t xml:space="preserve">Feliz día de la Mujer te amamos un montón y no sabemos qué haríamos sin ti, disfruta tu día </t>
  </si>
  <si>
    <t>Con Amor tu esposo e Hijo</t>
  </si>
  <si>
    <t>MARIA JOSE RANGEL MERINO</t>
  </si>
  <si>
    <t xml:space="preserve">maria jose </t>
  </si>
  <si>
    <t>entrega en tienda - entrega en tienda</t>
  </si>
  <si>
    <t>Dayana Tirado</t>
  </si>
  <si>
    <t>Sabemos que no han sido los mejores días, pero para eso están los amigos, para reirnos, llorar juntos o simplemente estar. Estamos felices de su regreso y queremos recordarles lo mucho que los amamos💚</t>
  </si>
  <si>
    <t>Del grupo definitivo aka mejor amigos forever</t>
  </si>
  <si>
    <t>Camilo  Gorayeb</t>
  </si>
  <si>
    <t>Cr52#79-184 - Casa blanca</t>
  </si>
  <si>
    <t>Feliz día de la mujer! Para Valezka y Silvana</t>
  </si>
  <si>
    <t>Con amor, Camilo</t>
  </si>
  <si>
    <t>ASTRID DE LAS SALAS</t>
  </si>
  <si>
    <t xml:space="preserve">Gabriela De Ávila </t>
  </si>
  <si>
    <t>cra 54 # 70 - 10 HOTEL DEL PRADO habitación E213 - HOTEL DEL PRADO</t>
  </si>
  <si>
    <t>Marquito orquidea</t>
  </si>
  <si>
    <t>amor cuando Peter se ganó la liga en nuestro matrimonio y mira hoy llegó su gran día !! nos llena el corazón de vivir este momento con ustedes, les deseamos un matrimonio lleno de amor y alegrías. 
¡Felicidades por esta maravillosa unión! ¡ Que vivan los novios! 
Los amamos 
Familia Calvano De Las Salas</t>
  </si>
  <si>
    <t>Milena guerra</t>
  </si>
  <si>
    <t xml:space="preserve">Lizzete de Reyes </t>
  </si>
  <si>
    <t>Carrera 52#100-105  Quintas de la castellana Casa 48</t>
  </si>
  <si>
    <t>De Milena Guerra 
Para pastora lizzette Reyes
Proverbios 31:29
Feliz día de la mujer</t>
  </si>
  <si>
    <t>Jefferson Rubio</t>
  </si>
  <si>
    <t>9 rosas sueltas</t>
  </si>
  <si>
    <t>Jorge Faryd Duran</t>
  </si>
  <si>
    <t>Carolina Granados</t>
  </si>
  <si>
    <t>Carrera 57 # 99A-55 Torres del Atlantico - Piso 1 Oficina Marval</t>
  </si>
  <si>
    <t>1× Encanto flora  M/15 | 1× Vino Tinto Terra Vega | 1× Topper I love You</t>
  </si>
  <si>
    <t>JFD</t>
  </si>
  <si>
    <t>mirar ajustes de el mensaje en el chat</t>
  </si>
  <si>
    <t>Kevin Espinosa</t>
  </si>
  <si>
    <t>Tatiana Valencia</t>
  </si>
  <si>
    <t>Cra 71 94-23 - T5 apto 117</t>
  </si>
  <si>
    <t>Gracias por todo lo que aportas a mi vida, por tu apoyo, tu paciencia y tu amor. Admiro la mujer que eres y me siento afortunado de caminar a tu lado. Te amo más de lo que las palabras pueden decir.</t>
  </si>
  <si>
    <t>K</t>
  </si>
  <si>
    <t>Wilson salazar sanchez</t>
  </si>
  <si>
    <t>Issis Dayana Uribe</t>
  </si>
  <si>
    <t>Transversal 43 #100-50 ; Torre 4 - Apto 516 Conjunto residencial Napoli Miramar, Barranquilla, Atlántico, Colombia, Suramérica, Planeta Tierra - Transversal 43 #100-50 ; Torre 4 - Apto 516 Conjunto residencial Napoli Miramar, Barranquilla, Atlántico, Colombia, Suramérica, Planeta Tierra</t>
  </si>
  <si>
    <t>Para la mujer más hermosa del mundo. Hoy Celebro tu día con mucho amor, felicidad y alegría porque tengo a mi lado la mujer más bonita y especial que Dios me puso en el camino. Que este amor sea infinito en nuestras vidas…</t>
  </si>
  <si>
    <t>Woss</t>
  </si>
  <si>
    <t>Gabriel Arrieta</t>
  </si>
  <si>
    <t>Calle 79#57-160 - Edificio el festival apto 302</t>
  </si>
  <si>
    <t xml:space="preserve">Bienvenida amor de mi vida, te amo mucho gracias por tu visita! </t>
  </si>
  <si>
    <t>Con amor Gabriel</t>
  </si>
  <si>
    <t>CRISTIAN CASTAÑEDA</t>
  </si>
  <si>
    <t xml:space="preserve">CRISTIAN CASTAÑEDA </t>
  </si>
  <si>
    <t>Gracias por ser la mejor mamá del mundo, te amo mami ❤️
Atte: Juli ❤️</t>
  </si>
  <si>
    <t>Simón Andrés Banda David</t>
  </si>
  <si>
    <t xml:space="preserve">María Victoria Otero Prasca </t>
  </si>
  <si>
    <t>Transversal 44 #102-72 - Conjunto residencial piamonte torre 2 apto 1111</t>
  </si>
  <si>
    <t>Feliz día de la mujer a la más fuerte y valiente que conozco. Me siento muy afortunado de tener alguien tan especial en mi vida, Gracias por hacer mis días más felices. Te quiero demasiado mi Mayi💘</t>
  </si>
  <si>
    <t>SB</t>
  </si>
  <si>
    <t>Joseph hazbun</t>
  </si>
  <si>
    <t>Sofia Gorayeb</t>
  </si>
  <si>
    <t>Cra57#79-199 - Sofia gorayeb</t>
  </si>
  <si>
    <t xml:space="preserve">Para que siempre recuerdes mi amor, porque la distancia no me permite tocar tu puerta todos los días. </t>
  </si>
  <si>
    <t>JH</t>
  </si>
  <si>
    <t>JUAN CARLOS FONTALVO</t>
  </si>
  <si>
    <t xml:space="preserve">JUAN CARLOS FONTALVO </t>
  </si>
  <si>
    <t>Recoger en Tienda - Entrega en tienda</t>
  </si>
  <si>
    <t xml:space="preserve">Primero de muchos, Te Amo. </t>
  </si>
  <si>
    <t>Juanki</t>
  </si>
  <si>
    <t>Bill de la Rosa</t>
  </si>
  <si>
    <t>Portal del prado, Studio F - Tienda de ropa</t>
  </si>
  <si>
    <t>Hoy no solo quiero decirte que te amo,
hoy quiero agradecerte.
Gracias por tu amor, por tu paciencia
y por la luz que trajiste a mi vida.
Gracias por enseñarme que amar también es cuidar,
esperar y soñar juntos.
Hoy admiro más que nunca la mujer que eres,
fuerte, hermosa y llena de vida,
porque dentro de ti late nuestro mayor milagro.
Feliz Día de la Mujer, mi amor.
Gracias por existir y por regalarme la familia que siempre soñé.</t>
  </si>
  <si>
    <t>Con amor, Bill de la Rosa</t>
  </si>
  <si>
    <t>Anthony Daniel Ruiz Gómez</t>
  </si>
  <si>
    <t>Paula Andrea Ruiz gomez</t>
  </si>
  <si>
    <t>Calle 26 #14-13 - casa sin rejas color beige</t>
  </si>
  <si>
    <t>Feliz cumpleaños princesa</t>
  </si>
  <si>
    <t>El loco tuyo 🇵🇷</t>
  </si>
  <si>
    <t>Carlos José Cuello Sagbini</t>
  </si>
  <si>
    <t>Claudia Gonzalez</t>
  </si>
  <si>
    <t>CALLE 105 53 - 55 TORRE 3 APTO 1302</t>
  </si>
  <si>
    <t>Feliz Aniversario! Te amo !</t>
  </si>
  <si>
    <t>Carlos José Cuello</t>
  </si>
  <si>
    <t>Envíenlo lo más pronto</t>
  </si>
  <si>
    <t>Liliana Peña Ortega</t>
  </si>
  <si>
    <t xml:space="preserve">Luz Marina Bacca Arévalo </t>
  </si>
  <si>
    <t>Calle 78 B # 41d - 29 - Apto 204 edificio gaia</t>
  </si>
  <si>
    <t>1× Mini Box Orquidea M/22 | 1× Chocolates Kisses 10 Und</t>
  </si>
  <si>
    <t xml:space="preserve">Feliz día a una mujer admirable, resiliente, cariñosa y con el corazón más lindo del universo. 
Te queremos con todo el corazón. </t>
  </si>
  <si>
    <t>Con amor, tus hijos, esposo, nueras y nieta.</t>
  </si>
  <si>
    <t>antony reeves</t>
  </si>
  <si>
    <t xml:space="preserve">no </t>
  </si>
  <si>
    <t>Juan David Cure</t>
  </si>
  <si>
    <t xml:space="preserve">juan david cure </t>
  </si>
  <si>
    <t xml:space="preserve">envia por wpp </t>
  </si>
  <si>
    <t>Saul Mercado</t>
  </si>
  <si>
    <t>Camila Burgos</t>
  </si>
  <si>
    <t>Carrera 49c #102-169 - Apto 201</t>
  </si>
  <si>
    <t xml:space="preserve">altid taknemmelig for dig </t>
  </si>
  <si>
    <t>Yesid H Dede</t>
  </si>
  <si>
    <t>Cualquier día es especial para que tengas tus flores Favoriras</t>
  </si>
  <si>
    <t>YD</t>
  </si>
  <si>
    <t>Bouquet con 4 tulipanes</t>
  </si>
  <si>
    <t>Camilo Arévalo</t>
  </si>
  <si>
    <t>2× Corazón Mini Rosas</t>
  </si>
  <si>
    <t>ID de la orden
2435633790</t>
  </si>
  <si>
    <t>Alexander Angarita</t>
  </si>
  <si>
    <t xml:space="preserve">Marianne Alarcón Arévalo </t>
  </si>
  <si>
    <t>Calle 59#47-41 - Casa de rejas pequeñas</t>
  </si>
  <si>
    <t>Para la única mujer que puede hacerme feliz - te amo</t>
  </si>
  <si>
    <t>Freideth Villa Paternina</t>
  </si>
  <si>
    <t>Melanie Merlano</t>
  </si>
  <si>
    <t>Calle 99 #65-64 - Edif. Gratia Torre 4 Apto 503</t>
  </si>
  <si>
    <t xml:space="preserve">Por qué eres valiente, resiliente, divertida, hermosa, son tantas las cualidades que caben en esta personita tan maravillosa. Eres una mujer de admirar y tu esposo te admira a diario eres todo lo que siempre soñé y mucho más. Mi filipenses 1:3 
Te amo mi gordita </t>
  </si>
  <si>
    <t>Con amor Tu esposo que te adora ❤️</t>
  </si>
  <si>
    <t>kelly villarreal</t>
  </si>
  <si>
    <t>mariluz arraut</t>
  </si>
  <si>
    <t>cra 52#85-70 apto 201 villanova</t>
  </si>
  <si>
    <t>Un detalle con mucho cariño,agradeciendo a dios por asu vida. gracias por su apoyo incondicional.</t>
  </si>
  <si>
    <t>kellen villarreal</t>
  </si>
  <si>
    <t>Daniel Marquez</t>
  </si>
  <si>
    <t xml:space="preserve">Silvana Betancourt </t>
  </si>
  <si>
    <t>Cra 26 #3A-272 - Torres de villa campestre,torre 1 apto 1202</t>
  </si>
  <si>
    <t>Feliz día de la mujer mi amor,te amo ❤️</t>
  </si>
  <si>
    <t>Lo pueden dejar en portería si no llega a contestar el teléfono que él llama al citofono</t>
  </si>
  <si>
    <t>juan llerena</t>
  </si>
  <si>
    <t>ana sofia</t>
  </si>
  <si>
    <t>calle 104#53-49 apto 301 zioon tower</t>
  </si>
  <si>
    <t xml:space="preserve">deja mensaje
</t>
  </si>
  <si>
    <t>con hortencias blancas y rosas o mini rosas rosadas y gyso rosada.</t>
  </si>
  <si>
    <t>Guillermo Acosta</t>
  </si>
  <si>
    <t>Guiuserly Cortissoz</t>
  </si>
  <si>
    <t>Calle 96#72B-43 Edificio Catleya - Torre 2 Apto 802</t>
  </si>
  <si>
    <t>Feliz día de la mujer, mi amor, unas flores para la flor más bonita.</t>
  </si>
  <si>
    <t>Tu amor Guillo</t>
  </si>
  <si>
    <t>Subir al apto porque la persona esta enferma, en portería presentar esta nota y decir que anuncien la persona que traen un domicilio y subirá de parte de Guillermo.</t>
  </si>
  <si>
    <t>Leonardo villarreal</t>
  </si>
  <si>
    <t xml:space="preserve">Carolyn Vasquez </t>
  </si>
  <si>
    <t>Calle94#59b31 - Apto 303</t>
  </si>
  <si>
    <t>1× Corazón Mediano Rosas M/11</t>
  </si>
  <si>
    <t xml:space="preserve">Hoy en este día  de la mujer quiero resaltar  tu valor.
gracias  por ser  mi luz y por siempre estar para mí, edificando y dandolo todo por nuestro hogar.
Te amamos con todo el corazón eres la mejor de todas mi reina linda </t>
  </si>
  <si>
    <t>Leo y chris</t>
  </si>
  <si>
    <t>Por favor llevar  antes de 10 am</t>
  </si>
  <si>
    <t>Julio Guzman</t>
  </si>
  <si>
    <t xml:space="preserve">Julio Guzmán </t>
  </si>
  <si>
    <t>Cra 52 # 132 20 - Casa al lado del conjunto natura reserva</t>
  </si>
  <si>
    <t>1× Mini Box Claveles M/23 | 1× Mini Box Orquidea M/22</t>
  </si>
  <si>
    <t xml:space="preserve">Feliz día de la mujer chiqui, te amo 
Feliz dia a la mejor mujer que conozco, te amo </t>
  </si>
  <si>
    <t>1. Es el mensaje para uno de los arreglos 
2. Es el otro mensaje para el otro arreglo</t>
  </si>
  <si>
    <t>JUAN DAVID LÓPEZ RODRÍGUEZ</t>
  </si>
  <si>
    <t>Solitario con 2 rosas fucsias</t>
  </si>
  <si>
    <t>Feliz día mi niña🩵</t>
  </si>
  <si>
    <t>JDLR</t>
  </si>
  <si>
    <t>Yuly</t>
  </si>
  <si>
    <t>Nicolle Mogollon</t>
  </si>
  <si>
    <t xml:space="preserve">Josefa Margarita </t>
  </si>
  <si>
    <t>Iglesia AMMI Cr 53 # 70-101 - Iglesia AMMI Cr 53 # 70-101 Iglesia</t>
  </si>
  <si>
    <t>1× Flora Box Redonda 24 Rosas de Jardin M/17</t>
  </si>
  <si>
    <t>Te deseo
Un hermoso retiro mi reina, te amo</t>
  </si>
  <si>
    <t>Con amor Dagoberto</t>
  </si>
  <si>
    <t>Laura Cordero</t>
  </si>
  <si>
    <t>Calle 96#72-43 Edificio Altavista del Rio - Torre 2-Apto 102</t>
  </si>
  <si>
    <t>1× Canasto Mediano Sweet M/4</t>
  </si>
  <si>
    <t xml:space="preserve">Feliz día de la mujer a mis bellas mujeres Lau y Fiore, las amo con todo el corazón, una bella flor para 2 flores hermosas.
</t>
  </si>
  <si>
    <t>Con amor Guillo</t>
  </si>
  <si>
    <t>Dejar en portería. mayerlis</t>
  </si>
  <si>
    <t>Alejandro Romero</t>
  </si>
  <si>
    <t>ID de la orden
2435655569</t>
  </si>
  <si>
    <t>Carlos Patiño</t>
  </si>
  <si>
    <t>Clau</t>
  </si>
  <si>
    <t>Carrera 52 No. 82-234. Edificio Loft 82. Apto 701</t>
  </si>
  <si>
    <t xml:space="preserve">Feliz Día de la Mujer amor!  
Hoy celebramos la mujer maravillosa que eres: fuerte, inteligente y llena de amor.  
Gracias por compartir tu vida con nosotros y por hacer cada día más especial.  
Somos muy afortunados de tenerte a nuestro lado. </t>
  </si>
  <si>
    <t>Con amor, Gabi y yo</t>
  </si>
  <si>
    <t>entrega domicilio. Mayerlis</t>
  </si>
  <si>
    <t>erika de la hoz</t>
  </si>
  <si>
    <t>Carlos ariza</t>
  </si>
  <si>
    <t xml:space="preserve">Lucila Galindo </t>
  </si>
  <si>
    <t>Calle 36b # 10-11 - Edificio Nataly, casa 4</t>
  </si>
  <si>
    <t xml:space="preserve">Mami, en este día de tu cumpleaños quiero que seas muy feliz. Que puedas recordar lo mucho que te amamos y lo especial que eres para mí. </t>
  </si>
  <si>
    <t>Con amor, Carlos José</t>
  </si>
  <si>
    <t>lirios color naranja</t>
  </si>
  <si>
    <t>Isabella silvera gonzalez</t>
  </si>
  <si>
    <t xml:space="preserve">Joann Bigio y Hannah escolar </t>
  </si>
  <si>
    <t>Cra 52#132-87 Casa 22 Marasha elite</t>
  </si>
  <si>
    <t>1× Flora Mini Plus Box Redonda M/21 | 1× Mini Box Orquídea M/22</t>
  </si>
  <si>
    <t xml:space="preserve">Ver mensajes por chat </t>
  </si>
  <si>
    <t>Ver mensajes por chat</t>
  </si>
  <si>
    <t>Ver mensajes por chat ... Yuly</t>
  </si>
  <si>
    <t>36 rosas fucsia ENTREGADAS 15 MIL PESOS EN EFECTIVO</t>
  </si>
  <si>
    <t>Andrés Max</t>
  </si>
  <si>
    <t xml:space="preserve">Claudia Carbonell </t>
  </si>
  <si>
    <t>Transversal 57 # 99-180 apto 501. Edificio Select</t>
  </si>
  <si>
    <t>Feliz día de la mujer!</t>
  </si>
  <si>
    <t>Tus Max</t>
  </si>
  <si>
    <t>10.000 en chocolates kisses. Mayerlis</t>
  </si>
  <si>
    <t>Mario Mercado</t>
  </si>
  <si>
    <t>Yuranis Molina</t>
  </si>
  <si>
    <t>Carrera 42 #76-189, apto 503</t>
  </si>
  <si>
    <t>1× Flora Box Romantic Flores 12 Rosas M/18 | 1× Guacal Hortensias M/13</t>
  </si>
  <si>
    <t xml:space="preserve">1. Gracias por tu gran corazón, feliz día
2. Para la mejor hermana mayor, feliz día </t>
  </si>
  <si>
    <t>Matías y Mario</t>
  </si>
  <si>
    <t>Ojalá dulces para el Box porque es para mi hija de 5 años</t>
  </si>
  <si>
    <t>saúl gonzález</t>
  </si>
  <si>
    <t>adriana BARROS</t>
  </si>
  <si>
    <t>CRA 50#76-120 BAMBULOFT APTO 604 A</t>
  </si>
  <si>
    <t>FELIZ DÍA DE LA MUJER,MI MONA BELLA.
TE AMO</t>
  </si>
  <si>
    <t>ABONÓ 30,000 EN EFECTIVO</t>
  </si>
  <si>
    <t>Maria Camila Palacios</t>
  </si>
  <si>
    <t xml:space="preserve">Maria Camila Palacios </t>
  </si>
  <si>
    <t>Carrera 25 #2c- 425 - Casa 9 conjunto lisboa villacampestre</t>
  </si>
  <si>
    <t>2× Canasto Mediano Sweet M/4</t>
  </si>
  <si>
    <t xml:space="preserve">¡Feliz Día de la Mujer!
Miss lau,
Gracias por tu paciencia, tu dulzura y por acompañarnos cada día con tanto cariño.
Tu dedicación y tu sonrisa hacen que aprender sea algo muy especial.
</t>
  </si>
  <si>
    <t>Con mucho cariño, The Reception C boys</t>
  </si>
  <si>
    <t>Son para personas diferentes. Acá dejo el otro mensaje de la otra tarjeta.  Les recomiendo si me lo pueden entregar lo más tarde posible el domingo pues el regalo es para el lunes a las 7 am 🙏🏽 ¡Feliz Día de la Mujer! Querida Mrs Cristy, Gracias por cuidarnos, guiarnos y enseñarnos con tanto amor. Eres una parte muy especial de nuestros días en el colegio. Con cariño, The Reception C boys.           MAYERLIS</t>
  </si>
  <si>
    <t>Ziva Yaacobi Bigio</t>
  </si>
  <si>
    <t>Cra 43 # 87- 79 Apt 5A - edificio la cumbre</t>
  </si>
  <si>
    <t>Mensaje ver el chat</t>
  </si>
  <si>
    <t>En el chat</t>
  </si>
  <si>
    <t>Manuel Zabaleta</t>
  </si>
  <si>
    <t>Liseth Prada</t>
  </si>
  <si>
    <t>Carrera 64 # 99-100 - Apto 1016 Inter 3</t>
  </si>
  <si>
    <t>1× Bouquet 24 Rosas Rojas M/8</t>
  </si>
  <si>
    <t>Estoy muy orgulloso de ti, de la visión que tienes, de tu empeño y dedicación en todo lo que haces. Te deseo muchos éxitos en tu lanzamiento. Feliz día mujer hermosa.</t>
  </si>
  <si>
    <t>Lucio Monni</t>
  </si>
  <si>
    <t>Eliana Guerrero</t>
  </si>
  <si>
    <t>Calle 44 # 43 - 128</t>
  </si>
  <si>
    <t>Rafaela de mi corazón! Me encantaría poder estar hoy celebrando contigo, pero aunque la distancia nos separe, quiero que sientas todos los abrazos y cada beso que te estoy mandando. Espero que tu día esté lleno de sonrisas y de momentos especiales que te hagan feliz, te lo mereces todo. 💜 Pienso mucho en ti y en todo lo que compartimos cuando estuvimos juntos. Me haces sentir algo muy especial, cada vez que hablamos o nos vemos me nace una sonrisa y me da muchas ganas de estar contigo. Te extraño mucho! No sé qué magia rara hiciste para hacerme sientire así, pero no veo la hora de verte, de abrazarte y de seguir descubriéndonos poco a poco. 🌸 
Feliz cumpleaños guapa. Que pases todos los días de tu vida con la misma alegría que hoy 🎉</t>
  </si>
  <si>
    <t>Lucio</t>
  </si>
  <si>
    <t>Pueden dejar las flores en el restaurante diciendo que son para el cumpleaños de Eliana. Mayerlis</t>
  </si>
  <si>
    <t>hotel movich</t>
  </si>
  <si>
    <t>hotel movich - hotel</t>
  </si>
  <si>
    <t>plan amiga hotel movich</t>
  </si>
  <si>
    <t>Sebastian Gonzalez</t>
  </si>
  <si>
    <t>Lucia Nieto</t>
  </si>
  <si>
    <t>Calle 98 # 65 a - 54 - Edif Brisas del Río apto 103 torre 1</t>
  </si>
  <si>
    <t>Para la mujer de mi vida, la que llena de mis días amor y orgullo. Feliz día mi reina, te amo!</t>
  </si>
  <si>
    <t>Con amor, Sebastian.</t>
  </si>
  <si>
    <t>Dorlys Russo</t>
  </si>
  <si>
    <t>2 SOLITARIOS DE ROSA, COLOR FUCSIA. MAYERLIS</t>
  </si>
  <si>
    <t>Samuel Pombo</t>
  </si>
  <si>
    <t>Lucia Cortes</t>
  </si>
  <si>
    <t>Calle 99 # 58 - 99 - Edificio Portobello Torre 3 apto 1402</t>
  </si>
  <si>
    <t>Hoy es un día para recordarte lo especial que eres y lo mucho que vales, que tengas un hermoso Día de la Mujer</t>
  </si>
  <si>
    <t>Con amor, Samuel.</t>
  </si>
  <si>
    <t>Jesus Valles</t>
  </si>
  <si>
    <t>Luciana Carvajal</t>
  </si>
  <si>
    <t>Carrera 71 #94-27 - Conjunto altos del bosque Torre 4 apartamento 815</t>
  </si>
  <si>
    <t>Para celebrar lo maravillosa que eres. ¡Feliz Cumpleaños!</t>
  </si>
  <si>
    <t>Juan Rozo</t>
  </si>
  <si>
    <t xml:space="preserve">Sharon Zúñiga  </t>
  </si>
  <si>
    <t>Calle 112 #43-123 - Torre A apto 1104</t>
  </si>
  <si>
    <t>Para la mujer más hermosa del mundo ❤️</t>
  </si>
  <si>
    <t>Juan R</t>
  </si>
  <si>
    <t>Pedro Gonzalez</t>
  </si>
  <si>
    <t>Calle 60 # 44B-46 - Apto 3A edif. HIRA</t>
  </si>
  <si>
    <t xml:space="preserve">Te adelantamos un pequeño detalle del dia de la mujer, mañana 8 de marzo sera un dia dificil para las entregas, con el alma, eres la mejor mujer del mundo, la mujer perfecta. 
Te amamos con el alma! </t>
  </si>
  <si>
    <t>Emilio y Pedro F.</t>
  </si>
  <si>
    <t>natalia tobón</t>
  </si>
  <si>
    <t>Natalia Tobon</t>
  </si>
  <si>
    <t>Cra 56 # 82-161 Edificio Testa Rosa - Apto 1402 - Casa</t>
  </si>
  <si>
    <t>alexandra rodríguez</t>
  </si>
  <si>
    <t>ID de la orden 2435859706 entregado</t>
  </si>
  <si>
    <t>Luis Manuel Gomezcasseres Ospino</t>
  </si>
  <si>
    <t>Marimar Medrano</t>
  </si>
  <si>
    <t>Calle 114 No 43-204 - Torre 4 Apto 604 - Conjunto Residencial Andarrios</t>
  </si>
  <si>
    <t xml:space="preserve">Sigue representándolas, así, como solo tú puedes. Feliz día mi guapa! </t>
  </si>
  <si>
    <t>Con amor, tu guapo.</t>
  </si>
  <si>
    <t>Jaime Díaz Arenas</t>
  </si>
  <si>
    <t>Catherine Crissien</t>
  </si>
  <si>
    <t>Cra 10 No 4 140 - Casa 9B mirador del lago, lagos de Caujaral</t>
  </si>
  <si>
    <t xml:space="preserve">Por favor enviar la tarjeta en blanco </t>
  </si>
  <si>
    <t>El arreglo flora box redonda de 70 rosas surtidas</t>
  </si>
  <si>
    <t>Adrian Brochado</t>
  </si>
  <si>
    <t>2× Mini Box Claveles M/23</t>
  </si>
  <si>
    <t>Erika rozo</t>
  </si>
  <si>
    <t>Calle 91 n 49c-46 oceana 91 apartamento 405 - apto 405</t>
  </si>
  <si>
    <t>Sin mensaje</t>
  </si>
  <si>
    <t>Ramis khorfan</t>
  </si>
  <si>
    <t>Ingrid linarez</t>
  </si>
  <si>
    <t>Carrera 64b #96-119 - Edificio monte regio apto 7C</t>
  </si>
  <si>
    <t>me enamoré  antes de tocarte antes del beso antes de la piel me enamoré de como hablamos sin prisa sin miedos  me enamoré de  cuando hablamos  nos entregamos  de forma completa por que cuando hay verdad  el cuerpo solo confirma lo que el alma ya sabía *23*</t>
  </si>
  <si>
    <t>Por favor comunicarse con ella antes de la entrega para coordinar  en que lugar se encuentra</t>
  </si>
  <si>
    <t>Mauricio Cianci</t>
  </si>
  <si>
    <t>Maria Lourdes Bonet</t>
  </si>
  <si>
    <t>Cra 59 # 96-78 - Edificio Ferrara - Apto 9B</t>
  </si>
  <si>
    <t>Mamá, gracias por ser mi ejemplo de fortaleza y amor. Hoy celebro todo lo que eres. ¡Feliz Día de la Mujer! 💐</t>
  </si>
  <si>
    <t>ENTREGA A DOMICILIO</t>
  </si>
  <si>
    <t>Andrea Castillo</t>
  </si>
  <si>
    <t>Carrera 59 #94-25 - Edificio Marsella Apto 301 A</t>
  </si>
  <si>
    <t>Amor de mi vida, hoy celebro a la mujer increíble que eres. Gracias por llegar a mi vida y ser mi compañera en todo. ¡Feliz Día de la Mujer! 💐</t>
  </si>
  <si>
    <t>Marto</t>
  </si>
  <si>
    <t>VA CON ORDEN 92737</t>
  </si>
  <si>
    <t>Angela María vergara Salgado</t>
  </si>
  <si>
    <t xml:space="preserve">María Del Rosario Vergara </t>
  </si>
  <si>
    <t>Cra 71 #94-23 - Edificio altos del parque apto 109 torre 3</t>
  </si>
  <si>
    <t>1× Mini Box Orquidea M/22 | 1× Bouquet 6 Rosas Rojas M/10</t>
  </si>
  <si>
    <t xml:space="preserve">En el mini box orquídea que diga: Feliz día de la mujer para mi ejemplo a seguir!! Te amo con mi alma. 
De: Angie 
Para: Charo 
Y para el bouquete de rosas que diga: 
Feliz día para la reina de la casa, la mujer más fuerte y nuestra vida entera. Te amo mi reina. 
De: Angie 
Para: Merle </t>
  </si>
  <si>
    <t>Con amor Ángie</t>
  </si>
  <si>
    <t>Ver mensaje en el chat de WhatsApp</t>
  </si>
  <si>
    <t>walter paez</t>
  </si>
  <si>
    <t>2× Mini Box Orquidea M/22</t>
  </si>
  <si>
    <t>Melek florez Alvarado</t>
  </si>
  <si>
    <t xml:space="preserve">Melek florez </t>
  </si>
  <si>
    <t>Calle98#51B-91 - Alkosto Barranquilla</t>
  </si>
  <si>
    <t>Gracias por existir y por estar en mi vida. No sabes cuánto valoro cada momento contigo, cada conversación y cada sonrisa que me regalas.
Hay personas que llegan a la vida para quedarse en el corazón, y tú eres una de ellas. No importa el tiempo ni la distancia, siempre tendrás un lugar muy especial en mí.
Te amo 🤍</t>
  </si>
  <si>
    <t>M.F</t>
  </si>
  <si>
    <t>luz herrera</t>
  </si>
  <si>
    <t>Darwin Pulido</t>
  </si>
  <si>
    <t>Eduar Landazuri</t>
  </si>
  <si>
    <t>Ivana Mariel Anaya</t>
  </si>
  <si>
    <t>Calle 1D#21-40 palmar de la ciénaga- Cuidad mallorquin - Torre 4 apartamento 1505</t>
  </si>
  <si>
    <t>Feliz Día de la Mujer a la que llena nuestros días de luz. Estamos felices de vivir esta espera a tu lado y ansiosos por ver crecer nuestra familia.</t>
  </si>
  <si>
    <t>De parte de tu familia que te adora</t>
  </si>
  <si>
    <t>Natalia Benitez viviescas</t>
  </si>
  <si>
    <t>Liliana Viviescas</t>
  </si>
  <si>
    <t>calle 109#49E 41 - casa 1</t>
  </si>
  <si>
    <t xml:space="preserve">Hoy celebramos a una mujer increíble: nuestra mamá y esposa 
Gracias por tu amor, tu paciencia y por ser el corazón de nuestra familia. Eres ejemplo de fuerza, ternura y dedicación todos los días.
En este Día de la Mujer queremos recordarte lo mucho que te amamos y lo orgullosos que estamos de tenerte en nuestras vidas. Gracias por todo lo que haces y por todo lo que eres.
</t>
  </si>
  <si>
    <t>con todo nuestro amor:</t>
  </si>
  <si>
    <t>Jose alvarez</t>
  </si>
  <si>
    <t>Calle116#42b-91 - Edificio</t>
  </si>
  <si>
    <t>Por ser una mujer excepcional con todos en tu vida te mereces esté detalle y muchos mas💜 de mi parte te quiero cada dia en mi vida💜 Dios te bendiga siempre Katherine🥹💜</t>
  </si>
  <si>
    <t>Con mucho Cariño apreció y admiración José💜</t>
  </si>
  <si>
    <t>Jose Sierra</t>
  </si>
  <si>
    <t>Regina Pacheco</t>
  </si>
  <si>
    <t>Calle 1D # 21-40 - Palmar de la ciénaga. Torre 1 apto 1703</t>
  </si>
  <si>
    <t xml:space="preserve">Feliz día de la mujer mi amor bello. Te amo ❤️ </t>
  </si>
  <si>
    <t>PRUEBA MAIRA</t>
  </si>
  <si>
    <t>Miguel Eduardo Acosta Jiménez</t>
  </si>
  <si>
    <t>ISABELA ROMERO</t>
  </si>
  <si>
    <t>Edificio Bolonia torre 1 apto 302 Miramar Tranversal 44 #100-123 - Edificio bolonia torre 1 apto 302</t>
  </si>
  <si>
    <t xml:space="preserve">Para esa mujer que Dios me puso en el camino, que se robó mi corazón y hoy es mi compañera de vida. Feliz día de la mujer para ti mi reina hermosa. </t>
  </si>
  <si>
    <t>Con muchísimo amor, MA.</t>
  </si>
  <si>
    <t>nayive fuente</t>
  </si>
  <si>
    <t>cr 52 # 106-213 apt 413 edificio oceana 52</t>
  </si>
  <si>
    <t>Mariana bienvenida a casa - Isabella bienvenida a casa</t>
  </si>
  <si>
    <t>Kenya Ochoa Bedoya</t>
  </si>
  <si>
    <t xml:space="preserve">Angelica guzman </t>
  </si>
  <si>
    <t>Cra 65# 84-145 - Apto 4F Edificio victoria Plaza</t>
  </si>
  <si>
    <t>1× Flora Box Redonda 24 Rosas de Jardin M/17 | 1× Bouquet Surtido M/5</t>
  </si>
  <si>
    <t>Juan Daniel Castilla Casalins</t>
  </si>
  <si>
    <t>Jennifer Safi</t>
  </si>
  <si>
    <t>Calle 79b#42-376 - Bahia Country, apartamento 505</t>
  </si>
  <si>
    <t xml:space="preserve">Hoy no solo quería regalarte flores, quería recordarte lo valiosa que eres.
En este Día de la Mujer quiero celebrar la persona que eres: tu fuerza, tu sensibilidad, tu forma de ver la vida y la manera en que, incluso sin darte cuenta, haces más bonito todo lo que te rodea.
A veces quizá no alcances a ver lo increíble que eres, pero para mí es imposible no notarlo.
Estas flores son solo un pequeño símbolo para recordarte que te admiro, que me siento orgulloso de ti y que me encanta caminar la vida a tu lado.
Feliz Día de la Mujer.
</t>
  </si>
  <si>
    <t>Con amor, Juan Daniel</t>
  </si>
  <si>
    <t>Patricia blanco fadul</t>
  </si>
  <si>
    <t xml:space="preserve">Maria Eugenia fadul </t>
  </si>
  <si>
    <t>Carrera 50 # 76-106 - Apto1a - Edificio don Luis del prado</t>
  </si>
  <si>
    <t xml:space="preserve">Mami, feliz Día de la Madre 
Eres la mujer más fuerte, inteligente y echada para adelante que conozco. Siempre has sido un ejemplo de valentía, de trabajo y de amor incondicional.
Gracias por enseñarme con tu vida a no rendirme, a seguir adelante y a creer en mí. Agradezco cada día tener una mamá como tú.
Te amo muchísimo </t>
  </si>
  <si>
    <t>Tu hija, Paty.</t>
  </si>
  <si>
    <t>Ashlyn Ochoa</t>
  </si>
  <si>
    <t xml:space="preserve">Elizabeth Cabarcas </t>
  </si>
  <si>
    <t>Transversal 57 99 180 - Edificio Select Torre 2 Apto 1604</t>
  </si>
  <si>
    <t xml:space="preserve">
Tata Hermosa ❤️
En este día de la mujer queremos recordarte lo especial que eres para nosotros y expresarte cuánto te amamos. Para nosotros no eres solo nuestra Tatica, eres nuestra guía y uno de los regalos más grandes que tiene nuestra vida. 
Gracias por tu amor infinito, por tus abrazos que lo curan todo y nos llenan el corazón, por cada consejo lleno de sabiduría y por cada momento en que nos cuidas con tanta dedicación y ternura. Tu sonrisa, tus palabras y tu amor hacen que todo sea más bonito y especial.
Eres una mujer maravillosa, fuerte, llena de luz, de bondad, sabiduría y amor. Hoy y todos los días celebramos la mujer que eres y le damos gracias a Dios por tenerte como Abuelita.
Que hoy y siempre recibas todo el amor que das multiplicado!!
Te Amamos mucho Tatica!!
Feliz día de la Mujer!!
Emmanuel y Luciano</t>
  </si>
  <si>
    <t>Con amor Emmanuel y Luciano</t>
  </si>
  <si>
    <t>Por favor si lo pueden entregar a las 9 am. Mayerlis</t>
  </si>
  <si>
    <t>Larry David Silva Manjarrés</t>
  </si>
  <si>
    <t>Emily sibaja</t>
  </si>
  <si>
    <t>Cra 57#77-24 - Apto 1H</t>
  </si>
  <si>
    <t xml:space="preserve">Eres una mujer poderosa y muy talentosa, eres nuestri orgullo y nuestra Reina. Te amamos mi cielo lindo </t>
  </si>
  <si>
    <t>Gordito y papi</t>
  </si>
  <si>
    <t>Carmen Martínez</t>
  </si>
  <si>
    <t xml:space="preserve">Adonays Osorio </t>
  </si>
  <si>
    <t>Calle 94 # 71-91 - Apto 1202 torre 3</t>
  </si>
  <si>
    <t xml:space="preserve">Feliz día costeñita mamasita </t>
  </si>
  <si>
    <t>OJO REALIZAR FACTURA Y ENVIAR AL CORREO INDICADO.</t>
  </si>
  <si>
    <t>Pedro Esmeral Castañeda</t>
  </si>
  <si>
    <t>1× Corazón Mediano Surtido M/11</t>
  </si>
  <si>
    <t>Te amo con todo el alma, perdóname por mis errores, eres la mujer que quiero en mi vida.</t>
  </si>
  <si>
    <t>Con amor, Pedro</t>
  </si>
  <si>
    <t>Flores surtidas</t>
  </si>
  <si>
    <t>Jhoyner Luis Rodríguez Navarro</t>
  </si>
  <si>
    <t>Natalia Viana</t>
  </si>
  <si>
    <t>Puerta dorada</t>
  </si>
  <si>
    <t>Carrera 20sur # 95-74 - Torre 20 apto 828 CONJ ARRECIFE 2</t>
  </si>
  <si>
    <t>Feliz día mujer hermosa, divina, valiente, trabajadora, admirable que cada día te esfuerzas y nunca te rindes; eres muy importante y especial para nuestras vida. Nunca dejes de sonreír, Emiliano y yo te amos mucho.</t>
  </si>
  <si>
    <t>Con amor para ti de Jhoyner y Emiliano</t>
  </si>
  <si>
    <t>Maria Paula Charris</t>
  </si>
  <si>
    <t xml:space="preserve">Valeria Rivero </t>
  </si>
  <si>
    <t>Cra 71 #98-55 - Torre 4 apto 1430 riverside</t>
  </si>
  <si>
    <t xml:space="preserve">Feliz día a mi mujer preciosa, hoy solo es una excusa más para recordarte lo increíble que eres y lo bonito que aportas para mi vida.
Te amo mucho </t>
  </si>
  <si>
    <t>Para la mujer de nuestras vidas, Tokyo y papá</t>
  </si>
  <si>
    <t>ALEMAO morales</t>
  </si>
  <si>
    <t xml:space="preserve">Mónica Gómez </t>
  </si>
  <si>
    <t>Cl 117 kr 42b 189 - Conjunto azulejo torre 5 apt 204</t>
  </si>
  <si>
    <t xml:space="preserve">Feliz día de la mujer , recuerda que siempre serás especial para mí y gracias por estar </t>
  </si>
  <si>
    <t>Alemao Morales</t>
  </si>
  <si>
    <t>En lo posible antes de 6 de la tarde. Mayerlis</t>
  </si>
  <si>
    <t>Ivan Sarmiento N</t>
  </si>
  <si>
    <t>Ivan Sarmiento Nieto</t>
  </si>
  <si>
    <t>Calle 99 # 65 64 Edificio Gratia - Torre 3 Apto 504</t>
  </si>
  <si>
    <t>1× Mini Box Orquidea M/22 | 1× Flora Mini Plus Box Redonda M/21</t>
  </si>
  <si>
    <t>Andrés López</t>
  </si>
  <si>
    <t xml:space="preserve">Andrés López </t>
  </si>
  <si>
    <t>Sofía Uribe</t>
  </si>
  <si>
    <t xml:space="preserve">Natalia escallon </t>
  </si>
  <si>
    <t xml:space="preserve">Feliz día de la mujer Nati❤️
Que sigas irradiando siempre esa felicidad y sigas siendo todos los días esa mujer tan dulce que me abrió las puertas de su casa con todo el cariño del mundo, te quiero mucho. </t>
  </si>
  <si>
    <t>Con cariño, Sofi</t>
  </si>
  <si>
    <t>Solitario Tulipán</t>
  </si>
  <si>
    <t>Andres mujica</t>
  </si>
  <si>
    <t>Nathalie anaya</t>
  </si>
  <si>
    <t>Cra 26#3A-263 - Nathalie Anaya Preg porteria</t>
  </si>
  <si>
    <t>Mike kulykov</t>
  </si>
  <si>
    <t xml:space="preserve">Keiny Diaz </t>
  </si>
  <si>
    <t>Calle 36B #1J2-39 Barrio Jose Antonio galan</t>
  </si>
  <si>
    <t xml:space="preserve">Happy Woman’s Day </t>
  </si>
  <si>
    <t>Miguel Carrascal</t>
  </si>
  <si>
    <t>1 FLORA MINI PLUS BOX REDONDA</t>
  </si>
  <si>
    <t>VER CHAT</t>
  </si>
  <si>
    <t>Fernando Boyer</t>
  </si>
  <si>
    <t xml:space="preserve">Paseo de parque </t>
  </si>
  <si>
    <t>Calle 93# 71 117 - T5 620</t>
  </si>
  <si>
    <t>Una rosa por cada mujer, esposa, madre e hijas que le dan luz a la vida que compartimos, felicidades en su día, Las Amo.</t>
  </si>
  <si>
    <t>Gabriela Martínez</t>
  </si>
  <si>
    <t>Feliz cumple a la mejor abuela, que Dios te siga bendiciendo grandemente.. te amo</t>
  </si>
  <si>
    <t>Con amor, Gaby</t>
  </si>
  <si>
    <t>Alberto Peralta</t>
  </si>
  <si>
    <t xml:space="preserve">Hoy quiero aprovechar el Día de la Mujer para decirte lo orgulloso y agradecido que estoy de tenerte en mi vida.
Te admiro mucho y me siento muy afortunado de caminar la vida a tu lado.
Amor ¡Feliz Día de la Mujer! </t>
  </si>
  <si>
    <t>RECOGE - DEBEN COBRAR</t>
  </si>
  <si>
    <t>Samitex Rodriguez</t>
  </si>
  <si>
    <t>1× Mini Box Orquidea M/22 | 1× Bouquet 12 Rosas Rojas M/9</t>
  </si>
  <si>
    <t>ID de la orden
2435922323</t>
  </si>
  <si>
    <t>Carlos Camargo</t>
  </si>
  <si>
    <t>ID de la orden
2435919761</t>
  </si>
  <si>
    <t>Dorian Percy</t>
  </si>
  <si>
    <t xml:space="preserve">Katy Prada </t>
  </si>
  <si>
    <t>Calle 99 65-64 - Edificio Gratia torre 5 apartamento 204</t>
  </si>
  <si>
    <t>Feliz Día de la Mujer, mi amor 🌹
Admiro mucho la mujer que eres: una madre fuerte, luchadora y una emprendedora que no se rinde. Tu dedicación, tu corazón y tu forma de salir adelante cada día me inspiran.
Me siento muy orgulloso de ti y feliz de tenerte en mi vida. Te quiero mucho ❤️</t>
  </si>
  <si>
    <t>Rafael Benitez mejia</t>
  </si>
  <si>
    <t>ID de la orden
2435910195</t>
  </si>
  <si>
    <t>Mary de villareal</t>
  </si>
  <si>
    <t>KRA 55#72-52 - Edificio Newport Apto 9 C</t>
  </si>
  <si>
    <t xml:space="preserve">De familia Fuentes Guerra 
Para Sra María Eugenia de Villareal 
Feliz día de la mujer 
Proverbios 31:29
</t>
  </si>
  <si>
    <t>Bendiciones</t>
  </si>
  <si>
    <t>Andrés de Jesús madera Hernández</t>
  </si>
  <si>
    <t>Carrera 9d #124-428 - Torre 2 apt 402</t>
  </si>
  <si>
    <t>1× Bouquet 12 Rosas Rojas M/9 | 1× Bouquet 6 Rosas Rojas M/10</t>
  </si>
  <si>
    <t>Sé que entre nosotros han pasado muchas cosas y que a veces la vida nos ha separado un poco. Pero también sé que hay personas que, por más tiempo que pase o por más vueltas que dé todo, siempre vuelven a aparecer en el corazón de uno.
Por eso te traje estas flores. No solo por lo bonita que eres, sino porque desde hace mucho tiempo ocupas un lugar especial en mí. Me alegra mucho que estemos hablando otra vez, y ojalá esta vez podamos escribir una historia más tranquila y bonita entre los dos.</t>
  </si>
  <si>
    <t>Con amor, Santiago</t>
  </si>
  <si>
    <t>jeider yordan</t>
  </si>
  <si>
    <t>mini box orquídea - solitario</t>
  </si>
  <si>
    <t>Jorge uribe</t>
  </si>
  <si>
    <t>Para jeny</t>
  </si>
  <si>
    <t>De tu amor</t>
  </si>
  <si>
    <t>Nestor Campo</t>
  </si>
  <si>
    <t>Emily Cabarcas</t>
  </si>
  <si>
    <t>Cra 42g #82 182 - Edificio Charlotte apto 302</t>
  </si>
  <si>
    <t>Feliz día de la mujer a la mujer de mi vida y mi futura esposita. La mujer más increíble que existe y la que Dios quiso para mi vida para cuidar y amar por siempre. Te amo infinito ♾️ mi shippi</t>
  </si>
  <si>
    <t>Con amor tu futuro esposito Nestor</t>
  </si>
  <si>
    <t>Daniela Duarte</t>
  </si>
  <si>
    <t>Gloria León</t>
  </si>
  <si>
    <t>carrera 42 A3 número 84-256 - Casa</t>
  </si>
  <si>
    <t>Que te mejores pronto amiga, te queremos mucho y estamos contigo. Eres una fuerte.</t>
  </si>
  <si>
    <t>Dani y Ale</t>
  </si>
  <si>
    <t>Jose luis Claros zabaleta</t>
  </si>
  <si>
    <t xml:space="preserve">Sara Claros </t>
  </si>
  <si>
    <t>Calle 105 53 55 - Torre 2 Apto 802</t>
  </si>
  <si>
    <t>1× Mini Box Orquidea M/22 | 1× Cerámica Sweet Pea M/16</t>
  </si>
  <si>
    <t xml:space="preserve">Para La mujer Más Hermosa e Inteligente de su Papá !!
Que Dios siga fortaleciendo todo Tu Espíritu de Amor y Bondad !!
Te amo Hija Mía 
Siempre serás de Tu Papá </t>
  </si>
  <si>
    <t>Tu Papito Hermoso</t>
  </si>
  <si>
    <t>El Otro arreglo es para mi esposa 
Con el siguiente mensaje 
Para una Mujer Demasiado Especial en Mi Vida, esa eres Tú Mi Esposa Amada 
Con el Mayor de Los Amores y Pasión 
Te amo</t>
  </si>
  <si>
    <t>Angel Manjon</t>
  </si>
  <si>
    <t>Clara Patiño</t>
  </si>
  <si>
    <t>Carrera 73#80-126 - Los gorriones 41</t>
  </si>
  <si>
    <t>Mamita linda, ¡feliz día! 🌷
Gracias por ser esa mujer fuerte y valiente, y por ser siempre nuestro ejemplo. Hoy soy el hombre que soy gracias a tu dedicación, tu amor y todo el esfuerzo que has hecho por nosotros. Me siento muy orgulloso de ti mamá. Te quiero mucho mi reina ❤️</t>
  </si>
  <si>
    <t>Con amor, angelito ❤️</t>
  </si>
  <si>
    <t>Favor llamar al número de la persona que recibe al llegar a la dirección de entrega. Mayerlis</t>
  </si>
  <si>
    <t>Adonays Osorio</t>
  </si>
  <si>
    <t xml:space="preserve">Isabella Bonilla </t>
  </si>
  <si>
    <t>Calle 94 # 71-91 edificio reserva - Torre 3 apto 1202</t>
  </si>
  <si>
    <t>Mi Flacurry Bella
En este Día de la Mujer quiero recordarte que eres la luz de mis ojos y la mayor bendición de mi vida. Sueño con verte crecer fuerte, segura y feliz. 
Que la vida siempre te recuerde lo fuerte, valiosa y maravillosa que eres.
Con todo mi amor, hoy y siempre!  💖</t>
  </si>
  <si>
    <t>Tu mamá</t>
  </si>
  <si>
    <t>Valentina Rodriguez  y Nur Maloof</t>
  </si>
  <si>
    <t>Cra 58 #81-35 - Edificio Grattacielo Apto 26</t>
  </si>
  <si>
    <t>1× Corazón Mini Surtido M/12 | 1× Mini Box Orquidea M/22</t>
  </si>
  <si>
    <t>Con cariño, juampi</t>
  </si>
  <si>
    <t>Lorainy Díaz</t>
  </si>
  <si>
    <t>Soleiny</t>
  </si>
  <si>
    <t>Los Robles</t>
  </si>
  <si>
    <t>Carrera 14A#81-15 los almendros II - Cada blanca de esquina</t>
  </si>
  <si>
    <t xml:space="preserve">Feliz día Amor!
Tú representas a la mujer en dedicación, la fuerza, Responsabilidad, el amor en tu hijo y tu familia. Te admiro y te valoro con todo mi Corazón.
Te Extraño
</t>
  </si>
  <si>
    <t>Con amor, Ulpiano</t>
  </si>
  <si>
    <t>CALEB GARCES MANRIQUE RAPPI</t>
  </si>
  <si>
    <t>CALEB GARCES MANRIQUE</t>
  </si>
  <si>
    <t>Hernan arias</t>
  </si>
  <si>
    <t xml:space="preserve">Hernan arias </t>
  </si>
  <si>
    <t>Cra. 42F #80-135 - Edificio riverpark apto 1601</t>
  </si>
  <si>
    <t xml:space="preserve">Vanina eres increíble, eres inteligente, echada palante, burlona, y tienes la capacidad de ver más allá del ahora, tienes visión, tienes mucho amor y qué privilegio poder tenerte de esposa, feliz día honro tu vida y estoy orgulloso de ser tu esposo, Dios siempre contigo </t>
  </si>
  <si>
    <t>Angel chacon</t>
  </si>
  <si>
    <t>Mariana palma</t>
  </si>
  <si>
    <t>Cll 117 42b 25 - Torre 11 apto 602</t>
  </si>
  <si>
    <t>1× Bouquet Orquidea M/6 | 1× Canasto Lavanda M/3</t>
  </si>
  <si>
    <t>Del dis de la mujer tengo para decirles que me siento orgulloso de ser el hombre que les pueda festejar diariamente su dia que las pueda ver sonreir y las pueda amar hasta el fin las amooo mis mujeres MVCD</t>
  </si>
  <si>
    <t>Angel chacom</t>
  </si>
  <si>
    <t>camilo casas</t>
  </si>
  <si>
    <t>Jesus David Balaguera Paternina</t>
  </si>
  <si>
    <t>Denisse Moscote</t>
  </si>
  <si>
    <t>Cra 47#100-144 - Apto 403 torre B edificio alameda towers</t>
  </si>
  <si>
    <t xml:space="preserve">“Detrás de un gran hombre hay una gran mujer” Pero yo no te quiero atrás de mí, te quiero a mi lado, sujetando mi mano, compartiendo la vida, allí donde nos pertenecemos. Te amo!  Feliz día de la mujer.
</t>
  </si>
  <si>
    <t>Jesús David.</t>
  </si>
  <si>
    <t>Algoritmo plus SAS</t>
  </si>
  <si>
    <t xml:space="preserve">Johnny romero </t>
  </si>
  <si>
    <t>Cra 42 G # 85-46 - Casa Blanca de 2 pisos</t>
  </si>
  <si>
    <t>1× Flora Box Redonda 24 Rosas de Jardin M/17 | 1× Flora Mini Plus Box Redonda M/21 | 1× Flora Box Mediana Pastel M/19 | 1× Mini Box Orquidea M/22 | 1× Encanto flora  M/15</t>
  </si>
  <si>
    <t>Johnny romero</t>
  </si>
  <si>
    <t>Son 5 arreglos para personas diferentes por lo cual los mensajes son diferentes pero firma la misma persona</t>
  </si>
  <si>
    <t>Gina L</t>
  </si>
  <si>
    <t>Cra 44 # 88 - 40 - 203</t>
  </si>
  <si>
    <t>1× Corazón Mediano Surtido M/11 | 1× Flora Box Romantic Flores 12 Rosas M/18</t>
  </si>
  <si>
    <t xml:space="preserve">Me gusta el arte, pero me gustaría más, tú al frente mío </t>
  </si>
  <si>
    <t xml:space="preserve">Emma Sánchez </t>
  </si>
  <si>
    <t>Cra 52 # 106 - 140 - Castellana real casa 75</t>
  </si>
  <si>
    <t>1× Cerámica Sweet Pea M/16 | 1× Mini Box Claveles M/23 | 1× Corazón Mediano Surtido M/11</t>
  </si>
  <si>
    <t>La distancia son Solo kilómetros. Eres la mujer de mis sueños y de mi vida. Te amo mamá. Ya pronto nos vemos ❤️</t>
  </si>
  <si>
    <t>Juanda, Nico Titi &amp; Thor</t>
  </si>
  <si>
    <t>Nota 2- Para la mujer que nos hace tener un motivo todos los días de seguir adelante - JD Nota 3- Te amamos mamá, gracias por sacarnos todos los días - Titi &amp; Thor. Mayerlis</t>
  </si>
  <si>
    <t xml:space="preserve">Rosalba Yepes </t>
  </si>
  <si>
    <t>Cra 26c # 79 - 39 - Barrio silencio</t>
  </si>
  <si>
    <t xml:space="preserve">Para mi reina hermosa , de mi vida. Tus ojos iluminan mi camino, y sé que pronto estaré dándote un beso gigante. Te amo mami Rochi! Feliz día de la mujer </t>
  </si>
  <si>
    <t>Con amor, Juanda, Titi &amp; Thor</t>
  </si>
  <si>
    <t>Alexander Zapata</t>
  </si>
  <si>
    <t xml:space="preserve">Grey de la hoz </t>
  </si>
  <si>
    <t>Cra 3A #23-40 - Conjuntos tajamares de villa campestre</t>
  </si>
  <si>
    <t xml:space="preserve">Feliz día mujer valiente fuerte hermosa 
Te quiero mucho! </t>
  </si>
  <si>
    <t>alvaro padilla</t>
  </si>
  <si>
    <t>Daniel sanchez</t>
  </si>
  <si>
    <t>¡Feliz día! Qué fortuna la mía coincidir contigo. Me encanta ver cómo persigues lo que quieres con esa chispa tan única que te caracteriza. Gracias por dejarme ser parte de tus días!</t>
  </si>
  <si>
    <t>Tu monkeylover fav</t>
  </si>
  <si>
    <t>Andrea Mazo</t>
  </si>
  <si>
    <t>Paula Barrera</t>
  </si>
  <si>
    <t>Cra 20 #44-30 - Conjunto Puerto bongoe torre 24 apartamento 301</t>
  </si>
  <si>
    <t>1× Marquito Surtido  M/14</t>
  </si>
  <si>
    <t>Marzo 8 de 2026 
Feliz Día de la Mujer, mi amor.
Hoy celebro lo increíble que eres. Gracias por existir y por hacer mi vida más feliz. 
Te amo, bubu.</t>
  </si>
  <si>
    <t>Con amor, Dudu.</t>
  </si>
  <si>
    <t>Jose David Varela Espejo</t>
  </si>
  <si>
    <t>Jose Varela</t>
  </si>
  <si>
    <t>Carrera 43#75B-143 - Apto 307B, conjunto San Germán</t>
  </si>
  <si>
    <t>Con mucho amor y desde la distancia, para que nunca se te olvide la gran mujer que eres y el gran ejemplo que eres para nosotros. Nunca sientas que eres una persona normal, porque eres la mejor mujer del mundo.</t>
  </si>
  <si>
    <t>Tus hijos, que te aman</t>
  </si>
  <si>
    <t>David Restrepo</t>
  </si>
  <si>
    <t xml:space="preserve">Angie de Oro </t>
  </si>
  <si>
    <t>Cra 61 # 68-35</t>
  </si>
  <si>
    <t xml:space="preserve">Feliz día mujer ! </t>
  </si>
  <si>
    <t>Aury Michell Landinez Ardila</t>
  </si>
  <si>
    <t xml:space="preserve">Sharon Dayana Fajardo Ardila </t>
  </si>
  <si>
    <t>Cra 63#48-46 - cada rejas blancas</t>
  </si>
  <si>
    <t>Dicen que el amor verdadero
no se busca se encuentra.
Y yo te encontré a ti,
con tu forma única de amar,
con tu sonrisa que calma mi mundo
y con ese corazón
que me hace querer ser mejor cada día.
Hoy no solo te digo feliz Día de la Mujer,
también te digo gracia.
gracias por existir y por hacer que mi vida tenga más sentido.</t>
  </si>
  <si>
    <t>ATT: quesito</t>
  </si>
  <si>
    <t>Amor, quiero que sepas que eres una de las bendiciones más grandes que tiene mi vida. Cada día a tu lado me recuerda lo afortunado que soy de tener a una mujer tan especial, fuerte y llena de amor. Gracias por tu paciencia, por tu compañía y por hacer de mi vida un lugar más bonito. eres mi apoyo, mi paz y la persona con la que quiero seguir construyendo cada sueño. Te amo hoy, mañana y siempre.❤️🌹</t>
  </si>
  <si>
    <t>Jose Bueso</t>
  </si>
  <si>
    <t>Daniela Guerra</t>
  </si>
  <si>
    <t>Cra 23 No. 2C - 65 torre 1 apto 1402 Edi. Porto Rosso</t>
  </si>
  <si>
    <t>1× Flora Box Redonda 24 Rosas de Jardin M/17 | 1× Canasto Lavanda M/3</t>
  </si>
  <si>
    <t>Orlando Santander</t>
  </si>
  <si>
    <t xml:space="preserve">Orlando santander </t>
  </si>
  <si>
    <t>CRA 65 No 99 109 - Torre 3 Apto 717 conjunto residencial central garden</t>
  </si>
  <si>
    <t>1× Mini Box Orquidea M/22 | 1× Mini Box Claveles M/23 | 1× Bouquet 6 Rosas Rojas M/10</t>
  </si>
  <si>
    <t>Feliz día a las mujeres que más amo</t>
  </si>
  <si>
    <t>El patriarca de esta hermosa familia</t>
  </si>
  <si>
    <t>Julio Mario Rincon Ramos</t>
  </si>
  <si>
    <t xml:space="preserve">Carolina Mejía </t>
  </si>
  <si>
    <t>Carrera 54 #74-105 - Edificio Carol APTO 1A</t>
  </si>
  <si>
    <t>En este Día de la Mujer celebramos a mujeres admirables como tú. Gracias por tu ejemplo, tu cariño y por la hermosa crianza que le diste a tu hija, quien hoy es una mujer maravillosa. Tu amor y valores se reflejan en ella y en la familia que nos une.</t>
  </si>
  <si>
    <t>Con cariño, Julio R.</t>
  </si>
  <si>
    <t>Mariana Garzon</t>
  </si>
  <si>
    <t>Lucia Cervantes</t>
  </si>
  <si>
    <t>Cra 64 #94-108 - Conjunto Puerta del Sol - Apto 302C</t>
  </si>
  <si>
    <t>1× Bouquet Aire M/7</t>
  </si>
  <si>
    <t>¡Feliz dia de la mujer mami! 
Te amamos.</t>
  </si>
  <si>
    <t>Nani y Sofi</t>
  </si>
  <si>
    <t>Te amo luli</t>
  </si>
  <si>
    <t>Diana María agresoth</t>
  </si>
  <si>
    <t xml:space="preserve">Andrea Berna </t>
  </si>
  <si>
    <t>Cra 42 b #116-121 - Torre 20 apto 206</t>
  </si>
  <si>
    <t xml:space="preserve">Eres la mujer la linda del planeta 
Feliz día a esa mujer adorable </t>
  </si>
  <si>
    <t>Carolina Britto Marquez</t>
  </si>
  <si>
    <t>Idonys</t>
  </si>
  <si>
    <t>Carrera 7 #33-70 - Casa. Segundo piso</t>
  </si>
  <si>
    <t xml:space="preserve">Feli día de la mujer mamita! Gracias por ser esa mujer valiente, esforzada, luchadora y paciente. Te amamos! Gracias por tu dedicación. </t>
  </si>
  <si>
    <t>Carolina... Y tus otros hijos.</t>
  </si>
  <si>
    <t>Salvatore Valdeblanquez cañas</t>
  </si>
  <si>
    <t xml:space="preserve">Paula Diazgrandos </t>
  </si>
  <si>
    <t>Cr 72 # 94-63 - Apt 602 C</t>
  </si>
  <si>
    <t>Las Florez son hermosas, pero ninguna tanto como la mujer quien las recibe , hoy celebro por tu esencia , belleza y tu forma de ser espectacular .
Para una mujer especial en un día especial , feliz Día de la mujer .</t>
  </si>
  <si>
    <t>Salvatore valdeblanquez</t>
  </si>
  <si>
    <t>Las 12 rosas deben ser rojas por favor</t>
  </si>
  <si>
    <t>Karoll serrano</t>
  </si>
  <si>
    <t xml:space="preserve">Melissa Ortiz </t>
  </si>
  <si>
    <t>Calle 31 # 22-08 - Billares del caribe</t>
  </si>
  <si>
    <t>Feliz día a la mujer más hermosa ❤️‍🔥❤️‍🔥</t>
  </si>
  <si>
    <t>Por favor que llegue anónimo. Mayerlis</t>
  </si>
  <si>
    <t>1140882663</t>
  </si>
  <si>
    <t>Juan vargas RAPPI</t>
  </si>
  <si>
    <t>Juan vargas</t>
  </si>
  <si>
    <t>2436013916</t>
  </si>
  <si>
    <t>Alejandra vargas villalba</t>
  </si>
  <si>
    <t xml:space="preserve">Diana Villalba </t>
  </si>
  <si>
    <t>Carrera 19# 44-135 - Torre 6 apto 504 conjunto puerto cumbia</t>
  </si>
  <si>
    <t>No importa lo lejos que estemos, nuestro primer pensamiento siempre serás tú.. te amamos infinitamente mamichula.</t>
  </si>
  <si>
    <t>Con amor tus hijas</t>
  </si>
  <si>
    <t>Luis Andrés Pérez</t>
  </si>
  <si>
    <t>Luciana campo</t>
  </si>
  <si>
    <t>Calle 96 # 72-43 Edif. AltaVista del rio - Torre 4, Apto 102</t>
  </si>
  <si>
    <t>Para mi noviecita</t>
  </si>
  <si>
    <t>JUAN PABLO CORREA LLANOS</t>
  </si>
  <si>
    <t xml:space="preserve">Feliz Mes Mona 
Te amo! </t>
  </si>
  <si>
    <t>Juan Pi</t>
  </si>
  <si>
    <t>ARREGLO BOUQUET TULIPAN X 6</t>
  </si>
  <si>
    <t xml:space="preserve">Alejandra Alvarado </t>
  </si>
  <si>
    <t>Cra 57 # 99-160 - Torre 2 apto 904</t>
  </si>
  <si>
    <t>Feliz día de la mujer Aleja! Que tengas un día lleno de cariño, bendiciones y de todo lo bonito que mereces. Un abrazo grande.</t>
  </si>
  <si>
    <t>Male Hoyos</t>
  </si>
  <si>
    <t>juan jose senior</t>
  </si>
  <si>
    <t>erika e ivanna</t>
  </si>
  <si>
    <t>cr 51b #80-96 - edificio macer apt 11 a</t>
  </si>
  <si>
    <t>1× Bouquet 6 Rosas Rojas M/10 | 1× Bouquet 12 Rosas Rojas M/9</t>
  </si>
  <si>
    <t>el de 12 rosas rojas - el de 6 rosas blancas y rosadas</t>
  </si>
  <si>
    <t>Hernando Quintero</t>
  </si>
  <si>
    <t>Tatiana Gutierrez</t>
  </si>
  <si>
    <t>Calle 98 # 65a - 54 - Torre 1 Apto 1403</t>
  </si>
  <si>
    <t xml:space="preserve">En un día especial, un detalle para la mujer mas divina </t>
  </si>
  <si>
    <t>Con cariño HernandoQ</t>
  </si>
  <si>
    <t>Daniel Vasquez</t>
  </si>
  <si>
    <t>Fernand guzman</t>
  </si>
  <si>
    <t>Cra 25 # 1 a 55 - Edificio actually apto 1403</t>
  </si>
  <si>
    <t>Feliz día de la mujer doctora!
Gracias por todos estos años que hemos pasado juntos y por todos los demás que quedan por pasar juntos.</t>
  </si>
  <si>
    <t>Tu prometido</t>
  </si>
  <si>
    <t xml:space="preserve">Hoy quiero celebrar a la mujer increíble que eres, no solo por lo linda y hermosa, sino por tu corazón, tu inteligencia y tu capacidad de amar incondicionalmente. Te amo mucho vida mía. Feliz día de la mujer. </t>
  </si>
  <si>
    <t>Federico Rueda</t>
  </si>
  <si>
    <t>Mamá y Nata</t>
  </si>
  <si>
    <t>Carrera 58 no 99 - 46 - Ed. Murano 1502</t>
  </si>
  <si>
    <t>1× Mini Box Claveles M/23(Clavel Mamón)</t>
  </si>
  <si>
    <t xml:space="preserve">Feliz día para las mujeres de la familia! Las queremos mucho, gracias por tanto! </t>
  </si>
  <si>
    <t>Fedes y Ho</t>
  </si>
  <si>
    <t>POR FAVOR ENTREGAR LO MAS TEMPRANO POSIBLE 7:00AM</t>
  </si>
  <si>
    <t>Jair Alejo Verjel</t>
  </si>
  <si>
    <t xml:space="preserve">Yaleidy Cristina Álvarez </t>
  </si>
  <si>
    <t>Calle 1D # 22-24. - Conjunto AquaNova. Apartamento 410. Torre 2.</t>
  </si>
  <si>
    <t>1× Bouquet 12 Rosas Rojas M/9 | 1× Oso de Peluche</t>
  </si>
  <si>
    <t xml:space="preserve">Feliz día de la mujer, a mi mujer. Te amo nena. </t>
  </si>
  <si>
    <t>Dejar en portería. Mayerlis</t>
  </si>
  <si>
    <t>Luis Guillermo Villar</t>
  </si>
  <si>
    <t xml:space="preserve">Para la mujer más especial </t>
  </si>
  <si>
    <t>Con amor, tu esposo</t>
  </si>
  <si>
    <t>Joel Cerpa</t>
  </si>
  <si>
    <t>Alejandra Torres</t>
  </si>
  <si>
    <t>Calle 120 # 42 129 - Conjunto Barranquero Torre 17 apt 103</t>
  </si>
  <si>
    <t>1× Vino Tinto Terra Vega | 1× Canasto Lavanda M/3</t>
  </si>
  <si>
    <t>Hoy te celebro, y siempre.
Eres una mujer inteligente, hermosa y con una energía increíble.
Te mereces todo lo bonito que la vida pueda darte. 🌸</t>
  </si>
  <si>
    <t>Sin destinatario en la tarjeta</t>
  </si>
  <si>
    <t>Valeria Rodriguezer</t>
  </si>
  <si>
    <t>Camilo Franco</t>
  </si>
  <si>
    <t>Katherin Mejia</t>
  </si>
  <si>
    <t>Calle 69b 33-43 - Casa segundo piso</t>
  </si>
  <si>
    <t xml:space="preserve">Feliz día mi amor. Eres la mejor mujer del mundo </t>
  </si>
  <si>
    <t>Ivan López</t>
  </si>
  <si>
    <t xml:space="preserve">Ivan López </t>
  </si>
  <si>
    <t>Cra 52 #106-140 - Castellana real - casa 51</t>
  </si>
  <si>
    <t xml:space="preserve">Feliz día a la mujer de la casa. Te amamos </t>
  </si>
  <si>
    <t>Con amor, tu familia</t>
  </si>
  <si>
    <t>Salomón eljadue R</t>
  </si>
  <si>
    <t>Helena mi mejor amiga, dulce, fuerte y hermosa. Te quiero.
Feliz día de la mujer! 
Salomón Eljadue R</t>
  </si>
  <si>
    <t>BOUQUET COMO IMAGEN EN TONOS PASTELES SIN ORQUIDEAS, Mayerlis</t>
  </si>
  <si>
    <t>Esteban Hoyos Jaramillo</t>
  </si>
  <si>
    <t xml:space="preserve">Juliana Acevedo </t>
  </si>
  <si>
    <t>Cra 48 # 100 - 102 - Edificio Lanzerotti 2 Apto 702</t>
  </si>
  <si>
    <t>1× Mini Box Orquidea M/22   1x Bouquet x 3 Rosas Rojas</t>
  </si>
  <si>
    <t xml:space="preserve">Para las dos mujeres de mi vida 
Feliz día de la mujer 
Las amo con mi vida </t>
  </si>
  <si>
    <t>Esteban Hoyos J.</t>
  </si>
  <si>
    <t>Jorge wade</t>
  </si>
  <si>
    <t xml:space="preserve">Jorge wade </t>
  </si>
  <si>
    <t>Calle 3A#23-88 - Apt 402A. Edif Torres de mallorquín</t>
  </si>
  <si>
    <t xml:space="preserve">Mujer de mi vida. Esposa de mi alma. Madre abnegada…Feliz día de la mujer </t>
  </si>
  <si>
    <t>Con amor tu esposo y tu hijo</t>
  </si>
  <si>
    <t>1143132412</t>
  </si>
  <si>
    <t>Fernando Bueno</t>
  </si>
  <si>
    <t>Angélica Vergara</t>
  </si>
  <si>
    <t>Cra 26b # 76-109 - Piso 2</t>
  </si>
  <si>
    <t>“Feliz Día de la Mujer.
Admiro la mujer que eres: fuerte, inteligente y llena de luz.
Gracias por estar en mi vida y por hacerla mejor cada día.
Te amo con mi vida novia mía</t>
  </si>
  <si>
    <t>Entregar de 10 a 12 del mediodía</t>
  </si>
  <si>
    <t>Cra 10 # 4-140 - Casa Diaz Crissien</t>
  </si>
  <si>
    <t>1 x Corazon Mediano Surtido</t>
  </si>
  <si>
    <t>Tarjeta sin llenar</t>
  </si>
  <si>
    <t>—</t>
  </si>
  <si>
    <t>RECOGE EN TIENDA DEVOLVER DOMICILIO</t>
  </si>
  <si>
    <t xml:space="preserve">VANESSA ESCUDERO </t>
  </si>
  <si>
    <t>Carrera 43B # 90 -152 Apto 302 - Edificio balconi 90</t>
  </si>
  <si>
    <t>Feliz día amor mío, te amo mucho ❤️</t>
  </si>
  <si>
    <t>MARQUITO GIRASOL COMO EN FOTO. Mayerlis</t>
  </si>
  <si>
    <t>Lauren Ramírez</t>
  </si>
  <si>
    <t xml:space="preserve">Gixela Díaz </t>
  </si>
  <si>
    <t>Calle 79 #42f -93 - Apto 406</t>
  </si>
  <si>
    <t>1× Canasto Mediano Sweet M/4 | 1× Marquito Surtido  M/14</t>
  </si>
  <si>
    <t>Mami, hoy celebro a la mujer increíble que eres. Gracias por todo tu amor. Feliz día.</t>
  </si>
  <si>
    <t>Con cariño, Lauren.</t>
  </si>
  <si>
    <t>Ambos arreglos son para la misma dirección pero para diferentes personas. El otro arreglo es para Lucely Barrera. El mensaje es: Abuelita, feliz Día de la Mujer. Gracias por tu cariño y tu amor. Mayerlis</t>
  </si>
  <si>
    <t>HRD INVERSIONES</t>
  </si>
  <si>
    <t>Santiago Sanchez</t>
  </si>
  <si>
    <t xml:space="preserve">Paola Amorocho </t>
  </si>
  <si>
    <t>Cra 54 #132-249 - Conjunto ocho ríos casa 7</t>
  </si>
  <si>
    <t>Feliz día! Te amamos.</t>
  </si>
  <si>
    <t>Giova y Santi</t>
  </si>
  <si>
    <t>Andres Mejia</t>
  </si>
  <si>
    <t>Transversal 43 No.100-50 - Edificio Napoli Torre 5 Apto 519</t>
  </si>
  <si>
    <t xml:space="preserve">Amor,
Hoy pensé en el futuro.
Y en todos los escenarios que imagino… siempre estás tú.
En los planes grandes.
En los días simples.
En los proyectos locos.
En las risas inesperadas.
No sé exactamente cómo será todo.
Pero sí sé algo con certeza: quiero construirlo contigo.
Y si el camino se pone difícil, que nos encuentre juntos. Y si se pone hermoso también.
Porque mi mejor plan siempre empieza contigo.
Feliz día de la mujer! </t>
  </si>
  <si>
    <t>Con amor, Mario Andres</t>
  </si>
  <si>
    <t>Victor Hugo Aroca Aguilar</t>
  </si>
  <si>
    <t>Paola Valderrama</t>
  </si>
  <si>
    <t>Carrera 30A # 1B-215 Apto 97 - Edificio Green Park</t>
  </si>
  <si>
    <t xml:space="preserve">Gracias por estar conmigo, por ser una amiga, compañera de vida. Dios te bendiga y feliz día de la Mujer </t>
  </si>
  <si>
    <t>Manuel Alejandro Jiménez Mercado</t>
  </si>
  <si>
    <t xml:space="preserve">Judith Mercado </t>
  </si>
  <si>
    <t>Cra 55 # 91 101</t>
  </si>
  <si>
    <t xml:space="preserve">Feliz día de la mujer mami. Gracias por ser el pilar en nuestra casa que nos da amor, ternura y comprensión. </t>
  </si>
  <si>
    <t>Manuel Alejandro</t>
  </si>
  <si>
    <t xml:space="preserve">Liliana Ramos </t>
  </si>
  <si>
    <t>Calle 99 número 58-99 - Torre 3 apto 1203</t>
  </si>
  <si>
    <t>Mamá, eres una mujer maravillosa y una inspiración nuestra cada día. Hoy celebramos tu fuerza, tu amor y todo lo que representas.</t>
  </si>
  <si>
    <t>Con amor, tu familia.</t>
  </si>
  <si>
    <t>nayired ching</t>
  </si>
  <si>
    <t>Luis Fernando Hoyos</t>
  </si>
  <si>
    <t>Carolina Zuluaga</t>
  </si>
  <si>
    <t>Carrera 59C # 79-180 - Apto 802 ed. Boulevard del Gol</t>
  </si>
  <si>
    <t>1 x Mini Box Orquidea</t>
  </si>
  <si>
    <t xml:space="preserve">Feliz día para una mujer increíble que amamos mucho! </t>
  </si>
  <si>
    <t>Con mucho amor, Luisfer y Santi.</t>
  </si>
  <si>
    <t>Mateo Reyes Orozco</t>
  </si>
  <si>
    <t>Calle 114 #43b-83 - Torre 11 apto 503 Conjunto silbador</t>
  </si>
  <si>
    <t xml:space="preserve">Hoy y siempre feliz día a la mujer de mi vida. 
Te amo </t>
  </si>
  <si>
    <t>Emir Andres Calaveras Quevedo</t>
  </si>
  <si>
    <t xml:space="preserve">Brillith Obregón </t>
  </si>
  <si>
    <t>Calle 36 #13_40 bonanza soledad</t>
  </si>
  <si>
    <t>1× Bouquet 12 Rosas Rojas M/9 | 1× Ferrero Rocher 8 und</t>
  </si>
  <si>
    <t>Quiero de la tarde el arrebol, su reflejo en el río y el suave rubor de tu piel lo prefiero al lado mío.</t>
  </si>
  <si>
    <t>Te adora, Emir.</t>
  </si>
  <si>
    <t>Manuel Macías Ríos</t>
  </si>
  <si>
    <t>Yajaira Ríos López</t>
  </si>
  <si>
    <t>Calle 104 transversal 43a-37 - Dimaro Apartamentos Torre 1 apto 803 en Miramar</t>
  </si>
  <si>
    <t>1× Mini Box Claveles M/23 CLAVEL FUSCIA</t>
  </si>
  <si>
    <t xml:space="preserve">¿Qué sería de nuestra vida sin ti? 
No deseamos ni pensarlo, ni tampoco esperar que el mundo se esté acabando para decirte que...
Te amamos.
Gracias por inspirarnos con tu coraje, gracias por tu cuidado y dirección. 
Gracias por ser una mujer con mano firme de algodón. </t>
  </si>
  <si>
    <t>Con amor, Mane y Uldis.</t>
  </si>
  <si>
    <t>Luis Fontalvo</t>
  </si>
  <si>
    <t>buqued surtido de 50000 - dos solitarios</t>
  </si>
  <si>
    <t>Daniel Lopez</t>
  </si>
  <si>
    <t>Alejandra Arcila</t>
  </si>
  <si>
    <t>Carrera 58 #96-38 - Apto 202</t>
  </si>
  <si>
    <t>Feliz día de la mujer.
Aunque estemos lejos, quería recordarte lo especial que eres para mí.</t>
  </si>
  <si>
    <t>María Alejandra Cotes</t>
  </si>
  <si>
    <t>Emily y Jaime</t>
  </si>
  <si>
    <t>Cr 59 no 74 – 72  Edificio Prado Colonial Apto 2C - Apto 2C</t>
  </si>
  <si>
    <t>Jose Carlier</t>
  </si>
  <si>
    <t>1× Mini Box Claveles M/23 Clavel Amarillo</t>
  </si>
  <si>
    <t>Suegrita feliz dia de la mujer, eres un gran madre, hija, hermana, tia y esposa. Gracias por convertirte en mi segunda madre, por tus consejos, tu cariño y por hacerme parte de tu familia.</t>
  </si>
  <si>
    <t>Te quiero mucho, Jose</t>
  </si>
  <si>
    <t>MARGARITA ARRIETA</t>
  </si>
  <si>
    <t>CALLE 99# 58-99 PORTPOBELLO APTO 1204 - APTO 1204</t>
  </si>
  <si>
    <t>1× Bouquet 24 Rosas Rojas M/8   / 2 ENCANTO FLORA BLACO CON ROSADO</t>
  </si>
  <si>
    <t>DEJO MENSAJES TRANSCRIBIR</t>
  </si>
  <si>
    <t>Jenifer Rios</t>
  </si>
  <si>
    <t>Cra 52 # 106 - 213 - Oceana 52 Apto 1105 Torre 2</t>
  </si>
  <si>
    <t xml:space="preserve">En este Día de la Mujer quiero recordarte lo increíble que eres. Tu fuerza, tu corazón y tu esencia hacen el mundo mucho más bonito a tu alrededor. </t>
  </si>
  <si>
    <t>Con mucho amor, Mike</t>
  </si>
  <si>
    <t>Entregarlas entre 11-12 y enviarme una foto de comprobante de entrega. Mayerlis</t>
  </si>
  <si>
    <t>juan david hernandez</t>
  </si>
  <si>
    <t>silvia rueda</t>
  </si>
  <si>
    <t>cr 30A # 1b- 245 edificio paradise living apt 1104 torre A - al lado clinica porto azul</t>
  </si>
  <si>
    <t xml:space="preserve">AMOR FELIZ DIA DE LA MUJER GRACIAS POR SER ESA MUJER ESPECIAL QUE IRRADIA AMOR A TODOS LOS QUE NOS RODEA 
TE AMO </t>
  </si>
  <si>
    <t>TU NOVIO</t>
  </si>
  <si>
    <t>CALLE 99 # 58-99</t>
  </si>
  <si>
    <t>DEJA MENSAJES TRANSCRIBIR</t>
  </si>
  <si>
    <t>ARGELIA BEDOLLA</t>
  </si>
  <si>
    <t>CALLE 70# 41-45 EDIFICIO TITANIO - APTO 103</t>
  </si>
  <si>
    <t>Abuela querida en este dia de la mujer celebro tu vida, tu sabiduría y el amor tan grande que siempre nos has regalado . eres un ejemplo maravilloso para toda la familia.</t>
  </si>
  <si>
    <t>ONEIDA RODRIGUEZ</t>
  </si>
  <si>
    <t>CALLE 71 # 23-34 - CASA</t>
  </si>
  <si>
    <t>Feliz día de la mujer, mamá, abuela, suegra gracias por tu amor, dedicación por ser nuestra guía eres una mujer maravillosa.</t>
  </si>
  <si>
    <t>Nicolas orozco</t>
  </si>
  <si>
    <t>Linda Fontakvo</t>
  </si>
  <si>
    <t>CARRERA 52 No 82 203, EDIFICIO LUCCA 52 - Apto 2002</t>
  </si>
  <si>
    <t>1× Bouquet 24 Rosas Rojas M/8 | 1× Bouquet 12 Rosas Rojas M/9</t>
  </si>
  <si>
    <t xml:space="preserve">- Bouquet 24 rosas Para Linda Fontalvo
Eres una mujer excepcional que ilumina mi vida con tu fuerza, ternura y sabiduría. Gracias por inspirarme cada día a ser mejor. ¡Feliz Día de la Mujer, amor de mi vida!
- Bouquet 12 rosas Para Alana Orozco
¡Feliz día, Alana! Eres una niña excepcional, llena de sueños y alegría. Nunca dejes de brillar con tu luz propia.
</t>
  </si>
  <si>
    <t>Son do bouquets. Uno para Linda fontalvo de 24 rosas y otro de 12 rosas para Alana Orozco. Mayerlis</t>
  </si>
  <si>
    <t>2 ARREGLOS PEQUEÑOS DE 15MIL PARA LANGOSTINO</t>
  </si>
  <si>
    <t>JULY DIAZ, AHIJADA SARA, ZORY GALLON</t>
  </si>
  <si>
    <t>CRA 25 # 1A- 124  EDIF MINT - APTO 307 TORRE 2</t>
  </si>
  <si>
    <t>2× Bouquet 12 Rosas Rojas M/9 / 1 ENCANTO FLORA</t>
  </si>
  <si>
    <t xml:space="preserve">1 (JULY DIAZ) BOUQUET X12 ROSAS
Hermana feliz dia de la mujer, gracias por tanto amor para mis sobrinos queridos te quiero mucho.
2 AHIJADA (BOQUITA)
Feliz día de la mujer, que siempre crezcas fuerte y feliz, llena de muchos sueños te quiero.
3 ZORY GALLÓN (BOUQUET X 12 ROSAS)
Feliz dia de la mujer Zory, mamá, abuela gracias por tu amor. por ser siempre guia para nosotros te queremos.
</t>
  </si>
  <si>
    <t>preguntar firma</t>
  </si>
  <si>
    <t>olga suarez</t>
  </si>
  <si>
    <t>Cra 58 #94-40 apto 601 - edificio elite 58 - edificio elite 58</t>
  </si>
  <si>
    <t>ver en chat</t>
  </si>
  <si>
    <t>Clavel verde claro con rosado. Mayerlis</t>
  </si>
  <si>
    <t>Iván Darío Ruiz</t>
  </si>
  <si>
    <t>Calle 102 # 43-35 - Conjunto residencial Torino Torre 9 Apto 851</t>
  </si>
  <si>
    <t>Feliz día amor! Eres sin duda una excelente mujer, persona, novia e hija. Gracias por hacerme muy feliz. Te amo con mi vida &lt;3</t>
  </si>
  <si>
    <t>Gordito</t>
  </si>
  <si>
    <t>Andriu Romero</t>
  </si>
  <si>
    <t>feliz dia mi amor. 
te Amo</t>
  </si>
  <si>
    <t>andriu romero</t>
  </si>
  <si>
    <t>Josejorgue Benavides</t>
  </si>
  <si>
    <t>1× Arreglo Personalizado Caja solitario</t>
  </si>
  <si>
    <t>Mireya Velez</t>
  </si>
  <si>
    <t xml:space="preserve">Claudia Chacón </t>
  </si>
  <si>
    <t>Cra 52 # 99a - 168 - Casa 27 Reservas de San Bernardo</t>
  </si>
  <si>
    <t xml:space="preserve">Feliz día de la mujer para una mujer muy especial, te quiero </t>
  </si>
  <si>
    <t>Gaby De Armas</t>
  </si>
  <si>
    <t>Lucas Avila Manotas</t>
  </si>
  <si>
    <t>Ramón Avila</t>
  </si>
  <si>
    <t>Cra. 55#80-56 - 6</t>
  </si>
  <si>
    <t>1× Bouquet 12 Rosas Rojas M/9 | 2× Bouquet 6 Rosas Rojas M/10</t>
  </si>
  <si>
    <t>con amor, Lucas</t>
  </si>
  <si>
    <t>ALVARO VILLAREAL</t>
  </si>
  <si>
    <t>CRA 64#98-90 apto 709 Alameda campestre - APTO 709</t>
  </si>
  <si>
    <t>VER MENSAJE EN EL CHAT</t>
  </si>
  <si>
    <t>VER EN EL CHAT</t>
  </si>
  <si>
    <t>POR FAVOR REALIZAR LA ENTREGA A PRIMERA HORA</t>
  </si>
  <si>
    <t>Tata, feliz Día de la Mujer.
Aunque todavía estoy en la barriga de mi mami, ya quería celebrar contigo y mandarte estas flores. Gracias por todo el amor que ya me das incluso antes de conocerme.
Con todo mi cariño en este primer Día de la Mujer contigo.</t>
  </si>
  <si>
    <t>Papi, mami y yo</t>
  </si>
  <si>
    <t>Quiero 2 solitarios adicionales por favor de rosa los de $15.000 1 fucsia 1 de otro color</t>
  </si>
  <si>
    <t>Cra 57  79-319 - Apto 3B</t>
  </si>
  <si>
    <t xml:space="preserve">Para la Mujer más especial en nuestro corazón </t>
  </si>
  <si>
    <t>Santi ,Mateo y Papi</t>
  </si>
  <si>
    <t>Carlos Rueda</t>
  </si>
  <si>
    <t>Veraine Vera</t>
  </si>
  <si>
    <t>Cra 53 # 132 - 15 Conjunto Tenerife - Casa 5</t>
  </si>
  <si>
    <t>Corazon mediano rosas rojas</t>
  </si>
  <si>
    <t>Feliz día a la mejor mujer del mundo, vivimos orgullosos y agradecidos de ti amor de nuestras vidas! Que Dios siempre te conserve como esa gran mujer que eres a nuestro lado! Te amamos…. Carlos, Nico, Santi❤️</t>
  </si>
  <si>
    <t>Hans wehdeking</t>
  </si>
  <si>
    <t>Liliana y daniella</t>
  </si>
  <si>
    <t>Crav58 # 96-106 - Apro 5 B   eduf  artefacto</t>
  </si>
  <si>
    <t>Para gigi daniella y elsa
 nuestras mujeres mas bellas y hhermosas</t>
  </si>
  <si>
    <t>Hans y hans jr</t>
  </si>
  <si>
    <t>Valentina quiñones</t>
  </si>
  <si>
    <t xml:space="preserve">Vanesa escudero </t>
  </si>
  <si>
    <t>Cra43b#90-152 - Edifico Balconi90 apto 302</t>
  </si>
  <si>
    <t xml:space="preserve">Feliz día de la mujer 
Gracias por ser esa amiga incondicional y mujer valiente, perseverante y fuerte. 
Te amo </t>
  </si>
  <si>
    <t>Jaime Martínez</t>
  </si>
  <si>
    <t xml:space="preserve">Carmen Sánchez </t>
  </si>
  <si>
    <t>Calle 38 #23-84 - Casa esquinera de dos pisos, entrada sobre la 38</t>
  </si>
  <si>
    <t xml:space="preserve">Mi amor te doy estas flores en este día de la mujer para agradecerte por ser la esposa que me acompaña y me brinda su amor todos los días. Te amo mi amor.  </t>
  </si>
  <si>
    <t>Alberto Urueta</t>
  </si>
  <si>
    <t>Cra 57 # 84-155 Edi. Odessa Apto 8B</t>
  </si>
  <si>
    <t>3× Mini Box Clavel Fucsia M/20</t>
  </si>
  <si>
    <t>WHATSAPP ANDREA</t>
  </si>
  <si>
    <t>David Santiago Meza Filomena</t>
  </si>
  <si>
    <t xml:space="preserve">David Meza </t>
  </si>
  <si>
    <t xml:space="preserve">Ni la distancia hará que no pueda mostrarte lo mucho que te amo mi zanahoria </t>
  </si>
  <si>
    <t>Tu cachaco</t>
  </si>
  <si>
    <t>Que la nota diga para mi zanahoria. Mayerlis</t>
  </si>
  <si>
    <t>Maximiliam Garcia Camacho</t>
  </si>
  <si>
    <t>Isabela Cotes</t>
  </si>
  <si>
    <t>Calle 1a # 30 - 61 - Edificio sunset boulevard apto 408</t>
  </si>
  <si>
    <t>Feliz día mi morchita te amo</t>
  </si>
  <si>
    <t>Tu esposito</t>
  </si>
  <si>
    <t>Isabella Villadiego</t>
  </si>
  <si>
    <t xml:space="preserve">Ana Cecilia </t>
  </si>
  <si>
    <t>Carrera 22 #127-00 - Conjunto manglar torre 4 apto 708</t>
  </si>
  <si>
    <t xml:space="preserve">Feliz dia hija , nos llena de orgullo la mujer fuerte , valiente y maravillosa en la que te estas convirtiendo. Te amamos </t>
  </si>
  <si>
    <t>Tus papás</t>
  </si>
  <si>
    <t>Mi vida linda, feliz dia de la mujer. Eres el amor y la mujer de mi vida, no tengo duda de eso. Gracias por enseñarme a amar y cada dia a mejorar, convirtiendome en mejor hombre y mejor persona. Quiero estar siempre en tu vida para apoyarte, acompañarte y amarte, en las buenas y en las no tan buenas.</t>
  </si>
  <si>
    <t>Te amo siempre, Jose G</t>
  </si>
  <si>
    <t>Nathalia fernandez</t>
  </si>
  <si>
    <t>Marcela Lopez</t>
  </si>
  <si>
    <t>Cra 52 # 132 - 87 - Casa 11 marasha elite</t>
  </si>
  <si>
    <t>De: Jair Fernandez Para.: Marcela Lopez  Morena linda de mi corazón : eres una de las mejores representantes del género , gracias doy a Dios por haberme mandado una gran MUJER como TÚ … TE AMO  feliz día de la mujer</t>
  </si>
  <si>
    <t>Jair Fernández</t>
  </si>
  <si>
    <t>QUE SEA IGUAL AL DE LA HISTORIA DE INSTAGRAM. Mayerlis</t>
  </si>
  <si>
    <t>María Tapia</t>
  </si>
  <si>
    <t xml:space="preserve">Viviana Mora </t>
  </si>
  <si>
    <t>Calle 99 # 58 - 99 - Edificio Portobelo Torre 3 Apto 903</t>
  </si>
  <si>
    <t xml:space="preserve">Miurita, Soy la personas más dichosa del mundo con mis cuatro mujeres (mis hijas y tú)… Feliz día de la mujer , Te amo </t>
  </si>
  <si>
    <t>De: Tu esposo</t>
  </si>
  <si>
    <t>Cra 56 # 91-74 Casa</t>
  </si>
  <si>
    <t>1× Flora Box Sembrado 9 Rosas M/20</t>
  </si>
  <si>
    <t xml:space="preserve">Sra. Luz, 
le deseamos un feliz día de la mujer...
</t>
  </si>
  <si>
    <t>Andrea E Iván</t>
  </si>
  <si>
    <t xml:space="preserve">Daril Amaya </t>
  </si>
  <si>
    <t>Calle 1c # 20–79 mm 10-1 Conj Mallorca torre 1 apto 504</t>
  </si>
  <si>
    <t>Hoy, en el Día de la Mujer, quiero recordarte lo especial que eres para mí. No solo admiro la mujer fuerte, valiente y hermosa que eres, sino también la persona que llena mi vida de amor y alegría. Gracias por tu manera de amar, por tu sonrisa que ilumina mis días y por ser esa compañera maravillosa que siempre inspira mi corazón.
Hoy celebro a todas las mujeres, pero sobre todo te celebro a ti, mi amor. 💐❤️</t>
  </si>
  <si>
    <t>Con amor JUANES MARTÍNEZ</t>
  </si>
  <si>
    <t>Javier Eduardo Sanchez Cantillo</t>
  </si>
  <si>
    <t>Gabriela Plata</t>
  </si>
  <si>
    <t>Calle79b#42-322 - apto 101</t>
  </si>
  <si>
    <t>1 x Mini Corazon Rosas Rojas</t>
  </si>
  <si>
    <t>Feliz Día de la Mujer fan.
Gracias por ser tan especial y por lo bonito que es compartir contigo.</t>
  </si>
  <si>
    <t>Att: J</t>
  </si>
  <si>
    <t>Jose Llanos</t>
  </si>
  <si>
    <t>1× Mini Box Orquidea M/22 | 1× Mini Box Clavel Fucsia M/20</t>
  </si>
  <si>
    <t>NATALY RUDAS</t>
  </si>
  <si>
    <t xml:space="preserve">ESTEISY RUDAS </t>
  </si>
  <si>
    <t>CRA 53 #90B-42 TORRE 5 AP 401 - CONJ EL ENCANTO</t>
  </si>
  <si>
    <t>1× Encanto lila  M/15</t>
  </si>
  <si>
    <t>PREGUNTAR A ELIANA EL MENSAJE</t>
  </si>
  <si>
    <t>Giovanni Mastroianni</t>
  </si>
  <si>
    <t>Melissa Medina</t>
  </si>
  <si>
    <t>Cra 55 80 131 - Casa de rejas negras</t>
  </si>
  <si>
    <t>Feliz dia de la mujer peque. Nunca dejes sonreír tan lindo</t>
  </si>
  <si>
    <t>Carlos manuel</t>
  </si>
  <si>
    <t xml:space="preserve">Carlos manuel </t>
  </si>
  <si>
    <t xml:space="preserve">Te amo gracias por ser la mujer que eres , gracias por escogerme todos los días como tu esposo , gracias por aguantar tanto sé que no ha sido fácil construir este camino pero tengo Fé que algún días seremos los esposos que queremos ser el uno para el otro , feliz Día SUPER MUJER , SUPER MAMÁ , SÚPER ESPOSA! Espero que esto cambie y sea el inicio de una nueva etapa tuya y mía , te amo </t>
  </si>
  <si>
    <t>Otra nota que diga , bueno hija mía sé que no sabes leer pero también te doy este presente porque eres una mujercita que me vuelve loco te amo chiquita bonita de papá</t>
  </si>
  <si>
    <t>Edgardo Ramírez</t>
  </si>
  <si>
    <t>Yulianis</t>
  </si>
  <si>
    <t>Carrera 35 # 56-27</t>
  </si>
  <si>
    <t>Feliz Día de la Mujer.  Gracias por estar conmigo, por tu apoyo y por todo lo que aportas a mi vida. Me siento muy afortunado de tenerte a mi lado.</t>
  </si>
  <si>
    <t>Con amor, Edgardo</t>
  </si>
  <si>
    <t>Mateo Cantillo</t>
  </si>
  <si>
    <t xml:space="preserve">Oriana Cabrales </t>
  </si>
  <si>
    <t>Cra 70#86-76 - Casa Oriana</t>
  </si>
  <si>
    <t>Feliz dia de la mujer a esa reina hermosa que eres, mi amor.
Sabes que te admiro un montón, siempre por tu disciplina, por ser esa mujer que no se rinde, que es organizada, que lo que se propone lo cumple y todos los días dias se levanta con la intención de hacer lo mejor y seguir cosechando para conseguir las metas que te propones.
Te amo mucho y espero que siempre mantengas tu esencia y sigas siendo la calidad de mujer que eres.
Siempre estaré aqui si me necesitas chiqui, cuídate mucho, te mando un abrazo gigante con mucho calor❤️</t>
  </si>
  <si>
    <t>Omar Daniel Sánchez Quintero</t>
  </si>
  <si>
    <t xml:space="preserve">Omar Daniel Sánchez Quintero </t>
  </si>
  <si>
    <t>Eres el vivo ejemplo de porque se conmemora este día. Mujer guerrera, luchadora, echada pa adelante. La cual a diario me contagia de fortaleza y valentía para enfrentar lo que venga, estoy orgulloso de quién eres y de lo que has logrado. Te amo</t>
  </si>
  <si>
    <t>Omar Sanchez</t>
  </si>
  <si>
    <t>María Mercedes rueda</t>
  </si>
  <si>
    <t xml:space="preserve">María Teresa rueda </t>
  </si>
  <si>
    <t>Calle 90 #43-24 - Edificio el pinar apto 33</t>
  </si>
  <si>
    <t xml:space="preserve">Mami:
Feliz día de la mujer, a la más trabajadora, luchadora y entregada a su familia, Gracias por tu ejemplo y amor incondicional, Te Amo! </t>
  </si>
  <si>
    <t>Con amor, María Meche</t>
  </si>
  <si>
    <t>Santiago coronado Martínez</t>
  </si>
  <si>
    <t xml:space="preserve">Andrea Espitia </t>
  </si>
  <si>
    <t>Calle 78 # 42-111 - Apto 503 edificio britany</t>
  </si>
  <si>
    <t>1× Mini Box Clavel Fucsia M/20</t>
  </si>
  <si>
    <t xml:space="preserve">Feliz dia. Te amo, que tengas un hermoso día! Gracias por tanto. </t>
  </si>
  <si>
    <t>Que no vaya con factura. Que las flores estén muy bonitas como siempre. Gracias</t>
  </si>
  <si>
    <t>Fredy Lugo</t>
  </si>
  <si>
    <t>Lila perez</t>
  </si>
  <si>
    <t>Calle84-42b-45 - Casa blanca con rejas blancas</t>
  </si>
  <si>
    <t>Feliz día a la mejor mujer que escogí para mi vida, Te Amo.</t>
  </si>
  <si>
    <t>Fredy JR</t>
  </si>
  <si>
    <t>María arteta</t>
  </si>
  <si>
    <t xml:space="preserve">Maria arteta </t>
  </si>
  <si>
    <t>Carrera 33#103-45 - Conjunto villa de las colinas</t>
  </si>
  <si>
    <t xml:space="preserve">Feliz día amor, te amo mucho </t>
  </si>
  <si>
    <t>Wilson leon</t>
  </si>
  <si>
    <t>Orismay</t>
  </si>
  <si>
    <t>Hotel radisson - Calle 84 # 51-28,</t>
  </si>
  <si>
    <t>1× Canasto Aire M/1- mini box claveles fucsia</t>
  </si>
  <si>
    <t xml:space="preserve">Hoy celebro la gran mujer que eres y doy gracias a Dios por caminar a tu lado.
¡Feliz Día de la Mujer, mi amor!
Te amo negra </t>
  </si>
  <si>
    <t>Con amor :Jonathan</t>
  </si>
  <si>
    <t>mensaje para la mini box claveles  te amo hija feliz dia</t>
  </si>
  <si>
    <t>Alisson prentt viloria</t>
  </si>
  <si>
    <t>Liliana Viloria</t>
  </si>
  <si>
    <t>Cl 69E#41-98 - Torre 2 apto 504</t>
  </si>
  <si>
    <t>1× Bouquet Aire M/7 | 1× Ferrero Rocher 8 und</t>
  </si>
  <si>
    <t xml:space="preserve">Feliz día a la mujer más valiente que conozco🌹 </t>
  </si>
  <si>
    <t>Con amor: Mani y Ali🤎</t>
  </si>
  <si>
    <t>Juan Díaz</t>
  </si>
  <si>
    <t xml:space="preserve">Luisa sanmiguel </t>
  </si>
  <si>
    <t>Cra 42 # 78-74 - Edificio lukas apto 302</t>
  </si>
  <si>
    <t>Un pequeño detalle para una mujer muy especial, feliz día !
Te adoro ❤️🦁</t>
  </si>
  <si>
    <t>Yeison David de la torre</t>
  </si>
  <si>
    <t>Leslye villalba</t>
  </si>
  <si>
    <t>ENTREGA EN TIENDA</t>
  </si>
  <si>
    <t>1× Flora Box Mediana Pastel M/19 | 1× Mini Box Orquidea M/22</t>
  </si>
  <si>
    <t xml:space="preserve">Feliz Día de la Mujer, amor.
Admiro mucho la mujer que eres y la mamá increíble que cada día se esfuerza por ser el mejor ejemplo para nuestra hija. Gracias por tu amor, tu fuerza y todo lo que haces por nuestra familia.
Te amo y me siento orgulloso de ti. 💜
Esté para mi hija 
Feliz Día de la Mujer, mi princesa.
Eres la mujer que más amo en el mundo y siempre voy a cuidarte. Y como tú dices, tengo que durar 200 años para estar contigo en cada momento de tu vida.
Te amo muchísimo. 💜
</t>
  </si>
  <si>
    <t>Yeison De La Torre</t>
  </si>
  <si>
    <t>Son dos detalles. El más pequeño para mi hija con su respectivo mensaje</t>
  </si>
  <si>
    <t>William Moreno calderon</t>
  </si>
  <si>
    <t xml:space="preserve">Rosa María Umaña </t>
  </si>
  <si>
    <t>Cr 78#78-78 - Torre A - 409 conjunto brisas del parque</t>
  </si>
  <si>
    <t>Dicen que las rosas son las flores más lindas… pero después de conocerte ya no estoy tan seguro. Feliz Día de la Mujer, María 🌹”</t>
  </si>
  <si>
    <t>Mai</t>
  </si>
  <si>
    <t>Alberto Villarreal Bernal</t>
  </si>
  <si>
    <t xml:space="preserve">Luisa Fernanda Mejía </t>
  </si>
  <si>
    <t>Carrera 54 #55-127 - Edificio 11 de noviembre apto706</t>
  </si>
  <si>
    <t>FELIZ DÍA MI AMOR 🧡AGRADECIDO CON LA VIDA DE TENER AL LADO UNA MUJER TAN MARAVILLOSA COMO TÚ 😍TE AMO MUCHO MI AMOR 🧡</t>
  </si>
  <si>
    <t>Alberto Villarreal</t>
  </si>
  <si>
    <t>No poder abrazarte por la distancia pero quiero hacerte entender con este detalle que me muero por verte y estar a tu lado</t>
  </si>
  <si>
    <t>Juan pablo Muñoz gomez</t>
  </si>
  <si>
    <t>Carrera52#132-87 - Casa 28</t>
  </si>
  <si>
    <t xml:space="preserve">Para una mujer maravillosa Que estas flores le recuerden lo especial querida y admirada que es
Gracias por crear a mi vida entera </t>
  </si>
  <si>
    <t>Con amor tu futuro yerno</t>
  </si>
  <si>
    <t>SAMIR LISSA</t>
  </si>
  <si>
    <t>NATALY VALENCIA,DANIELA LISSA,GABRIELA LISSA</t>
  </si>
  <si>
    <t>CRA 52 # 99B- 24 APTO 1601 EDIF BALI - APTO 1601</t>
  </si>
  <si>
    <t>MENSAJE EN EL CHAT</t>
  </si>
  <si>
    <t>EN EL CHAT</t>
  </si>
  <si>
    <t>Hernando Carrazco</t>
  </si>
  <si>
    <t>Daisy Quevedo</t>
  </si>
  <si>
    <t>Calle 117 # 42 -189 conjunto canario - Torre 24 apto 201</t>
  </si>
  <si>
    <t xml:space="preserve">Mi reina hermosa
FELIZ DÍA </t>
  </si>
  <si>
    <t>HH</t>
  </si>
  <si>
    <t>Rafael Campis</t>
  </si>
  <si>
    <t>1× Mini Box Clavel Fucsia M/20 | 1× Encanto lila  M/15</t>
  </si>
  <si>
    <t xml:space="preserve">Feliz día de la mujer, estoy orgulloso de la mujer en la que te estás convirtiendo </t>
  </si>
  <si>
    <t>Papi y vitto</t>
  </si>
  <si>
    <t>1× Arreglo Personalizado bouquet 3 rosas rojas</t>
  </si>
  <si>
    <t>Jimi Caleth Povea Navarro</t>
  </si>
  <si>
    <t>Sheily Riaño Guerra</t>
  </si>
  <si>
    <t>Calle 75B #41-87 - Torre 1 Apto 1201 edificio "Las torres de San Juan" cerca al centro comercial Único. barrio betania</t>
  </si>
  <si>
    <t>1× Bouquet 6 Rosas Rojas M/10 | 1× Ferrero Rocher 8 und</t>
  </si>
  <si>
    <t>Feliz días mi amor, te amo.
Gracias por ser esta mujer tan especial eres y ser parte de mi vida.</t>
  </si>
  <si>
    <t>Jesus Camaño</t>
  </si>
  <si>
    <t>Maria Gomez</t>
  </si>
  <si>
    <t>Carrera 74 #79-119</t>
  </si>
  <si>
    <t>1×Flora Mini Plus Box Redonda M/28 | 1× Cerámica Sweet Pea M/16</t>
  </si>
  <si>
    <t>Gabriel Dykhoff serrano</t>
  </si>
  <si>
    <t xml:space="preserve">Gabriel Dykhoff </t>
  </si>
  <si>
    <t>Calle 69E#32-125 - Apto 1</t>
  </si>
  <si>
    <t xml:space="preserve">Para la mejor mujer del mundo quien llegó a entregarme un mundo lleno de felicidad te amo se vienen los mejores tiempos </t>
  </si>
  <si>
    <t>Las paulas ,Chris y el amor de tu vida</t>
  </si>
  <si>
    <t>Sofía Hoyos</t>
  </si>
  <si>
    <t>Mariangel</t>
  </si>
  <si>
    <t>Cra 41D #74-95 - Conjunto Residencial Oporto. Torre 2. Apto 413</t>
  </si>
  <si>
    <t>1× Flora Box Romantic Flores 12 Rosas M/18 | 1× Oso de Peluche</t>
  </si>
  <si>
    <t>Unas flores para sacarte una sonrisa hoy, espero que pases un día tan lindo como tú. 
Feliz Día de la Mujer.</t>
  </si>
  <si>
    <t>Luis Monsalvo</t>
  </si>
  <si>
    <t>Jaiver fonseca</t>
  </si>
  <si>
    <t xml:space="preserve">Jaiver Fonseca </t>
  </si>
  <si>
    <t>Calle 96 no 71-37 - Torre 6 apto 203</t>
  </si>
  <si>
    <t>Feliz Día de la Mujer, mi amor.
Eres la mujer que llena mi vida de felicidad, la mamá increíble de nuestro hijo y la que hoy lleva en su vientre a nuestro segundo milagro. Cada día te admiro más por tu amor, tu fuerza y el corazón tan hermoso que tienes. Gracias por hacer de nuestra familia el lugar más bonito del mundo. Te amo. 💛</t>
  </si>
  <si>
    <t>Esposo e hijos</t>
  </si>
  <si>
    <t>JUAN DAVID ABISAMBRA</t>
  </si>
  <si>
    <t>Cra 56 #79 -342. Edificio San Angelo. Apto 1601</t>
  </si>
  <si>
    <t>CAJA MEDIANA CUADRADA CON ARREGLO DE LA MINIBOX ORQUIDEA</t>
  </si>
  <si>
    <t>Elizabeth Martinez de Iguaran</t>
  </si>
  <si>
    <t xml:space="preserve">Elizabeth Martinez de Iguaran </t>
  </si>
  <si>
    <t>Centro comercial Viva, restaurante Olivia - Centro comercial Viva, restaurante Olivia</t>
  </si>
  <si>
    <t>Mujer virtuosa, ¿quién la hallará? Porque su valor sobrepasa largamente al de las piedras preciosas.
Proverbios 31:10
Feliz día de la mujer 🤍
La mujer sabia edifica su casa.
Proverbios 14:1
Te amó 🤍</t>
  </si>
  <si>
    <t>Anuar iguaran</t>
  </si>
  <si>
    <t>Mauricio Sandoval</t>
  </si>
  <si>
    <t>1 x Ceramica Sweet Pea</t>
  </si>
  <si>
    <t>OJO DEBEN COBRAR</t>
  </si>
  <si>
    <t>Salin Rizcala</t>
  </si>
  <si>
    <t>1× Arreglo Personalizado un solitario rosa - bouquet 6 rosas</t>
  </si>
  <si>
    <t>Leiner salas</t>
  </si>
  <si>
    <t>María Angelica</t>
  </si>
  <si>
    <t>Carrera 51B # 86-48 - Recepción clínica de fractura</t>
  </si>
  <si>
    <t>“Haces lo que quieres conmigo y yo solo hago lo que sea por ti.”
Feliz día preciosa.❤️</t>
  </si>
  <si>
    <t>Lord Leiner.</t>
  </si>
  <si>
    <t>Preguntar en portería por la jefe María Angélica</t>
  </si>
  <si>
    <t>Giovanni Villarreal</t>
  </si>
  <si>
    <t>Jennifer Guzman</t>
  </si>
  <si>
    <t>Carrera 25 # 1A - 124 - Mint apartamentos, 1911 torre 3</t>
  </si>
  <si>
    <t>Una flor para otra flor, una sonrisa para la ocasión, que este día esté lleno de bendiciones para la gran mujer que sos vos. Te amo, te mando muchos besos.</t>
  </si>
  <si>
    <t>Juan dario valencia Benavides</t>
  </si>
  <si>
    <t xml:space="preserve">Maria José cervantes Molinares </t>
  </si>
  <si>
    <t>Calle 93 #49c-42 - Calle 93 #49c-42- Ballena Azul Gourment</t>
  </si>
  <si>
    <t xml:space="preserve">
AUNQUE NO ESTES AQUI CERCA, SIEMPRE ESTAS EN MIS PENSAMIENTOS Y EN MI CORAZÓN. TE AMO FELIZ DIA MI REYNA </t>
  </si>
  <si>
    <t>Con amor, tu Esposo</t>
  </si>
  <si>
    <t>Carlos Paternina</t>
  </si>
  <si>
    <t>Katty y Valery Sofia</t>
  </si>
  <si>
    <t>Calle35 b # 20-51 - Apto 4 primer piso</t>
  </si>
  <si>
    <t>Sofi y Katty, son fuerza silenciosa, ternura que sostiene y sabiduría que guía.
Las admiro profundamente y me siento orgulloso de caminar la vida rodeado de mujeres valiosas. 💐</t>
  </si>
  <si>
    <t xml:space="preserve">Ana Condia </t>
  </si>
  <si>
    <t>cr 79 # 83-38 - apt 202 casa</t>
  </si>
  <si>
    <t>Fabián Padilla</t>
  </si>
  <si>
    <t>Isabella Huertas</t>
  </si>
  <si>
    <t>Calle 91#70-64 - Casa dos pisos (2) rejas negras</t>
  </si>
  <si>
    <t>Feliz día de la mujer 🩶</t>
  </si>
  <si>
    <t>Fabián</t>
  </si>
  <si>
    <t>Color de rosas: blancas, entrega  3:30 p.m si es posible</t>
  </si>
  <si>
    <t>Jesús Martínez</t>
  </si>
  <si>
    <t>Rosmeri palomino</t>
  </si>
  <si>
    <t>1× Bouquet 6 Rosas fucsias M/10 - 4 solitarios rosas</t>
  </si>
  <si>
    <t>Eduardo Pachano</t>
  </si>
  <si>
    <t>EduardoPachano</t>
  </si>
  <si>
    <t>Calle 96 #71-165 - Torre 3A 1004</t>
  </si>
  <si>
    <t>La mejor mujer y mamá del mundo ♥️</t>
  </si>
  <si>
    <t>David Ricardo</t>
  </si>
  <si>
    <t xml:space="preserve">feliz dia de la mujer </t>
  </si>
  <si>
    <t>2× Mini Box Clavel Fucsia M/20</t>
  </si>
  <si>
    <t>Daniel Maestre</t>
  </si>
  <si>
    <t xml:space="preserve">Ana serrano </t>
  </si>
  <si>
    <t>Calle 104 #49e-70 - Casa 1</t>
  </si>
  <si>
    <t>Ni un regalo, ni un mensaje va a describir la gran mujer que eres. Te mereces todo lo bueno. Feliz día 💙</t>
  </si>
  <si>
    <t>Eveli Barrio</t>
  </si>
  <si>
    <t>Andres De la Hoz Hoz</t>
  </si>
  <si>
    <t>Isabelita y Pao</t>
  </si>
  <si>
    <t>Calle 72 # 24 C - 16 - Casa 1, Conjunto Aryliz tocar timbre</t>
  </si>
  <si>
    <t>Tarjeta 1: Feliz día Isabelita, mujer virtuosa. Que Dios te bendiga, eres y siempre serás un gran mujer. 
Tarjeta 2: Feliz día Pao, que Dios te bendiga, mujer dedicada e inteligente. Que tu vida esté llena de paz y amor.</t>
  </si>
  <si>
    <t>Tarjeta 1: Con amor, tu esposo e hijo.</t>
  </si>
  <si>
    <t>Emelis Orozco</t>
  </si>
  <si>
    <t xml:space="preserve">Isabel Cristina </t>
  </si>
  <si>
    <t>Cra. 59b # 58 - 57 - Casa</t>
  </si>
  <si>
    <t>¡Feliz Día de la Mujer! 🌹
Un pequeño detalle para la psicóloga más linda, colega y una mujer encantadora.
Me gustó mucho conocerte y compartir contigo una noche tan agradable.
Espero que este gesto te saque una sonrisa y que tengas un día tan bonito como tú.</t>
  </si>
  <si>
    <t>CARLOS SANCHEZ</t>
  </si>
  <si>
    <t xml:space="preserve">NATALIA VILLALBA </t>
  </si>
  <si>
    <t>Calle 62 # 44-43 edificio Daniel Eduardo apt 403 - Edificio</t>
  </si>
  <si>
    <t>No solo hoy, sino siempre, mereces reconocimiento, respeto y todo el amor del mundo. Gracias por ser mi apoyo y alegría te amo mi amor!</t>
  </si>
  <si>
    <t>Carlos Sanchez</t>
  </si>
  <si>
    <t>Pedro Marquez</t>
  </si>
  <si>
    <t>Daniela Orozco</t>
  </si>
  <si>
    <t>Cr 48 no 100-78 - Edifio Lanzerotti Apto 201</t>
  </si>
  <si>
    <t>Canasto Mediano Sweet M/4</t>
  </si>
  <si>
    <t>Para mís dos mundos</t>
  </si>
  <si>
    <t>Papá y Benja</t>
  </si>
  <si>
    <t>alvaro cotes</t>
  </si>
  <si>
    <t xml:space="preserve">alvaro cotes </t>
  </si>
  <si>
    <t>Andres Vargas</t>
  </si>
  <si>
    <t>Lilo Araos</t>
  </si>
  <si>
    <t>Cra.56#91-107</t>
  </si>
  <si>
    <t xml:space="preserve">Mami, Vale y Emi, Feliz dia a las mejores mujeres de este mundo! Las amo! </t>
  </si>
  <si>
    <t>Andres Felipe Vargas</t>
  </si>
  <si>
    <t>Franklin Pineres</t>
  </si>
  <si>
    <t xml:space="preserve">Emily Acuña </t>
  </si>
  <si>
    <t>Cr 26c7 # 75b - 50 - Casa blanca 1er Piso</t>
  </si>
  <si>
    <t xml:space="preserve">Mi amor, estas rosas son solo un reflejo de tu belleza y la orquídea define el porte clásico y la elegancia que todos los días me enamora de ti. Feliz día de la mujer vida mía! </t>
  </si>
  <si>
    <t>Con amor Franklin Pineres.</t>
  </si>
  <si>
    <t>Las flores son para Emily Acuña pero la entrega se tiene que hacer para Paola Polo (la mamá) Teléfono: 318 6864751. Mayerlis</t>
  </si>
  <si>
    <t>Esteban Correa</t>
  </si>
  <si>
    <t>Liliana Payares</t>
  </si>
  <si>
    <t>Carrera 59#96-78 - Edif ferrara apto10A</t>
  </si>
  <si>
    <t>Cerámica Sweet Pea M/16</t>
  </si>
  <si>
    <t>Feliz dia de la mujer, mami❤️ gracias por  todo el amor que me das y por enseñarme a tratar a las mujeres</t>
  </si>
  <si>
    <t>Jonathan orozco valencia</t>
  </si>
  <si>
    <t xml:space="preserve">Diana valencia </t>
  </si>
  <si>
    <t>Cra 75#78-54 - Torre 7 apto 101</t>
  </si>
  <si>
    <t xml:space="preserve">Feliz día a la mujer más fuerte </t>
  </si>
  <si>
    <t>Jesus Alberto Cardoso</t>
  </si>
  <si>
    <t>box mini plus surtido- con 5 rosas</t>
  </si>
  <si>
    <t>Ble</t>
  </si>
  <si>
    <t>Carrera 47 #102-170 - Apto 201 - torre 2</t>
  </si>
  <si>
    <t xml:space="preserve">Feliz día de la mujer </t>
  </si>
  <si>
    <t>JCDLRC</t>
  </si>
  <si>
    <t xml:space="preserve">Alix Gómez </t>
  </si>
  <si>
    <t xml:space="preserve">Feliz día a la mujer más bella y amorosa </t>
  </si>
  <si>
    <t>Juan Diego Molina Peñate</t>
  </si>
  <si>
    <t>Cra. 30 #2C - 196 Edif River Place Torre 1 APTO 304</t>
  </si>
  <si>
    <t>Mona esto no es ni el 1% de lo que te mereces, gracias por estar para mi, gracias por luchar por mi, Dios te bendiga mujer bella. Te amo con todo mi ser.
Proverbios 31:10-12
10 Mujer virtuosa, ¿quién la hallará?
Porque su estima sobrepasa largamente a la de las piedras preciosas.
11 El corazón de su marido está en ella confiado,
Y no carecerá de ganancias.
12 Le da ella bien y no mal
Todos los días de su vida.</t>
  </si>
  <si>
    <t xml:space="preserve">Camila Benítez </t>
  </si>
  <si>
    <t>Calle 53d #19-30 - Casa</t>
  </si>
  <si>
    <t>Feliz día de la Mujer. Estas flores son solo un pequeño detalle para recordarte lo especial y bonita que eres</t>
  </si>
  <si>
    <t>Alguien que te quiere</t>
  </si>
  <si>
    <t xml:space="preserve"> salwa maloof</t>
  </si>
  <si>
    <t>cra.57#81-100 - casa</t>
  </si>
  <si>
    <t xml:space="preserve">Shadia, Salwa y Samia, 
Feliz dia de la mujer!
</t>
  </si>
  <si>
    <t>andres vargas</t>
  </si>
  <si>
    <t>Leonardo Daniel Meza Cantillo</t>
  </si>
  <si>
    <t>Shaila Arrieta</t>
  </si>
  <si>
    <t>Cra 50 #74-126 - Edificio gaviotas</t>
  </si>
  <si>
    <t>Feliz Día de la Mujer, mi amor ❤️
Hoy quiero recordarte lo increíble que eres. Admiro tu forma de ver la vida, tu fuerza, tu sensibilidad y todo lo que te hace ser tú. Tenerte a mi lado es una de las cosas más bonitas que me ha regalado la vida.
Gracias por tu amor, por tu apoyo, por las risas, por tu compañía y por cada momento que compartimos. Estar contigo hace que todo sea más especial.
Hoy celebro a la mujer maravillosa que eres y la suerte tan grande que tengo de caminar la vida contigo. 💐</t>
  </si>
  <si>
    <t>El pivijayero</t>
  </si>
  <si>
    <t>Santiago Ramón Blanco Estrada</t>
  </si>
  <si>
    <t xml:space="preserve">Marcela Pérez </t>
  </si>
  <si>
    <t>Buenos Aires</t>
  </si>
  <si>
    <t>Cra7A#45D-54 - Casa</t>
  </si>
  <si>
    <t>Feliz día mi viejita hermosa🤎</t>
  </si>
  <si>
    <t>Con amor de tu viejito</t>
  </si>
  <si>
    <t>Ricardo A Vives Torres</t>
  </si>
  <si>
    <t>1× Arreglo Personalizado 4 solitarios rosas</t>
  </si>
  <si>
    <t>sebastian escalante</t>
  </si>
  <si>
    <t>Carrera 18 #51-23 Casa</t>
  </si>
  <si>
    <t>Feliz día mi reina👑</t>
  </si>
  <si>
    <t>Muy romántico porfa</t>
  </si>
  <si>
    <t>Madeleine Vecino</t>
  </si>
  <si>
    <t xml:space="preserve">Madelein Chacón </t>
  </si>
  <si>
    <t>Carrera 52 # 106-140 - Casa 94 Conjunto castellana real</t>
  </si>
  <si>
    <t xml:space="preserve">Hija Feliz día de la Mujer que Dios te bendiga siempre y guarde , gracias hija por sermi amiga te Amo </t>
  </si>
  <si>
    <t>Mamá Madeleine</t>
  </si>
  <si>
    <t>vladimir pinzon cardenas</t>
  </si>
  <si>
    <t xml:space="preserve">jhonatan perez cardenas </t>
  </si>
  <si>
    <t>A la mejor mujer del mundo, tus hijos te aman</t>
  </si>
  <si>
    <t>Vladimir, Jhonatan y Paula</t>
  </si>
  <si>
    <t>BOUQUET SOLITARIO GIRASOL. Mayerlis</t>
  </si>
  <si>
    <t>Yesid olivero</t>
  </si>
  <si>
    <t>1× Arreglo Personalizado- bouquet 4 rosas - 1 solitario rosa</t>
  </si>
  <si>
    <t>Ronald Bayena</t>
  </si>
  <si>
    <t>Sophia Ludovica</t>
  </si>
  <si>
    <t>Calle 82a#42-09</t>
  </si>
  <si>
    <t>1× Bouquet 12 Rosas Rojas M/9 | 1× Vino Blanco Terra Vega</t>
  </si>
  <si>
    <t xml:space="preserve">Feliz día de la mujer, mi persona especial. ❤️ Dios con nosotros </t>
  </si>
  <si>
    <t>Con amor : RONALD B.</t>
  </si>
  <si>
    <t>Andrés Serret</t>
  </si>
  <si>
    <t xml:space="preserve">Feliz día amor mío </t>
  </si>
  <si>
    <t>Geraldine Herrera</t>
  </si>
  <si>
    <t>ISABEL PEÑA PUCHE</t>
  </si>
  <si>
    <t xml:space="preserve">Feliz cumpleaños 
Dios y la virgen bendigan tu vida! </t>
  </si>
  <si>
    <t>Familia De Caro Herrera</t>
  </si>
  <si>
    <t>Necesito recogerlas lo más pronto posible.</t>
  </si>
  <si>
    <t>Juan Esteban Camacho Reyes</t>
  </si>
  <si>
    <t>Marcela Ariza</t>
  </si>
  <si>
    <t>Calle 88#42e43 - Casa 2 pisos</t>
  </si>
  <si>
    <t>1× Corazón Mini Surtido M/12 | 1× Ferrero Rocher 8 und</t>
  </si>
  <si>
    <t>Feliz Día de la Mujer.
Que nunca olvides lo especial que eres.
Estas flores son solo un pequeño gesto para alguien que merece cosas bonitas.</t>
  </si>
  <si>
    <t>Josué cantillo</t>
  </si>
  <si>
    <t>Carlos Bayuelo</t>
  </si>
  <si>
    <t>310 6376698</t>
  </si>
  <si>
    <t>1× Mini Box Orquidea M/22 | 1× Flora Mini Plus Box Redonda M/28 | 1× Corazón Mini Surtido M/12</t>
  </si>
  <si>
    <t>Ana María Martínez</t>
  </si>
  <si>
    <t>Ana Marcela Martinez</t>
  </si>
  <si>
    <t>Cra 64d #85-179 - Edificio macarol apto 501</t>
  </si>
  <si>
    <t>Que siempre seas esa mujer inteligente, fuerte e increíble. Gracias por ser nuestra compañera de vida. Feliz día de la mujer, hermana. Te amamos</t>
  </si>
  <si>
    <t>Gordo y Nana</t>
  </si>
  <si>
    <t>Gustavo Cantero</t>
  </si>
  <si>
    <t>Angie Rincon</t>
  </si>
  <si>
    <t>calle 77 #57-85 - villa fontana , casa 13</t>
  </si>
  <si>
    <t xml:space="preserve">Feliz día princesa </t>
  </si>
  <si>
    <t>GC</t>
  </si>
  <si>
    <t>Gerardo Ortega</t>
  </si>
  <si>
    <t>Micaela Adelaida</t>
  </si>
  <si>
    <t>Cra58#96-158 - Apto 1201</t>
  </si>
  <si>
    <t xml:space="preserve">Micaela Adelaida, tu fortaleza, tu amor por tus hijos y tu manera de luchar cada día son razones profundas para admirarte. Me alegra que la vida nos haya encontrado, Te amo ❤️ 
</t>
  </si>
  <si>
    <t>Con amor, Gerardo Ortega Otero</t>
  </si>
  <si>
    <t>Yamal Saghair</t>
  </si>
  <si>
    <t>Keyla</t>
  </si>
  <si>
    <t>Calle 97 #42f-43 Mirador del mar 2 - Torre 1 apto 204</t>
  </si>
  <si>
    <t xml:space="preserve">Yo sé que es un “Ya pa que” 
pero acá te regalo estas flores.
Feliz día de la mujer.
</t>
  </si>
  <si>
    <t>Con amor, besos.</t>
  </si>
  <si>
    <t>María andrea Rodríguez</t>
  </si>
  <si>
    <t>Adri</t>
  </si>
  <si>
    <t>calle 99 #58-99 edificio portobelo ap. 602 torre 1</t>
  </si>
  <si>
    <t>Feliz día mamá ❤️</t>
  </si>
  <si>
    <t>De tomás</t>
  </si>
  <si>
    <t>Nico Sanchez</t>
  </si>
  <si>
    <t xml:space="preserve">Emna Sánchez </t>
  </si>
  <si>
    <t>Cra 52#106-140 - Castellana real</t>
  </si>
  <si>
    <t>Espero que hoy y siempre sientas todo el amor que mereces. Te deseo un día lleno de alegría, de abrazos y de momentos bonitos, porque una mamá como tú merece lo mejor del mundo.</t>
  </si>
  <si>
    <t>De Nico</t>
  </si>
  <si>
    <t>Adrián Raya Carmona</t>
  </si>
  <si>
    <t>Anna Stand</t>
  </si>
  <si>
    <t>Calle 68 # 32 - 56 - Apto 2</t>
  </si>
  <si>
    <t>1× Guacal Hortensias M/13 | 1× Mini Box Orquidea M/22</t>
  </si>
  <si>
    <t>Chat</t>
  </si>
  <si>
    <t>Les envié los mensajes personalizados de cada producto por WhatsApp</t>
  </si>
  <si>
    <t>Samia Maloof</t>
  </si>
  <si>
    <t>Samia</t>
  </si>
  <si>
    <t>Cra 57 # 81 100 - Casa</t>
  </si>
  <si>
    <t>1× Mini Box Orquidea M/22 | 1× Bouquet 6 Rosas lilas</t>
  </si>
  <si>
    <t>Dos tarjetas en blanco para escribir a mano</t>
  </si>
  <si>
    <t>Cra 59b #91-74 - edificio Trivento apto 1201</t>
  </si>
  <si>
    <t xml:space="preserve">Feliz día isa, te quiero mucho </t>
  </si>
  <si>
    <t>Manuel Vega</t>
  </si>
  <si>
    <t>1× Arreglo Personalizado- pilón de girasol</t>
  </si>
  <si>
    <t>Feliz día de la mujer para ti que eres una digna representante del genero</t>
  </si>
  <si>
    <t>Mauricio Andrés Figueroa Ricardo</t>
  </si>
  <si>
    <t xml:space="preserve">Mauricio Figueroa </t>
  </si>
  <si>
    <t>Calle 70B#41-87 - Clínica Santa ana</t>
  </si>
  <si>
    <t xml:space="preserve">No hay nada más feliz que verte sonreír, feliz día de la mujer mi Amm </t>
  </si>
  <si>
    <t>Con amor Mau</t>
  </si>
  <si>
    <t>David Gomez</t>
  </si>
  <si>
    <t xml:space="preserve">Santillana </t>
  </si>
  <si>
    <t>Calle 99 #56-48 edificio Santillana - Torre 2 apto 1606</t>
  </si>
  <si>
    <t>Mamá, feliz Día de la Mujer. Gracias por ser mi ejemplo de fuerza, amor y dedicación. Te quiero mucho y me siento muy orgulloso de ti. 💖</t>
  </si>
  <si>
    <t>Con amor , David y Rubier</t>
  </si>
  <si>
    <t>Mileidy segura</t>
  </si>
  <si>
    <t>Cra 50#61-172</t>
  </si>
  <si>
    <t>1× Flora Mini Plus Box Redonda M/28</t>
  </si>
  <si>
    <t>Proverbios 31:10
Mujer virtuosa, ¿quién la hallará?
Porque su estima sobrepasa largamente a la de las piedras preciosas.
Feliz día mami, la amo mucho 🌹</t>
  </si>
  <si>
    <t>Kenchito</t>
  </si>
  <si>
    <t xml:space="preserve">Sofía vueltas </t>
  </si>
  <si>
    <t>Calle 1A #30-61 - Apto 511 torre 2</t>
  </si>
  <si>
    <t xml:space="preserve">Te amo mucho amor disfruta tu día señorita </t>
  </si>
  <si>
    <t>1× Arreglo Personalizado tres solitario rosa blanco</t>
  </si>
  <si>
    <t>Juan Esteban Certain</t>
  </si>
  <si>
    <t xml:space="preserve">Viviana García </t>
  </si>
  <si>
    <t>Carrera 55#82-227 - Apt 1903 om club house</t>
  </si>
  <si>
    <t>Feliz día de la mujer amor de mi vida te amo</t>
  </si>
  <si>
    <t>Juan Esteban certain</t>
  </si>
  <si>
    <t>Javier Chacon</t>
  </si>
  <si>
    <t>Carrera 52 #106-140 - Casa 94</t>
  </si>
  <si>
    <t>1× Corazón Mini Surtido M/12 | 1× Oso de Peluche</t>
  </si>
  <si>
    <t>Felicidades En El Día de La Mujer. FELIZ DIA MA</t>
  </si>
  <si>
    <t>Nicolás Fuentes</t>
  </si>
  <si>
    <t xml:space="preserve">Raquel Padilla Quintana </t>
  </si>
  <si>
    <t>Cra. 58 #98-71</t>
  </si>
  <si>
    <t xml:space="preserve">Feliz día de la Mujer a las niñas de mi vida Rebecca y Helena, las más hermosas y que más AMO en el mundo.
</t>
  </si>
  <si>
    <t>Atte: Papá</t>
  </si>
  <si>
    <t>Franklin Bravo</t>
  </si>
  <si>
    <t>INGETEC AMBIENTAL</t>
  </si>
  <si>
    <t>Carrera 53 #74 - 63 Of 401 - Edificio Helvetia</t>
  </si>
  <si>
    <t>Feliz Día de la Mujer!</t>
  </si>
  <si>
    <t>10 Rosas individuales, de color Lila sin firma en la carta si quedan disponibles Rosas Rosa o Roja, agradecería de esas por favor  que llegen antes de 8:30. Mayerlis</t>
  </si>
  <si>
    <t>Jafet Camacho</t>
  </si>
  <si>
    <t xml:space="preserve">Katleen </t>
  </si>
  <si>
    <t>Carrera 44 #79-64 - Apto 401</t>
  </si>
  <si>
    <t>Feliz día K</t>
  </si>
  <si>
    <t>Jafet</t>
  </si>
  <si>
    <t>Joiker Alejandro</t>
  </si>
  <si>
    <t>1× Mini Box Orquidea M/22 | 1× Ferrero Rocher 8 und</t>
  </si>
  <si>
    <t>DISTRIBUCIONES ARPOL SAS</t>
  </si>
  <si>
    <t>1× Arreglo Personalizado - 8 girasoles</t>
  </si>
  <si>
    <t>Gabriela ching</t>
  </si>
  <si>
    <t xml:space="preserve">Gabriela ching </t>
  </si>
  <si>
    <t>1× Arreglo Personalizado- 2 solitario rosas</t>
  </si>
  <si>
    <t>pago en efectivo 200.000 y 49000 a transfer mimica</t>
  </si>
  <si>
    <t>Laura Campo</t>
  </si>
  <si>
    <t>Keyla Berardinelli</t>
  </si>
  <si>
    <t>Cr 30 #3A-52 - Torre 3 Apto 602</t>
  </si>
  <si>
    <t>Para la mejor mujer del mundo, te amo mucho mi flaca hermosa!</t>
  </si>
  <si>
    <t>Raul Rumbo</t>
  </si>
  <si>
    <t>DANIELA JARABA</t>
  </si>
  <si>
    <t>Calle 110 No 49e-86 condominio isabella - APTO: 301 TORRE: 1</t>
  </si>
  <si>
    <t>1  BOUQUET X 12 ROSAS ROSADAS Y BLANCAS</t>
  </si>
  <si>
    <t>En este Día de la Mujer quería tener un detalle contigo. Porque además de ser una mujer increíble, cada día me gusta más conocerte. Estas flores son solo un pequeño reflejo de lo especial que eres.🖤</t>
  </si>
  <si>
    <t>Jaime Daza</t>
  </si>
  <si>
    <t>Jime Daza</t>
  </si>
  <si>
    <t>1× Arreglo Personalizado - bouquet rosas surtidas</t>
  </si>
  <si>
    <t>federico ahumada</t>
  </si>
  <si>
    <t>1× Arreglo Personalizado - 3 SOLITARIOS ROSAS</t>
  </si>
  <si>
    <t>Eder Alfredo Barraza Arias</t>
  </si>
  <si>
    <t xml:space="preserve">Michelle Andrea Rodríguez Villalba </t>
  </si>
  <si>
    <t>Calle 90 No. 65 - 61 - Conjunto Residencial Balcones De Andalucia II Torre 2 Apto 403</t>
  </si>
  <si>
    <t>Estas flores van acompañadas de un abrazo con mucha fuerza y cariño. En su día, mi mayor deseo es que se ¡Recupérate pronto!  ¡La aprecio mucho! Mamá de Michelle Andrea.</t>
  </si>
  <si>
    <t>Eder Alfredo Barraza</t>
  </si>
  <si>
    <t>mini rosas fucsias</t>
  </si>
  <si>
    <t>Jeiner Ramos</t>
  </si>
  <si>
    <t>1× Corazón Mini Surtido M/12 | 1× Cerámica Sweet Pea M/16</t>
  </si>
  <si>
    <t>Feliz Día de la Mujer, Vida✨.
Admiro profundamente la mujer que eres: fuerte, valiente, inteligente y llena de luz.
Hoy celebro la gran mujer que eres y lo afortunado que soy de tenerte a mi lado. ✨</t>
  </si>
  <si>
    <t>Puedo recoger tipo 4:30 ?</t>
  </si>
  <si>
    <t>Jhan Carlos Manosalva</t>
  </si>
  <si>
    <t>Laura Romero Cuao</t>
  </si>
  <si>
    <t>Cra 43 B 85 - 171 casa</t>
  </si>
  <si>
    <t>Hoy quiero recordarte algo que a veces el cansancio no deja ver:
Tu esfuerzo, tu dedicación y tu corazón están construyendo el mundo seguro y lleno de amor en el que nuestro bebé crecerá.
Gracias por tu valentía, por tu entrega y por ese amor inmenso que das incluso cuando estás cansada.
Estoy profundamente orgulloso de ti y agradecido de caminar este camino contigo.
Recuerda siempre que no estás sola: te amo, te admiro y estoy contigo en cada paso de esta hermosa y desafiante aventura de ser padres.
Con todo mi amor. ❤️</t>
  </si>
  <si>
    <t>Yarides pava</t>
  </si>
  <si>
    <t>1× Arreglo Personalizado - bouquet surtido de 30000</t>
  </si>
  <si>
    <t>feliz dia 
pirri de mi vida la consentida de la flia castro pava 
te amamos con intensidad</t>
  </si>
  <si>
    <t>familia castro pava</t>
  </si>
  <si>
    <t>Natalia Quintero</t>
  </si>
  <si>
    <t xml:space="preserve"> Natalia Quintero </t>
  </si>
  <si>
    <t>Calle 87A # 71-50 casa, entrada por la Cra 73</t>
  </si>
  <si>
    <t>Feliz Día de la Mujer!
Con mucho cariño, Alejandro Blanco Quintero.</t>
  </si>
  <si>
    <t>Con mucho cariño, Alejandro Blanco Quintero.</t>
  </si>
  <si>
    <t>11 Rosas solitarios en color fucsia</t>
  </si>
  <si>
    <t>Mairobis Rios</t>
  </si>
  <si>
    <t>1× Arreglo Personalizado - bouquet de 24 rosas</t>
  </si>
  <si>
    <t>elvys hernandez montes</t>
  </si>
  <si>
    <t xml:space="preserve">elvys hernandez montes </t>
  </si>
  <si>
    <t>2 bouquet x 6 rosas fucsia a 20.000 cada uno</t>
  </si>
  <si>
    <t>Carlos Chapman</t>
  </si>
  <si>
    <t xml:space="preserve">Carlos Chapman </t>
  </si>
  <si>
    <t>AVENIDA CIRCUNVALAR A 100 MTS DE LA, Via 40, Barranquilla, Atlántico - Empresa Tecnoglass. Garita al lado de semáforo intermitente</t>
  </si>
  <si>
    <t>Feliz día de la Mujer</t>
  </si>
  <si>
    <t>Hombres de cartera internacional</t>
  </si>
  <si>
    <t>15 solitarios de rosas color fucsia.</t>
  </si>
  <si>
    <t>jorge orozco</t>
  </si>
  <si>
    <t>Jorge Orozco</t>
  </si>
  <si>
    <t>Francisco Pacheco</t>
  </si>
  <si>
    <t>Valeria Tejada</t>
  </si>
  <si>
    <t>Calle 106 # transv 43-137 - Conjunto Génova  apto 606 t1</t>
  </si>
  <si>
    <t>1× Bouquet Orquidea M/6</t>
  </si>
  <si>
    <t>Primero de muchos, para la que siempre tiene la razón. Feliz día mujer hermosa!</t>
  </si>
  <si>
    <t>Con cariño, FP, desde Honduras.</t>
  </si>
  <si>
    <t>Jocelyn Sanchez</t>
  </si>
  <si>
    <t>Gerlys Saray Sanchez</t>
  </si>
  <si>
    <t>Calle 27 10-18</t>
  </si>
  <si>
    <t>¡Feliz 30, Hermaaaaa! 🎉  
Te quiero muchísimo y, aunque hoy te celebre desde la distancia, me hace muy feliz acompañarte en esta nueva década de tu vida. Espero que esté llena de momentos increíbles, sueños cumplidos y muchas sonrisas.  
Disfruta mucho tu día… y no olvides revisar tu cuenta bancaria para ver tu regalo. 😉💝</t>
  </si>
  <si>
    <t>Con Cariño, Jocelyn</t>
  </si>
  <si>
    <t>Que las flores sean preciosas</t>
  </si>
  <si>
    <t>Diana Del valle</t>
  </si>
  <si>
    <t>Andrea Lobelo</t>
  </si>
  <si>
    <t>Cra 42g # 84b - 77 - Edificio mirador 42g apto 4b</t>
  </si>
  <si>
    <t xml:space="preserve">Gracias por 6 meses increíbles a tu lado. Que sean muchos más mi amor. Te amo </t>
  </si>
  <si>
    <t>SIN FIRMA</t>
  </si>
  <si>
    <t>Ramo Gerbera</t>
  </si>
  <si>
    <t>David Cure</t>
  </si>
  <si>
    <t>id 2436600305</t>
  </si>
  <si>
    <t>Isaac Cordoba</t>
  </si>
  <si>
    <t xml:space="preserve">1× Bouquet 6 Rosas Rojas </t>
  </si>
  <si>
    <t>ID de la orden
2436526061</t>
  </si>
  <si>
    <t>Elkin Meyer Silio</t>
  </si>
  <si>
    <t xml:space="preserve">1× Bouquet 12 Rosas Rojas </t>
  </si>
  <si>
    <t>ID de la orden
2436273455</t>
  </si>
  <si>
    <t>Jose Marquez</t>
  </si>
  <si>
    <t>Michel Daniela</t>
  </si>
  <si>
    <t>Cra. 47 # 74 – 90. DETEKTOR - Oficina</t>
  </si>
  <si>
    <t>1× Bouquet 6 Rosas Rojas  | 1× Topper Feliz Día</t>
  </si>
  <si>
    <t>Feliz Aniversario y Feliz día mi Amor 💕</t>
  </si>
  <si>
    <t>Jose Andrés</t>
  </si>
  <si>
    <t>Es en la oficina de Detector, llegar antes de 12 por favor</t>
  </si>
  <si>
    <t>Aura Castro Perez</t>
  </si>
  <si>
    <t>Aura Castro</t>
  </si>
  <si>
    <t>Carrera 73 # 75-152 - Conjunto Ribera Alta, T4, Apt 1506</t>
  </si>
  <si>
    <t>2× Bouquet 6 Rosas Rojas M/10</t>
  </si>
  <si>
    <t xml:space="preserve">Feliz día de la mujer a la mejor abuelita del mundo. Gracias por enseñarme lo fuerte y maravillosas que son. </t>
  </si>
  <si>
    <t>Con amor, Isaac.</t>
  </si>
  <si>
    <t>Son 2 ramitos. En el mensaje del otro les agradezco editen la palabra abuelita por bisabuelita, por favor.</t>
  </si>
  <si>
    <t>Luz Ojeda</t>
  </si>
  <si>
    <t>Carlos Arzuza López</t>
  </si>
  <si>
    <t>Carrera 37# 54 77</t>
  </si>
  <si>
    <t>Sr. Carlos, queriamos extender nuestras más sentidas condolencias por la partida de su mami, y dejarle saber que estamos en oración por su descansa eterno. Creemos en fe que ella está muy bien acompañada de papito Dios y va a velar por usted, por Angie y toda la familia. Con mucho cariño,</t>
  </si>
  <si>
    <t>Catherine Gutierrez y Lucy Ojeda</t>
  </si>
  <si>
    <t>Johana Cifuentes</t>
  </si>
  <si>
    <t xml:space="preserve">Olga Lucia Gómez </t>
  </si>
  <si>
    <t>cra 53 #96-126 - Altos del parque apto 603D</t>
  </si>
  <si>
    <t>canasto de girasoles</t>
  </si>
  <si>
    <t xml:space="preserve">Feliz cumpleaños Mami, te amamos mucho. Eres lo mejor de nuestras vidas </t>
  </si>
  <si>
    <t>Con mucho amor, Gatita, mocca y toti</t>
  </si>
  <si>
    <t>gustavo lara</t>
  </si>
  <si>
    <t>15 rosas surtidas</t>
  </si>
  <si>
    <t>luis hereida</t>
  </si>
  <si>
    <t>ruth hernandez</t>
  </si>
  <si>
    <t>cra 57 #75-20 propiedades colombia</t>
  </si>
  <si>
    <t>cada vez que te miro ,recuerdo la suerte que tengo de caminar la vida contigo.
feliz día de la mujer.</t>
  </si>
  <si>
    <t>Juliana Blanco</t>
  </si>
  <si>
    <t>como el canasto lavanda pero en amarillo ,ver foto</t>
  </si>
  <si>
    <t>Feliz cumpleaños, mamá 
Hoy queremos recordarte cuánto te amamos y lo agradecidos que estamos por tenerte en nuestras vidas. Gracias por cada sacrificio, por tu amor incondicional, por tu apoyo en todo momento y por enseñarnos siempre el camino correcto. Todo lo que somos hoy también es gracias a ti.
Eres el corazón de nuestra familia y nuestro mayor ejemplo de amor, fortaleza y entrega. Le pedimos a Dios que te regale muchos años más de vida, llenos de salud, alegría y bendiciones.
Gracias por ser la mejor mamá del mundo.
Te amamos con todo nuestro corazón. 
Con amor,
Lici, Pipe y July</t>
  </si>
  <si>
    <t>Lici, Pipe y Juli</t>
  </si>
  <si>
    <t>cristina villa</t>
  </si>
  <si>
    <t>Ana Isabel Condia Aragon</t>
  </si>
  <si>
    <t xml:space="preserve">Adelina Aragón </t>
  </si>
  <si>
    <t>Cra 79 83-38 - Apto 202</t>
  </si>
  <si>
    <t xml:space="preserve">Feliz cumpleaños para el pilar de nuestro hogar. Gracias por tu entrega y amor incondicional. </t>
  </si>
  <si>
    <t>Con amor, Álvaro y Ana.</t>
  </si>
  <si>
    <t>Maria Munoz</t>
  </si>
  <si>
    <t>Carolina Velez</t>
  </si>
  <si>
    <t>Carrera 56 # 75 76 - Edificio finanzal apto 9</t>
  </si>
  <si>
    <t xml:space="preserve">1× Flora Box Romantic Flores 12 Rosas </t>
  </si>
  <si>
    <t>Feliz 50 años para la mejor mamá y esposa del mundo entero. Gracias por ser nuestro ángel en la tierra, te amamos.</t>
  </si>
  <si>
    <t>Con amor, tu hermosa familia de 5 Angie, Mimi, Maqui y el Gordo.</t>
  </si>
  <si>
    <t>Juan Ali</t>
  </si>
  <si>
    <t>Andreina Torrado</t>
  </si>
  <si>
    <t>Tv 43c #102-153 - Sorrento Apto 1211</t>
  </si>
  <si>
    <t>Feliz día para la mujer más hermosa y resiliente. Te admiro, te respeto y te amo</t>
  </si>
  <si>
    <t>~JA</t>
  </si>
  <si>
    <t>Sara Santamaria</t>
  </si>
  <si>
    <t xml:space="preserve">Valeria Domínguez </t>
  </si>
  <si>
    <t>Calle 62 # 44-43 - Edificio “Daniel Eduardo”, apto 802</t>
  </si>
  <si>
    <t xml:space="preserve">feliz vida amiga, que suerte tenerte. 
para: valeria </t>
  </si>
  <si>
    <t>De: sara</t>
  </si>
  <si>
    <t>Eloy Barandalla</t>
  </si>
  <si>
    <t>Margarita De la Hoz</t>
  </si>
  <si>
    <t>Cra 44 #90-154 - Dante 92, apto 804</t>
  </si>
  <si>
    <t>¡Feliz cumpleaños!
Te amamos desde el suelo hasta las estrellas que titilan 😘</t>
  </si>
  <si>
    <t>Papi, Sofi y Ale</t>
  </si>
  <si>
    <t>Antoine fernandez Anton</t>
  </si>
  <si>
    <t>Alejandra Villalba</t>
  </si>
  <si>
    <t>María Zurita Polo</t>
  </si>
  <si>
    <t>Carrera 62 #74-96 - Apartamento 504</t>
  </si>
  <si>
    <t xml:space="preserve">Feliz cumpleaños para la mejor abuela del mundo mundial! </t>
  </si>
  <si>
    <t>Con mucho amor, tu nieto José Luis y Alejandra.</t>
  </si>
  <si>
    <t>José Rua</t>
  </si>
  <si>
    <t>Mariana Diaz</t>
  </si>
  <si>
    <t>Carrera 52 # 74 - 56 torre occidente - Oficina 505 Caribbean American</t>
  </si>
  <si>
    <t xml:space="preserve">1× Corazón Mediano Rosas </t>
  </si>
  <si>
    <t xml:space="preserve">Eres una mujer valiente, fuerte hermosa el mejor ejemplo </t>
  </si>
  <si>
    <t>Ella está ahí hasta las 5 debe llegar antes de 5</t>
  </si>
  <si>
    <t>Óscar Alberto Fernández López</t>
  </si>
  <si>
    <t xml:space="preserve">Oscar Fernández </t>
  </si>
  <si>
    <t>Carrera 51b # 85-esquina - Banco BBVA edificio Torres de calabria</t>
  </si>
  <si>
    <t>Equipo BBVA</t>
  </si>
  <si>
    <t>NA</t>
  </si>
  <si>
    <t>Daniella González</t>
  </si>
  <si>
    <t>Calle 81 # 64 - 20 - Apto 605</t>
  </si>
  <si>
    <t>8 solitarios de rosa fucsias</t>
  </si>
  <si>
    <t>sophia isabel koepke julio</t>
  </si>
  <si>
    <t>Nelly Julio</t>
  </si>
  <si>
    <t>calle 96 #44-150 - conjunto trébol casa 3</t>
  </si>
  <si>
    <t xml:space="preserve">Feliz cumpleaños mami, que Dios te bendiga y te regale muchos mas años de vida, te queremos mucho! </t>
  </si>
  <si>
    <t>Stephanie escolar</t>
  </si>
  <si>
    <t xml:space="preserve">Andrea Hernandez </t>
  </si>
  <si>
    <t>Carrera 50 No 80-273 - Edificio Torres de Salem apto 102B</t>
  </si>
  <si>
    <t>Miles  de  Bendiciones y muchos éxito. 
Te quiero mucho</t>
  </si>
  <si>
    <t>Aña</t>
  </si>
  <si>
    <t>Llevar a primera hora por favor</t>
  </si>
  <si>
    <t>Julio Atencio</t>
  </si>
  <si>
    <t xml:space="preserve">Julio Atencio </t>
  </si>
  <si>
    <t>Para mí cafecito sin azúcar porque mereces lo mejor de mi</t>
  </si>
  <si>
    <t>Tu amargado</t>
  </si>
  <si>
    <t>Isaac David oliveros berdugo</t>
  </si>
  <si>
    <t xml:space="preserve">Nataly Valdez </t>
  </si>
  <si>
    <t>Cra. 7e #45b-75 - Cra. 7e #45b-75</t>
  </si>
  <si>
    <t>Para la reina de mi corazón ❤️</t>
  </si>
  <si>
    <t>Diana Sermeño</t>
  </si>
  <si>
    <t xml:space="preserve">Bertha Agredo De Londoño </t>
  </si>
  <si>
    <t>kilometro 5 via puerto colombia - cementerio</t>
  </si>
  <si>
    <t xml:space="preserve">Dios y la Virgen reciban en su morada celestial a nuestra querida Bertica!! Mientras pensemos en ella vivirá eternamente.
</t>
  </si>
  <si>
    <t xml:space="preserve">HDR INVERSIONES </t>
  </si>
  <si>
    <t>Entrega en Tienda - Entrega en Tienda</t>
  </si>
  <si>
    <t>Sebastian Jaramillo Sampayo</t>
  </si>
  <si>
    <t xml:space="preserve">Karol ramos </t>
  </si>
  <si>
    <t>Calle 123#37-11 - Una casa azul de rejas negras detrás de la tienda “mi primer paso”</t>
  </si>
  <si>
    <t xml:space="preserve">Feliz día de la mujer mi princesa. Te amo mucho, te admiro y me hace muy feliz poder compartir mis días contigo </t>
  </si>
  <si>
    <t>Con amor sebas</t>
  </si>
  <si>
    <t>De preferencia que sea lo más parecido a la imagen y sin rosas rojas por si acaso</t>
  </si>
  <si>
    <t>FARID SERNA</t>
  </si>
  <si>
    <t>RAPPI - RAPPI</t>
  </si>
  <si>
    <t>ID: 2436750159
BOQUET DE 6 ROSAS</t>
  </si>
  <si>
    <t>LALA VILLARREAL</t>
  </si>
  <si>
    <t xml:space="preserve">NO </t>
  </si>
  <si>
    <t>ID: 2436738064</t>
  </si>
  <si>
    <t>Brian Herrera</t>
  </si>
  <si>
    <t xml:space="preserve">Brian Herrera </t>
  </si>
  <si>
    <t>Laura Balbin</t>
  </si>
  <si>
    <t>Calle 78 No 55-140 - Apto 5A</t>
  </si>
  <si>
    <t xml:space="preserve">Lau, princesa... amor de mi vida.
Feliz día, una vez más, para la mujer que amo y que lo significa todo en mi vida. 
Te amo, 
Mau:.
</t>
  </si>
  <si>
    <t>Mau:.</t>
  </si>
  <si>
    <t>Josefa Gómez</t>
  </si>
  <si>
    <t xml:space="preserve">Josefa Gómez </t>
  </si>
  <si>
    <t>Todo Lo que haces nace de un corazón grande. Confía en eso, porque todo lo que viene será aún mejor. Eres la mejor te quiero mucho🤎✨</t>
  </si>
  <si>
    <t>chicolatito🤎✨</t>
  </si>
  <si>
    <t>Fabio Restrepo</t>
  </si>
  <si>
    <t>Calle 102 # 43-35 - Conjunto Torino, Torre 9, Apto 852</t>
  </si>
  <si>
    <t xml:space="preserve">1× Canasto Mediano Sweet </t>
  </si>
  <si>
    <t>CON ROSAS LILA</t>
  </si>
  <si>
    <t>jose cuello</t>
  </si>
  <si>
    <t xml:space="preserve">jose cuello </t>
  </si>
  <si>
    <t>ID.2436784374</t>
  </si>
  <si>
    <t>Jaime Corbacho</t>
  </si>
  <si>
    <t xml:space="preserve">Dayanna escorcia </t>
  </si>
  <si>
    <t>Calle 1d # 20-45 - Torre 1 apto 701</t>
  </si>
  <si>
    <t xml:space="preserve">Feliz día de la mujer 
</t>
  </si>
  <si>
    <t>edinson pedroza</t>
  </si>
  <si>
    <t>29805528</t>
  </si>
  <si>
    <t>solitario margarita</t>
  </si>
  <si>
    <t>ANDRES FONTALVO</t>
  </si>
  <si>
    <t>Orlando René Iturrey Del Valle</t>
  </si>
  <si>
    <t>Liliana Rozo</t>
  </si>
  <si>
    <t>Carrera 53 #132 - 109 - Villa Campestre, casa de portón marrón y pared blanca. (Sale en waze como Caritas House)</t>
  </si>
  <si>
    <t xml:space="preserve">Mami lili, feliz cumpleaños, que Dios la bendiga y espero que este detalle, así como todos los que recibirá, sean un fiel recuerdo de cuánto es querida </t>
  </si>
  <si>
    <t>Orlando Rene Iturrey Del Valle</t>
  </si>
  <si>
    <t>Juan Diego Garcia</t>
  </si>
  <si>
    <t xml:space="preserve">maría mónica </t>
  </si>
  <si>
    <t>Calle 96 #71-109 - edificio irati, apto 702 torre B</t>
  </si>
  <si>
    <t>Te entrego este regalo hoy porque el día de la mujer no es solo un día, son todos los días, te amo mucho mujer de mi vida.</t>
  </si>
  <si>
    <t>con amor, Juan Diego</t>
  </si>
  <si>
    <t>María Ojeda</t>
  </si>
  <si>
    <t>Elena Escobar</t>
  </si>
  <si>
    <t>Cl. 98 #65A-54, Riomar, Barranquilla, Atlántico, Colombia - Torre 1 apt 304 - Torre 1 apt 304</t>
  </si>
  <si>
    <t>1× Mini Box Hortensias y Mini Rosa | 1× Cerámica Sweet Pea</t>
  </si>
  <si>
    <t>VER EN CHAT</t>
  </si>
  <si>
    <t>FUNDACION INSTITUTO BARTOLOME DE LAS CASAS</t>
  </si>
  <si>
    <t xml:space="preserve">Valerie ceballos </t>
  </si>
  <si>
    <t>Cra 59C # 79-350 axxis parque golf, ap 6D - Edificio</t>
  </si>
  <si>
    <t>Moro Bienvenida a casa  Este nuevo mes tiene la magia de la conservación que cada día podamos cuidar, proteger y valorar lo que es importante en nuestras vidas, te celebro. Celebro  nuestras historias y celebro por anticipado todos esos proyectos de conservación que hemos de ejecutar. TACLP</t>
  </si>
  <si>
    <t>Agregar eucalipto al arreglo</t>
  </si>
  <si>
    <t>yanderson de la hoz</t>
  </si>
  <si>
    <t>David Fontalvo</t>
  </si>
  <si>
    <t xml:space="preserve">David Fontalvo </t>
  </si>
  <si>
    <t>Calle 4 #302 suroriente DIAN ED. ADUANA - CORREDOR PORTUARIO</t>
  </si>
  <si>
    <t>45 rosas surtidas (OJO NO NARANJA)</t>
  </si>
  <si>
    <t>David De Lima</t>
  </si>
  <si>
    <t>Te amo, yo más, si.</t>
  </si>
  <si>
    <t xml:space="preserve">andres lagares </t>
  </si>
  <si>
    <t>bouquet de 3 fucsias</t>
  </si>
  <si>
    <t>davinson parejo</t>
  </si>
  <si>
    <t>Sergio Sánchez</t>
  </si>
  <si>
    <t>william cabarcas</t>
  </si>
  <si>
    <t>edificio icon calle 76#54-11</t>
  </si>
  <si>
    <t>William, recibe nuestro sentido pésame por el dolor que estás pasando. Dios te dará la gracia y misericordia para superar y aceptar esos dias oscuros. Con todo nuestro cariño. 
Nelly Wilches y Sergio Sánchez</t>
  </si>
  <si>
    <t>YESENIA QUIÑONES</t>
  </si>
  <si>
    <t xml:space="preserve">Victoria David Sánchez </t>
  </si>
  <si>
    <t>Buena Esperanza</t>
  </si>
  <si>
    <t>Carrera 20 No 58-27 - Casa</t>
  </si>
  <si>
    <t>caja rosasde jardin london x 24</t>
  </si>
  <si>
    <t xml:space="preserve">Un año más que Dios te concede mami y que nos regala a nosotros para seguir disfrutando de tu presencia ! Te amamos </t>
  </si>
  <si>
    <t>Tus hijos : Iván , Iván Amado , Luna, Luna y Yece</t>
  </si>
  <si>
    <t>Yazmín galvis Serrano</t>
  </si>
  <si>
    <t>Cra 52# 106-140 casa 51</t>
  </si>
  <si>
    <t>12 rosas amarillas</t>
  </si>
  <si>
    <t>jose fontalvo</t>
  </si>
  <si>
    <t xml:space="preserve">1× Bouquet 24 Rosas Rojas </t>
  </si>
  <si>
    <t>1× Oso de Peluche</t>
  </si>
  <si>
    <t xml:space="preserve">Mi glorbi, feliz mes.  Ya son muchísimos meses juntos y mi amor por ti sigue creciendo cada vez mas y mas. Cada 10 agradezco por nuestra relación, por cada momento que hemos vivido juntos y por todo lo que crecemos y maduramos mes a mes. Eres el amor de mi vida y quiero una vida a tu lado por siempre. </t>
  </si>
  <si>
    <t>bouquet como está en la foto con tres rosas</t>
  </si>
  <si>
    <t>Juliana Cabrera</t>
  </si>
  <si>
    <t>Calle 77b # 57-141 - Edificio las Americas1</t>
  </si>
  <si>
    <t>Welcome back Juli! 
Estamos muy felices con tu regreso, te extrañamos mucho! 
10/03/26</t>
  </si>
  <si>
    <t>MC, Gini, Kat, Vane del Valle, Vane Diaz , Estef &amp; Pau</t>
  </si>
  <si>
    <t>Lo recibimos en recepcion</t>
  </si>
  <si>
    <t>Abner Gonzalez</t>
  </si>
  <si>
    <t>Diana Carolina Osorio</t>
  </si>
  <si>
    <t>Cl 87 71-141, Atlantico - Club Ladridos</t>
  </si>
  <si>
    <t xml:space="preserve">1× Guacal Hortensias </t>
  </si>
  <si>
    <t xml:space="preserve">Para la mejor Dra. Fue un gusto coincidir y ver la intensidad con la que vives.  Todo por esa sonrisa. Quedo pendiente al plan en tierras del sol saliente. </t>
  </si>
  <si>
    <t>Abner</t>
  </si>
  <si>
    <t>Andy Avila.</t>
  </si>
  <si>
    <t xml:space="preserve">Gisella Lilian De La Torre Peña </t>
  </si>
  <si>
    <t>Calle 53 #44-150 - conjunto la plazuela Edificio 1 piso 9 Apto. 03</t>
  </si>
  <si>
    <t xml:space="preserve">1× Mini Box Hortensias y Mini Rosa | 1× Bouquet 6 Rosas Rojas </t>
  </si>
  <si>
    <t xml:space="preserve">Este pequeño detalle es para ustedes.
Aunque el Día de la Mujer ya pasó, no quería dejar de reconocer y honrar a dos mujeres muy especiales en mi vida.
Son mujeres valerosas, fuertes y admirables, que con su forma de ser demuestran cada día el valor, la dedicación y el amor con el que enfrentan la vida. Su fortaleza, su entrega y su manera de cuidar y apoyar a quienes las rodean son cualidades que siempre merecen ser reconocidas.
Este regalo es solo un pequeño gesto para recordarles lo importantes que son y para expresarles mi respeto, admiración y cariño. Que nunca olviden lo valiosas que son y todo lo bueno que aportan a este mundo.
Que Dios las bendiga siempre y que sus vidas estén llenas de salud, alegría y muchos momentos hermosos. Las amo y las admiro mucho. 
</t>
  </si>
  <si>
    <t>Cristian Martinez</t>
  </si>
  <si>
    <t>María Carolina Muñoz</t>
  </si>
  <si>
    <t>Carrera 20 #1e -165, conjunto Fidano I - Torre 2, 1003</t>
  </si>
  <si>
    <t>No solo hoy, sino todos los días, admiro la mujer increíble que eres. Fuerte, valiente, amorosa y única. Me siento afortunado de caminar hacia el futuro contigo. Feliz Día de la Mujer.</t>
  </si>
  <si>
    <t>Con amor tu futuro esposo</t>
  </si>
  <si>
    <t>luis eduardo jordan</t>
  </si>
  <si>
    <t xml:space="preserve">flia jordan cardenas </t>
  </si>
  <si>
    <t>Cra 58 #99-46 piso 17 - Edificio</t>
  </si>
  <si>
    <t xml:space="preserve">De: Familia Jordan Cardenas </t>
  </si>
  <si>
    <t>Anna Addonizio</t>
  </si>
  <si>
    <t>Calle 77 B  Nro 74 /65 - Al lado de la Nissan.Empresa Firenzecorp</t>
  </si>
  <si>
    <t>1× Flora Box Mediana Pastel M/19 | 1× Vino Espumoso JP. Chenet 175 ml</t>
  </si>
  <si>
    <t xml:space="preserve">Nuestros mejores deseos Elsa 
Te queremos familia Loponte </t>
  </si>
  <si>
    <t>Anna Addonizio de Loponte</t>
  </si>
  <si>
    <t>Yudi varela pertuz</t>
  </si>
  <si>
    <t xml:space="preserve">Marían cure </t>
  </si>
  <si>
    <t>La dir es avenida circunvalar a 100 mt de la vía 40. Pon energía solar - Oficina</t>
  </si>
  <si>
    <t xml:space="preserve">
De: su dolorcito de cabeza 
Para: Marían Cure 
Finalmente a llegado el día en que puedo decir en tu cumpleaños. Maravillosa persona que Dios a puesto en mi vida.
¡ Te deseo lo más especial en este día !</t>
  </si>
  <si>
    <t>Su dolorcito de cabeza</t>
  </si>
  <si>
    <t>Que ella no sepa quien se la envía por eso le coloco su dolorcito de cabeza.</t>
  </si>
  <si>
    <t>Saray Berrio Genes</t>
  </si>
  <si>
    <t>Merlis Terany</t>
  </si>
  <si>
    <t>Carrera 53 # 100-86 - Hotel Hilton garden inn Barranquilla</t>
  </si>
  <si>
    <t>¡Muchas felicidades en esta nueva etapa, Familia Altamar Sánchez!</t>
  </si>
  <si>
    <t>Con rosas blancas, si pueden llegar entre 3:30pm y 4pm mucho mejor, y llamar al número del destinatario antes de salir ya que es la Weeding planner y ella pueda estar atenta, sino escribirme al número de WhatsApp antes de salir</t>
  </si>
  <si>
    <t>Jerson Mendoza</t>
  </si>
  <si>
    <t>Sara Avila</t>
  </si>
  <si>
    <t>Calle 112 # 43-123 - Torre B Apto 1408</t>
  </si>
  <si>
    <t>Gracias por estos 12 años de historias, aprendizajes y amor. Lo mejor siempre ha sido caminar contigo.</t>
  </si>
  <si>
    <t>Jerson</t>
  </si>
  <si>
    <t>CON  ROSAS ROJAS</t>
  </si>
  <si>
    <t>Génesis</t>
  </si>
  <si>
    <t xml:space="preserve">Liceth Cardenas </t>
  </si>
  <si>
    <t>Cr 75 #78-54 - Torre 6 apto 1001</t>
  </si>
  <si>
    <t>Hoy no solo cumples años… hoy celebramos que el mundo es mejor desde que tú llegaste. ¡Feliz cumpleaños mi Lichi Te quiero muchísimo! 💜</t>
  </si>
  <si>
    <t>Con amor Génesis Escalante</t>
  </si>
  <si>
    <t>Si se puede entregar a las 7 y 30 pm muchísimo mejor</t>
  </si>
  <si>
    <t>Anne Mannsbach</t>
  </si>
  <si>
    <t>Anne</t>
  </si>
  <si>
    <t>Cra66#74-128</t>
  </si>
  <si>
    <t xml:space="preserve">Happy CAMVERSARY sweety amnie </t>
  </si>
  <si>
    <t>Si es posible todo en tonalidades vinotinto, beige y crema</t>
  </si>
  <si>
    <t>SEBASTIAN PAMPLONA</t>
  </si>
  <si>
    <t>trajeta en blanco</t>
  </si>
  <si>
    <t>domicilio a CRA 52#82-203
apto 1905</t>
  </si>
  <si>
    <t>Judith Diaz</t>
  </si>
  <si>
    <t xml:space="preserve">Stefy Gutiérrez </t>
  </si>
  <si>
    <t>Cra 46 # 76 - 174</t>
  </si>
  <si>
    <t xml:space="preserve">1× Canasto Lavanda </t>
  </si>
  <si>
    <t>Stefy, gracias por ser parte de nuestra comunidad de Divinas 💜
Te deseamos un feliz cumpleaños</t>
  </si>
  <si>
    <t>Con amor, el Team Divinas</t>
  </si>
  <si>
    <t>Eileen Jimenez Niño</t>
  </si>
  <si>
    <t>Liliana Rozo Pinzon</t>
  </si>
  <si>
    <t>Carrera 53 #132-109</t>
  </si>
  <si>
    <t xml:space="preserve">Que este nuevo año te encuentre creciendo, soñando y sonriendo con más fuerza que nunca. Dios te bendiga enormemente </t>
  </si>
  <si>
    <t>Con amor, Juan y Eileen</t>
  </si>
  <si>
    <t>Geicoll Gómez</t>
  </si>
  <si>
    <t>3 paquetes de margaritas lila</t>
  </si>
  <si>
    <t>Annie Fernández</t>
  </si>
  <si>
    <t>Carrera 51 # 82 - 175 Apt 303 Edificio High Tower - Edificio</t>
  </si>
  <si>
    <t xml:space="preserve">1× Mini Box Claveles </t>
  </si>
  <si>
    <t>Feliz cumpleaños!
Que este nuevo año de vida te traiga mucha felicidad, salud y momentos lindos.
Gracias por todo el cariño que siempre nos das.
Un abrazo grande.
Annie, Caro y Vale</t>
  </si>
  <si>
    <t>Steven Blanco</t>
  </si>
  <si>
    <t>Kelly Noguera</t>
  </si>
  <si>
    <t>Calle 79 # 55-39 - Restaurante ébano Segundo piso</t>
  </si>
  <si>
    <t xml:space="preserve">Feliz cumpleaños 
Aunque no esperaba que el dia fuera asi, siempre te tuve presente y quise de corazón tener un detalle contigo. </t>
  </si>
  <si>
    <t>Liliana Rozo Pizon</t>
  </si>
  <si>
    <t>1× Mini Box Hortensias y Mini Rosa | 1× Topper Happy Birthday</t>
  </si>
  <si>
    <t>Hoy celebramos tu vida, ese milagro diario que ilumina caminos y deja huellas suaves en quienes te queremos. Que este nuevo año te encuentre creciendo, soñando y sonriendo con más fuerza que nunca.</t>
  </si>
  <si>
    <t>Elisa Naizzir</t>
  </si>
  <si>
    <t xml:space="preserve">ROSARIO ROMERO </t>
  </si>
  <si>
    <t>CALLE 64# 45 - 09 - CALLE 64# 45 - 09</t>
  </si>
  <si>
    <t>Hoy celebro no solo tu cumpleaños, sino la bendición de tenerte en mi vida. Eres una persona muy especial para mí, llena de cariño, sabiduría y alegría. Gracias por tu apoyo, por tus consejos y por todos los momentos bonitos que hemos compartido.
Deseo que este nuevo año de vida esté lleno de salud, felicidad y muchas bendiciones. Que la vida te siga regalando motivos para sonreír y que sigamos celebrando juntos muchos años más.
¡Feliz cumpleaños! Te quiero mucho.</t>
  </si>
  <si>
    <t>FLIA GIROLAMI NAIZZIR</t>
  </si>
  <si>
    <t>Ojala se entregue lo mas rapido posible antes de 2:00 pm</t>
  </si>
  <si>
    <t>Danilo Paz</t>
  </si>
  <si>
    <t xml:space="preserve">Danilo Paz </t>
  </si>
  <si>
    <t>N°Pedido</t>
  </si>
  <si>
    <t>Cliente</t>
  </si>
  <si>
    <t>Codigo</t>
  </si>
  <si>
    <t>Nombre_Producto</t>
  </si>
  <si>
    <t>Dirección</t>
  </si>
  <si>
    <t>Teléfono destino</t>
  </si>
  <si>
    <t>Forma de Pago</t>
  </si>
  <si>
    <t>Valor Cobrado</t>
  </si>
  <si>
    <t>Hora de Registro</t>
  </si>
  <si>
    <t>Estado del Pedido</t>
  </si>
  <si>
    <t>Asignado</t>
  </si>
  <si>
    <t>Notificado</t>
  </si>
  <si>
    <t>Procesado</t>
  </si>
  <si>
    <t>Zona</t>
  </si>
  <si>
    <t>220000</t>
  </si>
  <si>
    <t>08:14</t>
  </si>
  <si>
    <t>TERMINADO</t>
  </si>
  <si>
    <t>Elibeth Salgado</t>
  </si>
  <si>
    <t>Enviado 5/1/2026, 8:14:21 a. m.</t>
  </si>
  <si>
    <t>Sí</t>
  </si>
  <si>
    <t>Laura Botero</t>
  </si>
  <si>
    <t>168000</t>
  </si>
  <si>
    <t>08:06</t>
  </si>
  <si>
    <t>Cristina Arrieta</t>
  </si>
  <si>
    <t>Enviado 5/1/2026, 8:06:56 a. m.</t>
  </si>
  <si>
    <t>Zona 2</t>
  </si>
  <si>
    <t>william Eichler</t>
  </si>
  <si>
    <t>192000</t>
  </si>
  <si>
    <t>08:03</t>
  </si>
  <si>
    <t>Enviado 5/1/2026, 8:04:06 a. m.</t>
  </si>
  <si>
    <t>80000</t>
  </si>
  <si>
    <t>07:49</t>
  </si>
  <si>
    <t>Enviado 5/1/2026, 7:49:49 a. m.</t>
  </si>
  <si>
    <t>DANIEL CHAZAROWATTY</t>
  </si>
  <si>
    <t>?</t>
  </si>
  <si>
    <t>112000</t>
  </si>
  <si>
    <t>07:23</t>
  </si>
  <si>
    <t>Enviado 5/1/2026, 7:23:20 a. m.</t>
  </si>
  <si>
    <t>Zona 3</t>
  </si>
  <si>
    <t>jorge visbal</t>
  </si>
  <si>
    <t>95000</t>
  </si>
  <si>
    <t>07:12</t>
  </si>
  <si>
    <t>Enviado 5/1/2026, 7:13:02 a. m.</t>
  </si>
  <si>
    <t>Zona 5</t>
  </si>
  <si>
    <t>140000</t>
  </si>
  <si>
    <t>07:02</t>
  </si>
  <si>
    <t>Enviado 5/1/2026, 7:02:37 a. m.</t>
  </si>
  <si>
    <t>182000</t>
  </si>
  <si>
    <t>14:37</t>
  </si>
  <si>
    <t>Enviado 31/12/2025, 2:37:57 p. m.</t>
  </si>
  <si>
    <t>5731664237392</t>
  </si>
  <si>
    <t>1275000</t>
  </si>
  <si>
    <t>14:34</t>
  </si>
  <si>
    <t>Enviado 31/12/2025, 2:34:45 p. m.</t>
  </si>
  <si>
    <t>Zora Virginia</t>
  </si>
  <si>
    <t>14000</t>
  </si>
  <si>
    <t>14:20</t>
  </si>
  <si>
    <t>James de la Cruz</t>
  </si>
  <si>
    <t>Enviado 31/12/2025, 2:21:08 p. m.</t>
  </si>
  <si>
    <t>Jose Castillo palacio</t>
  </si>
  <si>
    <t>212000</t>
  </si>
  <si>
    <t>14:00</t>
  </si>
  <si>
    <t>Enviado 31/12/2025, 2:00:33 p. m.</t>
  </si>
  <si>
    <t>Zona 4</t>
  </si>
  <si>
    <t>40000</t>
  </si>
  <si>
    <t>13:46</t>
  </si>
  <si>
    <t>Enviado 31/12/2025, 1:46:32 p. m.</t>
  </si>
  <si>
    <t>B&amp;A INGENIERIA Y CONSTRUCCIONES SAS empresa</t>
  </si>
  <si>
    <t>189690</t>
  </si>
  <si>
    <t>13:05</t>
  </si>
  <si>
    <t>Enviado 31/12/2025, 1:05:52 p. m.</t>
  </si>
  <si>
    <t>Carlos Moreno</t>
  </si>
  <si>
    <t>90000</t>
  </si>
  <si>
    <t>12:57</t>
  </si>
  <si>
    <t>Enviado 31/12/2025, 12:58:15 p. m.</t>
  </si>
  <si>
    <t>363000</t>
  </si>
  <si>
    <t>12:43</t>
  </si>
  <si>
    <t>Enviado 31/12/2025, 12:44:10 p. m.</t>
  </si>
  <si>
    <t>Pablo Vargas</t>
  </si>
  <si>
    <t>573507547854</t>
  </si>
  <si>
    <t>Diana Rodriguez</t>
  </si>
  <si>
    <t>191000</t>
  </si>
  <si>
    <t>12:26</t>
  </si>
  <si>
    <t>Enviado 31/12/2025, 12:27:06 p. m.</t>
  </si>
  <si>
    <t>78000</t>
  </si>
  <si>
    <t>12:04</t>
  </si>
  <si>
    <t>Enviado 31/12/2025, 12:05:06 p. m.</t>
  </si>
  <si>
    <t>Mauricio Cuesta</t>
  </si>
  <si>
    <t>135000</t>
  </si>
  <si>
    <t>11:47</t>
  </si>
  <si>
    <t>Enviado 31/12/2025, 11:48:07 a. m.</t>
  </si>
  <si>
    <t>150000</t>
  </si>
  <si>
    <t>11:09</t>
  </si>
  <si>
    <t>Enviado 31/12/2025, 11:09:38 a. m.</t>
  </si>
  <si>
    <t>230000</t>
  </si>
  <si>
    <t>11:00</t>
  </si>
  <si>
    <t>Enviado 31/12/2025, 11:01:00 a. m.</t>
  </si>
  <si>
    <t>David Bohorquez rodelo</t>
  </si>
  <si>
    <t>109000</t>
  </si>
  <si>
    <t>10:57</t>
  </si>
  <si>
    <t>Enviado 31/12/2025, 10:57:25 a. m.</t>
  </si>
  <si>
    <t>Simon Hakim</t>
  </si>
  <si>
    <t>188000</t>
  </si>
  <si>
    <t>10:48</t>
  </si>
  <si>
    <t>Enviado 31/12/2025, 10:49:03 a. m.</t>
  </si>
  <si>
    <t>10:35</t>
  </si>
  <si>
    <t>Enviado 31/12/2025, 10:36:00 a. m.</t>
  </si>
  <si>
    <t>Silvia Quintero</t>
  </si>
  <si>
    <t>10:18</t>
  </si>
  <si>
    <t>Enviado 31/12/2025, 10:19:07 a. m.</t>
  </si>
  <si>
    <t>10:17</t>
  </si>
  <si>
    <t>Enviado 31/12/2025, 10:17:15 a. m.</t>
  </si>
  <si>
    <t>Laura Coronell Higgins</t>
  </si>
  <si>
    <t>159000</t>
  </si>
  <si>
    <t>09:41</t>
  </si>
  <si>
    <t>Enviado 31/12/2025, 9:41:41 a. m.</t>
  </si>
  <si>
    <t>Sausan Osman</t>
  </si>
  <si>
    <t>308000</t>
  </si>
  <si>
    <t>09:17</t>
  </si>
  <si>
    <t>Enviado 31/12/2025, 9:17:54 a. m.</t>
  </si>
  <si>
    <t>Antwan Rojas</t>
  </si>
  <si>
    <t>115000</t>
  </si>
  <si>
    <t>09:06</t>
  </si>
  <si>
    <t>Enviado 31/12/2025, 9:06:28 a. m.</t>
  </si>
  <si>
    <t>08:59</t>
  </si>
  <si>
    <t>Enviado 31/12/2025, 9:00:04 a. m.</t>
  </si>
  <si>
    <t>08:09</t>
  </si>
  <si>
    <t>Enviado 31/12/2025, 8:10:17 a. m.</t>
  </si>
  <si>
    <t>Sebastian Martinez</t>
  </si>
  <si>
    <t>361000</t>
  </si>
  <si>
    <t>18:58</t>
  </si>
  <si>
    <t>Enviado 30/12/2025, 6:58:41 p. m.</t>
  </si>
  <si>
    <t>Wilfran Hernández Gómez</t>
  </si>
  <si>
    <t>573044284127</t>
  </si>
  <si>
    <t>18:38</t>
  </si>
  <si>
    <t>Enviado 30/12/2025, 6:38:40 p. m.</t>
  </si>
  <si>
    <t>Zona 6</t>
  </si>
  <si>
    <t>573013903481</t>
  </si>
  <si>
    <t>39000</t>
  </si>
  <si>
    <t>18:35</t>
  </si>
  <si>
    <t>Enviado 30/12/2025, 6:35:53 p. m.</t>
  </si>
  <si>
    <t>573205420119</t>
  </si>
  <si>
    <t>238000</t>
  </si>
  <si>
    <t>17:29</t>
  </si>
  <si>
    <t>Adriana Suarez</t>
  </si>
  <si>
    <t>Enviado 30/12/2025, 5:30:13 p. m.</t>
  </si>
  <si>
    <t>573183607759</t>
  </si>
  <si>
    <t>15000</t>
  </si>
  <si>
    <t>17:01</t>
  </si>
  <si>
    <t>Enviado 30/12/2025, 5:01:42 p. m.</t>
  </si>
  <si>
    <t>100000</t>
  </si>
  <si>
    <t>17:00</t>
  </si>
  <si>
    <t>Enviado 30/12/2025, 5:00:54 p. m.</t>
  </si>
  <si>
    <t>162000</t>
  </si>
  <si>
    <t>16:38</t>
  </si>
  <si>
    <t>Enviado 30/12/2025, 4:39:06 p. m.</t>
  </si>
  <si>
    <t>31 | ?</t>
  </si>
  <si>
    <t>200000</t>
  </si>
  <si>
    <t>16:27</t>
  </si>
  <si>
    <t>Enviado 30/12/2025, 4:27:49 p. m.</t>
  </si>
  <si>
    <t>yanelis alvarez</t>
  </si>
  <si>
    <t>14:54</t>
  </si>
  <si>
    <t>Enviado 30/12/2025, 2:54:30 p. m.</t>
  </si>
  <si>
    <t>Jhojan Rojas</t>
  </si>
  <si>
    <t>573105999160</t>
  </si>
  <si>
    <t>285000</t>
  </si>
  <si>
    <t>14:41</t>
  </si>
  <si>
    <t>Enviado 30/12/2025, 2:41:17 p. m.</t>
  </si>
  <si>
    <t>14:14</t>
  </si>
  <si>
    <t>Enviado 30/12/2025, 2:14:44 p. m.</t>
  </si>
  <si>
    <t>Lorena Vasquez</t>
  </si>
  <si>
    <t>171000</t>
  </si>
  <si>
    <t>13:38</t>
  </si>
  <si>
    <t>Enviado 30/12/2025, 1:38:48 p. m.</t>
  </si>
  <si>
    <t>Generans Andrés Anaya</t>
  </si>
  <si>
    <t>452200</t>
  </si>
  <si>
    <t>13:01</t>
  </si>
  <si>
    <t>Enviado 30/12/2025, 1:01:29 p. m.</t>
  </si>
  <si>
    <t>32 | ?</t>
  </si>
  <si>
    <t>170000</t>
  </si>
  <si>
    <t>12:39</t>
  </si>
  <si>
    <t>Enviado 30/12/2025, 12:39:54 p. m.</t>
  </si>
  <si>
    <t>Angel Ibarra</t>
  </si>
  <si>
    <t>12:30</t>
  </si>
  <si>
    <t>Enviado 30/12/2025, 12:30:11 p. m.</t>
  </si>
  <si>
    <t>180000</t>
  </si>
  <si>
    <t>12:18</t>
  </si>
  <si>
    <t>Enviado 30/12/2025, 12:18:57 p. m.</t>
  </si>
  <si>
    <t>573026090941</t>
  </si>
  <si>
    <t>12:14</t>
  </si>
  <si>
    <t>Enviado 30/12/2025, 12:14:26 p. m.</t>
  </si>
  <si>
    <t>Jhonny Lidueña</t>
  </si>
  <si>
    <t>573042985233</t>
  </si>
  <si>
    <t>Daniela González</t>
  </si>
  <si>
    <t>11:52</t>
  </si>
  <si>
    <t>Enviado 30/12/2025, 11:52:32 a. m.</t>
  </si>
  <si>
    <t>573004917332</t>
  </si>
  <si>
    <t>11:51</t>
  </si>
  <si>
    <t>Enviado 30/12/2025, 11:51:40 a. m.</t>
  </si>
  <si>
    <t>Daniela Bojanini</t>
  </si>
  <si>
    <t>6000</t>
  </si>
  <si>
    <t>11:39</t>
  </si>
  <si>
    <t>Enviado 30/12/2025, 11:40:24 a. m.</t>
  </si>
  <si>
    <t>Thalia Zambrano</t>
  </si>
  <si>
    <t>10:59</t>
  </si>
  <si>
    <t>Enviado 30/12/2025, 10:59:33 a. m.</t>
  </si>
  <si>
    <t>María José Ospina Burgos</t>
  </si>
  <si>
    <t>10:29</t>
  </si>
  <si>
    <t>Enviado 30/12/2025, 10:30:35 a. m.</t>
  </si>
  <si>
    <t>Leo Ariza Vásquez</t>
  </si>
  <si>
    <t>573226471069</t>
  </si>
  <si>
    <t>81000</t>
  </si>
  <si>
    <t>10:21</t>
  </si>
  <si>
    <t>Enviado 30/12/2025, 10:22:02 a. m.</t>
  </si>
  <si>
    <t>Juan David Orozco</t>
  </si>
  <si>
    <t>111000</t>
  </si>
  <si>
    <t>10:20</t>
  </si>
  <si>
    <t>Enviado 30/12/2025, 10:20:54 a. m.</t>
  </si>
  <si>
    <t>09:58</t>
  </si>
  <si>
    <t>Enviado 30/12/2025, 9:59:07 a. m.</t>
  </si>
  <si>
    <t>Zona 1</t>
  </si>
  <si>
    <t>Sebastian Rodriguez leon</t>
  </si>
  <si>
    <t>210000</t>
  </si>
  <si>
    <t>Enviado 30/12/2025, 9:06:46 a. m.</t>
  </si>
  <si>
    <t>Daniel José Durán Quiroz</t>
  </si>
  <si>
    <t>573018702355</t>
  </si>
  <si>
    <t>08:47</t>
  </si>
  <si>
    <t>Enviado 30/12/2025, 8:48:25 a. m.</t>
  </si>
  <si>
    <t>Zulay Navarro</t>
  </si>
  <si>
    <t>Carrera 41 # 65b-17 TQM - Edificio</t>
  </si>
  <si>
    <t>84000</t>
  </si>
  <si>
    <t>07:39</t>
  </si>
  <si>
    <t>Enviado 30/12/2025, 7:40:01 a. m.</t>
  </si>
  <si>
    <t>573014591116</t>
  </si>
  <si>
    <t>375000</t>
  </si>
  <si>
    <t>07:32</t>
  </si>
  <si>
    <t>Enviado 30/12/2025, 7:33:03 a. m.</t>
  </si>
  <si>
    <t>91000</t>
  </si>
  <si>
    <t>18:30</t>
  </si>
  <si>
    <t>Enviado 29/12/2025, 6:31:07 p. m.</t>
  </si>
  <si>
    <t>45 | ?</t>
  </si>
  <si>
    <t>330000</t>
  </si>
  <si>
    <t>18:28</t>
  </si>
  <si>
    <t>Enviado 29/12/2025, 6:29:01 p. m.</t>
  </si>
  <si>
    <t>570000</t>
  </si>
  <si>
    <t>70000</t>
  </si>
  <si>
    <t>18:23</t>
  </si>
  <si>
    <t>Enviado 29/12/2025, 6:23:54 p. m.</t>
  </si>
  <si>
    <t>Grace Forero</t>
  </si>
  <si>
    <t>312000</t>
  </si>
  <si>
    <t>16:56</t>
  </si>
  <si>
    <t>Enviado 29/12/2025, 4:56:53 p. m.</t>
  </si>
  <si>
    <t>Andrea Gutierrez</t>
  </si>
  <si>
    <t>209000</t>
  </si>
  <si>
    <t>16:39</t>
  </si>
  <si>
    <t>Enviado 29/12/2025, 4:39:36 p. m.</t>
  </si>
  <si>
    <t>16:36</t>
  </si>
  <si>
    <t>Enviado 29/12/2025, 4:37:22 p. m.</t>
  </si>
  <si>
    <t>15:56</t>
  </si>
  <si>
    <t>Enviado 29/12/2025, 3:56:40 p. m.</t>
  </si>
  <si>
    <t>Laura Bent Borrero</t>
  </si>
  <si>
    <t>573108042766</t>
  </si>
  <si>
    <t>86000</t>
  </si>
  <si>
    <t>15:55</t>
  </si>
  <si>
    <t>Enviado 29/12/2025, 3:55:13 p. m.</t>
  </si>
  <si>
    <t>573165317948</t>
  </si>
  <si>
    <t>15:44</t>
  </si>
  <si>
    <t>Enviado 29/12/2025, 3:45:15 p. m.</t>
  </si>
  <si>
    <t>Yuranys Vieira Oviedo</t>
  </si>
  <si>
    <t>573017970570</t>
  </si>
  <si>
    <t>15:32</t>
  </si>
  <si>
    <t>Enviado 29/12/2025, 3:32:26 p. m.</t>
  </si>
  <si>
    <t>15:29</t>
  </si>
  <si>
    <t>Enviado 29/12/2025, 3:29:42 p. m.</t>
  </si>
  <si>
    <t>Melany Andrea Acosta Padilla</t>
  </si>
  <si>
    <t>573146649148</t>
  </si>
  <si>
    <t>Melany Acosta</t>
  </si>
  <si>
    <t>92000</t>
  </si>
  <si>
    <t>15:16</t>
  </si>
  <si>
    <t>Enviado 29/12/2025, 3:16:49 p. m.</t>
  </si>
  <si>
    <t>34000</t>
  </si>
  <si>
    <t>14:36</t>
  </si>
  <si>
    <t>Enviado 29/12/2025, 2:37:17 p. m.</t>
  </si>
  <si>
    <t>Nicolas Rodríguez</t>
  </si>
  <si>
    <t>14:19</t>
  </si>
  <si>
    <t>Enviado 29/12/2025, 2:19:11 p. m.</t>
  </si>
  <si>
    <t>Rita Rangel</t>
  </si>
  <si>
    <t>240000</t>
  </si>
  <si>
    <t>14:13</t>
  </si>
  <si>
    <t>Enviado 29/12/2025, 2:13:47 p. m.</t>
  </si>
  <si>
    <t>claudia pacheco roca</t>
  </si>
  <si>
    <t>53 | ? | ?</t>
  </si>
  <si>
    <t>13:58</t>
  </si>
  <si>
    <t>Enviado 29/12/2025, 1:59:02 p. m.</t>
  </si>
  <si>
    <t>ludwing landazabal</t>
  </si>
  <si>
    <t>88000</t>
  </si>
  <si>
    <t>Enviado 29/12/2025, 1:38:55 p. m.</t>
  </si>
  <si>
    <t>Bleidys Barrios</t>
  </si>
  <si>
    <t>198000</t>
  </si>
  <si>
    <t>13:03</t>
  </si>
  <si>
    <t>Enviado 29/12/2025, 1:04:14 p. m.</t>
  </si>
  <si>
    <t>Juan Carlos Márquez</t>
  </si>
  <si>
    <t>Enviado 29/12/2025, 12:57:39 p. m.</t>
  </si>
  <si>
    <t>573107272834</t>
  </si>
  <si>
    <t>108000</t>
  </si>
  <si>
    <t>12:56</t>
  </si>
  <si>
    <t>Enviado 29/12/2025, 12:56:43 p. m.</t>
  </si>
  <si>
    <t>ana karina lopez</t>
  </si>
  <si>
    <t>30000</t>
  </si>
  <si>
    <t>12:28</t>
  </si>
  <si>
    <t>Enviado 29/12/2025, 12:29:20 p. m.</t>
  </si>
  <si>
    <t>77000</t>
  </si>
  <si>
    <t>12:02</t>
  </si>
  <si>
    <t>Enviado 29/12/2025, 12:03:30 p. m.</t>
  </si>
  <si>
    <t>Darly Rincón</t>
  </si>
  <si>
    <t>237000</t>
  </si>
  <si>
    <t>Enviado 29/12/2025, 11:51:24 a. m.</t>
  </si>
  <si>
    <t>FUNDACION CON AMOR SOCIAL ,</t>
  </si>
  <si>
    <t>10000</t>
  </si>
  <si>
    <t>11:46</t>
  </si>
  <si>
    <t>Enviado 29/12/2025, 11:46:38 a. m.</t>
  </si>
  <si>
    <t>Mauricio Vergara Danies</t>
  </si>
  <si>
    <t>11:36</t>
  </si>
  <si>
    <t>Enviado 29/12/2025, 11:36:46 a. m.</t>
  </si>
  <si>
    <t>Kaira De la hoz</t>
  </si>
  <si>
    <t>573022820261</t>
  </si>
  <si>
    <t>82000</t>
  </si>
  <si>
    <t>11:31</t>
  </si>
  <si>
    <t>Enviado 29/12/2025, 11:31:15 a. m.</t>
  </si>
  <si>
    <t>Dilan Bolaño</t>
  </si>
  <si>
    <t>128000</t>
  </si>
  <si>
    <t>11:20</t>
  </si>
  <si>
    <t>Enviado 29/12/2025, 11:20:48 a. m.</t>
  </si>
  <si>
    <t>Rocío Chapman</t>
  </si>
  <si>
    <t>13053384931</t>
  </si>
  <si>
    <t>228000</t>
  </si>
  <si>
    <t>11:07</t>
  </si>
  <si>
    <t>Enviado 29/12/2025, 11:08:08 a. m.</t>
  </si>
  <si>
    <t>10:22</t>
  </si>
  <si>
    <t>Enviado 29/12/2025, 10:22:42 a. m.</t>
  </si>
  <si>
    <t>Carla Grosso</t>
  </si>
  <si>
    <t>09:40</t>
  </si>
  <si>
    <t>Enviado 29/12/2025, 9:41:25 a. m.</t>
  </si>
  <si>
    <t>Zilary Gamarra</t>
  </si>
  <si>
    <t>103000</t>
  </si>
  <si>
    <t>09:34</t>
  </si>
  <si>
    <t>Enviado 29/12/2025, 9:35:00 a. m.</t>
  </si>
  <si>
    <t>Natalia Gutiérrez</t>
  </si>
  <si>
    <t>358000</t>
  </si>
  <si>
    <t>08:50</t>
  </si>
  <si>
    <t>Enviado 29/12/2025, 8:50:59 a. m.</t>
  </si>
  <si>
    <t>573013708185</t>
  </si>
  <si>
    <t>08:23</t>
  </si>
  <si>
    <t>Enviado 29/12/2025, 8:24:03 a. m.</t>
  </si>
  <si>
    <t>Balerina Herrera</t>
  </si>
  <si>
    <t>300000</t>
  </si>
  <si>
    <t>07:56</t>
  </si>
  <si>
    <t>Enviado 29/12/2025, 7:56:40 a. m.</t>
  </si>
  <si>
    <t>MARIA CLAUDIA 0</t>
  </si>
  <si>
    <t>16:50</t>
  </si>
  <si>
    <t>Enviado 27/12/2025, 4:50:29 p. m.</t>
  </si>
  <si>
    <t>movich ,</t>
  </si>
  <si>
    <t>573007682024</t>
  </si>
  <si>
    <t>16:37</t>
  </si>
  <si>
    <t>Enviado 27/12/2025, 4:38:06 p. m.</t>
  </si>
  <si>
    <t>16:33</t>
  </si>
  <si>
    <t>Enviado 27/12/2025, 4:33:24 p. m.</t>
  </si>
  <si>
    <t>574636715</t>
  </si>
  <si>
    <t>35000</t>
  </si>
  <si>
    <t>16:32</t>
  </si>
  <si>
    <t>Enviado 27/12/2025, 4:32:55 p. m.</t>
  </si>
  <si>
    <t>Elkin salcedo</t>
  </si>
  <si>
    <t>275000</t>
  </si>
  <si>
    <t>16:18</t>
  </si>
  <si>
    <t>Enviado 27/12/2025, 4:19:19 p. m.</t>
  </si>
  <si>
    <t>573016260061</t>
  </si>
  <si>
    <t>15:57</t>
  </si>
  <si>
    <t>Enviado 27/12/2025, 3:58:16 p. m.</t>
  </si>
  <si>
    <t>Centro Cancerologico del Caribe Ltda .</t>
  </si>
  <si>
    <t>573016373200</t>
  </si>
  <si>
    <t>? | ?</t>
  </si>
  <si>
    <t>674400</t>
  </si>
  <si>
    <t>15:36</t>
  </si>
  <si>
    <t>Enviado 27/12/2025, 3:36:24 p. m.</t>
  </si>
  <si>
    <t>Juan conde</t>
  </si>
  <si>
    <t>3300000</t>
  </si>
  <si>
    <t>15:30</t>
  </si>
  <si>
    <t>Enviado 27/12/2025, 3:30:43 p. m.</t>
  </si>
  <si>
    <t>Brandon De alba</t>
  </si>
  <si>
    <t>14:51</t>
  </si>
  <si>
    <t>Enviado 27/12/2025, 2:51:31 p. m.</t>
  </si>
  <si>
    <t>Alejandro Guerrero</t>
  </si>
  <si>
    <t>573168227783</t>
  </si>
  <si>
    <t>14:50</t>
  </si>
  <si>
    <t>Enviado 27/12/2025, 2:50:12 p. m.</t>
  </si>
  <si>
    <t>Hector Duran</t>
  </si>
  <si>
    <t>573164520660</t>
  </si>
  <si>
    <t>Angie Sofía Durán</t>
  </si>
  <si>
    <t>235000</t>
  </si>
  <si>
    <t>14:46</t>
  </si>
  <si>
    <t>Enviado 27/12/2025, 2:46:45 p. m.</t>
  </si>
  <si>
    <t>13:50</t>
  </si>
  <si>
    <t>Enviado 27/12/2025, 1:51:02 p. m.</t>
  </si>
  <si>
    <t>573174986262</t>
  </si>
  <si>
    <t>Daniela Sofía Pineda</t>
  </si>
  <si>
    <t>132000</t>
  </si>
  <si>
    <t>13:45</t>
  </si>
  <si>
    <t>Enviado 27/12/2025, 1:46:00 p. m.</t>
  </si>
  <si>
    <t>13:19</t>
  </si>
  <si>
    <t>Enviado 27/12/2025, 1:20:02 p. m.</t>
  </si>
  <si>
    <t>13:07</t>
  </si>
  <si>
    <t>Enviado 27/12/2025, 1:07:33 p. m.</t>
  </si>
  <si>
    <t>578752057</t>
  </si>
  <si>
    <t>12:52</t>
  </si>
  <si>
    <t>Enviado 27/12/2025, 12:52:48 p. m.</t>
  </si>
  <si>
    <t>Sara Eslait</t>
  </si>
  <si>
    <t>12:13</t>
  </si>
  <si>
    <t>Enviado 27/12/2025, 12:13:37 p. m.</t>
  </si>
  <si>
    <t>573157214282</t>
  </si>
  <si>
    <t>12:05</t>
  </si>
  <si>
    <t>Enviado 27/12/2025, 12:05:15 p. m.</t>
  </si>
  <si>
    <t>alejandro mario dominguez barcelo</t>
  </si>
  <si>
    <t>11:55</t>
  </si>
  <si>
    <t>Enviado 27/12/2025, 11:55:48 a. m.</t>
  </si>
  <si>
    <t>11:37</t>
  </si>
  <si>
    <t>Enviado 27/12/2025, 11:37:40 a. m.</t>
  </si>
  <si>
    <t>servicios y tic n</t>
  </si>
  <si>
    <t>95 | ?</t>
  </si>
  <si>
    <t>96300</t>
  </si>
  <si>
    <t>11:03</t>
  </si>
  <si>
    <t>Enviado 27/12/2025, 11:03:36 a. m.</t>
  </si>
  <si>
    <t>DANIEL RODRÍGUEZ</t>
  </si>
  <si>
    <t>573185164486</t>
  </si>
  <si>
    <t>:3013161730</t>
  </si>
  <si>
    <t>Enviado 27/12/2025, 10:20:33 a. m.</t>
  </si>
  <si>
    <t>Jessica Quintana</t>
  </si>
  <si>
    <t>10:10</t>
  </si>
  <si>
    <t>Enviado 27/12/2025, 10:10:22 a. m.</t>
  </si>
  <si>
    <t>Nicolas Marrugo</t>
  </si>
  <si>
    <t>09:37</t>
  </si>
  <si>
    <t>Enviado 27/12/2025, 9:37:36 a. m.</t>
  </si>
  <si>
    <t>Jaime Andrés García Echeverry</t>
  </si>
  <si>
    <t>573174343404</t>
  </si>
  <si>
    <t>268000</t>
  </si>
  <si>
    <t>09:29</t>
  </si>
  <si>
    <t>Enviado 27/12/2025, 9:29:41 a. m.</t>
  </si>
  <si>
    <t>Carlos Cerro</t>
  </si>
  <si>
    <t>800000</t>
  </si>
  <si>
    <t>09:16</t>
  </si>
  <si>
    <t>Enviado 27/12/2025, 9:16:52 a. m.</t>
  </si>
  <si>
    <t>573126708090</t>
  </si>
  <si>
    <t>Laura gamarra</t>
  </si>
  <si>
    <t>08:53</t>
  </si>
  <si>
    <t>Enviado 27/12/2025, 8:53:37 a. m.</t>
  </si>
  <si>
    <t>573008760327</t>
  </si>
  <si>
    <t>Enviado 27/12/2025, 8:51:16 a. m.</t>
  </si>
  <si>
    <t>20000</t>
  </si>
  <si>
    <t>08:42</t>
  </si>
  <si>
    <t>Enviado 27/12/2025, 8:42:43 a. m.</t>
  </si>
  <si>
    <t>movich .</t>
  </si>
  <si>
    <t>08:32</t>
  </si>
  <si>
    <t>Enviado 27/12/2025, 8:32:17 a. m.</t>
  </si>
  <si>
    <t>07:51</t>
  </si>
  <si>
    <t>Elías Marchena</t>
  </si>
  <si>
    <t>165000</t>
  </si>
  <si>
    <t>18:40</t>
  </si>
  <si>
    <t>Enviado 26/12/2025, 6:40:25 p. m.</t>
  </si>
  <si>
    <t>103500</t>
  </si>
  <si>
    <t>18:39</t>
  </si>
  <si>
    <t>Enviado 26/12/2025, 6:39:52 p. m.</t>
  </si>
  <si>
    <t>63000</t>
  </si>
  <si>
    <t>17:38</t>
  </si>
  <si>
    <t>Enviado 26/12/2025, 5:38:19 p. m.</t>
  </si>
  <si>
    <t>17:32</t>
  </si>
  <si>
    <t>Enviado 26/12/2025, 5:32:53 p. m.</t>
  </si>
  <si>
    <t>22000</t>
  </si>
  <si>
    <t>Enviado 26/12/2025, 5:29:40 p. m.</t>
  </si>
  <si>
    <t>60000</t>
  </si>
  <si>
    <t>17:26</t>
  </si>
  <si>
    <t>Enviado 26/12/2025, 5:27:16 p. m.</t>
  </si>
  <si>
    <t>caty yacaman</t>
  </si>
  <si>
    <t>700000</t>
  </si>
  <si>
    <t>17:19</t>
  </si>
  <si>
    <t>Enviado 26/12/2025, 5:20:01 p. m.</t>
  </si>
  <si>
    <t>David Paredes Labrador</t>
  </si>
  <si>
    <t>190000</t>
  </si>
  <si>
    <t>17:11</t>
  </si>
  <si>
    <t>Enviado 26/12/2025, 5:12:05 p. m.</t>
  </si>
  <si>
    <t>118000</t>
  </si>
  <si>
    <t>Enviado 26/12/2025, 4:38:14 p. m.</t>
  </si>
  <si>
    <t>Antonio Yaspe</t>
  </si>
  <si>
    <t>388000</t>
  </si>
  <si>
    <t>16:06</t>
  </si>
  <si>
    <t>Enviado 26/12/2025, 4:07:06 p. m.</t>
  </si>
  <si>
    <t>36000</t>
  </si>
  <si>
    <t>16:02</t>
  </si>
  <si>
    <t>Enviado 26/12/2025, 4:03:06 p. m.</t>
  </si>
  <si>
    <t>573002709518</t>
  </si>
  <si>
    <t>46000</t>
  </si>
  <si>
    <t>15:45</t>
  </si>
  <si>
    <t>Enviado 26/12/2025, 3:45:29 p. m.</t>
  </si>
  <si>
    <t>15:34</t>
  </si>
  <si>
    <t>Enviado 26/12/2025, 3:34:19 p. m.</t>
  </si>
  <si>
    <t>Enviado 26/12/2025, 3:29:20 p. m.</t>
  </si>
  <si>
    <t>15:26</t>
  </si>
  <si>
    <t>Enviado 26/12/2025, 3:27:12 p. m.</t>
  </si>
  <si>
    <t>Isabella Bonilla</t>
  </si>
  <si>
    <t>Enviado 26/12/2025, 2:51:37 p. m.</t>
  </si>
  <si>
    <t>MARIA ANGELICA Ruiz</t>
  </si>
  <si>
    <t>98000</t>
  </si>
  <si>
    <t>14:23</t>
  </si>
  <si>
    <t>Enviado 26/12/2025, 2:23:15 p. m.</t>
  </si>
  <si>
    <t>Daniella Llinas</t>
  </si>
  <si>
    <t>Enviado 26/12/2025, 2:21:17 p. m.</t>
  </si>
  <si>
    <t>Enviado 26/12/2025, 12:30:54 p. m.</t>
  </si>
  <si>
    <t>12:20</t>
  </si>
  <si>
    <t>Enviado 26/12/2025, 12:20:20 p. m.</t>
  </si>
  <si>
    <t>nicolle amin</t>
  </si>
  <si>
    <t>12:12</t>
  </si>
  <si>
    <t>Enviado 26/12/2025, 12:12:56 p. m.</t>
  </si>
  <si>
    <t>DANIELA PAOLA BRUGÉS YEPES</t>
  </si>
  <si>
    <t>142000</t>
  </si>
  <si>
    <t>11:58</t>
  </si>
  <si>
    <t>Enviado 26/12/2025, 11:58:53 a. m.</t>
  </si>
  <si>
    <t>11:24</t>
  </si>
  <si>
    <t>Enviado 26/12/2025, 11:24:59 a. m.</t>
  </si>
  <si>
    <t>Karen Kopp</t>
  </si>
  <si>
    <t>573012185289</t>
  </si>
  <si>
    <t>11:08</t>
  </si>
  <si>
    <t>Enviado 26/12/2025, 11:08:22 a. m.</t>
  </si>
  <si>
    <t>Sergio Sandoval Llanos</t>
  </si>
  <si>
    <t>508000</t>
  </si>
  <si>
    <t>Enviado 26/12/2025, 11:00:30 a. m.</t>
  </si>
  <si>
    <t>10:34</t>
  </si>
  <si>
    <t>Enviado 26/12/2025, 10:34:25 a. m.</t>
  </si>
  <si>
    <t>Laura Moncayo</t>
  </si>
  <si>
    <t>10:31</t>
  </si>
  <si>
    <t>Enviado 26/12/2025, 10:31:32 a. m.</t>
  </si>
  <si>
    <t>JESUS LEON INSIGNARES</t>
  </si>
  <si>
    <t>510000</t>
  </si>
  <si>
    <t>10:24</t>
  </si>
  <si>
    <t>Enviado 26/12/2025, 10:24:40 a. m.</t>
  </si>
  <si>
    <t>Fabio Mendez</t>
  </si>
  <si>
    <t>Flora Box Redonda 24 Rosas de Jardín</t>
  </si>
  <si>
    <t>10:11</t>
  </si>
  <si>
    <t>Enviado 26/12/2025, 10:11:52 a. m.</t>
  </si>
  <si>
    <t>Beatriz Velez</t>
  </si>
  <si>
    <t>195000</t>
  </si>
  <si>
    <t>10:03</t>
  </si>
  <si>
    <t>Enviado 26/12/2025, 10:04:05 a. m.</t>
  </si>
  <si>
    <t>Michael David Contreras Merchan</t>
  </si>
  <si>
    <t>09:59</t>
  </si>
  <si>
    <t>Enviado 26/12/2025, 9:59:56 a. m.</t>
  </si>
  <si>
    <t>Miguel Borrero</t>
  </si>
  <si>
    <t>573007011327</t>
  </si>
  <si>
    <t>Adriana Martínez</t>
  </si>
  <si>
    <t>09:57</t>
  </si>
  <si>
    <t>Enviado 26/12/2025, 9:58:11 a. m.</t>
  </si>
  <si>
    <t>08:00</t>
  </si>
  <si>
    <t>Enviado 26/12/2025, 8:00:34 a. m.</t>
  </si>
  <si>
    <t>07:55</t>
  </si>
  <si>
    <t>Enviado 26/12/2025, 7:55:53 a. m.</t>
  </si>
  <si>
    <t>925000</t>
  </si>
  <si>
    <t>07:45</t>
  </si>
  <si>
    <t>Enviado 26/12/2025, 7:45:44 a. m.</t>
  </si>
  <si>
    <t>JEANNINE CAICEDO</t>
  </si>
  <si>
    <t>Cra 56 no 80-163, apto 4B, edificio Scala - Casa</t>
  </si>
  <si>
    <t>07:42</t>
  </si>
  <si>
    <t>Enviado 26/12/2025, 7:42:51 a. m.</t>
  </si>
  <si>
    <t>Enviado 24/12/2025, 2:20:36 p. m.</t>
  </si>
  <si>
    <t>225000</t>
  </si>
  <si>
    <t>14:15</t>
  </si>
  <si>
    <t>Enviado 24/12/2025, 2:15:59 p. m.</t>
  </si>
  <si>
    <t>310000</t>
  </si>
  <si>
    <t>13:39</t>
  </si>
  <si>
    <t>Enviado 24/12/2025, 1:39:43 p. m.</t>
  </si>
  <si>
    <t>13:02</t>
  </si>
  <si>
    <t>Enviado 24/12/2025, 1:15:29 p. m.</t>
  </si>
  <si>
    <t>12:44</t>
  </si>
  <si>
    <t>Enviado 24/12/2025, 12:44:40 p. m.</t>
  </si>
  <si>
    <t>Yucelis De la Torre</t>
  </si>
  <si>
    <t>Enviado 24/12/2025, 12:39:10 p. m.</t>
  </si>
  <si>
    <t>12:31</t>
  </si>
  <si>
    <t>Enviado 24/12/2025, 12:32:22 p. m.</t>
  </si>
  <si>
    <t>Jessica Suarez</t>
  </si>
  <si>
    <t>208000</t>
  </si>
  <si>
    <t>12:16</t>
  </si>
  <si>
    <t>Enviado 24/12/2025, 12:16:19 p. m.</t>
  </si>
  <si>
    <t>Daniel Baute</t>
  </si>
  <si>
    <t>288000</t>
  </si>
  <si>
    <t>Enviado 24/12/2025, 12:14:05 p. m.</t>
  </si>
  <si>
    <t>Ayda Luciana Cabarcas</t>
  </si>
  <si>
    <t>136000</t>
  </si>
  <si>
    <t>12:00</t>
  </si>
  <si>
    <t>Enviado 24/12/2025, 12:00:56 p. m.</t>
  </si>
  <si>
    <t>Walterio Guardiola</t>
  </si>
  <si>
    <t>Enviado 24/12/2025, 11:37:43 a. m.</t>
  </si>
  <si>
    <t>45000</t>
  </si>
  <si>
    <t>11:27</t>
  </si>
  <si>
    <t>Enviado 24/12/2025, 11:27:51 a. m.</t>
  </si>
  <si>
    <t>573205449072</t>
  </si>
  <si>
    <t>Jennifer Bayona</t>
  </si>
  <si>
    <t>137000</t>
  </si>
  <si>
    <t>11:11</t>
  </si>
  <si>
    <t>Enviado 24/12/2025, 11:12:31 a. m.</t>
  </si>
  <si>
    <t>Eduardo Samper</t>
  </si>
  <si>
    <t>110000</t>
  </si>
  <si>
    <t>10:26</t>
  </si>
  <si>
    <t>Enviado 24/12/2025, 10:26:33 a. m.</t>
  </si>
  <si>
    <t xml:space="preserve">Irina </t>
  </si>
  <si>
    <t>09:48</t>
  </si>
  <si>
    <t>Enviado 24/12/2025, 10:00:06 a. m.</t>
  </si>
  <si>
    <t>Eduin Bravo</t>
  </si>
  <si>
    <t>Enviado 24/12/2025, 9:41:23 a. m.</t>
  </si>
  <si>
    <t>María estela Páez better</t>
  </si>
  <si>
    <t>09:32</t>
  </si>
  <si>
    <t>Enviado 24/12/2025, 9:32:15 a. m.</t>
  </si>
  <si>
    <t>Daniel Merchan</t>
  </si>
  <si>
    <t>09:09</t>
  </si>
  <si>
    <t>Enviado 24/12/2025, 9:09:27 a. m.</t>
  </si>
  <si>
    <t>Dorian Mercado</t>
  </si>
  <si>
    <t>09:04</t>
  </si>
  <si>
    <t>Enviado 24/12/2025, 9:04:45 a. m.</t>
  </si>
  <si>
    <t>alvaro rodríguez</t>
  </si>
  <si>
    <t>105000</t>
  </si>
  <si>
    <t>09:01</t>
  </si>
  <si>
    <t>Enviado 24/12/2025, 9:02:02 a. m.</t>
  </si>
  <si>
    <t>Carolina Portilla Munevar</t>
  </si>
  <si>
    <t>Enviado 24/12/2025, 8:50:15 a. m.</t>
  </si>
  <si>
    <t>08:49</t>
  </si>
  <si>
    <t>Enviado 24/12/2025, 8:49:42 a. m.</t>
  </si>
  <si>
    <t>Nicolás Galeano Bolaño</t>
  </si>
  <si>
    <t>08:35</t>
  </si>
  <si>
    <t>Enviado 24/12/2025, 8:35:41 a. m.</t>
  </si>
  <si>
    <t>Apto 1202 torre 4 - Conjunto</t>
  </si>
  <si>
    <t>08:34</t>
  </si>
  <si>
    <t>Enviado 24/12/2025, 8:34:14 a. m.</t>
  </si>
  <si>
    <t>Liz Acuña Menco</t>
  </si>
  <si>
    <t>08:29</t>
  </si>
  <si>
    <t>Enviado 24/12/2025, 8:29:43 a. m.</t>
  </si>
  <si>
    <t>Daniela Castro jaramillo</t>
  </si>
  <si>
    <t>08:17</t>
  </si>
  <si>
    <t>Enviado 24/12/2025, 8:18:04 a. m.</t>
  </si>
  <si>
    <t>52000</t>
  </si>
  <si>
    <t>07:37</t>
  </si>
  <si>
    <t>Enviado 24/12/2025, 7:37:17 a. m.</t>
  </si>
  <si>
    <t>Cra 52 # 82-253 edificio riu 52 apto 401 - Casa</t>
  </si>
  <si>
    <t>07:21</t>
  </si>
  <si>
    <t>Enviado 24/12/2025, 7:21:46 a. m.</t>
  </si>
  <si>
    <t>Sánchez y ortiz abogados S.A.S. Sánchez y ortiz abogados S.A.S.</t>
  </si>
  <si>
    <t>365000</t>
  </si>
  <si>
    <t>18:34</t>
  </si>
  <si>
    <t>Enviado 23/12/2025, 6:34:54 p. m.</t>
  </si>
  <si>
    <t>Jose Sarue Betancourt</t>
  </si>
  <si>
    <t>Enviado 23/12/2025, 6:28:31 p. m.</t>
  </si>
  <si>
    <t>18:05</t>
  </si>
  <si>
    <t>Enviado 23/12/2025, 6:05:36 p. m.</t>
  </si>
  <si>
    <t>Dexter Rodríguez Díaz</t>
  </si>
  <si>
    <t>17:25</t>
  </si>
  <si>
    <t>Enviado 23/12/2025, 5:25:09 p. m.</t>
  </si>
  <si>
    <t>573022977046</t>
  </si>
  <si>
    <t>17:03</t>
  </si>
  <si>
    <t>Enviado 23/12/2025, 5:03:39 p. m.</t>
  </si>
  <si>
    <t>Aarón Suaza</t>
  </si>
  <si>
    <t>147000</t>
  </si>
  <si>
    <t>16:57</t>
  </si>
  <si>
    <t>Enviado 23/12/2025, 4:51:01 p. m.</t>
  </si>
  <si>
    <t>573122968193</t>
  </si>
  <si>
    <t>16:47</t>
  </si>
  <si>
    <t>Enviado 23/12/2025, 4:48:17 p. m.</t>
  </si>
  <si>
    <t>Jose H</t>
  </si>
  <si>
    <t>573012574632</t>
  </si>
  <si>
    <t>277000</t>
  </si>
  <si>
    <t>16:40</t>
  </si>
  <si>
    <t>Enviado 23/12/2025, 4:40:40 p. m.</t>
  </si>
  <si>
    <t>Daniela Gutierrez</t>
  </si>
  <si>
    <t>#ERROR! ()</t>
  </si>
  <si>
    <t>290000</t>
  </si>
  <si>
    <t>Enviado 23/12/2025, 4:18:24 p. m.</t>
  </si>
  <si>
    <t>Enviado 23/12/2025, 3:57:59 p. m.</t>
  </si>
  <si>
    <t>405000</t>
  </si>
  <si>
    <t>15:53</t>
  </si>
  <si>
    <t>Enviado 23/12/2025, 3:53:58 p. m.</t>
  </si>
  <si>
    <t>Alana Alean</t>
  </si>
  <si>
    <t>573006435027</t>
  </si>
  <si>
    <t>Enviado 23/12/2025, 3:45:55 p. m.</t>
  </si>
  <si>
    <t>Monica Jaramillo</t>
  </si>
  <si>
    <t>512000</t>
  </si>
  <si>
    <t>15:00</t>
  </si>
  <si>
    <t>Enviado 23/12/2025, 3:00:34 p. m.</t>
  </si>
  <si>
    <t>Ana Marcela Padilla</t>
  </si>
  <si>
    <t>14:58</t>
  </si>
  <si>
    <t>Enviado 23/12/2025, 2:58:44 p. m.</t>
  </si>
  <si>
    <t>148000</t>
  </si>
  <si>
    <t>14:56</t>
  </si>
  <si>
    <t>Enviado 23/12/2025, 2:56:46 p. m.</t>
  </si>
  <si>
    <t>Zaella Altahona</t>
  </si>
  <si>
    <t>830000</t>
  </si>
  <si>
    <t>14:22</t>
  </si>
  <si>
    <t>Enviado 23/12/2025, 2:22:40 p. m.</t>
  </si>
  <si>
    <t>David Safi gomez</t>
  </si>
  <si>
    <t>22 | ?</t>
  </si>
  <si>
    <t>14:05</t>
  </si>
  <si>
    <t>Enviado 23/12/2025, 2:05:51 p. m.</t>
  </si>
  <si>
    <t>573005754818</t>
  </si>
  <si>
    <t>13:59</t>
  </si>
  <si>
    <t>Enviado 23/12/2025, 1:59:53 p. m.</t>
  </si>
  <si>
    <t>Christian Rojas</t>
  </si>
  <si>
    <t>425000</t>
  </si>
  <si>
    <t>13:40</t>
  </si>
  <si>
    <t>Enviado 23/12/2025, 1:40:10 p. m.</t>
  </si>
  <si>
    <t>Melany Pabon hernandez</t>
  </si>
  <si>
    <t>13:36</t>
  </si>
  <si>
    <t>Enviado 23/12/2025, 1:36:15 p. m.</t>
  </si>
  <si>
    <t>13:33</t>
  </si>
  <si>
    <t>Enviado 23/12/2025, 1:33:34 p. m.</t>
  </si>
  <si>
    <t>Enviado 23/12/2025, 1:19:07 p. m.</t>
  </si>
  <si>
    <t>573162750854</t>
  </si>
  <si>
    <t>13:16</t>
  </si>
  <si>
    <t>Enviado 23/12/2025, 1:16:13 p. m.</t>
  </si>
  <si>
    <t>13:12</t>
  </si>
  <si>
    <t>Enviado 23/12/2025, 1:13:00 p. m.</t>
  </si>
  <si>
    <t>Jose Esmeral</t>
  </si>
  <si>
    <t>370000</t>
  </si>
  <si>
    <t>Enviado 23/12/2025, 12:39:15 p. m.</t>
  </si>
  <si>
    <t>Erika Arevalo</t>
  </si>
  <si>
    <t>Enviado 23/12/2025, 12:30:45 p. m.</t>
  </si>
  <si>
    <t>EMPATHY SOLUCIONES CORPORATIVAS S.A.S Empresa</t>
  </si>
  <si>
    <t>178600</t>
  </si>
  <si>
    <t>Enviado 23/12/2025, 12:20:14 p. m.</t>
  </si>
  <si>
    <t>1500000</t>
  </si>
  <si>
    <t>Enviado 23/12/2025, 12:06:13 p. m.</t>
  </si>
  <si>
    <t>Orlando Tete</t>
  </si>
  <si>
    <t>11:42</t>
  </si>
  <si>
    <t>Enviado 23/12/2025, 11:42:31 a. m.</t>
  </si>
  <si>
    <t>11:34</t>
  </si>
  <si>
    <t>Enviado 23/12/2025, 11:34:58 a. m.</t>
  </si>
  <si>
    <t>Edificio Speranza - Edificio</t>
  </si>
  <si>
    <t>565000</t>
  </si>
  <si>
    <t>Enviado 23/12/2025, 11:20:24 a. m.</t>
  </si>
  <si>
    <t>JULIAN ANDRES DE HOYOS LARIOS</t>
  </si>
  <si>
    <t>Enviado 23/12/2025, 11:04:08 a. m.</t>
  </si>
  <si>
    <t>Gisela Gallo</t>
  </si>
  <si>
    <t>141000</t>
  </si>
  <si>
    <t>Enviado 23/12/2025, 10:35:54 a. m.</t>
  </si>
  <si>
    <t>Corporación Marymount N</t>
  </si>
  <si>
    <t>250000</t>
  </si>
  <si>
    <t>Enviado 23/12/2025, 10:18:11 a. m.</t>
  </si>
  <si>
    <t>Andrés Arturo Carrero Martínez</t>
  </si>
  <si>
    <t>262000</t>
  </si>
  <si>
    <t>10:13</t>
  </si>
  <si>
    <t>Enviado 23/12/2025, 10:13:53 a. m.</t>
  </si>
  <si>
    <t>Jonathan Urrea</t>
  </si>
  <si>
    <t>85000</t>
  </si>
  <si>
    <t>10:02</t>
  </si>
  <si>
    <t>Enviado 23/12/2025, 10:02:27 a. m.</t>
  </si>
  <si>
    <t>70 | ?</t>
  </si>
  <si>
    <t>Enviado 23/12/2025, 9:57:41 a. m.</t>
  </si>
  <si>
    <t>henry enciso</t>
  </si>
  <si>
    <t>Enviado 23/12/2025, 9:48:55 a. m.</t>
  </si>
  <si>
    <t>Luciana Campo</t>
  </si>
  <si>
    <t>09:35</t>
  </si>
  <si>
    <t>Enviado 23/12/2025, 9:35:13 a. m.</t>
  </si>
  <si>
    <t>Aminta Vizcaino Mercado</t>
  </si>
  <si>
    <t>09:27</t>
  </si>
  <si>
    <t>Enviado 23/12/2025, 9:28:17 a. m.</t>
  </si>
  <si>
    <t>09:21</t>
  </si>
  <si>
    <t>Enviado 23/12/2025, 9:21:05 a. m.</t>
  </si>
  <si>
    <t>jeff edwards</t>
  </si>
  <si>
    <t>09:03</t>
  </si>
  <si>
    <t>Enviado 23/12/2025, 9:03:24 a. m.</t>
  </si>
  <si>
    <t>Alfredo Lacouture</t>
  </si>
  <si>
    <t>204000</t>
  </si>
  <si>
    <t>08:48</t>
  </si>
  <si>
    <t>Enviado 23/12/2025, 8:48:56 a. m.</t>
  </si>
  <si>
    <t>Oscar Fonseca</t>
  </si>
  <si>
    <t>398000</t>
  </si>
  <si>
    <t>08:37</t>
  </si>
  <si>
    <t>Enviado 23/12/2025, 8:37:39 a. m.</t>
  </si>
  <si>
    <t>CARLOS OLIVELLA</t>
  </si>
  <si>
    <t>408000</t>
  </si>
  <si>
    <t>08:12</t>
  </si>
  <si>
    <t>Enviado 23/12/2025, 8:12:14 a. m.</t>
  </si>
  <si>
    <t>07:25</t>
  </si>
  <si>
    <t>Enviado 23/12/2025, 7:25:33 a. m.</t>
  </si>
  <si>
    <t>María Fernanda Santander</t>
  </si>
  <si>
    <t>18:09</t>
  </si>
  <si>
    <t>Enviado 22/12/2025, 6:10:12 p. m.</t>
  </si>
  <si>
    <t>Nazly Mulford</t>
  </si>
  <si>
    <t>18:00</t>
  </si>
  <si>
    <t>Enviado 22/12/2025, 6:01:01 p. m.</t>
  </si>
  <si>
    <t>Javier Tous</t>
  </si>
  <si>
    <t>17:59</t>
  </si>
  <si>
    <t>Enviado 22/12/2025, 5:59:13 p. m.</t>
  </si>
  <si>
    <t>zona 5</t>
  </si>
  <si>
    <t>17:49</t>
  </si>
  <si>
    <t>Enviado 22/12/2025, 5:49:55 p. m.</t>
  </si>
  <si>
    <t>50000</t>
  </si>
  <si>
    <t>16:45</t>
  </si>
  <si>
    <t>Enviado 22/12/2025, 4:45:40 p. m.</t>
  </si>
  <si>
    <t>Enrique Blanco</t>
  </si>
  <si>
    <t>167000</t>
  </si>
  <si>
    <t>Enviado 22/12/2025, 4:36:59 p. m.</t>
  </si>
  <si>
    <t>Valentina Dorado</t>
  </si>
  <si>
    <t>217000</t>
  </si>
  <si>
    <t>16:29</t>
  </si>
  <si>
    <t>Enviado 22/12/2025, 4:29:29 p. m.</t>
  </si>
  <si>
    <t>Enviado 22/12/2025, 4:27:11 p. m.</t>
  </si>
  <si>
    <t>16:26</t>
  </si>
  <si>
    <t>Enviado 22/12/2025, 4:26:19 p. m.</t>
  </si>
  <si>
    <t>16:22</t>
  </si>
  <si>
    <t>Enviado 22/12/2025, 4:22:45 p. m.</t>
  </si>
  <si>
    <t>16:17</t>
  </si>
  <si>
    <t>Enviado 22/12/2025, 4:17:37 p. m.</t>
  </si>
  <si>
    <t>Karen Peña</t>
  </si>
  <si>
    <t>16:15</t>
  </si>
  <si>
    <t>Enviado 22/12/2025, 4:15:49 p. m.</t>
  </si>
  <si>
    <t>16:03</t>
  </si>
  <si>
    <t>Enviado 22/12/2025, 4:03:28 p. m.</t>
  </si>
  <si>
    <t>Enviado 22/12/2025, 3:57:56 p. m.</t>
  </si>
  <si>
    <t>Enviado 22/12/2025, 3:56:29 p. m.</t>
  </si>
  <si>
    <t>Maria Drombo</t>
  </si>
  <si>
    <t>206000</t>
  </si>
  <si>
    <t>15:49</t>
  </si>
  <si>
    <t>Enviado 22/12/2025, 3:49:18 p. m.</t>
  </si>
  <si>
    <t>Santiago Fernandez</t>
  </si>
  <si>
    <t>226000</t>
  </si>
  <si>
    <t>15:43</t>
  </si>
  <si>
    <t>Enviado 22/12/2025, 3:43:50 p. m.</t>
  </si>
  <si>
    <t>160000</t>
  </si>
  <si>
    <t>Enviado 22/12/2025, 3:32:11 p. m.</t>
  </si>
  <si>
    <t>Enviado 22/12/2025, 3:29:22 p. m.</t>
  </si>
  <si>
    <t>Sofía Álvarez Agudelo</t>
  </si>
  <si>
    <t>13:32</t>
  </si>
  <si>
    <t>Enviado 22/12/2025, 1:32:35 p. m.</t>
  </si>
  <si>
    <t>13:29</t>
  </si>
  <si>
    <t>Enviado 22/12/2025, 1:29:46 p. m.</t>
  </si>
  <si>
    <t>Maria Daniela Guzman Gordon</t>
  </si>
  <si>
    <t>13:17</t>
  </si>
  <si>
    <t>Enviado 22/12/2025, 1:17:27 p. m.</t>
  </si>
  <si>
    <t>Sánchez y ortiz abogados sas Sánchez y ortiz abogados sas</t>
  </si>
  <si>
    <t>267800</t>
  </si>
  <si>
    <t>Enviado 22/12/2025, 1:05:47 p. m.</t>
  </si>
  <si>
    <t>B&amp;A INGENIERIA Y CONSTRUCCIONES SAS m</t>
  </si>
  <si>
    <t>12:35</t>
  </si>
  <si>
    <t>Enviado 22/12/2025, 12:35:31 p. m.</t>
  </si>
  <si>
    <t>12:24</t>
  </si>
  <si>
    <t>Enviado 22/12/2025, 12:24:52 p. m.</t>
  </si>
  <si>
    <t>Thalia Isaza</t>
  </si>
  <si>
    <t>12:06</t>
  </si>
  <si>
    <t>Enviado 22/12/2025, 12:06:08 p. m.</t>
  </si>
  <si>
    <t>Santiago Lobo</t>
  </si>
  <si>
    <t>11:43</t>
  </si>
  <si>
    <t>Enviado 22/12/2025, 11:43:43 a. m.</t>
  </si>
  <si>
    <t>417000</t>
  </si>
  <si>
    <t>11:10</t>
  </si>
  <si>
    <t>Enviado 22/12/2025, 11:10:04 a. m.</t>
  </si>
  <si>
    <t>10:32</t>
  </si>
  <si>
    <t>Enviado 22/12/2025, 10:32:21 a. m.</t>
  </si>
  <si>
    <t>Enviado 22/12/2025, 10:27:15 a. m.</t>
  </si>
  <si>
    <t>280000</t>
  </si>
  <si>
    <t>09:33</t>
  </si>
  <si>
    <t>Enviado 22/12/2025, 9:33:08 a. m.</t>
  </si>
  <si>
    <t>Enviado 22/12/2025, 9:28:01 a. m.</t>
  </si>
  <si>
    <t>Juan Sanchez</t>
  </si>
  <si>
    <t>320000</t>
  </si>
  <si>
    <t>09:07</t>
  </si>
  <si>
    <t>Enviado 22/12/2025, 9:07:46 a. m.</t>
  </si>
  <si>
    <t>Aldair Molina Mendoza</t>
  </si>
  <si>
    <t>720000</t>
  </si>
  <si>
    <t>Enviado 22/12/2025, 8:50:25 a. m.</t>
  </si>
  <si>
    <t>Enviado 22/12/2025, 8:50:05 a. m.</t>
  </si>
  <si>
    <t>MARIA  CLAUDIA LEAL</t>
  </si>
  <si>
    <t>08:25</t>
  </si>
  <si>
    <t>Enviado 22/12/2025, 8:25:50 a. m.</t>
  </si>
  <si>
    <t>Alfonso Vergara</t>
  </si>
  <si>
    <t>710000</t>
  </si>
  <si>
    <t>08:11</t>
  </si>
  <si>
    <t>Enviado 22/12/2025, 8:11:18 a. m.</t>
  </si>
  <si>
    <t>Enviado 22/12/2025, 7:57:17 a. m.</t>
  </si>
  <si>
    <t>Karla Olivares Vigles</t>
  </si>
  <si>
    <t>367000</t>
  </si>
  <si>
    <t>Enviado 20/12/2025, 4:26:53 p. m.</t>
  </si>
  <si>
    <t>Diana Bonfante</t>
  </si>
  <si>
    <t>16:23</t>
  </si>
  <si>
    <t>Enviado 20/12/2025, 4:23:48 p. m.</t>
  </si>
  <si>
    <t>Silvana Zabaraín</t>
  </si>
  <si>
    <t>16:20</t>
  </si>
  <si>
    <t>Enviado 20/12/2025, 4:20:54 p. m.</t>
  </si>
  <si>
    <t>Antonio María Martínez</t>
  </si>
  <si>
    <t>15:47</t>
  </si>
  <si>
    <t>Enviado 20/12/2025, 3:47:46 p. m.</t>
  </si>
  <si>
    <t>guillermo ferrerira</t>
  </si>
  <si>
    <t>517000</t>
  </si>
  <si>
    <t>15:41</t>
  </si>
  <si>
    <t>Enviado 20/12/2025, 3:41:39 p. m.</t>
  </si>
  <si>
    <t>Kelly Forero Bonett</t>
  </si>
  <si>
    <t>carrera 41d#82-52 - Casa</t>
  </si>
  <si>
    <t>15:17</t>
  </si>
  <si>
    <t>Enviado 20/12/2025, 3:17:18 p. m.</t>
  </si>
  <si>
    <t>Emilio Sanchez Cabeza</t>
  </si>
  <si>
    <t>161000</t>
  </si>
  <si>
    <t>Enviado 20/12/2025, 1:32:43 p. m.</t>
  </si>
  <si>
    <t>Juan Rendon</t>
  </si>
  <si>
    <t>Enviado 19/12/2025, 4:48:01 p. m.</t>
  </si>
  <si>
    <t>270000</t>
  </si>
  <si>
    <t>Enviado 19/12/2025, 1:39:00 p. m.</t>
  </si>
  <si>
    <t>Carlos Martínez Fernández</t>
  </si>
  <si>
    <t>Apartamento 302 B - Edificio</t>
  </si>
  <si>
    <t>Enviado 19/12/2025, 12:24:13 p. m.</t>
  </si>
  <si>
    <t>movich m</t>
  </si>
  <si>
    <t>15:27</t>
  </si>
  <si>
    <t>Enviado 18/12/2025, 3:27:45 p. m.</t>
  </si>
  <si>
    <t>Kika Romero</t>
  </si>
  <si>
    <t>Enviado 18/12/2025, 12:31:55 p. m.</t>
  </si>
  <si>
    <t>movich M</t>
  </si>
  <si>
    <t>07:14</t>
  </si>
  <si>
    <t>Enviado 17/12/2025, 7:14:49 a. m.</t>
  </si>
  <si>
    <t>17:47</t>
  </si>
  <si>
    <t>Enviado 16/12/2025, 5:47:36 p. m.</t>
  </si>
  <si>
    <t>Tifanny Goad</t>
  </si>
  <si>
    <t>51 | ?</t>
  </si>
  <si>
    <t>Enviado 16/12/2025, 1:39:59 p. m.</t>
  </si>
  <si>
    <t>41 | ?</t>
  </si>
  <si>
    <t>Enviado 16/12/2025, 1:38:50 p. m.</t>
  </si>
  <si>
    <t>350000</t>
  </si>
  <si>
    <t>11:28</t>
  </si>
  <si>
    <t>Enviado 16/12/2025, 11:28:14 a. m.</t>
  </si>
  <si>
    <t>Claret Camargo</t>
  </si>
  <si>
    <t>163000</t>
  </si>
  <si>
    <t>18:45</t>
  </si>
  <si>
    <t>Enviado 15/12/2025, 6:45:46 p. m.</t>
  </si>
  <si>
    <t>Humberto de Armas</t>
  </si>
  <si>
    <t>08:54</t>
  </si>
  <si>
    <t>Enviado 5/1/2026, 8:54:41 a. m.</t>
  </si>
  <si>
    <t>Andrea Yepez</t>
  </si>
  <si>
    <t>09:05</t>
  </si>
  <si>
    <t>Enviado 5/1/2026, 9:06:20 a. m.</t>
  </si>
  <si>
    <t>Enviado 5/1/2026, 9:59:54 a. m.</t>
  </si>
  <si>
    <t>Enviado 5/1/2026, 10:03:53 a. m.</t>
  </si>
  <si>
    <t>Maryuris Vargas</t>
  </si>
  <si>
    <t>Enviado 5/1/2026, 10:17:19 a. m.</t>
  </si>
  <si>
    <t>27000</t>
  </si>
  <si>
    <t>10:23</t>
  </si>
  <si>
    <t>Enviado 5/1/2026, 10:23:54 a. m.</t>
  </si>
  <si>
    <t>10:30</t>
  </si>
  <si>
    <t>Enviado 5/1/2026, 10:30:26 a. m.</t>
  </si>
  <si>
    <t>Juan Camilo Rodelo Navarro</t>
  </si>
  <si>
    <t>10:42</t>
  </si>
  <si>
    <t>Enviado 5/1/2026, 10:42:32 a. m.</t>
  </si>
  <si>
    <t>Fabian Cantillo Navas</t>
  </si>
  <si>
    <t>11:02</t>
  </si>
  <si>
    <t>Enviado 5/1/2026, 11:03:20 a. m.</t>
  </si>
  <si>
    <t>573005869319</t>
  </si>
  <si>
    <t>11:21</t>
  </si>
  <si>
    <t>Enviado 5/1/2026, 11:21:42 a. m.</t>
  </si>
  <si>
    <t>Enviado 5/1/2026, 11:52:02 a. m.</t>
  </si>
  <si>
    <t>318000</t>
  </si>
  <si>
    <t>Enviado 5/1/2026, 11:52:53 a. m.</t>
  </si>
  <si>
    <t>Enviado 5/1/2026, 12:03:14 p. m.</t>
  </si>
  <si>
    <t>Jacobo Jaramillo Calle</t>
  </si>
  <si>
    <t>573012089960</t>
  </si>
  <si>
    <t>Enviado 5/1/2026, 12:03:08 p. m.</t>
  </si>
  <si>
    <t>12:03</t>
  </si>
  <si>
    <t>Enviado 5/1/2026, 12:04:05 p. m.</t>
  </si>
  <si>
    <t>teydi mariano ucros</t>
  </si>
  <si>
    <t>573004848680</t>
  </si>
  <si>
    <t>Enviado 5/1/2026, 12:06:50 p. m.</t>
  </si>
  <si>
    <t>Laura Barros</t>
  </si>
  <si>
    <t>573154857878</t>
  </si>
  <si>
    <t>97000</t>
  </si>
  <si>
    <t>Enviado 5/1/2026, 12:20:50 p. m.</t>
  </si>
  <si>
    <t>Diego Fernández</t>
  </si>
  <si>
    <t>12:38</t>
  </si>
  <si>
    <t>Enviado 5/1/2026, 12:38:30 p. m.</t>
  </si>
  <si>
    <t>Luis Manuel Melo Henríquez</t>
  </si>
  <si>
    <t>12:49</t>
  </si>
  <si>
    <t>Enviado 5/1/2026, 12:50:05 p. m.</t>
  </si>
  <si>
    <t>Liliana Navarro</t>
  </si>
  <si>
    <t>218000</t>
  </si>
  <si>
    <t>13:14</t>
  </si>
  <si>
    <t>Enviado 5/1/2026, 1:14:51 p. m.</t>
  </si>
  <si>
    <t>angelo cianci</t>
  </si>
  <si>
    <t>Enviado 5/1/2026, 1:46:43 p. m.</t>
  </si>
  <si>
    <t>13:56</t>
  </si>
  <si>
    <t>Enviado 5/1/2026, 1:56:48 p. m.</t>
  </si>
  <si>
    <t>573006631795</t>
  </si>
  <si>
    <t>Enviado 5/1/2026, 2:06:16 p. m.</t>
  </si>
  <si>
    <t>ALEXANDER TORRES</t>
  </si>
  <si>
    <t>14:08</t>
  </si>
  <si>
    <t>Enviado 5/1/2026, 2:08:57 p. m.</t>
  </si>
  <si>
    <t>573043507464</t>
  </si>
  <si>
    <t>14:44</t>
  </si>
  <si>
    <t>Enviado 5/1/2026, 2:44:41 p. m.</t>
  </si>
  <si>
    <t>MILTON MUNIZ</t>
  </si>
  <si>
    <t>14:57</t>
  </si>
  <si>
    <t>Enviado 5/1/2026, 2:57:45 p. m.</t>
  </si>
  <si>
    <t>Josué Altafulla Mancilla</t>
  </si>
  <si>
    <t>573017229158</t>
  </si>
  <si>
    <t>Enviado 5/1/2026, 2:59:02 p. m.</t>
  </si>
  <si>
    <t>573003851130</t>
  </si>
  <si>
    <t>15:06</t>
  </si>
  <si>
    <t>Enviado 5/1/2026, 3:06:35 p. m.</t>
  </si>
  <si>
    <t>15:11</t>
  </si>
  <si>
    <t>Enviado 5/1/2026, 3:11:20 p. m.</t>
  </si>
  <si>
    <t>15:14</t>
  </si>
  <si>
    <t>Enviado 5/1/2026, 3:14:27 p. m.</t>
  </si>
  <si>
    <t>Arthur Ferrer</t>
  </si>
  <si>
    <t>154000</t>
  </si>
  <si>
    <t>Enviado 5/1/2026, 3:33:12 p. m.</t>
  </si>
  <si>
    <t>55000</t>
  </si>
  <si>
    <t>Enviado 5/1/2026, 4:40:33 p. m.</t>
  </si>
  <si>
    <t>Shadia Royero</t>
  </si>
  <si>
    <t>573046274764</t>
  </si>
  <si>
    <t>116000</t>
  </si>
  <si>
    <t>17:43</t>
  </si>
  <si>
    <t>Enviado 5/1/2026, 5:44:08 p. m.</t>
  </si>
  <si>
    <t>Arturo Aguilar</t>
  </si>
  <si>
    <t>196000</t>
  </si>
  <si>
    <t>Enviado 5/1/2026, 5:59:30 p. m.</t>
  </si>
  <si>
    <t>18:22</t>
  </si>
  <si>
    <t>Enviado 5/1/2026, 6:23:12 p. m.</t>
  </si>
  <si>
    <t>07:31</t>
  </si>
  <si>
    <t>Enviado 6/1/2026, 7:32:20 a. m.</t>
  </si>
  <si>
    <t>Carlos sánchez</t>
  </si>
  <si>
    <t>08:18</t>
  </si>
  <si>
    <t>Enviado 6/1/2026, 8:18:34 a. m.</t>
  </si>
  <si>
    <t>28000</t>
  </si>
  <si>
    <t>08:22</t>
  </si>
  <si>
    <t>Enviado 6/1/2026, 8:22:23 a. m.</t>
  </si>
  <si>
    <t>96000</t>
  </si>
  <si>
    <t>Enviado 6/1/2026, 9:01:53 a. m.</t>
  </si>
  <si>
    <t>antonio de vuono</t>
  </si>
  <si>
    <t>560000</t>
  </si>
  <si>
    <t>09:02</t>
  </si>
  <si>
    <t>Enviado 6/1/2026, 9:02:18 a. m.</t>
  </si>
  <si>
    <t>Karoll Castro Henríquez</t>
  </si>
  <si>
    <t>09:11</t>
  </si>
  <si>
    <t>Enviado 6/1/2026, 9:11:25 a. m.</t>
  </si>
  <si>
    <t>120000</t>
  </si>
  <si>
    <t>09:23</t>
  </si>
  <si>
    <t>Enviado 6/1/2026, 9:24:03 a. m.</t>
  </si>
  <si>
    <t>09:50</t>
  </si>
  <si>
    <t>Enviado 6/1/2026, 9:51:17 a. m.</t>
  </si>
  <si>
    <t>Wilfred Anaya osas</t>
  </si>
  <si>
    <t>317500</t>
  </si>
  <si>
    <t>Enviado 6/1/2026, 10:24:32 a. m.</t>
  </si>
  <si>
    <t>MARIA JOSE Dávila Quevedo</t>
  </si>
  <si>
    <t>265500</t>
  </si>
  <si>
    <t>Enviado 6/1/2026, 11:24:34 a. m.</t>
  </si>
  <si>
    <t>Milena Acosta</t>
  </si>
  <si>
    <t>Enviado 6/1/2026, 11:35:35 a. m.</t>
  </si>
  <si>
    <t>Enviado 6/1/2026, 12:13:57 p. m.</t>
  </si>
  <si>
    <t>573205580868</t>
  </si>
  <si>
    <t>12:32</t>
  </si>
  <si>
    <t>Enviado 6/1/2026, 12:32:35 p. m.</t>
  </si>
  <si>
    <t>Andrea Calderón</t>
  </si>
  <si>
    <t>155000</t>
  </si>
  <si>
    <t>12:37</t>
  </si>
  <si>
    <t>Enviado 6/1/2026, 12:37:53 p. m.</t>
  </si>
  <si>
    <t>380000</t>
  </si>
  <si>
    <t>12:41</t>
  </si>
  <si>
    <t>Enviado 6/1/2026, 12:42:16 p. m.</t>
  </si>
  <si>
    <t>Luis David Garza Mendoza</t>
  </si>
  <si>
    <t>175000</t>
  </si>
  <si>
    <t>12:55</t>
  </si>
  <si>
    <t>Enviado 6/1/2026, 12:55:27 p. m.</t>
  </si>
  <si>
    <t>Carlos Romero</t>
  </si>
  <si>
    <t>158000</t>
  </si>
  <si>
    <t>Enviado 6/1/2026, 1:01:40 p. m.</t>
  </si>
  <si>
    <t>13:11</t>
  </si>
  <si>
    <t>Enviado 6/1/2026, 1:12:12 p. m.</t>
  </si>
  <si>
    <t>Jose Jimenez</t>
  </si>
  <si>
    <t>189000</t>
  </si>
  <si>
    <t>13:30</t>
  </si>
  <si>
    <t>Enviado 6/1/2026, 1:30:54 p. m.</t>
  </si>
  <si>
    <t>Jafeth Pacheco</t>
  </si>
  <si>
    <t>102000</t>
  </si>
  <si>
    <t>14:09</t>
  </si>
  <si>
    <t>Enviado 6/1/2026, 2:10:23 p. m.</t>
  </si>
  <si>
    <t>Maria Valentina Zapata Echeverría</t>
  </si>
  <si>
    <t>14:11</t>
  </si>
  <si>
    <t>Enviado 6/1/2026, 2:12:02 p. m.</t>
  </si>
  <si>
    <t>573014014408</t>
  </si>
  <si>
    <t>Enviado 6/1/2026, 2:16:13 p. m.</t>
  </si>
  <si>
    <t>Enviado 6/1/2026, 2:19:59 p. m.</t>
  </si>
  <si>
    <t>573196213630</t>
  </si>
  <si>
    <t>Enviado 6/1/2026, 2:24:09 p. m.</t>
  </si>
  <si>
    <t>Camilo Gorayeb</t>
  </si>
  <si>
    <t>573103540175</t>
  </si>
  <si>
    <t>Valezka Guerrero</t>
  </si>
  <si>
    <t>14:26</t>
  </si>
  <si>
    <t>Enviado 6/1/2026, 2:27:17 p. m.</t>
  </si>
  <si>
    <t>Enviado 6/1/2026, 2:42:05 p. m.</t>
  </si>
  <si>
    <t>María Claudia Sánchez Sánchez</t>
  </si>
  <si>
    <t>Enviado 6/1/2026, 2:58:36 p. m.</t>
  </si>
  <si>
    <t>Enviado 6/1/2026, 3:56:32 p. m.</t>
  </si>
  <si>
    <t>Enviado 6/1/2026, 4:22:46 p. m.</t>
  </si>
  <si>
    <t>16:24</t>
  </si>
  <si>
    <t>Enviado 6/1/2026, 4:25:18 p. m.</t>
  </si>
  <si>
    <t>Isabella German</t>
  </si>
  <si>
    <t>138000</t>
  </si>
  <si>
    <t>Enviado 6/1/2026, 4:33:04 p. m.</t>
  </si>
  <si>
    <t>Enviado 6/1/2026, 4:37:27 p. m.</t>
  </si>
  <si>
    <t>jose luis lara silva</t>
  </si>
  <si>
    <t>197000</t>
  </si>
  <si>
    <t>17:05</t>
  </si>
  <si>
    <t>Enviado 6/1/2026, 5:06:17 p. m.</t>
  </si>
  <si>
    <t>12000</t>
  </si>
  <si>
    <t>Enviado 6/1/2026, 5:33:14 p. m.</t>
  </si>
  <si>
    <t>17:46</t>
  </si>
  <si>
    <t>Enviado 6/1/2026, 5:46:43 p. m.</t>
  </si>
  <si>
    <t>FUNDACION CON AMOR SOCIAL .</t>
  </si>
  <si>
    <t>18:13</t>
  </si>
  <si>
    <t>Enviado 6/1/2026, 6:14:00 p. m.</t>
  </si>
  <si>
    <t>Diego Ossa</t>
  </si>
  <si>
    <t>Enviado 7/1/2026, 7:22:06 a. m.</t>
  </si>
  <si>
    <t>Enviado 7/1/2026, 8:43:28 a. m.</t>
  </si>
  <si>
    <t>573016856910</t>
  </si>
  <si>
    <t>73000</t>
  </si>
  <si>
    <t>09:10</t>
  </si>
  <si>
    <t>Enviado 7/1/2026, 9:10:46 a. m.</t>
  </si>
  <si>
    <t>Juan David Visbal Alcala</t>
  </si>
  <si>
    <t>09:20</t>
  </si>
  <si>
    <t>Enviado 7/1/2026, 9:21:02 a. m.</t>
  </si>
  <si>
    <t>Yonia Acosta</t>
  </si>
  <si>
    <t>Enviado 7/1/2026, 9:51:07 a. m.</t>
  </si>
  <si>
    <t>573004138441</t>
  </si>
  <si>
    <t>Enviado 7/1/2026, 9:59:17 a. m.</t>
  </si>
  <si>
    <t>10:12</t>
  </si>
  <si>
    <t>Enviado 7/1/2026, 10:13:37 a. m.</t>
  </si>
  <si>
    <t>Enviado 7/1/2026, 11:28:47 a. m.</t>
  </si>
  <si>
    <t>11:44</t>
  </si>
  <si>
    <t>Enviado 7/1/2026, 11:44:56 a. m.</t>
  </si>
  <si>
    <t>Enviado 7/1/2026, 11:52:28 a. m.</t>
  </si>
  <si>
    <t>12:01</t>
  </si>
  <si>
    <t>Enviado 7/1/2026, 12:04:30 p. m.</t>
  </si>
  <si>
    <t>Consultoría Aficot SAS</t>
  </si>
  <si>
    <t>93400</t>
  </si>
  <si>
    <t>12:09</t>
  </si>
  <si>
    <t>Enviado 7/1/2026, 12:10:00 p. m.</t>
  </si>
  <si>
    <t>12:11</t>
  </si>
  <si>
    <t>Enviado 7/1/2026, 12:11:33 p. m.</t>
  </si>
  <si>
    <t>13:37</t>
  </si>
  <si>
    <t>Enviado 7/1/2026, 1:38:24 p. m.</t>
  </si>
  <si>
    <t>Mateo García</t>
  </si>
  <si>
    <t>14:02</t>
  </si>
  <si>
    <t>Enviado 7/1/2026, 2:02:48 p. m.</t>
  </si>
  <si>
    <t>Mariluna Pérez</t>
  </si>
  <si>
    <t>Enviado 7/1/2026, 2:20:50 p. m.</t>
  </si>
  <si>
    <t>Maria Pulgar</t>
  </si>
  <si>
    <t>297000</t>
  </si>
  <si>
    <t>14:24</t>
  </si>
  <si>
    <t>Enviado 7/1/2026, 2:25:04 p. m.</t>
  </si>
  <si>
    <t>jaime escobar</t>
  </si>
  <si>
    <t>15:03</t>
  </si>
  <si>
    <t>Enviado 7/1/2026, 3:04:29 p. m.</t>
  </si>
  <si>
    <t>Enviado 7/1/2026, 3:12:02 p. m.</t>
  </si>
  <si>
    <t>Enviado 7/1/2026, 3:42:37 p. m.</t>
  </si>
  <si>
    <t>15:52</t>
  </si>
  <si>
    <t>Enviado 7/1/2026, 3:53:09 p. m.</t>
  </si>
  <si>
    <t>grace acosta</t>
  </si>
  <si>
    <t>16:13</t>
  </si>
  <si>
    <t>Enviado 7/1/2026, 4:14:36 p. m.</t>
  </si>
  <si>
    <t>Juan Sebastian Salazar Perez</t>
  </si>
  <si>
    <t>16:28</t>
  </si>
  <si>
    <t>Enviado 7/1/2026, 4:28:45 p. m.</t>
  </si>
  <si>
    <t>GRUPO LANGOSTINOS SASGR .</t>
  </si>
  <si>
    <t>Enviado 7/1/2026, 4:37:52 p. m.</t>
  </si>
  <si>
    <t>16:46</t>
  </si>
  <si>
    <t>Enviado 7/1/2026, 4:46:29 p. m.</t>
  </si>
  <si>
    <t>Valentina Riascos Escolar</t>
  </si>
  <si>
    <t>16:51</t>
  </si>
  <si>
    <t>Enviado 7/1/2026, 4:52:02 p. m.</t>
  </si>
  <si>
    <t>16:54</t>
  </si>
  <si>
    <t>Enviado 7/1/2026, 4:54:39 p. m.</t>
  </si>
  <si>
    <t>Nelson Ortiz</t>
  </si>
  <si>
    <t>17:18</t>
  </si>
  <si>
    <t>Enviado 7/1/2026, 5:19:10 p. m.</t>
  </si>
  <si>
    <t>573014902842</t>
  </si>
  <si>
    <t>17:37</t>
  </si>
  <si>
    <t>Enviado 7/1/2026, 5:37:41 p. m.</t>
  </si>
  <si>
    <t>Luis Fernando Muriel fruto</t>
  </si>
  <si>
    <t>2 | ? | ?</t>
  </si>
  <si>
    <t>1228000</t>
  </si>
  <si>
    <t>17:51</t>
  </si>
  <si>
    <t>Enviado 7/1/2026, 5:51:27 p. m.</t>
  </si>
  <si>
    <t>18:32</t>
  </si>
  <si>
    <t>Enviado 7/1/2026, 6:32:43 p. m.</t>
  </si>
  <si>
    <t>07:08</t>
  </si>
  <si>
    <t>Enviado 8/1/2026, 7:08:20 a. m.</t>
  </si>
  <si>
    <t>Sebastián Gil</t>
  </si>
  <si>
    <t>08:20</t>
  </si>
  <si>
    <t>Enviado 8/1/2026, 8:21:24 a. m.</t>
  </si>
  <si>
    <t>Enviado 8/1/2026, 8:49:34 a. m.</t>
  </si>
  <si>
    <t>Juan Sebastian Orozco Mercado</t>
  </si>
  <si>
    <t>09:13</t>
  </si>
  <si>
    <t>Enviado 8/1/2026, 9:14:02 a. m.</t>
  </si>
  <si>
    <t>Yarem Rodriguez</t>
  </si>
  <si>
    <t>272000</t>
  </si>
  <si>
    <t>09:36</t>
  </si>
  <si>
    <t>Enviado 8/1/2026, 9:37:09 a. m.</t>
  </si>
  <si>
    <t>Angely Jaramillo</t>
  </si>
  <si>
    <t>10:00</t>
  </si>
  <si>
    <t>Enviado 8/1/2026, 10:00:50 a. m.</t>
  </si>
  <si>
    <t>10:37</t>
  </si>
  <si>
    <t>Enviado 8/1/2026, 10:38:02 a. m.</t>
  </si>
  <si>
    <t>Carlos Mario Medina</t>
  </si>
  <si>
    <t>Conjunto Azulejo, torre 4, apto 604 - Conjunto</t>
  </si>
  <si>
    <t>10:44</t>
  </si>
  <si>
    <t>Enviado 8/1/2026, 4:00 pm</t>
  </si>
  <si>
    <t>Esteban Anaya Imitola</t>
  </si>
  <si>
    <t>202000</t>
  </si>
  <si>
    <t>11:12</t>
  </si>
  <si>
    <t>Enviado 8/1/2026, 11:12:29 a. m.</t>
  </si>
  <si>
    <t>11:15</t>
  </si>
  <si>
    <t>Enviado 8/1/2026, 11:15:20 a. m.</t>
  </si>
  <si>
    <t>11:22</t>
  </si>
  <si>
    <t>Enviado 8/1/2026, 11:22:35 a. m.</t>
  </si>
  <si>
    <t>Enviado 8/1/2026, 11:47:50 a. m.</t>
  </si>
  <si>
    <t>Sara De la Barrera</t>
  </si>
  <si>
    <t>172000</t>
  </si>
  <si>
    <t>11:54</t>
  </si>
  <si>
    <t>Enviado 8/1/2026, 11:54:36 a. m.</t>
  </si>
  <si>
    <t>Carlos Barraza</t>
  </si>
  <si>
    <t>12:17</t>
  </si>
  <si>
    <t>Enviado 8/1/2026, 12:18:03 p. m.</t>
  </si>
  <si>
    <t>Ricado Caballero</t>
  </si>
  <si>
    <t>139000</t>
  </si>
  <si>
    <t>Enviado 8/1/2026, 12:35:47 p. m.</t>
  </si>
  <si>
    <t>8000</t>
  </si>
  <si>
    <t>Enviado 8/1/2026, 12:52:36 p. m.</t>
  </si>
  <si>
    <t>Andrea Rocha</t>
  </si>
  <si>
    <t>269000</t>
  </si>
  <si>
    <t>13:23</t>
  </si>
  <si>
    <t>Enviado 8/1/2026, 1:23:48 p. m.</t>
  </si>
  <si>
    <t>13:42</t>
  </si>
  <si>
    <t>Enviado 8/1/2026, 1:42:55 p. m.</t>
  </si>
  <si>
    <t>Valeria Brito</t>
  </si>
  <si>
    <t>Enviado 8/1/2026, 2:08:21 p. m.</t>
  </si>
  <si>
    <t>Sebastián Escaf</t>
  </si>
  <si>
    <t>Enviado 8/1/2026, 2:19:59 p. m.</t>
  </si>
  <si>
    <t>14:25</t>
  </si>
  <si>
    <t>Enviado 8/1/2026, 2:25:25 p. m.</t>
  </si>
  <si>
    <t>Enviado 8/1/2026, 2:34:53 p. m.</t>
  </si>
  <si>
    <t>Nashua Maria</t>
  </si>
  <si>
    <t>14:39</t>
  </si>
  <si>
    <t>Enviado 8/1/2026, 2:39:33 p. m.</t>
  </si>
  <si>
    <t>15:48</t>
  </si>
  <si>
    <t>Enviado 8/1/2026, 3:48:31 p. m.</t>
  </si>
  <si>
    <t>Juan De Jesús Acevedo Peinado</t>
  </si>
  <si>
    <t>Enviado 8/1/2026, 4:57:25 p. m.</t>
  </si>
  <si>
    <t>Maria Veronica Castro</t>
  </si>
  <si>
    <t>Enviado 8/1/2026, 5:43:24 p. m.</t>
  </si>
  <si>
    <t>Sergio Marino</t>
  </si>
  <si>
    <t>711000</t>
  </si>
  <si>
    <t>17:56</t>
  </si>
  <si>
    <t>Enviado 8/1/2026, 5:56:41 p. m.</t>
  </si>
  <si>
    <t>Maria Camila Jimenez</t>
  </si>
  <si>
    <t>18:01</t>
  </si>
  <si>
    <t>Enviado 8/1/2026, 6:02:12 p. m.</t>
  </si>
  <si>
    <t>Daniel De La Hoz</t>
  </si>
  <si>
    <t>07:34</t>
  </si>
  <si>
    <t>Enviado 9/1/2026, 7:35:10 a. m.</t>
  </si>
  <si>
    <t>Eileen Florez</t>
  </si>
  <si>
    <t>254000</t>
  </si>
  <si>
    <t>Enviado 9/1/2026, 8:07:08 a. m.</t>
  </si>
  <si>
    <t>Enviado 9/1/2026, 9:07:23 a. m.</t>
  </si>
  <si>
    <t>FRANK GARNICA</t>
  </si>
  <si>
    <t>09:08</t>
  </si>
  <si>
    <t>Enviado 9/1/2026, 9:09:10 a. m.</t>
  </si>
  <si>
    <t>09:18</t>
  </si>
  <si>
    <t>Enviado 9/1/2026, 9:18:32 a. m.</t>
  </si>
  <si>
    <t>maria camila diaz</t>
  </si>
  <si>
    <t>Enviado 9/1/2026, 9:24:02 a. m.</t>
  </si>
  <si>
    <t>09:44</t>
  </si>
  <si>
    <t>Enviado 9/1/2026, 9:45:20 a. m.</t>
  </si>
  <si>
    <t>Maria camila Buitrago L</t>
  </si>
  <si>
    <t>Enviado 9/1/2026, 10:04:10 a. m.</t>
  </si>
  <si>
    <t>10:49</t>
  </si>
  <si>
    <t>Enviado 9/1/2026, 10:49:47 a. m.</t>
  </si>
  <si>
    <t>Vivianne Tàmara</t>
  </si>
  <si>
    <t>38000</t>
  </si>
  <si>
    <t>10:58</t>
  </si>
  <si>
    <t>Enviado 9/1/2026, 10:59:13 a. m.</t>
  </si>
  <si>
    <t>maria camila andrade</t>
  </si>
  <si>
    <t>Enviado 9/1/2026, 11:15:40 a. m.</t>
  </si>
  <si>
    <t>Maria Paula Torres Barona</t>
  </si>
  <si>
    <t>11:26</t>
  </si>
  <si>
    <t>Enviado 9/1/2026, 11:26:20 a. m.</t>
  </si>
  <si>
    <t>58000</t>
  </si>
  <si>
    <t>11:32</t>
  </si>
  <si>
    <t>Enviado 9/1/2026, 11:32:46 a. m.</t>
  </si>
  <si>
    <t>Enviado 9/1/2026, 11:47:54 a. m.</t>
  </si>
  <si>
    <t>12:15</t>
  </si>
  <si>
    <t>Enviado 9/1/2026, 12:15:43 p. m.</t>
  </si>
  <si>
    <t>Martín Echeverri</t>
  </si>
  <si>
    <t>520000</t>
  </si>
  <si>
    <t>12:25</t>
  </si>
  <si>
    <t>Enviado 9/1/2026, 12:25:55 p. m.</t>
  </si>
  <si>
    <t>Jurgen Franco</t>
  </si>
  <si>
    <t>12:36</t>
  </si>
  <si>
    <t>Enviado 9/1/2026, 12:36:23 p. m.</t>
  </si>
  <si>
    <t>Carolayn Mora</t>
  </si>
  <si>
    <t>260000</t>
  </si>
  <si>
    <t>Enviado 9/1/2026, 12:53:57 p. m.</t>
  </si>
  <si>
    <t>13:09</t>
  </si>
  <si>
    <t>Enviado 9/1/2026, 1:10:04 p. m.</t>
  </si>
  <si>
    <t>18000</t>
  </si>
  <si>
    <t>13:27</t>
  </si>
  <si>
    <t>Enviado 9/1/2026, 1:27:29 p. m.</t>
  </si>
  <si>
    <t>13:31</t>
  </si>
  <si>
    <t>Enviado 9/1/2026, 1:31:23 p. m.</t>
  </si>
  <si>
    <t>13:49</t>
  </si>
  <si>
    <t>Enviado 9/1/2026, 1:49:34 p. m.</t>
  </si>
  <si>
    <t>Enviado 9/1/2026, 1:59:20 p. m.</t>
  </si>
  <si>
    <t>max Rodriguez</t>
  </si>
  <si>
    <t>Enviado 9/1/2026, 2:23:20 p. m.</t>
  </si>
  <si>
    <t>Yoryani Cohen</t>
  </si>
  <si>
    <t>Enviado 9/1/2026, 2:26:40 p. m.</t>
  </si>
  <si>
    <t>Juan Camilo Albarrán</t>
  </si>
  <si>
    <t>14:31</t>
  </si>
  <si>
    <t>Enviado 9/1/2026, 2:31:40 p. m.</t>
  </si>
  <si>
    <t>Paola Daza Rodríguez</t>
  </si>
  <si>
    <t>15:35</t>
  </si>
  <si>
    <t>Enviado 9/1/2026, 3:35:23 p. m.</t>
  </si>
  <si>
    <t>24000</t>
  </si>
  <si>
    <t>15:42</t>
  </si>
  <si>
    <t>Enviado 9/1/2026, 3:43:08 p. m.</t>
  </si>
  <si>
    <t>15:46</t>
  </si>
  <si>
    <t>Enviado 9/1/2026, 3:46:51 p. m.</t>
  </si>
  <si>
    <t>E.tawfick de la Espriella</t>
  </si>
  <si>
    <t>15:50</t>
  </si>
  <si>
    <t>Enviado 9/1/2026, 4:04:36 p. m.</t>
  </si>
  <si>
    <t>BEATRIZ GOMEZ TIRADO</t>
  </si>
  <si>
    <t>16:04</t>
  </si>
  <si>
    <t>Enviado 9/1/2026, 4:04:40 p. m.</t>
  </si>
  <si>
    <t>17:17</t>
  </si>
  <si>
    <t>Enviado 9/1/2026, 5:17:31 p. m.</t>
  </si>
  <si>
    <t>Enviado 9/1/2026, 5:46:19 p. m.</t>
  </si>
  <si>
    <t>Miguel Angel Rincon Hoyos</t>
  </si>
  <si>
    <t>Enviado 9/1/2026, 5:51:25 p. m.</t>
  </si>
  <si>
    <t>Fray Guerrero Martinez</t>
  </si>
  <si>
    <t>Enviado 9/1/2026, 6:13:19 p. m.</t>
  </si>
  <si>
    <t>CENTRO DE ORTOPEDIA Y REHABILITACION ORTOVITAL INTEGRAL S.A.S. .</t>
  </si>
  <si>
    <t>18:31</t>
  </si>
  <si>
    <t>Enviado 9/1/2026, 6:31:12 p. m.</t>
  </si>
  <si>
    <t>Enviado 10/1/2026, 7:42:49 a. m.</t>
  </si>
  <si>
    <t>Stephanie Godoy Molinares</t>
  </si>
  <si>
    <t>Enviado 10/1/2026, 8:43:00 a. m.</t>
  </si>
  <si>
    <t>José Andrés Pabón</t>
  </si>
  <si>
    <t>08:46</t>
  </si>
  <si>
    <t>Enviado 10/1/2026, 8:47:06 a. m.</t>
  </si>
  <si>
    <t>Jason Moreno Rojas</t>
  </si>
  <si>
    <t>08:58</t>
  </si>
  <si>
    <t>Enviado 10/1/2026, 8:58:29 a. m.</t>
  </si>
  <si>
    <t>09:24</t>
  </si>
  <si>
    <t>Enviado 10/1/2026, 9:24:23 a. m.</t>
  </si>
  <si>
    <t>Salome Ortiz</t>
  </si>
  <si>
    <t>Enviado 10/1/2026, 9:50:46 a. m.</t>
  </si>
  <si>
    <t>Ivan Pelaez</t>
  </si>
  <si>
    <t>09:51</t>
  </si>
  <si>
    <t>Enviado 10/1/2026, 9:51:44 a. m.</t>
  </si>
  <si>
    <t>Moises Eljadue</t>
  </si>
  <si>
    <t>Enviado 10/1/2026, 10:49:51 a. m.</t>
  </si>
  <si>
    <t>Andres Garcia Jimenez</t>
  </si>
  <si>
    <t>Enviado 10/1/2026, 11:03:59 a. m.</t>
  </si>
  <si>
    <t>573167483308</t>
  </si>
  <si>
    <t>Enviado 10/1/2026, 11:26:21 a. m.</t>
  </si>
  <si>
    <t>Elsa cecilia Cleves</t>
  </si>
  <si>
    <t>328000</t>
  </si>
  <si>
    <t>Enviado 10/1/2026, 11:32:26 a. m.</t>
  </si>
  <si>
    <t>47500</t>
  </si>
  <si>
    <t>Enviado 10/1/2026, 11:48:02 a. m.</t>
  </si>
  <si>
    <t>Kelly Castro cabrera</t>
  </si>
  <si>
    <t>573006787585</t>
  </si>
  <si>
    <t>12:08</t>
  </si>
  <si>
    <t>Enviado 10/1/2026, 12:08:08 p. m.</t>
  </si>
  <si>
    <t>Enviado 10/1/2026, 12:12:14 p. m.</t>
  </si>
  <si>
    <t>Cira Muñoz</t>
  </si>
  <si>
    <t>Enviado 10/1/2026, 12:16:03 p. m.</t>
  </si>
  <si>
    <t>Andrés Jaramillo Molina</t>
  </si>
  <si>
    <t>Enviado 10/1/2026, 12:41:33 p. m.</t>
  </si>
  <si>
    <t>Enviado 10/1/2026, 1:08:10 p. m.</t>
  </si>
  <si>
    <t>Enviado 10/1/2026, 1:42:42 p. m.</t>
  </si>
  <si>
    <t>Alejandra Fayad Barcelo</t>
  </si>
  <si>
    <t>13:57</t>
  </si>
  <si>
    <t>Enviado 10/1/2026, 1:57:23 p. m.</t>
  </si>
  <si>
    <t>Gabriel Berrio</t>
  </si>
  <si>
    <t>14:27</t>
  </si>
  <si>
    <t>Enviado 10/1/2026, 2:28:17 p. m.</t>
  </si>
  <si>
    <t>Emilio Sanz</t>
  </si>
  <si>
    <t>15:21</t>
  </si>
  <si>
    <t>Enviado 10/1/2026, 3:21:37 p. m.</t>
  </si>
  <si>
    <t>silvia pineda</t>
  </si>
  <si>
    <t>573215695053</t>
  </si>
  <si>
    <t>Enviado 10/1/2026, 3:29:34 p. m.</t>
  </si>
  <si>
    <t>alejandra alí nieto</t>
  </si>
  <si>
    <t>15:39</t>
  </si>
  <si>
    <t>Enviado 10/1/2026, 3:39:21 p. m.</t>
  </si>
  <si>
    <t>Camilo Martinez</t>
  </si>
  <si>
    <t>15:51</t>
  </si>
  <si>
    <t>Enviado 10/1/2026, 3:51:39 p. m.</t>
  </si>
  <si>
    <t>Liz Mussy</t>
  </si>
  <si>
    <t>15:58</t>
  </si>
  <si>
    <t>Enviado 10/1/2026, 3:58:59 p. m.</t>
  </si>
  <si>
    <t>Enviado 10/1/2026, 4:33:58 p. m.</t>
  </si>
  <si>
    <t>573012157433</t>
  </si>
  <si>
    <t>16:52</t>
  </si>
  <si>
    <t>Enviado 10/1/2026, 4:53:04 p. m.</t>
  </si>
  <si>
    <t>Maira Mendoza</t>
  </si>
  <si>
    <t>07:24</t>
  </si>
  <si>
    <t>Enviado 13/1/2026, 7:24:42 a. m.</t>
  </si>
  <si>
    <t>08:39</t>
  </si>
  <si>
    <t>Enviado 13/1/2026, 8:39:41 a. m.</t>
  </si>
  <si>
    <t>Andres Hernandez Yabrudy</t>
  </si>
  <si>
    <t>08:43</t>
  </si>
  <si>
    <t>Enviado 13/1/2026, 8:43:39 a. m.</t>
  </si>
  <si>
    <t>Enviado 13/1/2026, 9:03:11 a. m.</t>
  </si>
  <si>
    <t>Julian Caro</t>
  </si>
  <si>
    <t>Cra. 53 #106-280, Riomar, Barranquilla, Atlántico, Colombia Centro Empresarial Buenavista - Oficina</t>
  </si>
  <si>
    <t>301 4787645</t>
  </si>
  <si>
    <t>Enviado 13/1/2026, 9:06:20 a. m.</t>
  </si>
  <si>
    <t>Enviado 13/1/2026, 9:23:15 a. m.</t>
  </si>
  <si>
    <t>59 | ?</t>
  </si>
  <si>
    <t>Enviado 13/1/2026, 9:27:24 a. m.</t>
  </si>
  <si>
    <t>Enviado 13/1/2026, 9:34:49 a. m.</t>
  </si>
  <si>
    <t>Jackelyne Troncoso</t>
  </si>
  <si>
    <t>09:39</t>
  </si>
  <si>
    <t>Enviado 13/1/2026, 9:39:38 a. m.</t>
  </si>
  <si>
    <t>Samuel Duncan</t>
  </si>
  <si>
    <t>09:46</t>
  </si>
  <si>
    <t>Enviado 13/1/2026, 9:47:14 a. m.</t>
  </si>
  <si>
    <t>dani sawan</t>
  </si>
  <si>
    <t>10:06</t>
  </si>
  <si>
    <t>Enviado 13/1/2026, 10:07:09 a. m.</t>
  </si>
  <si>
    <t>Giovanni Grosso</t>
  </si>
  <si>
    <t>Enviado 13/1/2026, 10:24:27 a. m.</t>
  </si>
  <si>
    <t>carlos Schiller</t>
  </si>
  <si>
    <t>Enviado 13/1/2026, 10:26:15 a. m.</t>
  </si>
  <si>
    <t>Salwa Jaller Chagui</t>
  </si>
  <si>
    <t>Enviado 13/1/2026, 10:48:42 a. m.</t>
  </si>
  <si>
    <t>11:19</t>
  </si>
  <si>
    <t>Enviado 13/1/2026, 11:19:45 a. m.</t>
  </si>
  <si>
    <t>Daniella Espinosa</t>
  </si>
  <si>
    <t>11:29</t>
  </si>
  <si>
    <t>Enviado 13/1/2026, 11:30:02 a. m.</t>
  </si>
  <si>
    <t>Jose Serje</t>
  </si>
  <si>
    <t>185000</t>
  </si>
  <si>
    <t>11:33</t>
  </si>
  <si>
    <t>Enviado 13/1/2026, 11:33:39 a. m.</t>
  </si>
  <si>
    <t>Daniela Salcedo</t>
  </si>
  <si>
    <t>Enviado 13/1/2026, 11:36:19 a. m.</t>
  </si>
  <si>
    <t>Enviado 13/1/2026, 12:18:06 p. m.</t>
  </si>
  <si>
    <t>Enviado 13/1/2026, 12:25:55 p. m.</t>
  </si>
  <si>
    <t>Alvaro alfonso Otero españa</t>
  </si>
  <si>
    <t>13:08</t>
  </si>
  <si>
    <t>Enviado 13/1/2026, 1:09:14 p. m.</t>
  </si>
  <si>
    <t>Enviado 13/1/2026, 1:09:31 p. m.</t>
  </si>
  <si>
    <t>Andres Medina</t>
  </si>
  <si>
    <t>Enviado 13/1/2026, 1:19:16 p. m.</t>
  </si>
  <si>
    <t>13:48</t>
  </si>
  <si>
    <t>Enviado 13/1/2026, 1:48:46 p. m.</t>
  </si>
  <si>
    <t>felipe llinas</t>
  </si>
  <si>
    <t>Enviado 13/1/2026, 2:24:58 p. m.</t>
  </si>
  <si>
    <t>Enviado 13/1/2026, 2:32:01 p. m.</t>
  </si>
  <si>
    <t>14:33</t>
  </si>
  <si>
    <t>Enviado 13/1/2026, 2:33:51 p. m.</t>
  </si>
  <si>
    <t>Carolina Pedrozo</t>
  </si>
  <si>
    <t>14:40</t>
  </si>
  <si>
    <t>Enviado 13/1/2026, 2:41:40 p. m.</t>
  </si>
  <si>
    <t>Jessica Gomez Medina</t>
  </si>
  <si>
    <t>87000</t>
  </si>
  <si>
    <t>Enviado 13/1/2026, 3:30:39 p. m.</t>
  </si>
  <si>
    <t>Enviado 13/1/2026, 3:40:29 p. m.</t>
  </si>
  <si>
    <t>Enviado 13/1/2026, 3:50:31 p. m.</t>
  </si>
  <si>
    <t>Enviado 13/1/2026, 3:54:06 p. m.</t>
  </si>
  <si>
    <t>Enviado 13/1/2026, 4:37:27 p. m.</t>
  </si>
  <si>
    <t>Enviado 13/1/2026, 4:41:08 p. m.</t>
  </si>
  <si>
    <t>16:44</t>
  </si>
  <si>
    <t>Enviado 13/1/2026, 4:44:50 p. m.</t>
  </si>
  <si>
    <t>Enviado 13/1/2026, 6:14:01 p. m.</t>
  </si>
  <si>
    <t>18:20</t>
  </si>
  <si>
    <t>Enviado 13/1/2026, 6:20:47 p. m.</t>
  </si>
  <si>
    <t>Marisabella Visbal</t>
  </si>
  <si>
    <t>Enviado 13/1/2026, 6:32:13 p. m.</t>
  </si>
  <si>
    <t>christopher inoa</t>
  </si>
  <si>
    <t>Enviado 14/1/2026, 8:10:16 a. m.</t>
  </si>
  <si>
    <t>Alejandro Laino</t>
  </si>
  <si>
    <t>09:15</t>
  </si>
  <si>
    <t>Enviado 14/1/2026, 9:16:26 a. m.</t>
  </si>
  <si>
    <t>Felisa Susana Gleiser</t>
  </si>
  <si>
    <t>Enviado 14/1/2026, 9:48:58 a. m.</t>
  </si>
  <si>
    <t>Ivette Niebles</t>
  </si>
  <si>
    <t>10:19</t>
  </si>
  <si>
    <t>Enviado 14/1/2026, 10:19:14 a. m.</t>
  </si>
  <si>
    <t>Santiago Acuña Remolina</t>
  </si>
  <si>
    <t>Enviado 14/1/2026, 10:20:41 a. m.</t>
  </si>
  <si>
    <t>10:38</t>
  </si>
  <si>
    <t>Enviado 14/1/2026, 10:38:19 a. m.</t>
  </si>
  <si>
    <t>Enviado 14/1/2026, 10:49:20 a. m.</t>
  </si>
  <si>
    <t>10:54</t>
  </si>
  <si>
    <t>Enviado 14/1/2026, 10:54:33 a. m.</t>
  </si>
  <si>
    <t>Enviado 14/1/2026, 11:32:03 a. m.</t>
  </si>
  <si>
    <t>11:50</t>
  </si>
  <si>
    <t>Enviado 14/1/2026, 11:50:55 a. m.</t>
  </si>
  <si>
    <t>Natalia Daza</t>
  </si>
  <si>
    <t>Enviado 14/1/2026, 12:07:01 p. m.</t>
  </si>
  <si>
    <t>37000</t>
  </si>
  <si>
    <t>Enviado 14/1/2026, 12:15:50 p. m.</t>
  </si>
  <si>
    <t>12:19</t>
  </si>
  <si>
    <t>Enviado 14/1/2026, 12:19:17 p. m.</t>
  </si>
  <si>
    <t>Karol Camargo</t>
  </si>
  <si>
    <t>Enviado 14/1/2026, 1:09:26 p. m.</t>
  </si>
  <si>
    <t>Enviado 14/1/2026, 1:40:52 p. m.</t>
  </si>
  <si>
    <t>Enviado 14/1/2026, 1:45:16 p. m.</t>
  </si>
  <si>
    <t>Marcos Quiroz</t>
  </si>
  <si>
    <t>Enviado 14/1/2026, 1:49:15 p. m.</t>
  </si>
  <si>
    <t>25000</t>
  </si>
  <si>
    <t>14:04</t>
  </si>
  <si>
    <t>Enviado 14/1/2026, 2:04:15 p. m.</t>
  </si>
  <si>
    <t>Sara Martinez</t>
  </si>
  <si>
    <t>145000</t>
  </si>
  <si>
    <t>14:06</t>
  </si>
  <si>
    <t>Enviado 14/1/2026, 3:00:25 p. m.</t>
  </si>
  <si>
    <t>Enviado 14/1/2026, 3:14:37 p. m.</t>
  </si>
  <si>
    <t>Enviado 14/1/2026, 3:42:16 p. m.</t>
  </si>
  <si>
    <t>Lina María Tocasuchil</t>
  </si>
  <si>
    <t>16:14</t>
  </si>
  <si>
    <t>Enviado 14/1/2026, 4:15:05 p. m.</t>
  </si>
  <si>
    <t>16:31</t>
  </si>
  <si>
    <t>Enviado 14/1/2026, 4:31:45 p. m.</t>
  </si>
  <si>
    <t>573152433843</t>
  </si>
  <si>
    <t>Enviado 14/1/2026, 4:40:46 p. m.</t>
  </si>
  <si>
    <t>573103673789</t>
  </si>
  <si>
    <t>Enviado 14/1/2026, 4:44:13 p. m.</t>
  </si>
  <si>
    <t>CARLOS OSORIO CHACON</t>
  </si>
  <si>
    <t>Enviado 14/1/2026, 4:46:32 p. m.</t>
  </si>
  <si>
    <t>Angel ibarra</t>
  </si>
  <si>
    <t>17:13</t>
  </si>
  <si>
    <t>Enviado 14/1/2026, 5:14:04 p. m.</t>
  </si>
  <si>
    <t>Enviado 14/1/2026, 6:23:35 p. m.</t>
  </si>
  <si>
    <t>Enviado 14/1/2026, 6:23:48 p. m.</t>
  </si>
  <si>
    <t>08:01</t>
  </si>
  <si>
    <t>Enviado 15/1/2026, 8:02:15 a. m.</t>
  </si>
  <si>
    <t>rafael mora</t>
  </si>
  <si>
    <t>89000</t>
  </si>
  <si>
    <t>08:57</t>
  </si>
  <si>
    <t>Enviado 15/1/2026, 8:57:31 a. m.</t>
  </si>
  <si>
    <t>Enviado 15/1/2026, 9:58:36 a. m.</t>
  </si>
  <si>
    <t>62000</t>
  </si>
  <si>
    <t>Enviado 15/1/2026, 10:03:05 a. m.</t>
  </si>
  <si>
    <t>10:05</t>
  </si>
  <si>
    <t>Enviado 15/1/2026, 10:05:19 a. m.</t>
  </si>
  <si>
    <t>360000</t>
  </si>
  <si>
    <t>Enviado 15/1/2026, 10:12:30 a. m.</t>
  </si>
  <si>
    <t>10:36</t>
  </si>
  <si>
    <t>Enviado 15/1/2026, 10:36:42 a. m.</t>
  </si>
  <si>
    <t>10:51</t>
  </si>
  <si>
    <t>Enviado 15/1/2026, 10:51:54 a. m.</t>
  </si>
  <si>
    <t>Santiago Sánchez Amorocho</t>
  </si>
  <si>
    <t>573156670982</t>
  </si>
  <si>
    <t>18 | ?</t>
  </si>
  <si>
    <t>Deborah guerra</t>
  </si>
  <si>
    <t>331000</t>
  </si>
  <si>
    <t>Enviado 15/1/2026, 10:59:07 a. m.</t>
  </si>
  <si>
    <t>Enviado 15/1/2026, 11:07:49 a. m.</t>
  </si>
  <si>
    <t>Enviado 15/1/2026, 11:20:37 a. m.</t>
  </si>
  <si>
    <t>Zulma Donado</t>
  </si>
  <si>
    <t>11:25</t>
  </si>
  <si>
    <t>Enviado 15/1/2026, 11:25:34 a. m.</t>
  </si>
  <si>
    <t>LAURA DAVILA S.A.S empr.</t>
  </si>
  <si>
    <t>71400</t>
  </si>
  <si>
    <t>Enviado 15/1/2026, 11:38:00 a. m.</t>
  </si>
  <si>
    <t>573242829109</t>
  </si>
  <si>
    <t>Enviado 15/1/2026, 12:13:27 p. m.</t>
  </si>
  <si>
    <t>Enviado 15/1/2026, 12:19:28 p. m.</t>
  </si>
  <si>
    <t>Héctor Arturo . Barrera Castellanos</t>
  </si>
  <si>
    <t>Enviado 15/1/2026, 12:28:48 p. m.</t>
  </si>
  <si>
    <t>13:28</t>
  </si>
  <si>
    <t>Enviado 15/1/2026, 1:28:39 p. m.</t>
  </si>
  <si>
    <t>Clara Anamy Vanstrahlen Jiménez</t>
  </si>
  <si>
    <t>179000</t>
  </si>
  <si>
    <t>13:34</t>
  </si>
  <si>
    <t>Enviado 15/1/2026, 1:34:39 p. m.</t>
  </si>
  <si>
    <t>yennys Arraez</t>
  </si>
  <si>
    <t>13:47</t>
  </si>
  <si>
    <t>Enviado 15/1/2026, 1:48:11 p. m.</t>
  </si>
  <si>
    <t>Rim Alfakih</t>
  </si>
  <si>
    <t>Enviado 15/1/2026, 1:56:55 p. m.</t>
  </si>
  <si>
    <t>3360000</t>
  </si>
  <si>
    <t>Enviado 15/1/2026, 2:11:50 p. m.</t>
  </si>
  <si>
    <t>Laura Espitia Aleán</t>
  </si>
  <si>
    <t>14:28</t>
  </si>
  <si>
    <t>Enviado 15/1/2026, 2:28:50 p. m.</t>
  </si>
  <si>
    <t>15:40</t>
  </si>
  <si>
    <t>Enviado 15/1/2026, 3:40:32 p. m.</t>
  </si>
  <si>
    <t>16:11</t>
  </si>
  <si>
    <t>Enviado 15/1/2026, 4:11:54 p. m.</t>
  </si>
  <si>
    <t>Nasly Boude</t>
  </si>
  <si>
    <t>372000</t>
  </si>
  <si>
    <t>Enviado 15/1/2026, 4:29:32 p. m.</t>
  </si>
  <si>
    <t>Laura Florez Castillo</t>
  </si>
  <si>
    <t>Enviado 15/1/2026, 4:44:59 p. m.</t>
  </si>
  <si>
    <t>17:12</t>
  </si>
  <si>
    <t>Enviado 15/1/2026, 5:12:41 p. m.</t>
  </si>
  <si>
    <t>alfredo jaddad</t>
  </si>
  <si>
    <t>573102307916</t>
  </si>
  <si>
    <t>Enviado 15/1/2026, 6:23:06 p. m.</t>
  </si>
  <si>
    <t>18:27</t>
  </si>
  <si>
    <t>Enviado 15/1/2026, 6:27:19 p. m.</t>
  </si>
  <si>
    <t>ejandro recaman</t>
  </si>
  <si>
    <t>07:00</t>
  </si>
  <si>
    <t>Enviado 16/1/2026, 7:00:40 a. m.</t>
  </si>
  <si>
    <t>ID: 2419121915 rappi</t>
  </si>
  <si>
    <t>Luis Salazar</t>
  </si>
  <si>
    <t>07:03</t>
  </si>
  <si>
    <t>Enviado 16/1/2026, 7:03:55 a. m.</t>
  </si>
  <si>
    <t>07:43</t>
  </si>
  <si>
    <t>Enviado 16/1/2026, 7:44:08 a. m.</t>
  </si>
  <si>
    <t>Mariana Hoyos</t>
  </si>
  <si>
    <t>08:21</t>
  </si>
  <si>
    <t>Enviado 16/1/2026, 8:21:33 a. m.</t>
  </si>
  <si>
    <t>Juan jose Baquero</t>
  </si>
  <si>
    <t>Enviado 16/1/2026, 8:37:34 a. m.</t>
  </si>
  <si>
    <t>Enviado 16/1/2026, 8:49:22 a. m.</t>
  </si>
  <si>
    <t>Enviado 16/1/2026, 8:50:09 a. m.</t>
  </si>
  <si>
    <t>Enviado 16/1/2026, 9:06:05 a. m.</t>
  </si>
  <si>
    <t>Enviado 16/1/2026, 9:36:41 a. m.</t>
  </si>
  <si>
    <t>09:38</t>
  </si>
  <si>
    <t>Enviado 16/1/2026, 9:38:23 a. m.</t>
  </si>
  <si>
    <t>09:47</t>
  </si>
  <si>
    <t>Enviado 16/1/2026, 9:47:40 a. m.</t>
  </si>
  <si>
    <t>Enviado 16/1/2026, 10:03:50 a. m.</t>
  </si>
  <si>
    <t>Mini Box Surtida</t>
  </si>
  <si>
    <t>Enviado 16/1/2026, 10:35:10 a. m.</t>
  </si>
  <si>
    <t>Roberto Chain Saieh</t>
  </si>
  <si>
    <t>368000</t>
  </si>
  <si>
    <t>Enviado 16/1/2026, 10:37:16 a. m.</t>
  </si>
  <si>
    <t>Alejandro Recaman</t>
  </si>
  <si>
    <t>11:16</t>
  </si>
  <si>
    <t>Enviado 16/1/2026, 11:17:07 a. m.</t>
  </si>
  <si>
    <t>Enviado 16/1/2026, 11:39:48 a. m.</t>
  </si>
  <si>
    <t>Maria Teresa Lopez Caro</t>
  </si>
  <si>
    <t>Enviado 16/1/2026, 12:25:58 p. m.</t>
  </si>
  <si>
    <t>13:15</t>
  </si>
  <si>
    <t>Enviado 16/1/2026, 1:15:40 p. m.</t>
  </si>
  <si>
    <t>camilo garces</t>
  </si>
  <si>
    <t>318-601-0527</t>
  </si>
  <si>
    <t>355000</t>
  </si>
  <si>
    <t>Enviado 16/1/2026, 1:36:32 p. m.</t>
  </si>
  <si>
    <t>Adrian De La Espriella</t>
  </si>
  <si>
    <t>Enviado 16/1/2026, 2:04:54 p. m.</t>
  </si>
  <si>
    <t>Francisco Alberto Lopez Herrera</t>
  </si>
  <si>
    <t>14:16</t>
  </si>
  <si>
    <t>Enviado 16/1/2026, 2:17:02 p. m.</t>
  </si>
  <si>
    <t>166600</t>
  </si>
  <si>
    <t>14:42</t>
  </si>
  <si>
    <t>Enviado 16/1/2026, 2:42:15 p. m.</t>
  </si>
  <si>
    <t>Enviado 16/1/2026, 3:00:31 p. m.</t>
  </si>
  <si>
    <t>Daniela Salazar Sierra</t>
  </si>
  <si>
    <t>15:31</t>
  </si>
  <si>
    <t>Enviado 16/1/2026, 3:32:18 p. m.</t>
  </si>
  <si>
    <t>sergio díaz</t>
  </si>
  <si>
    <t>573168725230</t>
  </si>
  <si>
    <t>Enviado 16/1/2026, 3:52:32 p. m.</t>
  </si>
  <si>
    <t>573126705497</t>
  </si>
  <si>
    <t>65000</t>
  </si>
  <si>
    <t>16:00</t>
  </si>
  <si>
    <t>Enviado 16/1/2026, 4:00:56 p. m.</t>
  </si>
  <si>
    <t>573113043191</t>
  </si>
  <si>
    <t>16:01</t>
  </si>
  <si>
    <t>Enviado 16/1/2026, 4:01:34 p. m.</t>
  </si>
  <si>
    <t>75000</t>
  </si>
  <si>
    <t>Enviado 16/1/2026, 4:02:07 p. m.</t>
  </si>
  <si>
    <t>41000</t>
  </si>
  <si>
    <t>Enviado 16/1/2026, 4:14:59 p. m.</t>
  </si>
  <si>
    <t>4000</t>
  </si>
  <si>
    <t>Enviado 16/1/2026, 4:31:24 p. m.</t>
  </si>
  <si>
    <t>OPENSKY CONSULTORES</t>
  </si>
  <si>
    <t>573137820782</t>
  </si>
  <si>
    <t>304 3823658</t>
  </si>
  <si>
    <t>Enviado 16/1/2026, 4:47:33 p. m.</t>
  </si>
  <si>
    <t>31000</t>
  </si>
  <si>
    <t>17:02</t>
  </si>
  <si>
    <t>Enviado 16/1/2026, 5:02:49 p. m.</t>
  </si>
  <si>
    <t>Leonardo Blanco</t>
  </si>
  <si>
    <t>Enviado 16/1/2026, 5:05:39 p. m.</t>
  </si>
  <si>
    <t>48000</t>
  </si>
  <si>
    <t>17:08</t>
  </si>
  <si>
    <t>Enviado 16/1/2026, 5:08:59 p. m.</t>
  </si>
  <si>
    <t>573504574956</t>
  </si>
  <si>
    <t>Enviado 16/1/2026, 5:12:10 p. m.</t>
  </si>
  <si>
    <t>573157354515</t>
  </si>
  <si>
    <t>Enviado 16/1/2026, 5:18:39 p. m.</t>
  </si>
  <si>
    <t>Carlos Zuñiga</t>
  </si>
  <si>
    <t>17:20</t>
  </si>
  <si>
    <t>Enviado 16/1/2026, 5:20:19 p. m.</t>
  </si>
  <si>
    <t>Liseth Córdoba Chaverra</t>
  </si>
  <si>
    <t>Enviado 16/1/2026, 5:33:04 p. m.</t>
  </si>
  <si>
    <t>Wendy Saavedra</t>
  </si>
  <si>
    <t>152000</t>
  </si>
  <si>
    <t>Enviado 17/1/2026, 7:39:30 a. m.</t>
  </si>
  <si>
    <t>Cindy Guerrero</t>
  </si>
  <si>
    <t>Enviado 17/1/2026, 8:12:18 a. m.</t>
  </si>
  <si>
    <t>Andrea Avendaño Polo</t>
  </si>
  <si>
    <t>Enviado 17/1/2026, 8:20:59 a. m.</t>
  </si>
  <si>
    <t>08:24</t>
  </si>
  <si>
    <t>Enviado 17/1/2026, 8:24:46 a. m.</t>
  </si>
  <si>
    <t>Angélica Cortes</t>
  </si>
  <si>
    <t>181000</t>
  </si>
  <si>
    <t>Enviado 17/1/2026, 8:58:20 a. m.</t>
  </si>
  <si>
    <t>JORGE MARTINEZ</t>
  </si>
  <si>
    <t>09:49</t>
  </si>
  <si>
    <t>Enviado 17/1/2026, 9:49:32 a. m.</t>
  </si>
  <si>
    <t>Esteban Lagos</t>
  </si>
  <si>
    <t>Enviado 17/1/2026, 9:50:39 a. m.</t>
  </si>
  <si>
    <t>Sara Quintero</t>
  </si>
  <si>
    <t>63 | ?</t>
  </si>
  <si>
    <t>257000</t>
  </si>
  <si>
    <t>09:52</t>
  </si>
  <si>
    <t>Enviado 17/1/2026, 9:52:45 a. m.</t>
  </si>
  <si>
    <t>10:27</t>
  </si>
  <si>
    <t>Enviado 17/1/2026, 10:27:28 a. m.</t>
  </si>
  <si>
    <t>585000</t>
  </si>
  <si>
    <t>Enviado 17/1/2026, 10:31:18 a. m.</t>
  </si>
  <si>
    <t>Felipe Eusse</t>
  </si>
  <si>
    <t>Enviado 17/1/2026, 10:33:05 a. m.</t>
  </si>
  <si>
    <t>linda callejas</t>
  </si>
  <si>
    <t>11:04</t>
  </si>
  <si>
    <t>Enviado 17/1/2026, 11:05:25 a. m.</t>
  </si>
  <si>
    <t>Camilo Otero</t>
  </si>
  <si>
    <t>11:17</t>
  </si>
  <si>
    <t>Enviado 17/1/2026, 11:17:23 a. m.</t>
  </si>
  <si>
    <t>11:48</t>
  </si>
  <si>
    <t>Enviado 17/1/2026, 11:48:55 a. m.</t>
  </si>
  <si>
    <t>terminado</t>
  </si>
  <si>
    <t>Enviado 17/1/2026, 11:52:03 a. m.</t>
  </si>
  <si>
    <t>Luz Marina Cure</t>
  </si>
  <si>
    <t>11:57</t>
  </si>
  <si>
    <t>Enviado 17/1/2026, 11:58:03 a. m.</t>
  </si>
  <si>
    <t>Enviado 17/1/2026, 12:06:13 p. m.</t>
  </si>
  <si>
    <t>12:10</t>
  </si>
  <si>
    <t>Enviado 17/1/2026, 12:11:04 p. m.</t>
  </si>
  <si>
    <t>Enviado 17/1/2026, 12:14:47 p. m.</t>
  </si>
  <si>
    <t>573002182349</t>
  </si>
  <si>
    <t>Enviado 17/1/2026, 12:30:11 p. m.</t>
  </si>
  <si>
    <t>12:40</t>
  </si>
  <si>
    <t>Enviado 17/1/2026, 12:41:00 p. m.</t>
  </si>
  <si>
    <t>Lhizz Cuéllar</t>
  </si>
  <si>
    <t>12:47</t>
  </si>
  <si>
    <t>Enviado 17/1/2026, 12:48:09 p. m.</t>
  </si>
  <si>
    <t>Enviado 17/1/2026, 12:55:18 p. m.</t>
  </si>
  <si>
    <t>19000</t>
  </si>
  <si>
    <t>Enviado 17/1/2026, 12:58:04 p. m.</t>
  </si>
  <si>
    <t>María Andrea Tatis Solano</t>
  </si>
  <si>
    <t>573126600519</t>
  </si>
  <si>
    <t>232000</t>
  </si>
  <si>
    <t>13:00</t>
  </si>
  <si>
    <t>Enviado 17/1/2026, 1:00:27 p. m.</t>
  </si>
  <si>
    <t>Enviado 17/1/2026, 1:01:50 p. m.</t>
  </si>
  <si>
    <t>Karen Gonzalez</t>
  </si>
  <si>
    <t>271800</t>
  </si>
  <si>
    <t>Enviado 17/1/2026, 1:15:21 p. m.</t>
  </si>
  <si>
    <t>573015021488</t>
  </si>
  <si>
    <t>13:55</t>
  </si>
  <si>
    <t>Enviado 17/1/2026, 1:56:10 p. m.</t>
  </si>
  <si>
    <t>clara ines niño</t>
  </si>
  <si>
    <t>305000</t>
  </si>
  <si>
    <t>Enviado 17/1/2026, 2:05:53 p. m.</t>
  </si>
  <si>
    <t>Caterine Arcia</t>
  </si>
  <si>
    <t>Enviado 17/1/2026, 2:45:07 p. m.</t>
  </si>
  <si>
    <t>Yulianis López</t>
  </si>
  <si>
    <t>Enviado 17/1/2026, 3:21:47 p. m.</t>
  </si>
  <si>
    <t>187000</t>
  </si>
  <si>
    <t>15:23</t>
  </si>
  <si>
    <t>Enviado 17/1/2026, 3:23:47 p. m.</t>
  </si>
  <si>
    <t>Enviado 17/1/2026, 3:42:15 p. m.</t>
  </si>
  <si>
    <t>Enviado 17/1/2026, 3:50:51 p. m.</t>
  </si>
  <si>
    <t>danka Martínez</t>
  </si>
  <si>
    <t>16:12</t>
  </si>
  <si>
    <t>Enviado 17/1/2026, 4:12:48 p. m.</t>
  </si>
  <si>
    <t>MariaEmma Crespo</t>
  </si>
  <si>
    <t>Enviado 17/1/2026, 4:18:36 p. m.</t>
  </si>
  <si>
    <t>Mailyn ching</t>
  </si>
  <si>
    <t>68000</t>
  </si>
  <si>
    <t>Enviado 17/1/2026, 4:36:16 p. m.</t>
  </si>
  <si>
    <t>07:01</t>
  </si>
  <si>
    <t>Enviado 19/1/2026, 7:01:34 a. m.</t>
  </si>
  <si>
    <t>07:04</t>
  </si>
  <si>
    <t>Enviado 19/1/2026, 7:04:58 a. m.</t>
  </si>
  <si>
    <t>Jose Cantillo</t>
  </si>
  <si>
    <t>07:30</t>
  </si>
  <si>
    <t>Enviado 19/1/2026, 7:31:13 a. m.</t>
  </si>
  <si>
    <t>Gina Perez</t>
  </si>
  <si>
    <t>351000</t>
  </si>
  <si>
    <t>07:48</t>
  </si>
  <si>
    <t>Enviado 19/1/2026, 7:48:56 a. m.</t>
  </si>
  <si>
    <t>ALBERTO SALEZAR ESTRADA</t>
  </si>
  <si>
    <t>55 | ?</t>
  </si>
  <si>
    <t>08:40</t>
  </si>
  <si>
    <t>Enviado 19/1/2026, 8:40:58 a. m.</t>
  </si>
  <si>
    <t>Marianne Martinez Gallego</t>
  </si>
  <si>
    <t>09:00</t>
  </si>
  <si>
    <t>Enviado 19/1/2026, 9:00:37 a. m.</t>
  </si>
  <si>
    <t>Yanibis Alian</t>
  </si>
  <si>
    <t>Enviado 19/1/2026, 9:02:52 a. m.</t>
  </si>
  <si>
    <t>Juliette Santiago Celis</t>
  </si>
  <si>
    <t>Enviado 19/1/2026, 9:06:27 a. m.</t>
  </si>
  <si>
    <t>SUGEY ESCOBAR</t>
  </si>
  <si>
    <t>Enviado 19/1/2026, 9:09:15 a. m.</t>
  </si>
  <si>
    <t>Natalia Beltran</t>
  </si>
  <si>
    <t>Enviado 19/1/2026, 9:17:54 a. m.</t>
  </si>
  <si>
    <t>carlos villegas</t>
  </si>
  <si>
    <t>Enviado 19/1/2026, 9:20:22 a. m.</t>
  </si>
  <si>
    <t>Enviado 19/1/2026, 9:37:20 a. m.</t>
  </si>
  <si>
    <t>Enviado 19/1/2026, 9:49:34 a. m.</t>
  </si>
  <si>
    <t>Enviado 19/1/2026, 10:21:53 a. m.</t>
  </si>
  <si>
    <t>Santiago Rodríguez Mejía</t>
  </si>
  <si>
    <t>Enviado 19/1/2026, 10:37:27 a. m.</t>
  </si>
  <si>
    <t>Nicolle Ramírez</t>
  </si>
  <si>
    <t>72000</t>
  </si>
  <si>
    <t>10:39</t>
  </si>
  <si>
    <t>Enviado 19/1/2026, 10:39:49 a. m.</t>
  </si>
  <si>
    <t>Mario Suarez</t>
  </si>
  <si>
    <t>67 | ?</t>
  </si>
  <si>
    <t>Enviado 19/1/2026, 11:08:11 a. m.</t>
  </si>
  <si>
    <t>Enviado 19/1/2026, 11:21:48 a. m.</t>
  </si>
  <si>
    <t>Nicolas Sanabria</t>
  </si>
  <si>
    <t>Enviado 19/1/2026, 11:45:04 a. m.</t>
  </si>
  <si>
    <t>99000</t>
  </si>
  <si>
    <t>Enviado 19/1/2026, 12:05:26 p. m.</t>
  </si>
  <si>
    <t>Jesús Cervantes Castillo</t>
  </si>
  <si>
    <t>Enviado 19/1/2026, 12:18:40 p. m.</t>
  </si>
  <si>
    <t>Ana Gabriela Campo</t>
  </si>
  <si>
    <t>12:23</t>
  </si>
  <si>
    <t>Enviado 19/1/2026, 12:24:03 p. m.</t>
  </si>
  <si>
    <t>Fadia Saade Karut</t>
  </si>
  <si>
    <t>Enviado 19/1/2026, 12:37:38 p. m.</t>
  </si>
  <si>
    <t>valentina arevalo</t>
  </si>
  <si>
    <t>13:44</t>
  </si>
  <si>
    <t>Enviado 19/1/2026, 1:45:02 p. m.</t>
  </si>
  <si>
    <t>573024496529</t>
  </si>
  <si>
    <t>13:54</t>
  </si>
  <si>
    <t>Enviado 19/1/2026, 1:54:27 p. m.</t>
  </si>
  <si>
    <t>Natalia Ramirez</t>
  </si>
  <si>
    <t>Enviado 19/1/2026, 1:56:10 p. m.</t>
  </si>
  <si>
    <t>14:47</t>
  </si>
  <si>
    <t>Enviado 19/1/2026, 2:47:53 p. m.</t>
  </si>
  <si>
    <t>martha AYALA</t>
  </si>
  <si>
    <t>810000</t>
  </si>
  <si>
    <t>Enviado 19/1/2026, 3:06:29 p. m.</t>
  </si>
  <si>
    <t>Carlos Cesar Cabrera Benitez</t>
  </si>
  <si>
    <t>125000</t>
  </si>
  <si>
    <t>15:08</t>
  </si>
  <si>
    <t>Enviado 19/1/2026, 3:09:03 p. m.</t>
  </si>
  <si>
    <t>Enviado 19/1/2026, 3:35:21 p. m.</t>
  </si>
  <si>
    <t>Daimer Avila</t>
  </si>
  <si>
    <t>Enviado 19/1/2026, 3:52:20 p. m.</t>
  </si>
  <si>
    <t>Enviado 19/1/2026, 3:57:58 p. m.</t>
  </si>
  <si>
    <t>Enviado 19/1/2026, 4:26:43 p. m.</t>
  </si>
  <si>
    <t>Kudha Solutions empresa</t>
  </si>
  <si>
    <t>234100</t>
  </si>
  <si>
    <t>16:53</t>
  </si>
  <si>
    <t>Enviado 19/1/2026, 5:08:29 p. m.</t>
  </si>
  <si>
    <t>Natalia Fernández</t>
  </si>
  <si>
    <t>17:10</t>
  </si>
  <si>
    <t>Enviado 19/1/2026, 5:10:51 p. m.</t>
  </si>
  <si>
    <t>17:45</t>
  </si>
  <si>
    <t>Enviado 19/1/2026, 5:45:47 p. m.</t>
  </si>
  <si>
    <t>17:57</t>
  </si>
  <si>
    <t>Enviado 19/1/2026, 5:58:01 p. m.</t>
  </si>
  <si>
    <t>Henry Peña</t>
  </si>
  <si>
    <t>808 - Edificio</t>
  </si>
  <si>
    <t>178000</t>
  </si>
  <si>
    <t>18:08</t>
  </si>
  <si>
    <t>Enviado 19/1/2026, 6:08:52 p. m.</t>
  </si>
  <si>
    <t>Alvaro Caballero</t>
  </si>
  <si>
    <t>Enviado 20/1/2026, 7:51:34 a. m.</t>
  </si>
  <si>
    <t>Cristian Molina</t>
  </si>
  <si>
    <t>Enviado 20/1/2026, 8:25:17 a. m.</t>
  </si>
  <si>
    <t>378000</t>
  </si>
  <si>
    <t>Enviado 20/1/2026, 8:47:49 a. m.</t>
  </si>
  <si>
    <t>samir rodríguez</t>
  </si>
  <si>
    <t>Enviado 20/1/2026, 9:00:49 a. m.</t>
  </si>
  <si>
    <t>Stephany Lara</t>
  </si>
  <si>
    <t>Enviado 20/1/2026, 9:18:55 a. m.</t>
  </si>
  <si>
    <t>George González</t>
  </si>
  <si>
    <t>211000</t>
  </si>
  <si>
    <t>Enviado 20/1/2026, 9:20:58 a. m.</t>
  </si>
  <si>
    <t>isabel tcherassi</t>
  </si>
  <si>
    <t>09:31</t>
  </si>
  <si>
    <t>Enviado 20/1/2026, 9:31:57 a. m.</t>
  </si>
  <si>
    <t>Manuel Suarez</t>
  </si>
  <si>
    <t>Enviado 20/1/2026, 9:35:36 a. m.</t>
  </si>
  <si>
    <t>410000</t>
  </si>
  <si>
    <t>Enviado 20/1/2026, 9:42:04 a. m.</t>
  </si>
  <si>
    <t>Enviado 20/1/2026, 9:48:13 a. m.</t>
  </si>
  <si>
    <t>Mayra Alejandra Gutierrez Perez</t>
  </si>
  <si>
    <t>10:16</t>
  </si>
  <si>
    <t>Enviado 20/1/2026, 10:16:37 a. m.</t>
  </si>
  <si>
    <t>32000</t>
  </si>
  <si>
    <t>Enviado 20/1/2026, 11:37:32 a. m.</t>
  </si>
  <si>
    <t>12:21</t>
  </si>
  <si>
    <t>Enviado 20/1/2026, 12:21:33 p. m.</t>
  </si>
  <si>
    <t>Jissel marina Fontalvo meza</t>
  </si>
  <si>
    <t>Enviado 20/1/2026, 12:25:10 p. m.</t>
  </si>
  <si>
    <t>Enviado 20/1/2026, 12:45:14 p. m.</t>
  </si>
  <si>
    <t>TATIANA ABELLO</t>
  </si>
  <si>
    <t>573013383487</t>
  </si>
  <si>
    <t>TATIANA ABELLO CRIALES</t>
  </si>
  <si>
    <t>Enviado 20/1/2026, 1:08:07 p. m.</t>
  </si>
  <si>
    <t>Didier Paba</t>
  </si>
  <si>
    <t>Enviado 20/1/2026, 1:11:38 p. m.</t>
  </si>
  <si>
    <t>Eusebio Rodriguez</t>
  </si>
  <si>
    <t>107000</t>
  </si>
  <si>
    <t>13:21</t>
  </si>
  <si>
    <t>Enviado 20/1/2026, 1:21:32 p. m.</t>
  </si>
  <si>
    <t>14:12</t>
  </si>
  <si>
    <t>Enviado 20/1/2026, 2:13:06 p. m.</t>
  </si>
  <si>
    <t>Enviado 20/1/2026, 2:20:25 p. m.</t>
  </si>
  <si>
    <t>Enviado 20/1/2026, 2:23:43 p. m.</t>
  </si>
  <si>
    <t>15:38</t>
  </si>
  <si>
    <t>Enviado 20/1/2026, 3:39:18 p. m.</t>
  </si>
  <si>
    <t>Komercado sas</t>
  </si>
  <si>
    <t>236100</t>
  </si>
  <si>
    <t>Enviado 20/1/2026, 3:46:40 p. m.</t>
  </si>
  <si>
    <t>Enviado 20/1/2026, 3:53:33 p. m.</t>
  </si>
  <si>
    <t>Gases del Caribe</t>
  </si>
  <si>
    <t>131000</t>
  </si>
  <si>
    <t>Enviado 20/1/2026, 4:03:29 p. m.</t>
  </si>
  <si>
    <t>Enviado 20/1/2026, 5:01:42 p. m.</t>
  </si>
  <si>
    <t>Enviado 20/1/2026, 5:12:10 p. m.</t>
  </si>
  <si>
    <t>Jhoyse Marrugo</t>
  </si>
  <si>
    <t>Enviado 20/1/2026, 5:18:16 p. m.</t>
  </si>
  <si>
    <t>Luis Consuegra</t>
  </si>
  <si>
    <t>121000</t>
  </si>
  <si>
    <t>18:21</t>
  </si>
  <si>
    <t>Enviado 20/1/2026, 6:22:01 p. m.</t>
  </si>
  <si>
    <t>FUNDACION CON AMOR SOCIAL Empresa</t>
  </si>
  <si>
    <t>18:26</t>
  </si>
  <si>
    <t>Enviado 20/1/2026, 6:27:07 p. m.</t>
  </si>
  <si>
    <t>Juliana Ballestas Iglesias</t>
  </si>
  <si>
    <t>573114317772</t>
  </si>
  <si>
    <t>08:07</t>
  </si>
  <si>
    <t>Enviado 21/1/2026, 8:07:52 a. m.</t>
  </si>
  <si>
    <t>Mireya González</t>
  </si>
  <si>
    <t>08:30</t>
  </si>
  <si>
    <t>Enviado 21/1/2026, 8:30:47 a. m.</t>
  </si>
  <si>
    <t>Enviado 21/1/2026, 8:46:51 a. m.</t>
  </si>
  <si>
    <t>Anderson Ariza Otero</t>
  </si>
  <si>
    <t>Enviado 21/1/2026, 8:59:27 a. m.</t>
  </si>
  <si>
    <t>Amalia Noriega</t>
  </si>
  <si>
    <t>395000</t>
  </si>
  <si>
    <t>10:15</t>
  </si>
  <si>
    <t>Enviado 21/1/2026, 10:15:42 a. m.</t>
  </si>
  <si>
    <t>Melissa Piñeros</t>
  </si>
  <si>
    <t>10:40</t>
  </si>
  <si>
    <t>Enviado 21/1/2026, 10:40:37 a. m.</t>
  </si>
  <si>
    <t>Denisse Cayon</t>
  </si>
  <si>
    <t>Enviado 21/1/2026, 10:54:17 a. m.</t>
  </si>
  <si>
    <t>Erich Bloch</t>
  </si>
  <si>
    <t>11:13</t>
  </si>
  <si>
    <t>Enviado 21/1/2026, 11:13:41 a. m.</t>
  </si>
  <si>
    <t>16000</t>
  </si>
  <si>
    <t>11:23</t>
  </si>
  <si>
    <t>Enviado 21/1/2026, 11:23:57 a. m.</t>
  </si>
  <si>
    <t>Jose Carlos Orozco Medina</t>
  </si>
  <si>
    <t>11:30</t>
  </si>
  <si>
    <t>Enviado 21/1/2026, 11:30:18 a. m.</t>
  </si>
  <si>
    <t>Alexander Estupiñan</t>
  </si>
  <si>
    <t>11:40</t>
  </si>
  <si>
    <t>Enviado 21/1/2026, 11:40:50 a. m.</t>
  </si>
  <si>
    <t>Erika Zambrano</t>
  </si>
  <si>
    <t>Enviado 21/1/2026, 12:36:45 p. m.</t>
  </si>
  <si>
    <t>Angie Esteban</t>
  </si>
  <si>
    <t>. . / . . ..</t>
  </si>
  <si>
    <t>Enviado 21/1/2026, 12:44:45 p. m.</t>
  </si>
  <si>
    <t>gustavo rico</t>
  </si>
  <si>
    <t>12:58</t>
  </si>
  <si>
    <t>Enviado 21/1/2026, 12:59:26 p. m.</t>
  </si>
  <si>
    <t>2000</t>
  </si>
  <si>
    <t>Enviado 21/1/2026, 1:17:26 p. m.</t>
  </si>
  <si>
    <t>311000</t>
  </si>
  <si>
    <t>13:53</t>
  </si>
  <si>
    <t>Enviado 21/1/2026, 1:54:25 p. m.</t>
  </si>
  <si>
    <t>Daniella Zambrano</t>
  </si>
  <si>
    <t>Enviado 21/1/2026, 2:13:59 p. m.</t>
  </si>
  <si>
    <t>573192835538</t>
  </si>
  <si>
    <t>Enviado 21/1/2026, 3:17:34 p. m.</t>
  </si>
  <si>
    <t>Juanita De la vega</t>
  </si>
  <si>
    <t>Enviado 21/1/2026, 3:48:40 p. m.</t>
  </si>
  <si>
    <t>Enviado 21/1/2026, 3:54:07 p. m.</t>
  </si>
  <si>
    <t>B.YOU ACTIVEWEAR SASEMPR EMPRESA</t>
  </si>
  <si>
    <t>44000</t>
  </si>
  <si>
    <t>16:09</t>
  </si>
  <si>
    <t>Enviado 21/1/2026, 4:10:08 p. m.</t>
  </si>
  <si>
    <t>Jorge González</t>
  </si>
  <si>
    <t>16:21</t>
  </si>
  <si>
    <t>Enviado 21/1/2026, 4:21:11 p. m.</t>
  </si>
  <si>
    <t>18:03</t>
  </si>
  <si>
    <t>Enviado 21/1/2026, 6:04:13 p. m.</t>
  </si>
  <si>
    <t>Manuel Torres</t>
  </si>
  <si>
    <t>588000</t>
  </si>
  <si>
    <t>18:18</t>
  </si>
  <si>
    <t>Enviado 21/1/2026, 6:18:42 p. m.</t>
  </si>
  <si>
    <t>Maricel Ortega Barros</t>
  </si>
  <si>
    <t>134000</t>
  </si>
  <si>
    <t>18:29</t>
  </si>
  <si>
    <t>Enviado 21/1/2026, 6:29:22 p. m.</t>
  </si>
  <si>
    <t>Valentina Llamas</t>
  </si>
  <si>
    <t>Enviado 21/1/2026, 6:34:14 p. m.</t>
  </si>
  <si>
    <t>Juan Pablo Puello Caballero</t>
  </si>
  <si>
    <t>Enviado 22/1/2026, 7:24:13 a. m.</t>
  </si>
  <si>
    <t>Angie Baena Ordosgoitia</t>
  </si>
  <si>
    <t>573005757847</t>
  </si>
  <si>
    <t>Sophie Ruiz</t>
  </si>
  <si>
    <t>07:41</t>
  </si>
  <si>
    <t>Enviado 22/1/2026, 7:41:57 a. m.</t>
  </si>
  <si>
    <t>Linda Hollenberg</t>
  </si>
  <si>
    <t>Enviado 22/1/2026, 7:45:55 a. m.</t>
  </si>
  <si>
    <t>08:27</t>
  </si>
  <si>
    <t>Enviado 22/1/2026, 8:27:38 a. m.</t>
  </si>
  <si>
    <t>Enviado 22/1/2026, 9:51:47 a. m.</t>
  </si>
  <si>
    <t>Hamer Chica Larios</t>
  </si>
  <si>
    <t>573004856816</t>
  </si>
  <si>
    <t>Bouquet Aire</t>
  </si>
  <si>
    <t>10:08</t>
  </si>
  <si>
    <t>Enviado 22/1/2026, 10:09:12 a. m.</t>
  </si>
  <si>
    <t>Enviado 22/1/2026, 10:12:09 a. m.</t>
  </si>
  <si>
    <t>Enviado 22/1/2026, 10:19:06 a. m.</t>
  </si>
  <si>
    <t>10:28</t>
  </si>
  <si>
    <t>Enviado 22/1/2026, 10:28:56 a. m.</t>
  </si>
  <si>
    <t>Javier Iguaran</t>
  </si>
  <si>
    <t>348000</t>
  </si>
  <si>
    <t>Enviado 22/1/2026, 10:31:01 a. m.</t>
  </si>
  <si>
    <t>Yecid E Pretel</t>
  </si>
  <si>
    <t>Enviado 22/1/2026, 10:51:28 a. m.</t>
  </si>
  <si>
    <t>11:18</t>
  </si>
  <si>
    <t>Enviado 22/1/2026, 11:18:44 a. m.</t>
  </si>
  <si>
    <t>Jenny Orjuela</t>
  </si>
  <si>
    <t>573218082485</t>
  </si>
  <si>
    <t>13:18</t>
  </si>
  <si>
    <t>Enviado 22/1/2026, 1:19:01 p. m.</t>
  </si>
  <si>
    <t>Enviado 22/1/2026, 1:29:08 p. m.</t>
  </si>
  <si>
    <t>Maria Gabriella Abello</t>
  </si>
  <si>
    <t>573005452756</t>
  </si>
  <si>
    <t>14:35</t>
  </si>
  <si>
    <t>Enviado 22/1/2026, 2:35:33 p. m.</t>
  </si>
  <si>
    <t>Wendy Rodelo</t>
  </si>
  <si>
    <t>430000</t>
  </si>
  <si>
    <t>Enviado 22/1/2026, 2:46:52 p. m.</t>
  </si>
  <si>
    <t>Maria Jose Orozco</t>
  </si>
  <si>
    <t>Enviado 22/1/2026, 3:14:42 p. m.</t>
  </si>
  <si>
    <t>ANALFE ANALFE</t>
  </si>
  <si>
    <t>255000</t>
  </si>
  <si>
    <t>16:42</t>
  </si>
  <si>
    <t>Enviado 22/1/2026, 4:42:32 p. m.</t>
  </si>
  <si>
    <t>Mauricio Andrés Castañeda Torres</t>
  </si>
  <si>
    <t>16:48</t>
  </si>
  <si>
    <t>Enviado 22/1/2026, 4:48:46 p. m.</t>
  </si>
  <si>
    <t>Daniela Hernandez</t>
  </si>
  <si>
    <t>Enviado 22/1/2026, 4:53:10 p. m.</t>
  </si>
  <si>
    <t>Vanessa Chavarria</t>
  </si>
  <si>
    <t>17:24</t>
  </si>
  <si>
    <t>Enviado 22/1/2026, 5:25:08 p. m.</t>
  </si>
  <si>
    <t>Enviado 22/1/2026, 5:29:38 p. m.</t>
  </si>
  <si>
    <t>Alexandra Arocha</t>
  </si>
  <si>
    <t>Arocha - Casa</t>
  </si>
  <si>
    <t>Enviado 22/1/2026, 6:23:13 p. m.</t>
  </si>
  <si>
    <t>573004473832</t>
  </si>
  <si>
    <t>Enviado 23/1/2026, 8:25:25 a. m.</t>
  </si>
  <si>
    <t>Ada Moran</t>
  </si>
  <si>
    <t>94000</t>
  </si>
  <si>
    <t>Enviado 23/1/2026, 8:30:11 a. m.</t>
  </si>
  <si>
    <t>Enviado 23/1/2026, 9:25:15 a. m.</t>
  </si>
  <si>
    <t>Christian Monroy</t>
  </si>
  <si>
    <t>573118111062</t>
  </si>
  <si>
    <t>Enviado 23/1/2026, 9:32:42 a. m.</t>
  </si>
  <si>
    <t>Ana Maria Jaramillo C</t>
  </si>
  <si>
    <t>Enviado 23/1/2026, 9:37:07 a. m.</t>
  </si>
  <si>
    <t>Daniel Florez</t>
  </si>
  <si>
    <t>573005983168</t>
  </si>
  <si>
    <t>Enviado 23/1/2026, 10:03:44 a. m.</t>
  </si>
  <si>
    <t>María Jiménez</t>
  </si>
  <si>
    <t>Enviado 23/1/2026, 10:08:53 a. m.</t>
  </si>
  <si>
    <t>Mayra Tapias Leyva</t>
  </si>
  <si>
    <t>44 | ?</t>
  </si>
  <si>
    <t>Enviado 23/1/2026, 10:28:28 a. m.</t>
  </si>
  <si>
    <t>Kendy Gomez</t>
  </si>
  <si>
    <t>5930982958009</t>
  </si>
  <si>
    <t>Zoila Farak</t>
  </si>
  <si>
    <t>258000</t>
  </si>
  <si>
    <t>Enviado 23/1/2026, 10:41:10 a. m.</t>
  </si>
  <si>
    <t>Angie Leon</t>
  </si>
  <si>
    <t>Enviado 23/1/2026, 10:54:51 a. m.</t>
  </si>
  <si>
    <t>Enviado 23/1/2026, 11:00:59 a. m.</t>
  </si>
  <si>
    <t>Enviado 23/1/2026, 11:16:34 a. m.</t>
  </si>
  <si>
    <t>Enviado 23/1/2026, 11:41:00 a. m.</t>
  </si>
  <si>
    <t>12:48</t>
  </si>
  <si>
    <t>Enviado 23/1/2026, 12:48:56 p. m.</t>
  </si>
  <si>
    <t>Enviado 23/1/2026, 1:09:30 p. m.</t>
  </si>
  <si>
    <t>Jaime Muñoz</t>
  </si>
  <si>
    <t>Enviado 23/1/2026, 1:23:46 p. m.</t>
  </si>
  <si>
    <t>Alex S</t>
  </si>
  <si>
    <t>573017367771</t>
  </si>
  <si>
    <t>Enviado 23/1/2026, 1:29:39 p. m.</t>
  </si>
  <si>
    <t>Adriana Maria</t>
  </si>
  <si>
    <t>Enviado 23/1/2026, 1:46:05 p. m.</t>
  </si>
  <si>
    <t>Francia Madero</t>
  </si>
  <si>
    <t>Enviado 23/1/2026, 2:22:46 p. m.</t>
  </si>
  <si>
    <t>Enviado 23/1/2026, 2:40:57 p. m.</t>
  </si>
  <si>
    <t>14:52</t>
  </si>
  <si>
    <t>Enviado 23/1/2026, 3:05:03 p. m.</t>
  </si>
  <si>
    <t>Joyce Stefanell</t>
  </si>
  <si>
    <t>Enviado 23/1/2026, 2:55:19 p. m.</t>
  </si>
  <si>
    <t>Enviado 23/1/2026, 3:11:24 p. m.</t>
  </si>
  <si>
    <t>GRUPO LANGOSTINOS SAS m</t>
  </si>
  <si>
    <t>Enviado 23/1/2026, 3:15:02 p. m.</t>
  </si>
  <si>
    <t>César Ceballos</t>
  </si>
  <si>
    <t>400000</t>
  </si>
  <si>
    <t>Enviado 23/1/2026, 3:40:14 p. m.</t>
  </si>
  <si>
    <t>9 | ?</t>
  </si>
  <si>
    <t>17:35</t>
  </si>
  <si>
    <t>Enviado 23/1/2026, 5:35:33 p. m.</t>
  </si>
  <si>
    <t>María Camila Jiménez Bustillo</t>
  </si>
  <si>
    <t>17:54</t>
  </si>
  <si>
    <t>Enviado 23/1/2026, 5:55:03 p. m.</t>
  </si>
  <si>
    <t>Gonzalo Infante</t>
  </si>
  <si>
    <t>105200</t>
  </si>
  <si>
    <t>18:24</t>
  </si>
  <si>
    <t>Enviado 23/1/2026, 6:24:41 p. m.</t>
  </si>
  <si>
    <t>Valentina Espinosa</t>
  </si>
  <si>
    <t>Enviado 24/1/2026, 9:27:54 a. m.</t>
  </si>
  <si>
    <t>Monica Moreno</t>
  </si>
  <si>
    <t>573158952867</t>
  </si>
  <si>
    <t>10:14</t>
  </si>
  <si>
    <t>Enviado 24/1/2026, 10:15:12 a. m.</t>
  </si>
  <si>
    <t>573104311662</t>
  </si>
  <si>
    <t>Cristina Peña</t>
  </si>
  <si>
    <t>Enviado 24/1/2026, 10:38:26 a. m.</t>
  </si>
  <si>
    <t>157000</t>
  </si>
  <si>
    <t>Enviado 24/1/2026, 10:40:38 a. m.</t>
  </si>
  <si>
    <t>Ana maria Forero</t>
  </si>
  <si>
    <t>Cra 58 calle 79  edificio solara - Edificio</t>
  </si>
  <si>
    <t>11:14</t>
  </si>
  <si>
    <t>Enviado 24/1/2026, 11:14:55 a. m.</t>
  </si>
  <si>
    <t>Paola Meza Alandete</t>
  </si>
  <si>
    <t>Transv 57 N. 99 - 180, apto 604T2, Edif. Select - Edificio</t>
  </si>
  <si>
    <t>300 2167124</t>
  </si>
  <si>
    <t>Enviado 24/1/2026, 11:25:43 a. m.</t>
  </si>
  <si>
    <t>Enviado 24/1/2026, 12:15:25 p. m.</t>
  </si>
  <si>
    <t>46410</t>
  </si>
  <si>
    <t>Enviado 24/1/2026, 12:16:13 p. m.</t>
  </si>
  <si>
    <t>Enviado 24/1/2026, 12:19:26 p. m.</t>
  </si>
  <si>
    <t>Eliana Quiñones</t>
  </si>
  <si>
    <t>Enviado 24/1/2026, 12:23:12 p. m.</t>
  </si>
  <si>
    <t>971543788341</t>
  </si>
  <si>
    <t>5 | ? | ?</t>
  </si>
  <si>
    <t>Mía Álvarez González</t>
  </si>
  <si>
    <t>Enviado 24/1/2026, 12:35:50 p. m.</t>
  </si>
  <si>
    <t>Leonel David Mendoza Daza</t>
  </si>
  <si>
    <t>Calle 80b # 42d - 117 - Edificio</t>
  </si>
  <si>
    <t>122000</t>
  </si>
  <si>
    <t>12:51</t>
  </si>
  <si>
    <t>Enviado 24/1/2026, 12:52:07 p. m.</t>
  </si>
  <si>
    <t>573053230353</t>
  </si>
  <si>
    <t>12:53</t>
  </si>
  <si>
    <t>Enviado 24/1/2026, 12:53:22 p. m.</t>
  </si>
  <si>
    <t>8500</t>
  </si>
  <si>
    <t>Enviado 24/1/2026, 1:03:09 p. m.</t>
  </si>
  <si>
    <t>13:25</t>
  </si>
  <si>
    <t>Enviado 24/1/2026, 1:25:37 p. m.</t>
  </si>
  <si>
    <t>13:51</t>
  </si>
  <si>
    <t>Enviado 24/1/2026, 1:51:43 p. m.</t>
  </si>
  <si>
    <t>Enviado 24/1/2026, 2:23:47 p. m.</t>
  </si>
  <si>
    <t>Griselda Bermudez</t>
  </si>
  <si>
    <t>245000</t>
  </si>
  <si>
    <t>Enviado 24/1/2026, 2:35:55 p. m.</t>
  </si>
  <si>
    <t>juan jose urquijo</t>
  </si>
  <si>
    <t>Enviado 24/1/2026, 2:54:27 p. m.</t>
  </si>
  <si>
    <t>Hildegard Piñeros</t>
  </si>
  <si>
    <t>Enviado 24/1/2026, 3:44:27 p. m.</t>
  </si>
  <si>
    <t>573013289177</t>
  </si>
  <si>
    <t>16:30</t>
  </si>
  <si>
    <t>Enviado 24/1/2026, 4:31:12 p. m.</t>
  </si>
  <si>
    <t>Enviado 24/1/2026, 4:50:31 p. m.</t>
  </si>
  <si>
    <t>Melissa Vega</t>
  </si>
  <si>
    <t>119000</t>
  </si>
  <si>
    <t>08:05</t>
  </si>
  <si>
    <t>Enviado 26/1/2026, 8:05:55 a. m.</t>
  </si>
  <si>
    <t>Jay Amaya</t>
  </si>
  <si>
    <t>08:31</t>
  </si>
  <si>
    <t>Enviado 26/1/2026, 8:31:56 a. m.</t>
  </si>
  <si>
    <t>Camilo Jiménez</t>
  </si>
  <si>
    <t>Enviado 26/1/2026, 8:46:34 a. m.</t>
  </si>
  <si>
    <t>Laurie Palencia</t>
  </si>
  <si>
    <t>Enviado 26/1/2026, 9:08:40 a. m.</t>
  </si>
  <si>
    <t>Juan Felix Sierra Sanchez</t>
  </si>
  <si>
    <t>09:19</t>
  </si>
  <si>
    <t>Enviado 26/1/2026, 9:20:01 a. m.</t>
  </si>
  <si>
    <t>Johann Ramirez</t>
  </si>
  <si>
    <t>09:26</t>
  </si>
  <si>
    <t>Enviado 26/1/2026, 9:27:01 a. m.</t>
  </si>
  <si>
    <t>573002605603</t>
  </si>
  <si>
    <t>Enviado 26/1/2026, 9:26:55 a. m.</t>
  </si>
  <si>
    <t>Enviado 26/1/2026, 10:42:54 a. m.</t>
  </si>
  <si>
    <t>Camila Herrera</t>
  </si>
  <si>
    <t>Enviado 26/1/2026, 11:18:01 a. m.</t>
  </si>
  <si>
    <t>Javier Peña</t>
  </si>
  <si>
    <t>Enviado 26/1/2026, 11:33:45 a. m.</t>
  </si>
  <si>
    <t>5758917936</t>
  </si>
  <si>
    <t>Enviado 26/1/2026, 11:42:24 a. m.</t>
  </si>
  <si>
    <t>amanda rivero</t>
  </si>
  <si>
    <t>Enviado 26/1/2026, 11:42:42 a. m.</t>
  </si>
  <si>
    <t>zona 4</t>
  </si>
  <si>
    <t>Enviado 26/1/2026, 11:47:42 a. m.</t>
  </si>
  <si>
    <t>Juliana Bonilla Ricaurte</t>
  </si>
  <si>
    <t>Enviado 26/1/2026, 11:55:27 a. m.</t>
  </si>
  <si>
    <t>Ada Luz Echeverria</t>
  </si>
  <si>
    <t>Enviado 26/1/2026, 12:02:10 p. m.</t>
  </si>
  <si>
    <t>Enviado 26/1/2026, 12:16:15 p. m.</t>
  </si>
  <si>
    <t>Carlos Leiva Sánchez</t>
  </si>
  <si>
    <t>30 | ?</t>
  </si>
  <si>
    <t>Enviado 26/1/2026, 1:19:03 p. m.</t>
  </si>
  <si>
    <t>Enviado 26/1/2026, 2:04:43 p. m.</t>
  </si>
  <si>
    <t>Verónica Machado</t>
  </si>
  <si>
    <t>15:10</t>
  </si>
  <si>
    <t>Enviado 26/1/2026, 3:10:42 p. m.</t>
  </si>
  <si>
    <t>Jorge Polo</t>
  </si>
  <si>
    <t>15:13</t>
  </si>
  <si>
    <t>Enviado 26/1/2026, 3:13:50 p. m.</t>
  </si>
  <si>
    <t>FUNDACION CON AMOR SOCIAL emp.</t>
  </si>
  <si>
    <t>214200</t>
  </si>
  <si>
    <t>Enviado 26/1/2026, 3:21:21 p. m.</t>
  </si>
  <si>
    <t>15:25</t>
  </si>
  <si>
    <t>Enviado 26/1/2026, 3:25:36 p. m.</t>
  </si>
  <si>
    <t>16:16</t>
  </si>
  <si>
    <t>Enviado 26/1/2026, 4:16:22 p. m.</t>
  </si>
  <si>
    <t>Enviado 26/1/2026, 5:04:19 p. m.</t>
  </si>
  <si>
    <t>72590</t>
  </si>
  <si>
    <t>Enviado 26/1/2026, 5:25:13 p. m.</t>
  </si>
  <si>
    <t>340000</t>
  </si>
  <si>
    <t>Enviado 26/1/2026, 6:33:01 p. m.</t>
  </si>
  <si>
    <t>LUCIANO COPETE</t>
  </si>
  <si>
    <t>18:43</t>
  </si>
  <si>
    <t>Enviado 26/1/2026, 6:43:57 p. m.</t>
  </si>
  <si>
    <t>07:29</t>
  </si>
  <si>
    <t>Enviado 27/1/2026, 7:29:40 a. m.</t>
  </si>
  <si>
    <t>07:35</t>
  </si>
  <si>
    <t>Enviado 27/1/2026, 7:35:46 a. m.</t>
  </si>
  <si>
    <t>08:13</t>
  </si>
  <si>
    <t>Enviado 27/1/2026, 8:13:43 a. m.</t>
  </si>
  <si>
    <t>Enviado 27/1/2026, 9:20:03 a. m.</t>
  </si>
  <si>
    <t>Loraine Gomez</t>
  </si>
  <si>
    <t>Enviado 27/1/2026, 9:22:12 a. m.</t>
  </si>
  <si>
    <t>paola montero  rua</t>
  </si>
  <si>
    <t>Enviado 27/1/2026, 10:33:24 a. m.</t>
  </si>
  <si>
    <t>Danilso Díaz</t>
  </si>
  <si>
    <t>Enviado 27/1/2026, 11:55:42 a. m.</t>
  </si>
  <si>
    <t>Sebastian Garavito</t>
  </si>
  <si>
    <t>Enviado 27/1/2026, 12:15:17 p. m.</t>
  </si>
  <si>
    <t>Freddy Romero</t>
  </si>
  <si>
    <t>12:45</t>
  </si>
  <si>
    <t>Enviado 27/1/2026, 12:46:15 p. m.</t>
  </si>
  <si>
    <t>Stefanie Luque</t>
  </si>
  <si>
    <t>573183622707</t>
  </si>
  <si>
    <t>Enviado 27/1/2026, 1:07:21 p. m.</t>
  </si>
  <si>
    <t>Enviado 27/1/2026, 1:12:57 p. m.</t>
  </si>
  <si>
    <t>Myriam Vargas mendoza</t>
  </si>
  <si>
    <t>573114757844</t>
  </si>
  <si>
    <t>Enviado 27/1/2026, 1:14:39 p. m.</t>
  </si>
  <si>
    <t>Nathaly Navarro</t>
  </si>
  <si>
    <t>573052660359</t>
  </si>
  <si>
    <t>Elizabeth Tovio</t>
  </si>
  <si>
    <t>Enviado 27/1/2026, 1:16:27 p. m.</t>
  </si>
  <si>
    <t>Enviado 27/1/2026, 1:25:37 p. m.</t>
  </si>
  <si>
    <t>linda Florián</t>
  </si>
  <si>
    <t>573045271987</t>
  </si>
  <si>
    <t>13:43</t>
  </si>
  <si>
    <t>Enviado 27/1/2026, 1:44:00 p. m.</t>
  </si>
  <si>
    <t>Maria Amaya</t>
  </si>
  <si>
    <t>Enviado 27/1/2026, 1:48:34 p. m.</t>
  </si>
  <si>
    <t>Tatiana Heredia</t>
  </si>
  <si>
    <t>573503710536</t>
  </si>
  <si>
    <t>42 | ?</t>
  </si>
  <si>
    <t>Alejandra Garcia</t>
  </si>
  <si>
    <t>Enviado 27/1/2026, 2:38:09 p. m.</t>
  </si>
  <si>
    <t>Yesit Campo</t>
  </si>
  <si>
    <t>Enviado 27/1/2026, 2:56:44 p. m.</t>
  </si>
  <si>
    <t>Enviado 27/1/2026, 2:56:52 p. m.</t>
  </si>
  <si>
    <t>27 | ?</t>
  </si>
  <si>
    <t>Enviado 27/1/2026, 3:56:36 p. m.</t>
  </si>
  <si>
    <t>Tuttos Sport Caribe Empresa</t>
  </si>
  <si>
    <t>246000</t>
  </si>
  <si>
    <t>Enviado 27/1/2026, 4:03:51 p. m.</t>
  </si>
  <si>
    <t>Valerie Frangie</t>
  </si>
  <si>
    <t>318 5864253</t>
  </si>
  <si>
    <t>422000</t>
  </si>
  <si>
    <t>16:34</t>
  </si>
  <si>
    <t>Enviado 27/1/2026, 4:34:46 p. m.</t>
  </si>
  <si>
    <t>79000</t>
  </si>
  <si>
    <t>Enviado 27/1/2026, 4:48:44 p. m.</t>
  </si>
  <si>
    <t>Luis Carlos Bedoya Madrid</t>
  </si>
  <si>
    <t>Enviado 27/1/2026, 5:01:50 p. m.</t>
  </si>
  <si>
    <t>Mauricio Alvarado</t>
  </si>
  <si>
    <t>17:21</t>
  </si>
  <si>
    <t>Enviado 27/1/2026, 5:21:28 p. m.</t>
  </si>
  <si>
    <t>Maria Jose Mendoza González</t>
  </si>
  <si>
    <t>573216655154</t>
  </si>
  <si>
    <t>Enviado 27/1/2026, 5:37:32 p. m.</t>
  </si>
  <si>
    <t>Olga lucia Erazo</t>
  </si>
  <si>
    <t>17:41</t>
  </si>
  <si>
    <t>Enviado 27/1/2026, 5:42:22 p. m.</t>
  </si>
  <si>
    <t>flora box mediana topiario</t>
  </si>
  <si>
    <t>Enviado 27/1/2026, 5:56:25 p. m.</t>
  </si>
  <si>
    <t>18:19</t>
  </si>
  <si>
    <t>Enviado 27/1/2026, 6:20:05 p. m.</t>
  </si>
  <si>
    <t>06:57</t>
  </si>
  <si>
    <t>Enviado 28/1/2026, 6:58:13 a. m.</t>
  </si>
  <si>
    <t>Enviado 28/1/2026, 7:02:36 a. m.</t>
  </si>
  <si>
    <t>STEPHANIE PALACIO MONSALVO</t>
  </si>
  <si>
    <t>08:33</t>
  </si>
  <si>
    <t>Enviado 28/1/2026, 8:33:47 a. m.</t>
  </si>
  <si>
    <t>573005074397</t>
  </si>
  <si>
    <t>600000</t>
  </si>
  <si>
    <t>Enviado 28/1/2026, 8:59:00 a. m.</t>
  </si>
  <si>
    <t>Novamed SAS empresa</t>
  </si>
  <si>
    <t>138900</t>
  </si>
  <si>
    <t>Enviado 28/1/2026, 9:00:55 a. m.</t>
  </si>
  <si>
    <t>Trianna Ortiz montaña</t>
  </si>
  <si>
    <t>Enviado 28/1/2026, 9:08:26 a. m.</t>
  </si>
  <si>
    <t>Daniel Briceño</t>
  </si>
  <si>
    <t>10:01</t>
  </si>
  <si>
    <t>Enviado 28/1/2026, 10:01:51 a. m.</t>
  </si>
  <si>
    <t>10:55</t>
  </si>
  <si>
    <t>Enviado 28/1/2026, 10:55:31 a. m.</t>
  </si>
  <si>
    <t>alvaro villarreal</t>
  </si>
  <si>
    <t>Enviado 28/1/2026, 11:31:40 a. m.</t>
  </si>
  <si>
    <t>Matusalem Gerardo Hernández Roldán</t>
  </si>
  <si>
    <t>Enviado 28/1/2026, 11:41:13 a. m.</t>
  </si>
  <si>
    <t>Enviado 28/1/2026, 11:55:38 a. m.</t>
  </si>
  <si>
    <t>Paola Duran</t>
  </si>
  <si>
    <t>176000</t>
  </si>
  <si>
    <t>Enviado 28/1/2026, 12:01:11 p. m.</t>
  </si>
  <si>
    <t>29000</t>
  </si>
  <si>
    <t>Enviado 28/1/2026, 12:11:34 p. m.</t>
  </si>
  <si>
    <t>Viviana Navarro</t>
  </si>
  <si>
    <t>Enviado 28/1/2026, 12:42:07 p. m.</t>
  </si>
  <si>
    <t>Enviado 28/1/2026, 12:49:16 p. m.</t>
  </si>
  <si>
    <t>54 | ? | ?</t>
  </si>
  <si>
    <t>1320000</t>
  </si>
  <si>
    <t>Pocholo</t>
  </si>
  <si>
    <t>Enviado 28/1/2026, 1:45:46 p. m.</t>
  </si>
  <si>
    <t>Andres Muñoz</t>
  </si>
  <si>
    <t>Enviado 28/1/2026, 1:53:35 p. m.</t>
  </si>
  <si>
    <t>Sileana Roca</t>
  </si>
  <si>
    <t>Enviado 28/1/2026, 2:44:57 p. m.</t>
  </si>
  <si>
    <t>Nicolás Montaño</t>
  </si>
  <si>
    <t>Enviado 28/1/2026, 2:52:13 p. m.</t>
  </si>
  <si>
    <t>Jonatan Hernández Gamez</t>
  </si>
  <si>
    <t>Enviado 28/1/2026, 2:57:32 p. m.</t>
  </si>
  <si>
    <t>Megan Sonen</t>
  </si>
  <si>
    <t>Enviado 28/1/2026, 2:59:11 p. m.</t>
  </si>
  <si>
    <t>15:12</t>
  </si>
  <si>
    <t>30/</t>
  </si>
  <si>
    <t>Enviado 28/1/2026, 3:12:41 p. m.</t>
  </si>
  <si>
    <t>María José Armenta</t>
  </si>
  <si>
    <t>Enviado 28/1/2026, 3:26:07 p. m.</t>
  </si>
  <si>
    <t>Maria Garcia</t>
  </si>
  <si>
    <t>15:28</t>
  </si>
  <si>
    <t>Enviado 28/1/2026, 3:28:18 p. m.</t>
  </si>
  <si>
    <t>Ignacio Angulo</t>
  </si>
  <si>
    <t>50768513580</t>
  </si>
  <si>
    <t>Enviado 28/1/2026, 4:13:35 p. m.</t>
  </si>
  <si>
    <t>EDUARDO BERMUDEZ</t>
  </si>
  <si>
    <t>16:49</t>
  </si>
  <si>
    <t>Enviado 28/1/2026, 4:49:32 p. m.</t>
  </si>
  <si>
    <t>Enviado 28/1/2026, 5:02:19 p. m.</t>
  </si>
  <si>
    <t>Stephanie Ashton</t>
  </si>
  <si>
    <t>Enviado 28/1/2026, 5:26:18 p. m.</t>
  </si>
  <si>
    <t>Alvaro Mestre</t>
  </si>
  <si>
    <t>07:46</t>
  </si>
  <si>
    <t>Enviado 29/1/2026, 7:46:50 a. m.</t>
  </si>
  <si>
    <t>Jainer Rosales Martinez</t>
  </si>
  <si>
    <t>Enviado 29/1/2026, 8:23:05 a. m.</t>
  </si>
  <si>
    <t>08:38</t>
  </si>
  <si>
    <t>Enviado 29/1/2026, 8:39:00 a. m.</t>
  </si>
  <si>
    <t>Enviado 29/1/2026, 9:21:29 a. m.</t>
  </si>
  <si>
    <t>Jesus Lamus</t>
  </si>
  <si>
    <t>Enviado 29/1/2026, 9:37:57 a. m.</t>
  </si>
  <si>
    <t>Carlos Reyes</t>
  </si>
  <si>
    <t>09:42</t>
  </si>
  <si>
    <t>Enviado 29/1/2026, 9:42:57 a. m.</t>
  </si>
  <si>
    <t>Jorge Martinez</t>
  </si>
  <si>
    <t>Enviado 29/1/2026, 9:49:24 a. m.</t>
  </si>
  <si>
    <t>radisom mejía</t>
  </si>
  <si>
    <t>10:09</t>
  </si>
  <si>
    <t>Enviado 29/1/2026, 10:09:32 a. m.</t>
  </si>
  <si>
    <t>Enviado 29/1/2026, 11:22:29 a. m.</t>
  </si>
  <si>
    <t>573007285223</t>
  </si>
  <si>
    <t>Enviado 29/1/2026, 11:33:32 a. m.</t>
  </si>
  <si>
    <t>Ruben Marrero</t>
  </si>
  <si>
    <t>Enviado 29/1/2026, 11:46:49 a. m.</t>
  </si>
  <si>
    <t>camila de las salas</t>
  </si>
  <si>
    <t>Enviado 29/1/2026, 11:59:12 a. m.</t>
  </si>
  <si>
    <t>Luigi Frieri</t>
  </si>
  <si>
    <t>573152500267</t>
  </si>
  <si>
    <t>Enviado 29/1/2026, 1:58:25 p. m.</t>
  </si>
  <si>
    <t>Julian Falquez Ruiz</t>
  </si>
  <si>
    <t>Enviado 29/1/2026, 2:19:36 p. m.</t>
  </si>
  <si>
    <t>Enviado 29/1/2026, 2:26:57 p. m.</t>
  </si>
  <si>
    <t>573007657567</t>
  </si>
  <si>
    <t>Enviado 29/1/2026, 2:40:33 p. m.</t>
  </si>
  <si>
    <t>Enviado 29/1/2026, 2:42:04 p. m.</t>
  </si>
  <si>
    <t>Enviado 29/1/2026, 2:58:13 p. m.</t>
  </si>
  <si>
    <t>15:05</t>
  </si>
  <si>
    <t>Enviado 29/1/2026, 3:05:47 p. m.</t>
  </si>
  <si>
    <t>Angie Cabarcas</t>
  </si>
  <si>
    <t>Enviado 29/1/2026, 3:06:44 p. m.</t>
  </si>
  <si>
    <t>Enviado 29/1/2026, 3:11:56 p. m.</t>
  </si>
  <si>
    <t>573174289182</t>
  </si>
  <si>
    <t>Enviado 29/1/2026, 3:36:27 p. m.</t>
  </si>
  <si>
    <t>Enviado 29/1/2026, 4:02:44 p. m.</t>
  </si>
  <si>
    <t>Enviado 29/1/2026, 4:17:48 p. m.</t>
  </si>
  <si>
    <t>pedro de la hoz</t>
  </si>
  <si>
    <t>Enviado 29/1/2026, 4:34:13 p. m.</t>
  </si>
  <si>
    <t>Julian Idarraga</t>
  </si>
  <si>
    <t>Enviado 29/1/2026, 4:36:21 p. m.</t>
  </si>
  <si>
    <t>rodolfo barcelo</t>
  </si>
  <si>
    <t>74000</t>
  </si>
  <si>
    <t>Enviado 29/1/2026, 4:47:43 p. m.</t>
  </si>
  <si>
    <t>573002112147</t>
  </si>
  <si>
    <t>16:58</t>
  </si>
  <si>
    <t>Enviado 29/1/2026, 4:59:11 p. m.</t>
  </si>
  <si>
    <t>17:53</t>
  </si>
  <si>
    <t>Enviado 29/1/2026, 5:53:35 p. m.</t>
  </si>
  <si>
    <t>Enviado 29/1/2026, 5:56:21 p. m.</t>
  </si>
  <si>
    <t>Enviado 29/1/2026, 6:05:25 p. m.</t>
  </si>
  <si>
    <t>573195545411</t>
  </si>
  <si>
    <t>18:10</t>
  </si>
  <si>
    <t>Enviado 29/1/2026, 6:10:57 p. m.</t>
  </si>
  <si>
    <t>María Hernández Pertuz</t>
  </si>
  <si>
    <t>07:50</t>
  </si>
  <si>
    <t>Enviado 30/1/2026, 7:50:57 a. m.</t>
  </si>
  <si>
    <t>Alejandra Deja</t>
  </si>
  <si>
    <t>573007664799</t>
  </si>
  <si>
    <t>92 | ? | ? | ?</t>
  </si>
  <si>
    <t>Enviado 30/1/2026, 8:25:44 a. m.</t>
  </si>
  <si>
    <t>laura pino</t>
  </si>
  <si>
    <t>Enviado 30/1/2026, 8:31:44 a. m.</t>
  </si>
  <si>
    <t>Sofía Callejas</t>
  </si>
  <si>
    <t>Enviado 30/1/2026, 8:37:37 a. m.</t>
  </si>
  <si>
    <t>Enviado 30/1/2026, 8:40:32 a. m.</t>
  </si>
  <si>
    <t>CARLOS YESID COTES GARCIA</t>
  </si>
  <si>
    <t>08:44</t>
  </si>
  <si>
    <t>Enviado 30/1/2026, 8:44:48 a. m.</t>
  </si>
  <si>
    <t>352000</t>
  </si>
  <si>
    <t>Enviado 30/1/2026, 8:58:43 a. m.</t>
  </si>
  <si>
    <t>Karina Garrido</t>
  </si>
  <si>
    <t>201000</t>
  </si>
  <si>
    <t>09:14</t>
  </si>
  <si>
    <t>Enviado 30/1/2026, 9:15:16 a. m.</t>
  </si>
  <si>
    <t>Enviado 30/1/2026, 9:36:50 a. m.</t>
  </si>
  <si>
    <t>Enviado 30/1/2026, 9:39:36 a. m.</t>
  </si>
  <si>
    <t>09:43</t>
  </si>
  <si>
    <t>Enviado 30/1/2026, 9:43:48 a. m.</t>
  </si>
  <si>
    <t>Anwar G.</t>
  </si>
  <si>
    <t>412000</t>
  </si>
  <si>
    <t>Enviado 30/1/2026, 9:47:29 a. m.</t>
  </si>
  <si>
    <t>Ashley Marenco</t>
  </si>
  <si>
    <t>114000</t>
  </si>
  <si>
    <t>Enviado 30/1/2026, 9:51:24 a. m.</t>
  </si>
  <si>
    <t>09:53</t>
  </si>
  <si>
    <t>Enviado 30/1/2026, 9:54:12 a. m.</t>
  </si>
  <si>
    <t>123000</t>
  </si>
  <si>
    <t>Enviado 30/1/2026, 10:30:23 a. m.</t>
  </si>
  <si>
    <t>Jessir Florez</t>
  </si>
  <si>
    <t>Enviado 30/1/2026, 10:38:29 a. m.</t>
  </si>
  <si>
    <t>Yuranys Luque Sinning</t>
  </si>
  <si>
    <t>Enviado 30/1/2026, 10:44:48 a. m.</t>
  </si>
  <si>
    <t>Enviado 30/1/2026, 11:48:35 a. m.</t>
  </si>
  <si>
    <t>573183752045</t>
  </si>
  <si>
    <t>Enviado 30/1/2026, 12:12:32 p. m.</t>
  </si>
  <si>
    <t>12:22</t>
  </si>
  <si>
    <t>Enviado 30/1/2026, 12:22:49 p. m.</t>
  </si>
  <si>
    <t>Sebastian Giraldo</t>
  </si>
  <si>
    <t>Enviado 30/1/2026, 12:30:19 p. m.</t>
  </si>
  <si>
    <t>Enviado 30/1/2026, 12:50:05 p. m.</t>
  </si>
  <si>
    <t>Paula Brito</t>
  </si>
  <si>
    <t>Enviado 30/1/2026, 12:53:00 p. m.</t>
  </si>
  <si>
    <t>Valery Manjarres</t>
  </si>
  <si>
    <t>Enviado 30/1/2026, 12:55:22 p. m.</t>
  </si>
  <si>
    <t>Enviado 30/1/2026, 1:28:28 p. m.</t>
  </si>
  <si>
    <t>Enviado 30/1/2026, 1:35:09 p. m.</t>
  </si>
  <si>
    <t>Vanessa Penagos</t>
  </si>
  <si>
    <t>14:01</t>
  </si>
  <si>
    <t>Enviado 30/1/2026, 2:01:25 p. m.</t>
  </si>
  <si>
    <t>juliana cisneros</t>
  </si>
  <si>
    <t>Enviado 30/1/2026, 2:03:09 p. m.</t>
  </si>
  <si>
    <t>Camilo Rois</t>
  </si>
  <si>
    <t>Enviado 30/1/2026, 2:05:15 p. m.</t>
  </si>
  <si>
    <t>Enviado 30/1/2026, 2:23:48 p. m.</t>
  </si>
  <si>
    <t>Andrea Da Silva</t>
  </si>
  <si>
    <t>14:29</t>
  </si>
  <si>
    <t>Enviado 30/1/2026, 2:30:13 p. m.</t>
  </si>
  <si>
    <t>Enviado 30/1/2026, 3:13:24 p. m.</t>
  </si>
  <si>
    <t>Enviado 30/1/2026, 3:28:42 p. m.</t>
  </si>
  <si>
    <t>Enviado 30/1/2026, 3:31:22 p. m.</t>
  </si>
  <si>
    <t>Kenyi Larios</t>
  </si>
  <si>
    <t>Enviado 30/1/2026, 3:41:42 p. m.</t>
  </si>
  <si>
    <t>Enviado 30/1/2026, 4:01:12 p. m.</t>
  </si>
  <si>
    <t>Maria KALED</t>
  </si>
  <si>
    <t>Enviado 30/1/2026, 4:15:44 p. m.</t>
  </si>
  <si>
    <t>Marco Borja</t>
  </si>
  <si>
    <t>Enviado 30/1/2026, 4:20:24 p. m.</t>
  </si>
  <si>
    <t>alma meza</t>
  </si>
  <si>
    <t>302000</t>
  </si>
  <si>
    <t>Enviado 30/1/2026, 4:47:20 p. m.</t>
  </si>
  <si>
    <t>victoria Salgado</t>
  </si>
  <si>
    <t>Enviado 30/1/2026, 4:53:51 p. m.</t>
  </si>
  <si>
    <t>MUNDO RESIDUAL SAS EMPRESA</t>
  </si>
  <si>
    <t>590000</t>
  </si>
  <si>
    <t>17:09</t>
  </si>
  <si>
    <t>Enviado 30/1/2026, 5:09:37 p. m.</t>
  </si>
  <si>
    <t>Enviado 30/1/2026, 6:06:12 p. m.</t>
  </si>
  <si>
    <t>18:11</t>
  </si>
  <si>
    <t>Enviado 30/1/2026, 6:12:00 p. m.</t>
  </si>
  <si>
    <t>0 0</t>
  </si>
  <si>
    <t>Enviado 30/1/2026, 6:19:24 p. m.</t>
  </si>
  <si>
    <t>angela camargo</t>
  </si>
  <si>
    <t>Enviado 30/1/2026, 6:30:43 p. m.</t>
  </si>
  <si>
    <t>natalia Rondón</t>
  </si>
  <si>
    <t>418000</t>
  </si>
  <si>
    <t>Enviado 31/1/2026, 9:01:47 a. m.</t>
  </si>
  <si>
    <t>Orlando Rodriguez</t>
  </si>
  <si>
    <t>127000</t>
  </si>
  <si>
    <t>Enviado 31/1/2026, 9:26:58 a. m.</t>
  </si>
  <si>
    <t>Jose Moscote</t>
  </si>
  <si>
    <t>09:55</t>
  </si>
  <si>
    <t>Enviado 31/1/2026, 9:56:11 a. m.</t>
  </si>
  <si>
    <t>Viviana Ibanez</t>
  </si>
  <si>
    <t>19548500270</t>
  </si>
  <si>
    <t>Silvana Ibáñez</t>
  </si>
  <si>
    <t>Enviado 31/1/2026, 10:05:58 a. m.</t>
  </si>
  <si>
    <t>Enviado 31/1/2026, 10:06:28 a. m.</t>
  </si>
  <si>
    <t>Luisa Celedon</t>
  </si>
  <si>
    <t>573046441978</t>
  </si>
  <si>
    <t>28 | ? | ?</t>
  </si>
  <si>
    <t>146000</t>
  </si>
  <si>
    <t>10:07</t>
  </si>
  <si>
    <t>Enviado 31/1/2026, 10:07:32 a. m.</t>
  </si>
  <si>
    <t>Enviado 31/1/2026, 10:08:47 a. m.</t>
  </si>
  <si>
    <t>Johnatan Julián Bedoya Gil</t>
  </si>
  <si>
    <t>900000</t>
  </si>
  <si>
    <t>10:33</t>
  </si>
  <si>
    <t>Enviado 31/1/2026, 10:34:07 a. m.</t>
  </si>
  <si>
    <t>Alejandro Rincón</t>
  </si>
  <si>
    <t>580000</t>
  </si>
  <si>
    <t>11:53</t>
  </si>
  <si>
    <t>Enviado 31/1/2026, 11:53:32 a. m.</t>
  </si>
  <si>
    <t>Antonio Medina Avendaño</t>
  </si>
  <si>
    <t>156000</t>
  </si>
  <si>
    <t>11:56</t>
  </si>
  <si>
    <t>Enviado 31/1/2026, 11:56:38 a. m.</t>
  </si>
  <si>
    <t>Melannie Sánchez</t>
  </si>
  <si>
    <t>573011950597</t>
  </si>
  <si>
    <t>Rosa Alonso</t>
  </si>
  <si>
    <t>Enviado 31/1/2026, 12:04:03 p. m.</t>
  </si>
  <si>
    <t>Cesar Sanchez</t>
  </si>
  <si>
    <t>445000</t>
  </si>
  <si>
    <t>12:07</t>
  </si>
  <si>
    <t>Enviado 31/1/2026, 12:07:29 p. m.</t>
  </si>
  <si>
    <t>Enviado 31/1/2026, 12:34:25 p. m.</t>
  </si>
  <si>
    <t>573022876217</t>
  </si>
  <si>
    <t>12:34</t>
  </si>
  <si>
    <t>Enviado 31/1/2026, 12:34:29 p. m.</t>
  </si>
  <si>
    <t>Enviado 31/1/2026, 12:38:32 p. m.</t>
  </si>
  <si>
    <t>571200</t>
  </si>
  <si>
    <t>12:42</t>
  </si>
  <si>
    <t>Enviado 31/1/2026, 12:42:58 p. m.</t>
  </si>
  <si>
    <t>Enviado 31/1/2026, 12:49:43 p. m.</t>
  </si>
  <si>
    <t>Julio Mario Ricardo Otero</t>
  </si>
  <si>
    <t>573004842067</t>
  </si>
  <si>
    <t>Enviado 31/1/2026, 1:48:00 p. m.</t>
  </si>
  <si>
    <t>Santiago Alvarado</t>
  </si>
  <si>
    <t>14:21</t>
  </si>
  <si>
    <t>Enviado 31/1/2026, 2:21:30 p. m.</t>
  </si>
  <si>
    <t>KAREN SANCHEZ</t>
  </si>
  <si>
    <t>Enviado 31/1/2026, 2:44:29 p. m.</t>
  </si>
  <si>
    <t>Isabella Zabala</t>
  </si>
  <si>
    <t>573104420754</t>
  </si>
  <si>
    <t>Enviado 31/1/2026, 3:22:06 p. m.</t>
  </si>
  <si>
    <t>Rafael Bermejo</t>
  </si>
  <si>
    <t>13058126552</t>
  </si>
  <si>
    <t>Enviado 31/1/2026, 3:31:35 p. m.</t>
  </si>
  <si>
    <t>Enviado 31/1/2026, 3:36:24 p. m.</t>
  </si>
  <si>
    <t>Enrique De La Hoz</t>
  </si>
  <si>
    <t>15068634923</t>
  </si>
  <si>
    <t>Enviado 31/1/2026, 4:34:43 p. m.</t>
  </si>
  <si>
    <t>RACHED FARAH</t>
  </si>
  <si>
    <t>573003193389</t>
  </si>
  <si>
    <t>Enviado 2/2/2026, 7:31:44 a. m.</t>
  </si>
  <si>
    <t>573003182878</t>
  </si>
  <si>
    <t>07:38</t>
  </si>
  <si>
    <t>Enviado 2/2/2026, 7:38:30 a. m.</t>
  </si>
  <si>
    <t>Enviado 2/2/2026, 7:42:02 a. m.</t>
  </si>
  <si>
    <t>Antonio de Vuono</t>
  </si>
  <si>
    <t>Enviado 2/2/2026, 8:21:15 a. m.</t>
  </si>
  <si>
    <t>Maria Jose Arregoces Toloza</t>
  </si>
  <si>
    <t>08:55</t>
  </si>
  <si>
    <t>JORGE ALBERTO SANCHEZ</t>
  </si>
  <si>
    <t>Enviado 2/2/2026, 9:04:01 a. m.</t>
  </si>
  <si>
    <t>Estefanía Rojano</t>
  </si>
  <si>
    <t>Enviado 2/2/2026, 9:08:55 a. m.</t>
  </si>
  <si>
    <t>julio enriquez</t>
  </si>
  <si>
    <t>Enviado 2/2/2026, 9:23:44 a. m.</t>
  </si>
  <si>
    <t>Enviado 2/2/2026, 9:47:28 a. m.</t>
  </si>
  <si>
    <t>90 | ?</t>
  </si>
  <si>
    <t>Enviado 2/2/2026, 9:48:56 a. m.</t>
  </si>
  <si>
    <t>Enviado 2/2/2026, 10:30:03 a. m.</t>
  </si>
  <si>
    <t>Mileida González Pabon</t>
  </si>
  <si>
    <t>10:50</t>
  </si>
  <si>
    <t>Enviado 2/2/2026, 10:51:16 a. m.</t>
  </si>
  <si>
    <t>Enviado 2/2/2026, 11:21:10 a. m.</t>
  </si>
  <si>
    <t>Enviado 2/2/2026, 11:25:05 a. m.</t>
  </si>
  <si>
    <t>Miguel Agredo</t>
  </si>
  <si>
    <t>Enviado 2/2/2026, 11:29:11 a. m.</t>
  </si>
  <si>
    <t>Grupo Folclorico Cipote Garabato empresa</t>
  </si>
  <si>
    <t>377000</t>
  </si>
  <si>
    <t>Enviado 2/2/2026, 12:05:34 p. m.</t>
  </si>
  <si>
    <t>ANTONIO OROZCO</t>
  </si>
  <si>
    <t>Enviado 2/2/2026, 12:07:57 p. m.</t>
  </si>
  <si>
    <t>Enviado 2/2/2026, 12:57:37 p. m.</t>
  </si>
  <si>
    <t>Natalia Noreña</t>
  </si>
  <si>
    <t>Enviado 2/2/2026, 1:25:40 p. m.</t>
  </si>
  <si>
    <t>573008810305</t>
  </si>
  <si>
    <t>Enviado 2/2/2026, 2:52:27 p. m.</t>
  </si>
  <si>
    <t>Angélica Jaraba</t>
  </si>
  <si>
    <t>Enviado 2/2/2026, 2:58:48 p. m.</t>
  </si>
  <si>
    <t>15:18</t>
  </si>
  <si>
    <t>Enviado 2/2/2026, 3:18:32 p. m.</t>
  </si>
  <si>
    <t>244200</t>
  </si>
  <si>
    <t>Enviado 2/2/2026, 3:27:14 p. m.</t>
  </si>
  <si>
    <t>573166913377</t>
  </si>
  <si>
    <t>126000</t>
  </si>
  <si>
    <t>Enviado 2/2/2026, 4:20:48 p. m.</t>
  </si>
  <si>
    <t>gases del caribe empresa</t>
  </si>
  <si>
    <t>107200</t>
  </si>
  <si>
    <t>Enviado 2/2/2026, 4:32:02 p. m.</t>
  </si>
  <si>
    <t>Diego Fernandez</t>
  </si>
  <si>
    <t>17:27</t>
  </si>
  <si>
    <t>Enviado 2/2/2026, 5:28:11 p. m.</t>
  </si>
  <si>
    <t>Andrea Parra</t>
  </si>
  <si>
    <t>17:31</t>
  </si>
  <si>
    <t>Enviado 2/2/2026, 5:32:14 p. m.</t>
  </si>
  <si>
    <t>Enviado 2/2/2026, 5:47:28 p. m.</t>
  </si>
  <si>
    <t>ilitya lasprilla</t>
  </si>
  <si>
    <t>Enviado 2/2/2026, 6:36:02 p. m.</t>
  </si>
  <si>
    <t>Enviado 3/2/2026, 7:22:13 a. m.</t>
  </si>
  <si>
    <t>Enviado 3/2/2026, 8:23:39 a. m.</t>
  </si>
  <si>
    <t>573205215209</t>
  </si>
  <si>
    <t>Enviado 3/2/2026, 8:33:38 a. m.</t>
  </si>
  <si>
    <t>Massiel Pardo de oro</t>
  </si>
  <si>
    <t>573012930040</t>
  </si>
  <si>
    <t>Enviado 3/2/2026, 8:38:02 a. m.</t>
  </si>
  <si>
    <t>Jose Feris</t>
  </si>
  <si>
    <t>08:45</t>
  </si>
  <si>
    <t>Enviado 3/2/2026, 8:45:49 a. m.</t>
  </si>
  <si>
    <t>Maria paulina Gonzalez</t>
  </si>
  <si>
    <t>Enviado 3/2/2026, 9:18:34 a. m.</t>
  </si>
  <si>
    <t>Laurina de Sanabria</t>
  </si>
  <si>
    <t>Enviado 3/2/2026, 9:32:39 a. m.</t>
  </si>
  <si>
    <t>Pedro Villanueva</t>
  </si>
  <si>
    <t>Enviado 3/2/2026, 9:37:37 a. m.</t>
  </si>
  <si>
    <t>Laura Valencia</t>
  </si>
  <si>
    <t>Enviado 3/2/2026, 10:02:46 a. m.</t>
  </si>
  <si>
    <t>Enviado 3/2/2026, 10:16:48 a. m.</t>
  </si>
  <si>
    <t>Manuela Gallego Guillén</t>
  </si>
  <si>
    <t>Enviado 3/2/2026, 10:37:29 a. m.</t>
  </si>
  <si>
    <t>HT industries colombia S.A.S. esp empresa</t>
  </si>
  <si>
    <t>305500</t>
  </si>
  <si>
    <t>Enviado 3/2/2026, 10:56:09 a. m.</t>
  </si>
  <si>
    <t>Maria Margarita Acosta Del Gallego</t>
  </si>
  <si>
    <t>11:06</t>
  </si>
  <si>
    <t>Enviado 3/2/2026, 11:07:04 a. m.</t>
  </si>
  <si>
    <t>Margarita Alvarez</t>
  </si>
  <si>
    <t>Enviado 3/2/2026, 11:40:59 a. m.</t>
  </si>
  <si>
    <t>58 | ?</t>
  </si>
  <si>
    <t>Enviado 3/2/2026, 11:55:37 a. m.</t>
  </si>
  <si>
    <t>fanny sales</t>
  </si>
  <si>
    <t>Enviado 3/2/2026, 12:08:36 p. m.</t>
  </si>
  <si>
    <t>Juan Doncel</t>
  </si>
  <si>
    <t>101000</t>
  </si>
  <si>
    <t>Enviado 3/2/2026, 12:56:11 p. m.</t>
  </si>
  <si>
    <t>Juan Aristizabal</t>
  </si>
  <si>
    <t>Enviado 3/2/2026, 1:31:46 p. m.</t>
  </si>
  <si>
    <t>Bryan Buitrago</t>
  </si>
  <si>
    <t>Enviado 3/2/2026, 2:20:27 p. m.</t>
  </si>
  <si>
    <t>Mateo Quiroz</t>
  </si>
  <si>
    <t>Enviado 3/2/2026, 2:25:45 p. m.</t>
  </si>
  <si>
    <t>Enviado 3/2/2026, 2:38:08 p. m.</t>
  </si>
  <si>
    <t>573156837670</t>
  </si>
  <si>
    <t>Enviado 3/2/2026, 3:08:28 p. m.</t>
  </si>
  <si>
    <t>Mario Villalobos</t>
  </si>
  <si>
    <t>Enviado 3/2/2026, 3:13:03 p. m.</t>
  </si>
  <si>
    <t>Maria Victoria de Gonzalez</t>
  </si>
  <si>
    <t>15:22</t>
  </si>
  <si>
    <t>Enviado 3/2/2026, 3:22:49 p. m.</t>
  </si>
  <si>
    <t>Enviado 3/2/2026, 3:45:53 p. m.</t>
  </si>
  <si>
    <t>Cristian Ospina</t>
  </si>
  <si>
    <t>Enviado 3/2/2026, 4:10:02 p. m.</t>
  </si>
  <si>
    <t>Enviado 3/2/2026, 4:24:57 p. m.</t>
  </si>
  <si>
    <t>María Rodado</t>
  </si>
  <si>
    <t>Enviado 3/2/2026, 4:32:14 p. m.</t>
  </si>
  <si>
    <t>17:06</t>
  </si>
  <si>
    <t>Enviado 3/2/2026, 5:07:16 p. m.</t>
  </si>
  <si>
    <t>Sonia Gonzalez</t>
  </si>
  <si>
    <t>34659775024</t>
  </si>
  <si>
    <t>35 | ?</t>
  </si>
  <si>
    <t>1 l 1</t>
  </si>
  <si>
    <t>432000</t>
  </si>
  <si>
    <t>17:15</t>
  </si>
  <si>
    <t>Enviado 3/2/2026, 5:15:23 p. m.</t>
  </si>
  <si>
    <t>573002627762</t>
  </si>
  <si>
    <t>17:16</t>
  </si>
  <si>
    <t>Enviado 3/2/2026, 5:17:05 p. m.</t>
  </si>
  <si>
    <t>Enviado 3/2/2026, 5:20:36 p. m.</t>
  </si>
  <si>
    <t>Enviado 3/2/2026, 6:21:15 p. m.</t>
  </si>
  <si>
    <t>104000</t>
  </si>
  <si>
    <t>Enviado 4/2/2026, 8:43:48 a. m.</t>
  </si>
  <si>
    <t>armando de la hoz</t>
  </si>
  <si>
    <t>09:22</t>
  </si>
  <si>
    <t>Enviado 4/2/2026, 9:22:48 a. m.</t>
  </si>
  <si>
    <t>573242829432</t>
  </si>
  <si>
    <t>Dariana Gómez</t>
  </si>
  <si>
    <t>Enviado 4/2/2026, 9:39:20 a. m.</t>
  </si>
  <si>
    <t>Enviado 4/2/2026, 9:44:30 a. m.</t>
  </si>
  <si>
    <t>Enviado 4/2/2026, 9:49:11 a. m.</t>
  </si>
  <si>
    <t>Juan Pajaro Martinez</t>
  </si>
  <si>
    <t>Enviado 4/2/2026, 9:57:33 a. m.</t>
  </si>
  <si>
    <t>LAURA RADA TERAN</t>
  </si>
  <si>
    <t>Enviado 4/2/2026, 10:02:38 a. m.</t>
  </si>
  <si>
    <t>Enviado 4/2/2026, 10:15:53 a. m.</t>
  </si>
  <si>
    <t>Jesus Alarcon</t>
  </si>
  <si>
    <t>Enviado 4/2/2026, 10:30:16 a. m.</t>
  </si>
  <si>
    <t>Sabina Ayús otero</t>
  </si>
  <si>
    <t>Enviado 4/2/2026, 10:42:49 a. m.</t>
  </si>
  <si>
    <t>Laura Marcela Patrón Pérez</t>
  </si>
  <si>
    <t>10:56</t>
  </si>
  <si>
    <t>Enviado 4/2/2026, 10:57:00 a. m.</t>
  </si>
  <si>
    <t>alejandra vasquez</t>
  </si>
  <si>
    <t>Enviado 4/2/2026, 11:13:09 a. m.</t>
  </si>
  <si>
    <t>Juan Diego De La Ossa Serrano</t>
  </si>
  <si>
    <t>Enviado 4/2/2026, 11:16:21 a. m.</t>
  </si>
  <si>
    <t>Juan Silva</t>
  </si>
  <si>
    <t>Enviado 4/2/2026, 11:20:33 a. m.</t>
  </si>
  <si>
    <t>Enviado 4/2/2026, 11:29:36 a. m.</t>
  </si>
  <si>
    <t>Ronaldo Negrete</t>
  </si>
  <si>
    <t>Enviado 4/2/2026, 11:50:43 a. m.</t>
  </si>
  <si>
    <t>J S</t>
  </si>
  <si>
    <t>Enviado 4/2/2026, 11:56:32 a. m.</t>
  </si>
  <si>
    <t>Enviado 4/2/2026, 12:02:44 p. m.</t>
  </si>
  <si>
    <t>NATASHA CHEWING</t>
  </si>
  <si>
    <t>Enviado 4/2/2026, 12:07:54 p. m.</t>
  </si>
  <si>
    <t>josé castro</t>
  </si>
  <si>
    <t>Enviado 4/2/2026, 12:12:34 p. m.</t>
  </si>
  <si>
    <t>Enviado 4/2/2026, 12:36:33 p. m.</t>
  </si>
  <si>
    <t>Enviado 4/2/2026, 1:05:26 p. m.</t>
  </si>
  <si>
    <t>Enviado 4/2/2026, 1:05:47 p. m.</t>
  </si>
  <si>
    <t>Enviado 4/2/2026, 2:09:21 p. m.</t>
  </si>
  <si>
    <t>Enviado 4/2/2026, 2:22:48 p. m.</t>
  </si>
  <si>
    <t>gustavo aroca</t>
  </si>
  <si>
    <t>Enviado 4/2/2026, 2:56:16 p. m.</t>
  </si>
  <si>
    <t>15:01</t>
  </si>
  <si>
    <t>Enviado 4/2/2026, 3:01:17 p. m.</t>
  </si>
  <si>
    <t>Arnaldo Del valle</t>
  </si>
  <si>
    <t>608000</t>
  </si>
  <si>
    <t>Enviado 4/2/2026, 3:28:58 p. m.</t>
  </si>
  <si>
    <t>Luis Enrique Potes Zea</t>
  </si>
  <si>
    <t>Enviado 4/2/2026, 3:29:35 p. m.</t>
  </si>
  <si>
    <t>LIQUITECH emp</t>
  </si>
  <si>
    <t>214800</t>
  </si>
  <si>
    <t>Enviado 4/2/2026, 3:52:29 p. m.</t>
  </si>
  <si>
    <t>Victor Abuchaibe</t>
  </si>
  <si>
    <t>16:10</t>
  </si>
  <si>
    <t>Enviado 4/2/2026, 4:10:43 p. m.</t>
  </si>
  <si>
    <t>Enviado 4/2/2026, 4:22:13 p. m.</t>
  </si>
  <si>
    <t>Enviado 4/2/2026, 4:22:41 p. m.</t>
  </si>
  <si>
    <t>Mario Urzola</t>
  </si>
  <si>
    <t>Enviado 4/2/2026, 4:35:08 p. m.</t>
  </si>
  <si>
    <t>sofía aristizabal</t>
  </si>
  <si>
    <t>17:14</t>
  </si>
  <si>
    <t>Enviado 4/2/2026, 5:14:58 p. m.</t>
  </si>
  <si>
    <t>Juan Pablo Alvarino Rojas</t>
  </si>
  <si>
    <t>Enviado 4/2/2026, 5:25:04 p. m.</t>
  </si>
  <si>
    <t>keiner paez</t>
  </si>
  <si>
    <t>17:44</t>
  </si>
  <si>
    <t>Enviado 4/2/2026, 5:44:48 p. m.</t>
  </si>
  <si>
    <t>Samuel Iguaran</t>
  </si>
  <si>
    <t>17:55</t>
  </si>
  <si>
    <t>Enviado 4/2/2026, 5:56:02 p. m.</t>
  </si>
  <si>
    <t>Grethell Vasquez</t>
  </si>
  <si>
    <t>205000</t>
  </si>
  <si>
    <t>Enviado 4/2/2026, 6:10:59 p. m.</t>
  </si>
  <si>
    <t>18:16</t>
  </si>
  <si>
    <t>Enviado 4/2/2026, 6:16:13 p. m.</t>
  </si>
  <si>
    <t>Enviado 4/2/2026, 6:19:28 p. m.</t>
  </si>
  <si>
    <t>42000</t>
  </si>
  <si>
    <t>Enviado 4/2/2026, 6:23:36 p. m.</t>
  </si>
  <si>
    <t>Enviado 4/2/2026, 6:31:27 p. m.</t>
  </si>
  <si>
    <t>19:33</t>
  </si>
  <si>
    <t>Enviado 4/2/2026, 7:33:30 p. m.</t>
  </si>
  <si>
    <t>Farid Radi</t>
  </si>
  <si>
    <t>07:13</t>
  </si>
  <si>
    <t>Enviado 5/2/2026, 7:14:06 a. m.</t>
  </si>
  <si>
    <t>Enviado 5/2/2026, 8:02:20 a. m.</t>
  </si>
  <si>
    <t>Sabrina Raad</t>
  </si>
  <si>
    <t>Enviado 5/2/2026, 8:06:52 a. m.</t>
  </si>
  <si>
    <t>Paola Tinoco</t>
  </si>
  <si>
    <t>573014063275</t>
  </si>
  <si>
    <t>Enviado 5/2/2026, 8:14:22 a. m.</t>
  </si>
  <si>
    <t>Antonio Morales</t>
  </si>
  <si>
    <t>08:15</t>
  </si>
  <si>
    <t>Enviado 5/2/2026, 8:15:51 a. m.</t>
  </si>
  <si>
    <t>Enviado 5/2/2026, 8:53:51 a. m.</t>
  </si>
  <si>
    <t>Alina krebs</t>
  </si>
  <si>
    <t>Enviado 5/2/2026, 9:11:31 a. m.</t>
  </si>
  <si>
    <t>Enviado 5/2/2026, 9:41:41 a. m.</t>
  </si>
  <si>
    <t>Paola Ramirez</t>
  </si>
  <si>
    <t>Enviado 5/2/2026, 9:58:03 a. m.</t>
  </si>
  <si>
    <t>Enviado 5/2/2026, 10:34:47 a. m.</t>
  </si>
  <si>
    <t>Enviado 5/2/2026, 10:35:32 a. m.</t>
  </si>
  <si>
    <t>Enviado 5/2/2026, 10:43:00 a. m.</t>
  </si>
  <si>
    <t>Enviado 5/2/2026, 11:12:45 a. m.</t>
  </si>
  <si>
    <t>Enviado 5/2/2026, 11:22:07 a. m.</t>
  </si>
  <si>
    <t>EDUARDO MARTINEZ BUSTAMANTE</t>
  </si>
  <si>
    <t>Enviado 5/2/2026, 11:36:51 a. m.</t>
  </si>
  <si>
    <t>Enviado 5/2/2026, 12:14:53 p. m.</t>
  </si>
  <si>
    <t>Juan Diaz</t>
  </si>
  <si>
    <t>573012463494</t>
  </si>
  <si>
    <t>Paula Rodríguez</t>
  </si>
  <si>
    <t>Enviado 5/2/2026, 1:17:52 p. m.</t>
  </si>
  <si>
    <t>21000</t>
  </si>
  <si>
    <t>Enviado 5/2/2026, 1:27:45 p. m.</t>
  </si>
  <si>
    <t>Jacobo Gonzalez</t>
  </si>
  <si>
    <t>Enviado 5/2/2026, 1:37:37 p. m.</t>
  </si>
  <si>
    <t>Laury Rodríguez</t>
  </si>
  <si>
    <t>14:30</t>
  </si>
  <si>
    <t>Ana Narvaez</t>
  </si>
  <si>
    <t>Enviado 5/2/2026, 2:30:27 p. m.</t>
  </si>
  <si>
    <t>Crusibel De Los Reyes Alonso</t>
  </si>
  <si>
    <t>573012666399</t>
  </si>
  <si>
    <t>Sophia Barros De Los Reyes</t>
  </si>
  <si>
    <t>Enviado 5/2/2026, 2:35:03 p. m.</t>
  </si>
  <si>
    <t>Roberto Jose Sarue Betancourt</t>
  </si>
  <si>
    <t>Enviado 5/2/2026, 2:36:52 p. m.</t>
  </si>
  <si>
    <t>saverio minervini</t>
  </si>
  <si>
    <t>573157132910</t>
  </si>
  <si>
    <t>Enviado 5/2/2026, 2:45:14 p. m.</t>
  </si>
  <si>
    <t>14:49</t>
  </si>
  <si>
    <t>Entregado</t>
  </si>
  <si>
    <t>Enviado 5/2/2026, 2:50:00 p. m.</t>
  </si>
  <si>
    <t>Enviado 5/2/2026, 2:58:50 p. m.</t>
  </si>
  <si>
    <t>Enviado 5/2/2026, 3:28:40 p. m.</t>
  </si>
  <si>
    <t>Enviado 5/2/2026, 3:38:58 p. m.</t>
  </si>
  <si>
    <t>Luis Eduardo Montoya Pereira</t>
  </si>
  <si>
    <t>4367761544685</t>
  </si>
  <si>
    <t>Darle Galera</t>
  </si>
  <si>
    <t>Enviado 5/2/2026, 3:57:38 p. m.</t>
  </si>
  <si>
    <t>573118234583</t>
  </si>
  <si>
    <t>Juan Pablo Correa</t>
  </si>
  <si>
    <t>317000</t>
  </si>
  <si>
    <t>Enviado 5/2/2026, 4:23:32 p. m.</t>
  </si>
  <si>
    <t>juan barrios</t>
  </si>
  <si>
    <t>362000</t>
  </si>
  <si>
    <t>Enviado 5/2/2026, 4:33:53 p. m.</t>
  </si>
  <si>
    <t>Enviado 5/2/2026, 4:47:40 p. m.</t>
  </si>
  <si>
    <t>Giovanni Duluc Martí</t>
  </si>
  <si>
    <t>Enviado 5/2/2026, 5:46:22 p. m.</t>
  </si>
  <si>
    <t>573174419970</t>
  </si>
  <si>
    <t>Enviado 5/2/2026, 6:09:33 p. m.</t>
  </si>
  <si>
    <t>573013529652</t>
  </si>
  <si>
    <t>Enviado 5/2/2026, 6:16:17 p. m.</t>
  </si>
  <si>
    <t>Pamela Aponte</t>
  </si>
  <si>
    <t>Enviado 5/2/2026, 6:20:11 p. m.</t>
  </si>
  <si>
    <t>Ronald Rolando Romero Figueroa</t>
  </si>
  <si>
    <t>573013513196</t>
  </si>
  <si>
    <t>231000</t>
  </si>
  <si>
    <t>Enviado 5/2/2026, 6:35:01 p. m.</t>
  </si>
  <si>
    <t>Diego Carvajal</t>
  </si>
  <si>
    <t>18:37</t>
  </si>
  <si>
    <t>Enviado 5/2/2026, 6:37:51 p. m.</t>
  </si>
  <si>
    <t>Jose Fragoso</t>
  </si>
  <si>
    <t>Enviado 6/2/2026, 8:38:01 a. m.</t>
  </si>
  <si>
    <t>Jonathan Castro</t>
  </si>
  <si>
    <t>Enviado 6/2/2026, 8:44:41 a. m.</t>
  </si>
  <si>
    <t>CÁMARA DE COMERCIO DE BARRANQUILLA empresa</t>
  </si>
  <si>
    <t>279800</t>
  </si>
  <si>
    <t>09:28</t>
  </si>
  <si>
    <t>Enviado 6/2/2026, 9:28:26 a. m.</t>
  </si>
  <si>
    <t>María Fernanda Salgado</t>
  </si>
  <si>
    <t>573105203293</t>
  </si>
  <si>
    <t>Enviado 6/2/2026, 9:45:17 a. m.</t>
  </si>
  <si>
    <t>Kassen Saleh Bultaif</t>
  </si>
  <si>
    <t>421000</t>
  </si>
  <si>
    <t>Enviado 6/2/2026, 9:51:38 a. m.</t>
  </si>
  <si>
    <t>Jorge Pastrana</t>
  </si>
  <si>
    <t>Enviado 6/2/2026, 10:00:50 a. m.</t>
  </si>
  <si>
    <t>Oscar Tilano</t>
  </si>
  <si>
    <t>Enviado 6/2/2026, 10:00:49 a. m.</t>
  </si>
  <si>
    <t>Jennifer Peña</t>
  </si>
  <si>
    <t>Enviado 6/2/2026, 11:26:28 a. m.</t>
  </si>
  <si>
    <t>Enviado 6/2/2026, 11:47:29 a. m.</t>
  </si>
  <si>
    <t>570</t>
  </si>
  <si>
    <t>Enviado 6/2/2026, 11:54:01 a. m.</t>
  </si>
  <si>
    <t>Enviado 6/2/2026, 11:59:16 a. m.</t>
  </si>
  <si>
    <t>Marco andres Garcia Cediel</t>
  </si>
  <si>
    <t>Enviado 6/2/2026, 12:01:21 p. m.</t>
  </si>
  <si>
    <t>Katherine Jimenez Rodriguez</t>
  </si>
  <si>
    <t>Enviado 6/2/2026, 12:03:55 p. m.</t>
  </si>
  <si>
    <t>Enviado 6/2/2026, 12:21:19 p. m.</t>
  </si>
  <si>
    <t>Sebastián Castilla</t>
  </si>
  <si>
    <t>573005537698</t>
  </si>
  <si>
    <t>Michel</t>
  </si>
  <si>
    <t>Enviado 6/2/2026, 12:38:14 p. m.</t>
  </si>
  <si>
    <t>Stefano Chiriví León</t>
  </si>
  <si>
    <t>Enviado 6/2/2026, 1:02:50 p. m.</t>
  </si>
  <si>
    <t>Mayra Hernández</t>
  </si>
  <si>
    <t>Enviado 6/2/2026, 1:21:52 p. m.</t>
  </si>
  <si>
    <t>Julio García</t>
  </si>
  <si>
    <t>Enviado 6/2/2026, 1:37:23 p. m.</t>
  </si>
  <si>
    <t>Gabriel Fernandez</t>
  </si>
  <si>
    <t>573135713981</t>
  </si>
  <si>
    <t>Natalia Cuee</t>
  </si>
  <si>
    <t>Enviado 6/2/2026, 2:28:22 p. m.</t>
  </si>
  <si>
    <t>Enviado 6/2/2026, 2:36:33 p. m.</t>
  </si>
  <si>
    <t>Sharon Sepulveda</t>
  </si>
  <si>
    <t>39 | ?</t>
  </si>
  <si>
    <t>Enviado 6/2/2026, 2:42:41 p. m.</t>
  </si>
  <si>
    <t>Enviado 6/2/2026, 3:14:07 p. m.</t>
  </si>
  <si>
    <t>5700000</t>
  </si>
  <si>
    <t>Enviado 6/2/2026, 4:00:23 p. m.</t>
  </si>
  <si>
    <t>16:05</t>
  </si>
  <si>
    <t>Enviado 6/2/2026, 4:06:02 p. m.</t>
  </si>
  <si>
    <t>573046688627</t>
  </si>
  <si>
    <t>Enviado 7/2/2026, 8:04:16 a. m.</t>
  </si>
  <si>
    <t>08:10</t>
  </si>
  <si>
    <t>Enviado 7/2/2026, 8:11:12 a. m.</t>
  </si>
  <si>
    <t>Mayrub Aragon</t>
  </si>
  <si>
    <t>Enviado 7/2/2026, 8:37:39 a. m.</t>
  </si>
  <si>
    <t>Kevin Vergara</t>
  </si>
  <si>
    <t>09:12</t>
  </si>
  <si>
    <t>Enviado 7/2/2026, 9:12:26 a. m.</t>
  </si>
  <si>
    <t>Fiorella Manosalva</t>
  </si>
  <si>
    <t>09:30</t>
  </si>
  <si>
    <t>Enviado 7/2/2026, 9:30:54 a. m.</t>
  </si>
  <si>
    <t>573003996801</t>
  </si>
  <si>
    <t>Enviado 7/2/2026, 10:54:34 a. m.</t>
  </si>
  <si>
    <t>151000</t>
  </si>
  <si>
    <t>Enviado 7/2/2026, 11:26:34 a. m.</t>
  </si>
  <si>
    <t>Enviado 7/2/2026, 11:27:31 a. m.</t>
  </si>
  <si>
    <t>Catalina mijhail Peinado canchila</t>
  </si>
  <si>
    <t>Enviado 7/2/2026, 11:33:23 a. m.</t>
  </si>
  <si>
    <t>Enviado 7/2/2026, 12:25:01 p. m.</t>
  </si>
  <si>
    <t>Enviado 7/2/2026, 12:43:59 p. m.</t>
  </si>
  <si>
    <t>Enviado 7/2/2026, 1:11:56 p. m.</t>
  </si>
  <si>
    <t>Doris Teran</t>
  </si>
  <si>
    <t>4 | ?</t>
  </si>
  <si>
    <t>873000</t>
  </si>
  <si>
    <t>13:24</t>
  </si>
  <si>
    <t>Enviado 7/2/2026, 1:24:27 p. m.</t>
  </si>
  <si>
    <t>573158714603</t>
  </si>
  <si>
    <t>Enviado 7/2/2026, 1:34:51 p. m.</t>
  </si>
  <si>
    <t>Enviado 7/2/2026, 1:46:55 p. m.</t>
  </si>
  <si>
    <t>Andrés Medina</t>
  </si>
  <si>
    <t>14:07</t>
  </si>
  <si>
    <t>Enviado 7/2/2026, 2:08:13 p. m.</t>
  </si>
  <si>
    <t>Enviado 7/2/2026, 2:45:08 p. m.</t>
  </si>
  <si>
    <t>Enviado 7/2/2026, 3:11:02 p. m.</t>
  </si>
  <si>
    <t>Keily Rua</t>
  </si>
  <si>
    <t>Enviado 7/2/2026, 3:12:40 p. m.</t>
  </si>
  <si>
    <t>Enviado 7/2/2026, 3:17:21 p. m.</t>
  </si>
  <si>
    <t>573215951751</t>
  </si>
  <si>
    <t>Enviado 7/2/2026, 3:54:02 p. m.</t>
  </si>
  <si>
    <t>Enviado 7/2/2026, 3:56:02 p. m.</t>
  </si>
  <si>
    <t>federico campos</t>
  </si>
  <si>
    <t>56950081717</t>
  </si>
  <si>
    <t>Enviado 7/2/2026, 4:01:25 p. m.</t>
  </si>
  <si>
    <t>16:07</t>
  </si>
  <si>
    <t>Enviado 7/2/2026, 4:07:39 p. m.</t>
  </si>
  <si>
    <t>Enviado 7/2/2026, 4:31:05 p. m.</t>
  </si>
  <si>
    <t>16:35</t>
  </si>
  <si>
    <t>Enviado 7/2/2026, 4:35:56 p. m.</t>
  </si>
  <si>
    <t>573135040604</t>
  </si>
  <si>
    <t>16:59</t>
  </si>
  <si>
    <t>Enviado 7/2/2026, 4:59:20 p. m.</t>
  </si>
  <si>
    <t>Juan Vega</t>
  </si>
  <si>
    <t>Enviado 9/2/2026, 7:36:11 a. m.</t>
  </si>
  <si>
    <t>Cristina Sarabia</t>
  </si>
  <si>
    <t>Enviado 9/2/2026, 8:25:07 a. m.</t>
  </si>
  <si>
    <t>Enviado 9/2/2026, 8:48:34 a. m.</t>
  </si>
  <si>
    <t>hillary fonseca</t>
  </si>
  <si>
    <t>Enviado 9/2/2026, 8:59:54 a. m.</t>
  </si>
  <si>
    <t>Andrea Romero</t>
  </si>
  <si>
    <t>Enviado 9/2/2026, 9:14:06 a. m.</t>
  </si>
  <si>
    <t>Sebastian Peña</t>
  </si>
  <si>
    <t>Enviado 9/2/2026, 9:21:20 a. m.</t>
  </si>
  <si>
    <t>09:45</t>
  </si>
  <si>
    <t>Enviado 9/2/2026, 9:45:33 a. m.</t>
  </si>
  <si>
    <t>Gabis Amaya</t>
  </si>
  <si>
    <t>Enviado 9/2/2026, 9:48:56 a. m.</t>
  </si>
  <si>
    <t>Sandra Sierra Pereira</t>
  </si>
  <si>
    <t>Enviado 9/2/2026, 9:51:05 a. m.</t>
  </si>
  <si>
    <t>Carlos Rosado</t>
  </si>
  <si>
    <t>Enviado 9/2/2026, 9:56:09 a. m.</t>
  </si>
  <si>
    <t>Juan David Florez Meza</t>
  </si>
  <si>
    <t>Enviado 9/2/2026, 10:02:36 a. m.</t>
  </si>
  <si>
    <t>56 | ? | ?</t>
  </si>
  <si>
    <t>Enviado 9/2/2026, 10:37:09 a. m.</t>
  </si>
  <si>
    <t>Enviado 9/2/2026, 10:48:38 a. m.</t>
  </si>
  <si>
    <t>Nathalie Rieder Prez</t>
  </si>
  <si>
    <t>216000</t>
  </si>
  <si>
    <t>Enviado 9/2/2026, 10:56:23 a. m.</t>
  </si>
  <si>
    <t>Enviado 9/2/2026, 10:59:24 a. m.</t>
  </si>
  <si>
    <t>Marta Mejía</t>
  </si>
  <si>
    <t>Enviado 9/2/2026, 11:03:50 a. m.</t>
  </si>
  <si>
    <t>Shirly Milena Sola Narvaez</t>
  </si>
  <si>
    <t>366000</t>
  </si>
  <si>
    <t>Enviado 9/2/2026, 11:04:53 a. m.</t>
  </si>
  <si>
    <t>Enviado 9/2/2026, 11:28:22 a. m.</t>
  </si>
  <si>
    <t>Brian Diaz</t>
  </si>
  <si>
    <t>52 | ?</t>
  </si>
  <si>
    <t>11:35</t>
  </si>
  <si>
    <t>Enviado 9/2/2026, 11:36:10 a. m.</t>
  </si>
  <si>
    <t>MONICA OROZCO GONZALEZ</t>
  </si>
  <si>
    <t>Enviado 9/2/2026, 11:44:32 a. m.</t>
  </si>
  <si>
    <t>Luis Miguel de Jesus Manga Sierra</t>
  </si>
  <si>
    <t>Enviado 9/2/2026, 11:58:48 a. m.</t>
  </si>
  <si>
    <t>Hassan shah</t>
  </si>
  <si>
    <t>Enviado 9/2/2026, 12:40:08 p. m.</t>
  </si>
  <si>
    <t>Enviado 9/2/2026, 1:15:37 p. m.</t>
  </si>
  <si>
    <t>calvano de la rosa hermanos sas EMPRESA</t>
  </si>
  <si>
    <t>573123522976</t>
  </si>
  <si>
    <t>213300</t>
  </si>
  <si>
    <t>Enviado 9/2/2026, 1:41:12 p. m.</t>
  </si>
  <si>
    <t>Nadin J. Abdala</t>
  </si>
  <si>
    <t>Enviado 9/2/2026, 2:07:34 p. m.</t>
  </si>
  <si>
    <t>573103603142</t>
  </si>
  <si>
    <t>14:48</t>
  </si>
  <si>
    <t>Enviado 9/2/2026, 2:48:55 p. m.</t>
  </si>
  <si>
    <t>monica blanco</t>
  </si>
  <si>
    <t>Enviado 9/2/2026, 3:02:11 p. m.</t>
  </si>
  <si>
    <t>Pablo Olarte</t>
  </si>
  <si>
    <t>248000</t>
  </si>
  <si>
    <t>Enviado 9/2/2026, 3:10:42 p. m.</t>
  </si>
  <si>
    <t>Ivan Reina</t>
  </si>
  <si>
    <t>Enviado 9/2/2026, 3:27:25 p. m.</t>
  </si>
  <si>
    <t>Andrea Carolina Villarreal Rivera</t>
  </si>
  <si>
    <t>Enviado 9/2/2026, 3:38:55 p. m.</t>
  </si>
  <si>
    <t>Enviado 9/2/2026, 3:47:17 p. m.</t>
  </si>
  <si>
    <t>Alvaro Mejía</t>
  </si>
  <si>
    <t>Enviado 9/2/2026, 4:03:21 p. m.</t>
  </si>
  <si>
    <t>Daniel Neuman</t>
  </si>
  <si>
    <t>Enviado 9/2/2026, 4:17:58 p. m.</t>
  </si>
  <si>
    <t>Enviado 9/2/2026, 4:27:39 p. m.</t>
  </si>
  <si>
    <t>49000</t>
  </si>
  <si>
    <t>Enviado 9/2/2026, 4:32:23 p. m.</t>
  </si>
  <si>
    <t>Alvaro Villarreal</t>
  </si>
  <si>
    <t>Enviado 9/2/2026, 4:58:31 p. m.</t>
  </si>
  <si>
    <t>Kevin smith</t>
  </si>
  <si>
    <t>573012084323</t>
  </si>
  <si>
    <t>Enviado 9/2/2026, 5:38:27 p. m.</t>
  </si>
  <si>
    <t>Samuel Arévalo Correa</t>
  </si>
  <si>
    <t>573008826467</t>
  </si>
  <si>
    <t>Zamara Martínez</t>
  </si>
  <si>
    <t>17:42</t>
  </si>
  <si>
    <t>Enviado 9/2/2026, 5:42:29 p. m.</t>
  </si>
  <si>
    <t>Juan David Pita Julio</t>
  </si>
  <si>
    <t>Enviado 10/2/2026, 8:23:45 a. m.</t>
  </si>
  <si>
    <t>Erika Omes</t>
  </si>
  <si>
    <t>573104733283</t>
  </si>
  <si>
    <t>Enviado 10/2/2026, 8:29:19 a. m.</t>
  </si>
  <si>
    <t>Enviado 10/2/2026, 8:39:31 a. m.</t>
  </si>
  <si>
    <t>Luis Fernando Forero</t>
  </si>
  <si>
    <t>573008109691</t>
  </si>
  <si>
    <t>Nataly Martínez</t>
  </si>
  <si>
    <t>08:52</t>
  </si>
  <si>
    <t>Enviado 10/2/2026, 8:52:33 a. m.</t>
  </si>
  <si>
    <t>Max Karlsson</t>
  </si>
  <si>
    <t>18 | ? | ?</t>
  </si>
  <si>
    <t>313000</t>
  </si>
  <si>
    <t>Enviado 10/2/2026, 8:57:43 a. m.</t>
  </si>
  <si>
    <t>Ramiro Nuñez</t>
  </si>
  <si>
    <t>Enviado 10/2/2026, 9:12:17 a. m.</t>
  </si>
  <si>
    <t>Enviado 10/2/2026, 9:26:39 a. m.</t>
  </si>
  <si>
    <t>Julián David Vengoechea</t>
  </si>
  <si>
    <t>Enviado 10/2/2026, 9:31:14 a. m.</t>
  </si>
  <si>
    <t>Enviado 10/2/2026, 10:06:03 a. m.</t>
  </si>
  <si>
    <t>Pablo Castillo Cuello</t>
  </si>
  <si>
    <t>12029755636</t>
  </si>
  <si>
    <t>Enviado 10/2/2026, 10:20:17 a. m.</t>
  </si>
  <si>
    <t>573017923287</t>
  </si>
  <si>
    <t>10:25</t>
  </si>
  <si>
    <t>Enviado 10/2/2026, 10:25:17 a. m.</t>
  </si>
  <si>
    <t>Enviado 10/2/2026, 10:56:29 a. m.</t>
  </si>
  <si>
    <t>daniela zuluaga salazar</t>
  </si>
  <si>
    <t>Enviado 10/2/2026, 10:59:13 a. m.</t>
  </si>
  <si>
    <t>Enviado 10/2/2026, 11:18:57 a. m.</t>
  </si>
  <si>
    <t>JORGE HENRIQUEZ IBARRA</t>
  </si>
  <si>
    <t>11:41</t>
  </si>
  <si>
    <t>Enviado 10/2/2026, 11:42:13 a. m.</t>
  </si>
  <si>
    <t>Ricardo Pabon</t>
  </si>
  <si>
    <t>573133981214</t>
  </si>
  <si>
    <t>Carlos anduquia</t>
  </si>
  <si>
    <t>Enviado 10/2/2026, 11:44:12 a. m.</t>
  </si>
  <si>
    <t>Martha AYALA</t>
  </si>
  <si>
    <t>808000</t>
  </si>
  <si>
    <t>Enviado 10/2/2026, 11:47:07 a. m.</t>
  </si>
  <si>
    <t>573218151708</t>
  </si>
  <si>
    <t>252000</t>
  </si>
  <si>
    <t>Enviado 10/2/2026, 12:06:34 p. m.</t>
  </si>
  <si>
    <t>Enviado 10/2/2026, 12:09:23 p. m.</t>
  </si>
  <si>
    <t>573023599315</t>
  </si>
  <si>
    <t>Enviado 10/2/2026, 1:47:28 p. m.</t>
  </si>
  <si>
    <t>juan sebastián alviz de lisa</t>
  </si>
  <si>
    <t>Enviado 10/2/2026, 1:49:10 p. m.</t>
  </si>
  <si>
    <t>Claire McLean</t>
  </si>
  <si>
    <t>573205167153</t>
  </si>
  <si>
    <t>Enviado 10/2/2026, 2:28:20 p. m.</t>
  </si>
  <si>
    <t>Kevin YUNG</t>
  </si>
  <si>
    <t>Enviado 10/2/2026, 2:30:40 p. m.</t>
  </si>
  <si>
    <t>573012278763</t>
  </si>
  <si>
    <t>Ani Ruiz</t>
  </si>
  <si>
    <t>Enviado 10/2/2026, 2:35:28 p. m.</t>
  </si>
  <si>
    <t>Samuel González Vásquez</t>
  </si>
  <si>
    <t>22 | ? | ?</t>
  </si>
  <si>
    <t>Enviado 10/2/2026, 2:37:05 p. m.</t>
  </si>
  <si>
    <t>Daniel Maitret Manica</t>
  </si>
  <si>
    <t>14:53</t>
  </si>
  <si>
    <t>Enviado 10/2/2026, 2:53:45 p. m.</t>
  </si>
  <si>
    <t>michelle lafaurie</t>
  </si>
  <si>
    <t>Enviado 10/2/2026, 3:12:49 p. m.</t>
  </si>
  <si>
    <t>Enviado 10/2/2026, 3:17:17 p. m.</t>
  </si>
  <si>
    <t>Enviado 10/2/2026, 3:18:54 p. m.</t>
  </si>
  <si>
    <t>Carolina Gutiérrez</t>
  </si>
  <si>
    <t>Enviado 10/2/2026, 3:27:09 p. m.</t>
  </si>
  <si>
    <t>Enviado 10/2/2026, 3:38:24 p. m.</t>
  </si>
  <si>
    <t>Andres Manosalva</t>
  </si>
  <si>
    <t>573001573722</t>
  </si>
  <si>
    <t>Natalia Rodríguez</t>
  </si>
  <si>
    <t>Enviado 10/2/2026, 3:46:08 p. m.</t>
  </si>
  <si>
    <t>Oriana Sanchez</t>
  </si>
  <si>
    <t>Enviado 10/2/2026, 3:54:14 p. m.</t>
  </si>
  <si>
    <t>573145783942</t>
  </si>
  <si>
    <t>Enviado 10/2/2026, 4:18:23 p. m.</t>
  </si>
  <si>
    <t>420000</t>
  </si>
  <si>
    <t>Enviado 10/2/2026, 4:21:18 p. m.</t>
  </si>
  <si>
    <t>Enviado 10/2/2026, 4:29:06 p. m.</t>
  </si>
  <si>
    <t>Sebastián Rodas</t>
  </si>
  <si>
    <t>265000</t>
  </si>
  <si>
    <t>Enviado 10/2/2026, 5:47:38 p. m.</t>
  </si>
  <si>
    <t>573104510297</t>
  </si>
  <si>
    <t>Astor Y Rosa</t>
  </si>
  <si>
    <t>Enviado 10/2/2026, 6:12:13 p. m.</t>
  </si>
  <si>
    <t>Enviado 10/2/2026, 6:19:41 p. m.</t>
  </si>
  <si>
    <t>Yackeline Aristizabal</t>
  </si>
  <si>
    <t>Enviado 10/2/2026, 6:38:47 p. m.</t>
  </si>
  <si>
    <t>Paola Navarro</t>
  </si>
  <si>
    <t>06:55</t>
  </si>
  <si>
    <t>Enviado 11/2/2026, 6:55:27 a. m.</t>
  </si>
  <si>
    <t>Ashley Mendoza</t>
  </si>
  <si>
    <t>Enviado 11/2/2026, 7:24:20 a. m.</t>
  </si>
  <si>
    <t>Armando Zubillaga Prado</t>
  </si>
  <si>
    <t>Enviado 11/2/2026, 8:23:20 a. m.</t>
  </si>
  <si>
    <t>34641179836</t>
  </si>
  <si>
    <t>09:25</t>
  </si>
  <si>
    <t>Enviado 11/2/2026, 9:26:03 a. m.</t>
  </si>
  <si>
    <t>Enviado 11/2/2026, 9:32:32 a. m.</t>
  </si>
  <si>
    <t>Silvia Mendoza</t>
  </si>
  <si>
    <t>Enviado 11/2/2026, 9:37:21 a. m.</t>
  </si>
  <si>
    <t>Luis Barranco</t>
  </si>
  <si>
    <t>282000</t>
  </si>
  <si>
    <t>Enviado 11/2/2026, 9:40:48 a. m.</t>
  </si>
  <si>
    <t>Jorge Bayona</t>
  </si>
  <si>
    <t>Enviado 11/2/2026, 10:17:31 a. m.</t>
  </si>
  <si>
    <t>Enviado 11/2/2026, 10:21:27 a. m.</t>
  </si>
  <si>
    <t>Joawuin Buitrago</t>
  </si>
  <si>
    <t>Enviado 11/2/2026, 10:30:38 a. m.</t>
  </si>
  <si>
    <t>Enviado 11/2/2026, 10:37:56 a. m.</t>
  </si>
  <si>
    <t>juan torres</t>
  </si>
  <si>
    <t>Enviado 11/2/2026, 10:41:05 a. m.</t>
  </si>
  <si>
    <t>Brian Ortega Gomez</t>
  </si>
  <si>
    <t>Enviado 11/2/2026, 10:56:41 a. m.</t>
  </si>
  <si>
    <t>Enviado 11/2/2026, 11:00:04 a. m.</t>
  </si>
  <si>
    <t>DANIELA VILLARREAL</t>
  </si>
  <si>
    <t>Enviado 11/2/2026, 11:08:44 a. m.</t>
  </si>
  <si>
    <t>Juan Jose Jaller Char</t>
  </si>
  <si>
    <t>760000</t>
  </si>
  <si>
    <t>Enviado 11/2/2026, 11:43:27 a. m.</t>
  </si>
  <si>
    <t>Maripaz Garcia</t>
  </si>
  <si>
    <t>4917684306945</t>
  </si>
  <si>
    <t>Enviado 11/2/2026, 11:57:06 a. m.</t>
  </si>
  <si>
    <t>Luis Padron</t>
  </si>
  <si>
    <t>Enviado 11/2/2026, 12:03:13 p. m.</t>
  </si>
  <si>
    <t>Alejandro Vera Montaña</t>
  </si>
  <si>
    <t>Enviado 11/2/2026, 12:10:20 p. m.</t>
  </si>
  <si>
    <t>Eder Balseiro</t>
  </si>
  <si>
    <t>Enviado 11/2/2026, 12:30:35 p. m.</t>
  </si>
  <si>
    <t>Enviado 11/2/2026, 12:37:06 p. m.</t>
  </si>
  <si>
    <t>José Mario Mestra Carrascal</t>
  </si>
  <si>
    <t>Enviado 11/2/2026, 12:39:54 p. m.</t>
  </si>
  <si>
    <t>573016012860</t>
  </si>
  <si>
    <t>Enviado 11/2/2026, 12:44:29 p. m.</t>
  </si>
  <si>
    <t>Grace Escobar</t>
  </si>
  <si>
    <t>469000</t>
  </si>
  <si>
    <t>12:46</t>
  </si>
  <si>
    <t>Enviado 11/2/2026, 12:46:58 p. m.</t>
  </si>
  <si>
    <t>Rodrigo Bernales</t>
  </si>
  <si>
    <t>Enviado 11/2/2026, 12:47:23 p. m.</t>
  </si>
  <si>
    <t>Amelia Gonzalez Fuenmayor</t>
  </si>
  <si>
    <t>Enviado 11/2/2026, 12:57:19 p. m.</t>
  </si>
  <si>
    <t>fabian bahamontes</t>
  </si>
  <si>
    <t>Enviado 11/2/2026, 1:03:44 p. m.</t>
  </si>
  <si>
    <t>13:20</t>
  </si>
  <si>
    <t>Enviado 11/2/2026, 1:21:21 p. m.</t>
  </si>
  <si>
    <t>Enviado 11/2/2026, 1:35:23 p. m.</t>
  </si>
  <si>
    <t>Juan David Ruiz</t>
  </si>
  <si>
    <t>34654378541</t>
  </si>
  <si>
    <t>Andrea Rojas</t>
  </si>
  <si>
    <t>13:52</t>
  </si>
  <si>
    <t>Enviado 11/2/2026, 1:53:07 p. m.</t>
  </si>
  <si>
    <t>Enviado 11/2/2026, 1:53:39 p. m.</t>
  </si>
  <si>
    <t>Enviado 11/2/2026, 2:00:58 p. m.</t>
  </si>
  <si>
    <t>Lina Moscote</t>
  </si>
  <si>
    <t>Enviado 11/2/2026, 2:06:36 p. m.</t>
  </si>
  <si>
    <t>14:17</t>
  </si>
  <si>
    <t>Enviado 11/2/2026, 2:17:45 p. m.</t>
  </si>
  <si>
    <t>Milena Gomez</t>
  </si>
  <si>
    <t>335000</t>
  </si>
  <si>
    <t>Enviado 11/2/2026, 2:21:05 p. m.</t>
  </si>
  <si>
    <t>Joel Prieto</t>
  </si>
  <si>
    <t>Enviado 11/2/2026, 2:28:54 p. m.</t>
  </si>
  <si>
    <t>Madeleine martinez</t>
  </si>
  <si>
    <t>Enviado 11/2/2026, 2:42:42 p. m.</t>
  </si>
  <si>
    <t>Enviado 11/2/2026, 3:01:24 p. m.</t>
  </si>
  <si>
    <t>Enviado 11/2/2026, 3:11:06 p. m.</t>
  </si>
  <si>
    <t>Steven Mercado</t>
  </si>
  <si>
    <t>Enviado 11/2/2026, 3:35:36 p. m.</t>
  </si>
  <si>
    <t>Enviado 11/2/2026, 4:30:29 p. m.</t>
  </si>
  <si>
    <t>Emy Shilena Torres Villalobos</t>
  </si>
  <si>
    <t>10 | ?</t>
  </si>
  <si>
    <t>545000</t>
  </si>
  <si>
    <t>Enviado 11/2/2026, 4:46:58 p. m.</t>
  </si>
  <si>
    <t>silvia cuencas</t>
  </si>
  <si>
    <t>Enviado 11/2/2026, 4:54:10 p. m.</t>
  </si>
  <si>
    <t>astrid gallardo</t>
  </si>
  <si>
    <t>573002601370</t>
  </si>
  <si>
    <t>27 | ? | ?</t>
  </si>
  <si>
    <t>357000</t>
  </si>
  <si>
    <t>Enviado 11/2/2026, 4:58:16 p. m.</t>
  </si>
  <si>
    <t>573045733898</t>
  </si>
  <si>
    <t>Enviado 11/2/2026, 5:16:27 p. m.</t>
  </si>
  <si>
    <t>Yelesvy Ruiz Benitez</t>
  </si>
  <si>
    <t>573103894529</t>
  </si>
  <si>
    <t>17:23</t>
  </si>
  <si>
    <t>Enviado 11/2/2026, 5:23:52 p. m.</t>
  </si>
  <si>
    <t>Juan José Mulato agredo</t>
  </si>
  <si>
    <t>Enviado 11/2/2026, 5:56:24 p. m.</t>
  </si>
  <si>
    <t>18:17</t>
  </si>
  <si>
    <t>Enviado 11/2/2026, 6:18:13 p. m.</t>
  </si>
  <si>
    <t>07:18</t>
  </si>
  <si>
    <t>Enviado 12/2/2026, 7:18:59 a. m.</t>
  </si>
  <si>
    <t>Withney Simanca</t>
  </si>
  <si>
    <t>573003331883</t>
  </si>
  <si>
    <t>Mayra Gutiérrez</t>
  </si>
  <si>
    <t>Enviado 12/2/2026, 7:57:03 a. m.</t>
  </si>
  <si>
    <t>Ernesto Cid</t>
  </si>
  <si>
    <t>Enviado 12/2/2026, 8:03:55 a. m.</t>
  </si>
  <si>
    <t>Jorge Rodriguez</t>
  </si>
  <si>
    <t>Enviado 12/2/2026, 8:15:03 a. m.</t>
  </si>
  <si>
    <t>Rafael Ucros</t>
  </si>
  <si>
    <t>573004285066</t>
  </si>
  <si>
    <t>Dilianys</t>
  </si>
  <si>
    <t>Enviado 12/2/2026, 8:17:51 a. m.</t>
  </si>
  <si>
    <t>Loraine Arias Acosta</t>
  </si>
  <si>
    <t>Enviado 12/2/2026, 8:27:54 a. m.</t>
  </si>
  <si>
    <t>Diana Gonzalez</t>
  </si>
  <si>
    <t>Enviado 12/2/2026, 8:36:14 a. m.</t>
  </si>
  <si>
    <t>Enviado 12/2/2026, 8:39:34 a. m.</t>
  </si>
  <si>
    <t>Jeff Edwards</t>
  </si>
  <si>
    <t>52 | 53 | 28 | 81</t>
  </si>
  <si>
    <t>Enviado 12/2/2026, 8:50:04 a. m.</t>
  </si>
  <si>
    <t>Daniela Simmonds dumar</t>
  </si>
  <si>
    <t>460000</t>
  </si>
  <si>
    <t>Enviado 12/2/2026, 9:01:48 a. m.</t>
  </si>
  <si>
    <t>sharles steven beltran</t>
  </si>
  <si>
    <t>337000</t>
  </si>
  <si>
    <t>Enviado 12/2/2026, 9:26:30 a. m.</t>
  </si>
  <si>
    <t>Renas Koca</t>
  </si>
  <si>
    <t>Enviado 12/2/2026, 9:47:33 a. m.</t>
  </si>
  <si>
    <t>Erley Ibara</t>
  </si>
  <si>
    <t>573106367158</t>
  </si>
  <si>
    <t>09:54</t>
  </si>
  <si>
    <t>Enviado 12/2/2026, 9:55:04 a. m.</t>
  </si>
  <si>
    <t>David Angulo</t>
  </si>
  <si>
    <t>09:56</t>
  </si>
  <si>
    <t>Enviado 12/2/2026, 9:56:40 a. m.</t>
  </si>
  <si>
    <t>51967202285</t>
  </si>
  <si>
    <t>Enviado 12/2/2026, 10:17:18 a. m.</t>
  </si>
  <si>
    <t>Sebastian Andrade Andrade</t>
  </si>
  <si>
    <t>Enviado 12/2/2026, 10:18:45 a. m.</t>
  </si>
  <si>
    <t>Camilo Monsalve</t>
  </si>
  <si>
    <t>573113331173</t>
  </si>
  <si>
    <t>Lilia Maldonado</t>
  </si>
  <si>
    <t>Enviado 12/2/2026, 10:22:23 a. m.</t>
  </si>
  <si>
    <t>Enviado 12/2/2026, 10:22:25 a. m.</t>
  </si>
  <si>
    <t>10:47</t>
  </si>
  <si>
    <t>Enviado 12/2/2026, 10:47:36 a. m.</t>
  </si>
  <si>
    <t>Enviado 12/2/2026, 10:51:07 a. m.</t>
  </si>
  <si>
    <t>Enviado 12/2/2026, 11:11:55 a. m.</t>
  </si>
  <si>
    <t>Manuel alejandro Fernandez rada</t>
  </si>
  <si>
    <t>Enviado 12/2/2026, 11:25:06 a. m.</t>
  </si>
  <si>
    <t>Orlando Retamozo</t>
  </si>
  <si>
    <t>Enviado 12/2/2026, 12:07:27 p. m.</t>
  </si>
  <si>
    <t>573135860866</t>
  </si>
  <si>
    <t>Enviado 12/2/2026, 12:15:41 p. m.</t>
  </si>
  <si>
    <t>5730197777132</t>
  </si>
  <si>
    <t>Enviado 12/2/2026, 12:16:47 p. m.</t>
  </si>
  <si>
    <t>Adriana Pérez</t>
  </si>
  <si>
    <t>Enviado 12/2/2026, 12:25:52 p. m.</t>
  </si>
  <si>
    <t>Deivis Cantillo Somerson</t>
  </si>
  <si>
    <t>42 | 81</t>
  </si>
  <si>
    <t>Enviado 12/2/2026, 12:40:27 p. m.</t>
  </si>
  <si>
    <t>Jose david Plata duarte</t>
  </si>
  <si>
    <t>Enviado 12/2/2026, 1:10:11 p. m.</t>
  </si>
  <si>
    <t>Enviado 12/2/2026, 1:23:39 p. m.</t>
  </si>
  <si>
    <t>Andres A</t>
  </si>
  <si>
    <t>573103504315</t>
  </si>
  <si>
    <t>Liliana Chaparro</t>
  </si>
  <si>
    <t>Enviado 12/2/2026, 1:38:38 p. m.</t>
  </si>
  <si>
    <t>Jhosteen Perez</t>
  </si>
  <si>
    <t>573153309897</t>
  </si>
  <si>
    <t>Yair Comendador</t>
  </si>
  <si>
    <t>Enviado 12/2/2026, 1:40:10 p. m.</t>
  </si>
  <si>
    <t>Alessio Onofri Yunes</t>
  </si>
  <si>
    <t>Enviado 12/2/2026, 1:42:27 p. m.</t>
  </si>
  <si>
    <t>Ester Jimenez</t>
  </si>
  <si>
    <t>573008153820</t>
  </si>
  <si>
    <t>Enviado 12/2/2026, 1:43:17 p. m.</t>
  </si>
  <si>
    <t>ivan alonso</t>
  </si>
  <si>
    <t>573013665336</t>
  </si>
  <si>
    <t>Enviado 12/2/2026, 1:50:14 p. m.</t>
  </si>
  <si>
    <t>Javier Bernal</t>
  </si>
  <si>
    <t>Enviado 12/2/2026, 1:52:29 p. m.</t>
  </si>
  <si>
    <t>573023208311</t>
  </si>
  <si>
    <t>Enviado 12/2/2026, 1:57:21 p. m.</t>
  </si>
  <si>
    <t>Abraham Darwish</t>
  </si>
  <si>
    <t>14:10</t>
  </si>
  <si>
    <t>Enviado 12/2/2026, 2:10:49 p. m.</t>
  </si>
  <si>
    <t>CARRERA 50 # 82-278 - Edificio</t>
  </si>
  <si>
    <t>Enviado 12/2/2026, 2:25:02 p. m.</t>
  </si>
  <si>
    <t>Nicolás Pardo</t>
  </si>
  <si>
    <t>Enviado 12/2/2026, 2:35:42 p. m.</t>
  </si>
  <si>
    <t>Omar Sierra cohen</t>
  </si>
  <si>
    <t>Enviado 12/2/2026, 3:01:49 p. m.</t>
  </si>
  <si>
    <t>Nicolas Camacho</t>
  </si>
  <si>
    <t>Enviado 12/2/2026, 3:15:09 p. m.</t>
  </si>
  <si>
    <t>Daniel Ruiz</t>
  </si>
  <si>
    <t>15:19</t>
  </si>
  <si>
    <t>Enviado 12/2/2026, 3:19:44 p. m.</t>
  </si>
  <si>
    <t>Samuel Perez</t>
  </si>
  <si>
    <t>52 | 53</t>
  </si>
  <si>
    <t>1× Bouquet 12 Rosas | 1× Bouquet 6 Rosas</t>
  </si>
  <si>
    <t>Enviado 12/2/2026, 3:25:46 p. m.</t>
  </si>
  <si>
    <t>Carmen Barros</t>
  </si>
  <si>
    <t>Enviado 12/2/2026, 3:43:19 p. m.</t>
  </si>
  <si>
    <t>Luis Carlos Moreno</t>
  </si>
  <si>
    <t>Enviado 12/2/2026, 3:56:46 p. m.</t>
  </si>
  <si>
    <t>Enviado 12/2/2026, 3:57:21 p. m.</t>
  </si>
  <si>
    <t>Jonathan cabrera</t>
  </si>
  <si>
    <t>Enviado 12/2/2026, 4:02:52 p. m.</t>
  </si>
  <si>
    <t>Enviado 12/2/2026, 4:14:56 p. m.</t>
  </si>
  <si>
    <t>573157014056</t>
  </si>
  <si>
    <t>Enviado 12/2/2026, 4:15:11 p. m.</t>
  </si>
  <si>
    <t>Valentina Mogollon</t>
  </si>
  <si>
    <t>Enviado 12/2/2026, 4:23:37 p. m.</t>
  </si>
  <si>
    <t>Enviado 12/2/2026, 4:26:42 p. m.</t>
  </si>
  <si>
    <t>B&amp;A INGENIERIA Y CONSTRUCCIONES SAS EMP</t>
  </si>
  <si>
    <t>Enviado 12/2/2026, 4:34:07 p. m.</t>
  </si>
  <si>
    <t>267000</t>
  </si>
  <si>
    <t>17:04</t>
  </si>
  <si>
    <t>Enviado 12/2/2026, 5:04:51 p. m.</t>
  </si>
  <si>
    <t>Luisa Gomez</t>
  </si>
  <si>
    <t>573022203516</t>
  </si>
  <si>
    <t>Kra 64E n86-200</t>
  </si>
  <si>
    <t>Enviado 12/2/2026, 5:05:05 p. m.</t>
  </si>
  <si>
    <t>Julio Cezar Aquino Feitosa Julio Cezar</t>
  </si>
  <si>
    <t>5583998040546</t>
  </si>
  <si>
    <t>52 | 81</t>
  </si>
  <si>
    <t>17:07</t>
  </si>
  <si>
    <t>Enviado 12/2/2026, 5:07:30 p. m.</t>
  </si>
  <si>
    <t>Petry Marchena</t>
  </si>
  <si>
    <t>Enviado 12/2/2026, 5:17:30 p. m.</t>
  </si>
  <si>
    <t>Cristian Ramirez</t>
  </si>
  <si>
    <t>17:22</t>
  </si>
  <si>
    <t>Enviado 12/2/2026, 5:22:25 p. m.</t>
  </si>
  <si>
    <t>34600784957</t>
  </si>
  <si>
    <t>17:33</t>
  </si>
  <si>
    <t>Enviado 12/2/2026, 5:33:28 p. m.</t>
  </si>
  <si>
    <t>Rahsaan Caine</t>
  </si>
  <si>
    <t>Enviado 12/2/2026, 5:35:19 p. m.</t>
  </si>
  <si>
    <t>Jaider Barrios</t>
  </si>
  <si>
    <t>Enviado 12/2/2026, 5:39:13 p. m.</t>
  </si>
  <si>
    <t>Enviado 12/2/2026, 5:46:43 p. m.</t>
  </si>
  <si>
    <t>jose maestre</t>
  </si>
  <si>
    <t>Enviado 12/2/2026, 5:56:59 p. m.</t>
  </si>
  <si>
    <t>Erika Escaf</t>
  </si>
  <si>
    <t>18:02</t>
  </si>
  <si>
    <t>Enviado 12/2/2026, 6:03:10 p. m.</t>
  </si>
  <si>
    <t>CRIS SWIGERT</t>
  </si>
  <si>
    <t>12395659573</t>
  </si>
  <si>
    <t>53 | 5</t>
  </si>
  <si>
    <t>Enviado 12/2/2026, 6:03:26 p. m.</t>
  </si>
  <si>
    <t>18:07</t>
  </si>
  <si>
    <t>Enviado 12/2/2026, 6:07:28 p. m.</t>
  </si>
  <si>
    <t>Samuel Zirene Fayad</t>
  </si>
  <si>
    <t>Enviado 12/2/2026, 6:16:32 p. m.</t>
  </si>
  <si>
    <t>Jesús David Vélez de la torre</t>
  </si>
  <si>
    <t>18:48</t>
  </si>
  <si>
    <t>Enviado 12/2/2026, 6:48:31 p. m.</t>
  </si>
  <si>
    <t>MARIA ASIS</t>
  </si>
  <si>
    <t>Enviado 13/2/2026, 7:00:42 a. m.</t>
  </si>
  <si>
    <t>Enviado 13/2/2026, 7:46:55 a. m.</t>
  </si>
  <si>
    <t>Enviado 13/2/2026, 8:09:44 a. m.</t>
  </si>
  <si>
    <t>Eliana Brochero</t>
  </si>
  <si>
    <t>Enviado 13/2/2026, 8:46:07 a. m.</t>
  </si>
  <si>
    <t>Enviado 13/2/2026, 8:46:13 a. m.</t>
  </si>
  <si>
    <t>332000</t>
  </si>
  <si>
    <t>Enviado 13/2/2026, 8:55:02 a. m.</t>
  </si>
  <si>
    <t>Enviado 13/2/2026, 9:01:21 a. m.</t>
  </si>
  <si>
    <t>Jorge Pardo</t>
  </si>
  <si>
    <t>Enviado 13/2/2026, 9:08:09 a. m.</t>
  </si>
  <si>
    <t>Fabrizio Armella</t>
  </si>
  <si>
    <t>573104482680</t>
  </si>
  <si>
    <t>Enviado 13/2/2026, 9:27:30 a. m.</t>
  </si>
  <si>
    <t>Sue Salarrayan</t>
  </si>
  <si>
    <t>17862948181</t>
  </si>
  <si>
    <t>Enviado 13/2/2026, 9:29:29 a. m.</t>
  </si>
  <si>
    <t>Juan Eduardo Ramírez</t>
  </si>
  <si>
    <t>Enviado 13/2/2026, 9:32:40 a. m.</t>
  </si>
  <si>
    <t>Enviado 13/2/2026, 9:42:43 a. m.</t>
  </si>
  <si>
    <t>Enviado 13/2/2026, 9:52:12 a. m.</t>
  </si>
  <si>
    <t>Steven Jimenez</t>
  </si>
  <si>
    <t>Enviado 13/2/2026, 10:01:25 a. m.</t>
  </si>
  <si>
    <t>Marta Orozco</t>
  </si>
  <si>
    <t>436400</t>
  </si>
  <si>
    <t>Enviado 13/2/2026, 10:02:14 a. m.</t>
  </si>
  <si>
    <t>Enviado 13/2/2026, 10:03:35 a. m.</t>
  </si>
  <si>
    <t>Andrés Socarrás</t>
  </si>
  <si>
    <t>573173819938</t>
  </si>
  <si>
    <t>María Alejandra Pérez Fernández</t>
  </si>
  <si>
    <t>Enviado 13/2/2026, 10:11:49 a. m.</t>
  </si>
  <si>
    <t>Juan Sebastian Rodriguez</t>
  </si>
  <si>
    <t>573184113688</t>
  </si>
  <si>
    <t>Enviado 13/2/2026, 10:25:08 a. m.</t>
  </si>
  <si>
    <t>MELIZA MUÑOZ</t>
  </si>
  <si>
    <t>Enviado 13/2/2026, 10:29:43 a. m.</t>
  </si>
  <si>
    <t>Rafael Hernandez</t>
  </si>
  <si>
    <t>50 | 29</t>
  </si>
  <si>
    <t>Enviado 13/2/2026, 10:31:39 a. m.</t>
  </si>
  <si>
    <t>Juan jose Chica Cano</t>
  </si>
  <si>
    <t>612000</t>
  </si>
  <si>
    <t>Enviado 13/2/2026, 10:31:46 a. m.</t>
  </si>
  <si>
    <t>Wilson Duran</t>
  </si>
  <si>
    <t>Enviado 13/2/2026, 10:34:34 a. m.</t>
  </si>
  <si>
    <t>Enviado 13/2/2026, 10:45:10 a. m.</t>
  </si>
  <si>
    <t>Enviado 13/2/2026, 10:50:03 a. m.</t>
  </si>
  <si>
    <t>Enviado 13/2/2026, 11:14:46 a. m.</t>
  </si>
  <si>
    <t>573034351</t>
  </si>
  <si>
    <t>Enviado 13/2/2026, 11:21:02 a. m.</t>
  </si>
  <si>
    <t>CARLOS PADILLA</t>
  </si>
  <si>
    <t>Enviado 13/2/2026, 11:33:26 a. m.</t>
  </si>
  <si>
    <t>Ricardo Donado</t>
  </si>
  <si>
    <t>11:38</t>
  </si>
  <si>
    <t>Enviado 13/2/2026, 11:39:09 a. m.</t>
  </si>
  <si>
    <t>Enviado 13/2/2026, 11:50:22 a. m.</t>
  </si>
  <si>
    <t>Salomé Gomez</t>
  </si>
  <si>
    <t>Enviado 13/2/2026, 11:55:07 a. m.</t>
  </si>
  <si>
    <t>Enviado 13/2/2026, 11:59:10 a. m.</t>
  </si>
  <si>
    <t>Enviado 13/2/2026, 12:15:49 p. m.</t>
  </si>
  <si>
    <t>Juan Camilo Olarte</t>
  </si>
  <si>
    <t>Enviado 13/2/2026, 12:29:06 p. m.</t>
  </si>
  <si>
    <t>Juan Diego Medina Alvarez</t>
  </si>
  <si>
    <t>573015271154</t>
  </si>
  <si>
    <t>Enviado 13/2/2026, 12:34:54 p. m.</t>
  </si>
  <si>
    <t>Maria Patricia Pabón Ternera</t>
  </si>
  <si>
    <t>102 | 81</t>
  </si>
  <si>
    <t>Enviado 13/2/2026, 12:36:35 p. m.</t>
  </si>
  <si>
    <t>karen caine</t>
  </si>
  <si>
    <t>Enviado 13/2/2026, 12:37:17 p. m.</t>
  </si>
  <si>
    <t>Giuliano Frieri</t>
  </si>
  <si>
    <t>Enviado 13/2/2026, 12:48:40 p. m.</t>
  </si>
  <si>
    <t>Enviado 13/2/2026, 12:51:42 p. m.</t>
  </si>
  <si>
    <t>Daniel Jesus Parra Manotas</t>
  </si>
  <si>
    <t>Enviado 13/2/2026, 12:53:21 p. m.</t>
  </si>
  <si>
    <t>Juan Alejandro Arias Gallego</t>
  </si>
  <si>
    <t>573104557947</t>
  </si>
  <si>
    <t>104 | 80</t>
  </si>
  <si>
    <t>Carlos Duque</t>
  </si>
  <si>
    <t>Enviado 13/2/2026, 12:56:43 p. m.</t>
  </si>
  <si>
    <t>Diego Alejandro Quintero Zuluaga</t>
  </si>
  <si>
    <t>Enviado 13/2/2026, 12:56:51 p. m.</t>
  </si>
  <si>
    <t>Yuliana Guzman</t>
  </si>
  <si>
    <t>143000</t>
  </si>
  <si>
    <t>Enviado 13/2/2026, 12:58:23 p. m.</t>
  </si>
  <si>
    <t>Santiago Pelaez Mira</t>
  </si>
  <si>
    <t>4915772517534</t>
  </si>
  <si>
    <t>Enviado 13/2/2026, 1:01:06 p. m.</t>
  </si>
  <si>
    <t>jose restrepo</t>
  </si>
  <si>
    <t>13:04</t>
  </si>
  <si>
    <t>Enviado 13/2/2026, 1:04:50 p. m.</t>
  </si>
  <si>
    <t>luis vergara</t>
  </si>
  <si>
    <t>573015978676</t>
  </si>
  <si>
    <t>Enviado 13/2/2026, 1:17:41 p. m.</t>
  </si>
  <si>
    <t>JM ENDOSCOPY SAS JM ENDOSCOPY SAS</t>
  </si>
  <si>
    <t>573007531938</t>
  </si>
  <si>
    <t>148800</t>
  </si>
  <si>
    <t>Enviado 13/2/2026, 1:20:14 p. m.</t>
  </si>
  <si>
    <t>Enviado 13/2/2026, 1:31:41 p. m.</t>
  </si>
  <si>
    <t>Jose Osorio</t>
  </si>
  <si>
    <t>13:35</t>
  </si>
  <si>
    <t>Enviado 13/2/2026, 1:35:16 p. m.</t>
  </si>
  <si>
    <t>Fabio Torres</t>
  </si>
  <si>
    <t>Enviado 13/2/2026, 1:40:05 p. m.</t>
  </si>
  <si>
    <t>Jesus Cuello</t>
  </si>
  <si>
    <t>Enviado 13/2/2026, 2:00:32 p. m.</t>
  </si>
  <si>
    <t>Amaury Amaris</t>
  </si>
  <si>
    <t>Enviado 13/2/2026, 2:08:34 p. m.</t>
  </si>
  <si>
    <t>Catalina Abello</t>
  </si>
  <si>
    <t>Enviado 13/2/2026, 2:10:08 p. m.</t>
  </si>
  <si>
    <t>alejandra ortiz</t>
  </si>
  <si>
    <t>Enviado 13/2/2026, 2:14:35 p. m.</t>
  </si>
  <si>
    <t>Tony McLean</t>
  </si>
  <si>
    <t>Enviado 13/2/2026, 2:16:53 p. m.</t>
  </si>
  <si>
    <t>Maria teresa De moya charris</t>
  </si>
  <si>
    <t>573236883110</t>
  </si>
  <si>
    <t>María Teresa</t>
  </si>
  <si>
    <t>Enviado 13/2/2026, 2:21:59 p. m.</t>
  </si>
  <si>
    <t>Ciro fernando Estrada Daza</t>
  </si>
  <si>
    <t>Enviado 13/2/2026, 2:36:48 p. m.</t>
  </si>
  <si>
    <t>Eduardo Lopez</t>
  </si>
  <si>
    <t>525540814027</t>
  </si>
  <si>
    <t>Paula Fernández</t>
  </si>
  <si>
    <t>Enviado 13/2/2026, 2:47:12 p. m.</t>
  </si>
  <si>
    <t>Julio Mario Alvarez</t>
  </si>
  <si>
    <t>Enviado 13/2/2026, 2:50:18 p. m.</t>
  </si>
  <si>
    <t>Jarrett Funderburk</t>
  </si>
  <si>
    <t>Enviado 13/2/2026, 2:56:36 p. m.</t>
  </si>
  <si>
    <t>Enviado 13/2/2026, 3:01:51 p. m.</t>
  </si>
  <si>
    <t>Enviado 13/2/2026, 3:22:10 p. m.</t>
  </si>
  <si>
    <t>deimer marin</t>
  </si>
  <si>
    <t>20 | 31</t>
  </si>
  <si>
    <t>306000</t>
  </si>
  <si>
    <t>Enviado 13/2/2026, 3:22:15 p. m.</t>
  </si>
  <si>
    <t>Leyter Lopez</t>
  </si>
  <si>
    <t>573012268956</t>
  </si>
  <si>
    <t>Enviado 13/2/2026, 3:27:42 p. m.</t>
  </si>
  <si>
    <t>Cristian Caballero</t>
  </si>
  <si>
    <t>15:33</t>
  </si>
  <si>
    <t>Enviado 13/2/2026, 3:33:35 p. m.</t>
  </si>
  <si>
    <t>Sergio Reding Samano</t>
  </si>
  <si>
    <t>523334177913</t>
  </si>
  <si>
    <t>Matilda Cantillo</t>
  </si>
  <si>
    <t>Enviado 13/2/2026, 3:39:32 p. m.</t>
  </si>
  <si>
    <t>Enviado 13/2/2026, 3:41:02 p. m.</t>
  </si>
  <si>
    <t>Leonardo Ariza</t>
  </si>
  <si>
    <t>Enviado 13/2/2026, 3:43:18 p. m.</t>
  </si>
  <si>
    <t>Enviado 13/2/2026, 3:49:23 p. m.</t>
  </si>
  <si>
    <t>Enviado 13/2/2026, 3:53:21 p. m.</t>
  </si>
  <si>
    <t>andres navarro</t>
  </si>
  <si>
    <t>Enviado 13/2/2026, 3:52:04 p. m.</t>
  </si>
  <si>
    <t>Geberth Tamayo Martinez</t>
  </si>
  <si>
    <t>Enviado 13/2/2026, 4:00:52 p. m.</t>
  </si>
  <si>
    <t>Pablo Esteban Sánchez Castro</t>
  </si>
  <si>
    <t>Enviado 13/2/2026, 4:02:11 p. m.</t>
  </si>
  <si>
    <t>Sela An</t>
  </si>
  <si>
    <t>Enviado 13/2/2026, 4:03:40 p. m.</t>
  </si>
  <si>
    <t>cristian cardona</t>
  </si>
  <si>
    <t>Enviado 13/2/2026, 4:03:46 p. m.</t>
  </si>
  <si>
    <t>Mario Cantillo</t>
  </si>
  <si>
    <t>Enviado 13/2/2026, 4:36:44 p. m.</t>
  </si>
  <si>
    <t>Jose Fayad Ramos</t>
  </si>
  <si>
    <t>573219670367</t>
  </si>
  <si>
    <t>Enviado 13/2/2026, 4:59:06 p. m.</t>
  </si>
  <si>
    <t>Iveth Fernandez de Castro</t>
  </si>
  <si>
    <t>Enviado 13/2/2026, 4:59:28 p. m.</t>
  </si>
  <si>
    <t>Brahian Ruiz muñeton</t>
  </si>
  <si>
    <t>324 2458184</t>
  </si>
  <si>
    <t>Enviado 13/2/2026, 5:05:41 p. m.</t>
  </si>
  <si>
    <t>Christian Chaman</t>
  </si>
  <si>
    <t>Enviado 13/2/2026, 5:06:07 p. m.</t>
  </si>
  <si>
    <t>15514822719</t>
  </si>
  <si>
    <t>390000</t>
  </si>
  <si>
    <t>Enviado 13/2/2026, 5:17:29 p. m.</t>
  </si>
  <si>
    <t>573058681889</t>
  </si>
  <si>
    <t>Enviado 13/2/2026, 5:19:51 p. m.</t>
  </si>
  <si>
    <t>Rafael Montejo Torres</t>
  </si>
  <si>
    <t>573008366502</t>
  </si>
  <si>
    <t>Enviado 13/2/2026, 5:22:53 p. m.</t>
  </si>
  <si>
    <t>Massimo Martinez</t>
  </si>
  <si>
    <t>57 | 81 | 80</t>
  </si>
  <si>
    <t>215000</t>
  </si>
  <si>
    <t>Enviado 13/2/2026, 5:26:45 p. m.</t>
  </si>
  <si>
    <t>Ericka palacio</t>
  </si>
  <si>
    <t>902000</t>
  </si>
  <si>
    <t>Enviado 13/2/2026, 5:38:15 p. m.</t>
  </si>
  <si>
    <t>Abraham Jabib Barake</t>
  </si>
  <si>
    <t>573012282165</t>
  </si>
  <si>
    <t>Abraham Jabib</t>
  </si>
  <si>
    <t>Enviado 13/2/2026, 5:42:13 p. m.</t>
  </si>
  <si>
    <t>Beky Pulgar</t>
  </si>
  <si>
    <t>573007463854</t>
  </si>
  <si>
    <t>Enviado 13/2/2026, 5:46:27 p. m.</t>
  </si>
  <si>
    <t>Nando Garzon</t>
  </si>
  <si>
    <t>17:50</t>
  </si>
  <si>
    <t>Enviado 13/2/2026, 5:50:30 p. m.</t>
  </si>
  <si>
    <t>Andrea Ramirez</t>
  </si>
  <si>
    <t>Enviado 13/2/2026, 6:08:04 p. m.</t>
  </si>
  <si>
    <t>34633151152</t>
  </si>
  <si>
    <t>Wendy molina</t>
  </si>
  <si>
    <t>Enviado 13/2/2026, 6:09:04 p. m.</t>
  </si>
  <si>
    <t>Enviado 13/2/2026, 6:09:11 p. m.</t>
  </si>
  <si>
    <t>Enviado 13/2/2026, 6:18:06 p. m.</t>
  </si>
  <si>
    <t>Eusebio Cabrales Vernaza</t>
  </si>
  <si>
    <t>Enviado 13/2/2026, 6:24:18 p. m.</t>
  </si>
  <si>
    <t>Enviado 13/2/2026, 6:28:51 p. m.</t>
  </si>
  <si>
    <t>573153143394</t>
  </si>
  <si>
    <t>Enviado 13/2/2026, 6:34:43 p. m.</t>
  </si>
  <si>
    <t>19:17</t>
  </si>
  <si>
    <t>Enviado 13/2/2026, 7:18:08 p. m.</t>
  </si>
  <si>
    <t>19:18</t>
  </si>
  <si>
    <t>Enviado 13/2/2026, 7:18:43 p. m.</t>
  </si>
  <si>
    <t>Nataly Tamayo</t>
  </si>
  <si>
    <t>81 | 87 | 38</t>
  </si>
  <si>
    <t>19:28</t>
  </si>
  <si>
    <t>Enviado 13/2/2026, 7:29:05 p. m.</t>
  </si>
  <si>
    <t>19:38</t>
  </si>
  <si>
    <t>Enviado 13/2/2026, 7:39:04 p. m.</t>
  </si>
  <si>
    <t>Enviado 14/2/2026, 9:17:21 a. m.</t>
  </si>
  <si>
    <t>Johan Serrano Millan</t>
  </si>
  <si>
    <t>29 | 50</t>
  </si>
  <si>
    <t>Enviado 14/2/2026, 9:17:46 a. m.</t>
  </si>
  <si>
    <t>573205413971</t>
  </si>
  <si>
    <t>Enviado 14/2/2026, 9:23:43 a. m.</t>
  </si>
  <si>
    <t>57795430</t>
  </si>
  <si>
    <t>Enviado 14/2/2026, 9:25:42 a. m.</t>
  </si>
  <si>
    <t>28 | 29</t>
  </si>
  <si>
    <t>Enviado 14/2/2026, 9:33:54 a. m.</t>
  </si>
  <si>
    <t>28 | 58</t>
  </si>
  <si>
    <t>Enviado 14/2/2026, 9:43:47 a. m.</t>
  </si>
  <si>
    <t>Enviado 14/2/2026, 9:47:08 a. m.</t>
  </si>
  <si>
    <t>frank lora</t>
  </si>
  <si>
    <t>573006268023</t>
  </si>
  <si>
    <t>Enviado 14/2/2026, 9:48:27 a. m.</t>
  </si>
  <si>
    <t>Enviado 14/2/2026, 9:57:18 a. m.</t>
  </si>
  <si>
    <t>Natalia Palmera</t>
  </si>
  <si>
    <t>573016578880</t>
  </si>
  <si>
    <t>Sofía Torres</t>
  </si>
  <si>
    <t>Enviado 14/2/2026, 10:03:06 a. m.</t>
  </si>
  <si>
    <t>Alejandro Buitriago</t>
  </si>
  <si>
    <t>573152633822</t>
  </si>
  <si>
    <t>Abbib Rondon</t>
  </si>
  <si>
    <t>Enviado 14/2/2026, 10:09:45 a. m.</t>
  </si>
  <si>
    <t>Mauricio Gonzalez</t>
  </si>
  <si>
    <t>Enviado 14/2/2026, 10:16:12 a. m.</t>
  </si>
  <si>
    <t>Enviado 14/2/2026, 10:25:50 a. m.</t>
  </si>
  <si>
    <t>Fernando Diaz Tatis</t>
  </si>
  <si>
    <t>14157928852</t>
  </si>
  <si>
    <t>Enviado 14/2/2026, 10:30:45 a. m.</t>
  </si>
  <si>
    <t>573156125956</t>
  </si>
  <si>
    <t>Enviado 14/2/2026, 10:33:38 a. m.</t>
  </si>
  <si>
    <t>Enviado 14/2/2026, 10:37:25 a. m.</t>
  </si>
  <si>
    <t>Sebastian Ariza</t>
  </si>
  <si>
    <t>10:41</t>
  </si>
  <si>
    <t>Enviado 14/2/2026, 10:42:11 a. m.</t>
  </si>
  <si>
    <t>Maikel Grajales</t>
  </si>
  <si>
    <t>51 | 52</t>
  </si>
  <si>
    <t>10:45</t>
  </si>
  <si>
    <t>Enviado 14/2/2026, 10:46:03 a. m.</t>
  </si>
  <si>
    <t>Juan Felipe De leon Garrido</t>
  </si>
  <si>
    <t>Enviado 14/2/2026, 10:50:09 a. m.</t>
  </si>
  <si>
    <t>Andres De la Hoz</t>
  </si>
  <si>
    <t>20 | 81</t>
  </si>
  <si>
    <t>Enviado 14/2/2026, 10:55:03 a. m.</t>
  </si>
  <si>
    <t>573015190837</t>
  </si>
  <si>
    <t>Enviado 14/2/2026, 11:00:38 a. m.</t>
  </si>
  <si>
    <t>CARLOS HERNANDEZ</t>
  </si>
  <si>
    <t>11:05</t>
  </si>
  <si>
    <t>Enviado 14/2/2026, 11:05:20 a. m.</t>
  </si>
  <si>
    <t>Santiago Charry</t>
  </si>
  <si>
    <t>Enviado 14/2/2026, 11:06:36 a. m.</t>
  </si>
  <si>
    <t>573244926686</t>
  </si>
  <si>
    <t>Enviado 14/2/2026, 11:07:59 a. m.</t>
  </si>
  <si>
    <t>Enviado 14/2/2026, 11:12:37 a. m.</t>
  </si>
  <si>
    <t>Naiked Echeverry</t>
  </si>
  <si>
    <t>41774494454</t>
  </si>
  <si>
    <t>Astrid y Stephy</t>
  </si>
  <si>
    <t>Enviado 14/2/2026, 11:12:47 a. m.</t>
  </si>
  <si>
    <t>Enviado 14/2/2026, 11:16:39 a. m.</t>
  </si>
  <si>
    <t>era para el sabado 14 y se entrego el lunes 18</t>
  </si>
  <si>
    <t>572428754066</t>
  </si>
  <si>
    <t>Enviado 14/2/2026, 11:17:18 a. m.</t>
  </si>
  <si>
    <t>572428762519</t>
  </si>
  <si>
    <t>Enviado 14/2/2026, 11:20:17 a. m.</t>
  </si>
  <si>
    <t>Daniela Ríos</t>
  </si>
  <si>
    <t>Enviado 14/2/2026, 11:22:58 a. m.</t>
  </si>
  <si>
    <t>573013791058</t>
  </si>
  <si>
    <t>Enviado 14/2/2026, 11:25:11 a. m.</t>
  </si>
  <si>
    <t>Andres Coronado Gomez</t>
  </si>
  <si>
    <t>Enviado 14/2/2026, 11:30:29 a. m.</t>
  </si>
  <si>
    <t>Ruben Bermudez</t>
  </si>
  <si>
    <t>Enviado 14/2/2026, 11:34:51 a. m.</t>
  </si>
  <si>
    <t>Enviado 14/2/2026, 11:40:34 a. m.</t>
  </si>
  <si>
    <t>573172648892</t>
  </si>
  <si>
    <t>11:45</t>
  </si>
  <si>
    <t>Enviado 14/2/2026, 11:46:15 a. m.</t>
  </si>
  <si>
    <t>Sebastián Morales caldas</t>
  </si>
  <si>
    <t>Enviado 14/2/2026, 11:57:01 a. m.</t>
  </si>
  <si>
    <t>Jorge Rincon Eckardt</t>
  </si>
  <si>
    <t>Enviado 14/2/2026, 11:58:33 a. m.</t>
  </si>
  <si>
    <t>Katherine Annicchiarico</t>
  </si>
  <si>
    <t>Enviado 14/2/2026, 12:07:10 p. m.</t>
  </si>
  <si>
    <t>Brandon Pacheco</t>
  </si>
  <si>
    <t>Enviado 14/2/2026, 12:14:48 p. m.</t>
  </si>
  <si>
    <t>George Cormane</t>
  </si>
  <si>
    <t>Enviado 14/2/2026, 12:16:16 p. m.</t>
  </si>
  <si>
    <t>OCTAVIO MENDOZA</t>
  </si>
  <si>
    <t>Enviado 14/2/2026, 12:22:16 p. m.</t>
  </si>
  <si>
    <t>572428791648</t>
  </si>
  <si>
    <t>12:27</t>
  </si>
  <si>
    <t>Enviado 14/2/2026, 12:27:42 p. m.</t>
  </si>
  <si>
    <t>12:29</t>
  </si>
  <si>
    <t>Enviado 14/2/2026, 12:29:47 p. m.</t>
  </si>
  <si>
    <t>51 | 84</t>
  </si>
  <si>
    <t>Enviado 14/2/2026, 12:33:04 p. m.</t>
  </si>
  <si>
    <t>Armando Estrada</t>
  </si>
  <si>
    <t>12:33</t>
  </si>
  <si>
    <t>Enviado 14/2/2026, 12:34:11 p. m.</t>
  </si>
  <si>
    <t>112029755636</t>
  </si>
  <si>
    <t>Enviado 14/2/2026, 12:38:27 p. m.</t>
  </si>
  <si>
    <t>Enviado 14/2/2026, 12:41:03 p. m.</t>
  </si>
  <si>
    <t>Keyla Navarro</t>
  </si>
  <si>
    <t>Enviado 14/2/2026, 12:45:57 p. m.</t>
  </si>
  <si>
    <t>Fermin Malkun</t>
  </si>
  <si>
    <t>Enviado 14/2/2026, 12:54:06 p. m.</t>
  </si>
  <si>
    <t>Jhon Jaramillo</t>
  </si>
  <si>
    <t>177000</t>
  </si>
  <si>
    <t>12:54</t>
  </si>
  <si>
    <t>Enviado 14/2/2026, 12:54:33 p. m.</t>
  </si>
  <si>
    <t>573154165888</t>
  </si>
  <si>
    <t>Enviado 14/2/2026, 1:03:57 p. m.</t>
  </si>
  <si>
    <t>Luis Gonzalo Jusayu</t>
  </si>
  <si>
    <t>Enviado 14/2/2026, 1:05:25 p. m.</t>
  </si>
  <si>
    <t>Andrés Tous</t>
  </si>
  <si>
    <t>Enviado 14/2/2026, 1:20:32 p. m.</t>
  </si>
  <si>
    <t>MARIA ISABEL TRUJILLO</t>
  </si>
  <si>
    <t>13:22</t>
  </si>
  <si>
    <t>Enviado 14/2/2026, 1:23:06 p. m.</t>
  </si>
  <si>
    <t>Enviado 14/2/2026, 1:32:59 p. m.</t>
  </si>
  <si>
    <t>Diego Idarraga</t>
  </si>
  <si>
    <t>573006397155</t>
  </si>
  <si>
    <t>Enviado 14/2/2026, 1:35:02 p. m.</t>
  </si>
  <si>
    <t>Carlos Alvarez</t>
  </si>
  <si>
    <t>Enviado 14/2/2026, 1:44:11 p. m.</t>
  </si>
  <si>
    <t>Julian Zuluaga</t>
  </si>
  <si>
    <t>Casa segundo piso - Carrera 57#96-79/cj Niza 1 casa 8 -</t>
  </si>
  <si>
    <t>106000</t>
  </si>
  <si>
    <t>Enviado 14/2/2026, 1:50:54 p. m.</t>
  </si>
  <si>
    <t>573022102353</t>
  </si>
  <si>
    <t>Enviado 14/2/2026, 1:51:58 p. m.</t>
  </si>
  <si>
    <t>Linda Orozco</t>
  </si>
  <si>
    <t>573015488840</t>
  </si>
  <si>
    <t>Enviado 14/2/2026, 1:55:43 p. m.</t>
  </si>
  <si>
    <t>573001241116</t>
  </si>
  <si>
    <t>Enviado 14/2/2026, 1:58:28 p. m.</t>
  </si>
  <si>
    <t>Enviado 14/2/2026, 2:00:39 p. m.</t>
  </si>
  <si>
    <t>Mateo Ayala</t>
  </si>
  <si>
    <t>573158585683</t>
  </si>
  <si>
    <t>Angie Orostegui</t>
  </si>
  <si>
    <t>Enviado 14/2/2026, 2:02:04 p. m.</t>
  </si>
  <si>
    <t>573155811212</t>
  </si>
  <si>
    <t>Enviado 14/2/2026, 2:03:34 p. m.</t>
  </si>
  <si>
    <t>573153514436</t>
  </si>
  <si>
    <t>Enviado 14/2/2026, 2:07:31 p. m.</t>
  </si>
  <si>
    <t>Enviado 14/2/2026, 2:08:47 p. m.</t>
  </si>
  <si>
    <t>Enviado 14/2/2026, 2:12:16 p. m.</t>
  </si>
  <si>
    <t>CAMILO NOGUERA</t>
  </si>
  <si>
    <t>573128516965</t>
  </si>
  <si>
    <t>Enviado 14/2/2026, 2:21:37 p. m.</t>
  </si>
  <si>
    <t>Bernardo Mejia</t>
  </si>
  <si>
    <t>573207169243</t>
  </si>
  <si>
    <t>Enviado 14/2/2026, 2:27:49 p. m.</t>
  </si>
  <si>
    <t>Enviado 14/2/2026, 2:29:21 p. m.</t>
  </si>
  <si>
    <t>Carlos Martinez</t>
  </si>
  <si>
    <t>17633105984</t>
  </si>
  <si>
    <t>Enviado 14/2/2026, 2:34:00 p. m.</t>
  </si>
  <si>
    <t>573165653164</t>
  </si>
  <si>
    <t>Enviado 14/2/2026, 2:38:04 p. m.</t>
  </si>
  <si>
    <t>ARMANDO RAPPI 130000</t>
  </si>
  <si>
    <t>Enviado 14/2/2026, 2:39:43 p. m.</t>
  </si>
  <si>
    <t>Carrera 52#132-87 - Conjunto</t>
  </si>
  <si>
    <t>Enviado 14/2/2026, 2:40:10 p. m.</t>
  </si>
  <si>
    <t>Jose Doria</t>
  </si>
  <si>
    <t>573023584727</t>
  </si>
  <si>
    <t>Kalina malo</t>
  </si>
  <si>
    <t>Enviado 14/2/2026, 2:45:16 p. m.</t>
  </si>
  <si>
    <t>Milton .</t>
  </si>
  <si>
    <t>Enviado 14/2/2026, 2:46:58 p. m.</t>
  </si>
  <si>
    <t>573156540065</t>
  </si>
  <si>
    <t>Enviado 14/2/2026, 2:47:32 p. m.</t>
  </si>
  <si>
    <t>Enviado 14/2/2026, 2:48:07 p. m.</t>
  </si>
  <si>
    <t>Laura Gutiérrez</t>
  </si>
  <si>
    <t>573014050942</t>
  </si>
  <si>
    <t>Esther María</t>
  </si>
  <si>
    <t>Enviado 14/2/2026, 2:54:00 p. m.</t>
  </si>
  <si>
    <t>Heidy Oropeza</t>
  </si>
  <si>
    <t>38 | 103</t>
  </si>
  <si>
    <t>568000</t>
  </si>
  <si>
    <t>Enviado 14/2/2026, 2:56:35 p. m.</t>
  </si>
  <si>
    <t>15:07</t>
  </si>
  <si>
    <t>Enviado 14/2/2026, 3:08:26 p. m.</t>
  </si>
  <si>
    <t>573145968573</t>
  </si>
  <si>
    <t>Enviado 14/2/2026, 3:11:44 p. m.</t>
  </si>
  <si>
    <t>573008700406</t>
  </si>
  <si>
    <t>Enviado 14/2/2026, 3:18:12 p. m.</t>
  </si>
  <si>
    <t>Stephania Tamayo parra</t>
  </si>
  <si>
    <t>573057442707</t>
  </si>
  <si>
    <t>48 | 81</t>
  </si>
  <si>
    <t>Jakeline Ramírez Sandoval</t>
  </si>
  <si>
    <t>662000</t>
  </si>
  <si>
    <t>Enviado 14/2/2026, 3:25:56 p. m.</t>
  </si>
  <si>
    <t>Andres Zape</t>
  </si>
  <si>
    <t>81 | 28</t>
  </si>
  <si>
    <t>Enviado 14/2/2026, 3:26:52 p. m.</t>
  </si>
  <si>
    <t>573205760938</t>
  </si>
  <si>
    <t>Enviado 14/2/2026, 3:34:29 p. m.</t>
  </si>
  <si>
    <t>15:37</t>
  </si>
  <si>
    <t>Enviado 14/2/2026, 3:37:48 p. m.</t>
  </si>
  <si>
    <t>Enviado 14/2/2026, 3:39:10 p. m.</t>
  </si>
  <si>
    <t>573144544581</t>
  </si>
  <si>
    <t>Enviado 14/2/2026, 3:44:46 p. m.</t>
  </si>
  <si>
    <t>573215415485</t>
  </si>
  <si>
    <t>Enviado 14/2/2026, 3:52:21 p. m.</t>
  </si>
  <si>
    <t>573012402716</t>
  </si>
  <si>
    <t>Enviado 14/2/2026, 4:02:32 p. m.</t>
  </si>
  <si>
    <t>Camilo Garcia Peña</t>
  </si>
  <si>
    <t>Enviado 14/2/2026, 4:06:54 p. m.</t>
  </si>
  <si>
    <t>María Córdoba</t>
  </si>
  <si>
    <t>573214611724</t>
  </si>
  <si>
    <t>Enviado 14/2/2026, 4:07:41 p. m.</t>
  </si>
  <si>
    <t>573052476428</t>
  </si>
  <si>
    <t>Enviado 14/2/2026, 4:09:37 p. m.</t>
  </si>
  <si>
    <t>Jaime Pena Herrera</t>
  </si>
  <si>
    <t>17863857865</t>
  </si>
  <si>
    <t>Enviado 14/2/2026, 4:28:05 p. m.</t>
  </si>
  <si>
    <t>573145282079</t>
  </si>
  <si>
    <t>Enviado 14/2/2026, 4:36:03 p. m.</t>
  </si>
  <si>
    <t>Enviado 14/2/2026, 4:43:26 p. m.</t>
  </si>
  <si>
    <t>Santiago Gomez</t>
  </si>
  <si>
    <t>573124724429</t>
  </si>
  <si>
    <t>Enviado 14/2/2026, 4:47:47 p. m.</t>
  </si>
  <si>
    <t>Donaldo Tijera</t>
  </si>
  <si>
    <t>573188402905</t>
  </si>
  <si>
    <t>Enviado 14/2/2026, 4:50:02 p. m.</t>
  </si>
  <si>
    <t>WALTER ZUÑIGA</t>
  </si>
  <si>
    <t>Calle 112#42norte-93 - Edificio</t>
  </si>
  <si>
    <t>Enviado 14/2/2026, 4:59:23 p. m.</t>
  </si>
  <si>
    <t>Enviado 14/2/2026, 5:30:23 p. m.</t>
  </si>
  <si>
    <t>07:52</t>
  </si>
  <si>
    <t>Enviado 18/2/2026, 7:52:57 a. m.</t>
  </si>
  <si>
    <t>57</t>
  </si>
  <si>
    <t>Enviado 18/2/2026, 8:07:18 a. m.</t>
  </si>
  <si>
    <t>Enviado 18/2/2026, 8:25:08 a. m.</t>
  </si>
  <si>
    <t>573013640820</t>
  </si>
  <si>
    <t>Enviado 18/2/2026, 8:25:16 a. m.</t>
  </si>
  <si>
    <t>Nabetse Sanchez</t>
  </si>
  <si>
    <t>Enviado 18/2/2026, 8:35:14 a. m.</t>
  </si>
  <si>
    <t>Andrea Marcela Parra hernández</t>
  </si>
  <si>
    <t>Enviado 18/2/2026, 8:44:30 a. m.</t>
  </si>
  <si>
    <t>Duvan Mejia</t>
  </si>
  <si>
    <t>573008771538</t>
  </si>
  <si>
    <t>G</t>
  </si>
  <si>
    <t>Enviado 18/2/2026, 8:46:09 a. m.</t>
  </si>
  <si>
    <t>Juan David Ruiz Cogollo</t>
  </si>
  <si>
    <t>573022929215</t>
  </si>
  <si>
    <t>08:51</t>
  </si>
  <si>
    <t>Enviado 18/2/2026, 8:52:11 a. m.</t>
  </si>
  <si>
    <t>Helmer Rodriguez</t>
  </si>
  <si>
    <t>Enviado 18/2/2026, 8:54:20 a. m.</t>
  </si>
  <si>
    <t>573023611782</t>
  </si>
  <si>
    <t>Enviado 18/2/2026, 9:27:18 a. m.</t>
  </si>
  <si>
    <t>OMAR MEDINA</t>
  </si>
  <si>
    <t>Enviado 18/2/2026, 9:30:59 a. m.</t>
  </si>
  <si>
    <t>alejandro sanchez</t>
  </si>
  <si>
    <t>Enviado 18/2/2026, 9:42:48 a. m.</t>
  </si>
  <si>
    <t>Alexandra Gerlein</t>
  </si>
  <si>
    <t>10:04</t>
  </si>
  <si>
    <t>Enviado 18/2/2026, 10:05:03 a. m.</t>
  </si>
  <si>
    <t>Natalia Solano</t>
  </si>
  <si>
    <t>573013716965</t>
  </si>
  <si>
    <t>Carolina Manotas</t>
  </si>
  <si>
    <t>Enviado 18/2/2026, 10:07:45 a. m.</t>
  </si>
  <si>
    <t>Enviado 18/2/2026, 10:17:34 a. m.</t>
  </si>
  <si>
    <t>10:43</t>
  </si>
  <si>
    <t>Enviado 18/2/2026, 10:44:38 a. m.</t>
  </si>
  <si>
    <t>10:53</t>
  </si>
  <si>
    <t>Enviado 18/2/2026, 10:54:37 a. m.</t>
  </si>
  <si>
    <t>Enviado 18/2/2026, 10:57:51 a. m.</t>
  </si>
  <si>
    <t>Tatiana Dugand</t>
  </si>
  <si>
    <t>Enviado 18/2/2026, 11:05:04 a. m.</t>
  </si>
  <si>
    <t>573013638788</t>
  </si>
  <si>
    <t>Enviado 18/2/2026, 11:25:06 a. m.</t>
  </si>
  <si>
    <t>Enviado 18/2/2026, 11:27:14 a. m.</t>
  </si>
  <si>
    <t>María Alejandra Conto quintero</t>
  </si>
  <si>
    <t>Enviado 18/2/2026, 12:13:40 p. m.</t>
  </si>
  <si>
    <t>maría fernanda Tatis</t>
  </si>
  <si>
    <t>573116881567</t>
  </si>
  <si>
    <t>Enviado 18/2/2026, 12:50:24 p. m.</t>
  </si>
  <si>
    <t>Enviado 18/2/2026, 12:59:00 p. m.</t>
  </si>
  <si>
    <t>Diego Rapalino</t>
  </si>
  <si>
    <t>17866725297</t>
  </si>
  <si>
    <t>Enviado 18/2/2026, 1:15:51 p. m.</t>
  </si>
  <si>
    <t>573002447555</t>
  </si>
  <si>
    <t>13:41</t>
  </si>
  <si>
    <t>Enviado 18/2/2026, 1:41:59 p. m.</t>
  </si>
  <si>
    <t>Jacky Troncoso Hernandez</t>
  </si>
  <si>
    <t>Enviado 18/2/2026, 1:45:37 p. m.</t>
  </si>
  <si>
    <t>ERNST &amp; YOUNG S A S empr</t>
  </si>
  <si>
    <t>72 | 92</t>
  </si>
  <si>
    <t>448300</t>
  </si>
  <si>
    <t>Enviado 18/2/2026, 1:50:50 p. m.</t>
  </si>
  <si>
    <t>Enviado 18/2/2026, 1:52:44 p. m.</t>
  </si>
  <si>
    <t>Enviado 18/2/2026, 2:38:33 p. m.</t>
  </si>
  <si>
    <t>Enviado 18/2/2026, 2:46:42 p. m.</t>
  </si>
  <si>
    <t>Cristina Garcia</t>
  </si>
  <si>
    <t>5717862711105</t>
  </si>
  <si>
    <t>Enviado 18/2/2026, 3:02:40 p. m.</t>
  </si>
  <si>
    <t>Jhon Barranco Camargo</t>
  </si>
  <si>
    <t>Enviado 18/2/2026, 3:04:41 p. m.</t>
  </si>
  <si>
    <t>15:15</t>
  </si>
  <si>
    <t>Enviado 18/2/2026, 3:16:00 p. m.</t>
  </si>
  <si>
    <t>Luis Robles</t>
  </si>
  <si>
    <t>573183495776</t>
  </si>
  <si>
    <t>Lesly Domínguez</t>
  </si>
  <si>
    <t>Enviado 18/2/2026, 3:18:22 p. m.</t>
  </si>
  <si>
    <t>liseth vargas</t>
  </si>
  <si>
    <t>573017395185</t>
  </si>
  <si>
    <t>Enviado 18/2/2026, 3:29:17 p. m.</t>
  </si>
  <si>
    <t>426200</t>
  </si>
  <si>
    <t>Enviado 18/2/2026, 3:48:44 p. m.</t>
  </si>
  <si>
    <t>39800</t>
  </si>
  <si>
    <t>Enviado 18/2/2026, 5:01:18 p. m.</t>
  </si>
  <si>
    <t>Juan David Samaniego</t>
  </si>
  <si>
    <t>572123900256</t>
  </si>
  <si>
    <t>Enviado 18/2/2026, 5:07:21 p. m.</t>
  </si>
  <si>
    <t>51 | 90</t>
  </si>
  <si>
    <t>Enviado 18/2/2026, 5:09:08 p. m.</t>
  </si>
  <si>
    <t>Enviado 18/2/2026, 5:28:34 p. m.</t>
  </si>
  <si>
    <t>Enviado 18/2/2026, 6:01:18 p. m.</t>
  </si>
  <si>
    <t>Enviado 18/2/2026, 6:05:40 p. m.</t>
  </si>
  <si>
    <t>Ana Arteta</t>
  </si>
  <si>
    <t>325000</t>
  </si>
  <si>
    <t>18:06</t>
  </si>
  <si>
    <t>Enviado 18/2/2026, 6:07:25 p. m.</t>
  </si>
  <si>
    <t>Maria Mendoza</t>
  </si>
  <si>
    <t>18:14</t>
  </si>
  <si>
    <t>Enviado 18/2/2026, 6:15:22 p. m.</t>
  </si>
  <si>
    <t>07:11</t>
  </si>
  <si>
    <t>Enviado 19/2/2026, 7:11:58 a. m.</t>
  </si>
  <si>
    <t>Enviado 19/2/2026, 7:14:21 a. m.</t>
  </si>
  <si>
    <t>Enviado 19/2/2026, 7:43:46 a. m.</t>
  </si>
  <si>
    <t>Enviado 19/2/2026, 8:38:03 a. m.</t>
  </si>
  <si>
    <t>Carlos Alzate</t>
  </si>
  <si>
    <t>Enviado 19/2/2026, 8:54:17 a. m.</t>
  </si>
  <si>
    <t>188500</t>
  </si>
  <si>
    <t>Enviado 19/2/2026, 8:58:06 a. m.</t>
  </si>
  <si>
    <t>gloria adarve montes</t>
  </si>
  <si>
    <t>Enviado 19/2/2026, 9:04:04 a. m.</t>
  </si>
  <si>
    <t>Enviado 19/2/2026, 9:21:03 a. m.</t>
  </si>
  <si>
    <t>Angelie Ponce</t>
  </si>
  <si>
    <t>Enviado 19/2/2026, 9:47:07 a. m.</t>
  </si>
  <si>
    <t>Enviado 19/2/2026, 9:53:20 a. m.</t>
  </si>
  <si>
    <t>Juan Ramos</t>
  </si>
  <si>
    <t>Enviado 19/2/2026, 10:12:56 a. m.</t>
  </si>
  <si>
    <t>Carlos Jimenez</t>
  </si>
  <si>
    <t>Enviado 19/2/2026, 10:16:16 a. m.</t>
  </si>
  <si>
    <t>Enviado 19/2/2026, 10:39:29 a. m.</t>
  </si>
  <si>
    <t>Enviado 19/2/2026, 10:42:25 a. m.</t>
  </si>
  <si>
    <t>Jose Mariño</t>
  </si>
  <si>
    <t>Enviado 19/2/2026, 11:11:56 a. m.</t>
  </si>
  <si>
    <t>MARIA ANGELICA FERNANDEZ GUEVARA</t>
  </si>
  <si>
    <t>17863182184</t>
  </si>
  <si>
    <t>Valentina Padròn</t>
  </si>
  <si>
    <t>Enviado 19/2/2026, 11:26:40 a. m.</t>
  </si>
  <si>
    <t>Maria Angelica Bula</t>
  </si>
  <si>
    <t>573005396796</t>
  </si>
  <si>
    <t>Vivian Amín</t>
  </si>
  <si>
    <t>Enviado 19/2/2026, 11:41:45 a. m.</t>
  </si>
  <si>
    <t>Enviado 19/2/2026, 11:49:18 a. m.</t>
  </si>
  <si>
    <t>Enviado 19/2/2026, 12:22:59 p. m.</t>
  </si>
  <si>
    <t>Enviado 19/2/2026, 12:49:29 p. m.</t>
  </si>
  <si>
    <t>Itsvan Hurtado</t>
  </si>
  <si>
    <t>13:13</t>
  </si>
  <si>
    <t>Enviado 19/2/2026, 1:13:57 p. m.</t>
  </si>
  <si>
    <t>Enviado 19/2/2026, 1:25:22 p. m.</t>
  </si>
  <si>
    <t>Enviado 19/2/2026, 1:30:25 p. m.</t>
  </si>
  <si>
    <t>Enviado 19/2/2026, 2:23:20 p. m.</t>
  </si>
  <si>
    <t>Yesenia cantillo</t>
  </si>
  <si>
    <t>573145933711</t>
  </si>
  <si>
    <t>hermanos Cantillo Rosales</t>
  </si>
  <si>
    <t>Enviado 19/2/2026, 2:32:41 p. m.</t>
  </si>
  <si>
    <t>Parque y Grama Construcciones e</t>
  </si>
  <si>
    <t>351300</t>
  </si>
  <si>
    <t>Enviado 19/2/2026, 2:35:10 p. m.</t>
  </si>
  <si>
    <t>Paola Pérez</t>
  </si>
  <si>
    <t>Enviado 19/2/2026, 3:26:02 p. m.</t>
  </si>
  <si>
    <t>Cristina Posada</t>
  </si>
  <si>
    <t>Enviado 19/2/2026, 3:28:17 p. m.</t>
  </si>
  <si>
    <t>Enviado 19/2/2026, 3:35:58 p. m.</t>
  </si>
  <si>
    <t>Martha Moreu de Acevedo</t>
  </si>
  <si>
    <t>573157267202</t>
  </si>
  <si>
    <t>Mireya Caballero de García</t>
  </si>
  <si>
    <t>Enviado 19/2/2026, 3:38:50 p. m.</t>
  </si>
  <si>
    <t>Enviado 19/2/2026, 3:58:05 p. m.</t>
  </si>
  <si>
    <t>Enviado 19/2/2026, 4:13:04 p. m.</t>
  </si>
  <si>
    <t>Enviado 19/2/2026, 4:13:32 p. m.</t>
  </si>
  <si>
    <t>Enviado 19/2/2026, 4:13:50 p. m.</t>
  </si>
  <si>
    <t>66000</t>
  </si>
  <si>
    <t>Enviado 19/2/2026, 4:32:03 p. m.</t>
  </si>
  <si>
    <t>Enviado 19/2/2026, 4:57:24 p. m.</t>
  </si>
  <si>
    <t>WEDO INVERSIONES S.A.S ,</t>
  </si>
  <si>
    <t>47000</t>
  </si>
  <si>
    <t>Enviado 19/2/2026, 5:07:04 p. m.</t>
  </si>
  <si>
    <t>Maria Vasquez</t>
  </si>
  <si>
    <t>17:28</t>
  </si>
  <si>
    <t>Enviado 19/2/2026, 5:29:10 p. m.</t>
  </si>
  <si>
    <t>Enviado 19/2/2026, 5:46:41 p. m.</t>
  </si>
  <si>
    <t>HOT AMERICAS FAVORITE PIZZA SAS ,</t>
  </si>
  <si>
    <t>18:25</t>
  </si>
  <si>
    <t>Enviado 19/2/2026, 6:26:09 p. m.</t>
  </si>
  <si>
    <t>Enviado 19/2/2026, 6:29:23 p. m.</t>
  </si>
  <si>
    <t>Milton Vega</t>
  </si>
  <si>
    <t>57 | 5</t>
  </si>
  <si>
    <t>382000</t>
  </si>
  <si>
    <t>06:50</t>
  </si>
  <si>
    <t>Enviado 20/2/2026, 6:51:04 a. m.</t>
  </si>
  <si>
    <t>Enviado 20/2/2026, 6:58:06 a. m.</t>
  </si>
  <si>
    <t>Keily Gordillo</t>
  </si>
  <si>
    <t>Enviado 20/2/2026, 7:04:24 a. m.</t>
  </si>
  <si>
    <t>Angelo Chávez</t>
  </si>
  <si>
    <t>573004780247</t>
  </si>
  <si>
    <t>Enviado 20/2/2026, 9:06:04 a. m.</t>
  </si>
  <si>
    <t>Enviado 20/2/2026, 9:14:05 a. m.</t>
  </si>
  <si>
    <t>kevin mendoza</t>
  </si>
  <si>
    <t>Enviado 20/2/2026, 9:20:52 a. m.</t>
  </si>
  <si>
    <t>Marco Tulio Guzman Martinez</t>
  </si>
  <si>
    <t>573185149343</t>
  </si>
  <si>
    <t>Michelle Susana Durán Smalbach</t>
  </si>
  <si>
    <t>Enviado 20/2/2026, 9:43:33 a. m.</t>
  </si>
  <si>
    <t>Enviado 20/2/2026, 9:48:51 a. m.</t>
  </si>
  <si>
    <t>CARLOS DAZA</t>
  </si>
  <si>
    <t>Enviado 20/2/2026, 10:09:59 a. m.</t>
  </si>
  <si>
    <t>Enviado 20/2/2026, 10:26:17 a. m.</t>
  </si>
  <si>
    <t>Maria Jose Gutierrez</t>
  </si>
  <si>
    <t>10:46</t>
  </si>
  <si>
    <t>Enviado 20/2/2026, 10:47:08 a. m.</t>
  </si>
  <si>
    <t>Enviado 20/2/2026, 11:24:26 a. m.</t>
  </si>
  <si>
    <t>Enviado 20/2/2026, 11:33:10 a. m.</t>
  </si>
  <si>
    <t>Amy Montenegro</t>
  </si>
  <si>
    <t>Enviado 20/2/2026, 11:34:56 a. m.</t>
  </si>
  <si>
    <t>Ernesto Perez</t>
  </si>
  <si>
    <t>Enviado 20/2/2026, 11:55:54 a. m.</t>
  </si>
  <si>
    <t>Isaac Hormiga</t>
  </si>
  <si>
    <t>Enviado 20/2/2026, 12:15:08 p. m.</t>
  </si>
  <si>
    <t>Daniel José Rico García</t>
  </si>
  <si>
    <t>Enviado 20/2/2026, 1:01:57 p. m.</t>
  </si>
  <si>
    <t>Jorge Rojas</t>
  </si>
  <si>
    <t>573143383601</t>
  </si>
  <si>
    <t>Enviado 20/2/2026, 1:04:30 p. m.</t>
  </si>
  <si>
    <t>Jean Lequerica</t>
  </si>
  <si>
    <t>573115813885</t>
  </si>
  <si>
    <t>Enviado 20/2/2026, 1:23:32 p. m.</t>
  </si>
  <si>
    <t>Isaac David Escobar Suarez</t>
  </si>
  <si>
    <t>Enviado 20/2/2026, 1:24:56 p. m.</t>
  </si>
  <si>
    <t>Enviado 20/2/2026, 1:42:52 p. m.</t>
  </si>
  <si>
    <t>573008183491</t>
  </si>
  <si>
    <t>14:59</t>
  </si>
  <si>
    <t>Enviado 20/2/2026, 3:00:43 p. m.</t>
  </si>
  <si>
    <t>Felipe Berrio</t>
  </si>
  <si>
    <t>Enviado 20/2/2026, 3:24:27 p. m.</t>
  </si>
  <si>
    <t>Escarly Miranda Díaz</t>
  </si>
  <si>
    <t>Enviado 20/2/2026, 3:29:43 p. m.</t>
  </si>
  <si>
    <t>Jhoynnier Rosado</t>
  </si>
  <si>
    <t>Enviado 20/2/2026, 3:51:18 p. m.</t>
  </si>
  <si>
    <t>Santiago Cortes</t>
  </si>
  <si>
    <t>Enviado 20/2/2026, 3:53:37 p. m.</t>
  </si>
  <si>
    <t>Javier Villa</t>
  </si>
  <si>
    <t>15:59</t>
  </si>
  <si>
    <t>Enviado 20/2/2026, 4:00:01 p. m.</t>
  </si>
  <si>
    <t>Andrés León</t>
  </si>
  <si>
    <t>573225394629</t>
  </si>
  <si>
    <t>Enviado 20/2/2026, 4:14:46 p. m.</t>
  </si>
  <si>
    <t>Jeisson Noya</t>
  </si>
  <si>
    <t>Enviado 20/2/2026, 4:22:52 p. m.</t>
  </si>
  <si>
    <t>diala hanna</t>
  </si>
  <si>
    <t>16:41</t>
  </si>
  <si>
    <t>Enviado 20/2/2026, 4:42:13 p. m.</t>
  </si>
  <si>
    <t>Vanessa Fragozo</t>
  </si>
  <si>
    <t>7 | 90</t>
  </si>
  <si>
    <t>Enviado 20/2/2026, 4:46:09 p. m.</t>
  </si>
  <si>
    <t>Enviado 20/2/2026, 4:52:12 p. m.</t>
  </si>
  <si>
    <t>820000</t>
  </si>
  <si>
    <t>Enviado 20/2/2026, 5:00:57 p. m.</t>
  </si>
  <si>
    <t>Enviado 20/2/2026, 6:03:27 p. m.</t>
  </si>
  <si>
    <t>Juan Carlos Durante</t>
  </si>
  <si>
    <t>52 | 89</t>
  </si>
  <si>
    <t>Enviado 21/2/2026, 8:12:06 a. m.</t>
  </si>
  <si>
    <t>Claudia Jurado</t>
  </si>
  <si>
    <t>428000</t>
  </si>
  <si>
    <t>Enviado 21/2/2026, 8:35:09 a. m.</t>
  </si>
  <si>
    <t>Enviado 21/2/2026, 8:48:45 a. m.</t>
  </si>
  <si>
    <t>Abraham Gonzalez</t>
  </si>
  <si>
    <t>429000</t>
  </si>
  <si>
    <t>Enviado 21/2/2026, 8:59:36 a. m.</t>
  </si>
  <si>
    <t>Julieth Polo</t>
  </si>
  <si>
    <t>573005061277</t>
  </si>
  <si>
    <t>76 | 78</t>
  </si>
  <si>
    <t>1040000</t>
  </si>
  <si>
    <t>Enviado 21/2/2026, 9:33:31 a. m.</t>
  </si>
  <si>
    <t>573177436166</t>
  </si>
  <si>
    <t>Enviado 21/2/2026, 9:45:23 a. m.</t>
  </si>
  <si>
    <t>573007881975</t>
  </si>
  <si>
    <t>Enviado 21/2/2026, 9:50:08 a. m.</t>
  </si>
  <si>
    <t>Enviado 21/2/2026, 10:20:31 a. m.</t>
  </si>
  <si>
    <t>573154014269</t>
  </si>
  <si>
    <t>Enviado 21/2/2026, 10:32:13 a. m.</t>
  </si>
  <si>
    <t>Carlo Avila Muñoz</t>
  </si>
  <si>
    <t>Enviado 21/2/2026, 10:34:03 a. m.</t>
  </si>
  <si>
    <t>573008019940</t>
  </si>
  <si>
    <t>Enviado 21/2/2026, 11:22:01 a. m.</t>
  </si>
  <si>
    <t>573007261699</t>
  </si>
  <si>
    <t>Enviado 21/2/2026, 11:45:49 a. m.</t>
  </si>
  <si>
    <t>573013984286</t>
  </si>
  <si>
    <t>Enviado 21/2/2026, 11:59:15 a. m.</t>
  </si>
  <si>
    <t>Enviado 21/2/2026, 12:07:11 p. m.</t>
  </si>
  <si>
    <t>Enviado 21/2/2026, 12:18:32 p. m.</t>
  </si>
  <si>
    <t>Gabriela Bornacelli Jubiz</t>
  </si>
  <si>
    <t>573113533859</t>
  </si>
  <si>
    <t>Enviado 21/2/2026, 12:26:41 p. m.</t>
  </si>
  <si>
    <t>Enviado 21/2/2026, 12:33:16 p. m.</t>
  </si>
  <si>
    <t>Gisely López</t>
  </si>
  <si>
    <t>573243330422</t>
  </si>
  <si>
    <t>Alejandra Hernández</t>
  </si>
  <si>
    <t>Enviado 21/2/2026, 1:04:10 p. m.</t>
  </si>
  <si>
    <t>LUIS HEILBRON</t>
  </si>
  <si>
    <t>Enviado 21/2/2026, 1:09:29 p. m.</t>
  </si>
  <si>
    <t>56000</t>
  </si>
  <si>
    <t>Enviado 21/2/2026, 1:46:16 p. m.</t>
  </si>
  <si>
    <t>Enviado 21/2/2026, 2:08:38 p. m.</t>
  </si>
  <si>
    <t>Enviado 21/2/2026, 2:16:25 p. m.</t>
  </si>
  <si>
    <t>Sheila Jimenez</t>
  </si>
  <si>
    <t>500000</t>
  </si>
  <si>
    <t>Enviado 21/2/2026, 2:20:24 p. m.</t>
  </si>
  <si>
    <t>573008904562</t>
  </si>
  <si>
    <t>Enviado 21/2/2026, 2:43:11 p. m.</t>
  </si>
  <si>
    <t>Jonathan Garcia Campo</t>
  </si>
  <si>
    <t>14:45</t>
  </si>
  <si>
    <t>Enviado 21/2/2026, 2:46:11 p. m.</t>
  </si>
  <si>
    <t>Enviado 21/2/2026, 3:29:45 p. m.</t>
  </si>
  <si>
    <t>Enviado 21/2/2026, 4:07:19 p. m.</t>
  </si>
  <si>
    <t>Enviado 21/2/2026, 4:16:01 p. m.</t>
  </si>
  <si>
    <t>Enviado 21/2/2026, 4:25:34 p. m.</t>
  </si>
  <si>
    <t>maria jose orozco</t>
  </si>
  <si>
    <t>Enviado 21/2/2026, 4:51:00 p. m.</t>
  </si>
  <si>
    <t>Enviado 21/2/2026, 4:55:54 p. m.</t>
  </si>
  <si>
    <t>573153539732</t>
  </si>
  <si>
    <t>Enviado 21/2/2026, 5:03:15 p. m.</t>
  </si>
  <si>
    <t>Lisseth Falcon</t>
  </si>
  <si>
    <t>Enviado 21/2/2026, 5:05:08 p. m.</t>
  </si>
  <si>
    <t>Enviado 21/2/2026, 5:18:45 p. m.</t>
  </si>
  <si>
    <t>Juliana González</t>
  </si>
  <si>
    <t>Enviado 23/2/2026, 7:52:55 a. m.</t>
  </si>
  <si>
    <t>Lueidis Cabana</t>
  </si>
  <si>
    <t>Enviado 23/2/2026, 8:51:28 a. m.</t>
  </si>
  <si>
    <t>Enviado 23/2/2026, 9:05:11 a. m.</t>
  </si>
  <si>
    <t>Isabella Danies</t>
  </si>
  <si>
    <t>Enviado 23/2/2026, 9:25:41 a. m.</t>
  </si>
  <si>
    <t>Veronica Santos</t>
  </si>
  <si>
    <t>Enviado 23/2/2026, 9:27:22 a. m.</t>
  </si>
  <si>
    <t>Claudia Rincón Sarmiento</t>
  </si>
  <si>
    <t>Enviado 23/2/2026, 9:57:36 a. m.</t>
  </si>
  <si>
    <t>Danielle Bojanini</t>
  </si>
  <si>
    <t>Enviado 23/2/2026, 10:11:49 a. m.</t>
  </si>
  <si>
    <t>Pauleth Pastrana</t>
  </si>
  <si>
    <t>Luzday Nensoza</t>
  </si>
  <si>
    <t>20 | 90</t>
  </si>
  <si>
    <t>Enviado 23/2/2026, 10:26:23 a. m.</t>
  </si>
  <si>
    <t>Enviado 23/2/2026, 10:28:02 a. m.</t>
  </si>
  <si>
    <t xml:space="preserve">Jennyffer Trens </t>
  </si>
  <si>
    <t>Fabian Martinez</t>
  </si>
  <si>
    <t>Enviado 23/2/2026, 10:31:01 a. m.</t>
  </si>
  <si>
    <t>573163044463</t>
  </si>
  <si>
    <t>Enviado 23/2/2026, 10:59:03 a. m.</t>
  </si>
  <si>
    <t>Enviado 23/2/2026, 11:01:49 a. m.</t>
  </si>
  <si>
    <t>Silvana Vega</t>
  </si>
  <si>
    <t>Enviado 23/2/2026, 11:03:31 a. m.</t>
  </si>
  <si>
    <t>Francisco Pérez</t>
  </si>
  <si>
    <t>calle 94#51B-57 oficina 303lean solutions grup. - Edificio</t>
  </si>
  <si>
    <t>Enviado 23/2/2026, 11:13:15 a. m.</t>
  </si>
  <si>
    <t>57500</t>
  </si>
  <si>
    <t>Enviado 7/3/2026, 5:16:55 p. m.</t>
  </si>
  <si>
    <t>Angelo Morales</t>
  </si>
  <si>
    <t>Enviado 23/2/2026, 12:26:49 p. m.</t>
  </si>
  <si>
    <t>Ariana Anonimo</t>
  </si>
  <si>
    <t>17000</t>
  </si>
  <si>
    <t>Enviado 23/2/2026, 12:31:44 p. m.</t>
  </si>
  <si>
    <t>Daniela Martinez Villalba</t>
  </si>
  <si>
    <t>Enviado 23/2/2026, 12:32:22 p. m.</t>
  </si>
  <si>
    <t>Vilma Molina</t>
  </si>
  <si>
    <t>Enviado 23/2/2026, 1:03:39 p. m.</t>
  </si>
  <si>
    <t>Zone 6</t>
  </si>
  <si>
    <t>Carolina Lora</t>
  </si>
  <si>
    <t>Enviado 23/2/2026, 1:30:35 p. m.</t>
  </si>
  <si>
    <t>Enviado 23/2/2026, 2:09:06 p. m.</t>
  </si>
  <si>
    <t>Enviado 23/2/2026, 2:47:35 p. m.</t>
  </si>
  <si>
    <t>Paolo Raffaele Del Vecchio Chamie</t>
  </si>
  <si>
    <t>573197604194</t>
  </si>
  <si>
    <t>Enviado 23/2/2026, 3:01:55 p. m.</t>
  </si>
  <si>
    <t>Enviado 23/2/2026, 3:07:16 p. m.</t>
  </si>
  <si>
    <t>Enviado 23/2/2026, 3:23:38 p. m.</t>
  </si>
  <si>
    <t>Suad Yidios</t>
  </si>
  <si>
    <t>Enviado 23/2/2026, 3:46:36 p. m.</t>
  </si>
  <si>
    <t>16:25</t>
  </si>
  <si>
    <t>Enviado 23/2/2026, 4:26:33 p. m.</t>
  </si>
  <si>
    <t>Enviado 23/2/2026, 4:46:56 p. m.</t>
  </si>
  <si>
    <t>Enviado 23/2/2026, 6:07:03 p. m.</t>
  </si>
  <si>
    <t>573148903107</t>
  </si>
  <si>
    <t>54000</t>
  </si>
  <si>
    <t>Enviado 23/2/2026, 6:09:21 p. m.</t>
  </si>
  <si>
    <t>Enviado 24/2/2026, 8:05:18 a. m.</t>
  </si>
  <si>
    <t>Dawing Navarro</t>
  </si>
  <si>
    <t>Enviado 24/2/2026, 8:35:30 a. m.</t>
  </si>
  <si>
    <t>Enviado 24/2/2026, 8:55:27 a. m.</t>
  </si>
  <si>
    <t>Felipe Medina</t>
  </si>
  <si>
    <t>Enviado 24/2/2026, 9:07:09 a. m.</t>
  </si>
  <si>
    <t>Inés Lindarte</t>
  </si>
  <si>
    <t>Enviado 24/2/2026, 9:34:24 a. m.</t>
  </si>
  <si>
    <t>Valeria Nieto ADIE</t>
  </si>
  <si>
    <t>Carrera 58#81-15 edificio unique apto 20 - Edificio</t>
  </si>
  <si>
    <t>Enviado 24/2/2026, 9:49:18 a. m.</t>
  </si>
  <si>
    <t>Enviado 24/2/2026, 10:47:52 a. m.</t>
  </si>
  <si>
    <t>Gabriella Senior</t>
  </si>
  <si>
    <t>Enviado 24/2/2026, 10:55:50 a. m.</t>
  </si>
  <si>
    <t>Daniel Serrano</t>
  </si>
  <si>
    <t>573185216279</t>
  </si>
  <si>
    <t>Rochy mindiola</t>
  </si>
  <si>
    <t>Enviado 24/2/2026, 11:15:44 a. m.</t>
  </si>
  <si>
    <t>573209485304</t>
  </si>
  <si>
    <t>Enviado 24/2/2026, 11:21:30 a. m.</t>
  </si>
  <si>
    <t>Enviado 24/2/2026, 11:28:55 a. m.</t>
  </si>
  <si>
    <t>Enviado 24/2/2026, 12:04:30 p. m.</t>
  </si>
  <si>
    <t>Steffano Colonna Ortiz</t>
  </si>
  <si>
    <t>Calle 72C #26B-26 - Casa</t>
  </si>
  <si>
    <t>Enviado 24/2/2026, 12:10:11 p. m.</t>
  </si>
  <si>
    <t>estefanía robayo</t>
  </si>
  <si>
    <t>Enviado 24/2/2026, 12:35:05 p. m.</t>
  </si>
  <si>
    <t>5719723332888</t>
  </si>
  <si>
    <t>Enviado 24/2/2026, 1:03:16 p. m.</t>
  </si>
  <si>
    <t>577161</t>
  </si>
  <si>
    <t>Enviado 24/2/2026, 1:13:07 p. m.</t>
  </si>
  <si>
    <t>Silvio Arcieri</t>
  </si>
  <si>
    <t>Enviado 24/2/2026, 1:15:31 p. m.</t>
  </si>
  <si>
    <t>13:26</t>
  </si>
  <si>
    <t>Enviado 24/2/2026, 1:27:27 p. m.</t>
  </si>
  <si>
    <t>Geraldine Rojas</t>
  </si>
  <si>
    <t>Enviado 24/2/2026, 1:41:04 p. m.</t>
  </si>
  <si>
    <t>Oscar Iván Argüelles Villezca</t>
  </si>
  <si>
    <t>Enviado 24/2/2026, 3:01:18 p. m.</t>
  </si>
  <si>
    <t>Frank BONNETT CABALLERO</t>
  </si>
  <si>
    <t>Enviado 24/2/2026, 3:05:27 p. m.</t>
  </si>
  <si>
    <t>Enviado 24/2/2026, 3:12:54 p. m.</t>
  </si>
  <si>
    <t>Molinos del atlantico sas</t>
  </si>
  <si>
    <t>573158524692</t>
  </si>
  <si>
    <t>186500</t>
  </si>
  <si>
    <t>Enviado 24/2/2026, 3:16:21 p. m.</t>
  </si>
  <si>
    <t>jimmy jimenez</t>
  </si>
  <si>
    <t>Enviado 24/2/2026, 3:19:44 p. m.</t>
  </si>
  <si>
    <t>Vanessa Caicedo</t>
  </si>
  <si>
    <t>573014722689</t>
  </si>
  <si>
    <t>385000</t>
  </si>
  <si>
    <t>Enviado 24/2/2026, 3:58:44 p. m.</t>
  </si>
  <si>
    <t>Enviado 24/2/2026, 3:59:10 p. m.</t>
  </si>
  <si>
    <t>Enviado 24/2/2026, 4:25:51 p. m.</t>
  </si>
  <si>
    <t>Juan Pablo Benitez Gonzalez</t>
  </si>
  <si>
    <t>Enviado 24/2/2026, 4:34:35 p. m.</t>
  </si>
  <si>
    <t>Yuliana Gallardo</t>
  </si>
  <si>
    <t>573006723153</t>
  </si>
  <si>
    <t>Flor Jiménez</t>
  </si>
  <si>
    <t>315000</t>
  </si>
  <si>
    <t>Enviado 24/2/2026, 4:43:55 p. m.</t>
  </si>
  <si>
    <t>Tatiana Rincón</t>
  </si>
  <si>
    <t>Enviado 24/2/2026, 5:05:46 p. m.</t>
  </si>
  <si>
    <t>Angelica Ramirez</t>
  </si>
  <si>
    <t>13235420686</t>
  </si>
  <si>
    <t>437000</t>
  </si>
  <si>
    <t>Enviado 24/2/2026, 5:13:15 p. m.</t>
  </si>
  <si>
    <t>Enviado 24/2/2026, 5:16:31 p. m.</t>
  </si>
  <si>
    <t>Jorman Durán</t>
  </si>
  <si>
    <t>Enviado 24/2/2026, 5:52:56 p. m.</t>
  </si>
  <si>
    <t>Enviado 24/2/2026, 6:04:40 p. m.</t>
  </si>
  <si>
    <t>577037989675</t>
  </si>
  <si>
    <t>Enviado 25/2/2026, 7:32:36 a. m.</t>
  </si>
  <si>
    <t>Enviado 25/2/2026, 7:40:05 a. m.</t>
  </si>
  <si>
    <t>José Camacho</t>
  </si>
  <si>
    <t>573013293631</t>
  </si>
  <si>
    <t>Esthefany Arrieta</t>
  </si>
  <si>
    <t>Enviado 25/2/2026, 8:38:54 a. m.</t>
  </si>
  <si>
    <t>Enviado 25/2/2026, 8:52:31 a. m.</t>
  </si>
  <si>
    <t>alexandra tarud</t>
  </si>
  <si>
    <t>Enviado 25/2/2026, 9:07:24 a. m.</t>
  </si>
  <si>
    <t>Daniel Vergara</t>
  </si>
  <si>
    <t>Enviado 25/2/2026, 9:27:23 a. m.</t>
  </si>
  <si>
    <t>jose luis Varon</t>
  </si>
  <si>
    <t>Enviado 25/2/2026, 10:09:35 a. m.</t>
  </si>
  <si>
    <t>Nicolas Gomez</t>
  </si>
  <si>
    <t>Enviado 25/2/2026, 10:40:53 a. m.</t>
  </si>
  <si>
    <t>Enviado 25/2/2026, 10:42:56 a. m.</t>
  </si>
  <si>
    <t>Valeri Galvis</t>
  </si>
  <si>
    <t>23 | 90</t>
  </si>
  <si>
    <t>256000</t>
  </si>
  <si>
    <t>Enviado 25/2/2026, 10:59:26 a. m.</t>
  </si>
  <si>
    <t>Enviado 25/2/2026, 11:37:20 a. m.</t>
  </si>
  <si>
    <t>Karina Gutiérrez Vizcaino</t>
  </si>
  <si>
    <t>Enviado 25/2/2026, 11:38:15 a. m.</t>
  </si>
  <si>
    <t>Stephanie Cecilia Diago Velasquez</t>
  </si>
  <si>
    <t>Enviado 25/2/2026, 11:50:16 a. m.</t>
  </si>
  <si>
    <t>56 | 92</t>
  </si>
  <si>
    <t>Enviado 25/2/2026, 11:52:21 a. m.</t>
  </si>
  <si>
    <t>Maria Elena Daza</t>
  </si>
  <si>
    <t>Enviado 25/2/2026, 11:55:47 a. m.</t>
  </si>
  <si>
    <t>Enviado 25/2/2026, 12:00:44 p. m.</t>
  </si>
  <si>
    <t>Enviado 25/2/2026, 12:17:19 p. m.</t>
  </si>
  <si>
    <t>118472260826</t>
  </si>
  <si>
    <t>Enviado 25/2/2026, 12:25:41 p. m.</t>
  </si>
  <si>
    <t>Maria jose Sanchez rojas</t>
  </si>
  <si>
    <t>Enviado 25/2/2026, 12:37:05 p. m.</t>
  </si>
  <si>
    <t>Jonnathan Once</t>
  </si>
  <si>
    <t>Enviado 25/2/2026, 12:53:59 p. m.</t>
  </si>
  <si>
    <t>Julieth Urrutia</t>
  </si>
  <si>
    <t>573003314770</t>
  </si>
  <si>
    <t>Enviado 25/2/2026, 1:04:27 p. m.</t>
  </si>
  <si>
    <t>Enviado 25/2/2026, 1:26:01 p. m.</t>
  </si>
  <si>
    <t>573114189941</t>
  </si>
  <si>
    <t>Enviado 25/2/2026, 1:44:49 p. m.</t>
  </si>
  <si>
    <t>Paula Coy Castro</t>
  </si>
  <si>
    <t>573156970868</t>
  </si>
  <si>
    <t>Enviado 25/2/2026, 1:49:55 p. m.</t>
  </si>
  <si>
    <t>573133673131</t>
  </si>
  <si>
    <t>Enviado 25/2/2026, 1:54:01 p. m.</t>
  </si>
  <si>
    <t>14:32</t>
  </si>
  <si>
    <t>Enviado 25/2/2026, 2:33:55 p. m.</t>
  </si>
  <si>
    <t>Enviado 25/2/2026, 2:48:54 p. m.</t>
  </si>
  <si>
    <t>Kathleen Hemer</t>
  </si>
  <si>
    <t>573106175375</t>
  </si>
  <si>
    <t>Gina Saavedra</t>
  </si>
  <si>
    <t>Enviado 25/2/2026, 2:58:52 p. m.</t>
  </si>
  <si>
    <t>Said Quintero</t>
  </si>
  <si>
    <t>Enviado 25/2/2026, 3:07:38 p. m.</t>
  </si>
  <si>
    <t>1300000</t>
  </si>
  <si>
    <t>Enviado 25/2/2026, 3:19:22 p. m.</t>
  </si>
  <si>
    <t>Genesis Miranda de la Rosa</t>
  </si>
  <si>
    <t>573004342758</t>
  </si>
  <si>
    <t>Enviado 25/2/2026, 3:37:23 p. m.</t>
  </si>
  <si>
    <t>Yesyca Chacon</t>
  </si>
  <si>
    <t>Enviado 25/2/2026, 3:40:52 p. m.</t>
  </si>
  <si>
    <t>573217530452</t>
  </si>
  <si>
    <t>214000</t>
  </si>
  <si>
    <t>Enviado 25/2/2026, 4:01:19 p. m.</t>
  </si>
  <si>
    <t>David Ariza Lopez</t>
  </si>
  <si>
    <t>573217810116</t>
  </si>
  <si>
    <t>Enviado 25/2/2026, 4:04:21 p. m.</t>
  </si>
  <si>
    <t>16:08</t>
  </si>
  <si>
    <t>Enviado 25/2/2026, 4:09:23 p. m.</t>
  </si>
  <si>
    <t>Enviado 25/2/2026, 4:18:35 p. m.</t>
  </si>
  <si>
    <t>Jorge Regino</t>
  </si>
  <si>
    <t>Enviado 25/2/2026, 4:48:11 p. m.</t>
  </si>
  <si>
    <t>Carolina de Los Ángeles Amesty de galvan</t>
  </si>
  <si>
    <t>274000</t>
  </si>
  <si>
    <t>Enviado 25/2/2026, 4:55:31 p. m.</t>
  </si>
  <si>
    <t>Tatiana Vargas</t>
  </si>
  <si>
    <t>Enviado 25/2/2026, 5:10:35 p. m.</t>
  </si>
  <si>
    <t>Comité Ejecutivo Seguros del Estado Empresa</t>
  </si>
  <si>
    <t>Enviado 25/2/2026, 5:53:47 p. m.</t>
  </si>
  <si>
    <t>Heidy Arrieta</t>
  </si>
  <si>
    <t>17:58</t>
  </si>
  <si>
    <t>Enviado 25/2/2026, 6:00:12 p. m.</t>
  </si>
  <si>
    <t>18:04</t>
  </si>
  <si>
    <t>Enviado 25/2/2026, 6:05:45 p. m.</t>
  </si>
  <si>
    <t>Enviado 25/2/2026, 6:19:44 p. m.</t>
  </si>
  <si>
    <t>Enviado 25/2/2026, 6:28:05 p. m.</t>
  </si>
  <si>
    <t>Luis Gonzalez</t>
  </si>
  <si>
    <t>Enviado 26/2/2026, 8:32:07 a. m.</t>
  </si>
  <si>
    <t>KLEID DRESS SHOP SAS EMP.</t>
  </si>
  <si>
    <t>208300</t>
  </si>
  <si>
    <t>Enviado 26/2/2026, 8:46:50 a. m.</t>
  </si>
  <si>
    <t>Diego A Rojas G</t>
  </si>
  <si>
    <t>Enviado 26/2/2026, 8:49:31 a. m.</t>
  </si>
  <si>
    <t>orlando habib</t>
  </si>
  <si>
    <t>20 | 82 | 81</t>
  </si>
  <si>
    <t>Enviado 26/2/2026, 9:26:59 a. m.</t>
  </si>
  <si>
    <t>Laura De Oro</t>
  </si>
  <si>
    <t>Enviado 26/2/2026, 9:34:06 a. m.</t>
  </si>
  <si>
    <t>Rene Puche</t>
  </si>
  <si>
    <t>Enviado 26/2/2026, 9:59:14 a. m.</t>
  </si>
  <si>
    <t>Gabriel Vega</t>
  </si>
  <si>
    <t>Enviado 26/2/2026, 10:23:21 a. m.</t>
  </si>
  <si>
    <t>Enviado 26/2/2026, 10:36:09 a. m.</t>
  </si>
  <si>
    <t>Enviado 26/2/2026, 11:04:33 a. m.</t>
  </si>
  <si>
    <t>javier Piñeres</t>
  </si>
  <si>
    <t>573005144626</t>
  </si>
  <si>
    <t>Laura Carolina moreno sandoval</t>
  </si>
  <si>
    <t>628000</t>
  </si>
  <si>
    <t>Enviado 26/2/2026, 11:17:42 a. m.</t>
  </si>
  <si>
    <t>Dubby Castro</t>
  </si>
  <si>
    <t>Enviado 26/2/2026, 11:18:29 a. m.</t>
  </si>
  <si>
    <t>Enviado 26/2/2026, 11:20:21 a. m.</t>
  </si>
  <si>
    <t>yamile consuegra</t>
  </si>
  <si>
    <t>467000</t>
  </si>
  <si>
    <t>Enviado 26/2/2026, 11:36:21 a. m.</t>
  </si>
  <si>
    <t>Natalia Cure</t>
  </si>
  <si>
    <t>Enviado 26/2/2026, 11:55:49 a. m.</t>
  </si>
  <si>
    <t>Rafael Santamaría</t>
  </si>
  <si>
    <t>Enviado 26/2/2026, 12:29:43 p. m.</t>
  </si>
  <si>
    <t>Enviado 26/2/2026, 1:19:53 p. m.</t>
  </si>
  <si>
    <t>José espinosa</t>
  </si>
  <si>
    <t>14:43</t>
  </si>
  <si>
    <t>Enviado 26/2/2026, 2:45:42 p. m.</t>
  </si>
  <si>
    <t>Saskia Vasilef</t>
  </si>
  <si>
    <t>558000</t>
  </si>
  <si>
    <t>Enviado 26/2/2026, 2:55:06 p. m.</t>
  </si>
  <si>
    <t>Enviado 26/2/2026, 3:15:40 p. m.</t>
  </si>
  <si>
    <t>Valentina Gandini</t>
  </si>
  <si>
    <t>Enviado 26/2/2026, 3:20:20 p. m.</t>
  </si>
  <si>
    <t>Andrés Castro</t>
  </si>
  <si>
    <t>Enviado 26/2/2026, 3:26:38 p. m.</t>
  </si>
  <si>
    <t>Lindsay Vega Angulo</t>
  </si>
  <si>
    <t>Enviado 26/2/2026, 3:29:31 p. m.</t>
  </si>
  <si>
    <t>Enviado 26/2/2026, 3:35:28 p. m.</t>
  </si>
  <si>
    <t>Carlos Calvacje</t>
  </si>
  <si>
    <t>71000</t>
  </si>
  <si>
    <t>Enviado 26/2/2026, 3:51:21 p. m.</t>
  </si>
  <si>
    <t>Francesca Citarella Polo</t>
  </si>
  <si>
    <t>573145964445</t>
  </si>
  <si>
    <t>Enviado 26/2/2026, 3:55:07 p. m.</t>
  </si>
  <si>
    <t>Martin Silvera</t>
  </si>
  <si>
    <t>Enviado 26/2/2026, 3:58:45 p. m.</t>
  </si>
  <si>
    <t>Enviado 26/2/2026, 4:39:47 p. m.</t>
  </si>
  <si>
    <t>maría mercedes martínez</t>
  </si>
  <si>
    <t>95 | 32</t>
  </si>
  <si>
    <t>326000</t>
  </si>
  <si>
    <t>Enviado 26/2/2026, 4:55:05 p. m.</t>
  </si>
  <si>
    <t>leny pava</t>
  </si>
  <si>
    <t>Enviado 26/2/2026, 5:06:40 p. m.</t>
  </si>
  <si>
    <t>Miguel Cure</t>
  </si>
  <si>
    <t>Enviado 26/2/2026, 5:13:23 p. m.</t>
  </si>
  <si>
    <t>FUNDACION SANTO DOMINGO M</t>
  </si>
  <si>
    <t>573003521368</t>
  </si>
  <si>
    <t>207400</t>
  </si>
  <si>
    <t>Enviado 26/2/2026, 5:21:42 p. m.</t>
  </si>
  <si>
    <t>573102709637</t>
  </si>
  <si>
    <t>17:48</t>
  </si>
  <si>
    <t>Enviado 26/2/2026, 5:50:33 p. m.</t>
  </si>
  <si>
    <t>Enviado 26/2/2026, 6:12:06 p. m.</t>
  </si>
  <si>
    <t>Enviado 26/2/2026, 6:13:08 p. m.</t>
  </si>
  <si>
    <t>18:12</t>
  </si>
  <si>
    <t>Enviado 26/2/2026, 6:13:52 p. m.</t>
  </si>
  <si>
    <t>Isabel Barreto Arrieta</t>
  </si>
  <si>
    <t>573022581676</t>
  </si>
  <si>
    <t>Isabel Barreto</t>
  </si>
  <si>
    <t>18:44</t>
  </si>
  <si>
    <t>Enviado 26/2/2026, 6:46:18 p. m.</t>
  </si>
  <si>
    <t>Fawzi Muvdi</t>
  </si>
  <si>
    <t>Enviado 27/2/2026, 7:38:52 a. m.</t>
  </si>
  <si>
    <t>Cristina Celia</t>
  </si>
  <si>
    <t>Enviado 27/2/2026, 7:50:48 a. m.</t>
  </si>
  <si>
    <t>07:53</t>
  </si>
  <si>
    <t>Enviado 27/2/2026, 7:55:18 a. m.</t>
  </si>
  <si>
    <t>Diego Marquez Santiago</t>
  </si>
  <si>
    <t>07:58</t>
  </si>
  <si>
    <t>Enviado 27/2/2026, 7:59:40 a. m.</t>
  </si>
  <si>
    <t>Maria Camila Pérez</t>
  </si>
  <si>
    <t>08:08</t>
  </si>
  <si>
    <t>Enviado 27/2/2026, 8:10:01 a. m.</t>
  </si>
  <si>
    <t>Sara Suárez Berdugo</t>
  </si>
  <si>
    <t>573173669050</t>
  </si>
  <si>
    <t>Enviado 27/2/2026, 8:49:00 a. m.</t>
  </si>
  <si>
    <t>Natalia Benitez</t>
  </si>
  <si>
    <t>08:56</t>
  </si>
  <si>
    <t>Enviado 27/2/2026, 8:57:54 a. m.</t>
  </si>
  <si>
    <t>Enviado 27/2/2026, 9:16:57 a. m.</t>
  </si>
  <si>
    <t>Enviado 27/2/2026, 9:27:52 a. m.</t>
  </si>
  <si>
    <t>Madelyne Polo Rodríguez</t>
  </si>
  <si>
    <t>Enviado 27/2/2026, 9:36:27 a. m.</t>
  </si>
  <si>
    <t>Enviado 27/2/2026, 10:19:16 a. m.</t>
  </si>
  <si>
    <t>José Naizzir</t>
  </si>
  <si>
    <t>Enviado 27/2/2026, 10:27:56 a. m.</t>
  </si>
  <si>
    <t>Enviado 27/2/2026, 10:40:39 a. m.</t>
  </si>
  <si>
    <t>Enviado 27/2/2026, 11:08:56 a. m.</t>
  </si>
  <si>
    <t>Sofía Hernández Hincapié</t>
  </si>
  <si>
    <t>Enviado 27/2/2026, 11:12:37 a. m.</t>
  </si>
  <si>
    <t>Valerie Senior</t>
  </si>
  <si>
    <t>Enviado 27/2/2026, 11:33:01 a. m.</t>
  </si>
  <si>
    <t>Deybeth Gómez Imitola</t>
  </si>
  <si>
    <t>Enviado 27/2/2026, 12:09:25 p. m.</t>
  </si>
  <si>
    <t>Elisa Gonzalez</t>
  </si>
  <si>
    <t>Enviado 27/2/2026, 12:16:16 p. m.</t>
  </si>
  <si>
    <t>Enviado 27/2/2026, 12:51:14 p. m.</t>
  </si>
  <si>
    <t>Andrea Contreras</t>
  </si>
  <si>
    <t>12:59</t>
  </si>
  <si>
    <t>Enviado 27/2/2026, 1:01:50 p. m.</t>
  </si>
  <si>
    <t>Enviado 27/2/2026, 1:22:14 p. m.</t>
  </si>
  <si>
    <t>Enviado 27/2/2026, 1:34:26 p. m.</t>
  </si>
  <si>
    <t>Marialix Munoz</t>
  </si>
  <si>
    <t>16025289753</t>
  </si>
  <si>
    <t>14:18</t>
  </si>
  <si>
    <t>Enviado 27/2/2026, 2:20:24 p. m.</t>
  </si>
  <si>
    <t>Esteban .</t>
  </si>
  <si>
    <t>573160574541</t>
  </si>
  <si>
    <t>Kattya</t>
  </si>
  <si>
    <t>Enviado 27/2/2026, 2:22:35 p. m.</t>
  </si>
  <si>
    <t>Lala Garcia</t>
  </si>
  <si>
    <t>Enviado 27/2/2026, 2:34:15 p. m.</t>
  </si>
  <si>
    <t>Barina Perez</t>
  </si>
  <si>
    <t>Enviado 27/2/2026, 2:43:01 p. m.</t>
  </si>
  <si>
    <t>edgar barcenas</t>
  </si>
  <si>
    <t>Enviado 27/2/2026, 3:46:53 p. m.</t>
  </si>
  <si>
    <t>tomas garcia</t>
  </si>
  <si>
    <t>573176789672</t>
  </si>
  <si>
    <t>Enviado 27/2/2026, 3:56:50 p. m.</t>
  </si>
  <si>
    <t>573022685523</t>
  </si>
  <si>
    <t>Enviado 27/2/2026, 4:00:11 p. m.</t>
  </si>
  <si>
    <t>pedro donado</t>
  </si>
  <si>
    <t>Enviado 27/2/2026, 4:07:12 p. m.</t>
  </si>
  <si>
    <t>573152532340</t>
  </si>
  <si>
    <t>Enviado 27/2/2026, 4:43:15 p. m.</t>
  </si>
  <si>
    <t>Freider Andres Prada Sanmiguel</t>
  </si>
  <si>
    <t>Enviado 27/2/2026, 4:46:48 p. m.</t>
  </si>
  <si>
    <t>willian daza</t>
  </si>
  <si>
    <t>Enviado 27/2/2026, 5:03:19 p. m.</t>
  </si>
  <si>
    <t>Enviado 27/2/2026, 5:43:37 p. m.</t>
  </si>
  <si>
    <t>Maria Lucia Rodriguez</t>
  </si>
  <si>
    <t>Enviado 27/2/2026, 5:50:35 p. m.</t>
  </si>
  <si>
    <t>Enviado 27/2/2026, 6:13:29 p. m.</t>
  </si>
  <si>
    <t xml:space="preserve">maria carolina navarro </t>
  </si>
  <si>
    <t>Enviado 27/2/2026, 6:36:37 p. m.</t>
  </si>
  <si>
    <t>Jeason Rodelo</t>
  </si>
  <si>
    <t>18:50</t>
  </si>
  <si>
    <t>Enviado 27/2/2026, 6:52:22 p. m.</t>
  </si>
  <si>
    <t>Paula Barcelo</t>
  </si>
  <si>
    <t>19:02</t>
  </si>
  <si>
    <t>Enviado 27/2/2026, 7:04:09 p. m.</t>
  </si>
  <si>
    <t xml:space="preserve">Luigi Aronna </t>
  </si>
  <si>
    <t>573166212722</t>
  </si>
  <si>
    <t>95 | 52</t>
  </si>
  <si>
    <t>19:27</t>
  </si>
  <si>
    <t>Enviado 27/2/2026, 7:29:22 p. m.</t>
  </si>
  <si>
    <t xml:space="preserve">Valeria Rodriguez </t>
  </si>
  <si>
    <t>573043190657</t>
  </si>
  <si>
    <t>Enviado 27/2/2026, 7:29:55 p. m.</t>
  </si>
  <si>
    <t xml:space="preserve">tata becerra </t>
  </si>
  <si>
    <t>Enviado 27/2/2026, 7:30:09 p. m.</t>
  </si>
  <si>
    <t xml:space="preserve">Juan B RAPPI </t>
  </si>
  <si>
    <t>Enviado 28/2/2026, 7:23:06 a. m.</t>
  </si>
  <si>
    <t xml:space="preserve">Juan camilo Falco </t>
  </si>
  <si>
    <t>Enviado 28/2/2026, 7:40:08 a. m.</t>
  </si>
  <si>
    <t xml:space="preserve">Jose Fuentes </t>
  </si>
  <si>
    <t>Enviado 28/2/2026, 8:58:26 a. m.</t>
  </si>
  <si>
    <t xml:space="preserve">Andres Alzate </t>
  </si>
  <si>
    <t>573011428262</t>
  </si>
  <si>
    <t>Enviado 28/2/2026, 9:23:45 a. m.</t>
  </si>
  <si>
    <t xml:space="preserve">Telly Armando Bolaño Benitez </t>
  </si>
  <si>
    <t>573176797380</t>
  </si>
  <si>
    <t>27 | 28 | 61</t>
  </si>
  <si>
    <t>Enviado 28/2/2026, 9:31:08 a. m.</t>
  </si>
  <si>
    <t xml:space="preserve">Jose De la Peña </t>
  </si>
  <si>
    <t>Enviado 28/2/2026, 9:35:20 a. m.</t>
  </si>
  <si>
    <t xml:space="preserve">Angela garavito </t>
  </si>
  <si>
    <t>Enviado 28/2/2026, 9:46:08 a. m.</t>
  </si>
  <si>
    <t xml:space="preserve">Daniel Felipe Ordoñez Ponnefz </t>
  </si>
  <si>
    <t>Enviado 28/2/2026, 10:04:14 a. m.</t>
  </si>
  <si>
    <t>Enviado 28/2/2026, 10:46:58 a. m.</t>
  </si>
  <si>
    <t xml:space="preserve">JASON FLOREZ RAVELO </t>
  </si>
  <si>
    <t>Enviado 28/2/2026, 11:00:43 a. m.</t>
  </si>
  <si>
    <t xml:space="preserve">Jose Molina </t>
  </si>
  <si>
    <t>Enviado 28/2/2026, 11:08:47 a. m.</t>
  </si>
  <si>
    <t>57327700000000000000</t>
  </si>
  <si>
    <t>Enviado 28/2/2026, 11:17:12 a. m.</t>
  </si>
  <si>
    <t>Enviado 28/2/2026, 11:19:52 a. m.</t>
  </si>
  <si>
    <t xml:space="preserve">Heisy Montes </t>
  </si>
  <si>
    <t>Enviado 28/2/2026, 11:41:34 a. m.</t>
  </si>
  <si>
    <t>Enviado 28/2/2026, 12:08:26 p. m.</t>
  </si>
  <si>
    <t xml:space="preserve">Kiara Gamez Simanca </t>
  </si>
  <si>
    <t>Enviado 28/2/2026, 12:12:53 p. m.</t>
  </si>
  <si>
    <t>573012527757</t>
  </si>
  <si>
    <t>Enviado 28/2/2026, 12:48:49 p. m.</t>
  </si>
  <si>
    <t xml:space="preserve">farid radi </t>
  </si>
  <si>
    <t>573013157902</t>
  </si>
  <si>
    <t>12:50</t>
  </si>
  <si>
    <t>Enviado 28/2/2026, 12:51:53 p. m.</t>
  </si>
  <si>
    <t xml:space="preserve">Sofia Ropero </t>
  </si>
  <si>
    <t>Enviado 28/2/2026, 1:09:35 p. m.</t>
  </si>
  <si>
    <t xml:space="preserve">Roberto Carlos Gil García </t>
  </si>
  <si>
    <t>Enviado 28/2/2026, 1:14:09 p. m.</t>
  </si>
  <si>
    <t xml:space="preserve">Alexandra Martínez Aparicio </t>
  </si>
  <si>
    <t>Enviado 28/2/2026, 1:40:26 p. m.</t>
  </si>
  <si>
    <t xml:space="preserve">daniela mercado </t>
  </si>
  <si>
    <t>Enviado 28/2/2026, 1:49:01 p. m.</t>
  </si>
  <si>
    <t xml:space="preserve">Laura Gelvez </t>
  </si>
  <si>
    <t>Enviado 28/2/2026, 2:44:42 p. m.</t>
  </si>
  <si>
    <t xml:space="preserve">Valentina Dominguez </t>
  </si>
  <si>
    <t>Enviado 28/2/2026, 2:55:58 p. m.</t>
  </si>
  <si>
    <t xml:space="preserve">Camilo Andrés Ruiz Ruiz </t>
  </si>
  <si>
    <t>Enviado 28/2/2026, 3:22:45 p. m.</t>
  </si>
  <si>
    <t xml:space="preserve">Fernanda Charris Jiménez </t>
  </si>
  <si>
    <t>Enviado 28/2/2026, 4:07:48 p. m.</t>
  </si>
  <si>
    <t xml:space="preserve">isabella ayala </t>
  </si>
  <si>
    <t>Enviado 28/2/2026, 4:11:29 p. m.</t>
  </si>
  <si>
    <t xml:space="preserve">yadira Hernández </t>
  </si>
  <si>
    <t>Enviado 28/2/2026, 4:17:49 p. m.</t>
  </si>
  <si>
    <t>Enviado 28/2/2026, 4:27:35 p. m.</t>
  </si>
  <si>
    <t xml:space="preserve">natalia rojas rappi </t>
  </si>
  <si>
    <t>570000000000</t>
  </si>
  <si>
    <t>natalia rojas</t>
  </si>
  <si>
    <t>Enviado 28/2/2026, 4:51:34 p. m.</t>
  </si>
  <si>
    <t xml:space="preserve">anonimo anonimo </t>
  </si>
  <si>
    <t>573015689656</t>
  </si>
  <si>
    <t>anonimo</t>
  </si>
  <si>
    <t>Enviado 28/2/2026, 5:03:10 p. m.</t>
  </si>
  <si>
    <t>Enviado 28/2/2026, 5:14:36 p. m.</t>
  </si>
  <si>
    <t xml:space="preserve">Johanna Diaz Solano </t>
  </si>
  <si>
    <t>Enviado 2/3/2026, 7:54:53 a. m.</t>
  </si>
  <si>
    <t xml:space="preserve">Grace Garcia Natera </t>
  </si>
  <si>
    <t>63 | 90</t>
  </si>
  <si>
    <t>Enviado 2/3/2026, 8:00:31 a. m.</t>
  </si>
  <si>
    <t xml:space="preserve">Walter Hernandez </t>
  </si>
  <si>
    <t>Enviado 2/3/2026, 8:07:48 a. m.</t>
  </si>
  <si>
    <t xml:space="preserve">Andres Arango </t>
  </si>
  <si>
    <t>Enviado 2/3/2026, 8:22:43 a. m.</t>
  </si>
  <si>
    <t xml:space="preserve">Kathy Garn </t>
  </si>
  <si>
    <t>573058019565</t>
  </si>
  <si>
    <t>Enviado 2/3/2026, 8:39:10 a. m.</t>
  </si>
  <si>
    <t xml:space="preserve">Arturo Mario Solano Varon </t>
  </si>
  <si>
    <t>Enviado 2/3/2026, 9:02:02 a. m.</t>
  </si>
  <si>
    <t xml:space="preserve">GENOVEVA CRIALES </t>
  </si>
  <si>
    <t>573218046491</t>
  </si>
  <si>
    <t>Enviado 2/3/2026, 9:17:08 a. m.</t>
  </si>
  <si>
    <t xml:space="preserve">Yohana Yaneth Elvir Mejía </t>
  </si>
  <si>
    <t>573122504609</t>
  </si>
  <si>
    <t>Alba luz Bolaños</t>
  </si>
  <si>
    <t>Enviado 2/3/2026, 9:21:41 a. m.</t>
  </si>
  <si>
    <t xml:space="preserve">Jaime  Rueda </t>
  </si>
  <si>
    <t>Enviado 2/3/2026, 9:48:53 a. m.</t>
  </si>
  <si>
    <t xml:space="preserve">Carmen Molina </t>
  </si>
  <si>
    <t>573016118754</t>
  </si>
  <si>
    <t>Enviado 2/3/2026, 10:58:48 a. m.</t>
  </si>
  <si>
    <t xml:space="preserve">marco guerrero </t>
  </si>
  <si>
    <t>Enviado 2/3/2026, 10:59:02 a. m.</t>
  </si>
  <si>
    <t xml:space="preserve">DIANA MARTINEZ </t>
  </si>
  <si>
    <t>573167461230</t>
  </si>
  <si>
    <t>Enviado 2/3/2026, 11:00:25 a. m.</t>
  </si>
  <si>
    <t xml:space="preserve">JAN CARLOS VASQUEZ RODRIGUEZ </t>
  </si>
  <si>
    <t>Enviado 2/3/2026, 11:16:01 a. m.</t>
  </si>
  <si>
    <t xml:space="preserve">Jorge Iván Pertuz </t>
  </si>
  <si>
    <t>Enviado 2/3/2026, 11:17:57 a. m.</t>
  </si>
  <si>
    <t xml:space="preserve">Andrés Duque Sierra </t>
  </si>
  <si>
    <t>31363136478008</t>
  </si>
  <si>
    <t>Enviado 2/3/2026, 11:54:08 a. m.</t>
  </si>
  <si>
    <t xml:space="preserve">Carlos Andrés Mendoza Sandoval </t>
  </si>
  <si>
    <t>573016653789</t>
  </si>
  <si>
    <t>Enviado 2/3/2026, 12:09:08 p. m.</t>
  </si>
  <si>
    <t xml:space="preserve">Juan Felipe Pájaro </t>
  </si>
  <si>
    <t>Enviado 2/3/2026, 12:15:08 p. m.</t>
  </si>
  <si>
    <t xml:space="preserve">Rafael Jose Freire Moscote </t>
  </si>
  <si>
    <t>Enviado 2/3/2026, 12:43:01 p. m.</t>
  </si>
  <si>
    <t xml:space="preserve">Diana vecino </t>
  </si>
  <si>
    <t>573182529107</t>
  </si>
  <si>
    <t>Enviado 2/3/2026, 12:46:41 p. m.</t>
  </si>
  <si>
    <t xml:space="preserve">sandra forero </t>
  </si>
  <si>
    <t>Enviado 2/3/2026, 1:32:10 p. m.</t>
  </si>
  <si>
    <t xml:space="preserve">Manuela Arboleda Valdés </t>
  </si>
  <si>
    <t>Enviado 2/3/2026, 1:54:04 p. m.</t>
  </si>
  <si>
    <t xml:space="preserve">Brandon velez vasquez </t>
  </si>
  <si>
    <t>Enviado 2/3/2026, 1:56:16 p. m.</t>
  </si>
  <si>
    <t xml:space="preserve">monica manga </t>
  </si>
  <si>
    <t>Enviado 2/3/2026, 2:16:36 p. m.</t>
  </si>
  <si>
    <t xml:space="preserve">Luis Afiuni </t>
  </si>
  <si>
    <t>Enviado 2/3/2026, 2:49:45 p. m.</t>
  </si>
  <si>
    <t xml:space="preserve">José maestre </t>
  </si>
  <si>
    <t>Enviado 2/3/2026, 2:53:42 p. m.</t>
  </si>
  <si>
    <t>Enviado 2/3/2026, 3:03:07 p. m.</t>
  </si>
  <si>
    <t>15:04</t>
  </si>
  <si>
    <t>Enviado 2/3/2026, 3:07:09 p. m.</t>
  </si>
  <si>
    <t xml:space="preserve">samuel lerner </t>
  </si>
  <si>
    <t>Enviado 2/3/2026, 3:35:40 p. m.</t>
  </si>
  <si>
    <t xml:space="preserve">Daniel Paredes </t>
  </si>
  <si>
    <t>573008148314</t>
  </si>
  <si>
    <t>Enviado 2/3/2026, 4:53:13 p. m.</t>
  </si>
  <si>
    <t xml:space="preserve">Nathaly Johana Villota Mesias </t>
  </si>
  <si>
    <t>16:55</t>
  </si>
  <si>
    <t>Enviado 2/3/2026, 4:58:21 p. m.</t>
  </si>
  <si>
    <t xml:space="preserve">Andres Holguin </t>
  </si>
  <si>
    <t>Cra 20 #2A - 10  Conjunto Terra Conjunto Terra</t>
  </si>
  <si>
    <t>Enviado 2/3/2026, 5:35:35 p. m.</t>
  </si>
  <si>
    <t xml:space="preserve">Tatiana Robles </t>
  </si>
  <si>
    <t>Enviado 2/3/2026, 6:19:21 p. m.</t>
  </si>
  <si>
    <t xml:space="preserve">INVERSIONES EN RECREACIÓN,DEPORTE Y SALUD SA </t>
  </si>
  <si>
    <t>208250</t>
  </si>
  <si>
    <t>Enviado 3/3/2026, 7:25:42 a. m.</t>
  </si>
  <si>
    <t xml:space="preserve">Mayra Santos </t>
  </si>
  <si>
    <t>Enviado 3/3/2026, 7:31:33 a. m.</t>
  </si>
  <si>
    <t>Enviado 3/3/2026, 8:33:56 a. m.</t>
  </si>
  <si>
    <t xml:space="preserve">Carmiña Pardey </t>
  </si>
  <si>
    <t>458000</t>
  </si>
  <si>
    <t>Enviado 3/3/2026, 8:39:39 a. m.</t>
  </si>
  <si>
    <t xml:space="preserve">richard dejanon </t>
  </si>
  <si>
    <t>Enviado 3/3/2026, 9:11:46 a. m.</t>
  </si>
  <si>
    <t xml:space="preserve">Sergio Chahin </t>
  </si>
  <si>
    <t>Enviado 3/3/2026, 9:23:31 a. m.</t>
  </si>
  <si>
    <t xml:space="preserve">Paula Sierra Palencia </t>
  </si>
  <si>
    <t>Enviado 3/3/2026, 9:34:10 a. m.</t>
  </si>
  <si>
    <t xml:space="preserve">Catalina Varon </t>
  </si>
  <si>
    <t>Enviado 3/3/2026, 9:42:18 a. m.</t>
  </si>
  <si>
    <t xml:space="preserve">Orlando araque </t>
  </si>
  <si>
    <t>207000</t>
  </si>
  <si>
    <t>Enviado 3/3/2026, 9:55:16 a. m.</t>
  </si>
  <si>
    <t xml:space="preserve">sofia buelvas </t>
  </si>
  <si>
    <t>Enviado 3/3/2026, 10:41:58 a. m.</t>
  </si>
  <si>
    <t xml:space="preserve">Centro Cancerologico del Caribe Ltda </t>
  </si>
  <si>
    <t>Enviado 3/3/2026, 10:57:19 a. m.</t>
  </si>
  <si>
    <t xml:space="preserve">Luisa Fernanda Sarmiento </t>
  </si>
  <si>
    <t>Enviado 3/3/2026, 11:28:59 a. m.</t>
  </si>
  <si>
    <t>806000</t>
  </si>
  <si>
    <t>Enviado 3/3/2026, 11:48:21 a. m.</t>
  </si>
  <si>
    <t xml:space="preserve">Juan Pablo Sánchez </t>
  </si>
  <si>
    <t>Enviado 3/3/2026, 12:04:34 p. m.</t>
  </si>
  <si>
    <t xml:space="preserve">Claudia Chaparro </t>
  </si>
  <si>
    <t>Enviado 3/3/2026, 12:06:49 p. m.</t>
  </si>
  <si>
    <t xml:space="preserve">German duran diaz </t>
  </si>
  <si>
    <t>573002016272</t>
  </si>
  <si>
    <t>Stephanie Martinez</t>
  </si>
  <si>
    <t>Enviado 3/3/2026, 12:19:53 p. m.</t>
  </si>
  <si>
    <t xml:space="preserve">Luisa Benedetti </t>
  </si>
  <si>
    <t>573162844144</t>
  </si>
  <si>
    <t>Enviado 3/3/2026, 12:24:23 p. m.</t>
  </si>
  <si>
    <t xml:space="preserve">Giuliana Mejía </t>
  </si>
  <si>
    <t>Enviado 3/3/2026, 12:39:30 p. m.</t>
  </si>
  <si>
    <t>Enviado 3/3/2026, 12:54:21 p. m.</t>
  </si>
  <si>
    <t>Enviado 3/3/2026, 1:30:32 p. m.</t>
  </si>
  <si>
    <t xml:space="preserve">Iván Camilo Arrieta Lora </t>
  </si>
  <si>
    <t>Enviado 3/3/2026, 1:43:13 p. m.</t>
  </si>
  <si>
    <t xml:space="preserve">Humberto Garcia </t>
  </si>
  <si>
    <t>Enviado 3/3/2026, 1:57:58 p. m.</t>
  </si>
  <si>
    <t xml:space="preserve">Elsa Gutierrez de Piñeres </t>
  </si>
  <si>
    <t>573008156378</t>
  </si>
  <si>
    <t>Enviado 3/3/2026, 2:45:14 p. m.</t>
  </si>
  <si>
    <t xml:space="preserve">Valentina Dangond </t>
  </si>
  <si>
    <t>573165222133</t>
  </si>
  <si>
    <t>Enviado 3/3/2026, 2:50:53 p. m.</t>
  </si>
  <si>
    <t xml:space="preserve">Cindy Meza </t>
  </si>
  <si>
    <t>Enviado 3/3/2026, 3:06:49 p. m.</t>
  </si>
  <si>
    <t xml:space="preserve">Jenny Peña </t>
  </si>
  <si>
    <t>Enviado 3/3/2026, 3:25:32 p. m.</t>
  </si>
  <si>
    <t xml:space="preserve">daniela donado </t>
  </si>
  <si>
    <t>Enviado 3/3/2026, 3:38:33 p. m.</t>
  </si>
  <si>
    <t xml:space="preserve">Diego Dominguez </t>
  </si>
  <si>
    <t>573163977825</t>
  </si>
  <si>
    <t>41 | 89</t>
  </si>
  <si>
    <t>199000</t>
  </si>
  <si>
    <t>Enviado 3/3/2026, 3:41:14 p. m.</t>
  </si>
  <si>
    <t xml:space="preserve">GRAN CENTRAL DE ABASTOS DEL CARIBE S.A </t>
  </si>
  <si>
    <t>380100</t>
  </si>
  <si>
    <t>Enviado 3/3/2026, 3:48:41 p. m.</t>
  </si>
  <si>
    <t xml:space="preserve">Wilmer Cañate Herrera </t>
  </si>
  <si>
    <t>573007516067</t>
  </si>
  <si>
    <t>Enviado 3/3/2026, 4:53:36 p. m.</t>
  </si>
  <si>
    <t>Enviado 3/3/2026, 4:59:03 p. m.</t>
  </si>
  <si>
    <t xml:space="preserve">Isabella Galeano </t>
  </si>
  <si>
    <t>573148379285</t>
  </si>
  <si>
    <t>Daniela Duque</t>
  </si>
  <si>
    <t>Enviado 3/3/2026, 5:57:20 p. m.</t>
  </si>
  <si>
    <t xml:space="preserve">Adrian carrascal </t>
  </si>
  <si>
    <t>Enviado 3/3/2026, 6:01:33 p. m.</t>
  </si>
  <si>
    <t xml:space="preserve">Ht Industries Colombia Sas Esp </t>
  </si>
  <si>
    <t>5 | 81</t>
  </si>
  <si>
    <t>353100</t>
  </si>
  <si>
    <t>06:58</t>
  </si>
  <si>
    <t>Enviado 4/3/2026, 7:00:35 a. m.</t>
  </si>
  <si>
    <t xml:space="preserve">Germán Daniel Orduz Centeno </t>
  </si>
  <si>
    <t>Enviado 4/3/2026, 7:37:18 a. m.</t>
  </si>
  <si>
    <t xml:space="preserve">Isabella Correa Osio </t>
  </si>
  <si>
    <t>Enviado 4/3/2026, 7:58:20 a. m.</t>
  </si>
  <si>
    <t xml:space="preserve">Omer Guerra Vasco </t>
  </si>
  <si>
    <t>Enviado 4/3/2026, 8:54:54 a. m.</t>
  </si>
  <si>
    <t xml:space="preserve">Michelle Soto cardenas </t>
  </si>
  <si>
    <t>Enviado 4/3/2026, 9:25:04 a. m.</t>
  </si>
  <si>
    <t xml:space="preserve">Daniella Bustamante saade </t>
  </si>
  <si>
    <t>Enviado 4/3/2026, 9:28:44 a. m.</t>
  </si>
  <si>
    <t xml:space="preserve">Maria Alejandra Hoyos Hernandez </t>
  </si>
  <si>
    <t>Enviado 4/3/2026, 9:34:07 a. m.</t>
  </si>
  <si>
    <t xml:space="preserve">Catrin Howard </t>
  </si>
  <si>
    <t>573135743603</t>
  </si>
  <si>
    <t>Flavia Díaz Granados</t>
  </si>
  <si>
    <t>Enviado 4/3/2026, 9:37:50 a. m.</t>
  </si>
  <si>
    <t xml:space="preserve">Cristian Ballesteros </t>
  </si>
  <si>
    <t>Carrera 42f No 90-94</t>
  </si>
  <si>
    <t>Enviado 4/3/2026, 9:56:27 a. m.</t>
  </si>
  <si>
    <t xml:space="preserve">Iván Alvarez </t>
  </si>
  <si>
    <t>Enviado 4/3/2026, 10:02:44 a. m.</t>
  </si>
  <si>
    <t xml:space="preserve">Treasure Property Group </t>
  </si>
  <si>
    <t>112720</t>
  </si>
  <si>
    <t>Enviado 4/3/2026, 10:09:54 a. m.</t>
  </si>
  <si>
    <t xml:space="preserve">Josep Stiven Ibarra Ramos </t>
  </si>
  <si>
    <t>113000</t>
  </si>
  <si>
    <t>Enviado 4/3/2026, 11:17:44 a. m.</t>
  </si>
  <si>
    <t xml:space="preserve">Sebastián Meza </t>
  </si>
  <si>
    <t>Enviado 4/3/2026, 11:20:28 a. m.</t>
  </si>
  <si>
    <t xml:space="preserve">Johnny Mejía Montoya </t>
  </si>
  <si>
    <t>263000</t>
  </si>
  <si>
    <t>Enviado 4/3/2026, 11:26:33 a. m.</t>
  </si>
  <si>
    <t xml:space="preserve">Lazaro Diaz </t>
  </si>
  <si>
    <t>Enviado 4/3/2026, 11:37:30 a. m.</t>
  </si>
  <si>
    <t xml:space="preserve">Jose Sanjuan </t>
  </si>
  <si>
    <t>Enviado 4/3/2026, 11:42:01 a. m.</t>
  </si>
  <si>
    <t xml:space="preserve">Óscar Viloria </t>
  </si>
  <si>
    <t>Enviado 4/3/2026, 12:11:01 p. m.</t>
  </si>
  <si>
    <t xml:space="preserve">rocio cuello </t>
  </si>
  <si>
    <t>Enviado 4/3/2026, 1:27:09 p. m.</t>
  </si>
  <si>
    <t>Enviado 4/3/2026, 1:27:48 p. m.</t>
  </si>
  <si>
    <t xml:space="preserve">Christine Jaimes </t>
  </si>
  <si>
    <t>575614055572</t>
  </si>
  <si>
    <t>53 | 31</t>
  </si>
  <si>
    <t>Enviado 4/3/2026, 1:54:14 p. m.</t>
  </si>
  <si>
    <t xml:space="preserve">Angie Coronel Villazón </t>
  </si>
  <si>
    <t>Enviado 4/3/2026, 2:12:08 p. m.</t>
  </si>
  <si>
    <t xml:space="preserve">Javier Amaya </t>
  </si>
  <si>
    <t>Enviado 4/3/2026, 2:24:06 p. m.</t>
  </si>
  <si>
    <t xml:space="preserve">Natalia Rueda </t>
  </si>
  <si>
    <t>573017542841</t>
  </si>
  <si>
    <t>Enviado 4/3/2026, 2:27:59 p. m.</t>
  </si>
  <si>
    <t>14:38</t>
  </si>
  <si>
    <t>Enviado 4/3/2026, 2:41:00 p. m.</t>
  </si>
  <si>
    <t xml:space="preserve">Hernando Peña Castillo </t>
  </si>
  <si>
    <t>3007878893</t>
  </si>
  <si>
    <t>Daniela Albornoz</t>
  </si>
  <si>
    <t>Enviado 4/3/2026, 3:03:54 p. m.</t>
  </si>
  <si>
    <t xml:space="preserve">Danna sanjuanelo </t>
  </si>
  <si>
    <t>Enviado 4/3/2026, 3:17:28 p. m.</t>
  </si>
  <si>
    <t xml:space="preserve">Daniela Celis Rosado </t>
  </si>
  <si>
    <t>573046786780</t>
  </si>
  <si>
    <t>Enviado 4/3/2026, 3:19:17 p. m.</t>
  </si>
  <si>
    <t xml:space="preserve">jorge bedoya </t>
  </si>
  <si>
    <t>573013573091</t>
  </si>
  <si>
    <t>Enviado 4/3/2026, 3:45:51 p. m.</t>
  </si>
  <si>
    <t xml:space="preserve">anamilena gomez </t>
  </si>
  <si>
    <t>5712676373606</t>
  </si>
  <si>
    <t>Enviado 4/3/2026, 4:24:49 p. m.</t>
  </si>
  <si>
    <t>573046105529</t>
  </si>
  <si>
    <t>Enviado 4/3/2026, 4:38:35 p. m.</t>
  </si>
  <si>
    <t xml:space="preserve">Milene Reinel Llerena </t>
  </si>
  <si>
    <t>Enviado 4/3/2026, 4:45:23 p. m.</t>
  </si>
  <si>
    <t>Enviado 4/3/2026, 4:50:26 p. m.</t>
  </si>
  <si>
    <t xml:space="preserve">Salomon Quintero Chegwin </t>
  </si>
  <si>
    <t>573023611833</t>
  </si>
  <si>
    <t>Enviado 4/3/2026, 5:11:47 p. m.</t>
  </si>
  <si>
    <t xml:space="preserve">wafeth arana </t>
  </si>
  <si>
    <t>17:30</t>
  </si>
  <si>
    <t>Enviado 4/3/2026, 5:32:38 p. m.</t>
  </si>
  <si>
    <t xml:space="preserve">Kimberly Esther Angulo Hernández </t>
  </si>
  <si>
    <t>573005912102</t>
  </si>
  <si>
    <t>Martha Patricia Núñez castro</t>
  </si>
  <si>
    <t>Enviado 4/3/2026, 5:51:06 p. m.</t>
  </si>
  <si>
    <t xml:space="preserve">Angelica Quintero Mojica </t>
  </si>
  <si>
    <t>435000</t>
  </si>
  <si>
    <t>Enviado 4/3/2026, 6:09:29 p. m.</t>
  </si>
  <si>
    <t xml:space="preserve">David Hernández </t>
  </si>
  <si>
    <t>Enviado 4/3/2026, 6:24:03 p. m.</t>
  </si>
  <si>
    <t xml:space="preserve">Orlando Niebles </t>
  </si>
  <si>
    <t>573013640035</t>
  </si>
  <si>
    <t>Stefanny Tellez</t>
  </si>
  <si>
    <t>Enviado 4/3/2026, 6:29:25 p. m.</t>
  </si>
  <si>
    <t>18:36</t>
  </si>
  <si>
    <t>Enviado 4/3/2026, 6:38:07 p. m.</t>
  </si>
  <si>
    <t xml:space="preserve">edgardo Rodrigo </t>
  </si>
  <si>
    <t>573002145559</t>
  </si>
  <si>
    <t>19:08</t>
  </si>
  <si>
    <t>Enviado 4/3/2026, 7:11:42 p. m.</t>
  </si>
  <si>
    <t xml:space="preserve">kelly Guerrero </t>
  </si>
  <si>
    <t>9000</t>
  </si>
  <si>
    <t>19:09</t>
  </si>
  <si>
    <t>Enviado 4/3/2026, 7:11:47 p. m.</t>
  </si>
  <si>
    <t xml:space="preserve">NICOLAS VARGAS </t>
  </si>
  <si>
    <t>07:17</t>
  </si>
  <si>
    <t>Enviado 5/3/2026, 7:19:23 a. m.</t>
  </si>
  <si>
    <t xml:space="preserve">Anjali Theran piñeres </t>
  </si>
  <si>
    <t>Enviado 5/3/2026, 7:36:34 a. m.</t>
  </si>
  <si>
    <t xml:space="preserve">Victoria Matera </t>
  </si>
  <si>
    <t>29 | 45</t>
  </si>
  <si>
    <t>Enviado 5/3/2026, 7:47:13 a. m.</t>
  </si>
  <si>
    <t>Enviado 5/3/2026, 8:26:26 a. m.</t>
  </si>
  <si>
    <t xml:space="preserve">Cliente  ivonne torrente </t>
  </si>
  <si>
    <t>Enviado 5/3/2026, 8:35:34 a. m.</t>
  </si>
  <si>
    <t xml:space="preserve">José Ojeda </t>
  </si>
  <si>
    <t>573225236847</t>
  </si>
  <si>
    <t>Enviado 5/3/2026, 8:50:40 a. m.</t>
  </si>
  <si>
    <t xml:space="preserve">Stiven Peña </t>
  </si>
  <si>
    <t>Enviado 5/3/2026, 8:57:17 a. m.</t>
  </si>
  <si>
    <t xml:space="preserve">Julianna Montoya garcia </t>
  </si>
  <si>
    <t>Enviado 5/3/2026, 9:04:51 a. m.</t>
  </si>
  <si>
    <t xml:space="preserve">Juan José Zuniga </t>
  </si>
  <si>
    <t>Enviado 5/3/2026, 9:08:45 a. m.</t>
  </si>
  <si>
    <t xml:space="preserve">Maria jose Tous movilla </t>
  </si>
  <si>
    <t>PENDIENTE</t>
  </si>
  <si>
    <t>Enviado 5/3/2026, 9:14:42 a. m.</t>
  </si>
  <si>
    <t xml:space="preserve">Samuel Escolar </t>
  </si>
  <si>
    <t>54393013395439</t>
  </si>
  <si>
    <t>Enviado 5/3/2026, 9:18:00 a. m.</t>
  </si>
  <si>
    <t xml:space="preserve">JUANCARLOS MANZANERA </t>
  </si>
  <si>
    <t>Enviado 5/3/2026, 9:27:32 a. m.</t>
  </si>
  <si>
    <t xml:space="preserve">Gustavo Recuero </t>
  </si>
  <si>
    <t>Enviado 5/3/2026, 9:51:57 a. m.</t>
  </si>
  <si>
    <t xml:space="preserve">F2X SAS </t>
  </si>
  <si>
    <t>77273122717727</t>
  </si>
  <si>
    <t>291700</t>
  </si>
  <si>
    <t>Enviado 5/3/2026, 10:42:50 a. m.</t>
  </si>
  <si>
    <t xml:space="preserve">Daniella Martinez </t>
  </si>
  <si>
    <t>573013955650</t>
  </si>
  <si>
    <t>Elda Rangel</t>
  </si>
  <si>
    <t>166000</t>
  </si>
  <si>
    <t>Enviado 5/3/2026, 10:49:52 a. m.</t>
  </si>
  <si>
    <t>Enviado 5/3/2026, 10:58:11 a. m.</t>
  </si>
  <si>
    <t xml:space="preserve">MARIA ALEJANDRA PEREZ </t>
  </si>
  <si>
    <t>Enviado 5/3/2026, 11:13:05 a. m.</t>
  </si>
  <si>
    <t xml:space="preserve">Beatriz Torrents </t>
  </si>
  <si>
    <t>Enviado 5/3/2026, 11:22:55 a. m.</t>
  </si>
  <si>
    <t xml:space="preserve">Sharon Lubo </t>
  </si>
  <si>
    <t>573054873630</t>
  </si>
  <si>
    <t>Madelyne Polo</t>
  </si>
  <si>
    <t>Enviado 5/3/2026, 11:37:31 a. m.</t>
  </si>
  <si>
    <t xml:space="preserve">Marcela Rojas Palacio </t>
  </si>
  <si>
    <t>Enviado 5/3/2026, 11:41:35 a. m.</t>
  </si>
  <si>
    <t xml:space="preserve">Samuel Lachmann Lewis </t>
  </si>
  <si>
    <t>Enviado 5/3/2026, 12:03:34 p. m.</t>
  </si>
  <si>
    <t xml:space="preserve">maria jose oliva </t>
  </si>
  <si>
    <t>Enviado 5/3/2026, 12:11:51 p. m.</t>
  </si>
  <si>
    <t xml:space="preserve">Mauricio De La Espriella </t>
  </si>
  <si>
    <t>Enviado 5/3/2026, 12:25:20 p. m.</t>
  </si>
  <si>
    <t xml:space="preserve">Yarlen Atehortua </t>
  </si>
  <si>
    <t>Enviado 5/3/2026, 12:26:09 p. m.</t>
  </si>
  <si>
    <t xml:space="preserve">María Sánchez </t>
  </si>
  <si>
    <t>573112119748</t>
  </si>
  <si>
    <t>Alejandra Gutiérrez</t>
  </si>
  <si>
    <t>Enviado 5/3/2026, 12:36:34 p. m.</t>
  </si>
  <si>
    <t xml:space="preserve">pedro atuestas </t>
  </si>
  <si>
    <t>Enviado 5/3/2026, 12:49:11 p. m.</t>
  </si>
  <si>
    <t>Enviado 5/3/2026, 1:11:06 p. m.</t>
  </si>
  <si>
    <t xml:space="preserve">Alejandro Gómez </t>
  </si>
  <si>
    <t>Enviado 5/3/2026, 1:17:09 p. m.</t>
  </si>
  <si>
    <t xml:space="preserve">ANDREA ORLANDO </t>
  </si>
  <si>
    <t>solitario rosas fucsia #13</t>
  </si>
  <si>
    <t>Enviado 5/3/2026, 1:33:28 p. m.</t>
  </si>
  <si>
    <t xml:space="preserve">Jesús David Díaz Díaz </t>
  </si>
  <si>
    <t>Enviado 5/3/2026, 1:54:00 p. m.</t>
  </si>
  <si>
    <t xml:space="preserve">Anibal Arango </t>
  </si>
  <si>
    <t>Enviado 5/3/2026, 2:03:36 p. m.</t>
  </si>
  <si>
    <t xml:space="preserve">Suministros E-C SAS </t>
  </si>
  <si>
    <t>Enviado 5/3/2026, 2:12:00 p. m.</t>
  </si>
  <si>
    <t xml:space="preserve">William Calderon </t>
  </si>
  <si>
    <t>573104459063</t>
  </si>
  <si>
    <t>Jazmín Calderon</t>
  </si>
  <si>
    <t>Enviado 5/3/2026, 2:42:39 p. m.</t>
  </si>
  <si>
    <t xml:space="preserve">Mateo Rodriguez </t>
  </si>
  <si>
    <t>573209535750</t>
  </si>
  <si>
    <t>93000</t>
  </si>
  <si>
    <t>Enviado 5/3/2026, 2:49:26 p. m.</t>
  </si>
  <si>
    <t xml:space="preserve">Daniella Char </t>
  </si>
  <si>
    <t>Enviado 5/3/2026, 3:02:50 p. m.</t>
  </si>
  <si>
    <t xml:space="preserve">Oscar Cantillo </t>
  </si>
  <si>
    <t>573205174458</t>
  </si>
  <si>
    <t>Enviado 5/3/2026, 3:23:13 p. m.</t>
  </si>
  <si>
    <t xml:space="preserve">Brayerlis Navarro </t>
  </si>
  <si>
    <t>Enviado 5/3/2026, 3:24:34 p. m.</t>
  </si>
  <si>
    <t xml:space="preserve">Tomas Ramirez arboleda </t>
  </si>
  <si>
    <t>Enviado 5/3/2026, 4:11:08 p. m.</t>
  </si>
  <si>
    <t xml:space="preserve">Kyra Reyes </t>
  </si>
  <si>
    <t>Enviado 5/3/2026, 4:17:01 p. m.</t>
  </si>
  <si>
    <t xml:space="preserve">maria jose abenoza </t>
  </si>
  <si>
    <t>573013512007</t>
  </si>
  <si>
    <t>Enviado 5/3/2026, 4:29:08 p. m.</t>
  </si>
  <si>
    <t xml:space="preserve">kelly hernández </t>
  </si>
  <si>
    <t>calle 102 # 49e-29 - casa 1</t>
  </si>
  <si>
    <t>Enviado 5/3/2026, 4:41:38 p. m.</t>
  </si>
  <si>
    <t xml:space="preserve">Sophia Reyes </t>
  </si>
  <si>
    <t>5731165334</t>
  </si>
  <si>
    <t>Yamila cure</t>
  </si>
  <si>
    <t>Enviado 5/3/2026, 4:46:47 p. m.</t>
  </si>
  <si>
    <t xml:space="preserve">Jefferson Moreno </t>
  </si>
  <si>
    <t>Enviado 5/3/2026, 5:27:06 p. m.</t>
  </si>
  <si>
    <t xml:space="preserve">Javier Restrepo Vieco </t>
  </si>
  <si>
    <t>101 | 29</t>
  </si>
  <si>
    <t>Enviado 5/3/2026, 5:32:59 p. m.</t>
  </si>
  <si>
    <t xml:space="preserve">JORGE </t>
  </si>
  <si>
    <t>Enviado 5/3/2026, 5:40:28 p. m.</t>
  </si>
  <si>
    <t>573135319170</t>
  </si>
  <si>
    <t>Enviado 5/3/2026, 5:43:21 p. m.</t>
  </si>
  <si>
    <t xml:space="preserve">movich empresa </t>
  </si>
  <si>
    <t>Enviado 5/3/2026, 5:58:56 p. m.</t>
  </si>
  <si>
    <t xml:space="preserve">ADJ ingeniería y construcción sas </t>
  </si>
  <si>
    <t>142800</t>
  </si>
  <si>
    <t>Enviado 5/3/2026, 6:28:29 p. m.</t>
  </si>
  <si>
    <t xml:space="preserve">Pedro Gutierrez Alí </t>
  </si>
  <si>
    <t>573006169903</t>
  </si>
  <si>
    <t>Enviado 6/3/2026, 7:43:24 a. m.</t>
  </si>
  <si>
    <t xml:space="preserve">Alejandro Castelblanco </t>
  </si>
  <si>
    <t>573103232252</t>
  </si>
  <si>
    <t>1 | 41 | 82</t>
  </si>
  <si>
    <t>598000</t>
  </si>
  <si>
    <t>Enviado 6/3/2026, 8:01:01 a. m.</t>
  </si>
  <si>
    <t xml:space="preserve">laura paternostro </t>
  </si>
  <si>
    <t>Enviado 6/3/2026, 8:16:19 a. m.</t>
  </si>
  <si>
    <t xml:space="preserve">DEIBY GAMARRA MARTINEZ </t>
  </si>
  <si>
    <t>Enviado 6/3/2026, 8:45:34 a. m.</t>
  </si>
  <si>
    <t xml:space="preserve">karen Quintero </t>
  </si>
  <si>
    <t>Enviado 6/3/2026, 8:51:38 a. m.</t>
  </si>
  <si>
    <t xml:space="preserve">Samir Akle Lastra </t>
  </si>
  <si>
    <t>Enviado 6/3/2026, 8:55:55 a. m.</t>
  </si>
  <si>
    <t xml:space="preserve">Ivan Acevedo </t>
  </si>
  <si>
    <t>Enviado 6/3/2026, 9:11:55 a. m.</t>
  </si>
  <si>
    <t xml:space="preserve">Maria Fernanda Tatis </t>
  </si>
  <si>
    <t>Enviado 6/3/2026, 9:32:41 a. m.</t>
  </si>
  <si>
    <t xml:space="preserve">Angel Barrera </t>
  </si>
  <si>
    <t>Enviado 6/3/2026, 9:43:38 a. m.</t>
  </si>
  <si>
    <t xml:space="preserve">Daniel Mora Pallares </t>
  </si>
  <si>
    <t>Enviado 6/3/2026, 9:58:55 a. m.</t>
  </si>
  <si>
    <t xml:space="preserve">José David Murillo </t>
  </si>
  <si>
    <t>30 | 81</t>
  </si>
  <si>
    <t>Enviado 6/3/2026, 10:08:30 a. m.</t>
  </si>
  <si>
    <t xml:space="preserve">lupe van heyl </t>
  </si>
  <si>
    <t>Enviado 6/3/2026, 10:10:09 a. m.</t>
  </si>
  <si>
    <t xml:space="preserve">Jussef Abdala </t>
  </si>
  <si>
    <t>95 | 29</t>
  </si>
  <si>
    <t>Enviado 6/3/2026, 10:43:23 a. m.</t>
  </si>
  <si>
    <t>Enviado 6/3/2026, 10:44:39 a. m.</t>
  </si>
  <si>
    <t>Enviado 6/3/2026, 10:44:45 a. m.</t>
  </si>
  <si>
    <t xml:space="preserve">Veronica Hoyos </t>
  </si>
  <si>
    <t>29 | 69</t>
  </si>
  <si>
    <t>Enviado 6/3/2026, 10:56:13 a. m.</t>
  </si>
  <si>
    <t xml:space="preserve">CLAUDIA SOSA </t>
  </si>
  <si>
    <t>5715196141332</t>
  </si>
  <si>
    <t>Enviado 6/3/2026, 11:00:45 a. m.</t>
  </si>
  <si>
    <t xml:space="preserve">Marlene Orozco Cabrales </t>
  </si>
  <si>
    <t>573045384624</t>
  </si>
  <si>
    <t>Enviado 6/3/2026, 11:05:14 a. m.</t>
  </si>
  <si>
    <t xml:space="preserve">Jose Arrieta cabarcas </t>
  </si>
  <si>
    <t>Enviado 6/3/2026, 11:13:22 a. m.</t>
  </si>
  <si>
    <t>Enviado 6/3/2026, 11:18:41 a. m.</t>
  </si>
  <si>
    <t xml:space="preserve">MARIA JOSE RANGEL MERINO </t>
  </si>
  <si>
    <t>Enviado 6/3/2026, 11:32:49 a. m.</t>
  </si>
  <si>
    <t xml:space="preserve">Teydi  Marino Ucros </t>
  </si>
  <si>
    <t>Enviado 6/3/2026, 11:59:50 a. m.</t>
  </si>
  <si>
    <t xml:space="preserve">Camilo  Gorayeb </t>
  </si>
  <si>
    <t>Enviado 6/3/2026, 12:05:32 p. m.</t>
  </si>
  <si>
    <t xml:space="preserve">Mariana cepeda </t>
  </si>
  <si>
    <t>Enviado 6/3/2026, 12:11:26 p. m.</t>
  </si>
  <si>
    <t xml:space="preserve">ASTRID DE LAS SALAS </t>
  </si>
  <si>
    <t>Enviado 6/3/2026, 12:12:22 p. m.</t>
  </si>
  <si>
    <t xml:space="preserve">Jefferson Rubio </t>
  </si>
  <si>
    <t>Enviado 6/3/2026, 12:27:40 p. m.</t>
  </si>
  <si>
    <t>Enviado 6/3/2026, 12:28:40 p. m.</t>
  </si>
  <si>
    <t xml:space="preserve">Dayana Tirado </t>
  </si>
  <si>
    <t>573014595296</t>
  </si>
  <si>
    <t>Enviado 6/3/2026, 12:34:56 p. m.</t>
  </si>
  <si>
    <t xml:space="preserve">Milena guerra </t>
  </si>
  <si>
    <t>Enviado 6/3/2026, 12:41:56 p. m.</t>
  </si>
  <si>
    <t xml:space="preserve">samuel arrieta </t>
  </si>
  <si>
    <t>Enviado 6/3/2026, 1:04:42 p. m.</t>
  </si>
  <si>
    <t>573504438774</t>
  </si>
  <si>
    <t>Enviado 6/3/2026, 1:16:54 p. m.</t>
  </si>
  <si>
    <t xml:space="preserve">adriana vasquez </t>
  </si>
  <si>
    <t>30500</t>
  </si>
  <si>
    <t>Enviado 6/3/2026, 1:19:24 p. m.</t>
  </si>
  <si>
    <t>573205664901</t>
  </si>
  <si>
    <t>Enviado 6/3/2026, 1:33:15 p. m.</t>
  </si>
  <si>
    <t xml:space="preserve">Jorge Faryd Duran </t>
  </si>
  <si>
    <t>101 | 85 | 87</t>
  </si>
  <si>
    <t>Enviado 6/3/2026, 1:36:55 p. m.</t>
  </si>
  <si>
    <t xml:space="preserve">antony reeves </t>
  </si>
  <si>
    <t>Enviado 6/3/2026, 1:54:10 p. m.</t>
  </si>
  <si>
    <t>573017824366</t>
  </si>
  <si>
    <t>juan david cure</t>
  </si>
  <si>
    <t>Enviado 6/3/2026, 2:02:00 p. m.</t>
  </si>
  <si>
    <t xml:space="preserve">Gabriel Arrieta </t>
  </si>
  <si>
    <t>573108757090</t>
  </si>
  <si>
    <t>Enviado 6/3/2026, 2:12:37 p. m.</t>
  </si>
  <si>
    <t xml:space="preserve">Simón Andrés Banda David </t>
  </si>
  <si>
    <t>Enviado 6/3/2026, 2:36:08 p. m.</t>
  </si>
  <si>
    <t xml:space="preserve">Anthony Daniel Ruiz Gómez </t>
  </si>
  <si>
    <t>Enviado 6/3/2026, 2:45:13 p. m.</t>
  </si>
  <si>
    <t xml:space="preserve">Carlos José Cuello Sagbini </t>
  </si>
  <si>
    <t>87143182618714</t>
  </si>
  <si>
    <t>Enviado 6/3/2026, 2:50:04 p. m.</t>
  </si>
  <si>
    <t xml:space="preserve">Joseph hazbun </t>
  </si>
  <si>
    <t>573017850018</t>
  </si>
  <si>
    <t>Enviado 6/3/2026, 2:51:04 p. m.</t>
  </si>
  <si>
    <t xml:space="preserve">Liliana Peña Ortega </t>
  </si>
  <si>
    <t>573227688428</t>
  </si>
  <si>
    <t>29 | 80</t>
  </si>
  <si>
    <t>Luz Marina Bacca Arévalo</t>
  </si>
  <si>
    <t>Enviado 6/3/2026, 2:56:35 p. m.</t>
  </si>
  <si>
    <t xml:space="preserve">Bill de la Rosa </t>
  </si>
  <si>
    <t>573007310148</t>
  </si>
  <si>
    <t>Enviado 6/3/2026, 3:08:24 p. m.</t>
  </si>
  <si>
    <t xml:space="preserve">Saul Mercado </t>
  </si>
  <si>
    <t>573218235541</t>
  </si>
  <si>
    <t>Enviado 6/3/2026, 3:09:09 p. m.</t>
  </si>
  <si>
    <t xml:space="preserve">kelly villarreal </t>
  </si>
  <si>
    <t>Enviado 6/3/2026, 3:28:16 p. m.</t>
  </si>
  <si>
    <t xml:space="preserve">Alexander Angarita </t>
  </si>
  <si>
    <t>117000</t>
  </si>
  <si>
    <t>Enviado 6/3/2026, 3:36:06 p. m.</t>
  </si>
  <si>
    <t xml:space="preserve">juan llerena </t>
  </si>
  <si>
    <t>Enviado 6/3/2026, 3:38:32 p. m.</t>
  </si>
  <si>
    <t xml:space="preserve">Yesid H Dede </t>
  </si>
  <si>
    <t>Enviado 6/3/2026, 3:45:32 p. m.</t>
  </si>
  <si>
    <t xml:space="preserve">beatriz daza </t>
  </si>
  <si>
    <t>Enviado 6/3/2026, 4:01:52 p. m.</t>
  </si>
  <si>
    <t xml:space="preserve">Leonardo villarreal </t>
  </si>
  <si>
    <t>Enviado 6/3/2026, 4:07:31 p. m.</t>
  </si>
  <si>
    <t xml:space="preserve">Guillermo Acosta </t>
  </si>
  <si>
    <t>Enviado 6/3/2026, 4:02:15 p. m.</t>
  </si>
  <si>
    <t xml:space="preserve">Camilo Arévalo </t>
  </si>
  <si>
    <t>Enviado 6/3/2026, 4:09:01 p. m.</t>
  </si>
  <si>
    <t xml:space="preserve">Julio Guzman </t>
  </si>
  <si>
    <t>30 | 29</t>
  </si>
  <si>
    <t>16:19</t>
  </si>
  <si>
    <t>Enviado 6/3/2026, 4:21:49 p. m.</t>
  </si>
  <si>
    <t xml:space="preserve">Alejandro Romero </t>
  </si>
  <si>
    <t>573213651301</t>
  </si>
  <si>
    <t>Enviado 6/3/2026, 4:41:15 p. m.</t>
  </si>
  <si>
    <t>573104605906</t>
  </si>
  <si>
    <t>Enviado 6/3/2026, 4:49:04 p. m.</t>
  </si>
  <si>
    <t xml:space="preserve">Nicolle Mogollon </t>
  </si>
  <si>
    <t>Enviado 6/3/2026, 4:53:16 p. m.</t>
  </si>
  <si>
    <t xml:space="preserve">Carlos Patiño </t>
  </si>
  <si>
    <t>Enviado 6/3/2026, 5:05:40 p. m.</t>
  </si>
  <si>
    <t xml:space="preserve">JUAN DAVID LÓPEZ RODRÍGUEZ </t>
  </si>
  <si>
    <t>573105015903</t>
  </si>
  <si>
    <t>Enviado 6/3/2026, 5:06:54 p. m.</t>
  </si>
  <si>
    <t xml:space="preserve">erika de la hoz </t>
  </si>
  <si>
    <t>Enviado 6/3/2026, 5:07:59 p. m.</t>
  </si>
  <si>
    <t xml:space="preserve">Freideth Villa Paternina </t>
  </si>
  <si>
    <t>573017098224</t>
  </si>
  <si>
    <t>Enviado 6/3/2026, 5:08:13 p. m.</t>
  </si>
  <si>
    <t xml:space="preserve">Wilson salazar sanchez </t>
  </si>
  <si>
    <t>573103998104</t>
  </si>
  <si>
    <t>Enviado 6/3/2026, 5:12:57 p. m.</t>
  </si>
  <si>
    <t xml:space="preserve">melissa escorcia </t>
  </si>
  <si>
    <t>Enviado 6/3/2026, 5:22:38 p. m.</t>
  </si>
  <si>
    <t xml:space="preserve">claudia insignares </t>
  </si>
  <si>
    <t>Enviado 6/3/2026, 5:28:42 p. m.</t>
  </si>
  <si>
    <t xml:space="preserve">Andrés Max </t>
  </si>
  <si>
    <t>Enviado 6/3/2026, 5:40:47 p. m.</t>
  </si>
  <si>
    <t xml:space="preserve">saúl gonzález </t>
  </si>
  <si>
    <t>Enviado 6/3/2026, 5:47:27 p. m.</t>
  </si>
  <si>
    <t xml:space="preserve">Isabella silvera gonzalez </t>
  </si>
  <si>
    <t>573013601956</t>
  </si>
  <si>
    <t>26 | 29</t>
  </si>
  <si>
    <t>Joann Bigio y Hannah escolar</t>
  </si>
  <si>
    <t>Enviado 6/3/2026, 5:51:26 p. m.</t>
  </si>
  <si>
    <t>Enviado 6/3/2026, 5:59:50 p. m.</t>
  </si>
  <si>
    <t>573153543653</t>
  </si>
  <si>
    <t>Enviado 6/3/2026, 6:12:40 p. m.</t>
  </si>
  <si>
    <t xml:space="preserve">Mario Mercado </t>
  </si>
  <si>
    <t>573013651988</t>
  </si>
  <si>
    <t>104 | 62</t>
  </si>
  <si>
    <t>Enviado 6/3/2026, 6:20:28 p. m.</t>
  </si>
  <si>
    <t xml:space="preserve">Carlos ariza </t>
  </si>
  <si>
    <t>Enviado 6/3/2026, 6:23:51 p. m.</t>
  </si>
  <si>
    <t xml:space="preserve">Manuel Zabaleta </t>
  </si>
  <si>
    <t>Enviado 6/3/2026, 6:36:53 p. m.</t>
  </si>
  <si>
    <t xml:space="preserve">Lucio Monni </t>
  </si>
  <si>
    <t>Restaurante Amalín, Cra. 52 #79-249</t>
  </si>
  <si>
    <t>Enviado 6/3/2026, 6:36:54 p. m.</t>
  </si>
  <si>
    <t>Enviado 6/3/2026, 6:48:07 p. m.</t>
  </si>
  <si>
    <t xml:space="preserve">Dorlys Russo </t>
  </si>
  <si>
    <t>573113446137</t>
  </si>
  <si>
    <t>Enviado 6/3/2026, 6:50:39 p. m.</t>
  </si>
  <si>
    <t xml:space="preserve">Sebastian Gonzalez </t>
  </si>
  <si>
    <t>18:49</t>
  </si>
  <si>
    <t>Enviado 6/3/2026, 6:51:49 p. m.</t>
  </si>
  <si>
    <t xml:space="preserve">Pedro Gonzalez </t>
  </si>
  <si>
    <t>07:33</t>
  </si>
  <si>
    <t>Enviado 7/3/2026, 7:35:41 a. m.</t>
  </si>
  <si>
    <t xml:space="preserve">natalia tobón </t>
  </si>
  <si>
    <t>Enviado 7/3/2026, 7:54:25 a. m.</t>
  </si>
  <si>
    <t xml:space="preserve">Dairo Torres varela </t>
  </si>
  <si>
    <t>Enviado 7/3/2026, 8:22:34 a. m.</t>
  </si>
  <si>
    <t xml:space="preserve">alexandra rodríguez </t>
  </si>
  <si>
    <t>Enviado 7/3/2026, 8:39:02 a. m.</t>
  </si>
  <si>
    <t xml:space="preserve">Erika Rozo </t>
  </si>
  <si>
    <t>Enviado 7/3/2026, 8:59:42 a. m.</t>
  </si>
  <si>
    <t xml:space="preserve">Jaime Díaz Arenas </t>
  </si>
  <si>
    <t>525000</t>
  </si>
  <si>
    <t>Enviado 7/3/2026, 9:00:22 a. m.</t>
  </si>
  <si>
    <t xml:space="preserve">Luis Manuel Gomezcasseres Ospino </t>
  </si>
  <si>
    <t>573008290573</t>
  </si>
  <si>
    <t>Enviado 7/3/2026, 9:03:58 a. m.</t>
  </si>
  <si>
    <t xml:space="preserve">Adrian Brochado </t>
  </si>
  <si>
    <t>Enviado 7/3/2026, 9:07:08 a. m.</t>
  </si>
  <si>
    <t xml:space="preserve">Ramis khorfan </t>
  </si>
  <si>
    <t>Enviado 7/3/2026, 9:26:41 a. m.</t>
  </si>
  <si>
    <t xml:space="preserve">walter paez </t>
  </si>
  <si>
    <t>Enviado 7/3/2026, 9:27:30 a. m.</t>
  </si>
  <si>
    <t xml:space="preserve">Mauricio Cianci </t>
  </si>
  <si>
    <t>Enviado 7/3/2026, 9:42:43 a. m.</t>
  </si>
  <si>
    <t>Enviado 7/3/2026, 9:45:56 a. m.</t>
  </si>
  <si>
    <t>Jose Orozco</t>
  </si>
  <si>
    <t>573136214673</t>
  </si>
  <si>
    <t>Enviado 7/3/2026, 9:47:52 a. m.</t>
  </si>
  <si>
    <t xml:space="preserve">Eduar Landazuri </t>
  </si>
  <si>
    <t>Enviado 7/3/2026, 9:51:45 a. m.</t>
  </si>
  <si>
    <t xml:space="preserve">Angela María vergara Salgado </t>
  </si>
  <si>
    <t>573042914618</t>
  </si>
  <si>
    <t>29 | 53</t>
  </si>
  <si>
    <t>María Del Rosario Vergara</t>
  </si>
  <si>
    <t>Enviado 7/3/2026, 9:52:45 a. m.</t>
  </si>
  <si>
    <t xml:space="preserve">Natalia Benitez viviescas </t>
  </si>
  <si>
    <t>573219727131</t>
  </si>
  <si>
    <t>Enviado 7/3/2026, 9:58:55 a. m.</t>
  </si>
  <si>
    <t xml:space="preserve">Melek florez Alvarado </t>
  </si>
  <si>
    <t>Enviado 7/3/2026, 10:00:56 a. m.</t>
  </si>
  <si>
    <t xml:space="preserve">PRUEBA MAIRA </t>
  </si>
  <si>
    <t>Enviado 7/3/2026, 10:02:35 a. m.</t>
  </si>
  <si>
    <t xml:space="preserve">natalia hernandez </t>
  </si>
  <si>
    <t>Enviado 7/3/2026, 10:03:32 a. m.</t>
  </si>
  <si>
    <t xml:space="preserve">Darwin Pulido </t>
  </si>
  <si>
    <t>Enviado 7/3/2026, 10:09:01 a. m.</t>
  </si>
  <si>
    <t xml:space="preserve">nayive fuente </t>
  </si>
  <si>
    <t>Enviado 7/3/2026, 10:10:30 a. m.</t>
  </si>
  <si>
    <t xml:space="preserve">Jose Sierra </t>
  </si>
  <si>
    <t>573106198726</t>
  </si>
  <si>
    <t>Enviado 7/3/2026, 10:10:49 a. m.</t>
  </si>
  <si>
    <t xml:space="preserve">Kenya Ochoa Bedoya </t>
  </si>
  <si>
    <t>573137587141</t>
  </si>
  <si>
    <t>1 | 46</t>
  </si>
  <si>
    <t>Angelica guzman</t>
  </si>
  <si>
    <t>698000</t>
  </si>
  <si>
    <t>Enviado 7/3/2026, 10:26:49 a. m.</t>
  </si>
  <si>
    <t xml:space="preserve">Patricia blanco fadul </t>
  </si>
  <si>
    <t>Enviado 7/3/2026, 10:31:21 a. m.</t>
  </si>
  <si>
    <t xml:space="preserve">Juan Daniel Castilla Casalins </t>
  </si>
  <si>
    <t>573106812364</t>
  </si>
  <si>
    <t>Enviado 7/3/2026, 10:32:21 a. m.</t>
  </si>
  <si>
    <t xml:space="preserve">Miguel Eduardo Acosta Jiménez </t>
  </si>
  <si>
    <t>Enviado 7/3/2026, 10:35:24 a. m.</t>
  </si>
  <si>
    <t xml:space="preserve">Carmen Martínez </t>
  </si>
  <si>
    <t>Enviado 7/3/2026, 10:42:26 a. m.</t>
  </si>
  <si>
    <t xml:space="preserve">Jesus Valles </t>
  </si>
  <si>
    <t>Carrera 71 #94-27 - Conjunto altos del bosque Torre 8 apto 832</t>
  </si>
  <si>
    <t>Enviado 7/3/2026, 10:42:56 a. m.</t>
  </si>
  <si>
    <t xml:space="preserve">B&amp;A INGENIERIA Y CONSTRUCCIONES SAS </t>
  </si>
  <si>
    <t>Enviado 7/3/2026, 10:53:55 a. m.</t>
  </si>
  <si>
    <t xml:space="preserve">Larry David Silva Manjarrés </t>
  </si>
  <si>
    <t>Enviado 7/3/2026, 11:00:04 a. m.</t>
  </si>
  <si>
    <t xml:space="preserve">Jhoyner Luis Rodríguez Navarro </t>
  </si>
  <si>
    <t>Carrera 20sur # 95-74 - Torre 20 apto 828</t>
  </si>
  <si>
    <t>Enviado 7/3/2026, 11:06:57 a. m.</t>
  </si>
  <si>
    <t xml:space="preserve">Ivan Sarmiento N </t>
  </si>
  <si>
    <t>573246813327</t>
  </si>
  <si>
    <t>29 | 105</t>
  </si>
  <si>
    <t>Enviado 7/3/2026, 11:23:16 a. m.</t>
  </si>
  <si>
    <t xml:space="preserve">Maria Paula Charris </t>
  </si>
  <si>
    <t>573173649429</t>
  </si>
  <si>
    <t>Valeria Rivero</t>
  </si>
  <si>
    <t>Enviado 7/3/2026, 11:24:49 a. m.</t>
  </si>
  <si>
    <t xml:space="preserve">ALEMAO morales </t>
  </si>
  <si>
    <t>Enviado 7/3/2026, 11:27:01 a. m.</t>
  </si>
  <si>
    <t xml:space="preserve">adrian jaramillo </t>
  </si>
  <si>
    <t>Enviado 7/3/2026, 11:39:57 a. m.</t>
  </si>
  <si>
    <t xml:space="preserve">Pedro Esmeral Castañeda </t>
  </si>
  <si>
    <t>Enviado 7/3/2026, 11:40:07 a. m.</t>
  </si>
  <si>
    <t xml:space="preserve">Sofía Uribe </t>
  </si>
  <si>
    <t>Enviado 7/3/2026, 11:45:41 a. m.</t>
  </si>
  <si>
    <t xml:space="preserve">Samitex Rodriguez </t>
  </si>
  <si>
    <t>29 | 52</t>
  </si>
  <si>
    <t>Enviado 7/3/2026, 11:50:51 a. m.</t>
  </si>
  <si>
    <t xml:space="preserve">Carlos Camargo </t>
  </si>
  <si>
    <t>573135975191</t>
  </si>
  <si>
    <t>11:49</t>
  </si>
  <si>
    <t>Enviado 7/3/2026, 11:51:52 a. m.</t>
  </si>
  <si>
    <t xml:space="preserve">Rafael Benitez mejia </t>
  </si>
  <si>
    <t>Enviado 7/3/2026, 11:56:11 a. m.</t>
  </si>
  <si>
    <t xml:space="preserve">Fernando Boyer </t>
  </si>
  <si>
    <t>573013460233</t>
  </si>
  <si>
    <t>Paseo de parque</t>
  </si>
  <si>
    <t>Enviado 7/3/2026, 11:57:45 a. m.</t>
  </si>
  <si>
    <t>Enviado 7/3/2026, 11:59:48 a. m.</t>
  </si>
  <si>
    <t xml:space="preserve">Alberto Peralta </t>
  </si>
  <si>
    <t>Enviado 7/3/2026, 12:00:15 p. m.</t>
  </si>
  <si>
    <t>573005553279</t>
  </si>
  <si>
    <t>Enviado 7/3/2026, 12:10:41 p. m.</t>
  </si>
  <si>
    <t xml:space="preserve">Andres mujica </t>
  </si>
  <si>
    <t>Enviado 7/3/2026, 12:11:14 p. m.</t>
  </si>
  <si>
    <t xml:space="preserve">jeider yordan </t>
  </si>
  <si>
    <t>minibox</t>
  </si>
  <si>
    <t>Enviado 7/3/2026, 12:14:28 p. m.</t>
  </si>
  <si>
    <t xml:space="preserve">Jorge uribe </t>
  </si>
  <si>
    <t>573024517351</t>
  </si>
  <si>
    <t>Enviado 7/3/2026, 12:17:39 p. m.</t>
  </si>
  <si>
    <t xml:space="preserve">Dorian Percy </t>
  </si>
  <si>
    <t>12012323440</t>
  </si>
  <si>
    <t>Katy Prada</t>
  </si>
  <si>
    <t>Enviado 7/3/2026, 12:20:44 p. m.</t>
  </si>
  <si>
    <t>Enviado 7/3/2026, 12:22:11 p. m.</t>
  </si>
  <si>
    <t xml:space="preserve">Andrés de Jesús madera Hernández </t>
  </si>
  <si>
    <t>573012043812</t>
  </si>
  <si>
    <t>Enviado 7/3/2026, 12:26:16 p. m.</t>
  </si>
  <si>
    <t xml:space="preserve">Jose luis Claros zabaleta </t>
  </si>
  <si>
    <t>29 | 70</t>
  </si>
  <si>
    <t>Enviado 7/3/2026, 12:34:04 p. m.</t>
  </si>
  <si>
    <t xml:space="preserve">Daniela Duarte </t>
  </si>
  <si>
    <t>Enviado 7/3/2026, 12:36:29 p. m.</t>
  </si>
  <si>
    <t xml:space="preserve">CALEB GARCES MANRIQUE RAPPI </t>
  </si>
  <si>
    <t>573002050746</t>
  </si>
  <si>
    <t>Enviado 7/3/2026, 12:42:20 p. m.</t>
  </si>
  <si>
    <t>2435949101</t>
  </si>
  <si>
    <t>573044617821</t>
  </si>
  <si>
    <t>Enviado 7/3/2026, 12:50:30 p. m.</t>
  </si>
  <si>
    <t xml:space="preserve">Juan Pablo De Armas </t>
  </si>
  <si>
    <t>58 | 29</t>
  </si>
  <si>
    <t>Enviado 7/3/2026, 12:51:01 p. m.</t>
  </si>
  <si>
    <t xml:space="preserve">camilo casas </t>
  </si>
  <si>
    <t>573003145207</t>
  </si>
  <si>
    <t>Enviado 7/3/2026, 12:51:32 p. m.</t>
  </si>
  <si>
    <t xml:space="preserve">Mafe Isaza </t>
  </si>
  <si>
    <t>573158063644</t>
  </si>
  <si>
    <t>Enviado 7/3/2026, 12:55:34 p. m.</t>
  </si>
  <si>
    <t xml:space="preserve">Angel chacon </t>
  </si>
  <si>
    <t>43 | 39</t>
  </si>
  <si>
    <t>Enviado 7/3/2026, 1:02:30 p. m.</t>
  </si>
  <si>
    <t xml:space="preserve">Lorainy Díaz </t>
  </si>
  <si>
    <t>573144908649</t>
  </si>
  <si>
    <t>Enviado 7/3/2026, 1:11:42 p. m.</t>
  </si>
  <si>
    <t xml:space="preserve">Nestor Campo </t>
  </si>
  <si>
    <t>573016746741</t>
  </si>
  <si>
    <t>Enviado 7/3/2026, 1:14:59 p. m.</t>
  </si>
  <si>
    <t xml:space="preserve">Ashlyn Ochoa </t>
  </si>
  <si>
    <t>Enviado 7/3/2026, 1:17:56 p. m.</t>
  </si>
  <si>
    <t xml:space="preserve">alvaro padilla </t>
  </si>
  <si>
    <t>573155605686</t>
  </si>
  <si>
    <t>Enviado 7/3/2026, 1:28:32 p. m.</t>
  </si>
  <si>
    <t xml:space="preserve">JD </t>
  </si>
  <si>
    <t>573008641212</t>
  </si>
  <si>
    <t>59 | 104</t>
  </si>
  <si>
    <t>450000</t>
  </si>
  <si>
    <t>Enviado 7/3/2026, 1:29:58 p. m.</t>
  </si>
  <si>
    <t>70 | 30 | 59</t>
  </si>
  <si>
    <t>409000</t>
  </si>
  <si>
    <t>Enviado 7/3/2026, 1:31:52 p. m.</t>
  </si>
  <si>
    <t>Enviado 7/3/2026, 1:32:50 p. m.</t>
  </si>
  <si>
    <t xml:space="preserve">Daniel sanchez </t>
  </si>
  <si>
    <t>Enviado 7/3/2026, 1:37:13 p. m.</t>
  </si>
  <si>
    <t xml:space="preserve">Andrea Mazo </t>
  </si>
  <si>
    <t>573013550351</t>
  </si>
  <si>
    <t>Enviado 7/3/2026, 1:41:02 p. m.</t>
  </si>
  <si>
    <t xml:space="preserve">Alexander Zapata </t>
  </si>
  <si>
    <t>Enviado 7/3/2026, 1:43:26 p. m.</t>
  </si>
  <si>
    <t xml:space="preserve">Jose David Varela Espejo </t>
  </si>
  <si>
    <t>Enviado 7/3/2026, 1:47:33 p. m.</t>
  </si>
  <si>
    <t xml:space="preserve">Juan Rozo </t>
  </si>
  <si>
    <t>Enviado 7/3/2026, 1:50:20 p. m.</t>
  </si>
  <si>
    <t xml:space="preserve">David Restrepo </t>
  </si>
  <si>
    <t>133000</t>
  </si>
  <si>
    <t>14:03</t>
  </si>
  <si>
    <t>Enviado 7/3/2026, 2:05:47 p. m.</t>
  </si>
  <si>
    <t xml:space="preserve">Mike kulykov </t>
  </si>
  <si>
    <t>Enviado 7/3/2026, 2:12:47 p. m.</t>
  </si>
  <si>
    <t>Enviado 7/3/2026, 2:19:49 p. m.</t>
  </si>
  <si>
    <t xml:space="preserve">Aury Michell Landinez Ardila </t>
  </si>
  <si>
    <t>3144885016</t>
  </si>
  <si>
    <t>Sharon Dayana Fajardo Ardila</t>
  </si>
  <si>
    <t>Enviado 7/3/2026, 2:27:45 p. m.</t>
  </si>
  <si>
    <t xml:space="preserve">Jesus David Balaguera Paternina </t>
  </si>
  <si>
    <t>Enviado 7/3/2026, 2:27:55 p. m.</t>
  </si>
  <si>
    <t xml:space="preserve">Julio Mario Rincon Ramos </t>
  </si>
  <si>
    <t>Enviado 7/3/2026, 2:29:58 p. m.</t>
  </si>
  <si>
    <t xml:space="preserve">Juan vargas RAPPI </t>
  </si>
  <si>
    <t>Enviado 7/3/2026, 2:34:34 p. m.</t>
  </si>
  <si>
    <t>573012136288</t>
  </si>
  <si>
    <t>Enviado 7/3/2026, 2:42:24 p. m.</t>
  </si>
  <si>
    <t xml:space="preserve">Salvatore Valdeblanquez cañas </t>
  </si>
  <si>
    <t>573012771247</t>
  </si>
  <si>
    <t>Paula Diazgrandos</t>
  </si>
  <si>
    <t>Enviado 7/3/2026, 2:42:27 p. m.</t>
  </si>
  <si>
    <t xml:space="preserve">Algoritmo plus SAS </t>
  </si>
  <si>
    <t>573215472589</t>
  </si>
  <si>
    <t>1 | 105 | 21 | 29 | 101</t>
  </si>
  <si>
    <t>1128600</t>
  </si>
  <si>
    <t>14:55</t>
  </si>
  <si>
    <t>Enviado 7/3/2026, 2:58:02 p. m.</t>
  </si>
  <si>
    <t xml:space="preserve">Carolina Britto Marquez </t>
  </si>
  <si>
    <t>Enviado 7/3/2026, 2:58:40 p. m.</t>
  </si>
  <si>
    <t xml:space="preserve">juan jose senior </t>
  </si>
  <si>
    <t>53 | 52</t>
  </si>
  <si>
    <t>Enviado 7/3/2026, 2:59:10 p. m.</t>
  </si>
  <si>
    <t xml:space="preserve">Orlando Santander </t>
  </si>
  <si>
    <t>573112969038</t>
  </si>
  <si>
    <t>29 | 30 | 53</t>
  </si>
  <si>
    <t>Orlando santander</t>
  </si>
  <si>
    <t>Enviado 7/3/2026, 3:07:08 p. m.</t>
  </si>
  <si>
    <t xml:space="preserve">Jose Bueso </t>
  </si>
  <si>
    <t>1 | 39</t>
  </si>
  <si>
    <t>617000</t>
  </si>
  <si>
    <t>Enviado 7/3/2026, 3:08:50 p. m.</t>
  </si>
  <si>
    <t xml:space="preserve">Luis Andrés Pérez </t>
  </si>
  <si>
    <t>573008822165</t>
  </si>
  <si>
    <t>Enviado 7/3/2026, 3:18:42 p. m.</t>
  </si>
  <si>
    <t xml:space="preserve">Daniel Vasquez </t>
  </si>
  <si>
    <t>Enviado 7/3/2026, 3:19:26 p. m.</t>
  </si>
  <si>
    <t>Enviado 7/3/2026, 3:21:42 p. m.</t>
  </si>
  <si>
    <t>573014785425</t>
  </si>
  <si>
    <t>Enviado 7/3/2026, 3:25:07 p. m.</t>
  </si>
  <si>
    <t xml:space="preserve">JUAN PABLO CORREA LLANOS </t>
  </si>
  <si>
    <t>15:24</t>
  </si>
  <si>
    <t>Enviado 7/3/2026, 3:26:55 p. m.</t>
  </si>
  <si>
    <t>Enviado 7/3/2026, 3:31:00 p. m.</t>
  </si>
  <si>
    <t xml:space="preserve">Diana María agresoth </t>
  </si>
  <si>
    <t>573016323295</t>
  </si>
  <si>
    <t>Andrea Berna</t>
  </si>
  <si>
    <t>Enviado 7/3/2026, 3:32:49 p. m.</t>
  </si>
  <si>
    <t xml:space="preserve">Federico Rueda </t>
  </si>
  <si>
    <t>Enviado 7/3/2026, 3:35:11 p. m.</t>
  </si>
  <si>
    <t xml:space="preserve">Salomón eljadue R </t>
  </si>
  <si>
    <t>573004522108</t>
  </si>
  <si>
    <t>Enviado 7/3/2026, 3:40:12 p. m.</t>
  </si>
  <si>
    <t xml:space="preserve">Hernando Quintero </t>
  </si>
  <si>
    <t>Enviado 7/3/2026, 3:44:19 p. m.</t>
  </si>
  <si>
    <t xml:space="preserve">Joel Cerpa </t>
  </si>
  <si>
    <t>17863815004</t>
  </si>
  <si>
    <t>85 | 39</t>
  </si>
  <si>
    <t>Enviado 7/3/2026, 3:48:00 p. m.</t>
  </si>
  <si>
    <t xml:space="preserve">Jair Alejo Verjel </t>
  </si>
  <si>
    <t>52 | 82</t>
  </si>
  <si>
    <t>Enviado 7/3/2026, 3:52:37 p. m.</t>
  </si>
  <si>
    <t xml:space="preserve">Alejandra vargas villalba </t>
  </si>
  <si>
    <t>Enviado 7/3/2026, 4:01:02 p. m.</t>
  </si>
  <si>
    <t xml:space="preserve">Karoll serrano </t>
  </si>
  <si>
    <t>Enviado 7/3/2026, 4:01:21 p. m.</t>
  </si>
  <si>
    <t xml:space="preserve">Fernando Bueno </t>
  </si>
  <si>
    <t>Enviado 7/3/2026, 4:05:23 p. m.</t>
  </si>
  <si>
    <t xml:space="preserve">Luis Guillermo Villar </t>
  </si>
  <si>
    <t>573145549122</t>
  </si>
  <si>
    <t>Enviado 7/3/2026, 4:16:16 p. m.</t>
  </si>
  <si>
    <t>VANESSA ESCUDERO</t>
  </si>
  <si>
    <t>149000</t>
  </si>
  <si>
    <t>Enviado 7/3/2026, 4:17:50 p. m.</t>
  </si>
  <si>
    <t>Enviado 7/3/2026, 4:18:45 p. m.</t>
  </si>
  <si>
    <t xml:space="preserve">Esteban Hoyos Jaramillo </t>
  </si>
  <si>
    <t>Enviado 7/3/2026, 4:21:58 p. m.</t>
  </si>
  <si>
    <t xml:space="preserve">HRD INVERSIONES </t>
  </si>
  <si>
    <t>573003858601</t>
  </si>
  <si>
    <t>535500</t>
  </si>
  <si>
    <t>Enviado 7/3/2026, 4:23:48 p. m.</t>
  </si>
  <si>
    <t>227000</t>
  </si>
  <si>
    <t>Enviado 7/3/2026, 4:28:09 p. m.</t>
  </si>
  <si>
    <t xml:space="preserve">Alejandro Carvajal Ballestas </t>
  </si>
  <si>
    <t>Enviado 7/3/2026, 4:32:21 p. m.</t>
  </si>
  <si>
    <t xml:space="preserve">Angel Manjon </t>
  </si>
  <si>
    <t>344654255225</t>
  </si>
  <si>
    <t>Enviado 7/3/2026, 4:40:11 p. m.</t>
  </si>
  <si>
    <t>Enviado 7/3/2026, 4:40:19 p. m.</t>
  </si>
  <si>
    <t xml:space="preserve">nayired ching </t>
  </si>
  <si>
    <t>Enviado 7/3/2026, 4:41:21 p. m.</t>
  </si>
  <si>
    <t xml:space="preserve">Andres Mejia </t>
  </si>
  <si>
    <t>573125118337</t>
  </si>
  <si>
    <t>Enviado 7/3/2026, 4:48:32 p. m.</t>
  </si>
  <si>
    <t>Enviado 7/3/2026, 4:50:54 p. m.</t>
  </si>
  <si>
    <t xml:space="preserve">Luis Fontalvo </t>
  </si>
  <si>
    <t>Enviado 7/3/2026, 4:53:32 p. m.</t>
  </si>
  <si>
    <t xml:space="preserve">Manuel Alejandro Jiménez Mercado </t>
  </si>
  <si>
    <t>Enviado 7/3/2026, 5:06:19 p. m.</t>
  </si>
  <si>
    <t xml:space="preserve">juan david hernandez </t>
  </si>
  <si>
    <t>Enviado 7/3/2026, 5:07:14 p. m.</t>
  </si>
  <si>
    <t>605000</t>
  </si>
  <si>
    <t>Enviado 7/3/2026, 5:07:17 p. m.</t>
  </si>
  <si>
    <t xml:space="preserve">Victor Hugo Aroca Aguilar </t>
  </si>
  <si>
    <t>Enviado 7/3/2026, 5:09:48 p. m.</t>
  </si>
  <si>
    <t>Enviado 7/3/2026, 5:13:48 p. m.</t>
  </si>
  <si>
    <t xml:space="preserve">Mariana Garzon </t>
  </si>
  <si>
    <t>573002201240</t>
  </si>
  <si>
    <t>95200</t>
  </si>
  <si>
    <t>Enviado 7/3/2026, 5:18:26 p. m.</t>
  </si>
  <si>
    <t xml:space="preserve">Catherine Crissien </t>
  </si>
  <si>
    <t>Enviado 7/3/2026, 5:58:53 p. m.</t>
  </si>
  <si>
    <t>Enviado 7/3/2026, 5:27:31 p. m.</t>
  </si>
  <si>
    <t>Enviado 7/3/2026, 5:30:27 p. m.</t>
  </si>
  <si>
    <t xml:space="preserve">Emir Andres Calaveras Quevedo </t>
  </si>
  <si>
    <t>573233315915</t>
  </si>
  <si>
    <t>Brillith Obregón</t>
  </si>
  <si>
    <t>Enviado 7/3/2026, 5:33:25 p. m.</t>
  </si>
  <si>
    <t>2× Bouquet 12 Rosas Rojas M/9</t>
  </si>
  <si>
    <t>285600</t>
  </si>
  <si>
    <t>Enviado 7/3/2026, 5:35:24 p. m.</t>
  </si>
  <si>
    <t xml:space="preserve">Camilo Franco </t>
  </si>
  <si>
    <t>573008588209</t>
  </si>
  <si>
    <t>Enviado 7/3/2026, 5:36:33 p. m.</t>
  </si>
  <si>
    <t xml:space="preserve">Mateo Reyes Orozco </t>
  </si>
  <si>
    <t>17:34</t>
  </si>
  <si>
    <t>Enviado 7/3/2026, 5:37:13 p. m.</t>
  </si>
  <si>
    <t xml:space="preserve">juancarlos hernandez </t>
  </si>
  <si>
    <t>Enviado 7/3/2026, 5:44:53 p. m.</t>
  </si>
  <si>
    <t xml:space="preserve">Santiago Sanchez </t>
  </si>
  <si>
    <t>Enviado 7/3/2026, 5:48:29 p. m.</t>
  </si>
  <si>
    <t xml:space="preserve">Andriu Romero </t>
  </si>
  <si>
    <t>573014686030</t>
  </si>
  <si>
    <t>Enviado 7/3/2026, 5:49:39 p. m.</t>
  </si>
  <si>
    <t xml:space="preserve">Daniel Lopez </t>
  </si>
  <si>
    <t>573205681382</t>
  </si>
  <si>
    <t>Enviado 7/3/2026, 5:51:42 p. m.</t>
  </si>
  <si>
    <t xml:space="preserve">Luis Fernando Hoyos </t>
  </si>
  <si>
    <t>Enviado 7/3/2026, 5:55:39 p. m.</t>
  </si>
  <si>
    <t xml:space="preserve">Josejorgue Benavides </t>
  </si>
  <si>
    <t>Enviado 7/3/2026, 6:05:07 p. m.</t>
  </si>
  <si>
    <t xml:space="preserve">ALVARO VILLAREAL </t>
  </si>
  <si>
    <t>Enviado 7/3/2026, 6:11:12 p. m.</t>
  </si>
  <si>
    <t xml:space="preserve">Manuel Macías Ríos </t>
  </si>
  <si>
    <t>Enviado 7/3/2026, 6:12:23 p. m.</t>
  </si>
  <si>
    <t xml:space="preserve">Iván Darío Ruiz </t>
  </si>
  <si>
    <t>Enviado 7/3/2026, 6:14:36 p. m.</t>
  </si>
  <si>
    <t xml:space="preserve">Kevin Espinosa </t>
  </si>
  <si>
    <t>573144870628</t>
  </si>
  <si>
    <t xml:space="preserve">Mireya Velez </t>
  </si>
  <si>
    <t>573106364062</t>
  </si>
  <si>
    <t>Claudia Chacón</t>
  </si>
  <si>
    <t>Enviado 7/3/2026, 6:28:30 p. m.</t>
  </si>
  <si>
    <t xml:space="preserve">Lucas Avila Manotas </t>
  </si>
  <si>
    <t>Enviado 7/3/2026, 6:32:06 p. m.</t>
  </si>
  <si>
    <t xml:space="preserve">María Alejandra Cotes </t>
  </si>
  <si>
    <t>Enviado 7/3/2026, 6:34:10 p. m.</t>
  </si>
  <si>
    <t xml:space="preserve">Daniel Marquez </t>
  </si>
  <si>
    <t>3217215223</t>
  </si>
  <si>
    <t>Silvana Betancourt</t>
  </si>
  <si>
    <t>Enviado 7/3/2026, 6:35:54 p. m.</t>
  </si>
  <si>
    <t xml:space="preserve">Lauren Ramírez </t>
  </si>
  <si>
    <t>41 | 100</t>
  </si>
  <si>
    <t>Enviado 7/3/2026, 6:42:07 p. m.</t>
  </si>
  <si>
    <t xml:space="preserve">Hans wehdeking </t>
  </si>
  <si>
    <t>Enviado 7/3/2026, 6:46:38 p. m.</t>
  </si>
  <si>
    <t xml:space="preserve">Carlos Rueda </t>
  </si>
  <si>
    <t>18:47</t>
  </si>
  <si>
    <t>Enviado 7/3/2026, 6:51:25 p. m.</t>
  </si>
  <si>
    <t xml:space="preserve">Michael Hainsfurth </t>
  </si>
  <si>
    <t>18:54</t>
  </si>
  <si>
    <t>Enviado 7/3/2026, 6:57:48 p. m.</t>
  </si>
  <si>
    <t xml:space="preserve">Alberto Urueta </t>
  </si>
  <si>
    <t>Enviado 7/3/2026, 7:06:30 p. m.</t>
  </si>
  <si>
    <t xml:space="preserve">Nicolas orozco </t>
  </si>
  <si>
    <t>19:07</t>
  </si>
  <si>
    <t>Enviado 7/3/2026, 7:11:32 p. m.</t>
  </si>
  <si>
    <t xml:space="preserve">Jose Carlier </t>
  </si>
  <si>
    <t>Enviado 7/3/2026, 7:11:58 p. m.</t>
  </si>
  <si>
    <t xml:space="preserve">Valentina quiñones </t>
  </si>
  <si>
    <t>573187321627</t>
  </si>
  <si>
    <t>Vanesa escudero</t>
  </si>
  <si>
    <t>19:10</t>
  </si>
  <si>
    <t>Enviado 7/3/2026, 7:13:17 p. m.</t>
  </si>
  <si>
    <t>19:15</t>
  </si>
  <si>
    <t>Enviado 7/3/2026, 7:17:55 p. m.</t>
  </si>
  <si>
    <t xml:space="preserve">erick price </t>
  </si>
  <si>
    <t>19:23</t>
  </si>
  <si>
    <t>Enviado 7/3/2026, 7:26:33 p. m.</t>
  </si>
  <si>
    <t xml:space="preserve">Jaime Martínez </t>
  </si>
  <si>
    <t>573013882003</t>
  </si>
  <si>
    <t>Carmen Sánchez</t>
  </si>
  <si>
    <t>19:31</t>
  </si>
  <si>
    <t>Enviado 7/3/2026, 7:34:40 p. m.</t>
  </si>
  <si>
    <t xml:space="preserve">Maximiliam Garcia Camacho </t>
  </si>
  <si>
    <t>19:36</t>
  </si>
  <si>
    <t>Enviado 7/3/2026, 7:38:28 p. m.</t>
  </si>
  <si>
    <t xml:space="preserve">Isabella Villadiego </t>
  </si>
  <si>
    <t>19:48</t>
  </si>
  <si>
    <t>Enviado 7/3/2026, 7:50:45 p. m.</t>
  </si>
  <si>
    <t>19:59</t>
  </si>
  <si>
    <t>Enviado 7/3/2026, 8:02:54 p. m.</t>
  </si>
  <si>
    <t xml:space="preserve">Nathalia fernandez </t>
  </si>
  <si>
    <t>20:12</t>
  </si>
  <si>
    <t>Enviado 7/3/2026, 8:15:38 p. m.</t>
  </si>
  <si>
    <t xml:space="preserve">María Tapia </t>
  </si>
  <si>
    <t>573042441999</t>
  </si>
  <si>
    <t>Viviana Mora</t>
  </si>
  <si>
    <t>20:23</t>
  </si>
  <si>
    <t>Enviado 7/3/2026, 8:27:13 p. m.</t>
  </si>
  <si>
    <t xml:space="preserve">ivan cabarcas </t>
  </si>
  <si>
    <t>573008368202</t>
  </si>
  <si>
    <t>20:34</t>
  </si>
  <si>
    <t>Enviado 7/3/2026, 8:37:31 p. m.</t>
  </si>
  <si>
    <t>20:54</t>
  </si>
  <si>
    <t>Enviado 7/3/2026, 8:56:26 p. m.</t>
  </si>
  <si>
    <t xml:space="preserve">Javier Eduardo Sanchez Cantillo </t>
  </si>
  <si>
    <t>573052578032</t>
  </si>
  <si>
    <t>21:15</t>
  </si>
  <si>
    <t>Enviado 7/3/2026, 9:18:02 p. m.</t>
  </si>
  <si>
    <t xml:space="preserve">NATALY RUDAS </t>
  </si>
  <si>
    <t>21:17</t>
  </si>
  <si>
    <t>Enviado 7/3/2026, 9:19:46 p. m.</t>
  </si>
  <si>
    <t xml:space="preserve">Samuel Pombo </t>
  </si>
  <si>
    <t>21:50</t>
  </si>
  <si>
    <t>Enviado 7/3/2026, 9:54:04 p. m.</t>
  </si>
  <si>
    <t xml:space="preserve">Giovanni Mastroianni </t>
  </si>
  <si>
    <t>21:56</t>
  </si>
  <si>
    <t>Enviado 7/3/2026, 9:58:19 p. m.</t>
  </si>
  <si>
    <t>Enviado 8/3/2026, 7:40:57 a. m.</t>
  </si>
  <si>
    <t>573017245671</t>
  </si>
  <si>
    <t>Enviado 8/3/2026, 8:50:33 a. m.</t>
  </si>
  <si>
    <t xml:space="preserve">María Mercedes rueda </t>
  </si>
  <si>
    <t>Enviado 8/3/2026, 8:52:18 a. m.</t>
  </si>
  <si>
    <t xml:space="preserve">Santiago coronado Martínez </t>
  </si>
  <si>
    <t>Enviado 8/3/2026, 9:02:40 a. m.</t>
  </si>
  <si>
    <t xml:space="preserve">Wilson leon </t>
  </si>
  <si>
    <t>536000</t>
  </si>
  <si>
    <t>Enviado 8/3/2026, 9:14:32 a. m.</t>
  </si>
  <si>
    <t>573023902381</t>
  </si>
  <si>
    <t>Enviado 8/3/2026, 9:15:36 a. m.</t>
  </si>
  <si>
    <t xml:space="preserve">Fredy Lugo </t>
  </si>
  <si>
    <t>Enviado 8/3/2026, 9:18:12 a. m.</t>
  </si>
  <si>
    <t xml:space="preserve">Mateo Cantillo </t>
  </si>
  <si>
    <t>Enviado 8/3/2026, 9:37:02 a. m.</t>
  </si>
  <si>
    <t xml:space="preserve">GUSTAVO DURAN </t>
  </si>
  <si>
    <t>Enviado 8/3/2026, 9:48:08 a. m.</t>
  </si>
  <si>
    <t xml:space="preserve">Luis Monsalvo </t>
  </si>
  <si>
    <t>Enviado 8/3/2026, 9:59:08 a. m.</t>
  </si>
  <si>
    <t xml:space="preserve">JUAN DAVID ABISAMBRA </t>
  </si>
  <si>
    <t>57003176637</t>
  </si>
  <si>
    <t>Enviado 8/3/2026, 10:06:56 a. m.</t>
  </si>
  <si>
    <t xml:space="preserve">María arteta </t>
  </si>
  <si>
    <t>573006358140</t>
  </si>
  <si>
    <t>Maria arteta</t>
  </si>
  <si>
    <t>Enviado 8/3/2026, 10:08:28 a. m.</t>
  </si>
  <si>
    <t xml:space="preserve">Salin Rizcala </t>
  </si>
  <si>
    <t>Enviado 8/3/2026, 10:13:37 a. m.</t>
  </si>
  <si>
    <t xml:space="preserve">Yeison David de la torre </t>
  </si>
  <si>
    <t>573186808218</t>
  </si>
  <si>
    <t>21 | 29</t>
  </si>
  <si>
    <t>Enviado 8/3/2026, 10:13:50 a. m.</t>
  </si>
  <si>
    <t xml:space="preserve">William Moreno calderon </t>
  </si>
  <si>
    <t>Enviado 8/3/2026, 10:16:11 a. m.</t>
  </si>
  <si>
    <t xml:space="preserve">Alberto Villarreal Bernal </t>
  </si>
  <si>
    <t>573045849541</t>
  </si>
  <si>
    <t>Luisa Fernanda Mejía</t>
  </si>
  <si>
    <t>Enviado 8/3/2026, 10:18:29 a. m.</t>
  </si>
  <si>
    <t xml:space="preserve">SAMIR LISSA </t>
  </si>
  <si>
    <t>Enviado 8/3/2026, 10:20:25 a. m.</t>
  </si>
  <si>
    <t xml:space="preserve">Jimi Caleth Povea Navarro </t>
  </si>
  <si>
    <t>573004826083</t>
  </si>
  <si>
    <t>53 | 81</t>
  </si>
  <si>
    <t>Enviado 8/3/2026, 10:21:39 a. m.</t>
  </si>
  <si>
    <t>573015934541</t>
  </si>
  <si>
    <t>Ana Condia</t>
  </si>
  <si>
    <t>Enviado 8/3/2026, 10:21:40 a. m.</t>
  </si>
  <si>
    <t xml:space="preserve">Sofía Hoyos </t>
  </si>
  <si>
    <t>573014139346</t>
  </si>
  <si>
    <t>104 | 82</t>
  </si>
  <si>
    <t>303000</t>
  </si>
  <si>
    <t>Enviado 8/3/2026, 10:22:55 a. m.</t>
  </si>
  <si>
    <t xml:space="preserve">Jesús Martínez </t>
  </si>
  <si>
    <t>Enviado 8/3/2026, 10:26:13 a. m.</t>
  </si>
  <si>
    <t xml:space="preserve">Juan Díaz </t>
  </si>
  <si>
    <t>Luisa sanmiguel</t>
  </si>
  <si>
    <t>Enviado 8/3/2026, 10:28:25 a. m.</t>
  </si>
  <si>
    <t xml:space="preserve">Rosmeri palomino </t>
  </si>
  <si>
    <t>1× Bouquet 6 Rosas Rojas M/10 - 4 solitarios rosas</t>
  </si>
  <si>
    <t>Enviado 8/3/2026, 10:31:32 a. m.</t>
  </si>
  <si>
    <t xml:space="preserve">Jesus Camaño </t>
  </si>
  <si>
    <t>103 | 70</t>
  </si>
  <si>
    <t>1× Encanto lila  M/15 | 1× Cerámica Sweet Pea M/16</t>
  </si>
  <si>
    <t>259000</t>
  </si>
  <si>
    <t>Enviado 8/3/2026, 10:39:28 a. m.</t>
  </si>
  <si>
    <t xml:space="preserve">Carlos Paternina </t>
  </si>
  <si>
    <t>Enviado 8/3/2026, 10:39:50 a. m.</t>
  </si>
  <si>
    <t xml:space="preserve">David Ricardo </t>
  </si>
  <si>
    <t>573502817351</t>
  </si>
  <si>
    <t>Enviado 8/3/2026, 10:39:58 a. m.</t>
  </si>
  <si>
    <t xml:space="preserve">Gabriel Dykhoff serrano </t>
  </si>
  <si>
    <t>Enviado 8/3/2026, 10:43:08 a. m.</t>
  </si>
  <si>
    <t xml:space="preserve">Eveli Barrio </t>
  </si>
  <si>
    <t>Enviado 8/3/2026, 10:50:29 a. m.</t>
  </si>
  <si>
    <t xml:space="preserve">Rafael Campis </t>
  </si>
  <si>
    <t>106 | 103</t>
  </si>
  <si>
    <t>Enviado 8/3/2026, 10:53:10 a. m.</t>
  </si>
  <si>
    <t xml:space="preserve">Mauricio Sandoval </t>
  </si>
  <si>
    <t>Enviado 8/3/2026, 10:53:13 a. m.</t>
  </si>
  <si>
    <t xml:space="preserve">Eduardo Pachano </t>
  </si>
  <si>
    <t>573004214517</t>
  </si>
  <si>
    <t>10:52</t>
  </si>
  <si>
    <t>Enviado 8/3/2026, 10:55:28 a. m.</t>
  </si>
  <si>
    <t xml:space="preserve">Fabián Padilla </t>
  </si>
  <si>
    <t>Enviado 8/3/2026, 10:55:51 a. m.</t>
  </si>
  <si>
    <t xml:space="preserve">Hernando Carrazco </t>
  </si>
  <si>
    <t>573173579313</t>
  </si>
  <si>
    <t>Enviado 8/3/2026, 11:05:15 a. m.</t>
  </si>
  <si>
    <t xml:space="preserve">David Santiago Meza Filomena </t>
  </si>
  <si>
    <t>573024384118</t>
  </si>
  <si>
    <t>David Meza</t>
  </si>
  <si>
    <t>Enviado 8/3/2026, 11:07:08 a. m.</t>
  </si>
  <si>
    <t>Enviado 8/3/2026, 11:12:03 a. m.</t>
  </si>
  <si>
    <t>Transferencia QR</t>
  </si>
  <si>
    <t>573106336999</t>
  </si>
  <si>
    <t>Enviado 8/3/2026, 11:21:02 a. m.</t>
  </si>
  <si>
    <t xml:space="preserve">Giovanni Villarreal </t>
  </si>
  <si>
    <t>573006489514</t>
  </si>
  <si>
    <t>Enviado 8/3/2026, 11:22:14 a. m.</t>
  </si>
  <si>
    <t>Enviado 8/3/2026, 11:26:35 a. m.</t>
  </si>
  <si>
    <t xml:space="preserve">Jesus Alberto Cardoso </t>
  </si>
  <si>
    <t>Enviado 8/3/2026, 11:37:23 a. m.</t>
  </si>
  <si>
    <t xml:space="preserve">Jaiver fonseca </t>
  </si>
  <si>
    <t>Enviado 8/3/2026, 11:41:32 a. m.</t>
  </si>
  <si>
    <t xml:space="preserve">CARLOS SANCHEZ </t>
  </si>
  <si>
    <t>5712398497780</t>
  </si>
  <si>
    <t>NATALIA VILLALBA</t>
  </si>
  <si>
    <t>Enviado 8/3/2026, 11:46:46 a. m.</t>
  </si>
  <si>
    <t xml:space="preserve">Alisson prentt viloria </t>
  </si>
  <si>
    <t>44 | 81</t>
  </si>
  <si>
    <t>213000</t>
  </si>
  <si>
    <t>Enviado 8/3/2026, 11:51:37 a. m.</t>
  </si>
  <si>
    <t xml:space="preserve">José Segebre </t>
  </si>
  <si>
    <t>57321524086969</t>
  </si>
  <si>
    <t>Enviado 8/3/2026, 11:58:05 a. m.</t>
  </si>
  <si>
    <t xml:space="preserve">Andres De la Hoz Hoz </t>
  </si>
  <si>
    <t>Enviado 8/3/2026, 12:01:03 p. m.</t>
  </si>
  <si>
    <t xml:space="preserve">Leiner salas </t>
  </si>
  <si>
    <t>Enviado 8/3/2026, 12:05:25 p. m.</t>
  </si>
  <si>
    <t xml:space="preserve">Juan dario valencia Benavides </t>
  </si>
  <si>
    <t>Enviado 8/3/2026, 12:06:23 p. m.</t>
  </si>
  <si>
    <t xml:space="preserve">Andres Vargas </t>
  </si>
  <si>
    <t>Enviado 8/3/2026, 12:16:45 p. m.</t>
  </si>
  <si>
    <t xml:space="preserve">Ricardo A Vives Torres </t>
  </si>
  <si>
    <t>573004568021</t>
  </si>
  <si>
    <t>Enviado 8/3/2026, 12:16:44 p. m.</t>
  </si>
  <si>
    <t>Enviado 8/3/2026, 12:18:42 p. m.</t>
  </si>
  <si>
    <t>573128297775</t>
  </si>
  <si>
    <t>Camila Benítez</t>
  </si>
  <si>
    <t>Enviado 8/3/2026, 12:20:44 p. m.</t>
  </si>
  <si>
    <t xml:space="preserve">Edgardo Ramírez </t>
  </si>
  <si>
    <t>573243585945</t>
  </si>
  <si>
    <t>Enviado 8/3/2026, 12:20:54 p. m.</t>
  </si>
  <si>
    <t>573114239021</t>
  </si>
  <si>
    <t>Enviado 8/3/2026, 12:22:31 p. m.</t>
  </si>
  <si>
    <t xml:space="preserve">Jonathan orozco valencia </t>
  </si>
  <si>
    <t>573013506011</t>
  </si>
  <si>
    <t>Diana valencia</t>
  </si>
  <si>
    <t>Enviado 8/3/2026, 12:25:00 p. m.</t>
  </si>
  <si>
    <t>Enviado 8/3/2026, 12:25:47 p. m.</t>
  </si>
  <si>
    <t xml:space="preserve">vladimir pinzon cardenas </t>
  </si>
  <si>
    <t>Enviado 8/3/2026, 12:28:09 p. m.</t>
  </si>
  <si>
    <t xml:space="preserve">Yesid olivero </t>
  </si>
  <si>
    <t>1× Arreglo Personalizado- bouquet 4 rosas</t>
  </si>
  <si>
    <t>Enviado 8/3/2026, 12:37:32 p. m.</t>
  </si>
  <si>
    <t xml:space="preserve">Santiago Ramón Blanco Estrada </t>
  </si>
  <si>
    <t>573028023810</t>
  </si>
  <si>
    <t>Marcela Pérez</t>
  </si>
  <si>
    <t>Enviado 8/3/2026, 12:40:40 p. m.</t>
  </si>
  <si>
    <t xml:space="preserve">3246899919 </t>
  </si>
  <si>
    <t>573246899919</t>
  </si>
  <si>
    <t>Enviado 8/3/2026, 12:43:19 p. m.</t>
  </si>
  <si>
    <t xml:space="preserve">sebastian escalante </t>
  </si>
  <si>
    <t>Enviado 8/3/2026, 12:44:17 p. m.</t>
  </si>
  <si>
    <t xml:space="preserve">Esteban Correa </t>
  </si>
  <si>
    <t>Enviado 8/3/2026, 12:44:42 p. m.</t>
  </si>
  <si>
    <t xml:space="preserve">Geraldine Herrera </t>
  </si>
  <si>
    <t>Enviado 8/3/2026, 12:46:33 p. m.</t>
  </si>
  <si>
    <t xml:space="preserve">Juan Diego Molina Peñate </t>
  </si>
  <si>
    <t>Enviado 8/3/2026, 12:49:49 p. m.</t>
  </si>
  <si>
    <t xml:space="preserve">Josué cantillo </t>
  </si>
  <si>
    <t>Enviado 8/3/2026, 1:01:59 p. m.</t>
  </si>
  <si>
    <t xml:space="preserve">Emelis Orozco </t>
  </si>
  <si>
    <t>Enviado 8/3/2026, 1:03:36 p. m.</t>
  </si>
  <si>
    <t xml:space="preserve">Franklin Pineres </t>
  </si>
  <si>
    <t>573116629388</t>
  </si>
  <si>
    <t>Emily Acuña</t>
  </si>
  <si>
    <t>13:10</t>
  </si>
  <si>
    <t>Enviado 8/3/2026, 1:13:56 p. m.</t>
  </si>
  <si>
    <t xml:space="preserve">Leonardo Daniel Meza Cantillo </t>
  </si>
  <si>
    <t>3107063615</t>
  </si>
  <si>
    <t>Enviado 8/3/2026, 1:14:19 p. m.</t>
  </si>
  <si>
    <t xml:space="preserve">Ronald Bayena </t>
  </si>
  <si>
    <t>52 | 84</t>
  </si>
  <si>
    <t>Enviado 8/3/2026, 1:17:21 p. m.</t>
  </si>
  <si>
    <t xml:space="preserve">Madeleine Vecino </t>
  </si>
  <si>
    <t>573004400740</t>
  </si>
  <si>
    <t>Madelein Chacón</t>
  </si>
  <si>
    <t>Enviado 8/3/2026, 1:19:03 p. m.</t>
  </si>
  <si>
    <t xml:space="preserve">Juan Esteban Camacho Reyes </t>
  </si>
  <si>
    <t>58 | 81</t>
  </si>
  <si>
    <t>Enviado 8/3/2026, 1:22:31 p. m.</t>
  </si>
  <si>
    <t xml:space="preserve">Pedro Marquez </t>
  </si>
  <si>
    <t>Enviado 8/3/2026, 1:23:03 p. m.</t>
  </si>
  <si>
    <t xml:space="preserve">Carlos Bayuelo </t>
  </si>
  <si>
    <t>29 | 105 | 58</t>
  </si>
  <si>
    <t>Enviado 8/3/2026, 1:29:18 p. m.</t>
  </si>
  <si>
    <t xml:space="preserve">Ana María Martínez </t>
  </si>
  <si>
    <t>573152727192</t>
  </si>
  <si>
    <t>Enviado 8/3/2026, 1:31:06 p. m.</t>
  </si>
  <si>
    <t xml:space="preserve">Jose Llanos </t>
  </si>
  <si>
    <t>29 | 106</t>
  </si>
  <si>
    <t>Enviado 8/3/2026, 1:34:10 p. m.</t>
  </si>
  <si>
    <t xml:space="preserve">Daniel Maestre </t>
  </si>
  <si>
    <t>Enviado 8/3/2026, 1:39:37 p. m.</t>
  </si>
  <si>
    <t xml:space="preserve">Gustavo Cantero </t>
  </si>
  <si>
    <t>573009477121</t>
  </si>
  <si>
    <t>Enviado 8/3/2026, 1:41:40 p. m.</t>
  </si>
  <si>
    <t xml:space="preserve">Gerardo Ortega </t>
  </si>
  <si>
    <t>Enviado 8/3/2026, 1:41:50 p. m.</t>
  </si>
  <si>
    <t xml:space="preserve">Yamal Saghair </t>
  </si>
  <si>
    <t>573008446022</t>
  </si>
  <si>
    <t>Enviado 8/3/2026, 2:09:55 p. m.</t>
  </si>
  <si>
    <t xml:space="preserve">Juan pablo Muñoz gomez </t>
  </si>
  <si>
    <t>Enviado 8/3/2026, 2:10:47 p. m.</t>
  </si>
  <si>
    <t xml:space="preserve">Nico Sanchez </t>
  </si>
  <si>
    <t>Enviado 8/3/2026, 2:11:38 p. m.</t>
  </si>
  <si>
    <t xml:space="preserve">Samia Maloof </t>
  </si>
  <si>
    <t>Enviado 8/3/2026, 2:13:24 p. m.</t>
  </si>
  <si>
    <t xml:space="preserve">Manuel Vega </t>
  </si>
  <si>
    <t>Enviado 8/3/2026, 2:22:26 p. m.</t>
  </si>
  <si>
    <t xml:space="preserve">Adrián Raya Carmona </t>
  </si>
  <si>
    <t>62 | 29</t>
  </si>
  <si>
    <t>295000</t>
  </si>
  <si>
    <t>Enviado 8/3/2026, 2:22:50 p. m.</t>
  </si>
  <si>
    <t>Enviado 8/3/2026, 2:28:02 p. m.</t>
  </si>
  <si>
    <t>Enviado 8/3/2026, 2:35:46 p. m.</t>
  </si>
  <si>
    <t xml:space="preserve">Nicolás Fuentes </t>
  </si>
  <si>
    <t>Enviado 8/3/2026, 2:36:31 p. m.</t>
  </si>
  <si>
    <t xml:space="preserve">Andrés Serret </t>
  </si>
  <si>
    <t>Enviado 8/3/2026, 2:43:37 p. m.</t>
  </si>
  <si>
    <t xml:space="preserve">Juan Esteban Certain </t>
  </si>
  <si>
    <t>Enviado 8/3/2026, 2:49:17 p. m.</t>
  </si>
  <si>
    <t xml:space="preserve">David Gomez </t>
  </si>
  <si>
    <t>Enviado 8/3/2026, 2:50:46 p. m.</t>
  </si>
  <si>
    <t xml:space="preserve">Javier Chacon </t>
  </si>
  <si>
    <t>58 | 82</t>
  </si>
  <si>
    <t>Enviado 8/3/2026, 2:53:47 p. m.</t>
  </si>
  <si>
    <t xml:space="preserve">Joiker Alejandro </t>
  </si>
  <si>
    <t>29 | 81</t>
  </si>
  <si>
    <t>Enviado 8/3/2026, 3:06:59 p. m.</t>
  </si>
  <si>
    <t>Enviado 8/3/2026, 3:09:10 p. m.</t>
  </si>
  <si>
    <t xml:space="preserve">DISTRIBUCIONES ARPOL SAS </t>
  </si>
  <si>
    <t>Enviado 8/3/2026, 3:13:13 p. m.</t>
  </si>
  <si>
    <t>Enviado 8/3/2026, 3:14:33 p. m.</t>
  </si>
  <si>
    <t xml:space="preserve">Mauricio Andrés Figueroa Ricardo </t>
  </si>
  <si>
    <t>Enviado 8/3/2026, 3:16:19 p. m.</t>
  </si>
  <si>
    <t>57320940951551</t>
  </si>
  <si>
    <t>Enviado 8/3/2026, 3:26:00 p. m.</t>
  </si>
  <si>
    <t xml:space="preserve">María andrea Rodríguez </t>
  </si>
  <si>
    <t>Enviado 8/3/2026, 3:28:55 p. m.</t>
  </si>
  <si>
    <t>Enviado 8/3/2026, 3:29:43 p. m.</t>
  </si>
  <si>
    <t xml:space="preserve">alex avilez </t>
  </si>
  <si>
    <t>Enviado 8/3/2026, 3:31:49 p. m.</t>
  </si>
  <si>
    <t xml:space="preserve">Jaime Daza </t>
  </si>
  <si>
    <t>Enviado 8/3/2026, 3:36:49 p. m.</t>
  </si>
  <si>
    <t xml:space="preserve">Jafet Camacho </t>
  </si>
  <si>
    <t>573126737737</t>
  </si>
  <si>
    <t>Katleen</t>
  </si>
  <si>
    <t>Enviado 8/3/2026, 3:47:28 p. m.</t>
  </si>
  <si>
    <t xml:space="preserve">Franklin Bravo </t>
  </si>
  <si>
    <t>Enviado 8/3/2026, 3:51:26 p. m.</t>
  </si>
  <si>
    <t xml:space="preserve">federico ahumada </t>
  </si>
  <si>
    <t>57000000000</t>
  </si>
  <si>
    <t>Enviado 8/3/2026, 3:51:33 p. m.</t>
  </si>
  <si>
    <t xml:space="preserve">Laura Campo </t>
  </si>
  <si>
    <t>Enviado 8/3/2026, 3:52:07 p. m.</t>
  </si>
  <si>
    <t>Enviado 8/3/2026, 3:56:29 p. m.</t>
  </si>
  <si>
    <t xml:space="preserve">Jeiner Ramos </t>
  </si>
  <si>
    <t>58 | 70</t>
  </si>
  <si>
    <t>219000</t>
  </si>
  <si>
    <t>Enviado 8/3/2026, 4:05:25 p. m.</t>
  </si>
  <si>
    <t xml:space="preserve">Jhan Carlos Manosalva </t>
  </si>
  <si>
    <t>129000</t>
  </si>
  <si>
    <t>Enviado 8/3/2026, 4:06:49 p. m.</t>
  </si>
  <si>
    <t xml:space="preserve">Yarides pava </t>
  </si>
  <si>
    <t>Enviado 8/3/2026, 4:20:44 p. m.</t>
  </si>
  <si>
    <t xml:space="preserve">Natalia Quintero </t>
  </si>
  <si>
    <t>Enviado 8/3/2026, 4:28:57 p. m.</t>
  </si>
  <si>
    <t xml:space="preserve">Mairobis Rios </t>
  </si>
  <si>
    <t>573013053173</t>
  </si>
  <si>
    <t>Enviado 8/3/2026, 4:34:13 p. m.</t>
  </si>
  <si>
    <t xml:space="preserve">Eder Alfredo Barraza Arias </t>
  </si>
  <si>
    <t>573045346498</t>
  </si>
  <si>
    <t>Michelle Andrea Rodríguez Villalba</t>
  </si>
  <si>
    <t>Enviado 8/3/2026, 4:39:39 p. m.</t>
  </si>
  <si>
    <t>573222222222</t>
  </si>
  <si>
    <t>Enviado 8/3/2026, 5:06:27 p. m.</t>
  </si>
  <si>
    <t xml:space="preserve">jorge orozco </t>
  </si>
  <si>
    <t>5776465214</t>
  </si>
  <si>
    <t>Enviado 8/3/2026, 6:07:14 p. m.</t>
  </si>
  <si>
    <t xml:space="preserve">Francisco Pacheco </t>
  </si>
  <si>
    <t>Enviado 9/3/2026, 7:49:45 a. m.</t>
  </si>
  <si>
    <t xml:space="preserve">Jocelyn Sanchez </t>
  </si>
  <si>
    <t>Enviado 9/3/2026, 8:09:32 a. m.</t>
  </si>
  <si>
    <t xml:space="preserve">David Cure </t>
  </si>
  <si>
    <t>573000000002</t>
  </si>
  <si>
    <t>Enviado 9/3/2026, 8:22:00 a. m.</t>
  </si>
  <si>
    <t xml:space="preserve">Isaac Cordoba </t>
  </si>
  <si>
    <t>Enviado 9/3/2026, 8:22:27 a. m.</t>
  </si>
  <si>
    <t xml:space="preserve">Elkin Meyer Silio </t>
  </si>
  <si>
    <t>573213197043</t>
  </si>
  <si>
    <t>08:19</t>
  </si>
  <si>
    <t>Enviado 9/3/2026, 8:23:24 a. m.</t>
  </si>
  <si>
    <t xml:space="preserve">Diana Del valle </t>
  </si>
  <si>
    <t>5731477372744</t>
  </si>
  <si>
    <t>Enviado 9/3/2026, 8:23:52 a. m.</t>
  </si>
  <si>
    <t xml:space="preserve">gustavo lara </t>
  </si>
  <si>
    <t>573004645452</t>
  </si>
  <si>
    <t>Enviado 9/3/2026, 8:46:26 a. m.</t>
  </si>
  <si>
    <t xml:space="preserve">luis hereida </t>
  </si>
  <si>
    <t>Enviado 9/3/2026, 8:53:55 a. m.</t>
  </si>
  <si>
    <t xml:space="preserve">Jose Marquez </t>
  </si>
  <si>
    <t>573015425547</t>
  </si>
  <si>
    <t>53 | 86</t>
  </si>
  <si>
    <t>Enviado 9/3/2026, 8:59:24 a. m.</t>
  </si>
  <si>
    <t xml:space="preserve">Aura Castro Perez </t>
  </si>
  <si>
    <t>Enviado 9/3/2026, 9:14:40 a. m.</t>
  </si>
  <si>
    <t>Enviado 9/3/2026, 9:17:48 a. m.</t>
  </si>
  <si>
    <t xml:space="preserve">cristina villa </t>
  </si>
  <si>
    <t>Enviado 9/3/2026, 9:37:52 a. m.</t>
  </si>
  <si>
    <t xml:space="preserve">Luz Ojeda </t>
  </si>
  <si>
    <t>17867257308</t>
  </si>
  <si>
    <t>164000</t>
  </si>
  <si>
    <t>Enviado 9/3/2026, 9:56:42 a. m.</t>
  </si>
  <si>
    <t xml:space="preserve">Ana Isabel Condia Aragon </t>
  </si>
  <si>
    <t>Enviado 9/3/2026, 10:03:13 a. m.</t>
  </si>
  <si>
    <t xml:space="preserve">Johana Cifuentes </t>
  </si>
  <si>
    <t>Enviado 9/3/2026, 10:09:00 a. m.</t>
  </si>
  <si>
    <t xml:space="preserve">Juliana Blanco </t>
  </si>
  <si>
    <t>Enviado 9/3/2026, 10:13:20 a. m.</t>
  </si>
  <si>
    <t xml:space="preserve">Juan Ali </t>
  </si>
  <si>
    <t>573016545547</t>
  </si>
  <si>
    <t>Enviado 9/3/2026, 10:21:53 a. m.</t>
  </si>
  <si>
    <t xml:space="preserve">Maria Munoz </t>
  </si>
  <si>
    <t>Enviado 9/3/2026, 10:48:23 a. m.</t>
  </si>
  <si>
    <t xml:space="preserve">Antoine fernandez Anton </t>
  </si>
  <si>
    <t>Enviado 9/3/2026, 11:21:00 a. m.</t>
  </si>
  <si>
    <t xml:space="preserve">Sara Santamaria </t>
  </si>
  <si>
    <t>Enviado 9/3/2026, 11:28:24 a. m.</t>
  </si>
  <si>
    <t xml:space="preserve">Óscar Alberto Fernández López </t>
  </si>
  <si>
    <t>573015758743</t>
  </si>
  <si>
    <t>Oscar Fernández</t>
  </si>
  <si>
    <t>Enviado 9/3/2026, 11:31:55 a. m.</t>
  </si>
  <si>
    <t xml:space="preserve">Alejandra Villalba </t>
  </si>
  <si>
    <t>Enviado 9/3/2026, 11:37:29 a. m.</t>
  </si>
  <si>
    <t xml:space="preserve">José Rua </t>
  </si>
  <si>
    <t>Enviado 9/3/2026, 11:39:40 a. m.</t>
  </si>
  <si>
    <t xml:space="preserve">Eloy Barandalla </t>
  </si>
  <si>
    <t>Enviado 9/3/2026, 12:05:07 p. m.</t>
  </si>
  <si>
    <t xml:space="preserve">Daniella González </t>
  </si>
  <si>
    <t>Enviado 9/3/2026, 12:39:08 p. m.</t>
  </si>
  <si>
    <t xml:space="preserve">Stephanie escolar </t>
  </si>
  <si>
    <t>Enviado 9/3/2026, 12:47:46 p. m.</t>
  </si>
  <si>
    <t>Enviado 9/3/2026, 12:56:46 p. m.</t>
  </si>
  <si>
    <t xml:space="preserve">Diana Sermeño </t>
  </si>
  <si>
    <t>Enviado 9/3/2026, 1:16:55 p. m.</t>
  </si>
  <si>
    <t>Enviado 9/3/2026, 1:34:16 p. m.</t>
  </si>
  <si>
    <t xml:space="preserve">Sebastian Jaramillo Sampayo </t>
  </si>
  <si>
    <t>Enviado 9/3/2026, 1:48:49 p. m.</t>
  </si>
  <si>
    <t xml:space="preserve">FARID SERNA </t>
  </si>
  <si>
    <t>573016619356</t>
  </si>
  <si>
    <t>Enviado 9/3/2026, 2:08:05 p. m.</t>
  </si>
  <si>
    <t xml:space="preserve">LALA VILLARREAL </t>
  </si>
  <si>
    <t>Enviado 9/3/2026, 2:08:16 p. m.</t>
  </si>
  <si>
    <t>Enviado 9/3/2026, 2:17:35 p. m.</t>
  </si>
  <si>
    <t xml:space="preserve">Isaac David oliveros berdugo </t>
  </si>
  <si>
    <t>Enviado 9/3/2026, 2:31:54 p. m.</t>
  </si>
  <si>
    <t xml:space="preserve">Mauricio Ortiz </t>
  </si>
  <si>
    <t>Enviado 9/3/2026, 3:03:25 p. m.</t>
  </si>
  <si>
    <t>Enviado 9/3/2026, 3:23:23 p. m.</t>
  </si>
  <si>
    <t xml:space="preserve">Fabio Restrepo </t>
  </si>
  <si>
    <t>Enviado 9/3/2026, 3:30:26 p. m.</t>
  </si>
  <si>
    <t xml:space="preserve">edinson pedroza </t>
  </si>
  <si>
    <t>573044685715</t>
  </si>
  <si>
    <t>Enviado 9/3/2026, 3:37:21 p. m.</t>
  </si>
  <si>
    <t>Enviado 9/3/2026, 3:42:18 p. m.</t>
  </si>
  <si>
    <t xml:space="preserve">ANDRES FONTALVO </t>
  </si>
  <si>
    <t>573003454454</t>
  </si>
  <si>
    <t>Enviado 9/3/2026, 3:46:31 p. m.</t>
  </si>
  <si>
    <t xml:space="preserve">MARGARITA ARRIETA </t>
  </si>
  <si>
    <t>3000000000</t>
  </si>
  <si>
    <t>Enviado 9/3/2026, 3:51:03 p. m.</t>
  </si>
  <si>
    <t xml:space="preserve">Jaime Corbacho </t>
  </si>
  <si>
    <t>Enviado 9/3/2026, 3:52:24 p. m.</t>
  </si>
  <si>
    <t xml:space="preserve">Orlando René Iturrey Del Valle </t>
  </si>
  <si>
    <t>Enviado 9/3/2026, 4:07:33 p. m.</t>
  </si>
  <si>
    <t xml:space="preserve">María Ojeda </t>
  </si>
  <si>
    <t>570531683838</t>
  </si>
  <si>
    <t>31 | 70</t>
  </si>
  <si>
    <t>Enviado 9/3/2026, 4:18:05 p. m.</t>
  </si>
  <si>
    <t xml:space="preserve">FUNDACION INSTITUTO BARTOLOME DE LAS CASAS </t>
  </si>
  <si>
    <t>115100</t>
  </si>
  <si>
    <t>Enviado 9/3/2026, 4:41:53 p. m.</t>
  </si>
  <si>
    <t xml:space="preserve">yanderson de la hoz </t>
  </si>
  <si>
    <t>Enviado 9/3/2026, 5:10:27 p. m.</t>
  </si>
  <si>
    <t xml:space="preserve">Juan Diego Garcia </t>
  </si>
  <si>
    <t>573043613071</t>
  </si>
  <si>
    <t>maría mónica</t>
  </si>
  <si>
    <t>Enviado 9/3/2026, 5:13:31 p. m.</t>
  </si>
  <si>
    <t>573207326329</t>
  </si>
  <si>
    <t>Enviado 9/3/2026, 5:41:42 p. m.</t>
  </si>
  <si>
    <t xml:space="preserve">davinson parejo </t>
  </si>
  <si>
    <t>Enviado 9/3/2026, 5:48:12 p. m.</t>
  </si>
  <si>
    <t>Enviado 9/3/2026, 5:49:48 p. m.</t>
  </si>
  <si>
    <t xml:space="preserve">David De Lima </t>
  </si>
  <si>
    <t>Enviado 9/3/2026, 6:19:27 p. m.</t>
  </si>
  <si>
    <t xml:space="preserve">Sergio Sánchez </t>
  </si>
  <si>
    <t>Enviado 10/3/2026, 7:04:56 a. m.</t>
  </si>
  <si>
    <t xml:space="preserve">Yazmín galvis Serrano </t>
  </si>
  <si>
    <t>573019085103</t>
  </si>
  <si>
    <t>07:16</t>
  </si>
  <si>
    <t>Enviado 10/3/2026, 7:21:43 a. m.</t>
  </si>
  <si>
    <t xml:space="preserve">YESENIA QUIÑONES </t>
  </si>
  <si>
    <t>Enviado 10/3/2026, 7:36:17 a. m.</t>
  </si>
  <si>
    <t xml:space="preserve">jose fontalvo </t>
  </si>
  <si>
    <t>Enviado 10/3/2026, 7:56:50 a. m.</t>
  </si>
  <si>
    <t>Enviado 10/3/2026, 7:57:01 a. m.</t>
  </si>
  <si>
    <t xml:space="preserve">Gina Geraldino </t>
  </si>
  <si>
    <t>573008307176</t>
  </si>
  <si>
    <t>Enviado 10/3/2026, 8:36:49 a. m.</t>
  </si>
  <si>
    <t>Enviado 10/3/2026, 8:43:32 a. m.</t>
  </si>
  <si>
    <t xml:space="preserve">Abner Gonzalez </t>
  </si>
  <si>
    <t>Enviado 10/3/2026, 8:47:28 a. m.</t>
  </si>
  <si>
    <t xml:space="preserve">luis eduardo jordan </t>
  </si>
  <si>
    <t>573000000000</t>
  </si>
  <si>
    <t>flia jordan cardenas</t>
  </si>
  <si>
    <t>Enviado 10/3/2026, 9:10:25 a. m.</t>
  </si>
  <si>
    <t xml:space="preserve">Andy Avila. </t>
  </si>
  <si>
    <t>31 | 53</t>
  </si>
  <si>
    <t>1× Mini Box Hortensias y Mini Rosa | 1× Bouquet 6 Rosas Rojas</t>
  </si>
  <si>
    <t>Enviado 10/3/2026, 9:18:20 a. m.</t>
  </si>
  <si>
    <t xml:space="preserve">Cristian Martinez </t>
  </si>
  <si>
    <t>Enviado 10/3/2026, 9:20:33 a. m.</t>
  </si>
  <si>
    <t xml:space="preserve">Yudi varela pertuz </t>
  </si>
  <si>
    <t>573226436691</t>
  </si>
  <si>
    <t>Marían cure</t>
  </si>
  <si>
    <t>Enviado 10/3/2026, 11:01:49 a. m.</t>
  </si>
  <si>
    <t xml:space="preserve">Jerson Mendoza </t>
  </si>
  <si>
    <t>573002524546</t>
  </si>
  <si>
    <t>Enviado 10/3/2026, 11:12:15 a. m.</t>
  </si>
  <si>
    <t xml:space="preserve">Saray Berrio Genes </t>
  </si>
  <si>
    <t>573243907466</t>
  </si>
  <si>
    <t>Enviado 10/3/2026, 11:15:10 a. m.</t>
  </si>
  <si>
    <t>21 | 83</t>
  </si>
  <si>
    <t>Enviado 10/3/2026, 11:22:46 a. m.</t>
  </si>
  <si>
    <t xml:space="preserve">Geicoll Gómez </t>
  </si>
  <si>
    <t>Enviado 10/3/2026, 11:56:39 a. m.</t>
  </si>
  <si>
    <t xml:space="preserve">Génesis </t>
  </si>
  <si>
    <t>Enviado 10/3/2026, 11:58:28 a. m.</t>
  </si>
  <si>
    <t xml:space="preserve">Annie Fernández </t>
  </si>
  <si>
    <t>Enviado 10/3/2026, 12:14:36 p. m.</t>
  </si>
  <si>
    <t xml:space="preserve">Judith Diaz </t>
  </si>
  <si>
    <t>573214439414</t>
  </si>
  <si>
    <t>Stefy Gutiérrez</t>
  </si>
  <si>
    <t>Enviado 10/3/2026, 12:41:31 p. m.</t>
  </si>
  <si>
    <t>Enviado 10/3/2026, 12:50:57 p. m.</t>
  </si>
  <si>
    <t>Dirección de Entrega</t>
  </si>
  <si>
    <t>TelefonoDestino</t>
  </si>
  <si>
    <t>Domiciliario</t>
  </si>
  <si>
    <t>TelefonoDomiciliario</t>
  </si>
  <si>
    <t>Externo</t>
  </si>
  <si>
    <t>Estado Domicilio</t>
  </si>
  <si>
    <t>FechaAsignación</t>
  </si>
  <si>
    <t>FechaEntrega</t>
  </si>
  <si>
    <t>Foto</t>
  </si>
  <si>
    <t>Hora_Salida</t>
  </si>
  <si>
    <t>Hora_Entrega</t>
  </si>
  <si>
    <t>92993</t>
  </si>
  <si>
    <t>573003346799</t>
  </si>
  <si>
    <t>03/08/2026 16:29:47</t>
  </si>
  <si>
    <t>03/08/2026 - 17:00:00</t>
  </si>
  <si>
    <t>92987</t>
  </si>
  <si>
    <t>573008834542</t>
  </si>
  <si>
    <t>EXT - Juan David</t>
  </si>
  <si>
    <t>En Ruta</t>
  </si>
  <si>
    <t>03/08/2026 16:03:52</t>
  </si>
  <si>
    <t>03/08/2026 - 16:30:00</t>
  </si>
  <si>
    <t>92986</t>
  </si>
  <si>
    <t>573157496731</t>
  </si>
  <si>
    <t>EXT - Moni</t>
  </si>
  <si>
    <t>03/08/2026 16:47:54</t>
  </si>
  <si>
    <t>03/08/2026 - 04:00:00</t>
  </si>
  <si>
    <t>92983</t>
  </si>
  <si>
    <t>Mauricio Figueroa</t>
  </si>
  <si>
    <t>573148167126</t>
  </si>
  <si>
    <t>03/08/2026 16:08:32</t>
  </si>
  <si>
    <t>03/08/2026 - 16:00:00</t>
  </si>
  <si>
    <t>92980</t>
  </si>
  <si>
    <t>573114100464</t>
  </si>
  <si>
    <t>EXT - William Osorio</t>
  </si>
  <si>
    <t>03/08/2026 16:07:24</t>
  </si>
  <si>
    <t>92979</t>
  </si>
  <si>
    <t>573126314688</t>
  </si>
  <si>
    <t>03/08/2026 16:16:50</t>
  </si>
  <si>
    <t>92978</t>
  </si>
  <si>
    <t>03/08/2026 15:37:11</t>
  </si>
  <si>
    <t>92977</t>
  </si>
  <si>
    <t>Santillana</t>
  </si>
  <si>
    <t>573044408100</t>
  </si>
  <si>
    <t>03/08/2026 16:23:45</t>
  </si>
  <si>
    <t>92975</t>
  </si>
  <si>
    <t>573015889880</t>
  </si>
  <si>
    <t>03/08/2026 14:47:21</t>
  </si>
  <si>
    <t>03/08/2026 - 00:00:00</t>
  </si>
  <si>
    <t>92974</t>
  </si>
  <si>
    <t>Raquel Padilla Quintana</t>
  </si>
  <si>
    <t>03/08/2026 16:17:11</t>
  </si>
  <si>
    <t>92973</t>
  </si>
  <si>
    <t>Sofía vueltas</t>
  </si>
  <si>
    <t>573044233449</t>
  </si>
  <si>
    <t>Elvis</t>
  </si>
  <si>
    <t>03/08/2026 15:36:16</t>
  </si>
  <si>
    <t>92971</t>
  </si>
  <si>
    <t>573508401213</t>
  </si>
  <si>
    <t>03/08/2026 16:09:14</t>
  </si>
  <si>
    <t>03/08/2026 - 04:30:00</t>
  </si>
  <si>
    <t>92969</t>
  </si>
  <si>
    <t>573007524271</t>
  </si>
  <si>
    <t>03/08/2026 15:50:08</t>
  </si>
  <si>
    <t>03/08/2026 - 15:00:00</t>
  </si>
  <si>
    <t>92968</t>
  </si>
  <si>
    <t>Emna Sánchez</t>
  </si>
  <si>
    <t>573004612667</t>
  </si>
  <si>
    <t>03/08/2026 14:50:29</t>
  </si>
  <si>
    <t>92967</t>
  </si>
  <si>
    <t>Marasha elite</t>
  </si>
  <si>
    <t>573013894849</t>
  </si>
  <si>
    <t>03/08/2026 15:41:10</t>
  </si>
  <si>
    <t>92966</t>
  </si>
  <si>
    <t>573012615857</t>
  </si>
  <si>
    <t>03/08/2026 15:07:53</t>
  </si>
  <si>
    <t>92965</t>
  </si>
  <si>
    <t>573004056966</t>
  </si>
  <si>
    <t>03/08/2026 14:45:12</t>
  </si>
  <si>
    <t>92964</t>
  </si>
  <si>
    <t>573053042125</t>
  </si>
  <si>
    <t>03/08/2026 14:04:09</t>
  </si>
  <si>
    <t>92963</t>
  </si>
  <si>
    <t>Ana serrano</t>
  </si>
  <si>
    <t>573215461190</t>
  </si>
  <si>
    <t>03/08/2026 14:33:47</t>
  </si>
  <si>
    <t>92962</t>
  </si>
  <si>
    <t>573052325427</t>
  </si>
  <si>
    <t>03/08/2026 14:03:50</t>
  </si>
  <si>
    <t>03/08/2026 - 02:00:00</t>
  </si>
  <si>
    <t>92961</t>
  </si>
  <si>
    <t>573156165550</t>
  </si>
  <si>
    <t>03/08/2026 15:54:27</t>
  </si>
  <si>
    <t>92960</t>
  </si>
  <si>
    <t>573106376698</t>
  </si>
  <si>
    <t>03/08/2026 16:08:44</t>
  </si>
  <si>
    <t>03/08/2026 - 03:00:00</t>
  </si>
  <si>
    <t>92959</t>
  </si>
  <si>
    <t>573105585460</t>
  </si>
  <si>
    <t>03/08/2026 14:59:54</t>
  </si>
  <si>
    <t>92958</t>
  </si>
  <si>
    <t>573012112234</t>
  </si>
  <si>
    <t>03/08/2026 14:17:17</t>
  </si>
  <si>
    <t>92957</t>
  </si>
  <si>
    <t>03/08/2026 14:48:32</t>
  </si>
  <si>
    <t>92956</t>
  </si>
  <si>
    <t>573045724174</t>
  </si>
  <si>
    <t>03/08/2026 14:57:49</t>
  </si>
  <si>
    <t>92955</t>
  </si>
  <si>
    <t>573005435875</t>
  </si>
  <si>
    <t>Sun Mar 08 2026 16:56:31 GMT-0500 (hora estándar de Colombia)</t>
  </si>
  <si>
    <t>92954</t>
  </si>
  <si>
    <t>573163764650</t>
  </si>
  <si>
    <t>03/08/2026 15:07:28</t>
  </si>
  <si>
    <t>92953</t>
  </si>
  <si>
    <t>Isabel Cristina</t>
  </si>
  <si>
    <t>573002866923</t>
  </si>
  <si>
    <t>EXT - Javier</t>
  </si>
  <si>
    <t>03/08/2026 15:22:36</t>
  </si>
  <si>
    <t>92951</t>
  </si>
  <si>
    <t>573043117743</t>
  </si>
  <si>
    <t>03/08/2026 14:46:34</t>
  </si>
  <si>
    <t>92950</t>
  </si>
  <si>
    <t>573150491518</t>
  </si>
  <si>
    <t>03/08/2026 13:47:34</t>
  </si>
  <si>
    <t>03/08/2026 - 13:00:00</t>
  </si>
  <si>
    <t>92949</t>
  </si>
  <si>
    <t>573184187111</t>
  </si>
  <si>
    <t>03/08/2026 15:51:12</t>
  </si>
  <si>
    <t>03/08/2026 - 14:00:00</t>
  </si>
  <si>
    <t>92948</t>
  </si>
  <si>
    <t>03/08/2026 14:51:45</t>
  </si>
  <si>
    <t>92947</t>
  </si>
  <si>
    <t>3246899919</t>
  </si>
  <si>
    <t>03/08/2026 14:27:39</t>
  </si>
  <si>
    <t>92946</t>
  </si>
  <si>
    <t>03/08/2026 13:39:50</t>
  </si>
  <si>
    <t>92943</t>
  </si>
  <si>
    <t>Alix Gómez</t>
  </si>
  <si>
    <t>03/08/2026 14:21:20</t>
  </si>
  <si>
    <t>92942</t>
  </si>
  <si>
    <t>03/08/2026 14:22:18</t>
  </si>
  <si>
    <t>92941</t>
  </si>
  <si>
    <t>03/08/2026 12:50:52</t>
  </si>
  <si>
    <t>92940</t>
  </si>
  <si>
    <t>573045961095</t>
  </si>
  <si>
    <t>03/08/2026 14:10:29</t>
  </si>
  <si>
    <t>92939</t>
  </si>
  <si>
    <t>573105923689</t>
  </si>
  <si>
    <t>03/08/2026 15:04:41</t>
  </si>
  <si>
    <t>92935</t>
  </si>
  <si>
    <t>Maria José cervantes Molinares</t>
  </si>
  <si>
    <t>573147387811</t>
  </si>
  <si>
    <t>03/08/2026 14:29:36</t>
  </si>
  <si>
    <t>92934</t>
  </si>
  <si>
    <t>573209588809</t>
  </si>
  <si>
    <t>03/08/2026 14:51:32</t>
  </si>
  <si>
    <t>92933</t>
  </si>
  <si>
    <t>573166256584</t>
  </si>
  <si>
    <t>03/08/2026 12:46:29</t>
  </si>
  <si>
    <t>92932</t>
  </si>
  <si>
    <t>573215240869</t>
  </si>
  <si>
    <t>03/08/2026 13:39:16</t>
  </si>
  <si>
    <t>92931</t>
  </si>
  <si>
    <t>573004073607</t>
  </si>
  <si>
    <t>03/08/2026 13:41:46</t>
  </si>
  <si>
    <t>92929</t>
  </si>
  <si>
    <t>Jaiver Fonseca</t>
  </si>
  <si>
    <t>573017997710</t>
  </si>
  <si>
    <t>03/08/2026 15:15:41</t>
  </si>
  <si>
    <t>92928</t>
  </si>
  <si>
    <t>573186228967</t>
  </si>
  <si>
    <t>03/08/2026 15:11:56</t>
  </si>
  <si>
    <t>03/08/2026 - 12:30:00</t>
  </si>
  <si>
    <t>92926</t>
  </si>
  <si>
    <t>03/08/2026 13:47:10</t>
  </si>
  <si>
    <t>92922</t>
  </si>
  <si>
    <t>573173666064</t>
  </si>
  <si>
    <t>Sun Mar 08 2026 13:31:29 GMT-0500 (hora estándar de Colombia)</t>
  </si>
  <si>
    <t>92921</t>
  </si>
  <si>
    <t>573113106759</t>
  </si>
  <si>
    <t>03/08/2026 14:17:21</t>
  </si>
  <si>
    <t>03/08/2026 - 14:30:00</t>
  </si>
  <si>
    <t>92920</t>
  </si>
  <si>
    <t>03/08/2026 12:00:58</t>
  </si>
  <si>
    <t>92919</t>
  </si>
  <si>
    <t>573209409515</t>
  </si>
  <si>
    <t>03/08/2026 13:38:31</t>
  </si>
  <si>
    <t>03/08/2026 - 12:00:00</t>
  </si>
  <si>
    <t>92916</t>
  </si>
  <si>
    <t>573003322666</t>
  </si>
  <si>
    <t>03/08/2026 10:45:49</t>
  </si>
  <si>
    <t>92915</t>
  </si>
  <si>
    <t>Gabriel Dykhoff</t>
  </si>
  <si>
    <t>573127035334</t>
  </si>
  <si>
    <t>03/08/2026 12:37:24</t>
  </si>
  <si>
    <t>92914</t>
  </si>
  <si>
    <t>03/08/2026 10:46:38</t>
  </si>
  <si>
    <t>92913</t>
  </si>
  <si>
    <t>573015202077</t>
  </si>
  <si>
    <t>03/08/2026 12:24:35</t>
  </si>
  <si>
    <t>92912</t>
  </si>
  <si>
    <t>573207472778</t>
  </si>
  <si>
    <t>03/08/2026 14:24:12</t>
  </si>
  <si>
    <t>92908</t>
  </si>
  <si>
    <t>573226242456</t>
  </si>
  <si>
    <t>03/08/2026 16:11:04</t>
  </si>
  <si>
    <t>92907</t>
  </si>
  <si>
    <t>573007592052</t>
  </si>
  <si>
    <t>03/08/2026 14:19:26</t>
  </si>
  <si>
    <t>92906</t>
  </si>
  <si>
    <t>573022009383</t>
  </si>
  <si>
    <t>03/08/2026 14:49:53</t>
  </si>
  <si>
    <t>92904</t>
  </si>
  <si>
    <t>573242526558</t>
  </si>
  <si>
    <t>03/08/2026 14:00:05</t>
  </si>
  <si>
    <t>92903</t>
  </si>
  <si>
    <t>Rosa María Umaña</t>
  </si>
  <si>
    <t>573107283794</t>
  </si>
  <si>
    <t>03/08/2026 14:20:02</t>
  </si>
  <si>
    <t>92900</t>
  </si>
  <si>
    <t>573222595986</t>
  </si>
  <si>
    <t>03/08/2026 15:26:03</t>
  </si>
  <si>
    <t>92899</t>
  </si>
  <si>
    <t>03/08/2026 14:11:34</t>
  </si>
  <si>
    <t>92896</t>
  </si>
  <si>
    <t>573225721015</t>
  </si>
  <si>
    <t>03/08/2026 13:03:54</t>
  </si>
  <si>
    <t>92895</t>
  </si>
  <si>
    <t>573057860370</t>
  </si>
  <si>
    <t>03/08/2026 12:56:07</t>
  </si>
  <si>
    <t>92894</t>
  </si>
  <si>
    <t>03/08/2026 11:11:41</t>
  </si>
  <si>
    <t>92893</t>
  </si>
  <si>
    <t>573234632212</t>
  </si>
  <si>
    <t>03/08/2026 12:06:24</t>
  </si>
  <si>
    <t>03/08/2026 - 11:00:00</t>
  </si>
  <si>
    <t>92892</t>
  </si>
  <si>
    <t>Andrea Espitia</t>
  </si>
  <si>
    <t>573046549343</t>
  </si>
  <si>
    <t>03/08/2026 11:41:13</t>
  </si>
  <si>
    <t>92888</t>
  </si>
  <si>
    <t>03/08/2026 12:47:15</t>
  </si>
  <si>
    <t>92887</t>
  </si>
  <si>
    <t>03/08/2026 12:47:40</t>
  </si>
  <si>
    <t>92886</t>
  </si>
  <si>
    <t>ESTEISY RUDAS</t>
  </si>
  <si>
    <t>573116677797</t>
  </si>
  <si>
    <t>03/08/2026 12:27:31</t>
  </si>
  <si>
    <t>92885</t>
  </si>
  <si>
    <t>03/08/2026 10:36:58</t>
  </si>
  <si>
    <t>03/08/2026 - 23:00:00</t>
  </si>
  <si>
    <t>92884</t>
  </si>
  <si>
    <t>Daril Amaya</t>
  </si>
  <si>
    <t>573045291724</t>
  </si>
  <si>
    <t>Sun Mar 08 2026 14:16:12 GMT-0500 (hora estándar de Colombia)</t>
  </si>
  <si>
    <t>92882</t>
  </si>
  <si>
    <t>03/08/2026 12:23:23</t>
  </si>
  <si>
    <t>03/08/2026 - 01:00:00</t>
  </si>
  <si>
    <t>92879</t>
  </si>
  <si>
    <t>Ana Cecilia</t>
  </si>
  <si>
    <t>573234741832</t>
  </si>
  <si>
    <t>03/08/2026 10:44:16</t>
  </si>
  <si>
    <t>92878</t>
  </si>
  <si>
    <t>573017717218</t>
  </si>
  <si>
    <t>03/08/2026 10:43:42</t>
  </si>
  <si>
    <t>92877</t>
  </si>
  <si>
    <t>573016476237</t>
  </si>
  <si>
    <t>03/08/2026 15:11:27</t>
  </si>
  <si>
    <t>92874</t>
  </si>
  <si>
    <t>573012120265</t>
  </si>
  <si>
    <t>03/08/2026 10:43:01</t>
  </si>
  <si>
    <t>92872</t>
  </si>
  <si>
    <t>573160560530</t>
  </si>
  <si>
    <t>03/08/2026 15:10:57</t>
  </si>
  <si>
    <t>03/07/2026 - 01:00:00</t>
  </si>
  <si>
    <t>92871</t>
  </si>
  <si>
    <t>573164708911</t>
  </si>
  <si>
    <t>03/07/2026 20:57:29</t>
  </si>
  <si>
    <t>92870</t>
  </si>
  <si>
    <t>573045365575</t>
  </si>
  <si>
    <t>03/08/2026 14:07:56</t>
  </si>
  <si>
    <t>92869</t>
  </si>
  <si>
    <t>03/08/2026 14:18:36</t>
  </si>
  <si>
    <t>03/08/2026 - 10:00:00</t>
  </si>
  <si>
    <t>92868</t>
  </si>
  <si>
    <t>573114121833</t>
  </si>
  <si>
    <t>03/08/2026 11:37:23</t>
  </si>
  <si>
    <t>92867</t>
  </si>
  <si>
    <t>Gixela Díaz</t>
  </si>
  <si>
    <t>03/08/2026 11:54:36</t>
  </si>
  <si>
    <t>92866</t>
  </si>
  <si>
    <t>573007389560</t>
  </si>
  <si>
    <t>03/08/2026 13:40:45</t>
  </si>
  <si>
    <t>92865</t>
  </si>
  <si>
    <t>573008366418</t>
  </si>
  <si>
    <t>03/08/2026 14:09:17</t>
  </si>
  <si>
    <t>92864</t>
  </si>
  <si>
    <t>573205116170</t>
  </si>
  <si>
    <t>03/08/2026 10:44:50</t>
  </si>
  <si>
    <t>92862</t>
  </si>
  <si>
    <t>573052988140</t>
  </si>
  <si>
    <t>03/07/2026 19:03:11</t>
  </si>
  <si>
    <t>92861</t>
  </si>
  <si>
    <t>03/07/2026 19:09:24</t>
  </si>
  <si>
    <t>03/08/2026 - 08:00:00</t>
  </si>
  <si>
    <t>92857</t>
  </si>
  <si>
    <t>03/07/2026 18:47:11</t>
  </si>
  <si>
    <t>92856</t>
  </si>
  <si>
    <t>Paola Amorocho</t>
  </si>
  <si>
    <t>573185779237</t>
  </si>
  <si>
    <t>03/08/2026 17:02:22</t>
  </si>
  <si>
    <t>92855</t>
  </si>
  <si>
    <t>573005293740</t>
  </si>
  <si>
    <t>03/07/2026 18:56:20</t>
  </si>
  <si>
    <t>92853</t>
  </si>
  <si>
    <t>573207258284</t>
  </si>
  <si>
    <t>03/08/2026 14:04:57</t>
  </si>
  <si>
    <t>92852</t>
  </si>
  <si>
    <t>03/07/2026 21:59:40</t>
  </si>
  <si>
    <t>92851</t>
  </si>
  <si>
    <t>573147853196</t>
  </si>
  <si>
    <t>03/08/2026 08:52:31</t>
  </si>
  <si>
    <t>92844</t>
  </si>
  <si>
    <t>03/07/2026 21:14:07</t>
  </si>
  <si>
    <t>92843</t>
  </si>
  <si>
    <t>573157335190</t>
  </si>
  <si>
    <t>03/08/2026 08:13:14</t>
  </si>
  <si>
    <t>03/08/2026 - 09:06:00</t>
  </si>
  <si>
    <t>92842</t>
  </si>
  <si>
    <t>Judith Mercado</t>
  </si>
  <si>
    <t>573156706066</t>
  </si>
  <si>
    <t>03/08/2026 09:40:44</t>
  </si>
  <si>
    <t>92841</t>
  </si>
  <si>
    <t>573007835381</t>
  </si>
  <si>
    <t>03/07/2026 17:13:09</t>
  </si>
  <si>
    <t>03/07/2026 - 00:00:00</t>
  </si>
  <si>
    <t>92839</t>
  </si>
  <si>
    <t>573226529301</t>
  </si>
  <si>
    <t>03/08/2026 10:45:24</t>
  </si>
  <si>
    <t>92835</t>
  </si>
  <si>
    <t>03/07/2026 19:03:18</t>
  </si>
  <si>
    <t>03/08/2026 - 09:00:00</t>
  </si>
  <si>
    <t>92834</t>
  </si>
  <si>
    <t>573004918707</t>
  </si>
  <si>
    <t>03/07/2026 17:28:22</t>
  </si>
  <si>
    <t>03/07/2026 - 18:00:00</t>
  </si>
  <si>
    <t>92833</t>
  </si>
  <si>
    <t>03/07/2026 17:39:22</t>
  </si>
  <si>
    <t>92831</t>
  </si>
  <si>
    <t>573108339033</t>
  </si>
  <si>
    <t>03/07/2026 20:03:42</t>
  </si>
  <si>
    <t>92830</t>
  </si>
  <si>
    <t>03/07/2026 18:10:13</t>
  </si>
  <si>
    <t>92829</t>
  </si>
  <si>
    <t>03/07/2026 18:25:59</t>
  </si>
  <si>
    <t>92828</t>
  </si>
  <si>
    <t>573014145481</t>
  </si>
  <si>
    <t>03/07/2026 17:38:20</t>
  </si>
  <si>
    <t>92826</t>
  </si>
  <si>
    <t>Diana Villalba</t>
  </si>
  <si>
    <t>573208244545</t>
  </si>
  <si>
    <t>03/07/2026 18:16:27</t>
  </si>
  <si>
    <t>92825</t>
  </si>
  <si>
    <t>573007734183</t>
  </si>
  <si>
    <t>03/07/2026 17:12:25</t>
  </si>
  <si>
    <t>92824</t>
  </si>
  <si>
    <t>Yaleidy Cristina Álvarez</t>
  </si>
  <si>
    <t>573114473491</t>
  </si>
  <si>
    <t>03/07/2026 20:40:16</t>
  </si>
  <si>
    <t>92823</t>
  </si>
  <si>
    <t>573223885721</t>
  </si>
  <si>
    <t>EXT - Antonio Orozco</t>
  </si>
  <si>
    <t>03/07/2026 19:56:01</t>
  </si>
  <si>
    <t>92822</t>
  </si>
  <si>
    <t>573173312315</t>
  </si>
  <si>
    <t>03/07/2026 19:25:48</t>
  </si>
  <si>
    <t>92820</t>
  </si>
  <si>
    <t>573016673824</t>
  </si>
  <si>
    <t>03/07/2026 18:21:41</t>
  </si>
  <si>
    <t>03/08/2026 - 07:00:00</t>
  </si>
  <si>
    <t>92819</t>
  </si>
  <si>
    <t>573243087390</t>
  </si>
  <si>
    <t>03/07/2026 16:35:31</t>
  </si>
  <si>
    <t>03/07/2026 - 17:00:00</t>
  </si>
  <si>
    <t>92817</t>
  </si>
  <si>
    <t>03/07/2026 17:44:45</t>
  </si>
  <si>
    <t>92815</t>
  </si>
  <si>
    <t>Alejandra Alvarado</t>
  </si>
  <si>
    <t>573116828393</t>
  </si>
  <si>
    <t>03/07/2026 19:38:22</t>
  </si>
  <si>
    <t>92813</t>
  </si>
  <si>
    <t>573002789561</t>
  </si>
  <si>
    <t>03/07/2026 16:56:53</t>
  </si>
  <si>
    <t>03/07/2026 - 16:00:00</t>
  </si>
  <si>
    <t>92811</t>
  </si>
  <si>
    <t>03/07/2026 20:00:57</t>
  </si>
  <si>
    <t>92810</t>
  </si>
  <si>
    <t>03/08/2026 08:56:37</t>
  </si>
  <si>
    <t>92809</t>
  </si>
  <si>
    <t>573245895338</t>
  </si>
  <si>
    <t>03/07/2026 19:03:51</t>
  </si>
  <si>
    <t>92807</t>
  </si>
  <si>
    <t>03/08/2026 09:32:00</t>
  </si>
  <si>
    <t>92806</t>
  </si>
  <si>
    <t>03/07/2026 15:17:42</t>
  </si>
  <si>
    <t>03/07/2026 - 15:30:00</t>
  </si>
  <si>
    <t>92805</t>
  </si>
  <si>
    <t>573015488453</t>
  </si>
  <si>
    <t>03/07/2026 14:45:25</t>
  </si>
  <si>
    <t>03/07/2026 - 14:00:00</t>
  </si>
  <si>
    <t>92804</t>
  </si>
  <si>
    <t>Carolina Mejía</t>
  </si>
  <si>
    <t>573174870896</t>
  </si>
  <si>
    <t>03/07/2026 16:26:26</t>
  </si>
  <si>
    <t>92803</t>
  </si>
  <si>
    <t>573012965404</t>
  </si>
  <si>
    <t>03/08/2026 11:55:50</t>
  </si>
  <si>
    <t>92802</t>
  </si>
  <si>
    <t>573144885016</t>
  </si>
  <si>
    <t>03/07/2026 20:38:58</t>
  </si>
  <si>
    <t>92801</t>
  </si>
  <si>
    <t>03/07/2026 14:49:45</t>
  </si>
  <si>
    <t>92800</t>
  </si>
  <si>
    <t>Keiny Diaz</t>
  </si>
  <si>
    <t>573023514914</t>
  </si>
  <si>
    <t>03/07/2026 14:32:41</t>
  </si>
  <si>
    <t>92798</t>
  </si>
  <si>
    <t>Sharon Zúñiga</t>
  </si>
  <si>
    <t>573006048855</t>
  </si>
  <si>
    <t>EXT - Mandados</t>
  </si>
  <si>
    <t>03/07/2026 15:33:29</t>
  </si>
  <si>
    <t>03/07/2026 - 03:00:00</t>
  </si>
  <si>
    <t>92796</t>
  </si>
  <si>
    <t>Grey de la hoz</t>
  </si>
  <si>
    <t>573188530000</t>
  </si>
  <si>
    <t>03/08/2026 15:10:22</t>
  </si>
  <si>
    <t>92795</t>
  </si>
  <si>
    <t>573006293387</t>
  </si>
  <si>
    <t>03/07/2026 20:12:55</t>
  </si>
  <si>
    <t>92793</t>
  </si>
  <si>
    <t>Rosalba Yepes</t>
  </si>
  <si>
    <t>03/07/2026 19:22:10</t>
  </si>
  <si>
    <t>92792</t>
  </si>
  <si>
    <t>Emma Sánchez</t>
  </si>
  <si>
    <t>573013643949</t>
  </si>
  <si>
    <t>03/07/2026 16:58:20</t>
  </si>
  <si>
    <t>92791</t>
  </si>
  <si>
    <t>573156108580</t>
  </si>
  <si>
    <t>03/08/2026 08:05:34</t>
  </si>
  <si>
    <t>92790</t>
  </si>
  <si>
    <t>03/07/2026 14:33:49</t>
  </si>
  <si>
    <t>92789</t>
  </si>
  <si>
    <t>Elizabeth Cabarcas</t>
  </si>
  <si>
    <t>573046790297</t>
  </si>
  <si>
    <t>03/07/2026 16:11:16</t>
  </si>
  <si>
    <t>92788</t>
  </si>
  <si>
    <t>573234155972</t>
  </si>
  <si>
    <t>03/07/2026 15:21:25</t>
  </si>
  <si>
    <t>92787</t>
  </si>
  <si>
    <t>573213704751</t>
  </si>
  <si>
    <t>03/07/2026 14:42:54</t>
  </si>
  <si>
    <t>92786</t>
  </si>
  <si>
    <t>573135492688</t>
  </si>
  <si>
    <t>03/07/2026 20:32:47</t>
  </si>
  <si>
    <t>92785</t>
  </si>
  <si>
    <t>03/07/2026 17:39:07</t>
  </si>
  <si>
    <t>92782</t>
  </si>
  <si>
    <t>03/07/2026 14:18:53</t>
  </si>
  <si>
    <t>03/07/2026 - 02:00:00</t>
  </si>
  <si>
    <t>92781</t>
  </si>
  <si>
    <t>03/07/2026 13:54:17</t>
  </si>
  <si>
    <t>92780</t>
  </si>
  <si>
    <t>573164032710</t>
  </si>
  <si>
    <t>03/07/2026 13:50:01</t>
  </si>
  <si>
    <t>03/07/2026 - 14:30:00</t>
  </si>
  <si>
    <t>92779</t>
  </si>
  <si>
    <t>Sara Claros</t>
  </si>
  <si>
    <t>573215381382</t>
  </si>
  <si>
    <t>03/07/2026 18:36:35</t>
  </si>
  <si>
    <t>92778</t>
  </si>
  <si>
    <t>03/07/2026 19:54:24</t>
  </si>
  <si>
    <t>92777</t>
  </si>
  <si>
    <t>573107383697</t>
  </si>
  <si>
    <t>03/07/2026 13:44:18</t>
  </si>
  <si>
    <t>03/07/2026 - 01:30:00</t>
  </si>
  <si>
    <t>92776</t>
  </si>
  <si>
    <t>573013032735</t>
  </si>
  <si>
    <t>03/07/2026 13:32:57</t>
  </si>
  <si>
    <t>92774</t>
  </si>
  <si>
    <t>573106105271</t>
  </si>
  <si>
    <t>03/07/2026 12:14:34</t>
  </si>
  <si>
    <t>92772</t>
  </si>
  <si>
    <t>573148667813</t>
  </si>
  <si>
    <t>03/07/2026 13:44:05</t>
  </si>
  <si>
    <t>92769</t>
  </si>
  <si>
    <t>573014243732</t>
  </si>
  <si>
    <t>03/07/2026 14:04:41</t>
  </si>
  <si>
    <t>92768</t>
  </si>
  <si>
    <t>03/07/2026 12:06:03</t>
  </si>
  <si>
    <t>03/07/2026 - 12:30:00</t>
  </si>
  <si>
    <t>92766</t>
  </si>
  <si>
    <t>573013643099</t>
  </si>
  <si>
    <t>03/07/2026 12:31:42</t>
  </si>
  <si>
    <t>92765</t>
  </si>
  <si>
    <t>03/07/2026 12:28:02</t>
  </si>
  <si>
    <t>92764</t>
  </si>
  <si>
    <t>573006804129</t>
  </si>
  <si>
    <t>03/07/2026 12:28:35</t>
  </si>
  <si>
    <t>92763</t>
  </si>
  <si>
    <t>Natalia escallon</t>
  </si>
  <si>
    <t>03/07/2026 20:09:45</t>
  </si>
  <si>
    <t>92762</t>
  </si>
  <si>
    <t>573028649234</t>
  </si>
  <si>
    <t>03/07/2026 15:10:38</t>
  </si>
  <si>
    <t>92761</t>
  </si>
  <si>
    <t>03/07/2026 12:10:36</t>
  </si>
  <si>
    <t>92760</t>
  </si>
  <si>
    <t>Mónica Gómez</t>
  </si>
  <si>
    <t>573022835151</t>
  </si>
  <si>
    <t>03/07/2026 11:37:25</t>
  </si>
  <si>
    <t>92759</t>
  </si>
  <si>
    <t>573002389931</t>
  </si>
  <si>
    <t>03/07/2026 16:01:48</t>
  </si>
  <si>
    <t>92758</t>
  </si>
  <si>
    <t>03/08/2026 15:12:19</t>
  </si>
  <si>
    <t>92757</t>
  </si>
  <si>
    <t>573015769728</t>
  </si>
  <si>
    <t>03/07/2026 18:40:00</t>
  </si>
  <si>
    <t>92755</t>
  </si>
  <si>
    <t>573015669546</t>
  </si>
  <si>
    <t>03/07/2026 12:13:18</t>
  </si>
  <si>
    <t>03/07/2026 - 10:00:00</t>
  </si>
  <si>
    <t>92754</t>
  </si>
  <si>
    <t>573244485611</t>
  </si>
  <si>
    <t>03/07/2026 11:34:40</t>
  </si>
  <si>
    <t>92753</t>
  </si>
  <si>
    <t>03/07/2026 16:23:24</t>
  </si>
  <si>
    <t>92752</t>
  </si>
  <si>
    <t>573234863791</t>
  </si>
  <si>
    <t>03/07/2026 20:39:26</t>
  </si>
  <si>
    <t>92751</t>
  </si>
  <si>
    <t>573166954198</t>
  </si>
  <si>
    <t>03/08/2026 10:24:48</t>
  </si>
  <si>
    <t>92750</t>
  </si>
  <si>
    <t>Maria Eugenia fadul</t>
  </si>
  <si>
    <t>573246847878</t>
  </si>
  <si>
    <t>03/07/2026 16:13:23</t>
  </si>
  <si>
    <t>92749</t>
  </si>
  <si>
    <t>573105736346</t>
  </si>
  <si>
    <t>03/07/2026 17:43:13</t>
  </si>
  <si>
    <t>92748</t>
  </si>
  <si>
    <t>03/07/2026 11:36:48</t>
  </si>
  <si>
    <t>03/07/2026 - 12:00:00</t>
  </si>
  <si>
    <t>92747</t>
  </si>
  <si>
    <t>573008003842</t>
  </si>
  <si>
    <t>03/08/2026 09:41:45</t>
  </si>
  <si>
    <t>92746</t>
  </si>
  <si>
    <t>573022309690</t>
  </si>
  <si>
    <t>03/07/2026 10:48:44</t>
  </si>
  <si>
    <t>92745</t>
  </si>
  <si>
    <t>573012394343</t>
  </si>
  <si>
    <t>03/07/2026 10:50:35</t>
  </si>
  <si>
    <t>92744</t>
  </si>
  <si>
    <t>573000000001</t>
  </si>
  <si>
    <t>03/07/2026 10:24:36</t>
  </si>
  <si>
    <t>92743</t>
  </si>
  <si>
    <t>Melek florez</t>
  </si>
  <si>
    <t>03/08/2026 10:36:28</t>
  </si>
  <si>
    <t>03/07/2026 - 11:00:00</t>
  </si>
  <si>
    <t>92742</t>
  </si>
  <si>
    <t>573145298616</t>
  </si>
  <si>
    <t>03/07/2026 18:20:54</t>
  </si>
  <si>
    <t>92741</t>
  </si>
  <si>
    <t>03/07/2026 10:35:33</t>
  </si>
  <si>
    <t>92740</t>
  </si>
  <si>
    <t>573243475398</t>
  </si>
  <si>
    <t>03/07/2026 10:48:45</t>
  </si>
  <si>
    <t>92739</t>
  </si>
  <si>
    <t>3136214673</t>
  </si>
  <si>
    <t>03/07/2026 10:54:41</t>
  </si>
  <si>
    <t>92738</t>
  </si>
  <si>
    <t>573046381678</t>
  </si>
  <si>
    <t>03/07/2026 18:07:42</t>
  </si>
  <si>
    <t>92736</t>
  </si>
  <si>
    <t>03/07/2026 09:36:14</t>
  </si>
  <si>
    <t>92735</t>
  </si>
  <si>
    <t>573146413791</t>
  </si>
  <si>
    <t>03/07/2026 17:38:57</t>
  </si>
  <si>
    <t>92734</t>
  </si>
  <si>
    <t>573148761641</t>
  </si>
  <si>
    <t>03/07/2026 11:40:36</t>
  </si>
  <si>
    <t>92733</t>
  </si>
  <si>
    <t>573046426864</t>
  </si>
  <si>
    <t>03/07/2026 11:05:58</t>
  </si>
  <si>
    <t>92732</t>
  </si>
  <si>
    <t>573046660861</t>
  </si>
  <si>
    <t>03/07/2026 10:29:53</t>
  </si>
  <si>
    <t>03/07/2026 - 10:30:00</t>
  </si>
  <si>
    <t>92731</t>
  </si>
  <si>
    <t>573017838768</t>
  </si>
  <si>
    <t>03/07/2026 10:36:29</t>
  </si>
  <si>
    <t>92730</t>
  </si>
  <si>
    <t>573205425252</t>
  </si>
  <si>
    <t>03/07/2026 10:19:46</t>
  </si>
  <si>
    <t>92729</t>
  </si>
  <si>
    <t>573122624285</t>
  </si>
  <si>
    <t>03/07/2026 17:38:47</t>
  </si>
  <si>
    <t>92728</t>
  </si>
  <si>
    <t>573004619452</t>
  </si>
  <si>
    <t>03/07/2026 15:10:11</t>
  </si>
  <si>
    <t>92727</t>
  </si>
  <si>
    <t>03/07/2026 10:15:22</t>
  </si>
  <si>
    <t>92726</t>
  </si>
  <si>
    <t>573046572241</t>
  </si>
  <si>
    <t>03/07/2026 08:50:57</t>
  </si>
  <si>
    <t>92725</t>
  </si>
  <si>
    <t>573103332480</t>
  </si>
  <si>
    <t>03/07/2026 08:18:40</t>
  </si>
  <si>
    <t>03/07/2026 - 09:00:00</t>
  </si>
  <si>
    <t>92723</t>
  </si>
  <si>
    <t>573134418360</t>
  </si>
  <si>
    <t>03/07/2026 17:35:38</t>
  </si>
  <si>
    <t>92722</t>
  </si>
  <si>
    <t>573042258023</t>
  </si>
  <si>
    <t>03/07/2026 15:13:22</t>
  </si>
  <si>
    <t>92721</t>
  </si>
  <si>
    <t>573504579444</t>
  </si>
  <si>
    <t>03/07/2026 08:53:16</t>
  </si>
  <si>
    <t>92720</t>
  </si>
  <si>
    <t>Lucila Galindo</t>
  </si>
  <si>
    <t>573175746293</t>
  </si>
  <si>
    <t>03/07/2026 09:43:34</t>
  </si>
  <si>
    <t>03/07/2026 - 08:00:00</t>
  </si>
  <si>
    <t>92719</t>
  </si>
  <si>
    <t>03/08/2026 09:32:59</t>
  </si>
  <si>
    <t>92717</t>
  </si>
  <si>
    <t>03/07/2026 18:17:39</t>
  </si>
  <si>
    <t>92716</t>
  </si>
  <si>
    <t>03/07/2026 18:05:41</t>
  </si>
  <si>
    <t>92715</t>
  </si>
  <si>
    <t>92714</t>
  </si>
  <si>
    <t>Claudia Carbonell</t>
  </si>
  <si>
    <t>573008374218</t>
  </si>
  <si>
    <t>03/07/2026 08:51:34</t>
  </si>
  <si>
    <t>92713</t>
  </si>
  <si>
    <t>573103633466</t>
  </si>
  <si>
    <t>03/07/2026 07:46:26</t>
  </si>
  <si>
    <t>03/06/2026 - 00:00:00</t>
  </si>
  <si>
    <t>92712</t>
  </si>
  <si>
    <t>03/07/2026 07:46:23</t>
  </si>
  <si>
    <t>92711</t>
  </si>
  <si>
    <t>573225823620</t>
  </si>
  <si>
    <t>03/07/2026 08:22:52</t>
  </si>
  <si>
    <t>92710</t>
  </si>
  <si>
    <t>573013007378</t>
  </si>
  <si>
    <t>03/07/2026 20:39:49</t>
  </si>
  <si>
    <t>92709</t>
  </si>
  <si>
    <t>573003004016</t>
  </si>
  <si>
    <t>03/07/2026 07:46:20</t>
  </si>
  <si>
    <t>92708</t>
  </si>
  <si>
    <t>03/07/2026 20:40:41</t>
  </si>
  <si>
    <t>92707</t>
  </si>
  <si>
    <t>573204842833</t>
  </si>
  <si>
    <t>03/07/2026 07:46:41</t>
  </si>
  <si>
    <t>03/06/2026 - 05:30:00</t>
  </si>
  <si>
    <t>92706</t>
  </si>
  <si>
    <t>Josefa Margarita</t>
  </si>
  <si>
    <t>573011113091</t>
  </si>
  <si>
    <t>03/06/2026 17:37:24</t>
  </si>
  <si>
    <t>03/06/2026 - 18:00:00</t>
  </si>
  <si>
    <t>92705</t>
  </si>
  <si>
    <t>573042054826</t>
  </si>
  <si>
    <t>03/06/2026 18:29:05</t>
  </si>
  <si>
    <t>92704</t>
  </si>
  <si>
    <t>03/06/2026 17:00:10</t>
  </si>
  <si>
    <t>92703</t>
  </si>
  <si>
    <t>Julio Guzmán</t>
  </si>
  <si>
    <t>573234589234</t>
  </si>
  <si>
    <t>03/07/2026 09:20:56</t>
  </si>
  <si>
    <t>92702</t>
  </si>
  <si>
    <t>573145210521</t>
  </si>
  <si>
    <t>03/06/2026 16:14:05</t>
  </si>
  <si>
    <t>92701</t>
  </si>
  <si>
    <t>573245177748</t>
  </si>
  <si>
    <t>03/07/2026 07:46:38</t>
  </si>
  <si>
    <t>03/06/2026 - 04:30:00</t>
  </si>
  <si>
    <t>92700</t>
  </si>
  <si>
    <t>Carolyn Vasquez</t>
  </si>
  <si>
    <t>573045472003</t>
  </si>
  <si>
    <t>03/07/2026 13:54:57</t>
  </si>
  <si>
    <t>92699</t>
  </si>
  <si>
    <t>573008717222</t>
  </si>
  <si>
    <t>03/06/2026 16:03:35</t>
  </si>
  <si>
    <t>92698</t>
  </si>
  <si>
    <t>573004817146</t>
  </si>
  <si>
    <t>03/06/2026 16:39:07</t>
  </si>
  <si>
    <t>92697</t>
  </si>
  <si>
    <t>03/07/2026 10:51:18</t>
  </si>
  <si>
    <t>92696</t>
  </si>
  <si>
    <t>573102091868</t>
  </si>
  <si>
    <t>03/07/2026 18:38:49</t>
  </si>
  <si>
    <t>92694</t>
  </si>
  <si>
    <t>Marianne Alarcón Arévalo</t>
  </si>
  <si>
    <t>573004563479</t>
  </si>
  <si>
    <t>03/07/2026 17:00:20</t>
  </si>
  <si>
    <t>92693</t>
  </si>
  <si>
    <t>573004512797</t>
  </si>
  <si>
    <t>03/06/2026 15:57:19</t>
  </si>
  <si>
    <t>92691</t>
  </si>
  <si>
    <t>573226529490</t>
  </si>
  <si>
    <t>03/07/2026 19:08:50</t>
  </si>
  <si>
    <t>92690</t>
  </si>
  <si>
    <t>573112758492</t>
  </si>
  <si>
    <t>03/08/2026 09:04:10</t>
  </si>
  <si>
    <t>92689</t>
  </si>
  <si>
    <t>573046494553</t>
  </si>
  <si>
    <t>03/06/2026 15:57:31</t>
  </si>
  <si>
    <t>92688</t>
  </si>
  <si>
    <t>3182618714</t>
  </si>
  <si>
    <t>03/06/2026 15:56:46</t>
  </si>
  <si>
    <t>03/06/2026 - 16:30:00</t>
  </si>
  <si>
    <t>92687</t>
  </si>
  <si>
    <t>573022084130</t>
  </si>
  <si>
    <t>03/07/2026 08:52:51</t>
  </si>
  <si>
    <t>03/06/2026 - 16:00:00</t>
  </si>
  <si>
    <t>92686</t>
  </si>
  <si>
    <t>María Victoria Otero Prasca</t>
  </si>
  <si>
    <t>573007988709</t>
  </si>
  <si>
    <t>03/07/2026 17:01:10</t>
  </si>
  <si>
    <t>92685</t>
  </si>
  <si>
    <t>573246155465</t>
  </si>
  <si>
    <t>03/07/2026 18:25:08</t>
  </si>
  <si>
    <t>92683</t>
  </si>
  <si>
    <t>03/07/2026 08:52:48</t>
  </si>
  <si>
    <t>92680</t>
  </si>
  <si>
    <t>573204775945</t>
  </si>
  <si>
    <t>03/06/2026 17:35:54</t>
  </si>
  <si>
    <t>92678</t>
  </si>
  <si>
    <t>03/07/2026 08:52:43</t>
  </si>
  <si>
    <t>92676</t>
  </si>
  <si>
    <t>573008021679</t>
  </si>
  <si>
    <t>03/07/2026 15:54:22</t>
  </si>
  <si>
    <t>92675</t>
  </si>
  <si>
    <t>Lizzete de Reyes</t>
  </si>
  <si>
    <t>573103626382</t>
  </si>
  <si>
    <t>03/07/2026 08:39:11</t>
  </si>
  <si>
    <t>92674</t>
  </si>
  <si>
    <t>03/06/2026 15:56:41</t>
  </si>
  <si>
    <t>03/06/2026 - 14:00:00</t>
  </si>
  <si>
    <t>92673</t>
  </si>
  <si>
    <t>573003855318</t>
  </si>
  <si>
    <t>03/06/2026 14:43:49</t>
  </si>
  <si>
    <t>92671</t>
  </si>
  <si>
    <t>Gabriela De Ávila</t>
  </si>
  <si>
    <t>573218217705</t>
  </si>
  <si>
    <t>03/07/2026 08:52:34</t>
  </si>
  <si>
    <t>03/06/2026 - 13:30:00</t>
  </si>
  <si>
    <t>92670</t>
  </si>
  <si>
    <t>573004274762</t>
  </si>
  <si>
    <t>03/06/2026 17:36:37</t>
  </si>
  <si>
    <t>92669</t>
  </si>
  <si>
    <t>573215919132</t>
  </si>
  <si>
    <t>03/07/2026 16:24:09</t>
  </si>
  <si>
    <t>92668</t>
  </si>
  <si>
    <t>Teydi</t>
  </si>
  <si>
    <t>03/06/2026 15:56:38</t>
  </si>
  <si>
    <t>03/06/2026 - 13:00:00</t>
  </si>
  <si>
    <t>92666</t>
  </si>
  <si>
    <t>03/06/2026 15:57:03</t>
  </si>
  <si>
    <t>03/06/2026 - 11:00:00</t>
  </si>
  <si>
    <t>92665</t>
  </si>
  <si>
    <t>573016103754</t>
  </si>
  <si>
    <t>03/07/2026 08:51:52</t>
  </si>
  <si>
    <t>92664</t>
  </si>
  <si>
    <t>573229093463</t>
  </si>
  <si>
    <t>03/07/2026 08:58:09</t>
  </si>
  <si>
    <t>92663</t>
  </si>
  <si>
    <t>573017886866</t>
  </si>
  <si>
    <t>03/06/2026 15:56:33</t>
  </si>
  <si>
    <t>92662</t>
  </si>
  <si>
    <t>573013290337</t>
  </si>
  <si>
    <t>03/07/2026 08:25:32</t>
  </si>
  <si>
    <t>03/07/2026 - 07:00:00</t>
  </si>
  <si>
    <t>92661</t>
  </si>
  <si>
    <t>573157004630</t>
  </si>
  <si>
    <t>03/07/2026 18:47:42</t>
  </si>
  <si>
    <t>92660</t>
  </si>
  <si>
    <t>573185159146</t>
  </si>
  <si>
    <t>03/07/2026 15:10:34</t>
  </si>
  <si>
    <t>92659</t>
  </si>
  <si>
    <t>Yennifer Duran</t>
  </si>
  <si>
    <t>573175164265</t>
  </si>
  <si>
    <t>03/07/2026 16:29:39</t>
  </si>
  <si>
    <t>92658</t>
  </si>
  <si>
    <t>573014831358</t>
  </si>
  <si>
    <t>03/06/2026 14:43:08</t>
  </si>
  <si>
    <t>92657</t>
  </si>
  <si>
    <t>573244583928</t>
  </si>
  <si>
    <t>03/07/2026 16:19:48</t>
  </si>
  <si>
    <t>92656</t>
  </si>
  <si>
    <t>573192220437</t>
  </si>
  <si>
    <t>92655</t>
  </si>
  <si>
    <t>573173317836</t>
  </si>
  <si>
    <t>03/06/2026 14:44:25</t>
  </si>
  <si>
    <t>03/06/2026 - 10:00:00</t>
  </si>
  <si>
    <t>92654</t>
  </si>
  <si>
    <t>03/07/2026 08:52:26</t>
  </si>
  <si>
    <t>03/06/2026 - 23:00:00</t>
  </si>
  <si>
    <t>92653</t>
  </si>
  <si>
    <t>573003475586</t>
  </si>
  <si>
    <t>03/06/2026 15:56:29</t>
  </si>
  <si>
    <t>03/06/2026 - 08:00:00</t>
  </si>
  <si>
    <t>92652</t>
  </si>
  <si>
    <t>573005136298</t>
  </si>
  <si>
    <t>03/06/2026 14:43:01</t>
  </si>
  <si>
    <t>92651</t>
  </si>
  <si>
    <t>573229447327</t>
  </si>
  <si>
    <t>03/07/2026 08:52:22</t>
  </si>
  <si>
    <t>92650</t>
  </si>
  <si>
    <t>Kathleen González</t>
  </si>
  <si>
    <t>573197235806</t>
  </si>
  <si>
    <t>03/07/2026 08:52:18</t>
  </si>
  <si>
    <t>92649</t>
  </si>
  <si>
    <t>03/06/2026 15:56:25</t>
  </si>
  <si>
    <t>92648</t>
  </si>
  <si>
    <t>03/07/2026 10:35:24</t>
  </si>
  <si>
    <t>92647</t>
  </si>
  <si>
    <t>573504309067</t>
  </si>
  <si>
    <t>03/06/2026 14:42:54</t>
  </si>
  <si>
    <t>03/06/2026 - 09:00:00</t>
  </si>
  <si>
    <t>92646</t>
  </si>
  <si>
    <t>573188044510</t>
  </si>
  <si>
    <t>03/07/2026 08:52:15</t>
  </si>
  <si>
    <t>92645</t>
  </si>
  <si>
    <t>03/06/2026 15:55:22</t>
  </si>
  <si>
    <t>03/05/2026 - 00:00:00</t>
  </si>
  <si>
    <t>92643</t>
  </si>
  <si>
    <t>573002091781</t>
  </si>
  <si>
    <t>03/07/2026 08:52:09</t>
  </si>
  <si>
    <t>92642</t>
  </si>
  <si>
    <t>573202773972</t>
  </si>
  <si>
    <t>03/06/2026 15:54:18</t>
  </si>
  <si>
    <t>03/05/2026 - 18:00:00</t>
  </si>
  <si>
    <t>92641</t>
  </si>
  <si>
    <t>573003794304</t>
  </si>
  <si>
    <t>03/06/2026 15:55:17</t>
  </si>
  <si>
    <t>03/05/2026 - 17:00:00</t>
  </si>
  <si>
    <t>92640</t>
  </si>
  <si>
    <t>573226052493</t>
  </si>
  <si>
    <t>03/07/2026 17:38:39</t>
  </si>
  <si>
    <t>92639</t>
  </si>
  <si>
    <t>03/06/2026 15:56:22</t>
  </si>
  <si>
    <t>92638</t>
  </si>
  <si>
    <t>03/06/2026 15:55:13</t>
  </si>
  <si>
    <t>92637</t>
  </si>
  <si>
    <t>573012563710</t>
  </si>
  <si>
    <t>03/06/2026 15:54:16</t>
  </si>
  <si>
    <t>03/05/2026 - 16:00:00</t>
  </si>
  <si>
    <t>92636</t>
  </si>
  <si>
    <t>Angelina</t>
  </si>
  <si>
    <t>573016779324</t>
  </si>
  <si>
    <t>03/06/2026 15:54:08</t>
  </si>
  <si>
    <t>92635</t>
  </si>
  <si>
    <t>573125657807</t>
  </si>
  <si>
    <t>03/07/2026 08:52:06</t>
  </si>
  <si>
    <t>92634</t>
  </si>
  <si>
    <t>03/07/2026 18:43:43</t>
  </si>
  <si>
    <t>92632</t>
  </si>
  <si>
    <t>03/07/2026 08:58:04</t>
  </si>
  <si>
    <t>92631</t>
  </si>
  <si>
    <t>03/06/2026 15:54:05</t>
  </si>
  <si>
    <t>03/05/2026 - 15:00:00</t>
  </si>
  <si>
    <t>92630</t>
  </si>
  <si>
    <t>Andrea Del Gordo</t>
  </si>
  <si>
    <t>573005984919</t>
  </si>
  <si>
    <t>03/06/2026 15:54:02</t>
  </si>
  <si>
    <t>92629</t>
  </si>
  <si>
    <t>573118298594</t>
  </si>
  <si>
    <t>03/06/2026 14:41:11</t>
  </si>
  <si>
    <t>03/05/2026 - 15:30:00</t>
  </si>
  <si>
    <t>92628</t>
  </si>
  <si>
    <t>573007041918</t>
  </si>
  <si>
    <t>03/07/2026 14:38:57</t>
  </si>
  <si>
    <t>92627</t>
  </si>
  <si>
    <t>03/06/2026 15:53:59</t>
  </si>
  <si>
    <t>92626</t>
  </si>
  <si>
    <t>573108248762</t>
  </si>
  <si>
    <t>03/06/2026 15:53:56</t>
  </si>
  <si>
    <t>03/05/2026 - 14:30:00</t>
  </si>
  <si>
    <t>92625</t>
  </si>
  <si>
    <t>573175494728</t>
  </si>
  <si>
    <t>03/07/2026 08:52:02</t>
  </si>
  <si>
    <t>92624</t>
  </si>
  <si>
    <t>03/08/2026 10:50:52</t>
  </si>
  <si>
    <t>92623</t>
  </si>
  <si>
    <t>03/05/2026 15:12:08</t>
  </si>
  <si>
    <t>92622</t>
  </si>
  <si>
    <t>Mayra Contreras</t>
  </si>
  <si>
    <t>573126916509</t>
  </si>
  <si>
    <t>03/07/2026 15:54:06</t>
  </si>
  <si>
    <t>92621</t>
  </si>
  <si>
    <t>03/06/2026 14:41:17</t>
  </si>
  <si>
    <t>03/05/2026 - 14:00:00</t>
  </si>
  <si>
    <t>92620</t>
  </si>
  <si>
    <t>573107936885</t>
  </si>
  <si>
    <t>03/06/2026 15:53:53</t>
  </si>
  <si>
    <t>92619</t>
  </si>
  <si>
    <t>573004727883</t>
  </si>
  <si>
    <t>03/06/2026 15:53:48</t>
  </si>
  <si>
    <t>03/05/2026 - 13:00:00</t>
  </si>
  <si>
    <t>92618</t>
  </si>
  <si>
    <t>03/05/2026 12:15:29</t>
  </si>
  <si>
    <t>92617</t>
  </si>
  <si>
    <t>573242029594</t>
  </si>
  <si>
    <t>03/06/2026 15:53:44</t>
  </si>
  <si>
    <t>03/05/2026 - 00:05:00</t>
  </si>
  <si>
    <t>92616</t>
  </si>
  <si>
    <t>573143957980</t>
  </si>
  <si>
    <t>03/06/2026 14:41:01</t>
  </si>
  <si>
    <t>92615</t>
  </si>
  <si>
    <t>573114119445</t>
  </si>
  <si>
    <t>03/06/2026 15:53:41</t>
  </si>
  <si>
    <t>92614</t>
  </si>
  <si>
    <t>03/06/2026 15:53:37</t>
  </si>
  <si>
    <t>92613</t>
  </si>
  <si>
    <t>573177664303</t>
  </si>
  <si>
    <t>03/06/2026 15:53:33</t>
  </si>
  <si>
    <t>92612</t>
  </si>
  <si>
    <t>573126624895</t>
  </si>
  <si>
    <t>03/06/2026 15:53:30</t>
  </si>
  <si>
    <t>92611</t>
  </si>
  <si>
    <t>573013112313</t>
  </si>
  <si>
    <t>03/06/2026 15:53:26</t>
  </si>
  <si>
    <t>03/05/2026 - 10:00:00</t>
  </si>
  <si>
    <t>92610</t>
  </si>
  <si>
    <t>03/06/2026 14:40:57</t>
  </si>
  <si>
    <t>92607</t>
  </si>
  <si>
    <t>573015503096</t>
  </si>
  <si>
    <t>03/06/2026 15:56:18</t>
  </si>
  <si>
    <t>92606</t>
  </si>
  <si>
    <t>Ruby Rubio</t>
  </si>
  <si>
    <t>573164547777</t>
  </si>
  <si>
    <t>03/06/2026 15:53:23</t>
  </si>
  <si>
    <t>92605</t>
  </si>
  <si>
    <t>573017973945</t>
  </si>
  <si>
    <t>03/07/2026 15:54:14</t>
  </si>
  <si>
    <t>92604</t>
  </si>
  <si>
    <t>573007122211</t>
  </si>
  <si>
    <t>03/06/2026 15:55:09</t>
  </si>
  <si>
    <t>92603</t>
  </si>
  <si>
    <t>573175019534</t>
  </si>
  <si>
    <t>03/06/2026 15:55:02</t>
  </si>
  <si>
    <t>92602</t>
  </si>
  <si>
    <t>573502184252</t>
  </si>
  <si>
    <t>03/06/2026 14:40:45</t>
  </si>
  <si>
    <t>03/05/2026 - 09:00:00</t>
  </si>
  <si>
    <t>92600</t>
  </si>
  <si>
    <t>kathy criado</t>
  </si>
  <si>
    <t>573043666060</t>
  </si>
  <si>
    <t>03/06/2026 18:05:12</t>
  </si>
  <si>
    <t>92599</t>
  </si>
  <si>
    <t>573024694357</t>
  </si>
  <si>
    <t>03/06/2026 15:53:20</t>
  </si>
  <si>
    <t>92598</t>
  </si>
  <si>
    <t>573012354673</t>
  </si>
  <si>
    <t>03/06/2026 15:53:16</t>
  </si>
  <si>
    <t>03/04/2026 - 18:00:00</t>
  </si>
  <si>
    <t>92597</t>
  </si>
  <si>
    <t>03/06/2026 15:53:13</t>
  </si>
  <si>
    <t>92596</t>
  </si>
  <si>
    <t>03/06/2026 15:54:58</t>
  </si>
  <si>
    <t>03/04/2026 - 00:00:00</t>
  </si>
  <si>
    <t>92595</t>
  </si>
  <si>
    <t>03/07/2026 07:39:31</t>
  </si>
  <si>
    <t>92594</t>
  </si>
  <si>
    <t>573014232454</t>
  </si>
  <si>
    <t>03/07/2026 08:22:48</t>
  </si>
  <si>
    <t>03/07/2026 - 13:00:00</t>
  </si>
  <si>
    <t>92593</t>
  </si>
  <si>
    <t>Martha padilla</t>
  </si>
  <si>
    <t>573004176998</t>
  </si>
  <si>
    <t>03/06/2026 15:54:54</t>
  </si>
  <si>
    <t>03/05/2026 - 08:00:00</t>
  </si>
  <si>
    <t>92591</t>
  </si>
  <si>
    <t>03/07/2026 09:58:46</t>
  </si>
  <si>
    <t>92590</t>
  </si>
  <si>
    <t>573043796453</t>
  </si>
  <si>
    <t>03/07/2026 16:59:36</t>
  </si>
  <si>
    <t>92589</t>
  </si>
  <si>
    <t>Karen Llinas</t>
  </si>
  <si>
    <t>573004483335</t>
  </si>
  <si>
    <t>03/06/2026 15:56:51</t>
  </si>
  <si>
    <t>92588</t>
  </si>
  <si>
    <t>03/07/2026 07:44:23</t>
  </si>
  <si>
    <t>92586</t>
  </si>
  <si>
    <t>573045995876</t>
  </si>
  <si>
    <t>03/06/2026 15:53:10</t>
  </si>
  <si>
    <t>03/04/2026 - 17:00:00</t>
  </si>
  <si>
    <t>92585</t>
  </si>
  <si>
    <t>03/06/2026 15:53:06</t>
  </si>
  <si>
    <t>92584</t>
  </si>
  <si>
    <t>03/06/2026 15:53:02</t>
  </si>
  <si>
    <t>92583</t>
  </si>
  <si>
    <t>573012068473</t>
  </si>
  <si>
    <t>03/08/2026 12:48:09</t>
  </si>
  <si>
    <t>92582</t>
  </si>
  <si>
    <t>573003907043</t>
  </si>
  <si>
    <t>03/06/2026 15:53:00</t>
  </si>
  <si>
    <t>03/04/2026 - 15:00:00</t>
  </si>
  <si>
    <t>92581</t>
  </si>
  <si>
    <t>573206804890</t>
  </si>
  <si>
    <t>03/06/2026 15:52:56</t>
  </si>
  <si>
    <t>92579</t>
  </si>
  <si>
    <t>03/06/2026 15:54:49</t>
  </si>
  <si>
    <t>03/04/2026 - 14:00:00</t>
  </si>
  <si>
    <t>92578</t>
  </si>
  <si>
    <t>Dana Medina</t>
  </si>
  <si>
    <t>573146682490</t>
  </si>
  <si>
    <t>03/07/2026 13:01:38</t>
  </si>
  <si>
    <t>92577</t>
  </si>
  <si>
    <t>573015266031</t>
  </si>
  <si>
    <t>03/06/2026 15:56:14</t>
  </si>
  <si>
    <t>92575</t>
  </si>
  <si>
    <t>573006995558</t>
  </si>
  <si>
    <t>03/06/2026 15:52:48</t>
  </si>
  <si>
    <t>92574</t>
  </si>
  <si>
    <t>03/06/2026 15:52:45</t>
  </si>
  <si>
    <t>92573</t>
  </si>
  <si>
    <t>573014122835</t>
  </si>
  <si>
    <t>03/06/2026 15:52:40</t>
  </si>
  <si>
    <t>92570</t>
  </si>
  <si>
    <t>573013587133</t>
  </si>
  <si>
    <t>03/07/2026 07:44:00</t>
  </si>
  <si>
    <t>92568</t>
  </si>
  <si>
    <t>573136726588</t>
  </si>
  <si>
    <t>03/06/2026 15:52:38</t>
  </si>
  <si>
    <t>92567</t>
  </si>
  <si>
    <t>Blanca Quiceno</t>
  </si>
  <si>
    <t>573116079018</t>
  </si>
  <si>
    <t>03/06/2026 15:52:35</t>
  </si>
  <si>
    <t>92566</t>
  </si>
  <si>
    <t>María de Jesús Oñate</t>
  </si>
  <si>
    <t>573108769489</t>
  </si>
  <si>
    <t>03/06/2026 15:52:32</t>
  </si>
  <si>
    <t>92564</t>
  </si>
  <si>
    <t>03/07/2026 11:41:27</t>
  </si>
  <si>
    <t>92563</t>
  </si>
  <si>
    <t>Martha Hernández</t>
  </si>
  <si>
    <t>573145811395</t>
  </si>
  <si>
    <t>03/06/2026 15:52:29</t>
  </si>
  <si>
    <t>92562</t>
  </si>
  <si>
    <t>573104426028</t>
  </si>
  <si>
    <t>03/06/2026 15:52:26</t>
  </si>
  <si>
    <t>03/04/2026 - 10:00:00</t>
  </si>
  <si>
    <t>92561</t>
  </si>
  <si>
    <t>573126794745</t>
  </si>
  <si>
    <t>03/06/2026 15:52:23</t>
  </si>
  <si>
    <t>92560</t>
  </si>
  <si>
    <t>573012442023</t>
  </si>
  <si>
    <t>03/06/2026 15:52:20</t>
  </si>
  <si>
    <t>92559</t>
  </si>
  <si>
    <t>573106334867</t>
  </si>
  <si>
    <t>03/06/2026 15:52:18</t>
  </si>
  <si>
    <t>92558</t>
  </si>
  <si>
    <t>German Daniel Orduz Centeno</t>
  </si>
  <si>
    <t>573045917274</t>
  </si>
  <si>
    <t>03/07/2026 07:43:31</t>
  </si>
  <si>
    <t>03/06/2026 - 09:09:00</t>
  </si>
  <si>
    <t>92557</t>
  </si>
  <si>
    <t>573204899499</t>
  </si>
  <si>
    <t>03/07/2026 08:05:57</t>
  </si>
  <si>
    <t>92555</t>
  </si>
  <si>
    <t>573105578729</t>
  </si>
  <si>
    <t>03/06/2026 15:52:14</t>
  </si>
  <si>
    <t>92554</t>
  </si>
  <si>
    <t>573208311214</t>
  </si>
  <si>
    <t>03/07/2026 10:15:48</t>
  </si>
  <si>
    <t>92553</t>
  </si>
  <si>
    <t>03/06/2026 15:52:11</t>
  </si>
  <si>
    <t>03/03/2026 - 09:00:00</t>
  </si>
  <si>
    <t>92552</t>
  </si>
  <si>
    <t>573022895710</t>
  </si>
  <si>
    <t>03/06/2026 15:52:07</t>
  </si>
  <si>
    <t>03/04/2026 - 09:00:00</t>
  </si>
  <si>
    <t>92551</t>
  </si>
  <si>
    <t>573105021698</t>
  </si>
  <si>
    <t>03/06/2026 15:52:04</t>
  </si>
  <si>
    <t>92550</t>
  </si>
  <si>
    <t>573103677331</t>
  </si>
  <si>
    <t>03/06/2026 15:52:01</t>
  </si>
  <si>
    <t>03/03/2026 - 00:00:00</t>
  </si>
  <si>
    <t>92549</t>
  </si>
  <si>
    <t>573153439475</t>
  </si>
  <si>
    <t>03/06/2026 15:51:58</t>
  </si>
  <si>
    <t>92548</t>
  </si>
  <si>
    <t>Liliana Meza</t>
  </si>
  <si>
    <t>573107065366</t>
  </si>
  <si>
    <t>03/06/2026 15:54:47</t>
  </si>
  <si>
    <t>92546</t>
  </si>
  <si>
    <t>573052960945</t>
  </si>
  <si>
    <t>03/06/2026 15:51:55</t>
  </si>
  <si>
    <t>92545</t>
  </si>
  <si>
    <t>Karen ortiz</t>
  </si>
  <si>
    <t>573505458399</t>
  </si>
  <si>
    <t>03/06/2026 15:51:52</t>
  </si>
  <si>
    <t>92543</t>
  </si>
  <si>
    <t>573003675967</t>
  </si>
  <si>
    <t>03/06/2026 18:05:45</t>
  </si>
  <si>
    <t>92542</t>
  </si>
  <si>
    <t>573002630432</t>
  </si>
  <si>
    <t>03/06/2026 15:51:46</t>
  </si>
  <si>
    <t>92541</t>
  </si>
  <si>
    <t>573004589061</t>
  </si>
  <si>
    <t>03/06/2026 15:51:43</t>
  </si>
  <si>
    <t>92540</t>
  </si>
  <si>
    <t>03/06/2026 15:51:40</t>
  </si>
  <si>
    <t>03/03/2026 - 14:00:00</t>
  </si>
  <si>
    <t>92539</t>
  </si>
  <si>
    <t>573016815880</t>
  </si>
  <si>
    <t>03/06/2026 15:51:34</t>
  </si>
  <si>
    <t>92538</t>
  </si>
  <si>
    <t>573134561374</t>
  </si>
  <si>
    <t>03/06/2026 15:51:31</t>
  </si>
  <si>
    <t>92537</t>
  </si>
  <si>
    <t>573005599767</t>
  </si>
  <si>
    <t>03/06/2026 15:51:28</t>
  </si>
  <si>
    <t>92536</t>
  </si>
  <si>
    <t>573158836468</t>
  </si>
  <si>
    <t>03/06/2026 15:51:25</t>
  </si>
  <si>
    <t>92534</t>
  </si>
  <si>
    <t>03/06/2026 15:51:20</t>
  </si>
  <si>
    <t>92533</t>
  </si>
  <si>
    <t>573008011124</t>
  </si>
  <si>
    <t>03/03/2026 10:51:42</t>
  </si>
  <si>
    <t>03/03/2026 - 11:30:00</t>
  </si>
  <si>
    <t>92532</t>
  </si>
  <si>
    <t>leonor lara baute</t>
  </si>
  <si>
    <t>573002469146</t>
  </si>
  <si>
    <t>03/06/2026 15:51:18</t>
  </si>
  <si>
    <t>03/04/2026 - 08:00:00</t>
  </si>
  <si>
    <t>92531</t>
  </si>
  <si>
    <t>573113154998</t>
  </si>
  <si>
    <t>03/06/2026 14:40:40</t>
  </si>
  <si>
    <t>92530</t>
  </si>
  <si>
    <t>Paula Palencia</t>
  </si>
  <si>
    <t>573002437135</t>
  </si>
  <si>
    <t>03/03/2026 10:51:00</t>
  </si>
  <si>
    <t>92529</t>
  </si>
  <si>
    <t>JUAN CAMILO</t>
  </si>
  <si>
    <t>03/03/2026 10:49:50</t>
  </si>
  <si>
    <t>92528</t>
  </si>
  <si>
    <t>573145954989</t>
  </si>
  <si>
    <t>03/06/2026 15:51:14</t>
  </si>
  <si>
    <t>92527</t>
  </si>
  <si>
    <t>573004916630</t>
  </si>
  <si>
    <t>03/03/2026 10:50:44</t>
  </si>
  <si>
    <t>03/03/2026 - 10:00:00</t>
  </si>
  <si>
    <t>92526</t>
  </si>
  <si>
    <t>573002871255</t>
  </si>
  <si>
    <t>03/06/2026 15:51:05</t>
  </si>
  <si>
    <t>03/03/2026 - 16:00:00</t>
  </si>
  <si>
    <t>92525</t>
  </si>
  <si>
    <t>573116096099</t>
  </si>
  <si>
    <t>03/06/2026 15:51:01</t>
  </si>
  <si>
    <t>92522</t>
  </si>
  <si>
    <t>573217560475</t>
  </si>
  <si>
    <t>03/02/2026 17:54:56</t>
  </si>
  <si>
    <t>03/02/2026 - 17:58:00</t>
  </si>
  <si>
    <t>92521</t>
  </si>
  <si>
    <t>Yajaira Salas</t>
  </si>
  <si>
    <t>573155772759</t>
  </si>
  <si>
    <t>03/05/2026 12:13:19</t>
  </si>
  <si>
    <t>92517</t>
  </si>
  <si>
    <t>573043797446</t>
  </si>
  <si>
    <t>03/06/2026 15:50:57</t>
  </si>
  <si>
    <t>92516</t>
  </si>
  <si>
    <t>573008015359</t>
  </si>
  <si>
    <t>03/02/2026 16:17:40</t>
  </si>
  <si>
    <t>03/02/2026 - 00:00:00</t>
  </si>
  <si>
    <t>92514</t>
  </si>
  <si>
    <t>03/02/2026 16:18:11</t>
  </si>
  <si>
    <t>03/02/2026 - 15:00:00</t>
  </si>
  <si>
    <t>92513</t>
  </si>
  <si>
    <t>573212351682</t>
  </si>
  <si>
    <t>03/02/2026 16:18:26</t>
  </si>
  <si>
    <t>92511</t>
  </si>
  <si>
    <t>573112950000</t>
  </si>
  <si>
    <t>03/02/2026 16:18:42</t>
  </si>
  <si>
    <t>92509</t>
  </si>
  <si>
    <t>Luisa Vargas</t>
  </si>
  <si>
    <t>573104171595</t>
  </si>
  <si>
    <t>03/02/2026 16:28:03</t>
  </si>
  <si>
    <t>92508</t>
  </si>
  <si>
    <t>Chary Geronimo</t>
  </si>
  <si>
    <t>573017115577</t>
  </si>
  <si>
    <t>03/02/2026 16:19:26</t>
  </si>
  <si>
    <t>92507</t>
  </si>
  <si>
    <t>03/02/2026 16:19:48</t>
  </si>
  <si>
    <t>92506</t>
  </si>
  <si>
    <t>573104032481</t>
  </si>
  <si>
    <t>03/02/2026 16:27:50</t>
  </si>
  <si>
    <t>92505</t>
  </si>
  <si>
    <t>Luisa Zambrano</t>
  </si>
  <si>
    <t>573023368059</t>
  </si>
  <si>
    <t>03/02/2026 16:20:19</t>
  </si>
  <si>
    <t>92504</t>
  </si>
  <si>
    <t>03/02/2026 16:20:40</t>
  </si>
  <si>
    <t>92503</t>
  </si>
  <si>
    <t>573008442230</t>
  </si>
  <si>
    <t>03/02/2026 16:20:55</t>
  </si>
  <si>
    <t>92502</t>
  </si>
  <si>
    <t>573043735143</t>
  </si>
  <si>
    <t>03/02/2026 16:27:37</t>
  </si>
  <si>
    <t>92501</t>
  </si>
  <si>
    <t>03/02/2026 16:21:19</t>
  </si>
  <si>
    <t>92500</t>
  </si>
  <si>
    <t>573106182726</t>
  </si>
  <si>
    <t>03/02/2026 16:21:33</t>
  </si>
  <si>
    <t>92499</t>
  </si>
  <si>
    <t>573144463560</t>
  </si>
  <si>
    <t>03/02/2026 16:21:46</t>
  </si>
  <si>
    <t>92498</t>
  </si>
  <si>
    <t>573014222222</t>
  </si>
  <si>
    <t>03/02/2026 16:21:54</t>
  </si>
  <si>
    <t>03/02/2026 - 10:00:00</t>
  </si>
  <si>
    <t>92497</t>
  </si>
  <si>
    <t>Arturo Solano</t>
  </si>
  <si>
    <t>573116808126</t>
  </si>
  <si>
    <t>03/02/2026 16:22:08</t>
  </si>
  <si>
    <t>92496</t>
  </si>
  <si>
    <t>573017165368</t>
  </si>
  <si>
    <t>03/02/2026 16:27:21</t>
  </si>
  <si>
    <t>92493</t>
  </si>
  <si>
    <t>573183762765</t>
  </si>
  <si>
    <t>03/02/2026 16:22:32</t>
  </si>
  <si>
    <t>92492</t>
  </si>
  <si>
    <t>Diana Santacoloma</t>
  </si>
  <si>
    <t>573046496605</t>
  </si>
  <si>
    <t>03/02/2026 16:26:30</t>
  </si>
  <si>
    <t>03/01/2026 - 09:00:00</t>
  </si>
  <si>
    <t>92487</t>
  </si>
  <si>
    <t>573012822293</t>
  </si>
  <si>
    <t>03/02/2026 16:26:36</t>
  </si>
  <si>
    <t>03/01/2026 - 08:00:00</t>
  </si>
  <si>
    <t>92486</t>
  </si>
  <si>
    <t>cleotilde pinedo</t>
  </si>
  <si>
    <t>02/28/2026 16:49:42</t>
  </si>
  <si>
    <t>02/28/2026 - 17:00:00</t>
  </si>
  <si>
    <t>92485</t>
  </si>
  <si>
    <t>573043666798</t>
  </si>
  <si>
    <t>02/28/2026 16:49:34</t>
  </si>
  <si>
    <t>92484</t>
  </si>
  <si>
    <t>573023136726</t>
  </si>
  <si>
    <t>02/28/2026 16:10:01</t>
  </si>
  <si>
    <t>02/28/2026 - 00:00:00</t>
  </si>
  <si>
    <t>92483</t>
  </si>
  <si>
    <t>Angie Méndez figueredo</t>
  </si>
  <si>
    <t>573012751626</t>
  </si>
  <si>
    <t>02/28/2026 15:55:14</t>
  </si>
  <si>
    <t>92482</t>
  </si>
  <si>
    <t>573114051886</t>
  </si>
  <si>
    <t>02/28/2026 15:35:15</t>
  </si>
  <si>
    <t>02/28/2026 - 16:00:00</t>
  </si>
  <si>
    <t>92480</t>
  </si>
  <si>
    <t>573106011462</t>
  </si>
  <si>
    <t>02/28/2026 14:25:35</t>
  </si>
  <si>
    <t>02/28/2026 - 14:00:00</t>
  </si>
  <si>
    <t>92479</t>
  </si>
  <si>
    <t>573205241630</t>
  </si>
  <si>
    <t>02/28/2026 14:48:47</t>
  </si>
  <si>
    <t>02/28/2026 - 14:30:00</t>
  </si>
  <si>
    <t>92478</t>
  </si>
  <si>
    <t>02/28/2026 14:27:52</t>
  </si>
  <si>
    <t>02/28/2026 - 15:00:00</t>
  </si>
  <si>
    <t>92477</t>
  </si>
  <si>
    <t>02/28/2026 13:16:23</t>
  </si>
  <si>
    <t>92475</t>
  </si>
  <si>
    <t>Mirielys Gamez</t>
  </si>
  <si>
    <t>573232842683</t>
  </si>
  <si>
    <t>02/28/2026 14:24:48</t>
  </si>
  <si>
    <t>92473</t>
  </si>
  <si>
    <t>573128605300</t>
  </si>
  <si>
    <t>02/28/2026 15:11:26</t>
  </si>
  <si>
    <t>92470</t>
  </si>
  <si>
    <t>Lilibeth cera</t>
  </si>
  <si>
    <t>573014172321</t>
  </si>
  <si>
    <t>02/28/2026 12:22:00</t>
  </si>
  <si>
    <t>02/28/2026 - 13:00:00</t>
  </si>
  <si>
    <t>92469</t>
  </si>
  <si>
    <t>573044098221</t>
  </si>
  <si>
    <t>02/28/2026 12:19:26</t>
  </si>
  <si>
    <t>02/28/2026 - 12:00:00</t>
  </si>
  <si>
    <t>92468</t>
  </si>
  <si>
    <t>3012394343</t>
  </si>
  <si>
    <t>02/28/2026 11:11:34</t>
  </si>
  <si>
    <t>02/28/2026 - 11:00:00</t>
  </si>
  <si>
    <t>92466</t>
  </si>
  <si>
    <t>573007125818</t>
  </si>
  <si>
    <t>02/28/2026 10:43:50</t>
  </si>
  <si>
    <t>02/28/2026 - 10:30:00</t>
  </si>
  <si>
    <t>92465</t>
  </si>
  <si>
    <t>573004941665</t>
  </si>
  <si>
    <t>02/28/2026 10:40:43</t>
  </si>
  <si>
    <t>92464</t>
  </si>
  <si>
    <t>573245011642</t>
  </si>
  <si>
    <t>03/06/2026 15:47:21</t>
  </si>
  <si>
    <t>92463</t>
  </si>
  <si>
    <t>573184941612</t>
  </si>
  <si>
    <t>02/28/2026 10:40:55</t>
  </si>
  <si>
    <t>92462</t>
  </si>
  <si>
    <t>Dora Mayorga</t>
  </si>
  <si>
    <t>573015199784</t>
  </si>
  <si>
    <t>02/28/2026 09:55:50</t>
  </si>
  <si>
    <t>92461</t>
  </si>
  <si>
    <t>María Mónica Fragozo</t>
  </si>
  <si>
    <t>573215951699</t>
  </si>
  <si>
    <t>02/28/2026 09:34:58</t>
  </si>
  <si>
    <t>92456</t>
  </si>
  <si>
    <t>3157353624</t>
  </si>
  <si>
    <t>03/02/2026 16:23:38</t>
  </si>
  <si>
    <t>03/02/2026 - 08:00:00</t>
  </si>
  <si>
    <t>92455</t>
  </si>
  <si>
    <t>3132366653</t>
  </si>
  <si>
    <t>02/28/2026 16:10:20</t>
  </si>
  <si>
    <t>92453</t>
  </si>
  <si>
    <t>Sonia delgado</t>
  </si>
  <si>
    <t>3013841936</t>
  </si>
  <si>
    <t>02/28/2026 09:06:41</t>
  </si>
  <si>
    <t>02/28/2026 - 08:00:00</t>
  </si>
  <si>
    <t>92452</t>
  </si>
  <si>
    <t>3205422252</t>
  </si>
  <si>
    <t>02/27/2026 18:50:46</t>
  </si>
  <si>
    <t>02/27/2026 - 18:00:00</t>
  </si>
  <si>
    <t>92450</t>
  </si>
  <si>
    <t>03/02/2026 16:25:02</t>
  </si>
  <si>
    <t>92449</t>
  </si>
  <si>
    <t>02/27/2026 17:27:06</t>
  </si>
  <si>
    <t>02/27/2026 - 00:00:00</t>
  </si>
  <si>
    <t>92448</t>
  </si>
  <si>
    <t>3504941573</t>
  </si>
  <si>
    <t>02/27/2026 18:51:00</t>
  </si>
  <si>
    <t>02/27/2026 - 17:30:00</t>
  </si>
  <si>
    <t>92444</t>
  </si>
  <si>
    <t>03/02/2026 16:23:14</t>
  </si>
  <si>
    <t>92443</t>
  </si>
  <si>
    <t>marianela ochoa</t>
  </si>
  <si>
    <t>3147538130</t>
  </si>
  <si>
    <t>02/27/2026 18:53:02</t>
  </si>
  <si>
    <t>92442</t>
  </si>
  <si>
    <t>Laura Carbo Mancera</t>
  </si>
  <si>
    <t>02/27/2026 15:44:54</t>
  </si>
  <si>
    <t>02/27/2026 - 16:00:00</t>
  </si>
  <si>
    <t>92441</t>
  </si>
  <si>
    <t>3002237216</t>
  </si>
  <si>
    <t>02/27/2026 15:12:57</t>
  </si>
  <si>
    <t>02/27/2026 - 15:30:00</t>
  </si>
  <si>
    <t>92440</t>
  </si>
  <si>
    <t>3015797170</t>
  </si>
  <si>
    <t>02/27/2026 15:13:13</t>
  </si>
  <si>
    <t>92439</t>
  </si>
  <si>
    <t>3008173036</t>
  </si>
  <si>
    <t>02/27/2026 15:12:52</t>
  </si>
  <si>
    <t>02/27/2026 - 03:30:00</t>
  </si>
  <si>
    <t>92437</t>
  </si>
  <si>
    <t>02/27/2026 14:41:40</t>
  </si>
  <si>
    <t>02/27/2026 - 14:30:00</t>
  </si>
  <si>
    <t>92436</t>
  </si>
  <si>
    <t>3005277284</t>
  </si>
  <si>
    <t>02/27/2026 15:12:26</t>
  </si>
  <si>
    <t>02/27/2026 - 02:30:00</t>
  </si>
  <si>
    <t>92435</t>
  </si>
  <si>
    <t>Verónica Martínez</t>
  </si>
  <si>
    <t>3043792858</t>
  </si>
  <si>
    <t>02/27/2026 14:41:31</t>
  </si>
  <si>
    <t>02/27/2026 - 14:00:00</t>
  </si>
  <si>
    <t>92434</t>
  </si>
  <si>
    <t>02/27/2026 14:02:29</t>
  </si>
  <si>
    <t>92433</t>
  </si>
  <si>
    <t>Emma</t>
  </si>
  <si>
    <t>3045861749</t>
  </si>
  <si>
    <t>02/27/2026 12:57:49</t>
  </si>
  <si>
    <t>92431</t>
  </si>
  <si>
    <t>ARLENE DOMÍNGUEZ</t>
  </si>
  <si>
    <t>02/27/2026 12:56:23</t>
  </si>
  <si>
    <t>02/27/2026 - 13:00:00</t>
  </si>
  <si>
    <t>92430</t>
  </si>
  <si>
    <t>3106391990</t>
  </si>
  <si>
    <t>03/02/2026 16:24:39</t>
  </si>
  <si>
    <t>92429</t>
  </si>
  <si>
    <t>3008039079</t>
  </si>
  <si>
    <t>omar</t>
  </si>
  <si>
    <t>02/27/2026 12:08:21</t>
  </si>
  <si>
    <t>92427</t>
  </si>
  <si>
    <t>Paula Angarita</t>
  </si>
  <si>
    <t>mandados</t>
  </si>
  <si>
    <t>02/27/2026 10:47:08</t>
  </si>
  <si>
    <t>02/27/2026 - 11:00:00</t>
  </si>
  <si>
    <t>92426</t>
  </si>
  <si>
    <t>3106330045</t>
  </si>
  <si>
    <t>02/27/2026 11:50:40</t>
  </si>
  <si>
    <t>92425</t>
  </si>
  <si>
    <t>Lisette Ternera</t>
  </si>
  <si>
    <t>02/27/2026 18:53:20</t>
  </si>
  <si>
    <t>02/28/2026 - 08:19:00</t>
  </si>
  <si>
    <t>92424</t>
  </si>
  <si>
    <t>02/27/2026 11:58:28</t>
  </si>
  <si>
    <t>02/27/2026 - 10:00:00</t>
  </si>
  <si>
    <t>92421</t>
  </si>
  <si>
    <t>3173669050</t>
  </si>
  <si>
    <t>02/27/2026 11:07:24</t>
  </si>
  <si>
    <t>02/27/2026 - 09:00:00</t>
  </si>
  <si>
    <t>92420</t>
  </si>
  <si>
    <t>3157008858</t>
  </si>
  <si>
    <t>02/28/2026 13:05:46</t>
  </si>
  <si>
    <t>02/28/2026 - 08:12:00</t>
  </si>
  <si>
    <t>92419</t>
  </si>
  <si>
    <t>Kathleen Trejo Herrera</t>
  </si>
  <si>
    <t>3128307494</t>
  </si>
  <si>
    <t>02/27/2026 09:48:57</t>
  </si>
  <si>
    <t>92417</t>
  </si>
  <si>
    <t>Giselle Martínez</t>
  </si>
  <si>
    <t>02/27/2026 07:50:46</t>
  </si>
  <si>
    <t>02/26/2026 - 10:00:00</t>
  </si>
  <si>
    <t>92416</t>
  </si>
  <si>
    <t>3158154659</t>
  </si>
  <si>
    <t>02/27/2026 10:48:40</t>
  </si>
  <si>
    <t>92415</t>
  </si>
  <si>
    <t>3022581676</t>
  </si>
  <si>
    <t>02/27/2026 09:47:28</t>
  </si>
  <si>
    <t>02/27/2026 - 09:30:00</t>
  </si>
  <si>
    <t>92410</t>
  </si>
  <si>
    <t>3024438151</t>
  </si>
  <si>
    <t>02/27/2026 10:31:39</t>
  </si>
  <si>
    <t>92409</t>
  </si>
  <si>
    <t>Amira Arrieta</t>
  </si>
  <si>
    <t>3126600334</t>
  </si>
  <si>
    <t>02/26/2026 18:13:17</t>
  </si>
  <si>
    <t>02/26/2026 - 18:00:00</t>
  </si>
  <si>
    <t>92408</t>
  </si>
  <si>
    <t>Gloria quintero</t>
  </si>
  <si>
    <t>02/26/2026 17:10:51</t>
  </si>
  <si>
    <t>92407</t>
  </si>
  <si>
    <t>3106046492</t>
  </si>
  <si>
    <t>02/27/2026 10:32:05</t>
  </si>
  <si>
    <t>92405</t>
  </si>
  <si>
    <t>3103588773</t>
  </si>
  <si>
    <t>02/26/2026 16:15:52</t>
  </si>
  <si>
    <t>02/26/2026 - 16:00:00</t>
  </si>
  <si>
    <t>92404</t>
  </si>
  <si>
    <t>3145964445</t>
  </si>
  <si>
    <t>02/27/2026 18:53:28</t>
  </si>
  <si>
    <t>02/28/2026 - 09:00:00</t>
  </si>
  <si>
    <t>92403</t>
  </si>
  <si>
    <t>3114330476</t>
  </si>
  <si>
    <t>02/26/2026 16:02:09</t>
  </si>
  <si>
    <t>92402</t>
  </si>
  <si>
    <t>3107226918</t>
  </si>
  <si>
    <t>02/26/2026 16:16:54</t>
  </si>
  <si>
    <t>92401</t>
  </si>
  <si>
    <t>3244917220</t>
  </si>
  <si>
    <t>antonio orozco</t>
  </si>
  <si>
    <t>02/27/2026 09:48:21</t>
  </si>
  <si>
    <t>92400</t>
  </si>
  <si>
    <t>Luisa Segovia</t>
  </si>
  <si>
    <t>02/26/2026 16:01:48</t>
  </si>
  <si>
    <t>02/26/2026 - 00:00:00</t>
  </si>
  <si>
    <t>92399</t>
  </si>
  <si>
    <t>02/26/2026 16:01:50</t>
  </si>
  <si>
    <t>92397</t>
  </si>
  <si>
    <t>Deyana Tafurt</t>
  </si>
  <si>
    <t>3205651265</t>
  </si>
  <si>
    <t>02/27/2026 18:51:58</t>
  </si>
  <si>
    <t>92396</t>
  </si>
  <si>
    <t>Orlando Barros</t>
  </si>
  <si>
    <t>3008370103</t>
  </si>
  <si>
    <t>antonio restrepo</t>
  </si>
  <si>
    <t>02/27/2026 09:46:53</t>
  </si>
  <si>
    <t>92395</t>
  </si>
  <si>
    <t>02/26/2026 15:09:07</t>
  </si>
  <si>
    <t>02/26/2026 - 14:00:00</t>
  </si>
  <si>
    <t>92394</t>
  </si>
  <si>
    <t>Cony Castro</t>
  </si>
  <si>
    <t>02/27/2026 18:55:43</t>
  </si>
  <si>
    <t>92393</t>
  </si>
  <si>
    <t>02/26/2026 14:09:48</t>
  </si>
  <si>
    <t>92392</t>
  </si>
  <si>
    <t>02/27/2026 17:27:18</t>
  </si>
  <si>
    <t>92391</t>
  </si>
  <si>
    <t>3004618367</t>
  </si>
  <si>
    <t>02/26/2026 14:21:44</t>
  </si>
  <si>
    <t>92390</t>
  </si>
  <si>
    <t>3016574716</t>
  </si>
  <si>
    <t>02/26/2026 14:39:16</t>
  </si>
  <si>
    <t>92389</t>
  </si>
  <si>
    <t>02/27/2026 10:31:29</t>
  </si>
  <si>
    <t>92387</t>
  </si>
  <si>
    <t>02/26/2026 13:23:03</t>
  </si>
  <si>
    <t>92386</t>
  </si>
  <si>
    <t>3215956870</t>
  </si>
  <si>
    <t>02/26/2026 12:30:34</t>
  </si>
  <si>
    <t>92385</t>
  </si>
  <si>
    <t>3157004568</t>
  </si>
  <si>
    <t>02/27/2026 12:08:22</t>
  </si>
  <si>
    <t>92384</t>
  </si>
  <si>
    <t>Katia Berdugo</t>
  </si>
  <si>
    <t>3116501398</t>
  </si>
  <si>
    <t>02/26/2026 12:04:59</t>
  </si>
  <si>
    <t>92383</t>
  </si>
  <si>
    <t>Alana habib</t>
  </si>
  <si>
    <t>02/26/2026 15:42:33</t>
  </si>
  <si>
    <t>92382</t>
  </si>
  <si>
    <t>3115998840</t>
  </si>
  <si>
    <t>02/26/2026 11:50:14</t>
  </si>
  <si>
    <t>92381</t>
  </si>
  <si>
    <t>3116531859</t>
  </si>
  <si>
    <t>02/26/2026 12:27:54</t>
  </si>
  <si>
    <t>92380</t>
  </si>
  <si>
    <t>Lina Rodríguez</t>
  </si>
  <si>
    <t>3157182762</t>
  </si>
  <si>
    <t>02/26/2026 10:11:59</t>
  </si>
  <si>
    <t>92377</t>
  </si>
  <si>
    <t>3183922187</t>
  </si>
  <si>
    <t>02/26/2026 08:41:58</t>
  </si>
  <si>
    <t>02/26/2026 - 08:11:00</t>
  </si>
  <si>
    <t>92376</t>
  </si>
  <si>
    <t>3017226485</t>
  </si>
  <si>
    <t>02/28/2026 09:35:15</t>
  </si>
  <si>
    <t>02/28/2026 - 08:26:00</t>
  </si>
  <si>
    <t>92375</t>
  </si>
  <si>
    <t>3102458938</t>
  </si>
  <si>
    <t>02/26/2026 11:39:47</t>
  </si>
  <si>
    <t>02/26/2026 - 08:00:00</t>
  </si>
  <si>
    <t>92374</t>
  </si>
  <si>
    <t>02/26/2026 09:22:54</t>
  </si>
  <si>
    <t>92373</t>
  </si>
  <si>
    <t>Calle 104#53-49 Zioonn tower</t>
  </si>
  <si>
    <t>3112773215</t>
  </si>
  <si>
    <t>02/27/2026 14:02:21</t>
  </si>
  <si>
    <t>92372</t>
  </si>
  <si>
    <t>3016004691</t>
  </si>
  <si>
    <t>02/25/2026 17:25:42</t>
  </si>
  <si>
    <t>92371</t>
  </si>
  <si>
    <t>Lilia Sit Hoyos</t>
  </si>
  <si>
    <t>02/26/2026 09:46:50</t>
  </si>
  <si>
    <t>92370</t>
  </si>
  <si>
    <t>3014404403</t>
  </si>
  <si>
    <t>02/26/2026 12:50:00</t>
  </si>
  <si>
    <t>92369</t>
  </si>
  <si>
    <t>02/25/2026 20:58:00</t>
  </si>
  <si>
    <t>02/25/2026 - 17:00:00</t>
  </si>
  <si>
    <t>92368</t>
  </si>
  <si>
    <t>3217530452</t>
  </si>
  <si>
    <t>02/26/2026 11:50:08</t>
  </si>
  <si>
    <t>92367</t>
  </si>
  <si>
    <t>3158734575</t>
  </si>
  <si>
    <t>02/25/2026 16:09:49</t>
  </si>
  <si>
    <t>92366</t>
  </si>
  <si>
    <t>3004342758</t>
  </si>
  <si>
    <t>02/26/2026 17:11:02</t>
  </si>
  <si>
    <t>02/27/2026 - 08:00:00</t>
  </si>
  <si>
    <t>92364</t>
  </si>
  <si>
    <t>3008028022</t>
  </si>
  <si>
    <t>02/26/2026 09:22:34</t>
  </si>
  <si>
    <t>02/26/2026 - 09:00:00</t>
  </si>
  <si>
    <t>92363</t>
  </si>
  <si>
    <t>3012170250</t>
  </si>
  <si>
    <t>02/26/2026 09:50:51</t>
  </si>
  <si>
    <t>92360</t>
  </si>
  <si>
    <t>3133673131</t>
  </si>
  <si>
    <t>02/27/2026 12:23:30</t>
  </si>
  <si>
    <t>92359</t>
  </si>
  <si>
    <t>02/25/2026 15:33:22</t>
  </si>
  <si>
    <t>02/25/2026 - 00:00:00</t>
  </si>
  <si>
    <t>92358</t>
  </si>
  <si>
    <t>3114189941</t>
  </si>
  <si>
    <t>02/25/2026 15:46:21</t>
  </si>
  <si>
    <t>02/24/2026 - 00:00:00</t>
  </si>
  <si>
    <t>92930</t>
  </si>
  <si>
    <t>573112313035</t>
  </si>
  <si>
    <t>03/08/2026 13:22:18</t>
  </si>
  <si>
    <t>92356</t>
  </si>
  <si>
    <t>02/25/2026 14:53:54</t>
  </si>
  <si>
    <t>92355</t>
  </si>
  <si>
    <t>02/26/2026 12:30:48</t>
  </si>
  <si>
    <t>92354</t>
  </si>
  <si>
    <t>02/26/2026 10:10:38</t>
  </si>
  <si>
    <t>92353</t>
  </si>
  <si>
    <t>573003819256</t>
  </si>
  <si>
    <t>02/26/2026 08:37:16</t>
  </si>
  <si>
    <t>92351</t>
  </si>
  <si>
    <t>02/25/2026 14:24:57</t>
  </si>
  <si>
    <t>92350</t>
  </si>
  <si>
    <t>3002739038</t>
  </si>
  <si>
    <t>02/25/2026 13:59:23</t>
  </si>
  <si>
    <t>92349</t>
  </si>
  <si>
    <t>3011113091</t>
  </si>
  <si>
    <t>02/25/2026 13:59:16</t>
  </si>
  <si>
    <t>92348</t>
  </si>
  <si>
    <t>Silvia Cayón Ayub</t>
  </si>
  <si>
    <t>3207047255</t>
  </si>
  <si>
    <t>02/25/2026 20:56:46</t>
  </si>
  <si>
    <t>92347</t>
  </si>
  <si>
    <t>Bonita</t>
  </si>
  <si>
    <t>3006337540</t>
  </si>
  <si>
    <t>02/25/2026 13:59:10</t>
  </si>
  <si>
    <t>92345</t>
  </si>
  <si>
    <t>3008077204</t>
  </si>
  <si>
    <t>02/25/2026 11:08:34</t>
  </si>
  <si>
    <t>92344</t>
  </si>
  <si>
    <t>3244514045</t>
  </si>
  <si>
    <t>02/25/2026 11:08:47</t>
  </si>
  <si>
    <t>92343</t>
  </si>
  <si>
    <t>3017242159</t>
  </si>
  <si>
    <t>02/25/2026 12:00:37</t>
  </si>
  <si>
    <t>92342</t>
  </si>
  <si>
    <t>02/25/2026 11:54:57</t>
  </si>
  <si>
    <t>92341</t>
  </si>
  <si>
    <t>02/26/2026 10:09:26</t>
  </si>
  <si>
    <t>92340</t>
  </si>
  <si>
    <t>Alexandra Tarud</t>
  </si>
  <si>
    <t>3157157026</t>
  </si>
  <si>
    <t>02/25/2026 09:42:01</t>
  </si>
  <si>
    <t>92338</t>
  </si>
  <si>
    <t>3012429381</t>
  </si>
  <si>
    <t>02/25/2026 11:50:58</t>
  </si>
  <si>
    <t>02/25/2026 - 10:00:00</t>
  </si>
  <si>
    <t>92337</t>
  </si>
  <si>
    <t>3245192336</t>
  </si>
  <si>
    <t>02/27/2026 17:48:17</t>
  </si>
  <si>
    <t>03/28/2026 - 16:00:00</t>
  </si>
  <si>
    <t>92335</t>
  </si>
  <si>
    <t>02/25/2026 09:32:42</t>
  </si>
  <si>
    <t>02/25/2026 - 09:00:00</t>
  </si>
  <si>
    <t>92334</t>
  </si>
  <si>
    <t>3113092602</t>
  </si>
  <si>
    <t>02/24/2026 18:05:31</t>
  </si>
  <si>
    <t>92333</t>
  </si>
  <si>
    <t>Laura Gomez prada</t>
  </si>
  <si>
    <t>3162271980</t>
  </si>
  <si>
    <t>02/24/2026 17:33:17</t>
  </si>
  <si>
    <t>02/24/2026 - 17:00:00</t>
  </si>
  <si>
    <t>92332</t>
  </si>
  <si>
    <t>03/02/2026 16:23:58</t>
  </si>
  <si>
    <t>03/02/2026 - 09:00:00</t>
  </si>
  <si>
    <t>92331</t>
  </si>
  <si>
    <t>Jessica Cedeño</t>
  </si>
  <si>
    <t>02/24/2026 17:32:15</t>
  </si>
  <si>
    <t>92330</t>
  </si>
  <si>
    <t>3007462601</t>
  </si>
  <si>
    <t>02/25/2026 10:21:52</t>
  </si>
  <si>
    <t>92329</t>
  </si>
  <si>
    <t>3214414139</t>
  </si>
  <si>
    <t>02/24/2026 17:37:54</t>
  </si>
  <si>
    <t>02/25/2026 - 08:00:00</t>
  </si>
  <si>
    <t>92326</t>
  </si>
  <si>
    <t>02/24/2026 17:37:21</t>
  </si>
  <si>
    <t>92325</t>
  </si>
  <si>
    <t>02/24/2026 17:38:12</t>
  </si>
  <si>
    <t>92324</t>
  </si>
  <si>
    <t>3158524692</t>
  </si>
  <si>
    <t>02/25/2026 09:42:09</t>
  </si>
  <si>
    <t>92323</t>
  </si>
  <si>
    <t>Diana guarín</t>
  </si>
  <si>
    <t>02/24/2026 15:44:19</t>
  </si>
  <si>
    <t>92322</t>
  </si>
  <si>
    <t>3045591253</t>
  </si>
  <si>
    <t>02/24/2026 16:22:05</t>
  </si>
  <si>
    <t>92321</t>
  </si>
  <si>
    <t>02/24/2026 16:05:33</t>
  </si>
  <si>
    <t>02/24/2026 - 16:00:00</t>
  </si>
  <si>
    <t>92320</t>
  </si>
  <si>
    <t>Jorge Gutiérrez o Katherine Carrillo</t>
  </si>
  <si>
    <t>02/24/2026 15:25:47</t>
  </si>
  <si>
    <t>92318</t>
  </si>
  <si>
    <t>3104428271</t>
  </si>
  <si>
    <t>02/24/2026 14:54:10</t>
  </si>
  <si>
    <t>92316</t>
  </si>
  <si>
    <t>3044638773</t>
  </si>
  <si>
    <t>03/06/2026 14:42:39</t>
  </si>
  <si>
    <t>92315</t>
  </si>
  <si>
    <t>19723332888</t>
  </si>
  <si>
    <t>02/27/2026 16:36:39</t>
  </si>
  <si>
    <t>92314</t>
  </si>
  <si>
    <t>3006749322</t>
  </si>
  <si>
    <t>02/25/2026 10:26:33</t>
  </si>
  <si>
    <t>02/25/2026 - 14:00:00</t>
  </si>
  <si>
    <t>92313</t>
  </si>
  <si>
    <t>02/24/2026 14:48:56</t>
  </si>
  <si>
    <t>02/24/2026 - 14:00:00</t>
  </si>
  <si>
    <t>92312</t>
  </si>
  <si>
    <t>16476753372</t>
  </si>
  <si>
    <t>02/24/2026 14:54:03</t>
  </si>
  <si>
    <t>92310</t>
  </si>
  <si>
    <t>3134578463</t>
  </si>
  <si>
    <t>02/24/2026 11:35:41</t>
  </si>
  <si>
    <t>02/24/2026 - 13:00:00</t>
  </si>
  <si>
    <t>92309</t>
  </si>
  <si>
    <t>02/24/2026 12:24:28</t>
  </si>
  <si>
    <t>92307</t>
  </si>
  <si>
    <t>Silvia ADIE</t>
  </si>
  <si>
    <t>3157128859</t>
  </si>
  <si>
    <t>02/26/2026 16:29:45</t>
  </si>
  <si>
    <t>92306</t>
  </si>
  <si>
    <t>02/24/2026 10:31:57</t>
  </si>
  <si>
    <t>02/24/2026 - 10:00:00</t>
  </si>
  <si>
    <t>92304</t>
  </si>
  <si>
    <t>3138891870</t>
  </si>
  <si>
    <t>02/24/2026 09:43:37</t>
  </si>
  <si>
    <t>92302</t>
  </si>
  <si>
    <t>Violeta navarro</t>
  </si>
  <si>
    <t>3247472483</t>
  </si>
  <si>
    <t>EXT - Omar Hernandez</t>
  </si>
  <si>
    <t>02/24/2026 09:15:24</t>
  </si>
  <si>
    <t>02/24/2026 - 09:24:00</t>
  </si>
  <si>
    <t>92300</t>
  </si>
  <si>
    <t>Antonio Orozco</t>
  </si>
  <si>
    <t>02/23/2026 18:12:45</t>
  </si>
  <si>
    <t>02/23/2026 - 00:00:00</t>
  </si>
  <si>
    <t>92296</t>
  </si>
  <si>
    <t>02/23/2026 16:28:12</t>
  </si>
  <si>
    <t>92293</t>
  </si>
  <si>
    <t>02/23/2026 15:41:39</t>
  </si>
  <si>
    <t>92290</t>
  </si>
  <si>
    <t>3167450996</t>
  </si>
  <si>
    <t>02/25/2026 09:09:41</t>
  </si>
  <si>
    <t>92289</t>
  </si>
  <si>
    <t>02/23/2026 15:21:56</t>
  </si>
  <si>
    <t>02/23/2026 - 13:50:00</t>
  </si>
  <si>
    <t>92288</t>
  </si>
  <si>
    <t>02/23/2026 13:47:13</t>
  </si>
  <si>
    <t>02/23/2026 - 13:00:00</t>
  </si>
  <si>
    <t>92287</t>
  </si>
  <si>
    <t>3017692214</t>
  </si>
  <si>
    <t>02/23/2026 13:47:20</t>
  </si>
  <si>
    <t>92286</t>
  </si>
  <si>
    <t>3205096694</t>
  </si>
  <si>
    <t>02/23/2026 12:28:13</t>
  </si>
  <si>
    <t>92284</t>
  </si>
  <si>
    <t>Saray Teherán</t>
  </si>
  <si>
    <t>3222541674</t>
  </si>
  <si>
    <t>02/23/2026 14:34:46</t>
  </si>
  <si>
    <t>92283</t>
  </si>
  <si>
    <t>Adriana Bayona</t>
  </si>
  <si>
    <t>3008420384</t>
  </si>
  <si>
    <t>02/23/2026 11:48:34</t>
  </si>
  <si>
    <t>92279</t>
  </si>
  <si>
    <t>02/23/2026 11:31:04</t>
  </si>
  <si>
    <t>02/23/2026 - 10:59:00</t>
  </si>
  <si>
    <t>92278</t>
  </si>
  <si>
    <t>3046715811</t>
  </si>
  <si>
    <t>02/23/2026 11:28:17</t>
  </si>
  <si>
    <t>92277</t>
  </si>
  <si>
    <t>02/23/2026 12:30:36</t>
  </si>
  <si>
    <t>92276</t>
  </si>
  <si>
    <t>Jennyffer Trens</t>
  </si>
  <si>
    <t>3135580625</t>
  </si>
  <si>
    <t>02/23/2026 12:05:57</t>
  </si>
  <si>
    <t>92275</t>
  </si>
  <si>
    <t>02/23/2026 10:57:23</t>
  </si>
  <si>
    <t>92274</t>
  </si>
  <si>
    <t>Kary Sánchez</t>
  </si>
  <si>
    <t>3215400850</t>
  </si>
  <si>
    <t>Tue Feb 24 2026 11:31:19 GMT-0500 (hora estándar de Colombia)</t>
  </si>
  <si>
    <t>92273</t>
  </si>
  <si>
    <t>02/23/2026 10:04:58</t>
  </si>
  <si>
    <t>02/23/2026 - 10:00:00</t>
  </si>
  <si>
    <t>92272</t>
  </si>
  <si>
    <t>Andres Oliva</t>
  </si>
  <si>
    <t>02/23/2026 11:33:39</t>
  </si>
  <si>
    <t>92270</t>
  </si>
  <si>
    <t>3015475262</t>
  </si>
  <si>
    <t>02/23/2026 09:55:02</t>
  </si>
  <si>
    <t>92269</t>
  </si>
  <si>
    <t>Valentina Mercado</t>
  </si>
  <si>
    <t>02/23/2026 10:05:03</t>
  </si>
  <si>
    <t>02/23/2026 - 09:00:00</t>
  </si>
  <si>
    <t>92267</t>
  </si>
  <si>
    <t>3145513701</t>
  </si>
  <si>
    <t>02/23/2026 08:37:33</t>
  </si>
  <si>
    <t>02/22/2026 - 00:00:00</t>
  </si>
  <si>
    <t>92257</t>
  </si>
  <si>
    <t>02/25/2026 15:46:09</t>
  </si>
  <si>
    <t>02/26/2026 - 17:00:00</t>
  </si>
  <si>
    <t>92228</t>
  </si>
  <si>
    <t>3012364808</t>
  </si>
  <si>
    <t>Sat Mar 07 2026 11:59:24 GMT-0500 (hora estándar de Colombia)</t>
  </si>
  <si>
    <t>92128</t>
  </si>
  <si>
    <t>3192835538</t>
  </si>
  <si>
    <t>02/24/2026 08:37:27</t>
  </si>
  <si>
    <t>91700</t>
  </si>
  <si>
    <t>Externo&gt;</t>
  </si>
  <si>
    <t>02/26/2026 11:47:43</t>
  </si>
  <si>
    <t>92985</t>
  </si>
  <si>
    <t>03/08/2026 17:12:56</t>
  </si>
  <si>
    <t>92994</t>
  </si>
  <si>
    <t>573017217176</t>
  </si>
  <si>
    <t>03/08/2026 17:17:02</t>
  </si>
  <si>
    <t>92984</t>
  </si>
  <si>
    <t>03/08/2026 17:17:22</t>
  </si>
  <si>
    <t>92992</t>
  </si>
  <si>
    <t>573213359021</t>
  </si>
  <si>
    <t>03/08/2026 17:17:28</t>
  </si>
  <si>
    <t>92952</t>
  </si>
  <si>
    <t>573007358551</t>
  </si>
  <si>
    <t>03/08/2026 17:17:39</t>
  </si>
  <si>
    <t>92976</t>
  </si>
  <si>
    <t>Viviana García</t>
  </si>
  <si>
    <t>573145927399</t>
  </si>
  <si>
    <t>03/08/2026 17:17:54</t>
  </si>
  <si>
    <t>92927</t>
  </si>
  <si>
    <t>03/08/2026 17:18:10</t>
  </si>
  <si>
    <t>92910</t>
  </si>
  <si>
    <t>573218473244</t>
  </si>
  <si>
    <t>03/08/2026 17:18:19</t>
  </si>
  <si>
    <t>92854</t>
  </si>
  <si>
    <t>Linda callejas</t>
  </si>
  <si>
    <t>573014254024</t>
  </si>
  <si>
    <t>03/08/2026 17:18:32</t>
  </si>
  <si>
    <t>92812</t>
  </si>
  <si>
    <t>573217513907</t>
  </si>
  <si>
    <t>03/08/2026 17:18:43</t>
  </si>
  <si>
    <t>92775</t>
  </si>
  <si>
    <t>03/08/2026 17:18:51</t>
  </si>
  <si>
    <t>92535</t>
  </si>
  <si>
    <t>573116825464</t>
  </si>
  <si>
    <t>03/08/2026 17:19:02</t>
  </si>
  <si>
    <t>92845</t>
  </si>
  <si>
    <t>573008157380</t>
  </si>
  <si>
    <t>03/08/2026 17:19:49</t>
  </si>
  <si>
    <t>92999</t>
  </si>
  <si>
    <t>573004071754</t>
  </si>
  <si>
    <t>03/08/2026 17:39:48</t>
  </si>
  <si>
    <t>92827</t>
  </si>
  <si>
    <t>Melissa Ortiz</t>
  </si>
  <si>
    <t>573106040276</t>
  </si>
  <si>
    <t>03/08/2026 17:44:09</t>
  </si>
  <si>
    <t>03/09/2026 - 08:00:00</t>
  </si>
  <si>
    <t>92995</t>
  </si>
  <si>
    <t>03/09/2026 08:09:29</t>
  </si>
  <si>
    <t>92565</t>
  </si>
  <si>
    <t>573046617523</t>
  </si>
  <si>
    <t>03/09/2026 08:50:06</t>
  </si>
  <si>
    <t>93009</t>
  </si>
  <si>
    <t>573106512053</t>
  </si>
  <si>
    <t>03/09/2026 09:12:14</t>
  </si>
  <si>
    <t>03/09/2026 - 10:00:00</t>
  </si>
  <si>
    <t>93003</t>
  </si>
  <si>
    <t>573113526683</t>
  </si>
  <si>
    <t>03/09/2026 09:35:09</t>
  </si>
  <si>
    <t>03/09/2026 - 00:00:00</t>
  </si>
  <si>
    <t>93013</t>
  </si>
  <si>
    <t>573003014520</t>
  </si>
  <si>
    <t>03/09/2026 09:39:57</t>
  </si>
  <si>
    <t>93007</t>
  </si>
  <si>
    <t>573147737274</t>
  </si>
  <si>
    <t>03/09/2026 10:06:35</t>
  </si>
  <si>
    <t>92388</t>
  </si>
  <si>
    <t>María Camila Bermúdez</t>
  </si>
  <si>
    <t>3006053253</t>
  </si>
  <si>
    <t>03/09/2026 10:55:17</t>
  </si>
  <si>
    <t>92512</t>
  </si>
  <si>
    <t>Valeria Aguirre</t>
  </si>
  <si>
    <t>573046293299</t>
  </si>
  <si>
    <t>03/09/2026 10:55:19</t>
  </si>
  <si>
    <t>92571</t>
  </si>
  <si>
    <t>573245954757</t>
  </si>
  <si>
    <t>03/09/2026 10:55:27</t>
  </si>
  <si>
    <t>92576</t>
  </si>
  <si>
    <t>573106143856</t>
  </si>
  <si>
    <t>03/09/2026 10:55:30</t>
  </si>
  <si>
    <t>92592</t>
  </si>
  <si>
    <t>573239509132</t>
  </si>
  <si>
    <t>03/09/2026 10:55:36</t>
  </si>
  <si>
    <t>92609</t>
  </si>
  <si>
    <t>03/09/2026 10:55:42</t>
  </si>
  <si>
    <t>92644</t>
  </si>
  <si>
    <t>03/09/2026 10:55:44</t>
  </si>
  <si>
    <t>92692</t>
  </si>
  <si>
    <t>573113445007</t>
  </si>
  <si>
    <t>03/09/2026 10:55:47</t>
  </si>
  <si>
    <t>92756</t>
  </si>
  <si>
    <t>573017756989</t>
  </si>
  <si>
    <t>03/09/2026 10:55:49</t>
  </si>
  <si>
    <t>92767</t>
  </si>
  <si>
    <t>03/09/2026 10:55:52</t>
  </si>
  <si>
    <t>92783</t>
  </si>
  <si>
    <t>573106865424</t>
  </si>
  <si>
    <t>03/09/2026 10:55:56</t>
  </si>
  <si>
    <t>92784</t>
  </si>
  <si>
    <t>03/09/2026 10:55:59</t>
  </si>
  <si>
    <t>92794</t>
  </si>
  <si>
    <t>573012967965</t>
  </si>
  <si>
    <t>03/09/2026 10:56:01</t>
  </si>
  <si>
    <t>92797</t>
  </si>
  <si>
    <t>573003839612</t>
  </si>
  <si>
    <t>03/09/2026 10:56:10</t>
  </si>
  <si>
    <t>92799</t>
  </si>
  <si>
    <t>Angie de Oro</t>
  </si>
  <si>
    <t>573013030081</t>
  </si>
  <si>
    <t>03/09/2026 10:56:16</t>
  </si>
  <si>
    <t>93010</t>
  </si>
  <si>
    <t>573002542493</t>
  </si>
  <si>
    <t>03/09/2026 11:26:43</t>
  </si>
  <si>
    <t>93016</t>
  </si>
  <si>
    <t>Olga Lucia Gómez</t>
  </si>
  <si>
    <t>573208301662</t>
  </si>
  <si>
    <t>03/09/2026 12:22:14</t>
  </si>
  <si>
    <t>93023</t>
  </si>
  <si>
    <t>573012546176</t>
  </si>
  <si>
    <t>03/09/2026 12:47:40</t>
  </si>
  <si>
    <t>03/09/2026 - 14:00:00</t>
  </si>
  <si>
    <t>93021</t>
  </si>
  <si>
    <t>Valeria Domínguez</t>
  </si>
  <si>
    <t>573017802621</t>
  </si>
  <si>
    <t>03/09/2026 12:48:22</t>
  </si>
  <si>
    <t>93020</t>
  </si>
  <si>
    <t>03/09/2026 12:48:58</t>
  </si>
  <si>
    <t>93011</t>
  </si>
  <si>
    <t>573152574626</t>
  </si>
  <si>
    <t>03/09/2026 12:49:08</t>
  </si>
  <si>
    <t>93015</t>
  </si>
  <si>
    <t>Adelina Aragón</t>
  </si>
  <si>
    <t>03/09/2026 12:49:20</t>
  </si>
  <si>
    <t>03/09/2026 - 11:00:00</t>
  </si>
  <si>
    <t>93024</t>
  </si>
  <si>
    <t>573045866895</t>
  </si>
  <si>
    <t>03/09/2026 13:12:53</t>
  </si>
  <si>
    <t>93018</t>
  </si>
  <si>
    <t>573122985343</t>
  </si>
  <si>
    <t>03/09/2026 14:15:15</t>
  </si>
  <si>
    <t>93004</t>
  </si>
  <si>
    <t>03/09/2026 14:16:08</t>
  </si>
  <si>
    <t>93025</t>
  </si>
  <si>
    <t>573135743675</t>
  </si>
  <si>
    <t>03/09/2026 14:32:43</t>
  </si>
  <si>
    <t>93022</t>
  </si>
  <si>
    <t>03/09/2026 14:53:01</t>
  </si>
  <si>
    <t>93035</t>
  </si>
  <si>
    <t>Nataly Valdez</t>
  </si>
  <si>
    <t>573052703708</t>
  </si>
  <si>
    <t>03/09/2026 15:14:34</t>
  </si>
  <si>
    <t>03/09/2026 - 16:00:00</t>
  </si>
  <si>
    <t>93036</t>
  </si>
  <si>
    <t>573116019862</t>
  </si>
  <si>
    <t>03/09/2026 15:39:50</t>
  </si>
  <si>
    <t>03/09/2026 - 13:00:00</t>
  </si>
  <si>
    <t>93031</t>
  </si>
  <si>
    <t>Karol ramos</t>
  </si>
  <si>
    <t>573116178466</t>
  </si>
  <si>
    <t>03/09/2026 16:06:15</t>
  </si>
  <si>
    <t>03/09/2026 - 15:00:00</t>
  </si>
  <si>
    <t>93038</t>
  </si>
  <si>
    <t>573014749102</t>
  </si>
  <si>
    <t>03/09/2026 16:06:31</t>
  </si>
  <si>
    <t>03/09/2026 - 16:30:00</t>
  </si>
  <si>
    <t>93029</t>
  </si>
  <si>
    <t>Bertha Agredo De Londoño</t>
  </si>
  <si>
    <t>573005259249</t>
  </si>
  <si>
    <t>03/09/2026 16:06:47</t>
  </si>
  <si>
    <t>03/09/2026 - 14:30:00</t>
  </si>
  <si>
    <t>93002</t>
  </si>
  <si>
    <t>573005370705</t>
  </si>
  <si>
    <t>03/09/2026 16:07:04</t>
  </si>
  <si>
    <t>03/09/2026 - 09:00:00</t>
  </si>
  <si>
    <t>93005</t>
  </si>
  <si>
    <t>03/09/2026 16:07:16</t>
  </si>
  <si>
    <t>93014</t>
  </si>
  <si>
    <t>573106305830</t>
  </si>
  <si>
    <t>03/09/2026 16:07:23</t>
  </si>
  <si>
    <t>92989</t>
  </si>
  <si>
    <t>573162880157</t>
  </si>
  <si>
    <t>03/09/2026 16:10:24</t>
  </si>
  <si>
    <t>93028</t>
  </si>
  <si>
    <t>573057837333</t>
  </si>
  <si>
    <t>03/09/2026 16:10:37</t>
  </si>
  <si>
    <t>03/09/2026 - 02:00:00</t>
  </si>
  <si>
    <t>93043</t>
  </si>
  <si>
    <t>Dayanna escorcia</t>
  </si>
  <si>
    <t>573006836054</t>
  </si>
  <si>
    <t>03/09/2026 16:34:12</t>
  </si>
  <si>
    <t>93040</t>
  </si>
  <si>
    <t>573007608715</t>
  </si>
  <si>
    <t>03/09/2026 16:49:46</t>
  </si>
  <si>
    <t>93008</t>
  </si>
  <si>
    <t>03/09/2026 16:50:19</t>
  </si>
  <si>
    <t>93017</t>
  </si>
  <si>
    <t>573004179000</t>
  </si>
  <si>
    <t>03/09/2026 16:50:31</t>
  </si>
  <si>
    <t>93012</t>
  </si>
  <si>
    <t>573165774386</t>
  </si>
  <si>
    <t>03/09/2026 16:50:37</t>
  </si>
  <si>
    <t>93045</t>
  </si>
  <si>
    <t>573505316838</t>
  </si>
  <si>
    <t>03/09/2026 16:51:17</t>
  </si>
  <si>
    <t>03/09/2026 - 17:00:00</t>
  </si>
  <si>
    <t>93046</t>
  </si>
  <si>
    <t>Valerie ceballos</t>
  </si>
  <si>
    <t>573105431366</t>
  </si>
  <si>
    <t>03/09/2026 16:51:29</t>
  </si>
  <si>
    <t>03/09/2026 - 04:00:00</t>
  </si>
  <si>
    <t>93006</t>
  </si>
  <si>
    <t>03/09/2026 16:52:15</t>
  </si>
  <si>
    <t>92982</t>
  </si>
  <si>
    <t>573152651668</t>
  </si>
  <si>
    <t>03/09/2026 16:52:47</t>
  </si>
  <si>
    <t>92990</t>
  </si>
  <si>
    <t>573023088354</t>
  </si>
  <si>
    <t>03/09/2026 16:52:51</t>
  </si>
  <si>
    <t>92925</t>
  </si>
  <si>
    <t>03/09/2026 16:52:57</t>
  </si>
  <si>
    <t>92897</t>
  </si>
  <si>
    <t>03/09/2026 16:53:03</t>
  </si>
  <si>
    <t>93048</t>
  </si>
  <si>
    <t>573004234025</t>
  </si>
  <si>
    <t>03/09/2026 17:50:38</t>
  </si>
  <si>
    <t>03/10/2026 - 08:00:00</t>
  </si>
  <si>
    <t>93049</t>
  </si>
  <si>
    <t>573209830972</t>
  </si>
  <si>
    <t>03/09/2026 18:26:16</t>
  </si>
  <si>
    <t>03/09/2026 - 17:30:00</t>
  </si>
  <si>
    <t>93058</t>
  </si>
  <si>
    <t>573007660285</t>
  </si>
  <si>
    <t>03/10/2026 08:17:33</t>
  </si>
  <si>
    <t>03/10/2026 - 00:00:00</t>
  </si>
  <si>
    <t>93057</t>
  </si>
  <si>
    <t>03/10/2026 08:17:43</t>
  </si>
  <si>
    <t>92633</t>
  </si>
  <si>
    <t>573106300516</t>
  </si>
  <si>
    <t>03/10/2026 08:19:16</t>
  </si>
  <si>
    <t>03/10/2026 - 09:00:00</t>
  </si>
  <si>
    <t>92808</t>
  </si>
  <si>
    <t>573145630549</t>
  </si>
  <si>
    <t>03/10/2026 08:19:27</t>
  </si>
  <si>
    <t>92814</t>
  </si>
  <si>
    <t>573134009314</t>
  </si>
  <si>
    <t>03/10/2026 08:19:37</t>
  </si>
  <si>
    <t>92818</t>
  </si>
  <si>
    <t>03/10/2026 08:19:44</t>
  </si>
  <si>
    <t>92816</t>
  </si>
  <si>
    <t>03/10/2026 08:19:48</t>
  </si>
  <si>
    <t>92832</t>
  </si>
  <si>
    <t>573008049549</t>
  </si>
  <si>
    <t>03/10/2026 08:19:51</t>
  </si>
  <si>
    <t>92836</t>
  </si>
  <si>
    <t>573008378521</t>
  </si>
  <si>
    <t>03/10/2026 08:19:57</t>
  </si>
  <si>
    <t>92837</t>
  </si>
  <si>
    <t>573243002224</t>
  </si>
  <si>
    <t>03/10/2026 08:20:02</t>
  </si>
  <si>
    <t>92838</t>
  </si>
  <si>
    <t>573244495614</t>
  </si>
  <si>
    <t>03/10/2026 08:20:05</t>
  </si>
  <si>
    <t>92840</t>
  </si>
  <si>
    <t>Liliana Ramos</t>
  </si>
  <si>
    <t>03/10/2026 08:20:09</t>
  </si>
  <si>
    <t>92847</t>
  </si>
  <si>
    <t>03/10/2026 08:20:14</t>
  </si>
  <si>
    <t>92846</t>
  </si>
  <si>
    <t>03/10/2026 08:20:19</t>
  </si>
  <si>
    <t>92848</t>
  </si>
  <si>
    <t>573126810333</t>
  </si>
  <si>
    <t>03/10/2026 08:20:22</t>
  </si>
  <si>
    <t>92849</t>
  </si>
  <si>
    <t>03/10/2026 08:20:25</t>
  </si>
  <si>
    <t>92850</t>
  </si>
  <si>
    <t>573043810703</t>
  </si>
  <si>
    <t>03/10/2026 08:20:34</t>
  </si>
  <si>
    <t>92858</t>
  </si>
  <si>
    <t>573024235316</t>
  </si>
  <si>
    <t>03/10/2026 08:20:40</t>
  </si>
  <si>
    <t>92859</t>
  </si>
  <si>
    <t>573007895738</t>
  </si>
  <si>
    <t>03/10/2026 08:20:51</t>
  </si>
  <si>
    <t>92860</t>
  </si>
  <si>
    <t>573017703687</t>
  </si>
  <si>
    <t>03/10/2026 08:20:55</t>
  </si>
  <si>
    <t>92876</t>
  </si>
  <si>
    <t>573144430705</t>
  </si>
  <si>
    <t>03/10/2026 08:21:02</t>
  </si>
  <si>
    <t>93001</t>
  </si>
  <si>
    <t>573176465214</t>
  </si>
  <si>
    <t>03/10/2026 08:21:11</t>
  </si>
  <si>
    <t>03/10/2026 08:21:17</t>
  </si>
  <si>
    <t>92998</t>
  </si>
  <si>
    <t>03/10/2026 08:21:24</t>
  </si>
  <si>
    <t>92997</t>
  </si>
  <si>
    <t>573005296460</t>
  </si>
  <si>
    <t>03/10/2026 08:21:33</t>
  </si>
  <si>
    <t>92996</t>
  </si>
  <si>
    <t>573045225866</t>
  </si>
  <si>
    <t>03/10/2026 08:21:37</t>
  </si>
  <si>
    <t>92991</t>
  </si>
  <si>
    <t>03/10/2026 08:21:41</t>
  </si>
  <si>
    <t>92988</t>
  </si>
  <si>
    <t>573012421500</t>
  </si>
  <si>
    <t>03/10/2026 08:21:45</t>
  </si>
  <si>
    <t>92981</t>
  </si>
  <si>
    <t>573234114820</t>
  </si>
  <si>
    <t>03/10/2026 08:21:50</t>
  </si>
  <si>
    <t>93055</t>
  </si>
  <si>
    <t>03/10/2026 08:22:09</t>
  </si>
  <si>
    <t>03/10/2026 - 10:00:00</t>
  </si>
  <si>
    <t>92972</t>
  </si>
  <si>
    <t>03/10/2026 08:23:29</t>
  </si>
  <si>
    <t>92970</t>
  </si>
  <si>
    <t>573168763144</t>
  </si>
  <si>
    <t>03/10/2026 08:23:34</t>
  </si>
  <si>
    <t>92945</t>
  </si>
  <si>
    <t>573238048114</t>
  </si>
  <si>
    <t>03/10/2026 08:23:38</t>
  </si>
  <si>
    <t>92938</t>
  </si>
  <si>
    <t>573145471397</t>
  </si>
  <si>
    <t>03/10/2026 08:23:43</t>
  </si>
  <si>
    <t>92937</t>
  </si>
  <si>
    <t>03/10/2026 08:23:52</t>
  </si>
  <si>
    <t>92936</t>
  </si>
  <si>
    <t>salwa maloof</t>
  </si>
  <si>
    <t>573145417064</t>
  </si>
  <si>
    <t>03/10/2026 08:23:57</t>
  </si>
  <si>
    <t>92924</t>
  </si>
  <si>
    <t>573013726870</t>
  </si>
  <si>
    <t>03/10/2026 08:24:01</t>
  </si>
  <si>
    <t>92917</t>
  </si>
  <si>
    <t>03/10/2026 08:24:06</t>
  </si>
  <si>
    <t>92911</t>
  </si>
  <si>
    <t>573133861423</t>
  </si>
  <si>
    <t>03/10/2026 08:24:11</t>
  </si>
  <si>
    <t>92909</t>
  </si>
  <si>
    <t>03/10/2026 08:24:15</t>
  </si>
  <si>
    <t>92905</t>
  </si>
  <si>
    <t>573175115454</t>
  </si>
  <si>
    <t>03/10/2026 08:24:20</t>
  </si>
  <si>
    <t>92901</t>
  </si>
  <si>
    <t>03/10/2026 08:24:24</t>
  </si>
  <si>
    <t>92898</t>
  </si>
  <si>
    <t>573505478522</t>
  </si>
  <si>
    <t>03/10/2026 08:24:27</t>
  </si>
  <si>
    <t>92891</t>
  </si>
  <si>
    <t>María Teresa rueda</t>
  </si>
  <si>
    <t>573106158120</t>
  </si>
  <si>
    <t>03/10/2026 08:24:33</t>
  </si>
  <si>
    <t>92890</t>
  </si>
  <si>
    <t>03/10/2026 08:24:38</t>
  </si>
  <si>
    <t>92889</t>
  </si>
  <si>
    <t>573015327503</t>
  </si>
  <si>
    <t>03/10/2026 08:24:43</t>
  </si>
  <si>
    <t>92883</t>
  </si>
  <si>
    <t>03/10/2026 08:24:48</t>
  </si>
  <si>
    <t>92881</t>
  </si>
  <si>
    <t>573022940485</t>
  </si>
  <si>
    <t>03/10/2026 08:24:53</t>
  </si>
  <si>
    <t>92880</t>
  </si>
  <si>
    <t>573123838194</t>
  </si>
  <si>
    <t>03/10/2026 08:24:58</t>
  </si>
  <si>
    <t>92875</t>
  </si>
  <si>
    <t>03/10/2026 08:25:02</t>
  </si>
  <si>
    <t>03/08/2026 - 10:30:00</t>
  </si>
  <si>
    <t>92873</t>
  </si>
  <si>
    <t>03/10/2026 08:25:07</t>
  </si>
  <si>
    <t>92863</t>
  </si>
  <si>
    <t>573137652515</t>
  </si>
  <si>
    <t>03/10/2026 08:25:14</t>
  </si>
  <si>
    <t>93053</t>
  </si>
  <si>
    <t>573226090059</t>
  </si>
  <si>
    <t>03/10/2026 08:48:52</t>
  </si>
  <si>
    <t>93044</t>
  </si>
  <si>
    <t>573205337978</t>
  </si>
  <si>
    <t>03/10/2026 08:49:04</t>
  </si>
  <si>
    <t>03/10/2026 - 17:00:00</t>
  </si>
  <si>
    <t>93054</t>
  </si>
  <si>
    <t>03/10/2026 08:49:17</t>
  </si>
  <si>
    <t>93056</t>
  </si>
  <si>
    <t>Victoria David Sánchez</t>
  </si>
  <si>
    <t>573128640780</t>
  </si>
  <si>
    <t>03/10/2026 09:29:36</t>
  </si>
  <si>
    <t>93059</t>
  </si>
  <si>
    <t>03/10/2026 09:29:46</t>
  </si>
  <si>
    <t>93060</t>
  </si>
  <si>
    <t>03/10/2026 09:34:39</t>
  </si>
  <si>
    <t>03/10/2026 - 09:48:00</t>
  </si>
  <si>
    <t>93061</t>
  </si>
  <si>
    <t>573105079636</t>
  </si>
  <si>
    <t>03/10/2026 10:01:20</t>
  </si>
  <si>
    <t>93062</t>
  </si>
  <si>
    <t>03/10/2026 10:01:36</t>
  </si>
  <si>
    <t>03/10/2026 - 11:00:00</t>
  </si>
  <si>
    <t>93063</t>
  </si>
  <si>
    <t>573017405738</t>
  </si>
  <si>
    <t>03/10/2026 10:29:50</t>
  </si>
  <si>
    <t>93064</t>
  </si>
  <si>
    <t>573002509412</t>
  </si>
  <si>
    <t>03/10/2026 10:30:00</t>
  </si>
  <si>
    <t>93065</t>
  </si>
  <si>
    <t>573205803522</t>
  </si>
  <si>
    <t>03/10/2026 11:32:15</t>
  </si>
  <si>
    <t>03/10/2026 - 12:00:00</t>
  </si>
  <si>
    <t>93068</t>
  </si>
  <si>
    <t>Elsa de Gouveia</t>
  </si>
  <si>
    <t>03/10/2026 12:11:18</t>
  </si>
  <si>
    <t>03/10/2026 - 12:30:00</t>
  </si>
  <si>
    <t>IDPago</t>
  </si>
  <si>
    <t>PedidoID</t>
  </si>
  <si>
    <t>MetodoPago</t>
  </si>
  <si>
    <t>Valor</t>
  </si>
  <si>
    <t>FechaPago</t>
  </si>
  <si>
    <t>TOTAL</t>
  </si>
  <si>
    <t>MET_PAGO_1</t>
  </si>
  <si>
    <t>MET_PAGO_2</t>
  </si>
  <si>
    <t>EFECTIVO</t>
  </si>
  <si>
    <t>TARJETA</t>
  </si>
  <si>
    <t>Base</t>
  </si>
  <si>
    <t>Gasto</t>
  </si>
  <si>
    <t>Total_Efectivo</t>
  </si>
  <si>
    <t>Nueva_Base</t>
  </si>
  <si>
    <t>Guardado</t>
  </si>
  <si>
    <t>ID Domiciliario</t>
  </si>
  <si>
    <t>Nombre</t>
  </si>
  <si>
    <t>Disponibilidad</t>
  </si>
  <si>
    <t>DOM001</t>
  </si>
  <si>
    <t>DOM002</t>
  </si>
  <si>
    <t>DOM003</t>
  </si>
  <si>
    <t>DOM004</t>
  </si>
  <si>
    <t>SI</t>
  </si>
  <si>
    <t>DOM005</t>
  </si>
  <si>
    <t>DOM006</t>
  </si>
  <si>
    <t>DOM007</t>
  </si>
  <si>
    <t>DOM008</t>
  </si>
  <si>
    <t>EXT - fausto</t>
  </si>
  <si>
    <t>DOM009</t>
  </si>
  <si>
    <t>EXT - Juan D</t>
  </si>
  <si>
    <t>id</t>
  </si>
  <si>
    <t>name</t>
  </si>
  <si>
    <t xml:space="preserve"> price</t>
  </si>
  <si>
    <t>img</t>
  </si>
  <si>
    <t>categoria</t>
  </si>
  <si>
    <t>activo</t>
  </si>
  <si>
    <t>Arreglo Personalizado</t>
  </si>
  <si>
    <t>https://floraapp.s3.us-east-1.amazonaws.com/personalizado_andrea.jpg</t>
  </si>
  <si>
    <t>Personalizado</t>
  </si>
  <si>
    <t xml:space="preserve">Flora Box Redonda 24 Rosas de Jardin </t>
  </si>
  <si>
    <t>https://floraapp.s3.us-east-1.amazonaws.com/Imagen1.jpg</t>
  </si>
  <si>
    <t>Flora Box</t>
  </si>
  <si>
    <t>Flora Box Redonda 70 Rosas</t>
  </si>
  <si>
    <t>https://floraapp.s3.us-east-1.amazonaws.com/Imagen2.jpg</t>
  </si>
  <si>
    <t>Flora Box Redonda Orquídea</t>
  </si>
  <si>
    <t>https://floraapp.s3.us-east-1.amazonaws.com/Imagen3.jpg</t>
  </si>
  <si>
    <t>Flora Box Redonda Lirio</t>
  </si>
  <si>
    <t>https://floraapp.s3.us-east-1.amazonaws.com/Imagen4.jpg</t>
  </si>
  <si>
    <t xml:space="preserve">Flora Box Romantic Flores 12 Rosas </t>
  </si>
  <si>
    <t>https://floraapp.s3.us-east-1.amazonaws.com/Imagen5.jpg</t>
  </si>
  <si>
    <t>https://flora-s3-bucket.s3.us-east-1.amazonaws.com/Flora+Box+Romantic+12+Rosas+v2.png</t>
  </si>
  <si>
    <t xml:space="preserve">Flora Box Romantic Flores 24 Rosas </t>
  </si>
  <si>
    <t>Flora Box Mediana Tierra</t>
  </si>
  <si>
    <t>https://floraapp.s3.us-east-1.amazonaws.com/Imagen6.png</t>
  </si>
  <si>
    <t>Flora Box Mediana Aire</t>
  </si>
  <si>
    <t>https://floraapp.s3.us-east-1.amazonaws.com/Imagen7.jpg</t>
  </si>
  <si>
    <t>Flora Box Mediana Tulipanes</t>
  </si>
  <si>
    <t>https://floraapp.s3.us-east-1.amazonaws.com/Imagen8.jpg</t>
  </si>
  <si>
    <t>Flora Box Grande Orquídea</t>
  </si>
  <si>
    <t>https://floraapp.s3.us-east-1.amazonaws.com/Imagen9.jpg</t>
  </si>
  <si>
    <t>Flora Box Grande Pastel</t>
  </si>
  <si>
    <t>https://floraapp.s3.us-east-1.amazonaws.com/Imagen10.jpg</t>
  </si>
  <si>
    <t>Flora Box Surtida</t>
  </si>
  <si>
    <t>https://floraapp.s3.us-east-1.amazonaws.com/Imagen11.jpg</t>
  </si>
  <si>
    <t>Flora Box Surtida Rosas y Orquídeas</t>
  </si>
  <si>
    <t>https://floraapp.s3.us-east-1.amazonaws.com/Imagen12.jpg</t>
  </si>
  <si>
    <t>Gift Box Flora Heart</t>
  </si>
  <si>
    <t>https://floraapp.s3.us-east-1.amazonaws.com/Imagen13.jpg</t>
  </si>
  <si>
    <t>Flora Box Grande Topiario Rosas</t>
  </si>
  <si>
    <t>https://floraapp.s3.us-east-1.amazonaws.com/Imagen14.jpg</t>
  </si>
  <si>
    <t>Flora Box Grande 36 Rosas</t>
  </si>
  <si>
    <t>https://floraapp.s3.us-east-1.amazonaws.com/Imagen15.jpg</t>
  </si>
  <si>
    <t>Flora Box Grande 50 Rosas</t>
  </si>
  <si>
    <t>https://floraapp.s3.us-east-1.amazonaws.com/Imagen16.jpg</t>
  </si>
  <si>
    <t>Flora Gift Box Rosa Roja JP</t>
  </si>
  <si>
    <t>https://floraapp.s3.us-east-1.amazonaws.com/Imagen17.jpg</t>
  </si>
  <si>
    <t>Flora Gift Box JP</t>
  </si>
  <si>
    <t>https://floraapp.s3.us-east-1.amazonaws.com/Imagen18.jpg</t>
  </si>
  <si>
    <t>Flora Box Lirios</t>
  </si>
  <si>
    <t>https://floraapp.s3.us-east-1.amazonaws.com/Imagen19.jpg</t>
  </si>
  <si>
    <t>Flora Box Mediana Topiario</t>
  </si>
  <si>
    <t>https://floraapp.s3.us-east-1.amazonaws.com/Imagen20.jpg</t>
  </si>
  <si>
    <t>Flora Box Mediana Pastel M/19</t>
  </si>
  <si>
    <t>https://floraapp.s3.us-east-1.amazonaws.com/Imagen21.jpg</t>
  </si>
  <si>
    <t>Flora Box Mediana Welcome Baby + Topper</t>
  </si>
  <si>
    <t>https://floraapp.s3.us-east-1.amazonaws.com/Imagen22.jpg</t>
  </si>
  <si>
    <t>Flora Box Mediana 24 Rosas</t>
  </si>
  <si>
    <t>https://floraapp.s3.us-east-1.amazonaws.com/Imagen23.jpg</t>
  </si>
  <si>
    <t>Flora Box Mediana Sembrado</t>
  </si>
  <si>
    <t>https://floraapp.s3.us-east-1.amazonaws.com/Imagen24.jpg</t>
  </si>
  <si>
    <t>Flora Mini Plus Box Cuadrada</t>
  </si>
  <si>
    <t>https://floraapp.s3.us-east-1.amazonaws.com/Imagen25.jpg</t>
  </si>
  <si>
    <t>Flora Mini Plus Box Redonda</t>
  </si>
  <si>
    <t>https://floraapp.s3.us-east-1.amazonaws.com/Imagen26.jpg</t>
  </si>
  <si>
    <t>https://flora-s3-bucket.s3.us-east-1.amazonaws.com/21.+Flora+Box+plus+redonda+gerbera.png</t>
  </si>
  <si>
    <t>Flora Box Solitario Tulipan</t>
  </si>
  <si>
    <t>https://floraapp.s3.us-east-1.amazonaws.com/Imagen27.jpg</t>
  </si>
  <si>
    <t>Flora Box Solitario Rosa</t>
  </si>
  <si>
    <t>https://floraapp.s3.us-east-1.amazonaws.com/Imagen28.jpg</t>
  </si>
  <si>
    <t>Mini Box Orquidea</t>
  </si>
  <si>
    <t>https://floraapp.s3.us-east-1.amazonaws.com/Imagen29.jpg</t>
  </si>
  <si>
    <t xml:space="preserve">Mini Box Claveles </t>
  </si>
  <si>
    <t>https://floraapp.s3.us-east-1.amazonaws.com/Imagen30.jpg</t>
  </si>
  <si>
    <t>Mini Box Hortensias y Mini Rosa</t>
  </si>
  <si>
    <t>https://floraapp.s3.us-east-1.amazonaws.com/Imagen31.jpg</t>
  </si>
  <si>
    <t>https://floraapp.s3.us-east-1.amazonaws.com/Imagen32.jpg</t>
  </si>
  <si>
    <t>Canasto Artesanal Antique Green</t>
  </si>
  <si>
    <t>https://floraapp.s3.us-east-1.amazonaws.com/Imagen33.jpg</t>
  </si>
  <si>
    <t>Flora Canastos</t>
  </si>
  <si>
    <t>Canasto Aire</t>
  </si>
  <si>
    <t>https://floraapp.s3.us-east-1.amazonaws.com/Imagen34.jpg</t>
  </si>
  <si>
    <t>Canasto Surtido Morado</t>
  </si>
  <si>
    <t>https://floraapp.s3.us-east-1.amazonaws.com/Imagen35.jpg</t>
  </si>
  <si>
    <t>Canasto Tierra</t>
  </si>
  <si>
    <t>https://floraapp.s3.us-east-1.amazonaws.com/Imagen36.jpg</t>
  </si>
  <si>
    <t>Canasto 100 Rosas</t>
  </si>
  <si>
    <t>https://floraapp.s3.us-east-1.amazonaws.com/Imagen37.jpg</t>
  </si>
  <si>
    <t>Canasto 24 Rosas + Orquideas</t>
  </si>
  <si>
    <t>https://floraapp.s3.us-east-1.amazonaws.com/Imagen38.jpg</t>
  </si>
  <si>
    <t xml:space="preserve">Canasto Lavanda </t>
  </si>
  <si>
    <t>https://floraapp.s3.us-east-1.amazonaws.com/Imagen39.png</t>
  </si>
  <si>
    <t>Canasto Girasoles</t>
  </si>
  <si>
    <t>https://floraapp.s3.us-east-1.amazonaws.com/Imagen40.jpg</t>
  </si>
  <si>
    <t xml:space="preserve">Canasto Mediano Sweet </t>
  </si>
  <si>
    <t>https://floraapp.s3.us-east-1.amazonaws.com/Imagen41.jpg</t>
  </si>
  <si>
    <t>Bouquet Flora Antique</t>
  </si>
  <si>
    <t>https://floraapp.s3.us-east-1.amazonaws.com/Imagen42.jpg</t>
  </si>
  <si>
    <t>Flora Bouquets</t>
  </si>
  <si>
    <t xml:space="preserve">Bouquet Orquidea </t>
  </si>
  <si>
    <t>https://floraapp.s3.us-east-1.amazonaws.com/Imagen43.jpg</t>
  </si>
  <si>
    <t xml:space="preserve">Bouquet Aire </t>
  </si>
  <si>
    <t>https://floraapp.s3.us-east-1.amazonaws.com/Imagen44.jpg</t>
  </si>
  <si>
    <t>Bouquet Gerbera</t>
  </si>
  <si>
    <t>https://floraapp.s3.us-east-1.amazonaws.com/Imagen45.jpg</t>
  </si>
  <si>
    <t xml:space="preserve">Bouquet Surtido </t>
  </si>
  <si>
    <t>https://floraapp.s3.us-east-1.amazonaws.com/Imagen46.jpg</t>
  </si>
  <si>
    <t>Bouquet Lirios</t>
  </si>
  <si>
    <t>https://floraapp.s3.us-east-1.amazonaws.com/Imagen47.jpg</t>
  </si>
  <si>
    <t>Bouquet 100 Rosas Rojas</t>
  </si>
  <si>
    <t>https://floraapp.s3.us-east-1.amazonaws.com/Imagen48.jpg</t>
  </si>
  <si>
    <t>Bouquet 50 Rosas Rojas</t>
  </si>
  <si>
    <t>https://floraapp.s3.us-east-1.amazonaws.com/Imagen49.jpg</t>
  </si>
  <si>
    <t>Bouquet 36 Rosas Rojas</t>
  </si>
  <si>
    <t>https://floraapp.s3.us-east-1.amazonaws.com/Imagen50.jpg</t>
  </si>
  <si>
    <t xml:space="preserve">Bouquet 24 Rosas Rojas </t>
  </si>
  <si>
    <t>https://floraapp.s3.us-east-1.amazonaws.com/Imagen51.jpg</t>
  </si>
  <si>
    <t xml:space="preserve">Bouquet 12 Rosas Rojas </t>
  </si>
  <si>
    <t>https://floraapp.s3.us-east-1.amazonaws.com/Imagen52.jpg</t>
  </si>
  <si>
    <t xml:space="preserve">Bouquet 6 Rosas Rojas </t>
  </si>
  <si>
    <t>https://floraapp.s3.us-east-1.amazonaws.com/Imagen53.jpg</t>
  </si>
  <si>
    <t>Corazón Extragrande</t>
  </si>
  <si>
    <t>https://floraapp.s3.us-east-1.amazonaws.com/Imagen54.jpg</t>
  </si>
  <si>
    <t>Corazones</t>
  </si>
  <si>
    <t>Corazón Grande Rosas</t>
  </si>
  <si>
    <t>https://floraapp.s3.us-east-1.amazonaws.com/Imagen55.jpg</t>
  </si>
  <si>
    <t xml:space="preserve">Corazón Mediano Rosas </t>
  </si>
  <si>
    <t>https://floraapp.s3.us-east-1.amazonaws.com/Imagen56.jpg</t>
  </si>
  <si>
    <t>Corazón Mini Rosas</t>
  </si>
  <si>
    <t>https://floraapp.s3.us-east-1.amazonaws.com/Imagen57.jpg</t>
  </si>
  <si>
    <t>Corazón Mini Surtido</t>
  </si>
  <si>
    <t>https://floraapp.s3.us-east-1.amazonaws.com/Imagen58.png</t>
  </si>
  <si>
    <t>Corazón Mediano Surtido</t>
  </si>
  <si>
    <t>https://floraapp.s3.us-east-1.amazonaws.com/Imagen59.jpg</t>
  </si>
  <si>
    <t>Jardinera Madera</t>
  </si>
  <si>
    <t>https://floraapp.s3.us-east-1.amazonaws.com/Imagen60.jpg</t>
  </si>
  <si>
    <t>Maderas</t>
  </si>
  <si>
    <t>Guacal Tierra</t>
  </si>
  <si>
    <t>https://floraapp.s3.us-east-1.amazonaws.com/Imagen61.jpg</t>
  </si>
  <si>
    <t xml:space="preserve">Guacal Hortensias </t>
  </si>
  <si>
    <t>https://floraapp.s3.us-east-1.amazonaws.com/Imagen62.jpg</t>
  </si>
  <si>
    <t>Guacal Surtido Lirio</t>
  </si>
  <si>
    <t>https://floraapp.s3.us-east-1.amazonaws.com/Imagen63.jpg</t>
  </si>
  <si>
    <t>Marquito Orquidea</t>
  </si>
  <si>
    <t>https://floraapp.s3.us-east-1.amazonaws.com/Imagen64.jpg</t>
  </si>
  <si>
    <t>Marquito Surtido Pastel</t>
  </si>
  <si>
    <t>https://floraapp.s3.us-east-1.amazonaws.com/Imagen65.jpg</t>
  </si>
  <si>
    <t>Marquito Girasol</t>
  </si>
  <si>
    <t>https://floraapp.s3.us-east-1.amazonaws.com/Imagen66.jpg</t>
  </si>
  <si>
    <t>Marquito 12 Rosas</t>
  </si>
  <si>
    <t>https://floraapp.s3.us-east-1.amazonaws.com/Imagen67.jpg</t>
  </si>
  <si>
    <t>Virgen Guadalupe o Milagrosa Grande</t>
  </si>
  <si>
    <t>https://floraapp.s3.us-east-1.amazonaws.com/Imagen68.jpg</t>
  </si>
  <si>
    <t>Ceramicas &amp; Vidrios</t>
  </si>
  <si>
    <t>Virgen Guadalupe o Milagrosa Pequeña</t>
  </si>
  <si>
    <t>https://floraapp.s3.us-east-1.amazonaws.com/Imagen69.jpg</t>
  </si>
  <si>
    <t>Cerámica Sweet Pea</t>
  </si>
  <si>
    <t>https://floraapp.s3.us-east-1.amazonaws.com/Imagen70.jpg</t>
  </si>
  <si>
    <t>Cerámica Orquidea Aire</t>
  </si>
  <si>
    <t>https://floraapp.s3.us-east-1.amazonaws.com/Imagen71.jpg</t>
  </si>
  <si>
    <t>Ancheta Lirio</t>
  </si>
  <si>
    <t>https://floraapp.s3.us-east-1.amazonaws.com/Imagen72.jpg</t>
  </si>
  <si>
    <t>Ancheta</t>
  </si>
  <si>
    <t>Ancheta Pink</t>
  </si>
  <si>
    <t>https://floraapp.s3.us-east-1.amazonaws.com/Imagen73.jpg</t>
  </si>
  <si>
    <t>Ancheta Grande</t>
  </si>
  <si>
    <t>https://floraapp.s3.us-east-1.amazonaws.com/Imagen74.jpg</t>
  </si>
  <si>
    <t>Corona Corazón Rosas</t>
  </si>
  <si>
    <t>https://floraapp.s3.us-east-1.amazonaws.com/Imagen75.jpg</t>
  </si>
  <si>
    <t>Condolencias</t>
  </si>
  <si>
    <t>Corona Lirios</t>
  </si>
  <si>
    <t>https://floraapp.s3.us-east-1.amazonaws.com/Imagen76.jpg</t>
  </si>
  <si>
    <t>Sudario</t>
  </si>
  <si>
    <t>https://floraapp.s3.us-east-1.amazonaws.com/Imagen77.jpg</t>
  </si>
  <si>
    <t>https://floraapp.s3.us-east-1.amazonaws.com/Imagen78.jpg</t>
  </si>
  <si>
    <t>Cruz</t>
  </si>
  <si>
    <t>https://floraapp.s3.us-east-1.amazonaws.com/Imagen79.jpg</t>
  </si>
  <si>
    <t>Canasto 24 Rosas + Orquideas M</t>
  </si>
  <si>
    <t>https://floraapp.s3.us-east-1.amazonaws.com/imagen_96.png</t>
  </si>
  <si>
    <t>Flora Mujer</t>
  </si>
  <si>
    <t>Canasto Sweet Pea M</t>
  </si>
  <si>
    <t>Corazón Mini Surtido M</t>
  </si>
  <si>
    <t>https://floraapp.s3.us-east-1.amazonaws.com/imagen_98.png</t>
  </si>
  <si>
    <t>Guacal Canoa M</t>
  </si>
  <si>
    <t>Marquito Surtido  M/14</t>
  </si>
  <si>
    <t>https://floraapp.s3.us-east-1.amazonaws.com/imagen_100.png</t>
  </si>
  <si>
    <t>Encanto flora  M/15</t>
  </si>
  <si>
    <t>https://floraapp.s3.us-east-1.amazonaws.com/imagen_101.png</t>
  </si>
  <si>
    <t>Encanto lila  M/15</t>
  </si>
  <si>
    <t>https://flora-s3-bucket.s3.us-east-1.amazonaws.com/encanto_floral.jpeg</t>
  </si>
  <si>
    <t>Flora Box Sembrado 9 Rosas M/20</t>
  </si>
  <si>
    <t>https://flora-s3-bucket.s3.us-east-1.amazonaws.com/sembrado.jpeg</t>
  </si>
  <si>
    <t>Mini Box Clavel Fucsia M/20</t>
  </si>
  <si>
    <t>https://flora-s3-bucket.s3.us-east-1.amazonaws.com/mini_box_clavel_fucsia.jpeg</t>
  </si>
  <si>
    <t>Chocolates Kisses 10 Und</t>
  </si>
  <si>
    <t>https://floraapp.s3.us-east-1.amazonaws.com/Imagen80.jpg</t>
  </si>
  <si>
    <t>Adicionales</t>
  </si>
  <si>
    <t>Ferrero Rocher 8 und</t>
  </si>
  <si>
    <t>https://floraapp.s3.us-east-1.amazonaws.com/Imagen81.jpg</t>
  </si>
  <si>
    <t>Oso de Peluche</t>
  </si>
  <si>
    <t>https://floraapp.s3.us-east-1.amazonaws.com/Imagen82.jpg</t>
  </si>
  <si>
    <t>Vino Espumoso JP. Chenet 175 ml</t>
  </si>
  <si>
    <t>https://floraapp.s3.us-east-1.amazonaws.com/Imagen83.jpg</t>
  </si>
  <si>
    <t>Vino Blanco Terra Vega</t>
  </si>
  <si>
    <t>https://floraapp.s3.us-east-1.amazonaws.com/Imagen84.jpg</t>
  </si>
  <si>
    <t>Vino Tinto Terra Vega</t>
  </si>
  <si>
    <t>https://floraapp.s3.us-east-1.amazonaws.com/Imagen85.jpg</t>
  </si>
  <si>
    <t>Topper Feliz Día</t>
  </si>
  <si>
    <t>https://floraapp.s3.us-east-1.amazonaws.com/Imagen86.jpg</t>
  </si>
  <si>
    <t>Topper I love You</t>
  </si>
  <si>
    <t>https://floraapp.s3.us-east-1.amazonaws.com/Imagen87.jpg</t>
  </si>
  <si>
    <t>Topper Welcome</t>
  </si>
  <si>
    <t>https://floraapp.s3.us-east-1.amazonaws.com/Imagen88.jpg</t>
  </si>
  <si>
    <t>Topper Feliz Aniversario</t>
  </si>
  <si>
    <t>https://floraapp.s3.us-east-1.amazonaws.com/Imagen89.jpg</t>
  </si>
  <si>
    <t>Topper Happy Birthday</t>
  </si>
  <si>
    <t>https://floraapp.s3.us-east-1.amazonaws.com/Imagen90.jpg</t>
  </si>
  <si>
    <t>Topper Welcome Baby</t>
  </si>
  <si>
    <t>https://floraapp.s3.us-east-1.amazonaws.com/Imagen91.jpg</t>
  </si>
  <si>
    <t>Topper Mejorate Pronto</t>
  </si>
  <si>
    <t>https://floraapp.s3.us-east-1.amazonaws.com/Imagen94.jpg</t>
  </si>
  <si>
    <t>Topper Día Mamá</t>
  </si>
  <si>
    <t>https://floraapp.s3.us-east-1.amazonaws.com/Imagen92.jpg</t>
  </si>
  <si>
    <t>Ambientador 120 ml</t>
  </si>
  <si>
    <t>https://floraapp.s3.us-east-1.amazonaws.com/Imagen93.jpg</t>
  </si>
  <si>
    <t>Estado_Receta</t>
  </si>
  <si>
    <t>Insumos_Faltantes</t>
  </si>
  <si>
    <t>Nota</t>
  </si>
  <si>
    <t>cantidad</t>
  </si>
  <si>
    <t>Flora Heart Extragrande</t>
  </si>
  <si>
    <t>https://floraapp.s3.us-east-1.amazonaws.com/san_valentin/imagen_1.jpeg</t>
  </si>
  <si>
    <t>Flora Heart Grande</t>
  </si>
  <si>
    <t>https://floraapp.s3.us-east-1.amazonaws.com/san_valentin/imagen_2.jpeg</t>
  </si>
  <si>
    <t>Flora Heart Mediano</t>
  </si>
  <si>
    <t>https://floraapp.s3.us-east-1.amazonaws.com/san_valentin/imagen_3.jpeg</t>
  </si>
  <si>
    <t>Mini Heart Rosas</t>
  </si>
  <si>
    <t>https://floraapp.s3.us-east-1.amazonaws.com/san_valentin/imagen_4.jpeg</t>
  </si>
  <si>
    <t>Mini Heart Surtido</t>
  </si>
  <si>
    <t>https://floraapp.s3.us-east-1.amazonaws.com/san_valentin/imagen_5.jpeg</t>
  </si>
  <si>
    <t>Bouquet 100 Rosas</t>
  </si>
  <si>
    <t>https://floraapp.s3.us-east-1.amazonaws.com/san_valentin/imagen_6.jpeg</t>
  </si>
  <si>
    <t>Bouquet 50 Rosas</t>
  </si>
  <si>
    <t>https://floraapp.s3.us-east-1.amazonaws.com/san_valentin/imagen_7.jpeg</t>
  </si>
  <si>
    <t>Bouquet 36 Rosas</t>
  </si>
  <si>
    <t>Bouquet 24 Rosas</t>
  </si>
  <si>
    <t>https://floraapp.s3.us-east-1.amazonaws.com/san_valentin/imagen_9.jpeg</t>
  </si>
  <si>
    <t>Bouquet 12 Rosas</t>
  </si>
  <si>
    <t>https://floraapp.s3.us-east-1.amazonaws.com/san_valentin/imagen_10.jpeg</t>
  </si>
  <si>
    <t>Bouquet 6 Rosas</t>
  </si>
  <si>
    <t>https://floraapp.s3.us-east-1.amazonaws.com/san_valentin/imagen_11.jpeg</t>
  </si>
  <si>
    <t>Canasto 100 Rosas Rojas</t>
  </si>
  <si>
    <t>https://floraapp.s3.us-east-1.amazonaws.com/san_valentin/imagen_12.jpeg</t>
  </si>
  <si>
    <t>https://floraapp.s3.us-east-1.amazonaws.com/san_valentin/imagen_13.jpeg</t>
  </si>
  <si>
    <t>Canasto Surtido con Rosas</t>
  </si>
  <si>
    <t>https://floraapp.s3.us-east-1.amazonaws.com/san_valentin/imagen_14.jpeg</t>
  </si>
  <si>
    <t>Marquito Rosas</t>
  </si>
  <si>
    <t>https://floraapp.s3.us-east-1.amazonaws.com/san_valentin/imagen_15.jpeg</t>
  </si>
  <si>
    <t>Flora Box Romantic 24 Rosas</t>
  </si>
  <si>
    <t>https://floraapp.s3.us-east-1.amazonaws.com/san_valentin/imagen_16.jpeg</t>
  </si>
  <si>
    <t>Flora Box Romantic 12 Rosas</t>
  </si>
  <si>
    <t>https://floraapp.s3.us-east-1.amazonaws.com/san_valentin/imagen_17.jpeg</t>
  </si>
  <si>
    <t>Flora Box Mediana Surtida</t>
  </si>
  <si>
    <t>https://floraapp.s3.us-east-1.amazonaws.com/san_valentin/imagen_18.jpeg</t>
  </si>
  <si>
    <t>https://floraapp.s3.us-east-1.amazonaws.com/san_valentin/imagen_19.jpeg</t>
  </si>
  <si>
    <t>Flora Box Sembrado 12 Rosas</t>
  </si>
  <si>
    <t>https://floraapp.s3.us-east-1.amazonaws.com/san_valentin/imagen_20.jpeg</t>
  </si>
  <si>
    <t>Flora Box Redonda Rosas y Claveles</t>
  </si>
  <si>
    <t>https://floraapp.s3.us-east-1.amazonaws.com/san_valentin/imagen_21.jpeg</t>
  </si>
  <si>
    <t>https://floraapp.s3.us-east-1.amazonaws.com/san_valentin/imagen_22.jpeg</t>
  </si>
  <si>
    <t>Mini Box Rosas Rojas</t>
  </si>
  <si>
    <t>https://floraapp.s3.us-east-1.amazonaws.com/san_valentin/imagen_23.jpeg</t>
  </si>
  <si>
    <t>Flora Box  Solitario Rosa</t>
  </si>
  <si>
    <t>https://floraapp.s3.us-east-1.amazonaws.com/san_valentin/imagen_24.jpeg</t>
  </si>
  <si>
    <t>https://floraapp.s3.us-east-1.amazonaws.com/san_valentin/Chocolates_Kisses_10_Und.jpeg</t>
  </si>
  <si>
    <t>https://floraapp.s3.us-east-1.amazonaws.com/san_valentin/Ferrero_Rocher_8_und.jpeg</t>
  </si>
  <si>
    <t>https://floraapp.s3.us-east-1.amazonaws.com/san_valentin/Oso_de_Peluche.jpeg</t>
  </si>
  <si>
    <t>Vino Espumoso JP. Chenet  175 ml</t>
  </si>
  <si>
    <t>https://floraapp.s3.us-east-1.amazonaws.com/san_valentin/Vino+Espumoso+JP.+Chenet++175+ml.jpeg</t>
  </si>
  <si>
    <t>https://floraapp.s3.us-east-1.amazonaws.com/san_valentin/Vino+Blanco+Terra+Vega.jpeg</t>
  </si>
  <si>
    <t>https://floraapp.s3.us-east-1.amazonaws.com/san_valentin/Vino+Tinto+Terra+Vega.jpeg</t>
  </si>
  <si>
    <t>https://floraapp.s3.us-east-1.amazonaws.com/san_valentin/Topper+Feliz+D%C3%ADa.jpeg</t>
  </si>
  <si>
    <t>https://floraapp.s3.us-east-1.amazonaws.com/san_valentin/Topper+I+love+You.jpeg</t>
  </si>
  <si>
    <t>https://floraapp.s3.us-east-1.amazonaws.com/san_valentin/Ambientador+120+ml.jpeg</t>
  </si>
  <si>
    <t>Id</t>
  </si>
  <si>
    <t>Nombre de Producto</t>
  </si>
  <si>
    <t>Categoria</t>
  </si>
  <si>
    <t>Stock_Mínimo</t>
  </si>
  <si>
    <t>Stock_Actual</t>
  </si>
  <si>
    <t>Fecha_Caducidad</t>
  </si>
  <si>
    <t>Und Medida</t>
  </si>
  <si>
    <t>Provedor</t>
  </si>
  <si>
    <t>Color</t>
  </si>
  <si>
    <t>7702728230129</t>
  </si>
  <si>
    <t>Flor</t>
  </si>
  <si>
    <t>Disponible</t>
  </si>
  <si>
    <t>Paquete</t>
  </si>
  <si>
    <t>7702728230130</t>
  </si>
  <si>
    <t>orquideas</t>
  </si>
  <si>
    <t>Follaje</t>
  </si>
  <si>
    <t>Casi Agotado</t>
  </si>
  <si>
    <t>7702728230132</t>
  </si>
  <si>
    <t>girasol</t>
  </si>
  <si>
    <t>Agotado</t>
  </si>
  <si>
    <t>7702728230133</t>
  </si>
  <si>
    <t>7702728230135</t>
  </si>
  <si>
    <t>tulipan</t>
  </si>
  <si>
    <t>7702728230137</t>
  </si>
  <si>
    <t>Caja 5x5</t>
  </si>
  <si>
    <t>Caja</t>
  </si>
  <si>
    <t>60</t>
  </si>
  <si>
    <t>caja</t>
  </si>
  <si>
    <t>7707188188263</t>
  </si>
  <si>
    <t>clavellina</t>
  </si>
  <si>
    <t>CODIGO</t>
  </si>
  <si>
    <t>NOMBRE</t>
  </si>
  <si>
    <t>CATEGORIA</t>
  </si>
  <si>
    <t>SUBCATEGORIA</t>
  </si>
  <si>
    <t>COLOR</t>
  </si>
  <si>
    <t>DESCRIPCION</t>
  </si>
  <si>
    <t>PROVEDOR</t>
  </si>
  <si>
    <t>STOCK_ACTUAL</t>
  </si>
  <si>
    <t>ESTADO</t>
  </si>
  <si>
    <t>VALOR</t>
  </si>
  <si>
    <t>CODIGOPROVEDOR</t>
  </si>
  <si>
    <t>FL00106300</t>
  </si>
  <si>
    <t>ALHELI BLANCO</t>
  </si>
  <si>
    <t>FLORES</t>
  </si>
  <si>
    <t>BLANCO</t>
  </si>
  <si>
    <t>JUAN DAVID (AURA) BOGOTA</t>
  </si>
  <si>
    <t>FL00110300</t>
  </si>
  <si>
    <t>ALHELI LILA</t>
  </si>
  <si>
    <t>LILA</t>
  </si>
  <si>
    <t>FL00115300</t>
  </si>
  <si>
    <t>ALHELI ROSADA</t>
  </si>
  <si>
    <t>ROSADA</t>
  </si>
  <si>
    <t>FL00206300</t>
  </si>
  <si>
    <t>ASTROMELIA BLANCA</t>
  </si>
  <si>
    <t>FL00209300</t>
  </si>
  <si>
    <t>ASTROMELIA FUCSIA</t>
  </si>
  <si>
    <t>FUCSIA</t>
  </si>
  <si>
    <t>CATALOGO MUJER</t>
  </si>
  <si>
    <t>FL00210300</t>
  </si>
  <si>
    <t>ASTROMELIA LILA</t>
  </si>
  <si>
    <t>FL00212300</t>
  </si>
  <si>
    <t>ASTROMELIA NARANJA</t>
  </si>
  <si>
    <t>NARANJA</t>
  </si>
  <si>
    <t>FL00214300</t>
  </si>
  <si>
    <t>ASTROMELIA ROJA</t>
  </si>
  <si>
    <t>ROJA</t>
  </si>
  <si>
    <t>FL00215300</t>
  </si>
  <si>
    <t>ASTROMELIA ROSADA</t>
  </si>
  <si>
    <t>FL00312400</t>
  </si>
  <si>
    <t>AVES DEL PARAISO</t>
  </si>
  <si>
    <t>DEL PARAISO</t>
  </si>
  <si>
    <t>CARLOS SANCHEZ MEDELLIN</t>
  </si>
  <si>
    <t>FL00417300</t>
  </si>
  <si>
    <t>BALL GREEN</t>
  </si>
  <si>
    <t>GREEN</t>
  </si>
  <si>
    <t>FL00510300</t>
  </si>
  <si>
    <t>BELLADONA</t>
  </si>
  <si>
    <t>FL00606300</t>
  </si>
  <si>
    <t>BOCA DE DRAGON BLANCO</t>
  </si>
  <si>
    <t>DE DRAGON BLANCO</t>
  </si>
  <si>
    <t>FL00615300</t>
  </si>
  <si>
    <t>BOCA DE DRAGON ROSADO</t>
  </si>
  <si>
    <t>DE DRAGON ROSADO</t>
  </si>
  <si>
    <t>FL00705300</t>
  </si>
  <si>
    <t>BOTON DE ORO</t>
  </si>
  <si>
    <t>DE ORO</t>
  </si>
  <si>
    <t>FL00809300</t>
  </si>
  <si>
    <t>CALACHOES FUCSIAS</t>
  </si>
  <si>
    <t>FUCSIAS</t>
  </si>
  <si>
    <t>FL00815300</t>
  </si>
  <si>
    <t>CALACHOES ROSADOS</t>
  </si>
  <si>
    <t>ROSADOS</t>
  </si>
  <si>
    <t>FL00917300</t>
  </si>
  <si>
    <t>CAMPANA DE IRLANDA</t>
  </si>
  <si>
    <t>DE IRLANDA</t>
  </si>
  <si>
    <t>FL01006300</t>
  </si>
  <si>
    <t>CAMPANOLAS BLANCAS</t>
  </si>
  <si>
    <t>BLANCAS</t>
  </si>
  <si>
    <t>FL01011300</t>
  </si>
  <si>
    <t>CAMPANOLAS MORADA</t>
  </si>
  <si>
    <t>MORADA</t>
  </si>
  <si>
    <t>FL01015300</t>
  </si>
  <si>
    <t>CAMPANOLAS ROSADA</t>
  </si>
  <si>
    <t>FL01117000</t>
  </si>
  <si>
    <t>CANCION DE LA INDIA</t>
  </si>
  <si>
    <t>DE LA INDIA</t>
  </si>
  <si>
    <t>JUAN DAVID AURA /  CARLOS SANCHEZ</t>
  </si>
  <si>
    <t>FL01206300</t>
  </si>
  <si>
    <t>CARTUCHO</t>
  </si>
  <si>
    <t>FL01309300</t>
  </si>
  <si>
    <t>CHAMELIA FUSCIA</t>
  </si>
  <si>
    <t>FUSCIA</t>
  </si>
  <si>
    <t>FL01315300</t>
  </si>
  <si>
    <t>CHAMELIA ROSADA</t>
  </si>
  <si>
    <t>FL01412300</t>
  </si>
  <si>
    <t>CHISPITAS</t>
  </si>
  <si>
    <t>FL01501300</t>
  </si>
  <si>
    <t>CLAVEL AMARILLO</t>
  </si>
  <si>
    <t>AMARILLO</t>
  </si>
  <si>
    <t>FL01505300</t>
  </si>
  <si>
    <t>CLAVEL BICOLOR</t>
  </si>
  <si>
    <t>BICOLOR</t>
  </si>
  <si>
    <t>FL01506300</t>
  </si>
  <si>
    <t>CLAVEL BLANCO</t>
  </si>
  <si>
    <t>FL01509300</t>
  </si>
  <si>
    <t>CLAVEL FUCSIA</t>
  </si>
  <si>
    <t>FL01519300</t>
  </si>
  <si>
    <t>CLAVEL MAMON</t>
  </si>
  <si>
    <t>MAMON</t>
  </si>
  <si>
    <t>FL01512300</t>
  </si>
  <si>
    <t>CLAVEL NARANJA</t>
  </si>
  <si>
    <t>FL01504300</t>
  </si>
  <si>
    <t>CLAVEL BEIGE</t>
  </si>
  <si>
    <t>BEIGE</t>
  </si>
  <si>
    <t>FL01514300</t>
  </si>
  <si>
    <t>CLAVEL ROJO</t>
  </si>
  <si>
    <t>ROJO</t>
  </si>
  <si>
    <t>FL01515300</t>
  </si>
  <si>
    <t>CLAVEL ROSADO</t>
  </si>
  <si>
    <t>ROSADO</t>
  </si>
  <si>
    <t>FL01606300</t>
  </si>
  <si>
    <t>CLAVEL CHINO BLANCO</t>
  </si>
  <si>
    <t>CHINO BLANCO</t>
  </si>
  <si>
    <t>FL01614300</t>
  </si>
  <si>
    <t>CLAVEL CHINO ROJO</t>
  </si>
  <si>
    <t>CHINO ROJO</t>
  </si>
  <si>
    <t>FL01615300</t>
  </si>
  <si>
    <t>CLAVEL CHINO ROSADO</t>
  </si>
  <si>
    <t>CHINO ROSADO</t>
  </si>
  <si>
    <t>FL01701300</t>
  </si>
  <si>
    <t>CLAVELLINA AMARILLA</t>
  </si>
  <si>
    <t>AMARILLA</t>
  </si>
  <si>
    <t>FL01706300</t>
  </si>
  <si>
    <t>CLAVELLINA BLANCA</t>
  </si>
  <si>
    <t>FL01709300</t>
  </si>
  <si>
    <t>CLAVELLINA FUCSIA</t>
  </si>
  <si>
    <t>FL01711300</t>
  </si>
  <si>
    <t>CLAVELLINA MORADA</t>
  </si>
  <si>
    <t>FL01712300</t>
  </si>
  <si>
    <t>CLAVELLINA NARANJA</t>
  </si>
  <si>
    <t>FL01714300</t>
  </si>
  <si>
    <t>CLAVELLINA ROJA</t>
  </si>
  <si>
    <t>FL01715300</t>
  </si>
  <si>
    <t>CLAVELLINA ROSADA</t>
  </si>
  <si>
    <t>FL01705300</t>
  </si>
  <si>
    <t>CLAVELLINA  BICOLOR</t>
  </si>
  <si>
    <t>FL01811400</t>
  </si>
  <si>
    <t>COLLES MORADO</t>
  </si>
  <si>
    <t>MORADO</t>
  </si>
  <si>
    <t>FL01817300</t>
  </si>
  <si>
    <t>COLLES VERDE</t>
  </si>
  <si>
    <t>VERDE</t>
  </si>
  <si>
    <t>FL01901000</t>
  </si>
  <si>
    <t>CRASPEDIA</t>
  </si>
  <si>
    <t>FL02015000</t>
  </si>
  <si>
    <t>CRISANTEMOS ROSADO</t>
  </si>
  <si>
    <t>FL02006400</t>
  </si>
  <si>
    <t>CRISANTEMOS BLANCO</t>
  </si>
  <si>
    <t>FL02010400</t>
  </si>
  <si>
    <t>CRISANTEMOS LILA</t>
  </si>
  <si>
    <t>FL02111300</t>
  </si>
  <si>
    <t>DELFINIOS MORADO</t>
  </si>
  <si>
    <t>FL02103300</t>
  </si>
  <si>
    <t>DELFINIOS AZUL</t>
  </si>
  <si>
    <t>AZUL</t>
  </si>
  <si>
    <t>FL02106300</t>
  </si>
  <si>
    <t>DELFINIOS BLANCO</t>
  </si>
  <si>
    <t>FL02110300</t>
  </si>
  <si>
    <t>DELFINIOS LILA</t>
  </si>
  <si>
    <t>FL02215300</t>
  </si>
  <si>
    <t>ESPIDIA ROSADA</t>
  </si>
  <si>
    <t>FL02306300</t>
  </si>
  <si>
    <t>ESTRELLA DE BELEN</t>
  </si>
  <si>
    <t>DE BELEN</t>
  </si>
  <si>
    <t>FL02401300</t>
  </si>
  <si>
    <t>FRESIA AMARILLA</t>
  </si>
  <si>
    <t>FL02411300</t>
  </si>
  <si>
    <t>FRESIAS MORADA</t>
  </si>
  <si>
    <t>FL02506400</t>
  </si>
  <si>
    <t>FULLY BLANCO</t>
  </si>
  <si>
    <t>FL02501400</t>
  </si>
  <si>
    <t>FULLY AMARILLO</t>
  </si>
  <si>
    <t>FL02511400</t>
  </si>
  <si>
    <t>FULLY MORADO</t>
  </si>
  <si>
    <t>FL02510400</t>
  </si>
  <si>
    <t>FULLY LILA</t>
  </si>
  <si>
    <t>FL02517400</t>
  </si>
  <si>
    <t>FULLY  VERDE</t>
  </si>
  <si>
    <t>FL02601400</t>
  </si>
  <si>
    <t>GERBERAS AMARILLA</t>
  </si>
  <si>
    <t>FL02606400</t>
  </si>
  <si>
    <t>GERBERAS BLANCA</t>
  </si>
  <si>
    <t>FL02609400</t>
  </si>
  <si>
    <t>GERBERAS FUCSIA</t>
  </si>
  <si>
    <t>FL02612400</t>
  </si>
  <si>
    <t>GERBERAS NARANJA</t>
  </si>
  <si>
    <t>FL02615400</t>
  </si>
  <si>
    <t>GERBERAS ROSADA</t>
  </si>
  <si>
    <t>FL02614400</t>
  </si>
  <si>
    <t>GERBERAS ROJAS</t>
  </si>
  <si>
    <t>ROJAS</t>
  </si>
  <si>
    <t>FL02701400</t>
  </si>
  <si>
    <t>GIRASOL</t>
  </si>
  <si>
    <t>FL02806300</t>
  </si>
  <si>
    <t>GLADIOLO BLANCO</t>
  </si>
  <si>
    <t>FL02815300</t>
  </si>
  <si>
    <t>GLADIOLO ROSADO</t>
  </si>
  <si>
    <t>FL02814300</t>
  </si>
  <si>
    <t>GLADIOLO ROJO</t>
  </si>
  <si>
    <t>FL02809300</t>
  </si>
  <si>
    <t>GLADIOLO FUSCIA</t>
  </si>
  <si>
    <t>FL02915300</t>
  </si>
  <si>
    <t>GODETIA ROSADA</t>
  </si>
  <si>
    <t>FL02909300</t>
  </si>
  <si>
    <t>GODETIA FUSCIA</t>
  </si>
  <si>
    <t>FL02906300</t>
  </si>
  <si>
    <t>GODETIA BLANCA</t>
  </si>
  <si>
    <t>FL03006000</t>
  </si>
  <si>
    <t>GYPSO</t>
  </si>
  <si>
    <t>FL03102400</t>
  </si>
  <si>
    <t>HORTENCIA ANTIQUE</t>
  </si>
  <si>
    <t>ANTIQUE</t>
  </si>
  <si>
    <t>FL03107400</t>
  </si>
  <si>
    <t>HORTENCIA CHOQUI</t>
  </si>
  <si>
    <t>CHOQUI</t>
  </si>
  <si>
    <t>FL03103400</t>
  </si>
  <si>
    <t>HORTENCIA AZUL</t>
  </si>
  <si>
    <t>FL03106400</t>
  </si>
  <si>
    <t>HORTENCIA BLANCA</t>
  </si>
  <si>
    <t>FL03117400</t>
  </si>
  <si>
    <t>HORTENCIA VERDE</t>
  </si>
  <si>
    <t>FL03111400</t>
  </si>
  <si>
    <t>HORTENCIA MORADA</t>
  </si>
  <si>
    <t>FL03118400</t>
  </si>
  <si>
    <t>HORTENCIA VERDE CLARA</t>
  </si>
  <si>
    <t>VERDE CLARA</t>
  </si>
  <si>
    <t>FL03115400</t>
  </si>
  <si>
    <t>HORTENCIA ROSADA</t>
  </si>
  <si>
    <t>FL03116400</t>
  </si>
  <si>
    <t>HORTENCIAS ESMERALDA</t>
  </si>
  <si>
    <t>ESMERALDA</t>
  </si>
  <si>
    <t>FL03211300</t>
  </si>
  <si>
    <t>LEATRIS</t>
  </si>
  <si>
    <t>FL03301300</t>
  </si>
  <si>
    <t>LIRIOS AMARILLO</t>
  </si>
  <si>
    <t>FL03306300</t>
  </si>
  <si>
    <t>LIRIOS BLANCO</t>
  </si>
  <si>
    <t>FL03309300</t>
  </si>
  <si>
    <t>LIRIOS FUCSIA</t>
  </si>
  <si>
    <t>FL03312300</t>
  </si>
  <si>
    <t>LIRIOS NARANJA</t>
  </si>
  <si>
    <t>FL03315300</t>
  </si>
  <si>
    <t>LIRIOS ROSADO</t>
  </si>
  <si>
    <t>FL03401400</t>
  </si>
  <si>
    <t>MARGARITA AMARILLA</t>
  </si>
  <si>
    <t>FL03406400</t>
  </si>
  <si>
    <t>MARGARITA BLANCA</t>
  </si>
  <si>
    <t>FL03410400</t>
  </si>
  <si>
    <t>MARGARITA LILA</t>
  </si>
  <si>
    <t>FL03409400</t>
  </si>
  <si>
    <t>MARGARITA FUCSIA</t>
  </si>
  <si>
    <t>FL03520400</t>
  </si>
  <si>
    <t>MINI CALLA MANGO</t>
  </si>
  <si>
    <t>CALLA MANGO</t>
  </si>
  <si>
    <t>FL03509400</t>
  </si>
  <si>
    <t>MINI CALLA FUSCIA</t>
  </si>
  <si>
    <t>CALLA FUSCIA</t>
  </si>
  <si>
    <t>FL03511400</t>
  </si>
  <si>
    <t>MINI CALLAS PICASO / MORADO</t>
  </si>
  <si>
    <t>CALLAS PICASO / MORADO</t>
  </si>
  <si>
    <t>FL03601400</t>
  </si>
  <si>
    <t>MINI GIRASOL</t>
  </si>
  <si>
    <t>FL03806300</t>
  </si>
  <si>
    <t>NARDOS</t>
  </si>
  <si>
    <t>FL03906000</t>
  </si>
  <si>
    <t>ORQUIDEA BLANCA</t>
  </si>
  <si>
    <t>MOISES</t>
  </si>
  <si>
    <t>FL03915000</t>
  </si>
  <si>
    <t>ORQUIDEA ROSADA</t>
  </si>
  <si>
    <t>FL03921000</t>
  </si>
  <si>
    <t>ORQUIDEA TERRACOTA</t>
  </si>
  <si>
    <t>TERRACOTA</t>
  </si>
  <si>
    <t>FL03901000</t>
  </si>
  <si>
    <t>ORQUIDEA AMARILLA</t>
  </si>
  <si>
    <t>FL03917000</t>
  </si>
  <si>
    <t>ORQUIDEA VERDE</t>
  </si>
  <si>
    <t>FL04006300</t>
  </si>
  <si>
    <t>PERLA DE NOVIA</t>
  </si>
  <si>
    <t>DE NOVIA</t>
  </si>
  <si>
    <t>FL04117400</t>
  </si>
  <si>
    <t>PINOPIO VERDE</t>
  </si>
  <si>
    <t>FL04101400</t>
  </si>
  <si>
    <t>PINOPIO  AMARILLO</t>
  </si>
  <si>
    <t>FL04106400</t>
  </si>
  <si>
    <t>PINOPIO BLANCO</t>
  </si>
  <si>
    <t>FL04110400</t>
  </si>
  <si>
    <t>PINOPIO LILA</t>
  </si>
  <si>
    <t>FL04210400</t>
  </si>
  <si>
    <t>POM POM LILA</t>
  </si>
  <si>
    <t>POM LILA</t>
  </si>
  <si>
    <t>FL04206400</t>
  </si>
  <si>
    <t>POM POM BLANCO</t>
  </si>
  <si>
    <t>POM BLANCO</t>
  </si>
  <si>
    <t>FL04201400</t>
  </si>
  <si>
    <t>POM POM AMARILLO</t>
  </si>
  <si>
    <t>POM AMARILLO</t>
  </si>
  <si>
    <t>FL04311300</t>
  </si>
  <si>
    <t>PROTEA MORADA</t>
  </si>
  <si>
    <t>FL04317300</t>
  </si>
  <si>
    <t>PROTEA VERDE</t>
  </si>
  <si>
    <t>FL04415300</t>
  </si>
  <si>
    <t>RAFINE ROSADO</t>
  </si>
  <si>
    <t>FL04410300</t>
  </si>
  <si>
    <t>RAFINE LILA</t>
  </si>
  <si>
    <t>FL04411300</t>
  </si>
  <si>
    <t>RAFINE  MORADO</t>
  </si>
  <si>
    <t>FL04417300</t>
  </si>
  <si>
    <t>RAFINE VERDE</t>
  </si>
  <si>
    <t>FL04406300</t>
  </si>
  <si>
    <t>RAFINE BLANCO</t>
  </si>
  <si>
    <t>FL04606300</t>
  </si>
  <si>
    <t>SOLOMIO BLANCO</t>
  </si>
  <si>
    <t>FL04610300</t>
  </si>
  <si>
    <t>SOLOMIO LILA</t>
  </si>
  <si>
    <t>FL04612300</t>
  </si>
  <si>
    <t>SOLOMIO NARANJA</t>
  </si>
  <si>
    <t>FL04614300</t>
  </si>
  <si>
    <t>SOLOMIO ROJO</t>
  </si>
  <si>
    <t>FL04615300</t>
  </si>
  <si>
    <t>SOLOMIO ROSADO</t>
  </si>
  <si>
    <t>FL04711400</t>
  </si>
  <si>
    <t>STATIS MORADO</t>
  </si>
  <si>
    <t>FL04706400</t>
  </si>
  <si>
    <t>STATIS BLANCA</t>
  </si>
  <si>
    <t>FL04810800</t>
  </si>
  <si>
    <t>SWEET PEA LILA</t>
  </si>
  <si>
    <t>PEA LILA</t>
  </si>
  <si>
    <t>IKEBANA</t>
  </si>
  <si>
    <t>FL04815800</t>
  </si>
  <si>
    <t>SWEET PEA ROSADO</t>
  </si>
  <si>
    <t>PEA ROSADO</t>
  </si>
  <si>
    <t>FL04906300</t>
  </si>
  <si>
    <t>VERONICAS BLANCAS</t>
  </si>
  <si>
    <t>FL04915300</t>
  </si>
  <si>
    <t>VERONICAS ROSADAS</t>
  </si>
  <si>
    <t>ROSADAS</t>
  </si>
  <si>
    <t>FL03701000300</t>
  </si>
  <si>
    <t>MINI ROSA AMARILLA</t>
  </si>
  <si>
    <t>FL03701000100</t>
  </si>
  <si>
    <t>ENRIQUE</t>
  </si>
  <si>
    <t>FL03706000300</t>
  </si>
  <si>
    <t>MINI ROSA BLANCA</t>
  </si>
  <si>
    <t>FL03706000100</t>
  </si>
  <si>
    <t>FL03709000100</t>
  </si>
  <si>
    <t>MINI ROSA FUSCIA</t>
  </si>
  <si>
    <t>FL03715000300</t>
  </si>
  <si>
    <t>MINI ROSA ROSADA</t>
  </si>
  <si>
    <t>FL03715000100</t>
  </si>
  <si>
    <t>FL04501000100</t>
  </si>
  <si>
    <t>ROSA AMARILLA</t>
  </si>
  <si>
    <t>FL04501000200</t>
  </si>
  <si>
    <t>MARTHA</t>
  </si>
  <si>
    <t>FL04506000100</t>
  </si>
  <si>
    <t>ROSA BLANCA</t>
  </si>
  <si>
    <t>FL04506000200</t>
  </si>
  <si>
    <t>FL04522221100</t>
  </si>
  <si>
    <t>ROSA CONFETI</t>
  </si>
  <si>
    <t>FL04522221200</t>
  </si>
  <si>
    <t>FL04509000100</t>
  </si>
  <si>
    <t>ROSA FUSCIA</t>
  </si>
  <si>
    <t>FL04509000200</t>
  </si>
  <si>
    <t>FL04512121100</t>
  </si>
  <si>
    <t>ROSA NARANJA KAHALA</t>
  </si>
  <si>
    <t>KAHALA</t>
  </si>
  <si>
    <t>FL04510000100</t>
  </si>
  <si>
    <t>ROSA LILA</t>
  </si>
  <si>
    <t>FL04510000200</t>
  </si>
  <si>
    <t>FL04504041100</t>
  </si>
  <si>
    <t>ROSA QSAND (BEIGE)</t>
  </si>
  <si>
    <t>QSAND</t>
  </si>
  <si>
    <t>FL04515153100</t>
  </si>
  <si>
    <t>ROSA BARISTA</t>
  </si>
  <si>
    <t>BARISTA</t>
  </si>
  <si>
    <t>FL04514141100</t>
  </si>
  <si>
    <t>ROSA  EXPLORER ROJA</t>
  </si>
  <si>
    <t>EXPLORER</t>
  </si>
  <si>
    <t>FL04514142100</t>
  </si>
  <si>
    <t>ROSA FREEDOM ROJA</t>
  </si>
  <si>
    <t>FREEDOM</t>
  </si>
  <si>
    <t>FL04514142200</t>
  </si>
  <si>
    <t>ROSA REEDOM ROJA</t>
  </si>
  <si>
    <t>FL04514143100</t>
  </si>
  <si>
    <t>ROSA HEART ROJA</t>
  </si>
  <si>
    <t>HEART</t>
  </si>
  <si>
    <t>FL04515151100</t>
  </si>
  <si>
    <t>ROSA LONDON ROSADA</t>
  </si>
  <si>
    <t>LONDON</t>
  </si>
  <si>
    <t>FL04515152100</t>
  </si>
  <si>
    <t>ROSA  PHOENIX ROSADA</t>
  </si>
  <si>
    <t>PHOENIX</t>
  </si>
  <si>
    <t>FL04515000100</t>
  </si>
  <si>
    <t>ROSA ROSADA</t>
  </si>
  <si>
    <t>FL04515000200</t>
  </si>
  <si>
    <t>FO1017FOL</t>
  </si>
  <si>
    <t>ARALIA</t>
  </si>
  <si>
    <t>FOLLAJES</t>
  </si>
  <si>
    <t>FOLLAJE VERDE</t>
  </si>
  <si>
    <t>FO1117FOL</t>
  </si>
  <si>
    <t>ARECA</t>
  </si>
  <si>
    <t>FO1211FIL</t>
  </si>
  <si>
    <t>ASTER MORADO</t>
  </si>
  <si>
    <t>FILLER O RELLENO</t>
  </si>
  <si>
    <t>FO1206FIL</t>
  </si>
  <si>
    <t>ASTER BLANCO</t>
  </si>
  <si>
    <t>FO1317GRN</t>
  </si>
  <si>
    <t>BALAZO GRANDE</t>
  </si>
  <si>
    <t>FO1317MED</t>
  </si>
  <si>
    <t>BALAZO MEDIANO</t>
  </si>
  <si>
    <t>FO1417FOL</t>
  </si>
  <si>
    <t>BRILLANTINA</t>
  </si>
  <si>
    <t>FO1517FOL</t>
  </si>
  <si>
    <t>CALATHEA</t>
  </si>
  <si>
    <t>FO1612ACE</t>
  </si>
  <si>
    <t>CARDAMOS NARANJA</t>
  </si>
  <si>
    <t>ACENTO</t>
  </si>
  <si>
    <t>FO1705FIL</t>
  </si>
  <si>
    <t>CASPIA</t>
  </si>
  <si>
    <t>FO1817FOL</t>
  </si>
  <si>
    <t>CINTILLA VERDE</t>
  </si>
  <si>
    <t>FO1917FOL</t>
  </si>
  <si>
    <t>COCULOS</t>
  </si>
  <si>
    <t>FO2017FOL</t>
  </si>
  <si>
    <t>DRACENA</t>
  </si>
  <si>
    <t>FO2122FIL</t>
  </si>
  <si>
    <t>DUSTY MILLER</t>
  </si>
  <si>
    <t>GRIS</t>
  </si>
  <si>
    <t>FO2217DOL</t>
  </si>
  <si>
    <t>EUCALIPTO DOLLAR</t>
  </si>
  <si>
    <t>FO2217MON</t>
  </si>
  <si>
    <t>EUCALIPTO MONEDA</t>
  </si>
  <si>
    <t>FO2217PAR</t>
  </si>
  <si>
    <t>EUCALIPTO PARVIFOLIA</t>
  </si>
  <si>
    <t>FO2217PEP</t>
  </si>
  <si>
    <t>EUCALIPTO PEPA</t>
  </si>
  <si>
    <t>FO2317FIL</t>
  </si>
  <si>
    <t>FILOENDRO</t>
  </si>
  <si>
    <t>FO2417FOL</t>
  </si>
  <si>
    <t>HELECHO</t>
  </si>
  <si>
    <t>FO2417PEI</t>
  </si>
  <si>
    <t>HELECHO PEINILLA</t>
  </si>
  <si>
    <t>FO2506ACE</t>
  </si>
  <si>
    <t>HIPERICO BLANCO</t>
  </si>
  <si>
    <t>FO2514ACE</t>
  </si>
  <si>
    <t>HIPERICO ROJO</t>
  </si>
  <si>
    <t>FO2515ACE</t>
  </si>
  <si>
    <t>HIPERICO ROSADO</t>
  </si>
  <si>
    <t>FO2517ACE</t>
  </si>
  <si>
    <t>HIPERICO VERDE</t>
  </si>
  <si>
    <t>FO2617HOJ</t>
  </si>
  <si>
    <t>HOJA DE CANOA</t>
  </si>
  <si>
    <t>HOJA</t>
  </si>
  <si>
    <t>FO2717HOJ</t>
  </si>
  <si>
    <t>HOJA DE LINO</t>
  </si>
  <si>
    <t>FO2705HOJ</t>
  </si>
  <si>
    <t>HOJA DE LINO VARIEGADO</t>
  </si>
  <si>
    <t>FO2811FIL</t>
  </si>
  <si>
    <t>KARDOS O HERINGIOS</t>
  </si>
  <si>
    <t>MORADOS</t>
  </si>
  <si>
    <t>FO2917FIL</t>
  </si>
  <si>
    <t>LEPIDIUM</t>
  </si>
  <si>
    <t>FO3006FIL</t>
  </si>
  <si>
    <t>MATRICARIAS</t>
  </si>
  <si>
    <t>FO3117FOL</t>
  </si>
  <si>
    <t>MIRTO</t>
  </si>
  <si>
    <t>FO3217FOL</t>
  </si>
  <si>
    <t>PITUSPORUM</t>
  </si>
  <si>
    <t>FO3205FOL</t>
  </si>
  <si>
    <t>PITUSPORUM VARIEGADO (BICOLOR)</t>
  </si>
  <si>
    <t>FO3317FOL</t>
  </si>
  <si>
    <t>RIVELINO</t>
  </si>
  <si>
    <t>FO3417FOL</t>
  </si>
  <si>
    <t>RUSCOS</t>
  </si>
  <si>
    <t>FO3501FIL</t>
  </si>
  <si>
    <t>SOLIASTER</t>
  </si>
  <si>
    <t>FO3615FLR</t>
  </si>
  <si>
    <t>SUPERLADY ROSADO</t>
  </si>
  <si>
    <t>FLOR</t>
  </si>
  <si>
    <t>FO3606FLR</t>
  </si>
  <si>
    <t>SUPERLADY BLANCO</t>
  </si>
  <si>
    <t>FO3717FOL</t>
  </si>
  <si>
    <t>TRIFER</t>
  </si>
  <si>
    <t>FOLLAJE</t>
  </si>
  <si>
    <t>ID_MOVIMIENTO</t>
  </si>
  <si>
    <t>FECHA</t>
  </si>
  <si>
    <t>CANTIDAD</t>
  </si>
  <si>
    <t>TIPO_MOVIMIENTO</t>
  </si>
  <si>
    <t>USUARIO</t>
  </si>
  <si>
    <t>OBSERVACION</t>
  </si>
  <si>
    <t>ENTRADA</t>
  </si>
  <si>
    <t>SALIDA</t>
  </si>
  <si>
    <t>Sistema</t>
  </si>
  <si>
    <t>JAMES</t>
  </si>
  <si>
    <t>san valentin</t>
  </si>
  <si>
    <t>DIA DE LA MUJER</t>
  </si>
  <si>
    <t>CATALOGO DE LA MUJER</t>
  </si>
  <si>
    <t>CATALAGO MUJER</t>
  </si>
  <si>
    <t>Docena</t>
  </si>
  <si>
    <t>ID_Movimiento</t>
  </si>
  <si>
    <t>Tipo</t>
  </si>
  <si>
    <t>Codigo de Barra</t>
  </si>
  <si>
    <t>Entregado a</t>
  </si>
  <si>
    <t>Fecha de Movimiento</t>
  </si>
  <si>
    <t>Delta</t>
  </si>
  <si>
    <t>Ingreso</t>
  </si>
  <si>
    <t>Salida</t>
  </si>
  <si>
    <t>Elibeth salgado</t>
  </si>
  <si>
    <t>Adriana Suarez</t>
  </si>
  <si>
    <t>id_insumo</t>
  </si>
  <si>
    <t>nombreProducto</t>
  </si>
  <si>
    <t>Insumo</t>
  </si>
  <si>
    <t>Adjetivo</t>
  </si>
  <si>
    <t>Estado_Insumo</t>
  </si>
  <si>
    <t>Corazon Mini Rosas</t>
  </si>
  <si>
    <t>Rosa Roja</t>
  </si>
  <si>
    <t>Orquidea</t>
  </si>
  <si>
    <t>Faltante</t>
  </si>
  <si>
    <t>2</t>
  </si>
  <si>
    <t>Oasis Sencillo</t>
  </si>
  <si>
    <t>3</t>
  </si>
  <si>
    <t>Plastico</t>
  </si>
  <si>
    <t>4</t>
  </si>
  <si>
    <t>Lazo Flora</t>
  </si>
  <si>
    <t>5</t>
  </si>
  <si>
    <t>Corazon Pequeño Carton</t>
  </si>
  <si>
    <t>6</t>
  </si>
  <si>
    <t>Portatarjeta + Tarjeta</t>
  </si>
  <si>
    <t>Direccion Cliente</t>
  </si>
  <si>
    <t xml:space="preserve">Email </t>
  </si>
  <si>
    <t>Fecha Aniversario</t>
  </si>
  <si>
    <t>Fecha Cumpleaños</t>
  </si>
  <si>
    <t>CEDULA</t>
  </si>
  <si>
    <t>+17868793604</t>
  </si>
  <si>
    <t>josegdelapena@hotmail.com</t>
  </si>
  <si>
    <t>+34662401282</t>
  </si>
  <si>
    <t>carlosrosado98@gmail.com</t>
  </si>
  <si>
    <t>Granados</t>
  </si>
  <si>
    <t>Guerra</t>
  </si>
  <si>
    <t>aldmmm@gmail.com</t>
  </si>
  <si>
    <t>Harold</t>
  </si>
  <si>
    <t>Blanco Dovale</t>
  </si>
  <si>
    <t>Raissa</t>
  </si>
  <si>
    <t>Echavez</t>
  </si>
  <si>
    <t>Lelio</t>
  </si>
  <si>
    <t>Sotomonte Ariza</t>
  </si>
  <si>
    <t>Royero</t>
  </si>
  <si>
    <t>Sourdis</t>
  </si>
  <si>
    <t>Bueno</t>
  </si>
  <si>
    <t>Livia</t>
  </si>
  <si>
    <t>Elibeth</t>
  </si>
  <si>
    <t>RONIL</t>
  </si>
  <si>
    <t>Escalante De la Cruz</t>
  </si>
  <si>
    <t>enrique</t>
  </si>
  <si>
    <t>crdemar@gmail.com</t>
  </si>
  <si>
    <t>Agamez Martínez</t>
  </si>
  <si>
    <t>Villa Paez</t>
  </si>
  <si>
    <t>Héctor</t>
  </si>
  <si>
    <t>Briceño Martínez</t>
  </si>
  <si>
    <t>Matriacanela</t>
  </si>
  <si>
    <t>Ojeda Villalobos</t>
  </si>
  <si>
    <t>juan manuel</t>
  </si>
  <si>
    <t>Nicholas</t>
  </si>
  <si>
    <t>Oganesoff</t>
  </si>
  <si>
    <t>Socarrasa</t>
  </si>
  <si>
    <t>‪+573234095885‬</t>
  </si>
  <si>
    <t>faabianpaadilla@gmail.com</t>
  </si>
  <si>
    <t>James</t>
  </si>
  <si>
    <t>Bello Castillo</t>
  </si>
  <si>
    <t>deckson</t>
  </si>
  <si>
    <t>Fray David</t>
  </si>
  <si>
    <t>Marriaga</t>
  </si>
  <si>
    <t>Gómez Moros</t>
  </si>
  <si>
    <t>Amaya Montero</t>
  </si>
  <si>
    <t>daniellamchar@gmail.com</t>
  </si>
  <si>
    <t>nubia</t>
  </si>
  <si>
    <t>Castillo</t>
  </si>
  <si>
    <t>04851176-0</t>
  </si>
  <si>
    <t>+50350379100639</t>
  </si>
  <si>
    <t>Keily Johanna</t>
  </si>
  <si>
    <t>Betzy</t>
  </si>
  <si>
    <t>Morales Orozco</t>
  </si>
  <si>
    <t>elizabeht</t>
  </si>
  <si>
    <t>Álvaro</t>
  </si>
  <si>
    <t>Elles</t>
  </si>
  <si>
    <t>Adrián</t>
  </si>
  <si>
    <t>Johana</t>
  </si>
  <si>
    <t>toscano</t>
  </si>
  <si>
    <t>shirly1023@hotmail.com</t>
  </si>
  <si>
    <t>Helen</t>
  </si>
  <si>
    <t>Teran González</t>
  </si>
  <si>
    <t>liliana</t>
  </si>
  <si>
    <t>DARIAS MARIA</t>
  </si>
  <si>
    <t>Martinez Yepes</t>
  </si>
  <si>
    <t>+113179021951</t>
  </si>
  <si>
    <t>Marín</t>
  </si>
  <si>
    <t>+18133173677</t>
  </si>
  <si>
    <t>Bayona palacio</t>
  </si>
  <si>
    <t>Josie Enrique</t>
  </si>
  <si>
    <t>sara</t>
  </si>
  <si>
    <t>pinto</t>
  </si>
  <si>
    <t>Ana Karina</t>
  </si>
  <si>
    <t>Gómez Tapia</t>
  </si>
  <si>
    <t>Sol</t>
  </si>
  <si>
    <t>Elimer</t>
  </si>
  <si>
    <t>Otalora</t>
  </si>
  <si>
    <t>sebandrade10per@hotmail.com</t>
  </si>
  <si>
    <t>munizmilton@gmail.com</t>
  </si>
  <si>
    <t>NIT</t>
  </si>
  <si>
    <t>Gyc</t>
  </si>
  <si>
    <t>Ospino</t>
  </si>
  <si>
    <t>FURNIELES</t>
  </si>
  <si>
    <t>julix84@hotmail.com</t>
  </si>
  <si>
    <t>Arzuza</t>
  </si>
  <si>
    <t>Sanjuan</t>
  </si>
  <si>
    <t>Mejía</t>
  </si>
  <si>
    <t>jocastro1309@hotmail.com</t>
  </si>
  <si>
    <t>Puerta</t>
  </si>
  <si>
    <t>paula</t>
  </si>
  <si>
    <t>María Bernarda</t>
  </si>
  <si>
    <t>Calvano cabrales</t>
  </si>
  <si>
    <t>Maoricio</t>
  </si>
  <si>
    <t>Rutder</t>
  </si>
  <si>
    <t>Ladino</t>
  </si>
  <si>
    <t>+19303337910</t>
  </si>
  <si>
    <t>Yurleidis</t>
  </si>
  <si>
    <t>Salamanca</t>
  </si>
  <si>
    <t>heidi</t>
  </si>
  <si>
    <t>Luis fernando</t>
  </si>
  <si>
    <t>Yulvin</t>
  </si>
  <si>
    <t>Nathalia</t>
  </si>
  <si>
    <t>juancm061099@gmail.com</t>
  </si>
  <si>
    <t>ANA</t>
  </si>
  <si>
    <t>Dominguez</t>
  </si>
  <si>
    <t>Jarma</t>
  </si>
  <si>
    <t>Clara</t>
  </si>
  <si>
    <t>mariana</t>
  </si>
  <si>
    <t>LUISA</t>
  </si>
  <si>
    <t>Eloísa</t>
  </si>
  <si>
    <t>mortiz@uninorte.edu.co</t>
  </si>
  <si>
    <t>Lourdes</t>
  </si>
  <si>
    <t>De Marchena</t>
  </si>
  <si>
    <t>Edgar Emilio</t>
  </si>
  <si>
    <t>Hernandez Vargas</t>
  </si>
  <si>
    <t>Nicole</t>
  </si>
  <si>
    <t>Young</t>
  </si>
  <si>
    <t>Vianny</t>
  </si>
  <si>
    <t>Romero Flórez</t>
  </si>
  <si>
    <t>Odontología</t>
  </si>
  <si>
    <t>Santodomingo</t>
  </si>
  <si>
    <t>Roberto Carlos</t>
  </si>
  <si>
    <t>Mena</t>
  </si>
  <si>
    <t>cccabrera89@hotmail.com</t>
  </si>
  <si>
    <t>Turbay Pérez</t>
  </si>
  <si>
    <t>Stefanny</t>
  </si>
  <si>
    <t>MAURICIO</t>
  </si>
  <si>
    <t>viviana</t>
  </si>
  <si>
    <t>Estripeaut</t>
  </si>
  <si>
    <t>Quiceno</t>
  </si>
  <si>
    <t>Astrid</t>
  </si>
  <si>
    <t>Ghisays González</t>
  </si>
  <si>
    <t>+113322874387</t>
  </si>
  <si>
    <t>anajaramilloco@gmail.com</t>
  </si>
  <si>
    <t>Acuña</t>
  </si>
  <si>
    <t>guzmanbadranjulio@gmail.com</t>
  </si>
  <si>
    <t>Ana María</t>
  </si>
  <si>
    <t>Guillermo</t>
  </si>
  <si>
    <t>Mery</t>
  </si>
  <si>
    <t>Pierre</t>
  </si>
  <si>
    <t>Rochel Gómez</t>
  </si>
  <si>
    <t>lpadron28@hotmail.com</t>
  </si>
  <si>
    <t>Gutiérrez</t>
  </si>
  <si>
    <t>Emelly</t>
  </si>
  <si>
    <t>Ramírez puello</t>
  </si>
  <si>
    <t>Orozco Thomas</t>
  </si>
  <si>
    <t>Cañas</t>
  </si>
  <si>
    <t>Vieco</t>
  </si>
  <si>
    <t>Sierra Castro</t>
  </si>
  <si>
    <t>Sierramichel05@gmail.com</t>
  </si>
  <si>
    <t>Betty Mary</t>
  </si>
  <si>
    <t>García viñas</t>
  </si>
  <si>
    <t>amtzaparicio@hotmail.com</t>
  </si>
  <si>
    <t>Mercedes Rodriguez</t>
  </si>
  <si>
    <t>me_ch8@hotmail.com</t>
  </si>
  <si>
    <t>Fundación Daniela Álvarez</t>
  </si>
  <si>
    <t>Rosa</t>
  </si>
  <si>
    <t>Dulce</t>
  </si>
  <si>
    <t>Figueroa</t>
  </si>
  <si>
    <t>Murillo</t>
  </si>
  <si>
    <t>Arteta Arévalo</t>
  </si>
  <si>
    <t>agarcia-07@hotmail.com</t>
  </si>
  <si>
    <t>Magno comunicaciones</t>
  </si>
  <si>
    <t>María Mónica</t>
  </si>
  <si>
    <t>htindustriescolombiasas@gmail.com</t>
  </si>
  <si>
    <t>Sanz</t>
  </si>
  <si>
    <t>Ochoa</t>
  </si>
  <si>
    <t>Jesika</t>
  </si>
  <si>
    <t>Brieva</t>
  </si>
  <si>
    <t>Antonella</t>
  </si>
  <si>
    <t>Imbett spada</t>
  </si>
  <si>
    <t>MARÍA JOSE</t>
  </si>
  <si>
    <t>Cote</t>
  </si>
  <si>
    <t>JUAN CARLOS</t>
  </si>
  <si>
    <t>carlosmariobayuelo@gmail.com</t>
  </si>
  <si>
    <t>+17869668950</t>
  </si>
  <si>
    <t>ramon</t>
  </si>
  <si>
    <t>:3017818372</t>
  </si>
  <si>
    <t>María Catalina</t>
  </si>
  <si>
    <t>Ledesma</t>
  </si>
  <si>
    <t>cristisarabiap@gmail.com</t>
  </si>
  <si>
    <t>angiecoronelv@hotmail.com</t>
  </si>
  <si>
    <t>aliciabustos1991@gmail.com</t>
  </si>
  <si>
    <t>+41424142358683</t>
  </si>
  <si>
    <t>annaaddonizio@gmail.com</t>
  </si>
  <si>
    <t>+15514822719</t>
  </si>
  <si>
    <t>price1035@gmail.com</t>
  </si>
  <si>
    <t>luis.frieri@hotmail.com</t>
  </si>
  <si>
    <t>Ángel</t>
  </si>
  <si>
    <t>Sophia Arguello</t>
  </si>
  <si>
    <t>Dania</t>
  </si>
  <si>
    <t>3043529555llamarporWhatsAppestoyfueradelpais</t>
  </si>
  <si>
    <t>Bocanegra</t>
  </si>
  <si>
    <t>Jenny</t>
  </si>
  <si>
    <t>Haysa</t>
  </si>
  <si>
    <t>Maria jose</t>
  </si>
  <si>
    <t>Saavedra calderon</t>
  </si>
  <si>
    <t>javiereduardo2@hotmail.com</t>
  </si>
  <si>
    <t>MARTINEZ APARICIO</t>
  </si>
  <si>
    <t>Gómez Manotas</t>
  </si>
  <si>
    <t>Shatha</t>
  </si>
  <si>
    <t>Waked</t>
  </si>
  <si>
    <t>dabusa05@hotmail.com</t>
  </si>
  <si>
    <t>Luis José</t>
  </si>
  <si>
    <t>Nieto Ariza</t>
  </si>
  <si>
    <t>María Clara</t>
  </si>
  <si>
    <t>cuperjuandavid@gmail.com</t>
  </si>
  <si>
    <t>Sara Paulina</t>
  </si>
  <si>
    <t>Vergara Chica</t>
  </si>
  <si>
    <t>Gloria María</t>
  </si>
  <si>
    <t>leoariza_7@hotmail.com</t>
  </si>
  <si>
    <t>milenereinel@gmail.com</t>
  </si>
  <si>
    <t>Ortiz montes</t>
  </si>
  <si>
    <t>shirly</t>
  </si>
  <si>
    <t>Fadul</t>
  </si>
  <si>
    <t>fanny</t>
  </si>
  <si>
    <t>Andrés Manuel</t>
  </si>
  <si>
    <t>OO</t>
  </si>
  <si>
    <t>Marian</t>
  </si>
  <si>
    <t>Cala</t>
  </si>
  <si>
    <t>Patricia Isabella</t>
  </si>
  <si>
    <t>Saltaren Ramírez</t>
  </si>
  <si>
    <t>luiforerot@gmail.com</t>
  </si>
  <si>
    <t>Santiago Javier</t>
  </si>
  <si>
    <t>Tobias Rodriguez</t>
  </si>
  <si>
    <t>luispotes1@hotmail.com</t>
  </si>
  <si>
    <t>tatiana</t>
  </si>
  <si>
    <t>almacenes</t>
  </si>
  <si>
    <t>Olimpica</t>
  </si>
  <si>
    <t>Brayan jabib</t>
  </si>
  <si>
    <t>Raquel</t>
  </si>
  <si>
    <t>Sorza</t>
  </si>
  <si>
    <t>Juan Manuel</t>
  </si>
  <si>
    <t>María Valeria</t>
  </si>
  <si>
    <t>Castaneda morales</t>
  </si>
  <si>
    <t>Diani</t>
  </si>
  <si>
    <t>Juan Guillermo</t>
  </si>
  <si>
    <t>MERLY</t>
  </si>
  <si>
    <t>notiene@gmail.com</t>
  </si>
  <si>
    <t>mateocantillom@gmail.com</t>
  </si>
  <si>
    <t>Chacón</t>
  </si>
  <si>
    <t>Jair</t>
  </si>
  <si>
    <t>Esmeralda</t>
  </si>
  <si>
    <t>Jonis</t>
  </si>
  <si>
    <t>DERLY</t>
  </si>
  <si>
    <t>Horta ballestas</t>
  </si>
  <si>
    <t>+178717876156518</t>
  </si>
  <si>
    <t>escorreap@gmail.com</t>
  </si>
  <si>
    <t>Nasrallah</t>
  </si>
  <si>
    <t>AFIMA</t>
  </si>
  <si>
    <t>Paola Andrea</t>
  </si>
  <si>
    <t>Oñoro González</t>
  </si>
  <si>
    <t>JYMMI</t>
  </si>
  <si>
    <t>ormep64@yhoo.es</t>
  </si>
  <si>
    <t>cathy</t>
  </si>
  <si>
    <t>Sarabia Cervantes</t>
  </si>
  <si>
    <t>Carlota</t>
  </si>
  <si>
    <t>INES</t>
  </si>
  <si>
    <t>ELIANA</t>
  </si>
  <si>
    <t>Antonio María</t>
  </si>
  <si>
    <t>Martínez</t>
  </si>
  <si>
    <t>Olivares Vigles</t>
  </si>
  <si>
    <t>Naranjo</t>
  </si>
  <si>
    <t>Simón</t>
  </si>
  <si>
    <t>maryoris</t>
  </si>
  <si>
    <t>Brenda</t>
  </si>
  <si>
    <t>Diego Ustariz</t>
  </si>
  <si>
    <t>diusme@gmail.com</t>
  </si>
  <si>
    <t>Stefany</t>
  </si>
  <si>
    <t>Maria Daniela</t>
  </si>
  <si>
    <t>Guzman Gordon</t>
  </si>
  <si>
    <t>Álvarez Agudelo</t>
  </si>
  <si>
    <t>de castro</t>
  </si>
  <si>
    <t>Dorado</t>
  </si>
  <si>
    <t>priceerick1@gmail.com</t>
  </si>
  <si>
    <t>javier.tous.c@gmail.com</t>
  </si>
  <si>
    <t>Nazly</t>
  </si>
  <si>
    <t>Arevalo</t>
  </si>
  <si>
    <t>Alfredo</t>
  </si>
  <si>
    <t>jonathanu1114@gmail.com</t>
  </si>
  <si>
    <t>Kaos</t>
  </si>
  <si>
    <t>Studio</t>
  </si>
  <si>
    <t>Corporación Marymount</t>
  </si>
  <si>
    <t>María Cristina</t>
  </si>
  <si>
    <t>Zaella</t>
  </si>
  <si>
    <t>Altahona</t>
  </si>
  <si>
    <t>ser@hotmail.com</t>
  </si>
  <si>
    <t>Sánchez y ortiz abogados S.A.S.</t>
  </si>
  <si>
    <t>Gaby</t>
  </si>
  <si>
    <t>+17865186525</t>
  </si>
  <si>
    <t>Aarón</t>
  </si>
  <si>
    <t>Acuña Menco</t>
  </si>
  <si>
    <t>Castro jaramillo</t>
  </si>
  <si>
    <t>Portilla Munevar</t>
  </si>
  <si>
    <t>danigarcia1192@gmail.com</t>
  </si>
  <si>
    <t>danielmerchan26@gmail.com</t>
  </si>
  <si>
    <t>Páez better</t>
  </si>
  <si>
    <t>Greys</t>
  </si>
  <si>
    <t>Walterio</t>
  </si>
  <si>
    <t>Guardiola</t>
  </si>
  <si>
    <t>Uribe Gamarra</t>
  </si>
  <si>
    <t>Yucelis</t>
  </si>
  <si>
    <t>De la Torre</t>
  </si>
  <si>
    <t>Pena</t>
  </si>
  <si>
    <t>José Luis</t>
  </si>
  <si>
    <t>Jiménez utria</t>
  </si>
  <si>
    <t>Ramirez molina</t>
  </si>
  <si>
    <t>Skarly</t>
  </si>
  <si>
    <t>+30043004612667</t>
  </si>
  <si>
    <t>nicoa.sanchez10@gmail.com</t>
  </si>
  <si>
    <t>alvarezoroz95@gmail.com</t>
  </si>
  <si>
    <t>García Echeverry</t>
  </si>
  <si>
    <t>317656485276565852</t>
  </si>
  <si>
    <t>alejandro mario</t>
  </si>
  <si>
    <t>dominguez barcelo</t>
  </si>
  <si>
    <t>De alba</t>
  </si>
  <si>
    <t>Salma</t>
  </si>
  <si>
    <t>Zarur Molina</t>
  </si>
  <si>
    <t>Balerina</t>
  </si>
  <si>
    <t>Edward</t>
  </si>
  <si>
    <t>Ramírez</t>
  </si>
  <si>
    <t>Rincón</t>
  </si>
  <si>
    <t>Carla</t>
  </si>
  <si>
    <t>Cossio</t>
  </si>
  <si>
    <t>Zulay</t>
  </si>
  <si>
    <t>Bleidys</t>
  </si>
  <si>
    <t>Melany Andrea</t>
  </si>
  <si>
    <t>santigo</t>
  </si>
  <si>
    <t>JENNIFER</t>
  </si>
  <si>
    <t>Pantoja</t>
  </si>
  <si>
    <t>Durán Quiroz</t>
  </si>
  <si>
    <t>+4400447958144845</t>
  </si>
  <si>
    <t>Rodas</t>
  </si>
  <si>
    <t>Hernández Gómez</t>
  </si>
  <si>
    <t>eli</t>
  </si>
  <si>
    <t>Coronell Higgins</t>
  </si>
  <si>
    <t>mariokart90@hotmail.com</t>
  </si>
  <si>
    <t>Magdolia</t>
  </si>
  <si>
    <t>Marylin</t>
  </si>
  <si>
    <t>Castillo Palacio</t>
  </si>
  <si>
    <t>Linero Rueda</t>
  </si>
  <si>
    <t>Eichler</t>
  </si>
  <si>
    <t>Isaac Camilo</t>
  </si>
  <si>
    <t>Rodelo Navarro</t>
  </si>
  <si>
    <t>Cantillo Navas</t>
  </si>
  <si>
    <t>Melo Henríquez</t>
  </si>
  <si>
    <t>josue150466@gmail.com</t>
  </si>
  <si>
    <t>diegofe21605@gmail.com</t>
  </si>
  <si>
    <t>Edgardo</t>
  </si>
  <si>
    <t>Arturo</t>
  </si>
  <si>
    <t>Aguilar</t>
  </si>
  <si>
    <t>+34687005253</t>
  </si>
  <si>
    <t>luisagomezgrd@gmail.com</t>
  </si>
  <si>
    <t>Castro Henríquez</t>
  </si>
  <si>
    <t>Wilfred</t>
  </si>
  <si>
    <t>Dávila Quevedo</t>
  </si>
  <si>
    <t>Calderón</t>
  </si>
  <si>
    <t>Sánchez Sánchez</t>
  </si>
  <si>
    <t>camigora30@gmail.con</t>
  </si>
  <si>
    <t>marina</t>
  </si>
  <si>
    <t>yecedavid123@hotmail.com</t>
  </si>
  <si>
    <t>Brochero</t>
  </si>
  <si>
    <t>+4141798260383</t>
  </si>
  <si>
    <t>Pinzon</t>
  </si>
  <si>
    <t>Juan david</t>
  </si>
  <si>
    <t>holsen</t>
  </si>
  <si>
    <t>DANNY</t>
  </si>
  <si>
    <t>Mariluna</t>
  </si>
  <si>
    <t>mgmotosas@gmail.com</t>
  </si>
  <si>
    <t>jeinner1596@hotmail.com</t>
  </si>
  <si>
    <t>Rosales</t>
  </si>
  <si>
    <t>IDdelaorden2416623725</t>
  </si>
  <si>
    <t>sebitasdariogil@gmail.com</t>
  </si>
  <si>
    <t>Yarem</t>
  </si>
  <si>
    <t>De la Barrera</t>
  </si>
  <si>
    <t>eflorez4856@gmail.com</t>
  </si>
  <si>
    <t>greis</t>
  </si>
  <si>
    <t>traigoecom@gmail.com</t>
  </si>
  <si>
    <t>Martín</t>
  </si>
  <si>
    <t>Blanco Escobar</t>
  </si>
  <si>
    <t>Daza Rodríguez</t>
  </si>
  <si>
    <t>E.tawfick</t>
  </si>
  <si>
    <t>Guerrero Martinez</t>
  </si>
  <si>
    <t>Miguel Angel</t>
  </si>
  <si>
    <t>CENTRO DE ORTOPEDIA Y REHABILITACION ORTOVITAL INTEGRAL S.A.S.</t>
  </si>
  <si>
    <t>stephanie.m.godoy@gmail.com</t>
  </si>
  <si>
    <t>jcarlier172@gmail.com</t>
  </si>
  <si>
    <t>Pelaez</t>
  </si>
  <si>
    <t>Lili</t>
  </si>
  <si>
    <t>Moises</t>
  </si>
  <si>
    <t>Eljadue</t>
  </si>
  <si>
    <t>Elsa cecilia</t>
  </si>
  <si>
    <t>Jaramillo Molina</t>
  </si>
  <si>
    <t>PAULA</t>
  </si>
  <si>
    <t>Orozcos</t>
  </si>
  <si>
    <t>Vivian</t>
  </si>
  <si>
    <t>Tovar</t>
  </si>
  <si>
    <t>Buritica</t>
  </si>
  <si>
    <t>Flavia</t>
  </si>
  <si>
    <t>Gleiser</t>
  </si>
  <si>
    <t>santiago.acuna124@gmail.com</t>
  </si>
  <si>
    <t>lafiuni@gmail.com</t>
  </si>
  <si>
    <t>Tocasuchil</t>
  </si>
  <si>
    <t>FUAD</t>
  </si>
  <si>
    <t>+30463046426864</t>
  </si>
  <si>
    <t>adrianbrochado@icloud.com</t>
  </si>
  <si>
    <t>ssancheza1510@gmail.com</t>
  </si>
  <si>
    <t>Zulma</t>
  </si>
  <si>
    <t>Héctor Arturo .</t>
  </si>
  <si>
    <t>Phillips</t>
  </si>
  <si>
    <t>Espitia Aleán</t>
  </si>
  <si>
    <t>Florez Castillo</t>
  </si>
  <si>
    <t>Boude</t>
  </si>
  <si>
    <t>alfredo</t>
  </si>
  <si>
    <t>juanpajaro13@gmail.com</t>
  </si>
  <si>
    <t>didevaquiroz@gmail.com</t>
  </si>
  <si>
    <t>Andy</t>
  </si>
  <si>
    <t>camilogarces1010@gmail.com</t>
  </si>
  <si>
    <t>Liseth</t>
  </si>
  <si>
    <t>Córdoba Chaverra</t>
  </si>
  <si>
    <t>31379181103046233693</t>
  </si>
  <si>
    <t>Saavedra</t>
  </si>
  <si>
    <t>gonzalezbernalkaren@gmail.com</t>
  </si>
  <si>
    <t>Mendoza Vargas</t>
  </si>
  <si>
    <t>maripau321@outlook.com</t>
  </si>
  <si>
    <t>+31363136478008</t>
  </si>
  <si>
    <t>andresalfonsoduquesierra@gmail.com</t>
  </si>
  <si>
    <t>andrea.tatis24@hotmail.com</t>
  </si>
  <si>
    <t>rigles0027@gmail.com</t>
  </si>
  <si>
    <t>Cuéllar</t>
  </si>
  <si>
    <t>yeimer</t>
  </si>
  <si>
    <t>Lazaro</t>
  </si>
  <si>
    <t>Escorcia</t>
  </si>
  <si>
    <t>Gerson</t>
  </si>
  <si>
    <t>Beleño Furnieles</t>
  </si>
  <si>
    <t>andres2001-09@hotmail.com</t>
  </si>
  <si>
    <t>rochy8819@hotmail.com</t>
  </si>
  <si>
    <t>Caterine</t>
  </si>
  <si>
    <t>Arcia</t>
  </si>
  <si>
    <t>katyarcia2824@gmail.com</t>
  </si>
  <si>
    <t>mariaemmac@yahoo.com</t>
  </si>
  <si>
    <t>danka</t>
  </si>
  <si>
    <t>ching</t>
  </si>
  <si>
    <t>cantpen3@gmail.com</t>
  </si>
  <si>
    <t>Steffy</t>
  </si>
  <si>
    <t>ALBERTO</t>
  </si>
  <si>
    <t>Santiago Celis</t>
  </si>
  <si>
    <t>mariannemartinezg@gmail.com</t>
  </si>
  <si>
    <t>SUGEY</t>
  </si>
  <si>
    <t>ESCOBAR</t>
  </si>
  <si>
    <t>nicolleprm99@hotmail.com</t>
  </si>
  <si>
    <t>Rodríguez Mejía</t>
  </si>
  <si>
    <t>magp1906@hotmail.com</t>
  </si>
  <si>
    <t>Zuluaga Bravo</t>
  </si>
  <si>
    <t>Ana Gabriela</t>
  </si>
  <si>
    <t>anagcampo99@gmail.com</t>
  </si>
  <si>
    <t>arevalotina@icloud.com</t>
  </si>
  <si>
    <t>yamar35@hotmail.com</t>
  </si>
  <si>
    <t>Fernández</t>
  </si>
  <si>
    <t>Daimer</t>
  </si>
  <si>
    <t>daimeravila3011@gmail.com</t>
  </si>
  <si>
    <t>gutierrez.raquel1996@gmail.com</t>
  </si>
  <si>
    <t>facturacion@kudhasolutions.com</t>
  </si>
  <si>
    <t>henryedo37@gmail.com</t>
  </si>
  <si>
    <t>Faillace</t>
  </si>
  <si>
    <t>frankf81@hotmail.com</t>
  </si>
  <si>
    <t>cristian.smacrepuestos@gmail.com</t>
  </si>
  <si>
    <t>Lara</t>
  </si>
  <si>
    <t>stephanycristina.lara@gmail.com</t>
  </si>
  <si>
    <t>jhoicem@gmail.com</t>
  </si>
  <si>
    <t>may-aleja02@hotmail.com</t>
  </si>
  <si>
    <t>TATIANA</t>
  </si>
  <si>
    <t>ABELLO</t>
  </si>
  <si>
    <t>tatyabello1206@gmail.com</t>
  </si>
  <si>
    <t>carolina</t>
  </si>
  <si>
    <t>Didier</t>
  </si>
  <si>
    <t>fontalvomezajosselmarina@gmail.com</t>
  </si>
  <si>
    <t>leisy</t>
  </si>
  <si>
    <t>mauricio02131997@gmail.com</t>
  </si>
  <si>
    <t>andresabatem@gmail.com</t>
  </si>
  <si>
    <t>Katherin</t>
  </si>
  <si>
    <t>Tapia</t>
  </si>
  <si>
    <t>katytapias10@gmail.com</t>
  </si>
  <si>
    <t>ballestasjuliana@gmail.com</t>
  </si>
  <si>
    <t>aarizaotero@gmail.com</t>
  </si>
  <si>
    <t>Amalia</t>
  </si>
  <si>
    <t>Noriega</t>
  </si>
  <si>
    <t>melissapineros@live.com</t>
  </si>
  <si>
    <t>joseorozcomedina@gmail.com</t>
  </si>
  <si>
    <t>Bloch</t>
  </si>
  <si>
    <t>dani.zambrano08@gmail.com</t>
  </si>
  <si>
    <t>De la vega</t>
  </si>
  <si>
    <t>b.uactivewear@gmail.com</t>
  </si>
  <si>
    <t>maricelortega14@gmail.com</t>
  </si>
  <si>
    <t>valellamas14@hotmail.es</t>
  </si>
  <si>
    <t>oriettehenriquez@hotmail.com</t>
  </si>
  <si>
    <t>valentinadomingueze1234@gmail.com</t>
  </si>
  <si>
    <t>angiebaena16@gmail.com</t>
  </si>
  <si>
    <t>valery.gn.30@gmail.com</t>
  </si>
  <si>
    <t>Tangua</t>
  </si>
  <si>
    <t>Yecid E</t>
  </si>
  <si>
    <t>Pretel</t>
  </si>
  <si>
    <t>hernandofabio99@live.com</t>
  </si>
  <si>
    <t>Orjuela</t>
  </si>
  <si>
    <t>Maria Gabriella</t>
  </si>
  <si>
    <t>mariajoseoq97@hotmail.com</t>
  </si>
  <si>
    <t>danielahersar@gmail.com</t>
  </si>
  <si>
    <t>mauriciocastanedat@gmail.com</t>
  </si>
  <si>
    <t>aporejarena@gmail.com</t>
  </si>
  <si>
    <t>v.chavarria2@gmail.com</t>
  </si>
  <si>
    <t>Adrianne</t>
  </si>
  <si>
    <t>Arenas</t>
  </si>
  <si>
    <t>Jiménez</t>
  </si>
  <si>
    <t>Kendy</t>
  </si>
  <si>
    <t>angieleon794@gmail.com</t>
  </si>
  <si>
    <t>tanimarigu0828@gmail.com</t>
  </si>
  <si>
    <t>Yeiner</t>
  </si>
  <si>
    <t>Herrera Romero</t>
  </si>
  <si>
    <t>adrianamariacure@gmail.com</t>
  </si>
  <si>
    <t>Madero</t>
  </si>
  <si>
    <t>Gabriel ángel</t>
  </si>
  <si>
    <t>Padilla Mejía</t>
  </si>
  <si>
    <t>mariacamila0531@hotmail.com</t>
  </si>
  <si>
    <t>+51967202285</t>
  </si>
  <si>
    <t>goinfante1@gmail.com</t>
  </si>
  <si>
    <t>monicamariam@gmail.com</t>
  </si>
  <si>
    <t>pegojeny@gmail.com</t>
  </si>
  <si>
    <t>paomeza84@hotmail.com</t>
  </si>
  <si>
    <t>elianaq27@hotmail.com</t>
  </si>
  <si>
    <t>carmen</t>
  </si>
  <si>
    <t>Marlon</t>
  </si>
  <si>
    <t>griseb@me.com</t>
  </si>
  <si>
    <t>garzon</t>
  </si>
  <si>
    <t>juan jose</t>
  </si>
  <si>
    <t>urquijo</t>
  </si>
  <si>
    <t>Hildegard</t>
  </si>
  <si>
    <t>hildepineros@gmail.com</t>
  </si>
  <si>
    <t>Palencia</t>
  </si>
  <si>
    <t>lauriepalencia18@outlook.es</t>
  </si>
  <si>
    <t>2711cajr@gmail.com</t>
  </si>
  <si>
    <t>johannramirez1605@gmail.com</t>
  </si>
  <si>
    <t>juan_felix_sierra@hotmail.com</t>
  </si>
  <si>
    <t>amandaviviana12@hotmail.com</t>
  </si>
  <si>
    <t>landete</t>
  </si>
  <si>
    <t>juliana.bonillaric@gmail.com</t>
  </si>
  <si>
    <t>Ada Luz</t>
  </si>
  <si>
    <t>Echeverria</t>
  </si>
  <si>
    <t>adaluz.echeverria@gmail.com</t>
  </si>
  <si>
    <t>Leiva Sánchez</t>
  </si>
  <si>
    <t>Agustín</t>
  </si>
  <si>
    <t>agustinp87@hotmail.com</t>
  </si>
  <si>
    <t>vecamaos0712@gmail.com</t>
  </si>
  <si>
    <t>LUCIANO</t>
  </si>
  <si>
    <t>loraine_26@hormail.com</t>
  </si>
  <si>
    <t>paitomonterorua@gmail.com</t>
  </si>
  <si>
    <t>Danilso</t>
  </si>
  <si>
    <t>Díaz</t>
  </si>
  <si>
    <t>Garavito</t>
  </si>
  <si>
    <t>sebastiangaravitopatino25@gmail.com</t>
  </si>
  <si>
    <t>Freddy</t>
  </si>
  <si>
    <t>myriamvargasmendoza@gmail.com</t>
  </si>
  <si>
    <t>Nathaly</t>
  </si>
  <si>
    <t>Luque</t>
  </si>
  <si>
    <t>stefanie.luquec@gmail.com</t>
  </si>
  <si>
    <t>mariaamayamoros@hotmail.com</t>
  </si>
  <si>
    <t>Florián</t>
  </si>
  <si>
    <t>Heredia</t>
  </si>
  <si>
    <t>yesitcampo@gmail.com</t>
  </si>
  <si>
    <t>omariscecilia22@gmail.com</t>
  </si>
  <si>
    <t>valeriefrangiem@gmail.com</t>
  </si>
  <si>
    <t>Olga lucia</t>
  </si>
  <si>
    <t>Erazo</t>
  </si>
  <si>
    <t>Bedoya Madrid</t>
  </si>
  <si>
    <t>ol_malvasan@hotmail.com</t>
  </si>
  <si>
    <t>+13059988217</t>
  </si>
  <si>
    <t>Mendoza González</t>
  </si>
  <si>
    <t>mariajo-5121@hotmail.com</t>
  </si>
  <si>
    <t>stephaniepalaciom@gmail.com</t>
  </si>
  <si>
    <t>Novamed SAS</t>
  </si>
  <si>
    <t>svillegas@novamed.com.co</t>
  </si>
  <si>
    <t>Ortiz montaña</t>
  </si>
  <si>
    <t>Aura</t>
  </si>
  <si>
    <t>danyelbri7@hotmail.com</t>
  </si>
  <si>
    <t>Matusalem Gerardo</t>
  </si>
  <si>
    <t>Hernández Roldán</t>
  </si>
  <si>
    <t>matus.27hr@gmail.com</t>
  </si>
  <si>
    <t>paoduran03@hotmail.com</t>
  </si>
  <si>
    <t>+118472260826</t>
  </si>
  <si>
    <t>vivinavarro2492@gmail.com</t>
  </si>
  <si>
    <t>+50497268800</t>
  </si>
  <si>
    <t>alejandrobuesom@gmail.com</t>
  </si>
  <si>
    <t>Figueroa rivera</t>
  </si>
  <si>
    <t>isabellafigueroarivera2010@gmail.com</t>
  </si>
  <si>
    <t>realtwin7@hotmail.com</t>
  </si>
  <si>
    <t>siliroca@hotmail.com</t>
  </si>
  <si>
    <t>nicmon7@gmail.com</t>
  </si>
  <si>
    <t>msonenmassard@gmail.com</t>
  </si>
  <si>
    <t>Armenta</t>
  </si>
  <si>
    <t>Mestre</t>
  </si>
  <si>
    <t>clau.giaimo@gmail.com</t>
  </si>
  <si>
    <t>Lamus</t>
  </si>
  <si>
    <t>marrero.rubendario@gmail.com</t>
  </si>
  <si>
    <t>Gloria Isabel</t>
  </si>
  <si>
    <t>+15617974204</t>
  </si>
  <si>
    <t>Searrieta07@gmail.com</t>
  </si>
  <si>
    <t>Pepe</t>
  </si>
  <si>
    <t>rodolfo</t>
  </si>
  <si>
    <t>rbarcelo12@gmail.com</t>
  </si>
  <si>
    <t>erikitadelarosa@hotmail.com</t>
  </si>
  <si>
    <t>Hernández Pertuz</t>
  </si>
  <si>
    <t>mariad-hernandezp@unilibre.edu.co</t>
  </si>
  <si>
    <t>carlosyesidcotesgarcia8@gmail.com</t>
  </si>
  <si>
    <t>florezhamburgerjessir@gmail.com</t>
  </si>
  <si>
    <t>n8egro@gmail.com</t>
  </si>
  <si>
    <t>andresescobar_07@hotmail.com</t>
  </si>
  <si>
    <t>ashmarenco@gmail.com</t>
  </si>
  <si>
    <t>Garrido</t>
  </si>
  <si>
    <t>karinagarridoh@gmail.com</t>
  </si>
  <si>
    <t>Anwar</t>
  </si>
  <si>
    <t>G.</t>
  </si>
  <si>
    <t>adriportac@gmail.com</t>
  </si>
  <si>
    <t>Luque Sinning</t>
  </si>
  <si>
    <t>WEDO INVERSIONES S.A.S</t>
  </si>
  <si>
    <t>Ureche Gámez</t>
  </si>
  <si>
    <t>valerymanjarres0@gmail.com</t>
  </si>
  <si>
    <t>camilo.rois27@gmail.com</t>
  </si>
  <si>
    <t>vanesapenagoss@gmail.com</t>
  </si>
  <si>
    <t>andredasilvad18@gmail.com</t>
  </si>
  <si>
    <t>kenyilarios@gmail.com</t>
  </si>
  <si>
    <t>malejandrak93@gmail.com</t>
  </si>
  <si>
    <t>ivanpalacioc@hotmail.com</t>
  </si>
  <si>
    <t>Gelis</t>
  </si>
  <si>
    <t>gabisofia.gelis@gmail.com</t>
  </si>
  <si>
    <t>esmeralmariajose@gmail.com</t>
  </si>
  <si>
    <t>ngela</t>
  </si>
  <si>
    <t>Rondón</t>
  </si>
  <si>
    <t>+19548500270</t>
  </si>
  <si>
    <t>viviana@sabneroinc.om</t>
  </si>
  <si>
    <t>Johnatan Julián</t>
  </si>
  <si>
    <t>Bedoya Gil</t>
  </si>
  <si>
    <t>santiagoalvarado4000@gmail.com</t>
  </si>
  <si>
    <t>karensanchezarenas@gmail.com</t>
  </si>
  <si>
    <t>rbermejoh14@gmail.com</t>
  </si>
  <si>
    <t>acpiedrahitaj@gmail.com</t>
  </si>
  <si>
    <t>camiloperez@gmail.com</t>
  </si>
  <si>
    <t>perezcamik@gmail.com</t>
  </si>
  <si>
    <t>kennethjgonzalez919@gmail.com</t>
  </si>
  <si>
    <t>Estefanía</t>
  </si>
  <si>
    <t>juliancastro23@hotmail.com</t>
  </si>
  <si>
    <t>Mileida</t>
  </si>
  <si>
    <t>González Pabon</t>
  </si>
  <si>
    <t>mileidagonzalez93@gmail.com</t>
  </si>
  <si>
    <t>Agredo</t>
  </si>
  <si>
    <t>miguel_agredo92@hotmail.com</t>
  </si>
  <si>
    <t>+182918293411451</t>
  </si>
  <si>
    <t>jricardoferis@gmail.com</t>
  </si>
  <si>
    <t>orozcoantoniocreativo@gmail.com</t>
  </si>
  <si>
    <t>Grupo Folclorico Cipote Garabato</t>
  </si>
  <si>
    <t>Checho</t>
  </si>
  <si>
    <t>Noreña</t>
  </si>
  <si>
    <t>natynore97@hotmail.com</t>
  </si>
  <si>
    <t>angelicajaraba@gmail.com</t>
  </si>
  <si>
    <t>samueljamby@gmail.com</t>
  </si>
  <si>
    <t>arqmotodo.sas@gmail.com</t>
  </si>
  <si>
    <t>Dietrich</t>
  </si>
  <si>
    <t>massypardo73@gmail.com</t>
  </si>
  <si>
    <t>alvaropaba999@hotmail.com</t>
  </si>
  <si>
    <t>mariapaulinagonzalez@gmail.com</t>
  </si>
  <si>
    <t>pjvilla10@gmail.com</t>
  </si>
  <si>
    <t>Laurina</t>
  </si>
  <si>
    <t>ana_lupineda@hotmail.com</t>
  </si>
  <si>
    <t>mgallegog322@gmail.com</t>
  </si>
  <si>
    <t>Maria Margarita</t>
  </si>
  <si>
    <t>marimar0228@gmail.com</t>
  </si>
  <si>
    <t>marguie0210@hotmail.com</t>
  </si>
  <si>
    <t>fannyspe@hotmail.com</t>
  </si>
  <si>
    <t>ELIZABETH</t>
  </si>
  <si>
    <t>BROCHERO</t>
  </si>
  <si>
    <t>De la Cruz</t>
  </si>
  <si>
    <t>arjuanes97@gmail.com</t>
  </si>
  <si>
    <t>lescaf@gmail.com</t>
  </si>
  <si>
    <t>+34659775024</t>
  </si>
  <si>
    <t>sonia.gonzalez.sotelo@gmail.com</t>
  </si>
  <si>
    <t>maxzz602k@gmail.com</t>
  </si>
  <si>
    <t>majorodado97@gmail.com</t>
  </si>
  <si>
    <t>Eddy</t>
  </si>
  <si>
    <t>delahozarmando@hotmail.com</t>
  </si>
  <si>
    <t>Oviedo</t>
  </si>
  <si>
    <t>loviedo430@hotmail.com</t>
  </si>
  <si>
    <t>ivanruor0597@gmail.com</t>
  </si>
  <si>
    <t>Sabina</t>
  </si>
  <si>
    <t>sabinaayusot@gmail.com</t>
  </si>
  <si>
    <t>Maru</t>
  </si>
  <si>
    <t>laurapatronp@gmail.com</t>
  </si>
  <si>
    <t>RUGGIERI</t>
  </si>
  <si>
    <t>robertoruggieri81@yahoo.it</t>
  </si>
  <si>
    <t>camilasaenz743@gmail.com</t>
  </si>
  <si>
    <t>ronaldonegrete19@gmail.com</t>
  </si>
  <si>
    <t>jorgeasb24@gmail.com</t>
  </si>
  <si>
    <t>Veraine</t>
  </si>
  <si>
    <t>Vera Mateus</t>
  </si>
  <si>
    <t>arnaldo.dv@icloud.com</t>
  </si>
  <si>
    <t>victoabuchaibe@hotmail.com</t>
  </si>
  <si>
    <t>campisantonella@gmail.com</t>
  </si>
  <si>
    <t>mario-20.1@hotmail.com</t>
  </si>
  <si>
    <t>sofía</t>
  </si>
  <si>
    <t>+117274323397</t>
  </si>
  <si>
    <t>okeyd914@gmail.com</t>
  </si>
  <si>
    <t>Grethell</t>
  </si>
  <si>
    <t>samueliguaran01@gmail.com</t>
  </si>
  <si>
    <t>paolatinoco94@gmail.com</t>
  </si>
  <si>
    <t>diegomarquez2017@gmail.com</t>
  </si>
  <si>
    <t>Roman Cabrera</t>
  </si>
  <si>
    <t>m.afesc@outlook.es</t>
  </si>
  <si>
    <t>krebs</t>
  </si>
  <si>
    <t>MARTINEZ BUSTAMANTE</t>
  </si>
  <si>
    <t>rosirispardor@saludfamiliar.com.co</t>
  </si>
  <si>
    <t>Crusibel</t>
  </si>
  <si>
    <t>De Los Reyes Alonso</t>
  </si>
  <si>
    <t>jadiaz.2411@gmail.com</t>
  </si>
  <si>
    <t>Jimenez Rodriguez</t>
  </si>
  <si>
    <t>kjimenez@altamira.edu.co</t>
  </si>
  <si>
    <t>jacobog2615@gmail.com</t>
  </si>
  <si>
    <t>Laury</t>
  </si>
  <si>
    <t>saverio</t>
  </si>
  <si>
    <t>maría del pilar</t>
  </si>
  <si>
    <t>sebastian.pamplona@outlook.es</t>
  </si>
  <si>
    <t>Luis Eduardo</t>
  </si>
  <si>
    <t>arqmontoya86@gmail.com</t>
  </si>
  <si>
    <t>CÁMARA DE COMERCIO DE BARRANQUILLA</t>
  </si>
  <si>
    <t>ylopez@camarabaq.org.co</t>
  </si>
  <si>
    <t>Pamela</t>
  </si>
  <si>
    <t>pamelaaponte97@hotmail.com</t>
  </si>
  <si>
    <t>Kassen</t>
  </si>
  <si>
    <t>kasito1980@gmail.com</t>
  </si>
  <si>
    <t>Cristancho Hoyos</t>
  </si>
  <si>
    <t>hcristan87@gmail.com</t>
  </si>
  <si>
    <t>jejita@hotmail.com</t>
  </si>
  <si>
    <t>Marco andres</t>
  </si>
  <si>
    <t>Garcia Cediel</t>
  </si>
  <si>
    <t>SALVATORE</t>
  </si>
  <si>
    <t>sacastilla701@gmail.com</t>
  </si>
  <si>
    <t>Stefano</t>
  </si>
  <si>
    <t>Chiriví León</t>
  </si>
  <si>
    <t>fefo_chirivi@hotmail.com</t>
  </si>
  <si>
    <t>alejandrahl2272@gmail.com</t>
  </si>
  <si>
    <t>Sharon</t>
  </si>
  <si>
    <t>intercomex78@gmail.com</t>
  </si>
  <si>
    <t>gfernandez@termoglobal.co</t>
  </si>
  <si>
    <t>luisfer_montenegro@hotmail.com</t>
  </si>
  <si>
    <t>ruddyrodriguezarias1991@gmail.com</t>
  </si>
  <si>
    <t>Ivonne</t>
  </si>
  <si>
    <t>Villamil</t>
  </si>
  <si>
    <t>rebcolmatt@gmail.com</t>
  </si>
  <si>
    <t>mayrub9699@gmail.com</t>
  </si>
  <si>
    <t>kevinvergara0@gmail.com</t>
  </si>
  <si>
    <t>hsalleg14@gmail.com</t>
  </si>
  <si>
    <t>catalinapeinadocanchila@gmail.com</t>
  </si>
  <si>
    <t>link082008@gmail.com</t>
  </si>
  <si>
    <t>ZORAIDA</t>
  </si>
  <si>
    <t>federico</t>
  </si>
  <si>
    <t>Rosvy</t>
  </si>
  <si>
    <t>Coll</t>
  </si>
  <si>
    <t>rpcoll77@gmail.com</t>
  </si>
  <si>
    <t>sandrasierra2906@gmail.com</t>
  </si>
  <si>
    <t>Noguera</t>
  </si>
  <si>
    <t>fonseca</t>
  </si>
  <si>
    <t>hilaf25m05@gmail.com</t>
  </si>
  <si>
    <t>juanda.florezm@gmail.com</t>
  </si>
  <si>
    <t>sebastianpromeross@gmail.com</t>
  </si>
  <si>
    <t>gabis.amayar94@gmail.com</t>
  </si>
  <si>
    <t>endomedicalips@outlook.com</t>
  </si>
  <si>
    <t>marisameduarte@yahoo.com</t>
  </si>
  <si>
    <t>dbryan1510@gmail.com</t>
  </si>
  <si>
    <t>mangasierraluismiguel@gmail.com</t>
  </si>
  <si>
    <t>rsantiagonunez1@hotmail.com</t>
  </si>
  <si>
    <t>arizasebastian108@gmail.com</t>
  </si>
  <si>
    <t>shah</t>
  </si>
  <si>
    <t>shah_h34@outlook.com</t>
  </si>
  <si>
    <t>Reina</t>
  </si>
  <si>
    <t>ivancamiloreina022@gmail.com</t>
  </si>
  <si>
    <t>an.carolina94@gmail.com</t>
  </si>
  <si>
    <t>anaaccini@hotmaim.com</t>
  </si>
  <si>
    <t>Arévalo Correa</t>
  </si>
  <si>
    <t>lobojc@hotmail.es</t>
  </si>
  <si>
    <t>smith</t>
  </si>
  <si>
    <t>kevinho101197@gmail.com</t>
  </si>
  <si>
    <t>judameju10@gmail.com</t>
  </si>
  <si>
    <t>erikaomes@gmail.com</t>
  </si>
  <si>
    <t>Karlsson</t>
  </si>
  <si>
    <t>maxcarlzzon.75@outlook.com</t>
  </si>
  <si>
    <t>jcaballero60@hotmail.com</t>
  </si>
  <si>
    <t>vengo98@gmail.com</t>
  </si>
  <si>
    <t>cfederico33@hotmail.com</t>
  </si>
  <si>
    <t>+112029755636</t>
  </si>
  <si>
    <t>pablocascue@gmail.com</t>
  </si>
  <si>
    <t>kevinjm_17@hotmail.com</t>
  </si>
  <si>
    <t>dany_zuluaga@hotmail.com</t>
  </si>
  <si>
    <t>Felipe Andrés Basto</t>
  </si>
  <si>
    <t>Basto</t>
  </si>
  <si>
    <t>cesartinoco02@gmail.com</t>
  </si>
  <si>
    <t>jorge_dhi@hotmail.com</t>
  </si>
  <si>
    <t>González Vásquez</t>
  </si>
  <si>
    <t>juan sebastián</t>
  </si>
  <si>
    <t>Y</t>
  </si>
  <si>
    <t>Claire</t>
  </si>
  <si>
    <t>tonymc7@me.com</t>
  </si>
  <si>
    <t>daniel.mait.mani@gmail.com</t>
  </si>
  <si>
    <t>Lozano</t>
  </si>
  <si>
    <t>andresmanosalva52@gmail.com</t>
  </si>
  <si>
    <t>Oriana</t>
  </si>
  <si>
    <t>yackelineap06@gmail.com</t>
  </si>
  <si>
    <t>ajzpiv97@gmail.com</t>
  </si>
  <si>
    <t>Mulato agredo</t>
  </si>
  <si>
    <t>jjcla96@gmail.com</t>
  </si>
  <si>
    <t>30089214503008921450</t>
  </si>
  <si>
    <t>sijuliana04@gmail.com</t>
  </si>
  <si>
    <t>+54393013395439</t>
  </si>
  <si>
    <t>jomabani@gmail.com</t>
  </si>
  <si>
    <t>joaquinbuitrago77@gmail.com</t>
  </si>
  <si>
    <t>briandjortega@gmail.com</t>
  </si>
  <si>
    <t>maripazgarciav@gmail.com</t>
  </si>
  <si>
    <t>dala_194@hotmail.com</t>
  </si>
  <si>
    <t>keneth</t>
  </si>
  <si>
    <t>juanjallerchar@hotmail.com</t>
  </si>
  <si>
    <t>+34611693613</t>
  </si>
  <si>
    <t>bernalesrodrigo1@gmail.com</t>
  </si>
  <si>
    <t>Eder</t>
  </si>
  <si>
    <t>ahlagaresv123@gmail.com</t>
  </si>
  <si>
    <t>De  Cabello</t>
  </si>
  <si>
    <t>LEONOR</t>
  </si>
  <si>
    <t>Madeleine</t>
  </si>
  <si>
    <t>milenasarmiento@gmail.com</t>
  </si>
  <si>
    <t>Torres Villalobos</t>
  </si>
  <si>
    <t>emytorresv@gmail.com</t>
  </si>
  <si>
    <t>astridcarolinagallardo@gmail.com</t>
  </si>
  <si>
    <t>Yelesvy</t>
  </si>
  <si>
    <t>yelesvyr@yahoo.com</t>
  </si>
  <si>
    <t>Cid</t>
  </si>
  <si>
    <t>ernestocv13@gmail.com</t>
  </si>
  <si>
    <t>jorgerp1607@gmail.com</t>
  </si>
  <si>
    <t>Arias Acosta</t>
  </si>
  <si>
    <t>ariasloraine93@gmail.com</t>
  </si>
  <si>
    <t>Jeff</t>
  </si>
  <si>
    <t>danisidu26@hotmail.com</t>
  </si>
  <si>
    <t>sharles steven</t>
  </si>
  <si>
    <t>sharlesbel33_@hotmail.com</t>
  </si>
  <si>
    <t>ibarraerley@hotmail.com</t>
  </si>
  <si>
    <t>Koca</t>
  </si>
  <si>
    <t>Walter</t>
  </si>
  <si>
    <t>Guette</t>
  </si>
  <si>
    <t>walterdgi24@gmail.com</t>
  </si>
  <si>
    <t>camiloandresmonsalvegarcia58@gmail.com</t>
  </si>
  <si>
    <t>louis.gaeng@gmail.com</t>
  </si>
  <si>
    <t>mafernandezrada@gmail.com</t>
  </si>
  <si>
    <t>Fabiola Marisol</t>
  </si>
  <si>
    <t>+50250236694278</t>
  </si>
  <si>
    <t>julissapsuarez02@gmail.com</t>
  </si>
  <si>
    <t>JOHANA</t>
  </si>
  <si>
    <t>Deivis</t>
  </si>
  <si>
    <t>jdrugs@icloud.com</t>
  </si>
  <si>
    <t>alessioonofri@gmail.com</t>
  </si>
  <si>
    <t>prefabricados_ej@hotmail.com</t>
  </si>
  <si>
    <t>Bernal</t>
  </si>
  <si>
    <t>javierbernal85470@gmail.com</t>
  </si>
  <si>
    <t>GUSTAVO</t>
  </si>
  <si>
    <t>FIGUEROA</t>
  </si>
  <si>
    <t>omardavid1120@gmail.com</t>
  </si>
  <si>
    <t>nicolas.aguilar1999@gmail.com</t>
  </si>
  <si>
    <t>danielruiz24@hotmail.com</t>
  </si>
  <si>
    <t>Carmen</t>
  </si>
  <si>
    <t>carmenbarros3030@gmail.com</t>
  </si>
  <si>
    <t>Petry</t>
  </si>
  <si>
    <t>isabelmarchena@yahoo.com</t>
  </si>
  <si>
    <t>valegus0401@gmail.com</t>
  </si>
  <si>
    <t>juliocezaraquinofeitosa@gmail.com</t>
  </si>
  <si>
    <t>feliperami12@gmail.com</t>
  </si>
  <si>
    <t>djpm0921@gmail.com</t>
  </si>
  <si>
    <t>marialeasis@gmail.com</t>
  </si>
  <si>
    <t>Jesús David</t>
  </si>
  <si>
    <t>morozco@conterra.co</t>
  </si>
  <si>
    <t>102.eduardo.lopez@gmail.com</t>
  </si>
  <si>
    <t>carlosandrescorreagiraldo@gmail.com</t>
  </si>
  <si>
    <t>ivethosorio@hotmail.com</t>
  </si>
  <si>
    <t>Habib</t>
  </si>
  <si>
    <t>doxedmusic@gmail.com</t>
  </si>
  <si>
    <t>juanjuly098@gmail.com</t>
  </si>
  <si>
    <t>sue.salarr@gmail.com</t>
  </si>
  <si>
    <t>Juan Eduardo</t>
  </si>
  <si>
    <t>armellafabrizio@outlook.com</t>
  </si>
  <si>
    <t>Wilson</t>
  </si>
  <si>
    <t>ing.wilsonduran@gmail.com</t>
  </si>
  <si>
    <t>Socarrás</t>
  </si>
  <si>
    <t>nestor.socarras@gmail.com</t>
  </si>
  <si>
    <t>rjhernandez26@gmail.com</t>
  </si>
  <si>
    <t>ddiego0228@gmail.com</t>
  </si>
  <si>
    <t>PADILLA</t>
  </si>
  <si>
    <t>rdonadob11@gmail.con</t>
  </si>
  <si>
    <t>+117046182800</t>
  </si>
  <si>
    <t>funderburk.jarrett@gmail.com</t>
  </si>
  <si>
    <t>CHAMORRO</t>
  </si>
  <si>
    <t>Juan Alejandro</t>
  </si>
  <si>
    <t>Arias Gallego</t>
  </si>
  <si>
    <t>Diego Alejandro</t>
  </si>
  <si>
    <t>diegoalejandrolam1411@hotmail.com</t>
  </si>
  <si>
    <t>caine</t>
  </si>
  <si>
    <t>restrepo</t>
  </si>
  <si>
    <t>Cuello</t>
  </si>
  <si>
    <t>jesuscuellosandoval@gmail.com</t>
  </si>
  <si>
    <t>luisvergara1015@gmail.com</t>
  </si>
  <si>
    <t>catalinaabellog@gmail.com</t>
  </si>
  <si>
    <t>Maria teresa</t>
  </si>
  <si>
    <t>Cedeño Arevalo</t>
  </si>
  <si>
    <t>y_k24@yahoo.com</t>
  </si>
  <si>
    <t>brahian00987@gmail.com</t>
  </si>
  <si>
    <t>Estrada Daza</t>
  </si>
  <si>
    <t>Leyter</t>
  </si>
  <si>
    <t>Pablo Esteban</t>
  </si>
  <si>
    <t>Sánchez Castro</t>
  </si>
  <si>
    <t>estebansanchezcastro380@gmail.com</t>
  </si>
  <si>
    <t>Valest Hernández</t>
  </si>
  <si>
    <t>cvalesth@gmail.com</t>
  </si>
  <si>
    <t>Reding Samano</t>
  </si>
  <si>
    <t>a01645714@tec.mx</t>
  </si>
  <si>
    <t>r</t>
  </si>
  <si>
    <t>jcristianc19@gmail.com</t>
  </si>
  <si>
    <t>doctamayo.orl@gmail.com</t>
  </si>
  <si>
    <t>cindy</t>
  </si>
  <si>
    <t>cantillotoromarioalberto@gmail.com</t>
  </si>
  <si>
    <t>rmontejo02@gmail.com</t>
  </si>
  <si>
    <t>mtrigose1@gmail.com</t>
  </si>
  <si>
    <t>Massimo</t>
  </si>
  <si>
    <t>abjabibbarake@gmail.com</t>
  </si>
  <si>
    <t>ramirezsaavedraandrea@gmail.com</t>
  </si>
  <si>
    <t>Cabrales Vernaza</t>
  </si>
  <si>
    <t>eusebiocabrales@gmail.com</t>
  </si>
  <si>
    <t>nandog344@gmail.com</t>
  </si>
  <si>
    <t>Ericka</t>
  </si>
  <si>
    <t>bekypc@hotmail.com</t>
  </si>
  <si>
    <t>eliecer.avilez@gmail.com</t>
  </si>
  <si>
    <t>jorgevalenciadm@gmail.com</t>
  </si>
  <si>
    <t>gavegaq@gmail.com</t>
  </si>
  <si>
    <t>johan2306@hotmail.com</t>
  </si>
  <si>
    <t>kenyalmj2015@gmail.com</t>
  </si>
  <si>
    <t>forbesdanielfalcon@gmail.com</t>
  </si>
  <si>
    <t>Morales Caldas</t>
  </si>
  <si>
    <t>sebasmorales0011@gmail.com</t>
  </si>
  <si>
    <t>Hernan</t>
  </si>
  <si>
    <t>Peña Llinás</t>
  </si>
  <si>
    <t>davidherp@hotmail.com</t>
  </si>
  <si>
    <t>Legendre</t>
  </si>
  <si>
    <t>legendrepierre@live.fr</t>
  </si>
  <si>
    <t>Ale</t>
  </si>
  <si>
    <t>magonzalesperez@gmail.com</t>
  </si>
  <si>
    <t>JUAN DE DIOS</t>
  </si>
  <si>
    <t>CAMACHO ROCHA</t>
  </si>
  <si>
    <t>JUANDEDIOSCAMACHO@HOTMAIL.COM</t>
  </si>
  <si>
    <t>Buitriago</t>
  </si>
  <si>
    <t>cadena</t>
  </si>
  <si>
    <t>coronadoaf@gmail.com</t>
  </si>
  <si>
    <t>luna</t>
  </si>
  <si>
    <t>VIZCAINO</t>
  </si>
  <si>
    <t>mgrajalesimport@gmail.com</t>
  </si>
  <si>
    <t>cehmaldonado@gmail.com</t>
  </si>
  <si>
    <t>+84383137308438</t>
  </si>
  <si>
    <t>andelahozg@gmail.com</t>
  </si>
  <si>
    <t>+41774494454</t>
  </si>
  <si>
    <t>armandoestrada196@gmail.com</t>
  </si>
  <si>
    <t>juanfelipe2214@gmail.com</t>
  </si>
  <si>
    <t>gilberto</t>
  </si>
  <si>
    <t>carlosdanilomr0227@gmail.com</t>
  </si>
  <si>
    <t>sebasarifop4@gmail.com</t>
  </si>
  <si>
    <t>Ríos</t>
  </si>
  <si>
    <t>danielarios188@gmail.com</t>
  </si>
  <si>
    <t>kekodigre99@icloud.com</t>
  </si>
  <si>
    <t>rucky_21@hotmail.com</t>
  </si>
  <si>
    <t>je-su04@hotmail.com</t>
  </si>
  <si>
    <t>fabio tejeda</t>
  </si>
  <si>
    <t>abogadojlopez@icloud.com</t>
  </si>
  <si>
    <t>manuel</t>
  </si>
  <si>
    <t>+117866453589</t>
  </si>
  <si>
    <t>Annicchiarico</t>
  </si>
  <si>
    <t>luisdavi.ld48@gmail.com</t>
  </si>
  <si>
    <t>SUAD HANA</t>
  </si>
  <si>
    <t>Luis Gonzalo</t>
  </si>
  <si>
    <t>lugosaxd@gmail.com</t>
  </si>
  <si>
    <t>Jhon</t>
  </si>
  <si>
    <t>jhonjairojaramillo0127@gmail.com</t>
  </si>
  <si>
    <t>MARIA ISABEL</t>
  </si>
  <si>
    <t>TRUJILLO</t>
  </si>
  <si>
    <t>juanpablomunozgomez1@gmail.com</t>
  </si>
  <si>
    <t>julianusumaque2003@gmail.com</t>
  </si>
  <si>
    <t>horopezagoncalves@gmail.com</t>
  </si>
  <si>
    <t>mayala97@outlook.con</t>
  </si>
  <si>
    <t>Daza Pertuz</t>
  </si>
  <si>
    <t>sadadaper@gmail.com</t>
  </si>
  <si>
    <t>dubanzape70@gmail.com</t>
  </si>
  <si>
    <t>Illera</t>
  </si>
  <si>
    <t>marioillera90@gmail.com</t>
  </si>
  <si>
    <t>carmencgalvis@hotmail.com</t>
  </si>
  <si>
    <t>SAMUEL</t>
  </si>
  <si>
    <t>mjdelaespriella@gmail.com</t>
  </si>
  <si>
    <t>Yolkaeef</t>
  </si>
  <si>
    <t>yolkaeef123@gmail.com</t>
  </si>
  <si>
    <t>hernando</t>
  </si>
  <si>
    <t>sharitquezda@gmail.com</t>
  </si>
  <si>
    <t>maira2000ed@gmail.com</t>
  </si>
  <si>
    <t>Nova De La Cruz</t>
  </si>
  <si>
    <t>josenovadelacruz10@gmail.com</t>
  </si>
  <si>
    <t>Stephania</t>
  </si>
  <si>
    <t>carlosarevalom14@hotmail.com</t>
  </si>
  <si>
    <t>Garcia Peña</t>
  </si>
  <si>
    <t>camilogarcia0219@gmail.com</t>
  </si>
  <si>
    <t>mateo</t>
  </si>
  <si>
    <t>Córdoba</t>
  </si>
  <si>
    <t>lucas</t>
  </si>
  <si>
    <t>jaimep4000@gmail.com</t>
  </si>
  <si>
    <t>sebas12malkun@gmail.com</t>
  </si>
  <si>
    <t>nicolas</t>
  </si>
  <si>
    <t>Maximiliano</t>
  </si>
  <si>
    <t>aguimera</t>
  </si>
  <si>
    <t>maxaguilera@royalschool.edu.co</t>
  </si>
  <si>
    <t>s.v_suministros@hotmail.com</t>
  </si>
  <si>
    <t>Nabetse</t>
  </si>
  <si>
    <t>nabetsesofia18@gmail.com</t>
  </si>
  <si>
    <t>joseph</t>
  </si>
  <si>
    <t>Duvan</t>
  </si>
  <si>
    <t>hrodriguez1301@gmail.com</t>
  </si>
  <si>
    <t>Andrea Marcela</t>
  </si>
  <si>
    <t>juan.ruiz11@usa.edu.co</t>
  </si>
  <si>
    <t>natica14@hotmail.es</t>
  </si>
  <si>
    <t>Gerardo</t>
  </si>
  <si>
    <t>Paternina</t>
  </si>
  <si>
    <t>geyci1123@gmail.com</t>
  </si>
  <si>
    <t>Conto quintero</t>
  </si>
  <si>
    <t>alejandra18231@hotmail.com</t>
  </si>
  <si>
    <t>jasegebre@hotmail.com</t>
  </si>
  <si>
    <t>contacto.impuestos@co.ey.com</t>
  </si>
  <si>
    <t>wako1709@hotmail.com</t>
  </si>
  <si>
    <t>valcm20@hotmail.com</t>
  </si>
  <si>
    <t>cristinagarciar0219@gmail.com</t>
  </si>
  <si>
    <t>Barranco Camargo</t>
  </si>
  <si>
    <t>jhonbarranco7@outlook.es</t>
  </si>
  <si>
    <t>luisrobles.1999@outlook.com</t>
  </si>
  <si>
    <t>liss9189@gmail.com</t>
  </si>
  <si>
    <t>isaiash.secsalud@gmail.com</t>
  </si>
  <si>
    <t>bonis</t>
  </si>
  <si>
    <t>majo0812@hotmail.com</t>
  </si>
  <si>
    <t>anitaarteta27@gmail.com</t>
  </si>
  <si>
    <t>Pupo</t>
  </si>
  <si>
    <t>Alzate</t>
  </si>
  <si>
    <t>gloria</t>
  </si>
  <si>
    <t>gloria.adarve@hotmail.com</t>
  </si>
  <si>
    <t>mcarrillo@fundacionsantodomingo.org</t>
  </si>
  <si>
    <t>Angelie</t>
  </si>
  <si>
    <t>Ponce</t>
  </si>
  <si>
    <t>angelieponce0@gmail.com</t>
  </si>
  <si>
    <t>Ludmila</t>
  </si>
  <si>
    <t>juanr1898@hotmail.com</t>
  </si>
  <si>
    <t>manfegue@gmail.com</t>
  </si>
  <si>
    <t>mabn.28@hotmail.com</t>
  </si>
  <si>
    <t>itsvanhg@gmail.com</t>
  </si>
  <si>
    <t>Emilis</t>
  </si>
  <si>
    <t>Parque y Grama Construcciones</t>
  </si>
  <si>
    <t>cartera@parqueygrama.com</t>
  </si>
  <si>
    <t>+99683126219968</t>
  </si>
  <si>
    <t>joseri001@hotmail.com</t>
  </si>
  <si>
    <t>Yesenia</t>
  </si>
  <si>
    <t>cantillo</t>
  </si>
  <si>
    <t>cposadad@gmail.com</t>
  </si>
  <si>
    <t>Meléndez</t>
  </si>
  <si>
    <t>Estefania</t>
  </si>
  <si>
    <t>vnassiffescobar@gmail.com</t>
  </si>
  <si>
    <t>mariavasquesvillamil@gmail.com</t>
  </si>
  <si>
    <t>Join Data Solutions</t>
  </si>
  <si>
    <t>joindatasolutions@gmail.com</t>
  </si>
  <si>
    <t>Gordillo</t>
  </si>
  <si>
    <t>milandres2508@hotmail.es</t>
  </si>
  <si>
    <t>facturacionelectronica@hotmail.com</t>
  </si>
  <si>
    <t>Chávez</t>
  </si>
  <si>
    <t>jacsharquitectura@gmail.com</t>
  </si>
  <si>
    <t>kemendoca@gmail.com</t>
  </si>
  <si>
    <t>amy@localparti.com</t>
  </si>
  <si>
    <t>Guzman Martinez</t>
  </si>
  <si>
    <t>mguzmanmartinez@gmail.com</t>
  </si>
  <si>
    <t>kdazach@gmail.com</t>
  </si>
  <si>
    <t>johansamperg@gmail.com</t>
  </si>
  <si>
    <t>majogutie2809@gmail.com</t>
  </si>
  <si>
    <t>esalva560@gmail.com</t>
  </si>
  <si>
    <t>hormigaisaac2004@gmail.com</t>
  </si>
  <si>
    <t>jefer113@hotmail.com</t>
  </si>
  <si>
    <t>danielrico2@hotmail.com</t>
  </si>
  <si>
    <t>iescobars@murphy.edu.co</t>
  </si>
  <si>
    <t>Escarly</t>
  </si>
  <si>
    <t>Miranda Díaz</t>
  </si>
  <si>
    <t>emiranda030720@gmail.com</t>
  </si>
  <si>
    <t>Villa</t>
  </si>
  <si>
    <t>Jhoynnier</t>
  </si>
  <si>
    <t>andresleon1393@gmail.com</t>
  </si>
  <si>
    <t>Fragozo</t>
  </si>
  <si>
    <t>vanessafragozo1@outlook.com</t>
  </si>
  <si>
    <t>diala</t>
  </si>
  <si>
    <t>Bernando</t>
  </si>
  <si>
    <t>clauditadt@hotmail.com</t>
  </si>
  <si>
    <t>lauraa_mendoza@hotmail.com</t>
  </si>
  <si>
    <t>valentinaguzman23@hotmail.com</t>
  </si>
  <si>
    <t>kiaraangarita@hotmail.com</t>
  </si>
  <si>
    <t>Carlo</t>
  </si>
  <si>
    <t>Avila Muñoz</t>
  </si>
  <si>
    <t>carlomario.avila@gmail.com</t>
  </si>
  <si>
    <t>gise.mangones07@hotmail.com</t>
  </si>
  <si>
    <t>HEILBRON</t>
  </si>
  <si>
    <t>Lizzeth</t>
  </si>
  <si>
    <t>Guarin</t>
  </si>
  <si>
    <t>juan carlos</t>
  </si>
  <si>
    <t>Lisseth</t>
  </si>
  <si>
    <t>Falcon</t>
  </si>
  <si>
    <t>lfalconm89@gmail.com</t>
  </si>
  <si>
    <t>Madelin</t>
  </si>
  <si>
    <t>made2902@hotmail.com</t>
  </si>
  <si>
    <t>Lueidis</t>
  </si>
  <si>
    <t>Cabana</t>
  </si>
  <si>
    <t>lues_27@hotmail.com</t>
  </si>
  <si>
    <t>Danies</t>
  </si>
  <si>
    <t>isadanies@gmail.com</t>
  </si>
  <si>
    <t>Boudez</t>
  </si>
  <si>
    <t>fboudez@hotmail.com</t>
  </si>
  <si>
    <t>clauditarincon@hotmail.com</t>
  </si>
  <si>
    <t>paulethpastrana@msn.com</t>
  </si>
  <si>
    <t>Trens</t>
  </si>
  <si>
    <t>jennyffertm@gmail.com</t>
  </si>
  <si>
    <t>carolinajimeneznn@outlook.com</t>
  </si>
  <si>
    <t>andreinamarr03@gmail.com</t>
  </si>
  <si>
    <t>silvanavega22@icloud.com</t>
  </si>
  <si>
    <t>+16476753372</t>
  </si>
  <si>
    <t>vilmamolinamolino@hotmail.com</t>
  </si>
  <si>
    <t>Pico mora</t>
  </si>
  <si>
    <t>brimora062@gmail.com</t>
  </si>
  <si>
    <t>edithcarolz@gmail.com</t>
  </si>
  <si>
    <t>Molina cabas</t>
  </si>
  <si>
    <t>Raymond</t>
  </si>
  <si>
    <t>Sanchez Mercado</t>
  </si>
  <si>
    <t>juanjosesanchezm29@gmail.com</t>
  </si>
  <si>
    <t>Dawing</t>
  </si>
  <si>
    <t>dawingnavarro5@gmail.com</t>
  </si>
  <si>
    <t>ineslindarte43@gmail.com</t>
  </si>
  <si>
    <t>Montero Galindo</t>
  </si>
  <si>
    <t>carlosmonterog16@gmail.com</t>
  </si>
  <si>
    <t>felipemedinav@hotmail.com</t>
  </si>
  <si>
    <t>Nieto ADIE</t>
  </si>
  <si>
    <t>valenietoadie@gmail.com</t>
  </si>
  <si>
    <t>danielslinares07@gmail.com</t>
  </si>
  <si>
    <t>Jorman</t>
  </si>
  <si>
    <t>steffanocolonna00@gmail.com</t>
  </si>
  <si>
    <t>stefania-06@hotmail.com</t>
  </si>
  <si>
    <t>silvioarcieri@gmail.com</t>
  </si>
  <si>
    <t>fbonnettc@gmail.com</t>
  </si>
  <si>
    <t>diana_guarin@hotmail.com</t>
  </si>
  <si>
    <t>Oscar Iván</t>
  </si>
  <si>
    <t>Benitez Gonzalez</t>
  </si>
  <si>
    <t>Caicedo</t>
  </si>
  <si>
    <t>tatyrincon4@gmail.com</t>
  </si>
  <si>
    <t>Andrew</t>
  </si>
  <si>
    <t>Carolina de Los Ángeles</t>
  </si>
  <si>
    <t>Amesty de galvan</t>
  </si>
  <si>
    <t>carolinaamesty4@gmail.com</t>
  </si>
  <si>
    <t>carrion</t>
  </si>
  <si>
    <t>escalantesebastian145@gmail.com</t>
  </si>
  <si>
    <t>ing.nagomez@gmail.com</t>
  </si>
  <si>
    <t>Valeri</t>
  </si>
  <si>
    <t>valerygalvisballona@gmail.com</t>
  </si>
  <si>
    <t>Gutiérrez Vizcaino</t>
  </si>
  <si>
    <t>kamaguviz@gmail.com</t>
  </si>
  <si>
    <t>nahualsharpaycabrales@gmail.com</t>
  </si>
  <si>
    <t>marydazab1089@gmail.com</t>
  </si>
  <si>
    <t>scdiago90@gmail.com</t>
  </si>
  <si>
    <t>Paula Coy</t>
  </si>
  <si>
    <t>paulacoyc@gmail.com</t>
  </si>
  <si>
    <t>Moisés</t>
  </si>
  <si>
    <t>moisesanaya1781@gmail.com</t>
  </si>
  <si>
    <t>oncejonna@live.com</t>
  </si>
  <si>
    <t>Urrutia</t>
  </si>
  <si>
    <t>Kathleen</t>
  </si>
  <si>
    <t>josealenadro01@gmail.com</t>
  </si>
  <si>
    <t>Said</t>
  </si>
  <si>
    <t>mdelarosaromeri@gmail.com</t>
  </si>
  <si>
    <t>yesycachacon@gmail.con</t>
  </si>
  <si>
    <t>orlandorq58@gmail.com</t>
  </si>
  <si>
    <t>jorgedg1@hotmail.com</t>
  </si>
  <si>
    <t>ivandavid_0607@hotmail.clm</t>
  </si>
  <si>
    <t>tavaro09@yahoo.com</t>
  </si>
  <si>
    <t>heidyarrietav@gmail.com</t>
  </si>
  <si>
    <t>harold.rincon@segurosdelestado.com</t>
  </si>
  <si>
    <t>deoroberdugolaurabeatriz@gmail.com</t>
  </si>
  <si>
    <t>Polo Rodríguez</t>
  </si>
  <si>
    <t>madelinepolorodriguez@hotmail.es</t>
  </si>
  <si>
    <t>KLEID DRESS SHOP SAS</t>
  </si>
  <si>
    <t>rpuche@evoagro.com</t>
  </si>
  <si>
    <t>Francesca</t>
  </si>
  <si>
    <t>fcitarellap@gmail.com</t>
  </si>
  <si>
    <t>orlandohabib@hotmail.com</t>
  </si>
  <si>
    <t>liliana0592@hotmail.com</t>
  </si>
  <si>
    <t>karenmelisza_bula@hotmail.com</t>
  </si>
  <si>
    <t>Dubby</t>
  </si>
  <si>
    <t>Piñeres</t>
  </si>
  <si>
    <t>javierandres_80@hotmail.com</t>
  </si>
  <si>
    <t>Santamaría</t>
  </si>
  <si>
    <t>rafikisn@outlook.es</t>
  </si>
  <si>
    <t>valentinagandinim@gmail.com</t>
  </si>
  <si>
    <t>espinosa</t>
  </si>
  <si>
    <t>Saskia</t>
  </si>
  <si>
    <t>saskiavt2000@gmail.com</t>
  </si>
  <si>
    <t>andrescastroribayo@gmail.com</t>
  </si>
  <si>
    <t>Lindsay</t>
  </si>
  <si>
    <t>Vega Angulo</t>
  </si>
  <si>
    <t>lindsayvega8@gmail.com</t>
  </si>
  <si>
    <t>14cmcd@gmail.com</t>
  </si>
  <si>
    <t>Martin</t>
  </si>
  <si>
    <t>Silvera</t>
  </si>
  <si>
    <t>martinsilvera2505@hotmail.com</t>
  </si>
  <si>
    <t>mguerrero@fundacionsantodomingo.org</t>
  </si>
  <si>
    <t>Barreto Arrieta</t>
  </si>
  <si>
    <t>argaroluis123@gmail.com</t>
  </si>
  <si>
    <t>mayra</t>
  </si>
  <si>
    <t>mcp_2801@hotmail.com</t>
  </si>
  <si>
    <t>Suárez Berdugo</t>
  </si>
  <si>
    <t>sarasuarezb26@gmail.com</t>
  </si>
  <si>
    <t>christianwst1908@gmail.com</t>
  </si>
  <si>
    <t>Naizzir</t>
  </si>
  <si>
    <t>josortega1999@gmail.com</t>
  </si>
  <si>
    <t>emgs1982@me.com</t>
  </si>
  <si>
    <t>sofiahernandez0321@gmail.com</t>
  </si>
  <si>
    <t>b_perez9@hotmail.com</t>
  </si>
  <si>
    <t>lalag16@gmail.com</t>
  </si>
  <si>
    <t>Yull mariol</t>
  </si>
  <si>
    <t>castro marin</t>
  </si>
  <si>
    <t>cyull376@gmail.com</t>
  </si>
  <si>
    <t>barcenas</t>
  </si>
  <si>
    <t>Jeason</t>
  </si>
  <si>
    <t>tomas</t>
  </si>
  <si>
    <t>carmen sofia</t>
  </si>
  <si>
    <t>Prada Sanmiguel</t>
  </si>
  <si>
    <t>freiderandresprada28@gmail.com</t>
  </si>
  <si>
    <t>Maria Lucia</t>
  </si>
  <si>
    <t>mlrodriguez27@hotmail.com</t>
  </si>
  <si>
    <t>rios</t>
  </si>
  <si>
    <t>Grimilda</t>
  </si>
  <si>
    <t>penamaringrimilda71@gmail.com</t>
  </si>
  <si>
    <t>willian</t>
  </si>
  <si>
    <t>Acosta González</t>
  </si>
  <si>
    <t>angieacosta240896@gmail.com</t>
  </si>
  <si>
    <t>paulabarcelob@gmail.com</t>
  </si>
  <si>
    <t>tellybolben@hotmail.com</t>
  </si>
  <si>
    <t>jasonflorez@hotmail.com</t>
  </si>
  <si>
    <t>falcojuan@hotmail.com</t>
  </si>
  <si>
    <t>daifuentesmayorga15@gmail.com</t>
  </si>
  <si>
    <t>angelita.100@outlook.com</t>
  </si>
  <si>
    <t>danielponnefz@gmail.com</t>
  </si>
  <si>
    <t>sheillaacosta@yahoo.com</t>
  </si>
  <si>
    <t>Montecristo6@bellsouth.net</t>
  </si>
  <si>
    <t>heisyjmg@hotmail.com</t>
  </si>
  <si>
    <t>kiaracarolina99@outlook.com</t>
  </si>
  <si>
    <t>vibesa@hotmail.com</t>
  </si>
  <si>
    <t>rgil3012@gmail.com</t>
  </si>
  <si>
    <t>laurasamaha19@gmail.com</t>
  </si>
  <si>
    <t>fernandacharrisj@gmail.com</t>
  </si>
  <si>
    <t>yadirita1102@hotmail.com</t>
  </si>
  <si>
    <t>juaneduardo01@hotmail.com</t>
  </si>
  <si>
    <t>nellacarmonaslv@gmail.com</t>
  </si>
  <si>
    <t>jjdiazsolano123@gmail.com</t>
  </si>
  <si>
    <t>gracegarcia9726@hotmail.com</t>
  </si>
  <si>
    <t>sandiforero10@gmail.com</t>
  </si>
  <si>
    <t>salazarfkathy@gmail.com</t>
  </si>
  <si>
    <t>arangodiaz980219@hotmail.com</t>
  </si>
  <si>
    <t>arturosolano832@gmail.com</t>
  </si>
  <si>
    <t>ruedafajardo29@hotmail.com</t>
  </si>
  <si>
    <t>yanethyohana2505@hotmail.com</t>
  </si>
  <si>
    <t>krmenalicia123@hotmail.com</t>
  </si>
  <si>
    <t>carmen molina</t>
  </si>
  <si>
    <t>jorgepertuz_@hotmail.com</t>
  </si>
  <si>
    <t>mendozac744@gmail.com</t>
  </si>
  <si>
    <t>mr.freire_48@hotmail.com</t>
  </si>
  <si>
    <t>KATERIN SANJUANELO CERVANTES</t>
  </si>
  <si>
    <t>katsanjunelo19@gmail.com</t>
  </si>
  <si>
    <t>velezjose11q@gmail.com</t>
  </si>
  <si>
    <t>manuelarboleda27@gmail.com</t>
  </si>
  <si>
    <t>Daniela Asis</t>
  </si>
  <si>
    <t>lampi_09@hotmail.com</t>
  </si>
  <si>
    <t>jmega1011@hotmail.com</t>
  </si>
  <si>
    <t>andresfholguink@gmail.com</t>
  </si>
  <si>
    <t>mayrasantosh22@gmail.com</t>
  </si>
  <si>
    <t>Geovanny giraldo</t>
  </si>
  <si>
    <t>accesos_yak_0x@icloud.com</t>
  </si>
  <si>
    <t>impuestos@bodytechcorp.com</t>
  </si>
  <si>
    <t>laura06suarez@gmail.com</t>
  </si>
  <si>
    <t>carminapardeys@gmail.com</t>
  </si>
  <si>
    <t>paulisierra@hotmail.com</t>
  </si>
  <si>
    <t>cata_varon@hotmail.com</t>
  </si>
  <si>
    <t>drjuanreatiga@gmail.com</t>
  </si>
  <si>
    <t>majogaleanobajaire@hotmail.com</t>
  </si>
  <si>
    <t>luisasarmeinto2008@gmail.com</t>
  </si>
  <si>
    <t>cludita005@hotmail.com</t>
  </si>
  <si>
    <t>officecolombia@treasurepg.com</t>
  </si>
  <si>
    <t>juanpablojsanchez@gmail.com</t>
  </si>
  <si>
    <t>gduran9113@hotmail.com</t>
  </si>
  <si>
    <t>nashlachalelamd@gmail.com</t>
  </si>
  <si>
    <t>elsapinerea@hotmail.com</t>
  </si>
  <si>
    <t>cindy_meza@hotmail.com</t>
  </si>
  <si>
    <t>compras@granabastos.com.co</t>
  </si>
  <si>
    <t>Luz adriana Cardenas lozada</t>
  </si>
  <si>
    <t>dgodominguez86@gmail.com</t>
  </si>
  <si>
    <t>comercial8012@gmail.com</t>
  </si>
  <si>
    <t>wilwen77@gmail.com</t>
  </si>
  <si>
    <t>isabellagaleanob30@gmail.com</t>
  </si>
  <si>
    <t>gdaniel2002211@gmail.com</t>
  </si>
  <si>
    <t>isabellacorreaosio@gmail.com</t>
  </si>
  <si>
    <t>malehoyosh@gmail.com</t>
  </si>
  <si>
    <t>catrin.howard77@gmail.com</t>
  </si>
  <si>
    <t>ca_ballesteros7@hotmail.com</t>
  </si>
  <si>
    <t>ivanalvare@aol.com</t>
  </si>
  <si>
    <t>seband2010@hotmail.com</t>
  </si>
  <si>
    <t>jdsanjuan7@gmail.com</t>
  </si>
  <si>
    <t>johnnymejiamontoya@outlook.com</t>
  </si>
  <si>
    <t>javieramaya816@gmail.com</t>
  </si>
  <si>
    <t>natyrueda@gmail.com</t>
  </si>
  <si>
    <t>hernandojavierpena@hotmail.com</t>
  </si>
  <si>
    <t>dannasanjuanelomelendez@gmail.com</t>
  </si>
  <si>
    <t>danielacel1309@outlook.com</t>
  </si>
  <si>
    <t>salomonquinteroch@gmail.com</t>
  </si>
  <si>
    <t>davidhdz_92@hotmail.com</t>
  </si>
  <si>
    <t>kimberlyesther2002@gmail.com</t>
  </si>
  <si>
    <t>julyfonseca0419@hotmail.com</t>
  </si>
  <si>
    <t>angelica.quintero21@hotmail.com</t>
  </si>
  <si>
    <t>anjalitheranp@gmail.com</t>
  </si>
  <si>
    <t>victoriamatera08@gmail.com</t>
  </si>
  <si>
    <t>orlandone31@hotmail.com</t>
  </si>
  <si>
    <t>mariajt-05@hotmail.com</t>
  </si>
  <si>
    <t>juan_jzuniga@hotmail.com</t>
  </si>
  <si>
    <t>beatorrents@gmail.com</t>
  </si>
  <si>
    <t>slachmannle@hotmail.com</t>
  </si>
  <si>
    <t>daniellamartinez18@hotmail.com</t>
  </si>
  <si>
    <t>diana.meneses@f2x.com.co</t>
  </si>
  <si>
    <t>sharonlubo22@hotmail.com</t>
  </si>
  <si>
    <t>maria.alejandra.perez02@gmail.com</t>
  </si>
  <si>
    <t>marcelarojaspalacio445@gmail.com</t>
  </si>
  <si>
    <t>atehortuayarlen@icloud.com</t>
  </si>
  <si>
    <t>mjolivareales@gmail.com</t>
  </si>
  <si>
    <t>pily97@hotmail.com</t>
  </si>
  <si>
    <t>marialejact@gmail.com</t>
  </si>
  <si>
    <t>jesusd.diazdiaz@gmail.com</t>
  </si>
  <si>
    <t>gerencia@suministrose-c.com</t>
  </si>
  <si>
    <t>anibal_junior9616@hotmail.com</t>
  </si>
  <si>
    <t>wiliancalderon08@gmail.com</t>
  </si>
  <si>
    <t>teo.rodriguez.2309@gmail.com</t>
  </si>
  <si>
    <t>Lucia merlano</t>
  </si>
  <si>
    <t>lucia123@gmail.com</t>
  </si>
  <si>
    <t>oscarcantillo2@gmail.com</t>
  </si>
  <si>
    <t>brayerliscecilia@gmail.com</t>
  </si>
  <si>
    <t>kyrareyesj@icloud.com</t>
  </si>
  <si>
    <t>jorgevallejo2945@gmail.com</t>
  </si>
  <si>
    <t>tomasramirezarboleda5@gmail.com</t>
  </si>
  <si>
    <t>sophiareyesv7@gmail.com</t>
  </si>
  <si>
    <t>mariajoseabenoza@gmail.com</t>
  </si>
  <si>
    <t>javierrestrepov@gmail.com</t>
  </si>
  <si>
    <t>ottoandresm@gmail.com</t>
  </si>
  <si>
    <t>dmorapallares@gmail.com</t>
  </si>
  <si>
    <t>adjingenieria@gmail.com</t>
  </si>
  <si>
    <t>alejandrocm_10@hotmail.com</t>
  </si>
  <si>
    <t>jsemusi18@gmail.com</t>
  </si>
  <si>
    <t>deibygama05@gmail.com</t>
  </si>
  <si>
    <t>angelbarreraibarra@gmail.com</t>
  </si>
  <si>
    <t>veromhc25@gmail.com</t>
  </si>
  <si>
    <t>marianacepedadiaz06@gmail.com</t>
  </si>
  <si>
    <t>jussefabdala14@gmail.com</t>
  </si>
  <si>
    <t>csossa18@gmail.com</t>
  </si>
  <si>
    <t>teydimarianoucros15@gmail.com</t>
  </si>
  <si>
    <t>majorame2008@hotmail.con</t>
  </si>
  <si>
    <t>dayanastt20@gmail.com</t>
  </si>
  <si>
    <t>astridelasalasp@gmail.com</t>
  </si>
  <si>
    <t>milenaguerralvarez@hormail.com</t>
  </si>
  <si>
    <t>farydduran@yahoo.com</t>
  </si>
  <si>
    <t>wilsonotilio@hotmail.com</t>
  </si>
  <si>
    <t>arrietagabriel77@gmail.com</t>
  </si>
  <si>
    <t>ccastanedadelarosa@gmail.com</t>
  </si>
  <si>
    <t>Fernando José Dávila</t>
  </si>
  <si>
    <t>davilabotellolopez@gmail.com</t>
  </si>
  <si>
    <t>joseph.hasbun.ortiz@gmail.com</t>
  </si>
  <si>
    <t>juankir14@hotmail.com</t>
  </si>
  <si>
    <t>elthony0926@gmail.com</t>
  </si>
  <si>
    <t>carosjcuello1089@gmail.com</t>
  </si>
  <si>
    <t>saulmercadom98@gmail.com</t>
  </si>
  <si>
    <t>yesiddede@gmail.com</t>
  </si>
  <si>
    <t>+344654255225</t>
  </si>
  <si>
    <t>angelmanjon2001@outlook.com</t>
  </si>
  <si>
    <t>alanvie17@gmail.com</t>
  </si>
  <si>
    <t>freideth@gmail.com</t>
  </si>
  <si>
    <t>danielmarquezordosgoitia@gmail</t>
  </si>
  <si>
    <t>djgacosta@gmail.com</t>
  </si>
  <si>
    <t>juandalopez98@gmail.com</t>
  </si>
  <si>
    <t>cpatino840826@hotmail.com</t>
  </si>
  <si>
    <t>carlosarizamd@hotmail.com</t>
  </si>
  <si>
    <t>isabellasilvera25@gmail.com</t>
  </si>
  <si>
    <t>mario.mercado.c@gmail.com</t>
  </si>
  <si>
    <t>mariacamila.melaomimila@gmail.com</t>
  </si>
  <si>
    <t>manuelza7@hotmail.com</t>
  </si>
  <si>
    <t>luciomonni96@gmail.com</t>
  </si>
  <si>
    <t>sdgonzalezr@gmail.com</t>
  </si>
  <si>
    <t>Joe Durán</t>
  </si>
  <si>
    <t>joeidysduranmendoza@gmail.com</t>
  </si>
  <si>
    <t>dorlysrusso123@gmail.com</t>
  </si>
  <si>
    <t>samupombos@gmail.com</t>
  </si>
  <si>
    <t>juan-rozo@hotmail.com</t>
  </si>
  <si>
    <t>luisma.gomezcasseres@gmail.com</t>
  </si>
  <si>
    <t>jfiguero6@cuc.edu.co</t>
  </si>
  <si>
    <t>Steven Londoño</t>
  </si>
  <si>
    <t>stevensegun2@gmail.com</t>
  </si>
  <si>
    <t>abdullahkhorfan85@gmai.com</t>
  </si>
  <si>
    <t>+013478145898</t>
  </si>
  <si>
    <t>mciancibonet@gmail.com</t>
  </si>
  <si>
    <t>angelamvs04@hotmail.com</t>
  </si>
  <si>
    <t>Melek31-96@hotmail.com</t>
  </si>
  <si>
    <t>darwin.pulido.dpd@gmail.com</t>
  </si>
  <si>
    <t>eduarlandazurii@gmail.com</t>
  </si>
  <si>
    <t>nbenitez1308@gmail.com</t>
  </si>
  <si>
    <t>j.sierra28@hotmail.com</t>
  </si>
  <si>
    <t>jcastilla116@gmail.com</t>
  </si>
  <si>
    <t>patriciab.fadul@gmail.com</t>
  </si>
  <si>
    <t>ashlyn8amartinez12@gmail.com</t>
  </si>
  <si>
    <t>larrysilva00@hotmail.com</t>
  </si>
  <si>
    <t>belissam@yahoo.es</t>
  </si>
  <si>
    <t>esmeralpedro123@gmail.com</t>
  </si>
  <si>
    <t>jhoynerr08@gmail.com</t>
  </si>
  <si>
    <t>mariapcharrisc@gmail.com</t>
  </si>
  <si>
    <t>alemaomoralesbarrera@gmail.com</t>
  </si>
  <si>
    <t>alopezj10@gmail.com</t>
  </si>
  <si>
    <t>Esteban Luna</t>
  </si>
  <si>
    <t>emilio@abitat.co</t>
  </si>
  <si>
    <t>sofiauribev1@gmail.com</t>
  </si>
  <si>
    <t>andresmujica.22@gmail.com</t>
  </si>
  <si>
    <t>miguelcarrascal@icloud.com</t>
  </si>
  <si>
    <t>fboyer@dreamcarscolombia.com</t>
  </si>
  <si>
    <t>gabrielamartinez210406@gmail.com</t>
  </si>
  <si>
    <t>Samitex Rodriguez RAPPI</t>
  </si>
  <si>
    <t>David moreno</t>
  </si>
  <si>
    <t>andresmaderabot@gmail.com</t>
  </si>
  <si>
    <t>nestorcgonzalez93@outlook.com</t>
  </si>
  <si>
    <t>danieladuartt@gmail.com</t>
  </si>
  <si>
    <t>jcmaxilo@yahoo.com</t>
  </si>
  <si>
    <t>adonaysosoriog@gmail.com</t>
  </si>
  <si>
    <t>jpdearmasvelez@gmail.com</t>
  </si>
  <si>
    <t>diazloren19@gmail.com</t>
  </si>
  <si>
    <t>hernanariascardona@gmail.com</t>
  </si>
  <si>
    <t>angelchacon2507@gmail.com</t>
  </si>
  <si>
    <t>jbalagueramd@hotmail.com</t>
  </si>
  <si>
    <t>info@algoritmoplus.com</t>
  </si>
  <si>
    <t>dsrm715@gmail.com</t>
  </si>
  <si>
    <t>alexzaga873@gmail.com</t>
  </si>
  <si>
    <t>michellardila02@gmail.com</t>
  </si>
  <si>
    <t>Diana pineda</t>
  </si>
  <si>
    <t>orlandosantander31@gmail.com</t>
  </si>
  <si>
    <t>juliorincon02@outlook.com</t>
  </si>
  <si>
    <t>mariana.garzon98@hotmail.com</t>
  </si>
  <si>
    <t>magressoth@gmail.com</t>
  </si>
  <si>
    <t>cbrittomarquez@gmail.com</t>
  </si>
  <si>
    <t>karollserrano24@hotmail.com</t>
  </si>
  <si>
    <t>Daniel Silva</t>
  </si>
  <si>
    <t>lauramaldonado0829@gmail.com</t>
  </si>
  <si>
    <t>ps.alejandravargas@outlook.com</t>
  </si>
  <si>
    <t>danielvask@hotmail.com</t>
  </si>
  <si>
    <t>Santiago Arenas</t>
  </si>
  <si>
    <t>sanarega24@gmail.com</t>
  </si>
  <si>
    <t>abogadojairverjel@gmail.com</t>
  </si>
  <si>
    <t>amadorluisguillermo@gmail.com</t>
  </si>
  <si>
    <t>jdcb1793@gmail.com</t>
  </si>
  <si>
    <t>camilofrancoa11@gmail.com</t>
  </si>
  <si>
    <t>Harold Mendoza Lentino</t>
  </si>
  <si>
    <t>haroldmen22@gmail.com</t>
  </si>
  <si>
    <t>estebanhoyos16@gmail.com</t>
  </si>
  <si>
    <t>fernandobueno0990@gmail.com</t>
  </si>
  <si>
    <t>jorgewade@gmail.com</t>
  </si>
  <si>
    <t>Junior Niebles Miranda</t>
  </si>
  <si>
    <t>anibles20@gmail.com</t>
  </si>
  <si>
    <t>cathycrissien@hotmail.com</t>
  </si>
  <si>
    <t>admonflora@gmail.com</t>
  </si>
  <si>
    <t>victoraroca@gmail.com</t>
  </si>
  <si>
    <t>manuel_ajm8@hotmail.com</t>
  </si>
  <si>
    <t>luisfernandohoyos@gmail.com</t>
  </si>
  <si>
    <t>mateo_ro06@hotmail.com</t>
  </si>
  <si>
    <t>ecanavedo94@outlook.com</t>
  </si>
  <si>
    <t>manuelestebanmaciasrios@gmail.com</t>
  </si>
  <si>
    <t>norozco.palma@gmail.com</t>
  </si>
  <si>
    <t>Efrain Martinez</t>
  </si>
  <si>
    <t>lucasavilamanotas@gmail.com</t>
  </si>
  <si>
    <t>misterjob24h@gmail.com</t>
  </si>
  <si>
    <t>martinez4741@hotmail.com</t>
  </si>
  <si>
    <t>Daniel Garcia De La Rosa</t>
  </si>
  <si>
    <t>danigarcia618@gmail.com</t>
  </si>
  <si>
    <t>david1026meza@gmail.com</t>
  </si>
  <si>
    <t>maximiliamg@hotmail.com</t>
  </si>
  <si>
    <t>isavillp125@gmail.com</t>
  </si>
  <si>
    <t>nathyfernanfez@hotmail.com</t>
  </si>
  <si>
    <t>mayitapiamora@gmail.com</t>
  </si>
  <si>
    <t>Aura Daniela Espeleta Navarro</t>
  </si>
  <si>
    <t>cencerrear.iones_9e@icloud.com</t>
  </si>
  <si>
    <t>jllanos62@gmail.com</t>
  </si>
  <si>
    <t>nataly32584129@gmail.com</t>
  </si>
  <si>
    <t>carlosmanuelacero@hotmail.com</t>
  </si>
  <si>
    <t>omarsanchez107@hotmail.com</t>
  </si>
  <si>
    <t>maryrueda9515@gmail.com</t>
  </si>
  <si>
    <t>davidricardo44@hotmail.com</t>
  </si>
  <si>
    <t>tiagocoronado3@gmail.com</t>
  </si>
  <si>
    <t>Johnny Romero</t>
  </si>
  <si>
    <t>johi1385@gmail.com</t>
  </si>
  <si>
    <t>aboalejandroarrazola@gmail.com</t>
  </si>
  <si>
    <t>Elvin Simanca</t>
  </si>
  <si>
    <t>elvinsimancagarcia@gmail.com</t>
  </si>
  <si>
    <t>fuenmayorjosewilson@gmail.com</t>
  </si>
  <si>
    <t>alisprentt@gmail.com</t>
  </si>
  <si>
    <t>jadiaz.241@gmail.com</t>
  </si>
  <si>
    <t>yeicasillo@gmail.com</t>
  </si>
  <si>
    <t>williammorenoc11@hotmail.com</t>
  </si>
  <si>
    <t>albertovilla1234567@gmail.com</t>
  </si>
  <si>
    <t>Miguel Contreras</t>
  </si>
  <si>
    <t>hhcc1981@hotmail.com</t>
  </si>
  <si>
    <t>jimmikalethpoveanavarro@gmail.com</t>
  </si>
  <si>
    <t>gafedys@hotmail.com</t>
  </si>
  <si>
    <t>Rolan Cobo perez</t>
  </si>
  <si>
    <t>rolancobo@gmail.com</t>
  </si>
  <si>
    <t>jaiver_fonseca19@hotmail.com</t>
  </si>
  <si>
    <t>iguarananuar13@gmail.com</t>
  </si>
  <si>
    <t>leisalas026@gmail.com</t>
  </si>
  <si>
    <t>juandario085553@gmail.com</t>
  </si>
  <si>
    <t>mariacanelaojedavillalobos@gmail.com</t>
  </si>
  <si>
    <t>Sebastian Vanegas Perez</t>
  </si>
  <si>
    <t>sebastano7@gmail.com</t>
  </si>
  <si>
    <t>pachanoeag@gmail.com</t>
  </si>
  <si>
    <t>danielmaestrea@gmail.com</t>
  </si>
  <si>
    <t>emelisorozco15@gmail.com</t>
  </si>
  <si>
    <t>carlosanchezmi@hotmail.com</t>
  </si>
  <si>
    <t>Rodian peñate</t>
  </si>
  <si>
    <t>Linda Claudett Fontalvo Ramirez</t>
  </si>
  <si>
    <t>linda.fontalvo2101@gmail.com</t>
  </si>
  <si>
    <t>psmv937@gmail.com</t>
  </si>
  <si>
    <t>Paulina betancur</t>
  </si>
  <si>
    <t>cajuortiz29@gmail.com</t>
  </si>
  <si>
    <t>pipeva99@hotmail.com</t>
  </si>
  <si>
    <t>pineres.fp@icloud.com</t>
  </si>
  <si>
    <t>sjdelosreyesc@gmail.com</t>
  </si>
  <si>
    <t>andreslopezpalencia17@gmail.com</t>
  </si>
  <si>
    <t>yambo3434@gmail.com</t>
  </si>
  <si>
    <t>Eugenio Barros</t>
  </si>
  <si>
    <t>Jefferson andre Montiel palacio</t>
  </si>
  <si>
    <t>andrepalacio2006@gmail.com</t>
  </si>
  <si>
    <t>santiagoes299@gmail.com</t>
  </si>
  <si>
    <t>madevecino20009@hotmail.com</t>
  </si>
  <si>
    <t>José Antonio Redondo Diaz</t>
  </si>
  <si>
    <t>joanredi.92@live.com.ar</t>
  </si>
  <si>
    <t>vladimirpcpc13@gmail.com</t>
  </si>
  <si>
    <t>rnaldbayena2002@hotmail.com</t>
  </si>
  <si>
    <t>serret.usa@gmail.com</t>
  </si>
  <si>
    <t>geraldinehm93@gmail.com</t>
  </si>
  <si>
    <t>juanesjw@gmail.com</t>
  </si>
  <si>
    <t>gustavocantero30@hotmail.com</t>
  </si>
  <si>
    <t>geronimolanao123@gmail.com</t>
  </si>
  <si>
    <t>yamalsaghairav@hotmail.com</t>
  </si>
  <si>
    <t>Sheyla Insignares</t>
  </si>
  <si>
    <t>insignaressheyla@gmail.com</t>
  </si>
  <si>
    <t>Andrés Mendoza</t>
  </si>
  <si>
    <t>amendozavillarreal06@gmail.com</t>
  </si>
  <si>
    <t>mrodriguezthe@gmail.com</t>
  </si>
  <si>
    <t>adrirayacarmona@gmail.com</t>
  </si>
  <si>
    <t>d41932891@gmail.com</t>
  </si>
  <si>
    <t>Jorge Sandoval</t>
  </si>
  <si>
    <t>iammauro001@hotmail.com</t>
  </si>
  <si>
    <t>juancertain@hotmail.com</t>
  </si>
  <si>
    <t>chacon_javier@hotmail.com</t>
  </si>
  <si>
    <t>nfuentes@confya.co</t>
  </si>
  <si>
    <t>genith marchena</t>
  </si>
  <si>
    <t>marchenagenith@gmail.com</t>
  </si>
  <si>
    <t>talentohumano@fishmart.com.co</t>
  </si>
  <si>
    <t>Santiago Elias Velasquez Pacheco</t>
  </si>
  <si>
    <t>santielias037@gmail.com</t>
  </si>
  <si>
    <t>lauracampof123@gmail.com</t>
  </si>
  <si>
    <t>javierpachecovz17@gmail.com</t>
  </si>
  <si>
    <t>jhan.manosalva@gmail.com</t>
  </si>
  <si>
    <t>naty8qo@hotmail.com</t>
  </si>
  <si>
    <t>elvyshernandez@gmail.com</t>
  </si>
  <si>
    <t>carloschapmanps@gmail.com</t>
  </si>
  <si>
    <t>jocelynsanchezdelahoz@gmail.com</t>
  </si>
  <si>
    <t>johanacifuentesgo@gmail.com</t>
  </si>
  <si>
    <t>joseandresmarquez362@gmail.com</t>
  </si>
  <si>
    <t>auraecp13@gmail.com</t>
  </si>
  <si>
    <t>ojeda.luz@outlook.com</t>
  </si>
  <si>
    <t>julianamariablancocaro05@gmail.com</t>
  </si>
  <si>
    <t>0810anaisabel@gmail.com</t>
  </si>
  <si>
    <t>juansaliga@hotmail.com</t>
  </si>
  <si>
    <t>sarasantamariab30@hotmail.com</t>
  </si>
  <si>
    <t>alejandravillalba01@gmail.com</t>
  </si>
  <si>
    <t>oscar-lberto@hotmail.com</t>
  </si>
  <si>
    <t>daniellagonzalezm@hotmail.com</t>
  </si>
  <si>
    <t>sophiakoepke99@gmail.com</t>
  </si>
  <si>
    <t>stephielaflaca@hotmail.com</t>
  </si>
  <si>
    <t>vegaj927@gmail.com</t>
  </si>
  <si>
    <t>ioliveros547@gmail.com</t>
  </si>
  <si>
    <t>faridsernamanjarres@gmail.com</t>
  </si>
  <si>
    <t>lalita_villa89@hotmail.com</t>
  </si>
  <si>
    <t>herrerabrian.06@gmail.com</t>
  </si>
  <si>
    <t>fefalopez30@gmail.com</t>
  </si>
  <si>
    <t>josecuello11@hotmail.com</t>
  </si>
  <si>
    <t>pedroza3@outlook.ees</t>
  </si>
  <si>
    <t>oiturreydelvalle@gmail.com</t>
  </si>
  <si>
    <t>juangarciadelahoz12@gmail.com</t>
  </si>
  <si>
    <t>tesoreria@inubac.com</t>
  </si>
  <si>
    <t>yandersondelahoz@gmail.com</t>
  </si>
  <si>
    <t>María Carolina Avendaño</t>
  </si>
  <si>
    <t>Simon Aranguren</t>
  </si>
  <si>
    <t>simonaranguren6@gmail.com</t>
  </si>
  <si>
    <t>david0620@hotmail.com</t>
  </si>
  <si>
    <t>Keiner José Schmalbach Solis</t>
  </si>
  <si>
    <t>ginag1496@gmail.com</t>
  </si>
  <si>
    <t>pagmartin1992@gmail.com</t>
  </si>
  <si>
    <t>andyag229@gmail.com</t>
  </si>
  <si>
    <t>cristof.901@gmail.com</t>
  </si>
  <si>
    <t>yudivarela03@gmail.com</t>
  </si>
  <si>
    <t>berriogenessaray@gmail.com</t>
  </si>
  <si>
    <t>genesisisaace@gmail.com</t>
  </si>
  <si>
    <t>a-mannsbach@hotmail.com</t>
  </si>
  <si>
    <t>judithdiaz795@hotmail.com</t>
  </si>
  <si>
    <t>gdgg1995@gmail.com</t>
  </si>
  <si>
    <t>annief12@gmail.com</t>
  </si>
  <si>
    <t>777.sobe@gmail.com</t>
  </si>
  <si>
    <t>ps.elisanaizzir@hotmail.com</t>
  </si>
  <si>
    <t>daniloabogado17@hotmail.com</t>
  </si>
  <si>
    <t xml:space="preserve">Valor Domicilio
</t>
  </si>
  <si>
    <t>Adela de char</t>
  </si>
  <si>
    <t>California</t>
  </si>
  <si>
    <t>Colina Campestre</t>
  </si>
  <si>
    <t>Conjunto Terra</t>
  </si>
  <si>
    <t>El Edén</t>
  </si>
  <si>
    <t>El Rubí</t>
  </si>
  <si>
    <t>El Valle</t>
  </si>
  <si>
    <t>Kalamary</t>
  </si>
  <si>
    <t>La Arboraya</t>
  </si>
  <si>
    <t>La Florida</t>
  </si>
  <si>
    <t>La Magdalena</t>
  </si>
  <si>
    <t>Las Colinas</t>
  </si>
  <si>
    <t>Las Terrazas</t>
  </si>
  <si>
    <t>Lipaya</t>
  </si>
  <si>
    <t>Los laureles</t>
  </si>
  <si>
    <t>Los Trupillos</t>
  </si>
  <si>
    <t>Pradomar</t>
  </si>
  <si>
    <t>Sabanilla</t>
  </si>
  <si>
    <t>San Nicolás</t>
  </si>
  <si>
    <t>San Roque</t>
  </si>
  <si>
    <t>Santa Helena</t>
  </si>
  <si>
    <t>Solaire Norte</t>
  </si>
  <si>
    <t>Tayrona</t>
  </si>
  <si>
    <t>Universal I</t>
  </si>
  <si>
    <t>Universal II</t>
  </si>
  <si>
    <t>Villa Blanca</t>
  </si>
  <si>
    <t>Villa del Carmén</t>
  </si>
  <si>
    <t>Villa del Este</t>
  </si>
  <si>
    <t>Zion Tower</t>
  </si>
  <si>
    <t>La chinita</t>
  </si>
  <si>
    <t>Puerto Colombia bajo orion</t>
  </si>
  <si>
    <t>Clinica la merced</t>
  </si>
  <si>
    <t>zoma 6</t>
  </si>
  <si>
    <t>Cementerio Jardines de paz</t>
  </si>
  <si>
    <t>Universidad Sergio Arboleda</t>
  </si>
  <si>
    <t>Pumarejo, soledad</t>
  </si>
  <si>
    <t>zona 2</t>
  </si>
  <si>
    <t>ID Empleado</t>
  </si>
  <si>
    <t>CargaHoy</t>
  </si>
  <si>
    <t>EMP001</t>
  </si>
  <si>
    <t>EMP002</t>
  </si>
  <si>
    <t>EMP003</t>
  </si>
  <si>
    <t>EMP004</t>
  </si>
  <si>
    <t>EMP005</t>
  </si>
  <si>
    <t>EMP006</t>
  </si>
  <si>
    <t>EMP007</t>
  </si>
  <si>
    <t>EMP008</t>
  </si>
  <si>
    <t>EMP009</t>
  </si>
  <si>
    <t>EMP010</t>
  </si>
  <si>
    <t>EMP011</t>
  </si>
  <si>
    <t>María Perez</t>
  </si>
  <si>
    <t>link</t>
  </si>
  <si>
    <t>https://lookerstudio.google.com/reporting/d08a04af-ed8e-4dde-a83c-90888bfde39d/page/cZ1eF</t>
  </si>
  <si>
    <t>https://lookerstudio.google.com/reporting/d08a04af-ed8e-4dde-a83c-90888bfde39d/page/p_mp7qxa6dzd</t>
  </si>
  <si>
    <t>HOY</t>
  </si>
  <si>
    <t>COD</t>
  </si>
  <si>
    <t>BASE</t>
  </si>
  <si>
    <t>PVP Unidad</t>
  </si>
  <si>
    <t>Cant</t>
  </si>
  <si>
    <t>Vendidas</t>
  </si>
  <si>
    <t>Ventas 2</t>
  </si>
  <si>
    <t>VENTA</t>
  </si>
  <si>
    <t>Admin</t>
  </si>
  <si>
    <t>Arreglo</t>
  </si>
  <si>
    <t>Vendidos</t>
  </si>
  <si>
    <t>Rango</t>
  </si>
  <si>
    <t>Flora Box Redonda 24 Rosas de Jardin M/17</t>
  </si>
  <si>
    <t>Flora Box Romantic Flores 12 Rosas M/18</t>
  </si>
  <si>
    <t>Flora Mini Plus Box Redonda M/21</t>
  </si>
  <si>
    <t>Flora Box Solitario Tulipan M/24</t>
  </si>
  <si>
    <t>Mini Box Orquidea M/22</t>
  </si>
  <si>
    <t>Mini Box Claveles M/23</t>
  </si>
  <si>
    <t>Canasto Aire M/1</t>
  </si>
  <si>
    <t>Canasto Lavanda M/3</t>
  </si>
  <si>
    <t>Bouquet Orquidea M/6</t>
  </si>
  <si>
    <t>Bouquet Aire M/7</t>
  </si>
  <si>
    <t>Bouquet Surtido M/5</t>
  </si>
  <si>
    <t>Bouquet 24 Rosas Rojas M/8</t>
  </si>
  <si>
    <t>Bouquet 12 Rosas Rojas M/9</t>
  </si>
  <si>
    <t>Bouquet 6 Rosas Rojas M/10</t>
  </si>
  <si>
    <t>Corazón Mediano Rosas M/11</t>
  </si>
  <si>
    <t>Corazón Mini Surtido M/12</t>
  </si>
  <si>
    <t>Guacal Hortensias M/13</t>
  </si>
  <si>
    <t>Canasto 24 Rosas + Orquideas M/2</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</si>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</sst>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m/yyyy\ h:mm:ss"/>
    <numFmt numFmtId="165" formatCode="m/d/yyyy\ h:mm:ss"/>
    <numFmt numFmtId="166" formatCode="yyyy\-mm\-dd"/>
    <numFmt numFmtId="167" formatCode="d/m/yyyy"/>
    <numFmt numFmtId="168" formatCode="dd/mm/yyyy"/>
    <numFmt numFmtId="169" formatCode="dd/mm/yy"/>
    <numFmt numFmtId="170" formatCode="dd/mm/yyyy\ h:mm:ss"/>
    <numFmt numFmtId="171" formatCode="_-&quot;$&quot;\ * #,##0_-;\-&quot;$&quot;\ * #,##0_-;_-&quot;$&quot;\ * &quot;-&quot;_-;_-@"/>
    <numFmt numFmtId="172" formatCode="dd\-mm\-yyyy"/>
    <numFmt numFmtId="173" formatCode="[$ $]#,##0"/>
    <numFmt numFmtId="174" formatCode="&quot;$&quot;#,##0.00"/>
  </numFmts>
  <fonts count="23">
    <font>
      <sz val="10"/>
      <color rgb="FF000000"/>
      <name val="Arial"/>
      <scheme val="minor"/>
    </font>
    <font>
      <b/>
      <sz val="10"/>
      <color theme="1"/>
      <name val="Arial"/>
    </font>
    <font>
      <b/>
      <sz val="10"/>
      <color theme="1"/>
      <name val="Arial"/>
      <scheme val="minor"/>
    </font>
    <font>
      <sz val="10"/>
      <color theme="1"/>
      <name val="Arial"/>
      <scheme val="minor"/>
    </font>
    <font>
      <u/>
      <sz val="10"/>
      <color rgb="FF0000FF"/>
      <name val="Arial"/>
    </font>
    <font>
      <sz val="10"/>
      <color theme="1"/>
      <name val="Arial"/>
    </font>
    <font>
      <u/>
      <sz val="10"/>
      <color rgb="FF1155CC"/>
      <name val="Arial"/>
    </font>
    <font>
      <sz val="12"/>
      <color rgb="FF3C4043"/>
      <name val="Roboto"/>
    </font>
    <font>
      <b/>
      <sz val="12"/>
      <color rgb="FF202124"/>
      <name val="Roboto"/>
    </font>
    <font>
      <u/>
      <sz val="10"/>
      <color rgb="FF1155CC"/>
      <name val="Arial"/>
    </font>
    <font>
      <sz val="11"/>
      <color rgb="FF000000"/>
      <name val="Calibri"/>
    </font>
    <font>
      <u/>
      <sz val="10"/>
      <color rgb="FF0000FF"/>
      <name val="Arial"/>
    </font>
    <font>
      <u/>
      <sz val="10"/>
      <color rgb="FF0000FF"/>
      <name val="Arial"/>
    </font>
    <font>
      <u/>
      <sz val="10"/>
      <color rgb="FF0000FF"/>
      <name val="Arial"/>
    </font>
    <font>
      <b/>
      <sz val="11"/>
      <color rgb="FF333333"/>
      <name val="Inter"/>
    </font>
    <font>
      <sz val="11"/>
      <color theme="1"/>
      <name val="Calibri"/>
    </font>
    <font>
      <b/>
      <sz val="11"/>
      <color rgb="FF000000"/>
      <name val="Calibri"/>
    </font>
    <font>
      <b/>
      <sz val="12"/>
      <color theme="1"/>
      <name val="Calibri"/>
    </font>
    <font>
      <b/>
      <sz val="12"/>
      <color rgb="FFFF0000"/>
      <name val="Calibri"/>
    </font>
    <font>
      <sz val="12"/>
      <color theme="1"/>
      <name val="Calibri"/>
    </font>
    <font>
      <sz val="12"/>
      <color rgb="FF0000FF"/>
      <name val="Calibri"/>
    </font>
    <font>
      <sz val="12"/>
      <color rgb="FFFF0000"/>
      <name val="Calibri"/>
    </font>
    <font>
      <b/>
      <sz val="11"/>
      <color theme="1"/>
      <name val="Calibri"/>
    </font>
  </fonts>
  <fills count="6">
    <fill>
      <patternFill patternType="none"/>
    </fill>
    <fill>
      <patternFill patternType="gray125"/>
    </fill>
    <fill>
      <patternFill patternType="solid">
        <fgColor rgb="FFFFFFFF"/>
        <bgColor rgb="FFFFFFFF"/>
      </patternFill>
    </fill>
    <fill>
      <patternFill patternType="solid">
        <fgColor rgb="FF93C47D"/>
        <bgColor rgb="FF93C47D"/>
      </patternFill>
    </fill>
    <fill>
      <patternFill patternType="solid">
        <fgColor rgb="FF9FC5E8"/>
        <bgColor rgb="FF9FC5E8"/>
      </patternFill>
    </fill>
    <fill>
      <patternFill patternType="solid">
        <fgColor rgb="FFFBE4D5"/>
        <bgColor rgb="FFFBE4D5"/>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92">
    <xf numFmtId="0" fontId="0" fillId="0" borderId="0" xfId="0"/>
    <xf numFmtId="0" fontId="1" fillId="0" borderId="0" xfId="0" applyFont="1"/>
    <xf numFmtId="164" fontId="1" fillId="0" borderId="0" xfId="0" applyNumberFormat="1" applyFont="1"/>
    <xf numFmtId="0" fontId="2" fillId="0" borderId="0" xfId="0" applyFont="1"/>
    <xf numFmtId="165" fontId="3" fillId="0" borderId="0" xfId="0" applyNumberFormat="1" applyFont="1"/>
    <xf numFmtId="0" fontId="3" fillId="0" borderId="0" xfId="0" applyFont="1"/>
    <xf numFmtId="166" fontId="3" fillId="0" borderId="0" xfId="0" applyNumberFormat="1" applyFont="1"/>
    <xf numFmtId="20" fontId="3" fillId="0" borderId="0" xfId="0" applyNumberFormat="1" applyFont="1"/>
    <xf numFmtId="0" fontId="4" fillId="0" borderId="0" xfId="0" applyFont="1"/>
    <xf numFmtId="164" fontId="3" fillId="0" borderId="0" xfId="0" applyNumberFormat="1" applyFont="1"/>
    <xf numFmtId="0" fontId="3" fillId="0" borderId="0" xfId="0" quotePrefix="1" applyFont="1"/>
    <xf numFmtId="21" fontId="3" fillId="0" borderId="0" xfId="0" applyNumberFormat="1" applyFont="1"/>
    <xf numFmtId="167" fontId="3" fillId="0" borderId="0" xfId="0" applyNumberFormat="1" applyFont="1"/>
    <xf numFmtId="168" fontId="3" fillId="0" borderId="0" xfId="0" applyNumberFormat="1" applyFont="1"/>
    <xf numFmtId="165" fontId="5" fillId="0" borderId="0" xfId="0" applyNumberFormat="1" applyFont="1" applyAlignment="1">
      <alignment horizontal="right"/>
    </xf>
    <xf numFmtId="0" fontId="5" fillId="0" borderId="0" xfId="0" applyFont="1" applyAlignment="1">
      <alignment horizontal="right"/>
    </xf>
    <xf numFmtId="0" fontId="5" fillId="0" borderId="0" xfId="0" applyFont="1"/>
    <xf numFmtId="0" fontId="5" fillId="0" borderId="0" xfId="0" quotePrefix="1" applyFont="1" applyAlignment="1">
      <alignment horizontal="right"/>
    </xf>
    <xf numFmtId="166" fontId="5" fillId="0" borderId="0" xfId="0" applyNumberFormat="1" applyFont="1" applyAlignment="1">
      <alignment horizontal="right"/>
    </xf>
    <xf numFmtId="20" fontId="5" fillId="0" borderId="0" xfId="0" applyNumberFormat="1" applyFont="1" applyAlignment="1">
      <alignment horizontal="right"/>
    </xf>
    <xf numFmtId="0" fontId="6" fillId="0" borderId="0" xfId="0" applyFont="1"/>
    <xf numFmtId="3" fontId="3" fillId="0" borderId="0" xfId="0" applyNumberFormat="1" applyFont="1"/>
    <xf numFmtId="169" fontId="3" fillId="0" borderId="0" xfId="0" applyNumberFormat="1" applyFont="1"/>
    <xf numFmtId="170" fontId="3" fillId="0" borderId="0" xfId="0" applyNumberFormat="1" applyFont="1"/>
    <xf numFmtId="0" fontId="1" fillId="0" borderId="0" xfId="0" applyFont="1" applyAlignment="1">
      <alignment horizontal="right"/>
    </xf>
    <xf numFmtId="0" fontId="7" fillId="2" borderId="0" xfId="0" applyFont="1" applyFill="1"/>
    <xf numFmtId="11" fontId="3" fillId="0" borderId="0" xfId="0" applyNumberFormat="1" applyFont="1"/>
    <xf numFmtId="0" fontId="8" fillId="2" borderId="0" xfId="0" applyFont="1" applyFill="1"/>
    <xf numFmtId="167" fontId="7" fillId="2" borderId="0" xfId="0" applyNumberFormat="1" applyFont="1" applyFill="1"/>
    <xf numFmtId="21" fontId="7" fillId="2" borderId="0" xfId="0" applyNumberFormat="1" applyFont="1" applyFill="1"/>
    <xf numFmtId="164" fontId="2" fillId="0" borderId="0" xfId="0" applyNumberFormat="1" applyFont="1"/>
    <xf numFmtId="0" fontId="2" fillId="0" borderId="0" xfId="0" applyFont="1" applyAlignment="1">
      <alignment horizontal="center"/>
    </xf>
    <xf numFmtId="0" fontId="5" fillId="3" borderId="0" xfId="0" applyFont="1" applyFill="1" applyAlignment="1">
      <alignment horizontal="right"/>
    </xf>
    <xf numFmtId="0" fontId="9" fillId="0" borderId="0" xfId="0" applyFont="1"/>
    <xf numFmtId="0" fontId="10" fillId="0" borderId="0" xfId="0" applyFont="1" applyAlignment="1">
      <alignment horizontal="right"/>
    </xf>
    <xf numFmtId="0" fontId="11" fillId="0" borderId="0" xfId="0" applyFont="1"/>
    <xf numFmtId="0" fontId="3" fillId="3" borderId="0" xfId="0" applyFont="1" applyFill="1"/>
    <xf numFmtId="0" fontId="12" fillId="0" borderId="0" xfId="0" applyFont="1"/>
    <xf numFmtId="0" fontId="13" fillId="0" borderId="0" xfId="0" applyFont="1"/>
    <xf numFmtId="0" fontId="14" fillId="2" borderId="0" xfId="0" applyFont="1" applyFill="1" applyAlignment="1">
      <alignment horizontal="center"/>
    </xf>
    <xf numFmtId="0" fontId="3" fillId="4" borderId="0" xfId="0" applyFont="1" applyFill="1"/>
    <xf numFmtId="0" fontId="1" fillId="0" borderId="0" xfId="0" applyFont="1" applyAlignment="1">
      <alignment horizontal="center"/>
    </xf>
    <xf numFmtId="0" fontId="15" fillId="0" borderId="1" xfId="0" applyFont="1" applyBorder="1" applyAlignment="1">
      <alignment horizontal="center"/>
    </xf>
    <xf numFmtId="171" fontId="15" fillId="2" borderId="1" xfId="0" applyNumberFormat="1" applyFont="1" applyFill="1" applyBorder="1" applyAlignment="1">
      <alignment horizontal="center"/>
    </xf>
    <xf numFmtId="0" fontId="3" fillId="0" borderId="0" xfId="0" applyFont="1" applyAlignment="1">
      <alignment horizontal="right"/>
    </xf>
    <xf numFmtId="0" fontId="15" fillId="2" borderId="1" xfId="0" applyFont="1" applyFill="1" applyBorder="1" applyAlignment="1">
      <alignment horizontal="center"/>
    </xf>
    <xf numFmtId="171" fontId="15" fillId="2" borderId="1" xfId="0" applyNumberFormat="1" applyFont="1" applyFill="1" applyBorder="1"/>
    <xf numFmtId="0" fontId="15" fillId="0" borderId="1" xfId="0" applyFont="1" applyBorder="1"/>
    <xf numFmtId="171" fontId="15" fillId="0" borderId="1" xfId="0" applyNumberFormat="1" applyFont="1" applyBorder="1" applyAlignment="1">
      <alignment horizontal="right"/>
    </xf>
    <xf numFmtId="49" fontId="1" fillId="0" borderId="0" xfId="0" applyNumberFormat="1" applyFont="1" applyAlignment="1">
      <alignment horizontal="center"/>
    </xf>
    <xf numFmtId="49" fontId="3" fillId="0" borderId="0" xfId="0" applyNumberFormat="1" applyFont="1"/>
    <xf numFmtId="168" fontId="5" fillId="0" borderId="0" xfId="0" applyNumberFormat="1" applyFont="1" applyAlignment="1">
      <alignment horizontal="right"/>
    </xf>
    <xf numFmtId="49" fontId="3" fillId="0" borderId="0" xfId="0" quotePrefix="1" applyNumberFormat="1" applyFont="1"/>
    <xf numFmtId="0" fontId="15" fillId="0" borderId="0" xfId="0" applyFont="1"/>
    <xf numFmtId="49" fontId="15" fillId="0" borderId="0" xfId="0" applyNumberFormat="1" applyFont="1"/>
    <xf numFmtId="0" fontId="15" fillId="0" borderId="0" xfId="0" applyFont="1" applyAlignment="1">
      <alignment horizontal="right"/>
    </xf>
    <xf numFmtId="172" fontId="3" fillId="0" borderId="0" xfId="0" applyNumberFormat="1" applyFont="1"/>
    <xf numFmtId="3" fontId="1" fillId="0" borderId="0" xfId="0" applyNumberFormat="1" applyFont="1"/>
    <xf numFmtId="0" fontId="16" fillId="0" borderId="0" xfId="0" applyFont="1"/>
    <xf numFmtId="0" fontId="10" fillId="0" borderId="0" xfId="0" applyFont="1"/>
    <xf numFmtId="3" fontId="10" fillId="0" borderId="0" xfId="0" applyNumberFormat="1" applyFont="1" applyAlignment="1">
      <alignment horizontal="right"/>
    </xf>
    <xf numFmtId="0" fontId="10" fillId="2" borderId="0" xfId="0" applyFont="1" applyFill="1"/>
    <xf numFmtId="3" fontId="10" fillId="2" borderId="0" xfId="0" applyNumberFormat="1" applyFont="1" applyFill="1" applyAlignment="1">
      <alignment horizontal="right"/>
    </xf>
    <xf numFmtId="3" fontId="5" fillId="0" borderId="0" xfId="0" applyNumberFormat="1" applyFont="1" applyAlignment="1">
      <alignment horizontal="right"/>
    </xf>
    <xf numFmtId="0" fontId="10" fillId="2" borderId="2" xfId="0" applyFont="1" applyFill="1" applyBorder="1"/>
    <xf numFmtId="0" fontId="10" fillId="2" borderId="3" xfId="0" applyFont="1" applyFill="1" applyBorder="1"/>
    <xf numFmtId="3" fontId="10" fillId="2" borderId="3" xfId="0" applyNumberFormat="1" applyFont="1" applyFill="1" applyBorder="1" applyAlignment="1">
      <alignment horizontal="right"/>
    </xf>
    <xf numFmtId="0" fontId="10" fillId="0" borderId="3" xfId="0" applyFont="1" applyBorder="1"/>
    <xf numFmtId="3" fontId="10" fillId="0" borderId="3" xfId="0" applyNumberFormat="1" applyFont="1" applyBorder="1" applyAlignment="1">
      <alignment horizontal="right"/>
    </xf>
    <xf numFmtId="167" fontId="3" fillId="0" borderId="0" xfId="0" applyNumberFormat="1" applyFont="1" applyAlignment="1">
      <alignment horizontal="center"/>
    </xf>
    <xf numFmtId="0" fontId="5" fillId="0" borderId="1" xfId="0" applyFont="1" applyBorder="1"/>
    <xf numFmtId="173" fontId="17" fillId="5" borderId="1" xfId="0" applyNumberFormat="1" applyFont="1" applyFill="1" applyBorder="1" applyAlignment="1">
      <alignment horizontal="center" wrapText="1"/>
    </xf>
    <xf numFmtId="3" fontId="5" fillId="0" borderId="0" xfId="0" applyNumberFormat="1" applyFont="1" applyAlignment="1">
      <alignment horizontal="center"/>
    </xf>
    <xf numFmtId="3" fontId="18" fillId="5" borderId="1" xfId="0" applyNumberFormat="1" applyFont="1" applyFill="1" applyBorder="1" applyAlignment="1">
      <alignment horizontal="center"/>
    </xf>
    <xf numFmtId="0" fontId="17" fillId="5" borderId="1" xfId="0" applyFont="1" applyFill="1" applyBorder="1" applyAlignment="1">
      <alignment horizontal="center"/>
    </xf>
    <xf numFmtId="4" fontId="3" fillId="0" borderId="0" xfId="0" applyNumberFormat="1" applyFont="1"/>
    <xf numFmtId="0" fontId="17" fillId="2" borderId="4" xfId="0" applyFont="1" applyFill="1" applyBorder="1" applyAlignment="1">
      <alignment horizontal="center"/>
    </xf>
    <xf numFmtId="0" fontId="18" fillId="5" borderId="4" xfId="0" applyFont="1" applyFill="1" applyBorder="1" applyAlignment="1">
      <alignment horizontal="center"/>
    </xf>
    <xf numFmtId="3" fontId="19" fillId="2" borderId="1" xfId="0" applyNumberFormat="1" applyFont="1" applyFill="1" applyBorder="1" applyAlignment="1">
      <alignment horizontal="center"/>
    </xf>
    <xf numFmtId="3" fontId="5" fillId="0" borderId="1" xfId="0" applyNumberFormat="1" applyFont="1" applyBorder="1" applyAlignment="1">
      <alignment horizontal="right"/>
    </xf>
    <xf numFmtId="3" fontId="20" fillId="0" borderId="1" xfId="0" applyNumberFormat="1" applyFont="1" applyBorder="1" applyAlignment="1">
      <alignment horizontal="center"/>
    </xf>
    <xf numFmtId="4" fontId="5" fillId="0" borderId="1" xfId="0" applyNumberFormat="1" applyFont="1" applyBorder="1" applyAlignment="1">
      <alignment horizontal="right"/>
    </xf>
    <xf numFmtId="0" fontId="21" fillId="0" borderId="1" xfId="0" applyFont="1" applyBorder="1" applyAlignment="1">
      <alignment horizontal="center"/>
    </xf>
    <xf numFmtId="0" fontId="21" fillId="2" borderId="1" xfId="0" applyFont="1" applyFill="1" applyBorder="1" applyAlignment="1">
      <alignment horizontal="center"/>
    </xf>
    <xf numFmtId="0" fontId="22" fillId="2" borderId="1" xfId="0" applyFont="1" applyFill="1" applyBorder="1" applyAlignment="1">
      <alignment horizontal="center"/>
    </xf>
    <xf numFmtId="0" fontId="21" fillId="0" borderId="1" xfId="0" applyFont="1" applyBorder="1" applyAlignment="1">
      <alignment horizontal="right"/>
    </xf>
    <xf numFmtId="171" fontId="15" fillId="2" borderId="1" xfId="0" applyNumberFormat="1" applyFont="1" applyFill="1" applyBorder="1" applyAlignment="1">
      <alignment horizontal="right"/>
    </xf>
    <xf numFmtId="0" fontId="15" fillId="2" borderId="1" xfId="0" applyFont="1" applyFill="1" applyBorder="1"/>
    <xf numFmtId="0" fontId="20" fillId="0" borderId="1" xfId="0" applyFont="1" applyBorder="1" applyAlignment="1">
      <alignment horizontal="center"/>
    </xf>
    <xf numFmtId="174" fontId="5" fillId="0" borderId="1" xfId="0" applyNumberFormat="1" applyFont="1" applyBorder="1"/>
    <xf numFmtId="3" fontId="5" fillId="0" borderId="1" xfId="0" applyNumberFormat="1" applyFont="1" applyBorder="1" applyAlignment="1">
      <alignment horizontal="center"/>
    </xf>
    <xf numFmtId="3"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590550</xdr:colOff>
      <xdr:row>7</xdr:row>
      <xdr:rowOff>57150</xdr:rowOff>
    </xdr:from>
    <xdr:ext cx="2857500" cy="2857500"/>
    <mc:AlternateContent xmlns:mc="http://schemas.openxmlformats.org/markup-compatibility/2006" xmlns:sle15="http://schemas.microsoft.com/office/drawing/2012/slicer">
      <mc:Choice Requires="sle15">
        <xdr:graphicFrame macro="">
          <xdr:nvGraphicFramePr>
            <xdr:cNvPr id="2" name="Arreglo_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microsoft.com/office/drawing/2010/slicer">
              <sle:slicer xmlns:sle="http://schemas.microsoft.com/office/drawing/2010/slicer" name="Arreglo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Arregl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reglo_1" xr10:uid="{00000000-0014-0000-FFFF-FFFF01000000}" cache="SlicerCache_Table_1_Col_1" caption="Arreglo"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105">
  <autoFilter ref="A1:B105" xr:uid="{00000000-0009-0000-0100-000001000000}"/>
  <tableColumns count="2">
    <tableColumn id="1" xr3:uid="{00000000-0010-0000-0000-000001000000}" name="Arreglo"/>
    <tableColumn id="2" xr3:uid="{00000000-0010-0000-0000-000002000000}" name="Vendidos"/>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6" Type="http://schemas.openxmlformats.org/officeDocument/2006/relationships/hyperlink" Target="https://floraapp.s3.us-east-1.amazonaws.com/Imagen23.jpg" TargetMode="External"/><Relationship Id="rId21" Type="http://schemas.openxmlformats.org/officeDocument/2006/relationships/hyperlink" Target="https://floraapp.s3.us-east-1.amazonaws.com/Imagen18.jpg" TargetMode="External"/><Relationship Id="rId42" Type="http://schemas.openxmlformats.org/officeDocument/2006/relationships/hyperlink" Target="https://floraapp.s3.us-east-1.amazonaws.com/Imagen38.jpg" TargetMode="External"/><Relationship Id="rId47" Type="http://schemas.openxmlformats.org/officeDocument/2006/relationships/hyperlink" Target="https://floraapp.s3.us-east-1.amazonaws.com/Imagen43.jpg" TargetMode="External"/><Relationship Id="rId63" Type="http://schemas.openxmlformats.org/officeDocument/2006/relationships/hyperlink" Target="https://floraapp.s3.us-east-1.amazonaws.com/Imagen59.jpg" TargetMode="External"/><Relationship Id="rId68" Type="http://schemas.openxmlformats.org/officeDocument/2006/relationships/hyperlink" Target="https://floraapp.s3.us-east-1.amazonaws.com/Imagen64.jpg" TargetMode="External"/><Relationship Id="rId84" Type="http://schemas.openxmlformats.org/officeDocument/2006/relationships/hyperlink" Target="https://floraapp.s3.us-east-1.amazonaws.com/imagen_96.png" TargetMode="External"/><Relationship Id="rId89" Type="http://schemas.openxmlformats.org/officeDocument/2006/relationships/hyperlink" Target="https://floraapp.s3.us-east-1.amazonaws.com/imagen_101.png" TargetMode="External"/><Relationship Id="rId16" Type="http://schemas.openxmlformats.org/officeDocument/2006/relationships/hyperlink" Target="https://floraapp.s3.us-east-1.amazonaws.com/Imagen13.jpg" TargetMode="External"/><Relationship Id="rId107" Type="http://schemas.openxmlformats.org/officeDocument/2006/relationships/hyperlink" Target="https://floraapp.s3.us-east-1.amazonaws.com/Imagen93.jpg" TargetMode="External"/><Relationship Id="rId11" Type="http://schemas.openxmlformats.org/officeDocument/2006/relationships/hyperlink" Target="https://floraapp.s3.us-east-1.amazonaws.com/Imagen8.jpg" TargetMode="External"/><Relationship Id="rId32" Type="http://schemas.openxmlformats.org/officeDocument/2006/relationships/hyperlink" Target="https://floraapp.s3.us-east-1.amazonaws.com/Imagen28.jpg" TargetMode="External"/><Relationship Id="rId37" Type="http://schemas.openxmlformats.org/officeDocument/2006/relationships/hyperlink" Target="https://floraapp.s3.us-east-1.amazonaws.com/Imagen33.jpg" TargetMode="External"/><Relationship Id="rId53" Type="http://schemas.openxmlformats.org/officeDocument/2006/relationships/hyperlink" Target="https://floraapp.s3.us-east-1.amazonaws.com/Imagen49.jpg" TargetMode="External"/><Relationship Id="rId58" Type="http://schemas.openxmlformats.org/officeDocument/2006/relationships/hyperlink" Target="https://floraapp.s3.us-east-1.amazonaws.com/Imagen54.jpg" TargetMode="External"/><Relationship Id="rId74" Type="http://schemas.openxmlformats.org/officeDocument/2006/relationships/hyperlink" Target="https://floraapp.s3.us-east-1.amazonaws.com/Imagen70.jpg" TargetMode="External"/><Relationship Id="rId79" Type="http://schemas.openxmlformats.org/officeDocument/2006/relationships/hyperlink" Target="https://floraapp.s3.us-east-1.amazonaws.com/Imagen75.jpg" TargetMode="External"/><Relationship Id="rId102" Type="http://schemas.openxmlformats.org/officeDocument/2006/relationships/hyperlink" Target="https://floraapp.s3.us-east-1.amazonaws.com/Imagen89.jpg" TargetMode="External"/><Relationship Id="rId5" Type="http://schemas.openxmlformats.org/officeDocument/2006/relationships/hyperlink" Target="https://floraapp.s3.us-east-1.amazonaws.com/Imagen4.jpg" TargetMode="External"/><Relationship Id="rId90" Type="http://schemas.openxmlformats.org/officeDocument/2006/relationships/hyperlink" Target="https://flora-s3-bucket.s3.us-east-1.amazonaws.com/encanto_floral.jpeg" TargetMode="External"/><Relationship Id="rId95" Type="http://schemas.openxmlformats.org/officeDocument/2006/relationships/hyperlink" Target="https://floraapp.s3.us-east-1.amazonaws.com/Imagen82.jpg" TargetMode="External"/><Relationship Id="rId22" Type="http://schemas.openxmlformats.org/officeDocument/2006/relationships/hyperlink" Target="https://floraapp.s3.us-east-1.amazonaws.com/Imagen19.jpg" TargetMode="External"/><Relationship Id="rId27" Type="http://schemas.openxmlformats.org/officeDocument/2006/relationships/hyperlink" Target="https://floraapp.s3.us-east-1.amazonaws.com/Imagen24.jpg" TargetMode="External"/><Relationship Id="rId43" Type="http://schemas.openxmlformats.org/officeDocument/2006/relationships/hyperlink" Target="https://floraapp.s3.us-east-1.amazonaws.com/Imagen39.png" TargetMode="External"/><Relationship Id="rId48" Type="http://schemas.openxmlformats.org/officeDocument/2006/relationships/hyperlink" Target="https://floraapp.s3.us-east-1.amazonaws.com/Imagen44.jpg" TargetMode="External"/><Relationship Id="rId64" Type="http://schemas.openxmlformats.org/officeDocument/2006/relationships/hyperlink" Target="https://floraapp.s3.us-east-1.amazonaws.com/Imagen60.jpg" TargetMode="External"/><Relationship Id="rId69" Type="http://schemas.openxmlformats.org/officeDocument/2006/relationships/hyperlink" Target="https://floraapp.s3.us-east-1.amazonaws.com/Imagen65.jpg" TargetMode="External"/><Relationship Id="rId80" Type="http://schemas.openxmlformats.org/officeDocument/2006/relationships/hyperlink" Target="https://floraapp.s3.us-east-1.amazonaws.com/Imagen76.jpg" TargetMode="External"/><Relationship Id="rId85" Type="http://schemas.openxmlformats.org/officeDocument/2006/relationships/hyperlink" Target="https://floraapp.s3.us-east-1.amazonaws.com/Imagen41.jpg" TargetMode="External"/><Relationship Id="rId12" Type="http://schemas.openxmlformats.org/officeDocument/2006/relationships/hyperlink" Target="https://floraapp.s3.us-east-1.amazonaws.com/Imagen9.jpg" TargetMode="External"/><Relationship Id="rId17" Type="http://schemas.openxmlformats.org/officeDocument/2006/relationships/hyperlink" Target="https://floraapp.s3.us-east-1.amazonaws.com/Imagen14.jpg" TargetMode="External"/><Relationship Id="rId33" Type="http://schemas.openxmlformats.org/officeDocument/2006/relationships/hyperlink" Target="https://floraapp.s3.us-east-1.amazonaws.com/Imagen29.jpg" TargetMode="External"/><Relationship Id="rId38" Type="http://schemas.openxmlformats.org/officeDocument/2006/relationships/hyperlink" Target="https://floraapp.s3.us-east-1.amazonaws.com/Imagen34.jpg" TargetMode="External"/><Relationship Id="rId59" Type="http://schemas.openxmlformats.org/officeDocument/2006/relationships/hyperlink" Target="https://floraapp.s3.us-east-1.amazonaws.com/Imagen55.jpg" TargetMode="External"/><Relationship Id="rId103" Type="http://schemas.openxmlformats.org/officeDocument/2006/relationships/hyperlink" Target="https://floraapp.s3.us-east-1.amazonaws.com/Imagen90.jpg" TargetMode="External"/><Relationship Id="rId20" Type="http://schemas.openxmlformats.org/officeDocument/2006/relationships/hyperlink" Target="https://floraapp.s3.us-east-1.amazonaws.com/Imagen17.jpg" TargetMode="External"/><Relationship Id="rId41" Type="http://schemas.openxmlformats.org/officeDocument/2006/relationships/hyperlink" Target="https://floraapp.s3.us-east-1.amazonaws.com/Imagen37.jpg" TargetMode="External"/><Relationship Id="rId54" Type="http://schemas.openxmlformats.org/officeDocument/2006/relationships/hyperlink" Target="https://floraapp.s3.us-east-1.amazonaws.com/Imagen50.jpg" TargetMode="External"/><Relationship Id="rId62" Type="http://schemas.openxmlformats.org/officeDocument/2006/relationships/hyperlink" Target="https://floraapp.s3.us-east-1.amazonaws.com/Imagen58.png" TargetMode="External"/><Relationship Id="rId70" Type="http://schemas.openxmlformats.org/officeDocument/2006/relationships/hyperlink" Target="https://floraapp.s3.us-east-1.amazonaws.com/Imagen66.jpg" TargetMode="External"/><Relationship Id="rId75" Type="http://schemas.openxmlformats.org/officeDocument/2006/relationships/hyperlink" Target="https://floraapp.s3.us-east-1.amazonaws.com/Imagen71.jpg" TargetMode="External"/><Relationship Id="rId83" Type="http://schemas.openxmlformats.org/officeDocument/2006/relationships/hyperlink" Target="https://floraapp.s3.us-east-1.amazonaws.com/Imagen79.jpg" TargetMode="External"/><Relationship Id="rId88" Type="http://schemas.openxmlformats.org/officeDocument/2006/relationships/hyperlink" Target="https://floraapp.s3.us-east-1.amazonaws.com/imagen_100.png" TargetMode="External"/><Relationship Id="rId91" Type="http://schemas.openxmlformats.org/officeDocument/2006/relationships/hyperlink" Target="https://flora-s3-bucket.s3.us-east-1.amazonaws.com/sembrado.jpeg" TargetMode="External"/><Relationship Id="rId96" Type="http://schemas.openxmlformats.org/officeDocument/2006/relationships/hyperlink" Target="https://floraapp.s3.us-east-1.amazonaws.com/Imagen83.jpg" TargetMode="External"/><Relationship Id="rId1" Type="http://schemas.openxmlformats.org/officeDocument/2006/relationships/hyperlink" Target="https://floraapp.s3.us-east-1.amazonaws.com/personalizado_andrea.jpg" TargetMode="External"/><Relationship Id="rId6" Type="http://schemas.openxmlformats.org/officeDocument/2006/relationships/hyperlink" Target="https://floraapp.s3.us-east-1.amazonaws.com/Imagen5.jpg" TargetMode="External"/><Relationship Id="rId15" Type="http://schemas.openxmlformats.org/officeDocument/2006/relationships/hyperlink" Target="https://floraapp.s3.us-east-1.amazonaws.com/Imagen12.jpg" TargetMode="External"/><Relationship Id="rId23" Type="http://schemas.openxmlformats.org/officeDocument/2006/relationships/hyperlink" Target="https://floraapp.s3.us-east-1.amazonaws.com/Imagen20.jpg" TargetMode="External"/><Relationship Id="rId28" Type="http://schemas.openxmlformats.org/officeDocument/2006/relationships/hyperlink" Target="https://floraapp.s3.us-east-1.amazonaws.com/Imagen25.jpg" TargetMode="External"/><Relationship Id="rId36" Type="http://schemas.openxmlformats.org/officeDocument/2006/relationships/hyperlink" Target="https://floraapp.s3.us-east-1.amazonaws.com/Imagen32.jpg" TargetMode="External"/><Relationship Id="rId49" Type="http://schemas.openxmlformats.org/officeDocument/2006/relationships/hyperlink" Target="https://floraapp.s3.us-east-1.amazonaws.com/Imagen45.jpg" TargetMode="External"/><Relationship Id="rId57" Type="http://schemas.openxmlformats.org/officeDocument/2006/relationships/hyperlink" Target="https://floraapp.s3.us-east-1.amazonaws.com/Imagen53.jpg" TargetMode="External"/><Relationship Id="rId106" Type="http://schemas.openxmlformats.org/officeDocument/2006/relationships/hyperlink" Target="https://floraapp.s3.us-east-1.amazonaws.com/Imagen92.jpg" TargetMode="External"/><Relationship Id="rId10" Type="http://schemas.openxmlformats.org/officeDocument/2006/relationships/hyperlink" Target="https://floraapp.s3.us-east-1.amazonaws.com/Imagen7.jpg" TargetMode="External"/><Relationship Id="rId31" Type="http://schemas.openxmlformats.org/officeDocument/2006/relationships/hyperlink" Target="https://floraapp.s3.us-east-1.amazonaws.com/Imagen27.jpg" TargetMode="External"/><Relationship Id="rId44" Type="http://schemas.openxmlformats.org/officeDocument/2006/relationships/hyperlink" Target="https://floraapp.s3.us-east-1.amazonaws.com/Imagen40.jpg" TargetMode="External"/><Relationship Id="rId52" Type="http://schemas.openxmlformats.org/officeDocument/2006/relationships/hyperlink" Target="https://floraapp.s3.us-east-1.amazonaws.com/Imagen48.jpg" TargetMode="External"/><Relationship Id="rId60" Type="http://schemas.openxmlformats.org/officeDocument/2006/relationships/hyperlink" Target="https://floraapp.s3.us-east-1.amazonaws.com/Imagen56.jpg" TargetMode="External"/><Relationship Id="rId65" Type="http://schemas.openxmlformats.org/officeDocument/2006/relationships/hyperlink" Target="https://floraapp.s3.us-east-1.amazonaws.com/Imagen61.jpg" TargetMode="External"/><Relationship Id="rId73" Type="http://schemas.openxmlformats.org/officeDocument/2006/relationships/hyperlink" Target="https://floraapp.s3.us-east-1.amazonaws.com/Imagen69.jpg" TargetMode="External"/><Relationship Id="rId78" Type="http://schemas.openxmlformats.org/officeDocument/2006/relationships/hyperlink" Target="https://floraapp.s3.us-east-1.amazonaws.com/Imagen74.jpg" TargetMode="External"/><Relationship Id="rId81" Type="http://schemas.openxmlformats.org/officeDocument/2006/relationships/hyperlink" Target="https://floraapp.s3.us-east-1.amazonaws.com/Imagen77.jpg" TargetMode="External"/><Relationship Id="rId86" Type="http://schemas.openxmlformats.org/officeDocument/2006/relationships/hyperlink" Target="https://floraapp.s3.us-east-1.amazonaws.com/imagen_98.png" TargetMode="External"/><Relationship Id="rId94" Type="http://schemas.openxmlformats.org/officeDocument/2006/relationships/hyperlink" Target="https://floraapp.s3.us-east-1.amazonaws.com/Imagen81.jpg" TargetMode="External"/><Relationship Id="rId99" Type="http://schemas.openxmlformats.org/officeDocument/2006/relationships/hyperlink" Target="https://floraapp.s3.us-east-1.amazonaws.com/Imagen86.jpg" TargetMode="External"/><Relationship Id="rId101" Type="http://schemas.openxmlformats.org/officeDocument/2006/relationships/hyperlink" Target="https://floraapp.s3.us-east-1.amazonaws.com/Imagen88.jpg" TargetMode="External"/><Relationship Id="rId4" Type="http://schemas.openxmlformats.org/officeDocument/2006/relationships/hyperlink" Target="https://floraapp.s3.us-east-1.amazonaws.com/Imagen3.jpg" TargetMode="External"/><Relationship Id="rId9" Type="http://schemas.openxmlformats.org/officeDocument/2006/relationships/hyperlink" Target="https://floraapp.s3.us-east-1.amazonaws.com/Imagen6.png" TargetMode="External"/><Relationship Id="rId13" Type="http://schemas.openxmlformats.org/officeDocument/2006/relationships/hyperlink" Target="https://floraapp.s3.us-east-1.amazonaws.com/Imagen10.jpg" TargetMode="External"/><Relationship Id="rId18" Type="http://schemas.openxmlformats.org/officeDocument/2006/relationships/hyperlink" Target="https://floraapp.s3.us-east-1.amazonaws.com/Imagen15.jpg" TargetMode="External"/><Relationship Id="rId39" Type="http://schemas.openxmlformats.org/officeDocument/2006/relationships/hyperlink" Target="https://floraapp.s3.us-east-1.amazonaws.com/Imagen35.jpg" TargetMode="External"/><Relationship Id="rId34" Type="http://schemas.openxmlformats.org/officeDocument/2006/relationships/hyperlink" Target="https://floraapp.s3.us-east-1.amazonaws.com/Imagen30.jpg" TargetMode="External"/><Relationship Id="rId50" Type="http://schemas.openxmlformats.org/officeDocument/2006/relationships/hyperlink" Target="https://floraapp.s3.us-east-1.amazonaws.com/Imagen46.jpg" TargetMode="External"/><Relationship Id="rId55" Type="http://schemas.openxmlformats.org/officeDocument/2006/relationships/hyperlink" Target="https://floraapp.s3.us-east-1.amazonaws.com/Imagen51.jpg" TargetMode="External"/><Relationship Id="rId76" Type="http://schemas.openxmlformats.org/officeDocument/2006/relationships/hyperlink" Target="https://floraapp.s3.us-east-1.amazonaws.com/Imagen72.jpg" TargetMode="External"/><Relationship Id="rId97" Type="http://schemas.openxmlformats.org/officeDocument/2006/relationships/hyperlink" Target="https://floraapp.s3.us-east-1.amazonaws.com/Imagen84.jpg" TargetMode="External"/><Relationship Id="rId104" Type="http://schemas.openxmlformats.org/officeDocument/2006/relationships/hyperlink" Target="https://floraapp.s3.us-east-1.amazonaws.com/Imagen91.jpg" TargetMode="External"/><Relationship Id="rId7" Type="http://schemas.openxmlformats.org/officeDocument/2006/relationships/hyperlink" Target="https://flora-s3-bucket.s3.us-east-1.amazonaws.com/Flora+Box+Romantic+12+Rosas+v2.png" TargetMode="External"/><Relationship Id="rId71" Type="http://schemas.openxmlformats.org/officeDocument/2006/relationships/hyperlink" Target="https://floraapp.s3.us-east-1.amazonaws.com/Imagen67.jpg" TargetMode="External"/><Relationship Id="rId92" Type="http://schemas.openxmlformats.org/officeDocument/2006/relationships/hyperlink" Target="https://flora-s3-bucket.s3.us-east-1.amazonaws.com/mini_box_clavel_fucsia.jpeg" TargetMode="External"/><Relationship Id="rId2" Type="http://schemas.openxmlformats.org/officeDocument/2006/relationships/hyperlink" Target="https://floraapp.s3.us-east-1.amazonaws.com/Imagen1.jpg" TargetMode="External"/><Relationship Id="rId29" Type="http://schemas.openxmlformats.org/officeDocument/2006/relationships/hyperlink" Target="https://floraapp.s3.us-east-1.amazonaws.com/Imagen26.jpg" TargetMode="External"/><Relationship Id="rId24" Type="http://schemas.openxmlformats.org/officeDocument/2006/relationships/hyperlink" Target="https://floraapp.s3.us-east-1.amazonaws.com/Imagen21.jpg" TargetMode="External"/><Relationship Id="rId40" Type="http://schemas.openxmlformats.org/officeDocument/2006/relationships/hyperlink" Target="https://floraapp.s3.us-east-1.amazonaws.com/Imagen36.jpg" TargetMode="External"/><Relationship Id="rId45" Type="http://schemas.openxmlformats.org/officeDocument/2006/relationships/hyperlink" Target="https://floraapp.s3.us-east-1.amazonaws.com/Imagen41.jpg" TargetMode="External"/><Relationship Id="rId66" Type="http://schemas.openxmlformats.org/officeDocument/2006/relationships/hyperlink" Target="https://floraapp.s3.us-east-1.amazonaws.com/Imagen62.jpg" TargetMode="External"/><Relationship Id="rId87" Type="http://schemas.openxmlformats.org/officeDocument/2006/relationships/hyperlink" Target="https://floraapp.s3.us-east-1.amazonaws.com/Imagen62.jpg" TargetMode="External"/><Relationship Id="rId61" Type="http://schemas.openxmlformats.org/officeDocument/2006/relationships/hyperlink" Target="https://floraapp.s3.us-east-1.amazonaws.com/Imagen57.jpg" TargetMode="External"/><Relationship Id="rId82" Type="http://schemas.openxmlformats.org/officeDocument/2006/relationships/hyperlink" Target="https://floraapp.s3.us-east-1.amazonaws.com/Imagen78.jpg" TargetMode="External"/><Relationship Id="rId19" Type="http://schemas.openxmlformats.org/officeDocument/2006/relationships/hyperlink" Target="https://floraapp.s3.us-east-1.amazonaws.com/Imagen16.jpg" TargetMode="External"/><Relationship Id="rId14" Type="http://schemas.openxmlformats.org/officeDocument/2006/relationships/hyperlink" Target="https://floraapp.s3.us-east-1.amazonaws.com/Imagen11.jpg" TargetMode="External"/><Relationship Id="rId30" Type="http://schemas.openxmlformats.org/officeDocument/2006/relationships/hyperlink" Target="https://flora-s3-bucket.s3.us-east-1.amazonaws.com/21.+Flora+Box+plus+redonda+gerbera.png" TargetMode="External"/><Relationship Id="rId35" Type="http://schemas.openxmlformats.org/officeDocument/2006/relationships/hyperlink" Target="https://floraapp.s3.us-east-1.amazonaws.com/Imagen31.jpg" TargetMode="External"/><Relationship Id="rId56" Type="http://schemas.openxmlformats.org/officeDocument/2006/relationships/hyperlink" Target="https://floraapp.s3.us-east-1.amazonaws.com/Imagen52.jpg" TargetMode="External"/><Relationship Id="rId77" Type="http://schemas.openxmlformats.org/officeDocument/2006/relationships/hyperlink" Target="https://floraapp.s3.us-east-1.amazonaws.com/Imagen73.jpg" TargetMode="External"/><Relationship Id="rId100" Type="http://schemas.openxmlformats.org/officeDocument/2006/relationships/hyperlink" Target="https://floraapp.s3.us-east-1.amazonaws.com/Imagen87.jpg" TargetMode="External"/><Relationship Id="rId105" Type="http://schemas.openxmlformats.org/officeDocument/2006/relationships/hyperlink" Target="https://floraapp.s3.us-east-1.amazonaws.com/Imagen94.jpg" TargetMode="External"/><Relationship Id="rId8" Type="http://schemas.openxmlformats.org/officeDocument/2006/relationships/hyperlink" Target="https://floraapp.s3.us-east-1.amazonaws.com/Imagen5.jpg" TargetMode="External"/><Relationship Id="rId51" Type="http://schemas.openxmlformats.org/officeDocument/2006/relationships/hyperlink" Target="https://floraapp.s3.us-east-1.amazonaws.com/Imagen47.jpg" TargetMode="External"/><Relationship Id="rId72" Type="http://schemas.openxmlformats.org/officeDocument/2006/relationships/hyperlink" Target="https://floraapp.s3.us-east-1.amazonaws.com/Imagen68.jpg" TargetMode="External"/><Relationship Id="rId93" Type="http://schemas.openxmlformats.org/officeDocument/2006/relationships/hyperlink" Target="https://floraapp.s3.us-east-1.amazonaws.com/Imagen80.jpg" TargetMode="External"/><Relationship Id="rId98" Type="http://schemas.openxmlformats.org/officeDocument/2006/relationships/hyperlink" Target="https://floraapp.s3.us-east-1.amazonaws.com/Imagen85.jpg" TargetMode="External"/><Relationship Id="rId3" Type="http://schemas.openxmlformats.org/officeDocument/2006/relationships/hyperlink" Target="https://floraapp.s3.us-east-1.amazonaws.com/Imagen2.jpg" TargetMode="External"/><Relationship Id="rId25" Type="http://schemas.openxmlformats.org/officeDocument/2006/relationships/hyperlink" Target="https://floraapp.s3.us-east-1.amazonaws.com/Imagen22.jpg" TargetMode="External"/><Relationship Id="rId46" Type="http://schemas.openxmlformats.org/officeDocument/2006/relationships/hyperlink" Target="https://floraapp.s3.us-east-1.amazonaws.com/Imagen42.jpg" TargetMode="External"/><Relationship Id="rId67" Type="http://schemas.openxmlformats.org/officeDocument/2006/relationships/hyperlink" Target="https://floraapp.s3.us-east-1.amazonaws.com/Imagen63.jpg"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floraapp.s3.us-east-1.amazonaws.com/san_valentin/imagen_1.jpeg" TargetMode="External"/><Relationship Id="rId18" Type="http://schemas.openxmlformats.org/officeDocument/2006/relationships/hyperlink" Target="https://floraapp.s3.us-east-1.amazonaws.com/san_valentin/imagen_1.jpeg" TargetMode="External"/><Relationship Id="rId26" Type="http://schemas.openxmlformats.org/officeDocument/2006/relationships/hyperlink" Target="https://floraapp.s3.us-east-1.amazonaws.com/san_valentin/Ferrero_Rocher_8_und.jpeg" TargetMode="External"/><Relationship Id="rId3" Type="http://schemas.openxmlformats.org/officeDocument/2006/relationships/hyperlink" Target="https://floraapp.s3.us-east-1.amazonaws.com/san_valentin/imagen_1.jpeg" TargetMode="External"/><Relationship Id="rId21" Type="http://schemas.openxmlformats.org/officeDocument/2006/relationships/hyperlink" Target="https://floraapp.s3.us-east-1.amazonaws.com/san_valentin/imagen_1.jpeg" TargetMode="External"/><Relationship Id="rId7" Type="http://schemas.openxmlformats.org/officeDocument/2006/relationships/hyperlink" Target="https://floraapp.s3.us-east-1.amazonaws.com/san_valentin/imagen_1.jpeg" TargetMode="External"/><Relationship Id="rId12" Type="http://schemas.openxmlformats.org/officeDocument/2006/relationships/hyperlink" Target="https://floraapp.s3.us-east-1.amazonaws.com/san_valentin/imagen_1.jpeg" TargetMode="External"/><Relationship Id="rId17" Type="http://schemas.openxmlformats.org/officeDocument/2006/relationships/hyperlink" Target="https://floraapp.s3.us-east-1.amazonaws.com/san_valentin/imagen_1.jpeg" TargetMode="External"/><Relationship Id="rId25" Type="http://schemas.openxmlformats.org/officeDocument/2006/relationships/hyperlink" Target="https://floraapp.s3.us-east-1.amazonaws.com/san_valentin/Chocolates_Kisses_10_Und.jpeg" TargetMode="External"/><Relationship Id="rId33" Type="http://schemas.openxmlformats.org/officeDocument/2006/relationships/hyperlink" Target="https://floraapp.s3.us-east-1.amazonaws.com/san_valentin/Ambientador+120+ml.jpeg" TargetMode="External"/><Relationship Id="rId2" Type="http://schemas.openxmlformats.org/officeDocument/2006/relationships/hyperlink" Target="https://floraapp.s3.us-east-1.amazonaws.com/san_valentin/imagen_1.jpeg" TargetMode="External"/><Relationship Id="rId16" Type="http://schemas.openxmlformats.org/officeDocument/2006/relationships/hyperlink" Target="https://floraapp.s3.us-east-1.amazonaws.com/san_valentin/imagen_1.jpeg" TargetMode="External"/><Relationship Id="rId20" Type="http://schemas.openxmlformats.org/officeDocument/2006/relationships/hyperlink" Target="https://floraapp.s3.us-east-1.amazonaws.com/san_valentin/imagen_1.jpeg" TargetMode="External"/><Relationship Id="rId29" Type="http://schemas.openxmlformats.org/officeDocument/2006/relationships/hyperlink" Target="https://floraapp.s3.us-east-1.amazonaws.com/san_valentin/Vino+Blanco+Terra+Vega.jpeg" TargetMode="External"/><Relationship Id="rId1" Type="http://schemas.openxmlformats.org/officeDocument/2006/relationships/hyperlink" Target="https://floraapp.s3.us-east-1.amazonaws.com/san_valentin/imagen_1.jpeg" TargetMode="External"/><Relationship Id="rId6" Type="http://schemas.openxmlformats.org/officeDocument/2006/relationships/hyperlink" Target="https://floraapp.s3.us-east-1.amazonaws.com/san_valentin/imagen_1.jpeg" TargetMode="External"/><Relationship Id="rId11" Type="http://schemas.openxmlformats.org/officeDocument/2006/relationships/hyperlink" Target="https://floraapp.s3.us-east-1.amazonaws.com/san_valentin/imagen_1.jpeg" TargetMode="External"/><Relationship Id="rId24" Type="http://schemas.openxmlformats.org/officeDocument/2006/relationships/hyperlink" Target="https://floraapp.s3.us-east-1.amazonaws.com/san_valentin/imagen_1.jpeg" TargetMode="External"/><Relationship Id="rId32" Type="http://schemas.openxmlformats.org/officeDocument/2006/relationships/hyperlink" Target="https://floraapp.s3.us-east-1.amazonaws.com/san_valentin/Topper+I+love+You.jpeg" TargetMode="External"/><Relationship Id="rId5" Type="http://schemas.openxmlformats.org/officeDocument/2006/relationships/hyperlink" Target="https://floraapp.s3.us-east-1.amazonaws.com/san_valentin/imagen_1.jpeg" TargetMode="External"/><Relationship Id="rId15" Type="http://schemas.openxmlformats.org/officeDocument/2006/relationships/hyperlink" Target="https://floraapp.s3.us-east-1.amazonaws.com/san_valentin/imagen_1.jpeg" TargetMode="External"/><Relationship Id="rId23" Type="http://schemas.openxmlformats.org/officeDocument/2006/relationships/hyperlink" Target="https://floraapp.s3.us-east-1.amazonaws.com/san_valentin/imagen_1.jpeg" TargetMode="External"/><Relationship Id="rId28" Type="http://schemas.openxmlformats.org/officeDocument/2006/relationships/hyperlink" Target="https://floraapp.s3.us-east-1.amazonaws.com/san_valentin/Vino+Espumoso+JP.+Chenet++175+ml.jpeg" TargetMode="External"/><Relationship Id="rId10" Type="http://schemas.openxmlformats.org/officeDocument/2006/relationships/hyperlink" Target="https://floraapp.s3.us-east-1.amazonaws.com/san_valentin/imagen_1.jpeg" TargetMode="External"/><Relationship Id="rId19" Type="http://schemas.openxmlformats.org/officeDocument/2006/relationships/hyperlink" Target="https://floraapp.s3.us-east-1.amazonaws.com/san_valentin/imagen_1.jpeg" TargetMode="External"/><Relationship Id="rId31" Type="http://schemas.openxmlformats.org/officeDocument/2006/relationships/hyperlink" Target="https://floraapp.s3.us-east-1.amazonaws.com/san_valentin/Topper+Feliz+D%C3%ADa.jpeg" TargetMode="External"/><Relationship Id="rId4" Type="http://schemas.openxmlformats.org/officeDocument/2006/relationships/hyperlink" Target="https://floraapp.s3.us-east-1.amazonaws.com/san_valentin/imagen_1.jpeg" TargetMode="External"/><Relationship Id="rId9" Type="http://schemas.openxmlformats.org/officeDocument/2006/relationships/hyperlink" Target="https://floraapp.s3.us-east-1.amazonaws.com/san_valentin/imagen_1.jpeg" TargetMode="External"/><Relationship Id="rId14" Type="http://schemas.openxmlformats.org/officeDocument/2006/relationships/hyperlink" Target="https://floraapp.s3.us-east-1.amazonaws.com/san_valentin/imagen_1.jpeg" TargetMode="External"/><Relationship Id="rId22" Type="http://schemas.openxmlformats.org/officeDocument/2006/relationships/hyperlink" Target="https://floraapp.s3.us-east-1.amazonaws.com/san_valentin/imagen_1.jpeg" TargetMode="External"/><Relationship Id="rId27" Type="http://schemas.openxmlformats.org/officeDocument/2006/relationships/hyperlink" Target="https://floraapp.s3.us-east-1.amazonaws.com/san_valentin/Oso_de_Peluche.jpeg" TargetMode="External"/><Relationship Id="rId30" Type="http://schemas.openxmlformats.org/officeDocument/2006/relationships/hyperlink" Target="https://floraapp.s3.us-east-1.amazonaws.com/san_valentin/Vino+Tinto+Terra+Vega.jpeg" TargetMode="External"/><Relationship Id="rId8" Type="http://schemas.openxmlformats.org/officeDocument/2006/relationships/hyperlink" Target="https://floraapp.s3.us-east-1.amazonaws.com/Imagen50.jpg"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lookerstudio.google.com/reporting/d08a04af-ed8e-4dde-a83c-90888bfde39d/page/p_mp7qxa6dzd" TargetMode="External"/><Relationship Id="rId1" Type="http://schemas.openxmlformats.org/officeDocument/2006/relationships/hyperlink" Target="https://lookerstudio.google.com/reporting/d08a04af-ed8e-4dde-a83c-90888bfde39d/page/cZ1eF" TargetMode="External"/></Relationships>
</file>

<file path=xl/worksheets/_rels/sheet2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3879"/>
  <sheetViews>
    <sheetView tabSelected="1" workbookViewId="0">
      <pane ySplit="1" topLeftCell="A3295" activePane="bottomLeft" state="frozen"/>
      <selection pane="bottomLeft" activeCell="A2" sqref="A2:A3337"/>
    </sheetView>
  </sheetViews>
  <sheetFormatPr baseColWidth="10" defaultColWidth="12.6328125" defaultRowHeight="15.75" customHeight="1"/>
  <cols>
    <col min="1" max="1" width="17.6328125" bestFit="1" customWidth="1"/>
    <col min="2" max="2" width="9.453125" customWidth="1"/>
    <col min="3" max="3" width="13.6328125" customWidth="1"/>
    <col min="4" max="4" width="14" customWidth="1"/>
    <col min="5" max="5" width="7.90625" hidden="1" customWidth="1"/>
    <col min="6" max="6" width="21" customWidth="1"/>
    <col min="7" max="7" width="15" hidden="1" customWidth="1"/>
    <col min="8" max="8" width="17.453125" customWidth="1"/>
    <col min="9" max="9" width="28.90625" customWidth="1"/>
    <col min="10" max="11" width="14.90625" customWidth="1"/>
    <col min="12" max="12" width="35" customWidth="1"/>
    <col min="14" max="14" width="21.08984375" customWidth="1"/>
    <col min="15" max="15" width="16.7265625" customWidth="1"/>
    <col min="16" max="16" width="22.453125" customWidth="1"/>
    <col min="17" max="17" width="31.7265625" customWidth="1"/>
    <col min="24" max="24" width="18.90625" customWidth="1"/>
    <col min="28" max="28" width="46.26953125" customWidth="1"/>
    <col min="30" max="30" width="26.7265625" customWidth="1"/>
  </cols>
  <sheetData>
    <row r="1" spans="1:31" ht="13">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3" t="s">
        <v>23</v>
      </c>
      <c r="Y1" s="3" t="s">
        <v>24</v>
      </c>
      <c r="Z1" s="3" t="s">
        <v>25</v>
      </c>
      <c r="AA1" s="3" t="s">
        <v>26</v>
      </c>
      <c r="AB1" s="3" t="s">
        <v>27</v>
      </c>
      <c r="AC1" s="3" t="s">
        <v>28</v>
      </c>
      <c r="AD1" s="3" t="s">
        <v>29</v>
      </c>
      <c r="AE1" s="3"/>
    </row>
    <row r="2" spans="1:31" ht="12.5">
      <c r="A2" s="4">
        <v>46067.326355173616</v>
      </c>
      <c r="B2" s="5">
        <v>9999</v>
      </c>
      <c r="C2" s="5">
        <v>1045674390</v>
      </c>
      <c r="D2" s="5" t="s">
        <v>30</v>
      </c>
      <c r="F2" s="5" t="s">
        <v>31</v>
      </c>
      <c r="H2" s="5">
        <v>572412082838</v>
      </c>
      <c r="J2" s="5" t="s">
        <v>32</v>
      </c>
      <c r="K2" s="5" t="s">
        <v>33</v>
      </c>
      <c r="L2" s="5" t="s">
        <v>34</v>
      </c>
      <c r="M2" s="5">
        <v>2412082838</v>
      </c>
      <c r="N2" s="6">
        <v>46067</v>
      </c>
      <c r="O2" s="7">
        <v>0.375</v>
      </c>
      <c r="P2" s="5">
        <v>1</v>
      </c>
      <c r="Q2" s="5" t="s">
        <v>35</v>
      </c>
      <c r="R2" s="5">
        <v>130000</v>
      </c>
      <c r="S2" s="5">
        <v>0</v>
      </c>
      <c r="T2" s="5">
        <v>0</v>
      </c>
      <c r="U2" s="5">
        <v>130000</v>
      </c>
      <c r="V2" s="5"/>
      <c r="W2" s="5" t="s">
        <v>36</v>
      </c>
      <c r="X2" s="5" t="s">
        <v>37</v>
      </c>
      <c r="AA2" s="5" t="s">
        <v>37</v>
      </c>
      <c r="AB2" s="5" t="s">
        <v>38</v>
      </c>
      <c r="AC2" s="8" t="str">
        <f>HYPERLINK("https://drive.google.com/file/d/1qmL0wbaGgLHYPFfVrBd2RR-qXIP2pBVc/view?usp=drivesdk", "Abrir_Factura")</f>
        <v>Abrir_Factura</v>
      </c>
      <c r="AD2" s="9">
        <v>46067.327974537038</v>
      </c>
    </row>
    <row r="3" spans="1:31" ht="12.5">
      <c r="A3" s="4">
        <v>46065.739100104169</v>
      </c>
      <c r="B3" s="5">
        <v>20000</v>
      </c>
      <c r="C3" s="5">
        <v>1045745776</v>
      </c>
      <c r="D3" s="5" t="s">
        <v>39</v>
      </c>
      <c r="F3" s="5" t="s">
        <v>40</v>
      </c>
      <c r="H3" s="5">
        <v>57573002603555</v>
      </c>
      <c r="J3" s="5" t="s">
        <v>41</v>
      </c>
      <c r="K3" s="5" t="s">
        <v>33</v>
      </c>
      <c r="L3" s="5" t="s">
        <v>34</v>
      </c>
      <c r="M3" s="5"/>
      <c r="N3" s="6">
        <v>46065</v>
      </c>
      <c r="O3" s="7">
        <v>0</v>
      </c>
      <c r="P3" s="5">
        <v>1</v>
      </c>
      <c r="Q3" s="5" t="s">
        <v>42</v>
      </c>
      <c r="R3" s="5">
        <v>0</v>
      </c>
      <c r="S3" s="5">
        <v>0</v>
      </c>
      <c r="T3" s="5">
        <v>0</v>
      </c>
      <c r="U3" s="5">
        <v>0</v>
      </c>
      <c r="V3" s="5"/>
      <c r="W3" s="5" t="s">
        <v>36</v>
      </c>
      <c r="X3" s="5" t="s">
        <v>43</v>
      </c>
      <c r="AA3" s="5" t="s">
        <v>44</v>
      </c>
      <c r="AB3" s="5" t="s">
        <v>45</v>
      </c>
      <c r="AC3" s="5" t="str">
        <f>HYPERLINK("", "")</f>
        <v/>
      </c>
      <c r="AD3" s="9">
        <v>46065.739571759259</v>
      </c>
    </row>
    <row r="4" spans="1:31" ht="12.5">
      <c r="A4" s="4">
        <v>45980.425209872687</v>
      </c>
      <c r="B4" s="5">
        <v>89417</v>
      </c>
      <c r="C4" s="5">
        <v>1045674063</v>
      </c>
      <c r="D4" s="5" t="s">
        <v>46</v>
      </c>
      <c r="F4" s="5" t="s">
        <v>47</v>
      </c>
      <c r="H4" s="5">
        <v>573005140423</v>
      </c>
      <c r="J4" s="5" t="s">
        <v>48</v>
      </c>
      <c r="K4" s="5" t="s">
        <v>33</v>
      </c>
      <c r="L4" s="5" t="s">
        <v>49</v>
      </c>
      <c r="M4" s="5">
        <v>3005140423</v>
      </c>
      <c r="N4" s="6">
        <v>45980</v>
      </c>
      <c r="O4" s="7">
        <v>0.51041666666666663</v>
      </c>
      <c r="P4" s="5">
        <v>1</v>
      </c>
      <c r="Q4" s="5" t="s">
        <v>50</v>
      </c>
      <c r="R4" s="5">
        <v>200000</v>
      </c>
      <c r="S4" s="5">
        <v>0</v>
      </c>
      <c r="T4" s="5">
        <v>0</v>
      </c>
      <c r="U4" s="5">
        <v>200000</v>
      </c>
      <c r="W4" s="5" t="s">
        <v>36</v>
      </c>
      <c r="X4" s="5" t="s">
        <v>51</v>
      </c>
      <c r="Y4" s="5" t="s">
        <v>24</v>
      </c>
      <c r="Z4" s="5" t="s">
        <v>52</v>
      </c>
      <c r="AA4" s="5" t="s">
        <v>44</v>
      </c>
      <c r="AC4" s="8" t="str">
        <f>HYPERLINK("https://drive.google.com/file/d/1Q6HcOe5lc0OK6aSMgU05LI07r-6tGCWZ/view?usp=drivesdk","Abrir_Factura")</f>
        <v>Abrir_Factura</v>
      </c>
    </row>
    <row r="5" spans="1:31" ht="16.5" customHeight="1">
      <c r="A5" s="4">
        <v>45980.43206097222</v>
      </c>
      <c r="B5" s="5">
        <v>89420</v>
      </c>
      <c r="C5" s="5">
        <v>1143144308</v>
      </c>
      <c r="D5" s="5" t="s">
        <v>53</v>
      </c>
      <c r="F5" s="5" t="s">
        <v>54</v>
      </c>
      <c r="H5" s="5">
        <v>573007775110</v>
      </c>
      <c r="J5" s="5" t="s">
        <v>55</v>
      </c>
      <c r="L5" s="5" t="s">
        <v>56</v>
      </c>
      <c r="M5" s="5">
        <v>3003790967</v>
      </c>
      <c r="N5" s="6">
        <v>45980</v>
      </c>
      <c r="O5" s="7">
        <v>0.50416666666666665</v>
      </c>
      <c r="P5" s="5">
        <v>1</v>
      </c>
      <c r="Q5" s="5" t="s">
        <v>57</v>
      </c>
      <c r="R5" s="5">
        <v>120000</v>
      </c>
      <c r="S5" s="5">
        <v>0</v>
      </c>
      <c r="T5" s="5">
        <v>12000</v>
      </c>
      <c r="U5" s="5">
        <v>132000</v>
      </c>
      <c r="W5" s="5" t="s">
        <v>36</v>
      </c>
      <c r="X5" s="5" t="s">
        <v>58</v>
      </c>
      <c r="Y5" s="5" t="s">
        <v>24</v>
      </c>
      <c r="Z5" s="5" t="s">
        <v>59</v>
      </c>
      <c r="AA5" s="5" t="s">
        <v>44</v>
      </c>
      <c r="AC5" s="8" t="str">
        <f>HYPERLINK("https://drive.google.com/file/d/1zN5xtCMPCwxq8fnC_PznxBou3zBerbsX/view?usp=drivesdk","Abrir_Factura")</f>
        <v>Abrir_Factura</v>
      </c>
    </row>
    <row r="6" spans="1:31" ht="12.5">
      <c r="A6" s="4">
        <v>45980.457275729168</v>
      </c>
      <c r="B6" s="5">
        <v>89421</v>
      </c>
      <c r="C6" s="5">
        <v>32735597</v>
      </c>
      <c r="D6" s="5" t="s">
        <v>60</v>
      </c>
      <c r="F6" s="5" t="s">
        <v>61</v>
      </c>
      <c r="H6" s="5">
        <v>573145091990</v>
      </c>
      <c r="J6" s="5" t="s">
        <v>62</v>
      </c>
      <c r="K6" s="5" t="s">
        <v>63</v>
      </c>
      <c r="L6" s="5" t="s">
        <v>64</v>
      </c>
      <c r="M6" s="5">
        <v>3218539173</v>
      </c>
      <c r="N6" s="6">
        <v>45980</v>
      </c>
      <c r="O6" s="7">
        <v>0.54166666666666663</v>
      </c>
      <c r="P6" s="5">
        <v>1</v>
      </c>
      <c r="Q6" s="5" t="s">
        <v>65</v>
      </c>
      <c r="R6" s="5">
        <v>70000</v>
      </c>
      <c r="S6" s="5">
        <v>0</v>
      </c>
      <c r="T6" s="5">
        <v>17000</v>
      </c>
      <c r="U6" s="5">
        <v>87000</v>
      </c>
      <c r="V6" s="5" t="s">
        <v>66</v>
      </c>
      <c r="W6" s="5" t="s">
        <v>36</v>
      </c>
      <c r="X6" s="5" t="s">
        <v>67</v>
      </c>
      <c r="Y6" s="5" t="s">
        <v>24</v>
      </c>
      <c r="Z6" s="5" t="s">
        <v>68</v>
      </c>
      <c r="AA6" s="5" t="s">
        <v>69</v>
      </c>
      <c r="AC6" s="8" t="str">
        <f>HYPERLINK("https://drive.google.com/file/d/1KU2prUvP8dEaUqtzaTtjwR1yexNQ9IT2/view?usp=drivesdk","Abrir_Factura")</f>
        <v>Abrir_Factura</v>
      </c>
    </row>
    <row r="7" spans="1:31" ht="12.5">
      <c r="A7" s="4">
        <v>45980.345832951389</v>
      </c>
      <c r="B7" s="5">
        <v>89424</v>
      </c>
      <c r="C7" s="5">
        <v>1001822182</v>
      </c>
      <c r="D7" s="5" t="s">
        <v>70</v>
      </c>
      <c r="F7" s="5" t="s">
        <v>71</v>
      </c>
      <c r="H7" s="5">
        <v>573008608059</v>
      </c>
      <c r="J7" s="5" t="s">
        <v>72</v>
      </c>
      <c r="K7" s="5" t="s">
        <v>73</v>
      </c>
      <c r="L7" s="5" t="s">
        <v>74</v>
      </c>
      <c r="M7" s="5">
        <v>3008608059</v>
      </c>
      <c r="N7" s="6">
        <v>45982</v>
      </c>
      <c r="O7" s="7">
        <v>0.43125000000000002</v>
      </c>
      <c r="P7" s="5">
        <v>1</v>
      </c>
      <c r="Q7" s="5" t="s">
        <v>75</v>
      </c>
      <c r="R7" s="5">
        <v>70000</v>
      </c>
      <c r="S7" s="5">
        <v>0</v>
      </c>
      <c r="T7" s="5">
        <v>10000</v>
      </c>
      <c r="U7" s="5">
        <v>80000</v>
      </c>
      <c r="W7" s="5" t="s">
        <v>36</v>
      </c>
      <c r="X7" s="5" t="s">
        <v>67</v>
      </c>
      <c r="Y7" s="5" t="s">
        <v>24</v>
      </c>
      <c r="Z7" s="5" t="s">
        <v>72</v>
      </c>
      <c r="AA7" s="5" t="s">
        <v>44</v>
      </c>
      <c r="AC7" s="8" t="str">
        <f>HYPERLINK("https://drive.google.com/file/d/1imeBapqJ5ny9GZqKzW69TeypXPi6rjI8/view?usp=drivesdk", "Abrir_Factura")</f>
        <v>Abrir_Factura</v>
      </c>
    </row>
    <row r="8" spans="1:31" ht="12.5">
      <c r="A8" s="4">
        <v>45980.59318625</v>
      </c>
      <c r="B8" s="5">
        <v>89435</v>
      </c>
      <c r="C8" s="5">
        <v>60397017</v>
      </c>
      <c r="D8" s="5" t="s">
        <v>76</v>
      </c>
      <c r="F8" s="5" t="s">
        <v>77</v>
      </c>
      <c r="H8" s="5">
        <v>573012340135</v>
      </c>
      <c r="J8" s="5" t="s">
        <v>78</v>
      </c>
      <c r="K8" s="5" t="s">
        <v>79</v>
      </c>
      <c r="L8" s="5" t="s">
        <v>80</v>
      </c>
      <c r="M8" s="5">
        <v>3012340135</v>
      </c>
      <c r="N8" s="6">
        <v>45981</v>
      </c>
      <c r="O8" s="7">
        <v>0.47916666666666669</v>
      </c>
      <c r="P8" s="5">
        <v>1</v>
      </c>
      <c r="Q8" s="5" t="s">
        <v>81</v>
      </c>
      <c r="R8" s="5">
        <v>350000</v>
      </c>
      <c r="S8" s="5">
        <v>0</v>
      </c>
      <c r="T8" s="5">
        <v>10000</v>
      </c>
      <c r="U8" s="5">
        <v>360000</v>
      </c>
      <c r="V8" s="5" t="s">
        <v>82</v>
      </c>
      <c r="W8" s="5" t="s">
        <v>36</v>
      </c>
      <c r="X8" s="5" t="s">
        <v>83</v>
      </c>
      <c r="Y8" s="5" t="s">
        <v>24</v>
      </c>
      <c r="Z8" s="5"/>
      <c r="AA8" s="5" t="s">
        <v>69</v>
      </c>
      <c r="AC8" s="8" t="str">
        <f>HYPERLINK("https://drive.google.com/file/d/1JOWE6-h1OTfY4o5VSvwcoeevAVbqqzTV/view?usp=drivesdk","Abrir_Factura")</f>
        <v>Abrir_Factura</v>
      </c>
    </row>
    <row r="9" spans="1:31" ht="12.5">
      <c r="A9" s="4">
        <v>45981.548930740741</v>
      </c>
      <c r="B9" s="5">
        <v>89439</v>
      </c>
      <c r="C9" s="5">
        <v>72278234</v>
      </c>
      <c r="D9" s="5" t="s">
        <v>84</v>
      </c>
      <c r="F9" s="5" t="s">
        <v>85</v>
      </c>
      <c r="H9" s="5">
        <v>573004867681</v>
      </c>
      <c r="J9" s="5" t="s">
        <v>86</v>
      </c>
      <c r="K9" s="5" t="s">
        <v>87</v>
      </c>
      <c r="L9" s="5" t="s">
        <v>88</v>
      </c>
      <c r="M9" s="5">
        <v>3004867681</v>
      </c>
      <c r="N9" s="6">
        <v>45982</v>
      </c>
      <c r="O9" s="7">
        <v>0.375</v>
      </c>
      <c r="P9" s="5">
        <v>1</v>
      </c>
      <c r="Q9" s="5" t="s">
        <v>89</v>
      </c>
      <c r="R9" s="5">
        <v>150000</v>
      </c>
      <c r="S9" s="5">
        <v>0</v>
      </c>
      <c r="T9" s="5">
        <v>13000</v>
      </c>
      <c r="U9" s="5">
        <v>163000</v>
      </c>
      <c r="V9" s="5" t="s">
        <v>90</v>
      </c>
      <c r="W9" s="5" t="s">
        <v>36</v>
      </c>
      <c r="X9" s="5" t="s">
        <v>51</v>
      </c>
      <c r="Y9" s="5" t="s">
        <v>24</v>
      </c>
      <c r="Z9" s="5" t="s">
        <v>91</v>
      </c>
      <c r="AA9" s="5" t="s">
        <v>69</v>
      </c>
      <c r="AC9" s="8" t="str">
        <f>HYPERLINK("https://drive.google.com/file/d/1QG_abSdDR9pXi9vpYkZ5C5ymd8hE6ySA/view?usp=drivesdk","Abrir_Factura")</f>
        <v>Abrir_Factura</v>
      </c>
    </row>
    <row r="10" spans="1:31" ht="16.5" customHeight="1">
      <c r="A10" s="4">
        <v>45981.54313917824</v>
      </c>
      <c r="B10" s="5">
        <v>89440</v>
      </c>
      <c r="C10" s="5">
        <v>1139614281</v>
      </c>
      <c r="D10" s="5" t="s">
        <v>92</v>
      </c>
      <c r="F10" s="5" t="s">
        <v>93</v>
      </c>
      <c r="H10" s="5">
        <v>573003582590</v>
      </c>
      <c r="J10" s="5" t="s">
        <v>94</v>
      </c>
      <c r="K10" s="5" t="s">
        <v>73</v>
      </c>
      <c r="L10" s="5" t="s">
        <v>95</v>
      </c>
      <c r="M10" s="5">
        <v>3157412179</v>
      </c>
      <c r="N10" s="6">
        <v>45983</v>
      </c>
      <c r="O10" s="7">
        <v>0.33333333333333331</v>
      </c>
      <c r="P10" s="5">
        <v>1</v>
      </c>
      <c r="Q10" s="5" t="s">
        <v>96</v>
      </c>
      <c r="R10" s="5">
        <v>220000</v>
      </c>
      <c r="S10" s="5">
        <v>0</v>
      </c>
      <c r="T10" s="5">
        <v>10000</v>
      </c>
      <c r="U10" s="5">
        <v>230000</v>
      </c>
      <c r="V10" s="5" t="s">
        <v>97</v>
      </c>
      <c r="W10" s="5" t="s">
        <v>36</v>
      </c>
      <c r="X10" s="5" t="s">
        <v>98</v>
      </c>
      <c r="Y10" s="5" t="s">
        <v>24</v>
      </c>
      <c r="Z10" s="5" t="s">
        <v>99</v>
      </c>
      <c r="AA10" s="5" t="s">
        <v>44</v>
      </c>
      <c r="AC10" s="8" t="str">
        <f>HYPERLINK("https://drive.google.com/file/d/1qk0cMmZLcnRbNeTRiCoQo8cqvdR5ODD5/view?usp=drivesdk","Abrir_Factura")</f>
        <v>Abrir_Factura</v>
      </c>
    </row>
    <row r="11" spans="1:31" ht="12.5">
      <c r="A11" s="4">
        <v>45981.637946851857</v>
      </c>
      <c r="B11" s="5">
        <v>89464</v>
      </c>
      <c r="C11" s="5">
        <v>1085165600</v>
      </c>
      <c r="D11" s="5" t="s">
        <v>100</v>
      </c>
      <c r="F11" s="5" t="s">
        <v>101</v>
      </c>
      <c r="H11" s="5">
        <v>573023562503</v>
      </c>
      <c r="J11" s="5" t="s">
        <v>102</v>
      </c>
      <c r="K11" s="5" t="s">
        <v>103</v>
      </c>
      <c r="L11" s="5" t="s">
        <v>104</v>
      </c>
      <c r="M11" s="5">
        <v>3023562503</v>
      </c>
      <c r="N11" s="6">
        <v>45982</v>
      </c>
      <c r="O11" s="7">
        <v>0.33333333333333331</v>
      </c>
      <c r="P11" s="5">
        <v>1</v>
      </c>
      <c r="Q11" s="5" t="s">
        <v>65</v>
      </c>
      <c r="R11" s="5">
        <v>70000</v>
      </c>
      <c r="S11" s="5">
        <v>0</v>
      </c>
      <c r="T11" s="5">
        <v>0</v>
      </c>
      <c r="U11" s="5">
        <v>70000</v>
      </c>
      <c r="V11" s="5" t="s">
        <v>105</v>
      </c>
      <c r="W11" s="5" t="s">
        <v>36</v>
      </c>
      <c r="X11" s="5" t="s">
        <v>83</v>
      </c>
      <c r="Y11" s="5" t="s">
        <v>24</v>
      </c>
      <c r="Z11" s="5" t="s">
        <v>106</v>
      </c>
      <c r="AA11" s="5" t="s">
        <v>69</v>
      </c>
      <c r="AC11" s="8" t="str">
        <f>HYPERLINK("https://drive.google.com/file/d/1xE9QAVo9UPYlWbUz-ZRnrk1l0MIID7xT/view?usp=drivesdk","Abrir_Factura")</f>
        <v>Abrir_Factura</v>
      </c>
    </row>
    <row r="12" spans="1:31" ht="15.75" customHeight="1">
      <c r="A12" s="4">
        <v>45982.330549340273</v>
      </c>
      <c r="B12" s="5">
        <v>89486</v>
      </c>
      <c r="C12" s="5">
        <v>1140892942</v>
      </c>
      <c r="D12" s="5" t="s">
        <v>107</v>
      </c>
      <c r="F12" s="5" t="s">
        <v>108</v>
      </c>
      <c r="H12" s="5">
        <v>573014656802</v>
      </c>
      <c r="J12" s="5" t="s">
        <v>109</v>
      </c>
      <c r="K12" s="5" t="s">
        <v>110</v>
      </c>
      <c r="L12" s="5" t="s">
        <v>111</v>
      </c>
      <c r="M12" s="5">
        <v>3014656802</v>
      </c>
      <c r="N12" s="6">
        <v>45983</v>
      </c>
      <c r="O12" s="7">
        <v>0.42708333333333331</v>
      </c>
      <c r="P12" s="5">
        <v>1</v>
      </c>
      <c r="Q12" s="5" t="s">
        <v>112</v>
      </c>
      <c r="R12" s="5">
        <v>260000</v>
      </c>
      <c r="S12" s="5">
        <v>0</v>
      </c>
      <c r="T12" s="5">
        <v>6000</v>
      </c>
      <c r="U12" s="5">
        <v>266000</v>
      </c>
      <c r="V12" s="5" t="s">
        <v>113</v>
      </c>
      <c r="W12" s="5" t="s">
        <v>36</v>
      </c>
      <c r="X12" s="5" t="s">
        <v>98</v>
      </c>
      <c r="Y12" s="5" t="s">
        <v>24</v>
      </c>
      <c r="Z12" s="5" t="s">
        <v>114</v>
      </c>
      <c r="AA12" s="5" t="s">
        <v>44</v>
      </c>
      <c r="AC12" s="8" t="str">
        <f>HYPERLINK("https://drive.google.com/file/d/1zkKAOl95l3oxp3Pm8x46EpnlOftDFTlN/view?usp=drivesdk","Abrir_Factura")</f>
        <v>Abrir_Factura</v>
      </c>
    </row>
    <row r="13" spans="1:31" ht="12.5">
      <c r="A13" s="4">
        <v>45982.330549340273</v>
      </c>
      <c r="B13" s="5">
        <v>89488</v>
      </c>
      <c r="C13" s="5">
        <v>7083919972</v>
      </c>
      <c r="D13" s="5" t="s">
        <v>115</v>
      </c>
      <c r="F13" s="5" t="s">
        <v>116</v>
      </c>
      <c r="H13" s="10" t="s">
        <v>117</v>
      </c>
      <c r="J13" s="5" t="s">
        <v>41</v>
      </c>
      <c r="K13" s="5" t="s">
        <v>33</v>
      </c>
      <c r="L13" s="5" t="s">
        <v>118</v>
      </c>
      <c r="M13" s="5" t="s">
        <v>119</v>
      </c>
      <c r="N13" s="6">
        <v>45982</v>
      </c>
      <c r="O13" s="7">
        <v>0.39390046296296294</v>
      </c>
      <c r="P13" s="5">
        <v>1</v>
      </c>
      <c r="Q13" s="5" t="s">
        <v>120</v>
      </c>
      <c r="R13" s="5">
        <v>120000</v>
      </c>
      <c r="T13" s="5">
        <v>0</v>
      </c>
      <c r="U13" s="5">
        <v>120000</v>
      </c>
      <c r="W13" s="5" t="s">
        <v>36</v>
      </c>
      <c r="X13" s="5" t="s">
        <v>51</v>
      </c>
      <c r="AA13" s="5" t="s">
        <v>44</v>
      </c>
      <c r="AC13" s="8" t="str">
        <f>HYPERLINK("https://drive.google.com/file/d/1cEUz--eJetbaruc7KpqAaq1TZiyPjLRe/view?usp=drivesdk","Abrir_Factura")</f>
        <v>Abrir_Factura</v>
      </c>
    </row>
    <row r="14" spans="1:31" ht="14.25" customHeight="1">
      <c r="A14" s="4">
        <v>45982.424731180552</v>
      </c>
      <c r="B14" s="5">
        <v>89491</v>
      </c>
      <c r="C14" s="5">
        <v>1001912485</v>
      </c>
      <c r="D14" s="5" t="s">
        <v>121</v>
      </c>
      <c r="F14" s="5" t="s">
        <v>122</v>
      </c>
      <c r="H14" s="5">
        <v>573045359056</v>
      </c>
      <c r="J14" s="5" t="s">
        <v>123</v>
      </c>
      <c r="K14" s="5" t="s">
        <v>124</v>
      </c>
      <c r="L14" s="5" t="s">
        <v>125</v>
      </c>
      <c r="M14" s="5" t="s">
        <v>126</v>
      </c>
      <c r="N14" s="6">
        <v>45982</v>
      </c>
      <c r="O14" s="7">
        <v>0.58333333333333337</v>
      </c>
      <c r="P14" s="5">
        <v>1</v>
      </c>
      <c r="Q14" s="5" t="s">
        <v>89</v>
      </c>
      <c r="R14" s="5">
        <v>150000</v>
      </c>
      <c r="S14" s="5">
        <v>0</v>
      </c>
      <c r="T14" s="5">
        <v>12000</v>
      </c>
      <c r="U14" s="5">
        <v>162000</v>
      </c>
      <c r="V14" s="5" t="s">
        <v>127</v>
      </c>
      <c r="W14" s="5" t="s">
        <v>36</v>
      </c>
      <c r="X14" s="5" t="s">
        <v>83</v>
      </c>
      <c r="Y14" s="5" t="s">
        <v>24</v>
      </c>
      <c r="Z14" s="5" t="s">
        <v>128</v>
      </c>
      <c r="AA14" s="5" t="s">
        <v>44</v>
      </c>
      <c r="AC14" s="8" t="str">
        <f>HYPERLINK("https://drive.google.com/file/d/1G3TdmmltYkdcNkWWYssb0Zl7KfTf_PKB/view?usp=drivesdk","Abrir_Factura")</f>
        <v>Abrir_Factura</v>
      </c>
    </row>
    <row r="15" spans="1:31" ht="12.5">
      <c r="A15" s="4">
        <v>45982.442358472224</v>
      </c>
      <c r="B15" s="5">
        <v>89492</v>
      </c>
      <c r="C15" s="5">
        <v>1010094699</v>
      </c>
      <c r="D15" s="5" t="s">
        <v>129</v>
      </c>
      <c r="F15" s="5" t="s">
        <v>130</v>
      </c>
      <c r="H15" s="5">
        <v>573008326249</v>
      </c>
      <c r="J15" s="5" t="s">
        <v>131</v>
      </c>
      <c r="K15" s="5" t="s">
        <v>73</v>
      </c>
      <c r="L15" s="5" t="s">
        <v>132</v>
      </c>
      <c r="M15" s="5">
        <v>3174273757</v>
      </c>
      <c r="N15" s="6">
        <v>45982</v>
      </c>
      <c r="O15" s="7">
        <v>0.58333333333333337</v>
      </c>
      <c r="P15" s="5">
        <v>1</v>
      </c>
      <c r="Q15" s="5" t="s">
        <v>133</v>
      </c>
      <c r="R15" s="5">
        <v>140000</v>
      </c>
      <c r="S15" s="5">
        <v>0</v>
      </c>
      <c r="T15" s="5">
        <v>10000</v>
      </c>
      <c r="U15" s="5">
        <v>150000</v>
      </c>
      <c r="V15" s="5" t="s">
        <v>134</v>
      </c>
      <c r="W15" s="5" t="s">
        <v>36</v>
      </c>
      <c r="X15" s="5" t="s">
        <v>83</v>
      </c>
      <c r="Y15" s="5" t="s">
        <v>24</v>
      </c>
      <c r="Z15" s="5" t="s">
        <v>135</v>
      </c>
      <c r="AA15" s="5" t="s">
        <v>44</v>
      </c>
      <c r="AC15" s="8" t="str">
        <f>HYPERLINK("https://drive.google.com/file/d/1m_-0GFq_FvrrLPsgg2K4_GHu9YAC7tXM/view?usp=drivesdk","Abrir_Factura")</f>
        <v>Abrir_Factura</v>
      </c>
    </row>
    <row r="16" spans="1:31" ht="12.5">
      <c r="A16" s="4">
        <v>45982.450966874996</v>
      </c>
      <c r="B16" s="5">
        <v>89495</v>
      </c>
      <c r="C16" s="5">
        <v>72260542</v>
      </c>
      <c r="D16" s="5" t="s">
        <v>136</v>
      </c>
      <c r="F16" s="5" t="s">
        <v>137</v>
      </c>
      <c r="H16" s="5">
        <v>573165266199</v>
      </c>
      <c r="J16" s="5" t="s">
        <v>138</v>
      </c>
      <c r="K16" s="5" t="s">
        <v>139</v>
      </c>
      <c r="L16" s="5" t="s">
        <v>140</v>
      </c>
      <c r="M16" s="5">
        <v>3158908107</v>
      </c>
      <c r="N16" s="6">
        <v>45982</v>
      </c>
      <c r="O16" s="7">
        <v>0.54166666666666663</v>
      </c>
      <c r="P16" s="5">
        <v>1</v>
      </c>
      <c r="Q16" s="5" t="s">
        <v>112</v>
      </c>
      <c r="R16" s="5">
        <v>260000</v>
      </c>
      <c r="S16" s="5">
        <v>0</v>
      </c>
      <c r="T16" s="5"/>
      <c r="U16" s="5">
        <v>260000</v>
      </c>
      <c r="V16" s="5" t="s">
        <v>141</v>
      </c>
      <c r="W16" s="5" t="s">
        <v>36</v>
      </c>
      <c r="X16" s="5" t="s">
        <v>83</v>
      </c>
      <c r="Y16" s="5" t="s">
        <v>24</v>
      </c>
      <c r="Z16" s="5" t="s">
        <v>142</v>
      </c>
      <c r="AA16" s="5" t="s">
        <v>69</v>
      </c>
      <c r="AC16" s="8" t="str">
        <f>HYPERLINK("https://drive.google.com/file/d/1vceMbwsfA7iPkG8BZh6A5JW_EzOEF9vh/view?usp=drivesdk","Abrir_Factura")</f>
        <v>Abrir_Factura</v>
      </c>
    </row>
    <row r="17" spans="1:29" ht="12.5">
      <c r="A17" s="4">
        <v>45982.468203819444</v>
      </c>
      <c r="B17" s="5">
        <v>89496</v>
      </c>
      <c r="C17" s="5">
        <v>22587251</v>
      </c>
      <c r="D17" s="5" t="s">
        <v>143</v>
      </c>
      <c r="F17" s="5" t="s">
        <v>144</v>
      </c>
      <c r="H17" s="5">
        <v>573026413479</v>
      </c>
      <c r="J17" s="5" t="s">
        <v>145</v>
      </c>
      <c r="K17" s="5" t="s">
        <v>146</v>
      </c>
      <c r="L17" s="5" t="s">
        <v>147</v>
      </c>
      <c r="M17" s="5">
        <v>3207505858</v>
      </c>
      <c r="N17" s="6">
        <v>45982</v>
      </c>
      <c r="O17" s="7">
        <v>0.55208333333333337</v>
      </c>
      <c r="P17" s="5">
        <v>1</v>
      </c>
      <c r="Q17" s="5" t="s">
        <v>148</v>
      </c>
      <c r="R17" s="5">
        <v>200000</v>
      </c>
      <c r="S17" s="5">
        <v>0</v>
      </c>
      <c r="T17" s="5">
        <v>12000</v>
      </c>
      <c r="U17" s="5">
        <v>212000</v>
      </c>
      <c r="V17" s="5" t="s">
        <v>149</v>
      </c>
      <c r="W17" s="5" t="s">
        <v>36</v>
      </c>
      <c r="X17" s="5" t="s">
        <v>83</v>
      </c>
      <c r="Y17" s="5" t="s">
        <v>24</v>
      </c>
      <c r="Z17" s="5" t="s">
        <v>150</v>
      </c>
      <c r="AA17" s="5" t="s">
        <v>69</v>
      </c>
      <c r="AC17" s="8" t="str">
        <f>HYPERLINK("https://drive.google.com/file/d/1_Yqu76zdRdRFO82Wex3BeyII0l_UwTbr/view?usp=drivesdk","Abrir_Factura")</f>
        <v>Abrir_Factura</v>
      </c>
    </row>
    <row r="18" spans="1:29" ht="12.5">
      <c r="A18" s="4">
        <v>45982.608295358797</v>
      </c>
      <c r="B18" s="5">
        <v>89519</v>
      </c>
      <c r="C18" s="5">
        <v>3232712</v>
      </c>
      <c r="D18" s="5" t="s">
        <v>151</v>
      </c>
      <c r="F18" s="5" t="s">
        <v>152</v>
      </c>
      <c r="H18" s="5">
        <v>573008943808</v>
      </c>
      <c r="J18" s="5" t="s">
        <v>153</v>
      </c>
      <c r="K18" s="5" t="s">
        <v>154</v>
      </c>
      <c r="L18" s="5" t="s">
        <v>155</v>
      </c>
      <c r="M18" s="5">
        <v>3008943808</v>
      </c>
      <c r="N18" s="6">
        <v>45982</v>
      </c>
      <c r="O18" s="7">
        <v>0.6791666666666667</v>
      </c>
      <c r="P18" s="5">
        <v>1</v>
      </c>
      <c r="Q18" s="5" t="s">
        <v>156</v>
      </c>
      <c r="R18" s="5">
        <v>70000</v>
      </c>
      <c r="S18" s="5">
        <v>0</v>
      </c>
      <c r="T18" s="5">
        <v>8000</v>
      </c>
      <c r="U18" s="5">
        <v>78000</v>
      </c>
      <c r="V18" s="5"/>
      <c r="W18" s="5" t="s">
        <v>36</v>
      </c>
      <c r="X18" s="5" t="s">
        <v>83</v>
      </c>
      <c r="Y18" s="5" t="s">
        <v>24</v>
      </c>
      <c r="Z18" s="5" t="s">
        <v>157</v>
      </c>
      <c r="AA18" s="5" t="s">
        <v>44</v>
      </c>
      <c r="AC18" s="8" t="str">
        <f>HYPERLINK("https://drive.google.com/file/d/1oRFB1tZr_F4EBUKidTRHupRrlbfO0NZy/view?usp=drivesdk","Abrir_Factura")</f>
        <v>Abrir_Factura</v>
      </c>
    </row>
    <row r="19" spans="1:29" ht="12.5">
      <c r="A19" s="4">
        <v>45983.442344178242</v>
      </c>
      <c r="B19" s="5">
        <v>89520</v>
      </c>
      <c r="C19" s="5">
        <v>1045730564</v>
      </c>
      <c r="D19" s="5" t="s">
        <v>158</v>
      </c>
      <c r="F19" s="5" t="s">
        <v>159</v>
      </c>
      <c r="H19" s="5">
        <v>573145381698</v>
      </c>
      <c r="J19" s="5" t="s">
        <v>160</v>
      </c>
      <c r="K19" s="5" t="s">
        <v>161</v>
      </c>
      <c r="L19" s="5" t="s">
        <v>162</v>
      </c>
      <c r="M19" s="5">
        <v>3135724647</v>
      </c>
      <c r="N19" s="6">
        <v>45983</v>
      </c>
      <c r="O19" s="7">
        <v>0.52569444444444446</v>
      </c>
      <c r="P19" s="5">
        <v>1</v>
      </c>
      <c r="Q19" s="5" t="s">
        <v>133</v>
      </c>
      <c r="R19" s="5">
        <v>140000</v>
      </c>
      <c r="S19" s="5">
        <v>0</v>
      </c>
      <c r="T19" s="5">
        <v>8000</v>
      </c>
      <c r="U19" s="5">
        <v>148000</v>
      </c>
      <c r="V19" s="5" t="s">
        <v>163</v>
      </c>
      <c r="W19" s="5" t="s">
        <v>36</v>
      </c>
      <c r="X19" s="5" t="s">
        <v>83</v>
      </c>
      <c r="Y19" s="5" t="s">
        <v>24</v>
      </c>
      <c r="Z19" s="5" t="s">
        <v>164</v>
      </c>
      <c r="AA19" s="5" t="s">
        <v>44</v>
      </c>
      <c r="AC19" s="8" t="str">
        <f>HYPERLINK("https://drive.google.com/file/d/1uolEE4B83xMrWfpQLP7Fponycx3YOhNe/view?usp=drivesdk","Abrir_Factura")</f>
        <v>Abrir_Factura</v>
      </c>
    </row>
    <row r="20" spans="1:29" ht="12.5">
      <c r="A20" s="4">
        <v>45983.450946504629</v>
      </c>
      <c r="B20" s="5">
        <v>89521</v>
      </c>
      <c r="C20" s="5">
        <v>1234097133</v>
      </c>
      <c r="D20" s="5" t="s">
        <v>165</v>
      </c>
      <c r="F20" s="5" t="s">
        <v>166</v>
      </c>
      <c r="H20" s="5">
        <v>573209485304</v>
      </c>
      <c r="J20" s="5" t="s">
        <v>167</v>
      </c>
      <c r="K20" s="5" t="s">
        <v>168</v>
      </c>
      <c r="L20" s="5" t="s">
        <v>169</v>
      </c>
      <c r="M20" s="5">
        <v>3103610622</v>
      </c>
      <c r="N20" s="6">
        <v>45983</v>
      </c>
      <c r="O20" s="7">
        <v>0.53680555555555554</v>
      </c>
      <c r="P20" s="5">
        <v>1</v>
      </c>
      <c r="Q20" s="5" t="s">
        <v>170</v>
      </c>
      <c r="R20" s="5">
        <v>300000</v>
      </c>
      <c r="S20" s="5">
        <v>0</v>
      </c>
      <c r="T20" s="5">
        <v>13000</v>
      </c>
      <c r="U20" s="5">
        <v>313000</v>
      </c>
      <c r="V20" s="5" t="s">
        <v>171</v>
      </c>
      <c r="W20" s="5" t="s">
        <v>36</v>
      </c>
      <c r="X20" s="5" t="s">
        <v>83</v>
      </c>
      <c r="Y20" s="5" t="s">
        <v>24</v>
      </c>
      <c r="Z20" s="5" t="s">
        <v>172</v>
      </c>
      <c r="AA20" s="5" t="s">
        <v>44</v>
      </c>
      <c r="AC20" s="8" t="str">
        <f>HYPERLINK("https://drive.google.com/file/d/13GCSg1K0PWp5Zn3nfmnoM3eZvYNsVtrh/view?usp=drivesdk","Abrir_Factura")</f>
        <v>Abrir_Factura</v>
      </c>
    </row>
    <row r="21" spans="1:29" ht="17.25" customHeight="1">
      <c r="A21" s="4">
        <v>45983.463661296293</v>
      </c>
      <c r="B21" s="5">
        <v>89524</v>
      </c>
      <c r="C21" s="5">
        <v>1047435678</v>
      </c>
      <c r="D21" s="5" t="s">
        <v>173</v>
      </c>
      <c r="F21" s="5" t="s">
        <v>174</v>
      </c>
      <c r="H21" s="5">
        <v>573003794847</v>
      </c>
      <c r="J21" s="5" t="s">
        <v>175</v>
      </c>
      <c r="K21" s="5" t="s">
        <v>176</v>
      </c>
      <c r="L21" s="5" t="s">
        <v>177</v>
      </c>
      <c r="M21" s="5">
        <v>3003927152</v>
      </c>
      <c r="N21" s="6">
        <v>45984</v>
      </c>
      <c r="O21" s="7">
        <v>0.4375</v>
      </c>
      <c r="P21" s="5">
        <v>1</v>
      </c>
      <c r="Q21" s="5" t="s">
        <v>178</v>
      </c>
      <c r="R21" s="5">
        <v>100000</v>
      </c>
      <c r="S21" s="5">
        <v>0</v>
      </c>
      <c r="T21" s="5">
        <v>30000</v>
      </c>
      <c r="U21" s="5">
        <v>130000</v>
      </c>
      <c r="V21" s="5" t="s">
        <v>179</v>
      </c>
      <c r="W21" s="5" t="s">
        <v>36</v>
      </c>
      <c r="X21" s="5" t="s">
        <v>180</v>
      </c>
      <c r="Y21" s="5" t="s">
        <v>24</v>
      </c>
      <c r="Z21" s="5" t="s">
        <v>181</v>
      </c>
      <c r="AA21" s="5" t="s">
        <v>69</v>
      </c>
      <c r="AC21" s="8" t="str">
        <f>HYPERLINK("https://drive.google.com/file/d/1p6eTW6iNvlPr1SXObNYJDYlSZOIP9Lwy/view?usp=drivesdk","Abrir_Factura")</f>
        <v>Abrir_Factura</v>
      </c>
    </row>
    <row r="22" spans="1:29" ht="12.5">
      <c r="A22" s="4">
        <v>45985.453055358797</v>
      </c>
      <c r="B22" s="5">
        <v>89576</v>
      </c>
      <c r="C22" s="5">
        <v>1234088982</v>
      </c>
      <c r="D22" s="5" t="s">
        <v>182</v>
      </c>
      <c r="F22" s="5" t="s">
        <v>183</v>
      </c>
      <c r="H22" s="5">
        <v>573183514405</v>
      </c>
      <c r="J22" s="5" t="s">
        <v>184</v>
      </c>
      <c r="K22" s="5" t="s">
        <v>185</v>
      </c>
      <c r="L22" s="5" t="s">
        <v>186</v>
      </c>
      <c r="M22" s="5">
        <v>3183514405</v>
      </c>
      <c r="N22" s="6">
        <v>45985</v>
      </c>
      <c r="O22" s="7">
        <v>0.48333333333333334</v>
      </c>
      <c r="P22" s="5">
        <v>1</v>
      </c>
      <c r="Q22" s="5" t="s">
        <v>187</v>
      </c>
      <c r="R22" s="5">
        <v>200000</v>
      </c>
      <c r="S22" s="5">
        <v>0</v>
      </c>
      <c r="T22" s="5">
        <v>8000</v>
      </c>
      <c r="U22" s="5">
        <v>208000</v>
      </c>
      <c r="V22" s="5" t="s">
        <v>188</v>
      </c>
      <c r="W22" s="5" t="s">
        <v>36</v>
      </c>
      <c r="X22" s="5" t="s">
        <v>83</v>
      </c>
      <c r="Y22" s="5" t="s">
        <v>24</v>
      </c>
      <c r="Z22" s="5" t="s">
        <v>189</v>
      </c>
      <c r="AA22" s="5" t="s">
        <v>44</v>
      </c>
      <c r="AC22" s="8" t="str">
        <f>HYPERLINK("https://drive.google.com/file/d/1dcNInDdlULATd4QMliLUobpA26YHwr_T/view?usp=drivesdk","Abrir_Factura")</f>
        <v>Abrir_Factura</v>
      </c>
    </row>
    <row r="23" spans="1:29" ht="12.5">
      <c r="A23" s="4">
        <v>45985.453055358797</v>
      </c>
      <c r="B23" s="5">
        <v>89577</v>
      </c>
      <c r="C23" s="5">
        <v>1129583788</v>
      </c>
      <c r="D23" s="5" t="s">
        <v>190</v>
      </c>
      <c r="F23" s="5" t="s">
        <v>191</v>
      </c>
      <c r="H23" s="5">
        <v>5712082705109</v>
      </c>
      <c r="J23" s="5" t="s">
        <v>192</v>
      </c>
      <c r="K23" s="5" t="s">
        <v>193</v>
      </c>
      <c r="L23" s="5" t="s">
        <v>194</v>
      </c>
      <c r="M23" s="5">
        <v>3168273246</v>
      </c>
      <c r="N23" s="6">
        <v>45985</v>
      </c>
      <c r="O23" s="7">
        <v>0.50972222222222219</v>
      </c>
      <c r="P23" s="5">
        <v>1</v>
      </c>
      <c r="Q23" s="5" t="s">
        <v>75</v>
      </c>
      <c r="R23" s="5">
        <v>70000</v>
      </c>
      <c r="S23" s="5">
        <v>0</v>
      </c>
      <c r="T23" s="5">
        <v>15000</v>
      </c>
      <c r="U23" s="5">
        <v>85000</v>
      </c>
      <c r="V23" s="5" t="s">
        <v>195</v>
      </c>
      <c r="W23" s="5" t="s">
        <v>36</v>
      </c>
      <c r="X23" s="5" t="s">
        <v>196</v>
      </c>
      <c r="Y23" s="5" t="s">
        <v>24</v>
      </c>
      <c r="Z23" s="5" t="s">
        <v>197</v>
      </c>
      <c r="AA23" s="5" t="s">
        <v>69</v>
      </c>
      <c r="AB23" s="5" t="s">
        <v>198</v>
      </c>
      <c r="AC23" s="8" t="str">
        <f>HYPERLINK("https://drive.google.com/file/d/1rMoXOkBjsn9zyBCqRzNkFis3FMVuhoaO/view?usp=drivesdk","Abrir_Factura")</f>
        <v>Abrir_Factura</v>
      </c>
    </row>
    <row r="24" spans="1:29" ht="16.5" customHeight="1">
      <c r="A24" s="4">
        <v>45985.453055358797</v>
      </c>
      <c r="B24" s="5">
        <v>89578</v>
      </c>
      <c r="C24" s="5">
        <v>22493961</v>
      </c>
      <c r="D24" s="5" t="s">
        <v>199</v>
      </c>
      <c r="F24" s="5" t="s">
        <v>200</v>
      </c>
      <c r="H24" s="5">
        <v>3006517761</v>
      </c>
      <c r="J24" s="5" t="s">
        <v>201</v>
      </c>
      <c r="K24" s="5" t="s">
        <v>154</v>
      </c>
      <c r="L24" s="5" t="s">
        <v>202</v>
      </c>
      <c r="M24" s="5">
        <v>3208485913</v>
      </c>
      <c r="N24" s="6">
        <v>45985</v>
      </c>
      <c r="O24" s="11">
        <v>0.43204861111111109</v>
      </c>
      <c r="P24" s="5">
        <v>1</v>
      </c>
      <c r="Q24" s="5" t="s">
        <v>203</v>
      </c>
      <c r="R24" s="5">
        <v>120000</v>
      </c>
      <c r="T24" s="5">
        <v>8000</v>
      </c>
      <c r="U24" s="5">
        <v>128000</v>
      </c>
      <c r="W24" s="5" t="s">
        <v>36</v>
      </c>
      <c r="X24" s="5" t="s">
        <v>204</v>
      </c>
      <c r="AA24" s="5" t="s">
        <v>44</v>
      </c>
      <c r="AC24" s="8" t="str">
        <f>HYPERLINK("https://drive.google.com/file/d/11xfeJr3Y9-1YVkjdRifGX7cWsb59kdCn/view?usp=drivesdk","Abrir_Factura")</f>
        <v>Abrir_Factura</v>
      </c>
    </row>
    <row r="25" spans="1:29" ht="12.5">
      <c r="A25" s="4">
        <v>45985.462313900462</v>
      </c>
      <c r="B25" s="5">
        <v>89581</v>
      </c>
      <c r="C25" s="5">
        <v>1048933991</v>
      </c>
      <c r="D25" s="5" t="s">
        <v>205</v>
      </c>
      <c r="F25" s="5" t="s">
        <v>206</v>
      </c>
      <c r="H25" s="5">
        <v>573006418722</v>
      </c>
      <c r="J25" s="5" t="s">
        <v>207</v>
      </c>
      <c r="K25" s="5" t="s">
        <v>208</v>
      </c>
      <c r="L25" s="5" t="s">
        <v>209</v>
      </c>
      <c r="M25" s="5">
        <v>3005477557</v>
      </c>
      <c r="N25" s="6">
        <v>45985</v>
      </c>
      <c r="O25" s="7">
        <v>0.54513888888888884</v>
      </c>
      <c r="P25" s="5">
        <v>1</v>
      </c>
      <c r="Q25" s="5" t="s">
        <v>210</v>
      </c>
      <c r="R25" s="5">
        <v>150000</v>
      </c>
      <c r="S25" s="5">
        <v>0</v>
      </c>
      <c r="T25" s="5">
        <v>10000</v>
      </c>
      <c r="U25" s="5">
        <v>160000</v>
      </c>
      <c r="V25" s="5" t="s">
        <v>211</v>
      </c>
      <c r="W25" s="5" t="s">
        <v>36</v>
      </c>
      <c r="X25" s="5" t="s">
        <v>180</v>
      </c>
      <c r="Y25" s="5" t="s">
        <v>24</v>
      </c>
      <c r="Z25" s="5" t="s">
        <v>212</v>
      </c>
      <c r="AA25" s="5" t="s">
        <v>44</v>
      </c>
      <c r="AB25" s="5" t="s">
        <v>213</v>
      </c>
      <c r="AC25" s="8" t="str">
        <f>HYPERLINK("https://drive.google.com/file/d/1Wmhkb61QGmThO8RT6-7R71b_6-0wR8_9/view?usp=drivesdk","Abrir_Factura")</f>
        <v>Abrir_Factura</v>
      </c>
    </row>
    <row r="26" spans="1:29" ht="12.5">
      <c r="A26" s="4">
        <v>45985.453055358797</v>
      </c>
      <c r="B26" s="5">
        <v>89582</v>
      </c>
      <c r="C26" s="5">
        <v>79105208</v>
      </c>
      <c r="D26" s="5" t="s">
        <v>214</v>
      </c>
      <c r="F26" s="5" t="s">
        <v>215</v>
      </c>
      <c r="H26" s="5">
        <v>573017262076</v>
      </c>
      <c r="J26" s="5" t="s">
        <v>216</v>
      </c>
      <c r="K26" s="5" t="s">
        <v>33</v>
      </c>
      <c r="L26" s="5" t="s">
        <v>34</v>
      </c>
      <c r="M26" s="5">
        <v>3017262076</v>
      </c>
      <c r="N26" s="6">
        <v>45987</v>
      </c>
      <c r="O26" s="7">
        <v>0.3125</v>
      </c>
      <c r="P26" s="5">
        <v>1</v>
      </c>
      <c r="Q26" s="5" t="s">
        <v>50</v>
      </c>
      <c r="R26" s="5">
        <v>200000</v>
      </c>
      <c r="S26" s="5">
        <v>0</v>
      </c>
      <c r="T26" s="5">
        <v>0</v>
      </c>
      <c r="U26" s="5">
        <v>200000</v>
      </c>
      <c r="W26" s="5" t="s">
        <v>36</v>
      </c>
      <c r="X26" s="5" t="s">
        <v>83</v>
      </c>
      <c r="Y26" s="5" t="s">
        <v>24</v>
      </c>
      <c r="AA26" s="5" t="s">
        <v>69</v>
      </c>
      <c r="AC26" s="8" t="str">
        <f>HYPERLINK("https://drive.google.com/file/d/1DJz8Ovx7vJW21P6_j_wHZJVvAbfwdrZc/view?usp=drivesdk","Abrir_Factura")</f>
        <v>Abrir_Factura</v>
      </c>
    </row>
    <row r="27" spans="1:29" ht="12.5">
      <c r="A27" s="4">
        <v>45985.505166365736</v>
      </c>
      <c r="B27" s="5">
        <v>89583</v>
      </c>
      <c r="C27" s="5">
        <v>66870320</v>
      </c>
      <c r="D27" s="5" t="s">
        <v>217</v>
      </c>
      <c r="F27" s="5" t="s">
        <v>218</v>
      </c>
      <c r="H27" s="5">
        <v>5713475364999</v>
      </c>
      <c r="J27" s="5" t="s">
        <v>219</v>
      </c>
      <c r="K27" s="5" t="s">
        <v>220</v>
      </c>
      <c r="L27" s="5" t="s">
        <v>221</v>
      </c>
      <c r="M27" s="5">
        <v>3245894951</v>
      </c>
      <c r="N27" s="6">
        <v>45985</v>
      </c>
      <c r="O27" s="7">
        <v>0.58888888888888891</v>
      </c>
      <c r="P27" s="5">
        <v>1</v>
      </c>
      <c r="Q27" s="5" t="s">
        <v>222</v>
      </c>
      <c r="R27" s="5">
        <v>300000</v>
      </c>
      <c r="S27" s="5">
        <v>0</v>
      </c>
      <c r="T27" s="5">
        <v>80000</v>
      </c>
      <c r="U27" s="5">
        <v>380000</v>
      </c>
      <c r="W27" s="5" t="s">
        <v>36</v>
      </c>
      <c r="X27" s="5" t="s">
        <v>83</v>
      </c>
      <c r="Y27" s="5" t="s">
        <v>24</v>
      </c>
      <c r="AA27" s="5" t="s">
        <v>44</v>
      </c>
      <c r="AC27" s="8" t="str">
        <f>HYPERLINK("https://drive.google.com/file/d/1hHeV0P1MeKc0s6395ixVd76keDgg3xAw/view?usp=drivesdk","Abrir_Factura")</f>
        <v>Abrir_Factura</v>
      </c>
    </row>
    <row r="28" spans="1:29" ht="12.5">
      <c r="A28" s="4">
        <v>45985.539791145835</v>
      </c>
      <c r="B28" s="5">
        <v>89585</v>
      </c>
      <c r="C28" s="5">
        <v>0</v>
      </c>
      <c r="D28" s="5" t="s">
        <v>31</v>
      </c>
      <c r="F28" s="5" t="s">
        <v>223</v>
      </c>
      <c r="H28" s="5">
        <v>5730111886453</v>
      </c>
      <c r="J28" s="5" t="s">
        <v>224</v>
      </c>
      <c r="K28" s="5" t="s">
        <v>33</v>
      </c>
      <c r="L28" s="5" t="s">
        <v>34</v>
      </c>
      <c r="M28" s="5">
        <v>30111886453</v>
      </c>
      <c r="N28" s="6">
        <v>45985</v>
      </c>
      <c r="O28" s="7">
        <v>0.62361111111111112</v>
      </c>
      <c r="P28" s="5">
        <v>1</v>
      </c>
      <c r="Q28" s="5" t="s">
        <v>75</v>
      </c>
      <c r="R28" s="5">
        <v>70000</v>
      </c>
      <c r="S28" s="5">
        <v>0</v>
      </c>
      <c r="T28" s="5">
        <v>0</v>
      </c>
      <c r="U28" s="5">
        <v>70000</v>
      </c>
      <c r="W28" s="5" t="s">
        <v>36</v>
      </c>
      <c r="X28" s="5" t="s">
        <v>196</v>
      </c>
      <c r="Y28" s="5" t="s">
        <v>24</v>
      </c>
      <c r="AA28" s="5" t="s">
        <v>44</v>
      </c>
      <c r="AB28" s="5" t="s">
        <v>225</v>
      </c>
      <c r="AC28" s="8" t="str">
        <f>HYPERLINK("https://drive.google.com/file/d/1YeuemtjmN3KQZo2BgmVyj7UxFBWU85SR/view?usp=drivesdk","Abrir_Factura")</f>
        <v>Abrir_Factura</v>
      </c>
    </row>
    <row r="29" spans="1:29" ht="15.75" customHeight="1">
      <c r="A29" s="4">
        <v>45985.532773969906</v>
      </c>
      <c r="B29" s="5">
        <v>89586</v>
      </c>
      <c r="C29" s="5">
        <v>1042849973</v>
      </c>
      <c r="D29" s="5" t="s">
        <v>226</v>
      </c>
      <c r="F29" s="5" t="s">
        <v>227</v>
      </c>
      <c r="H29" s="5">
        <v>573106333999</v>
      </c>
      <c r="J29" s="5" t="s">
        <v>228</v>
      </c>
      <c r="K29" s="5" t="s">
        <v>229</v>
      </c>
      <c r="L29" s="5" t="s">
        <v>230</v>
      </c>
      <c r="M29" s="5" t="s">
        <v>231</v>
      </c>
      <c r="N29" s="6">
        <v>45986</v>
      </c>
      <c r="O29" s="7">
        <v>0.66666666666666663</v>
      </c>
      <c r="P29" s="5">
        <v>1</v>
      </c>
      <c r="Q29" s="5" t="s">
        <v>178</v>
      </c>
      <c r="R29" s="5">
        <v>100000</v>
      </c>
      <c r="S29" s="5">
        <v>0</v>
      </c>
      <c r="T29" s="5">
        <v>11000</v>
      </c>
      <c r="U29" s="5">
        <v>111000</v>
      </c>
      <c r="V29" s="5" t="s">
        <v>232</v>
      </c>
      <c r="W29" s="5" t="s">
        <v>36</v>
      </c>
      <c r="X29" s="5" t="s">
        <v>67</v>
      </c>
      <c r="Y29" s="5" t="s">
        <v>24</v>
      </c>
      <c r="Z29" s="5" t="s">
        <v>233</v>
      </c>
      <c r="AA29" s="5" t="s">
        <v>69</v>
      </c>
      <c r="AB29" s="5" t="s">
        <v>234</v>
      </c>
      <c r="AC29" s="8" t="str">
        <f>HYPERLINK("https://drive.google.com/file/d/13RUZj9I_wS-hPmjdj9xlS4glCK03y9sV/view?usp=drivesdk","Abrir_Factura")</f>
        <v>Abrir_Factura</v>
      </c>
    </row>
    <row r="30" spans="1:29" ht="18" customHeight="1">
      <c r="A30" s="4">
        <v>45985.598010937501</v>
      </c>
      <c r="B30" s="5">
        <v>89590</v>
      </c>
      <c r="C30" s="5">
        <v>0</v>
      </c>
      <c r="D30" s="5" t="s">
        <v>235</v>
      </c>
      <c r="F30" s="5" t="s">
        <v>236</v>
      </c>
      <c r="H30" s="5">
        <v>573154015161</v>
      </c>
      <c r="J30" s="5" t="s">
        <v>237</v>
      </c>
      <c r="K30" s="5" t="s">
        <v>73</v>
      </c>
      <c r="L30" s="5" t="s">
        <v>238</v>
      </c>
      <c r="M30" s="5">
        <v>3157212330</v>
      </c>
      <c r="N30" s="6">
        <v>45985</v>
      </c>
      <c r="O30" s="7">
        <v>0.68263888888888891</v>
      </c>
      <c r="P30" s="5">
        <v>1</v>
      </c>
      <c r="Q30" s="5" t="s">
        <v>239</v>
      </c>
      <c r="R30" s="5">
        <v>380000</v>
      </c>
      <c r="S30" s="5">
        <v>0</v>
      </c>
      <c r="T30" s="5">
        <v>10000</v>
      </c>
      <c r="U30" s="5">
        <v>390000</v>
      </c>
      <c r="W30" s="5" t="s">
        <v>36</v>
      </c>
      <c r="X30" s="5" t="s">
        <v>83</v>
      </c>
      <c r="Y30" s="5" t="s">
        <v>24</v>
      </c>
      <c r="AA30" s="5" t="s">
        <v>44</v>
      </c>
      <c r="AC30" s="8" t="str">
        <f>HYPERLINK("https://drive.google.com/file/d/1aPoylWWVWf5qXU1qDFNpy7Tm263YDSoO/view?usp=drivesdk","Abrir_Factura")</f>
        <v>Abrir_Factura</v>
      </c>
    </row>
    <row r="31" spans="1:29" ht="12.5">
      <c r="A31" s="4">
        <v>45985.587105937499</v>
      </c>
      <c r="B31" s="5">
        <v>89591</v>
      </c>
      <c r="C31" s="5">
        <v>11240000815</v>
      </c>
      <c r="D31" s="5" t="s">
        <v>240</v>
      </c>
      <c r="F31" s="5" t="s">
        <v>241</v>
      </c>
      <c r="H31" s="5">
        <v>573505316838</v>
      </c>
      <c r="J31" s="5" t="s">
        <v>242</v>
      </c>
      <c r="K31" s="5" t="s">
        <v>73</v>
      </c>
      <c r="L31" s="5" t="s">
        <v>243</v>
      </c>
      <c r="M31" s="5">
        <v>3505316838</v>
      </c>
      <c r="N31" s="6">
        <v>45987</v>
      </c>
      <c r="O31" s="7">
        <v>0.70833333333333337</v>
      </c>
      <c r="P31" s="5">
        <v>1</v>
      </c>
      <c r="Q31" s="5" t="s">
        <v>89</v>
      </c>
      <c r="R31" s="5">
        <v>150000</v>
      </c>
      <c r="S31" s="5">
        <v>0</v>
      </c>
      <c r="T31" s="5">
        <v>10000</v>
      </c>
      <c r="U31" s="5">
        <v>160000</v>
      </c>
      <c r="V31" s="5" t="s">
        <v>244</v>
      </c>
      <c r="W31" s="5" t="s">
        <v>36</v>
      </c>
      <c r="X31" s="5" t="s">
        <v>83</v>
      </c>
      <c r="Y31" s="5" t="s">
        <v>24</v>
      </c>
      <c r="Z31" s="5" t="s">
        <v>245</v>
      </c>
      <c r="AA31" s="5" t="s">
        <v>44</v>
      </c>
      <c r="AC31" s="8" t="str">
        <f>HYPERLINK("https://drive.google.com/file/d/1CgRZh5d9Cz4PSE2g53g5EbTbIzaJy10c/view?usp=drivesdk","Abrir_Factura")</f>
        <v>Abrir_Factura</v>
      </c>
    </row>
    <row r="32" spans="1:29" ht="12.5">
      <c r="A32" s="4">
        <v>45985.544951458331</v>
      </c>
      <c r="B32" s="5">
        <v>89592</v>
      </c>
      <c r="C32" s="5">
        <v>1140888238</v>
      </c>
      <c r="D32" s="5" t="s">
        <v>246</v>
      </c>
      <c r="F32" s="5" t="s">
        <v>247</v>
      </c>
      <c r="H32" s="5">
        <v>573017262076</v>
      </c>
      <c r="J32" s="5" t="s">
        <v>248</v>
      </c>
      <c r="K32" s="5" t="s">
        <v>249</v>
      </c>
      <c r="L32" s="5" t="s">
        <v>250</v>
      </c>
      <c r="M32" s="5">
        <v>3008531481</v>
      </c>
      <c r="N32" s="6">
        <v>45987</v>
      </c>
      <c r="O32" s="7">
        <v>0.33333333333333331</v>
      </c>
      <c r="P32" s="5">
        <v>1</v>
      </c>
      <c r="Q32" s="5" t="s">
        <v>251</v>
      </c>
      <c r="R32" s="5">
        <v>170000</v>
      </c>
      <c r="S32" s="5">
        <v>0</v>
      </c>
      <c r="T32" s="5">
        <v>10000</v>
      </c>
      <c r="U32" s="5">
        <v>180000</v>
      </c>
      <c r="V32" s="5" t="s">
        <v>252</v>
      </c>
      <c r="W32" s="5" t="s">
        <v>36</v>
      </c>
      <c r="X32" s="5" t="s">
        <v>83</v>
      </c>
      <c r="Y32" s="5" t="s">
        <v>24</v>
      </c>
      <c r="Z32" s="5" t="s">
        <v>253</v>
      </c>
      <c r="AA32" s="5" t="s">
        <v>69</v>
      </c>
      <c r="AC32" s="8" t="str">
        <f>HYPERLINK("https://drive.google.com/file/d/1qjOjeMEq-dcRKZs1i7ayVHmG1i1qS0gv/view?usp=drivesdk","Abrir_Factura")</f>
        <v>Abrir_Factura</v>
      </c>
    </row>
    <row r="33" spans="1:29" ht="12.5">
      <c r="A33" s="4">
        <v>45985.602587500005</v>
      </c>
      <c r="B33" s="5">
        <v>89593</v>
      </c>
      <c r="C33" s="5">
        <v>72357914</v>
      </c>
      <c r="D33" s="5" t="s">
        <v>254</v>
      </c>
      <c r="F33" s="5" t="s">
        <v>255</v>
      </c>
      <c r="H33" s="5">
        <v>573017366162</v>
      </c>
      <c r="J33" s="5" t="s">
        <v>256</v>
      </c>
      <c r="K33" s="5" t="s">
        <v>185</v>
      </c>
      <c r="L33" s="5" t="s">
        <v>257</v>
      </c>
      <c r="M33" s="5" t="s">
        <v>258</v>
      </c>
      <c r="N33" s="6">
        <v>45986</v>
      </c>
      <c r="O33" s="7">
        <v>0.45833333333333331</v>
      </c>
      <c r="P33" s="5">
        <v>1</v>
      </c>
      <c r="Q33" s="5" t="s">
        <v>259</v>
      </c>
      <c r="R33" s="5">
        <v>190000</v>
      </c>
      <c r="S33" s="5">
        <v>0</v>
      </c>
      <c r="T33" s="5">
        <v>8000</v>
      </c>
      <c r="U33" s="5">
        <v>198000</v>
      </c>
      <c r="V33" s="5" t="s">
        <v>260</v>
      </c>
      <c r="W33" s="5" t="s">
        <v>36</v>
      </c>
      <c r="X33" s="5" t="s">
        <v>180</v>
      </c>
      <c r="Y33" s="5" t="s">
        <v>24</v>
      </c>
      <c r="Z33" s="5" t="s">
        <v>261</v>
      </c>
      <c r="AA33" s="5" t="s">
        <v>44</v>
      </c>
      <c r="AC33" s="8" t="str">
        <f>HYPERLINK("https://drive.google.com/file/d/1_gvJfscim8jqdwa1JBpi45Xlp1hCIMJ-/view?usp=drivesdk","Abrir_Factura")</f>
        <v>Abrir_Factura</v>
      </c>
    </row>
    <row r="34" spans="1:29" ht="16.5" customHeight="1">
      <c r="A34" s="4">
        <v>45985.609751354168</v>
      </c>
      <c r="B34" s="5">
        <v>89595</v>
      </c>
      <c r="C34" s="5">
        <v>1000596064</v>
      </c>
      <c r="D34" s="5" t="s">
        <v>262</v>
      </c>
      <c r="F34" s="5" t="s">
        <v>263</v>
      </c>
      <c r="H34" s="5">
        <v>33666513994</v>
      </c>
      <c r="J34" s="5" t="s">
        <v>264</v>
      </c>
      <c r="K34" s="5" t="s">
        <v>265</v>
      </c>
      <c r="L34" s="5" t="s">
        <v>266</v>
      </c>
      <c r="M34" s="5">
        <v>33666513994</v>
      </c>
      <c r="N34" s="6">
        <v>45986</v>
      </c>
      <c r="O34" s="7">
        <v>0.3125</v>
      </c>
      <c r="P34" s="5">
        <v>1</v>
      </c>
      <c r="Q34" s="5" t="s">
        <v>267</v>
      </c>
      <c r="R34" s="5">
        <v>500000</v>
      </c>
      <c r="S34" s="5">
        <v>0</v>
      </c>
      <c r="T34" s="5">
        <v>17000</v>
      </c>
      <c r="U34" s="5">
        <v>517000</v>
      </c>
      <c r="V34" s="5" t="s">
        <v>268</v>
      </c>
      <c r="W34" s="5" t="s">
        <v>36</v>
      </c>
      <c r="X34" s="5" t="s">
        <v>83</v>
      </c>
      <c r="Y34" s="5" t="s">
        <v>24</v>
      </c>
      <c r="Z34" s="5" t="s">
        <v>269</v>
      </c>
      <c r="AA34" s="5" t="s">
        <v>69</v>
      </c>
      <c r="AC34" s="8" t="str">
        <f>HYPERLINK("https://drive.google.com/file/d/1LKP3EIegU1W4rql_LdIuDrgySi8abKqL/view?usp=drivesdk","Abrir_Factura")</f>
        <v>Abrir_Factura</v>
      </c>
    </row>
    <row r="35" spans="1:29" ht="12.5">
      <c r="A35" s="4">
        <v>45985.628975625004</v>
      </c>
      <c r="B35" s="5">
        <v>89596</v>
      </c>
      <c r="C35" s="5">
        <v>1140902669</v>
      </c>
      <c r="D35" s="5" t="s">
        <v>270</v>
      </c>
      <c r="F35" s="5" t="s">
        <v>271</v>
      </c>
      <c r="H35" s="5">
        <v>573163111155</v>
      </c>
      <c r="J35" s="5" t="s">
        <v>272</v>
      </c>
      <c r="K35" s="5" t="s">
        <v>154</v>
      </c>
      <c r="L35" s="5" t="s">
        <v>273</v>
      </c>
      <c r="M35" s="5">
        <v>3145737004</v>
      </c>
      <c r="N35" s="6">
        <v>45985</v>
      </c>
      <c r="O35" s="7">
        <v>0.71250000000000002</v>
      </c>
      <c r="P35" s="5">
        <v>1</v>
      </c>
      <c r="Q35" s="5" t="s">
        <v>50</v>
      </c>
      <c r="R35" s="5">
        <v>200000</v>
      </c>
      <c r="S35" s="5">
        <v>0</v>
      </c>
      <c r="T35" s="5">
        <v>8000</v>
      </c>
      <c r="U35" s="5">
        <v>208000</v>
      </c>
      <c r="V35" s="5" t="s">
        <v>274</v>
      </c>
      <c r="W35" s="5" t="s">
        <v>36</v>
      </c>
      <c r="X35" s="5" t="s">
        <v>98</v>
      </c>
      <c r="Y35" s="5" t="s">
        <v>24</v>
      </c>
      <c r="Z35" s="5" t="s">
        <v>275</v>
      </c>
      <c r="AA35" s="5" t="s">
        <v>44</v>
      </c>
      <c r="AC35" s="8" t="str">
        <f>HYPERLINK("https://drive.google.com/file/d/1uo1OaQOagqzpenPGAQpunkr43JRC7_I4/view?usp=drivesdk","Abrir_Factura")</f>
        <v>Abrir_Factura</v>
      </c>
    </row>
    <row r="36" spans="1:29" ht="12.5">
      <c r="A36" s="4">
        <v>45985.607477268517</v>
      </c>
      <c r="B36" s="5">
        <v>89599</v>
      </c>
      <c r="C36" s="5">
        <v>1140820157</v>
      </c>
      <c r="D36" s="5" t="s">
        <v>276</v>
      </c>
      <c r="F36" s="5" t="s">
        <v>277</v>
      </c>
      <c r="H36" s="5">
        <v>16469443749</v>
      </c>
      <c r="J36" s="5" t="s">
        <v>278</v>
      </c>
      <c r="K36" s="5" t="s">
        <v>161</v>
      </c>
      <c r="L36" s="5" t="s">
        <v>279</v>
      </c>
      <c r="M36" s="5">
        <v>16469443749</v>
      </c>
      <c r="N36" s="6">
        <v>45985</v>
      </c>
      <c r="O36" s="7">
        <v>0.69236111111111109</v>
      </c>
      <c r="P36" s="5">
        <v>1</v>
      </c>
      <c r="Q36" s="5" t="s">
        <v>259</v>
      </c>
      <c r="R36" s="5">
        <v>190000</v>
      </c>
      <c r="S36" s="5">
        <v>0</v>
      </c>
      <c r="T36" s="5">
        <v>8000</v>
      </c>
      <c r="U36" s="5">
        <v>198000</v>
      </c>
      <c r="V36" s="5" t="s">
        <v>280</v>
      </c>
      <c r="W36" s="5" t="s">
        <v>36</v>
      </c>
      <c r="X36" s="5" t="s">
        <v>98</v>
      </c>
      <c r="Y36" s="5" t="s">
        <v>24</v>
      </c>
      <c r="Z36" s="5" t="s">
        <v>281</v>
      </c>
      <c r="AA36" s="5" t="s">
        <v>44</v>
      </c>
      <c r="AC36" s="8" t="str">
        <f>HYPERLINK("https://drive.google.com/file/d/1qXmNrRtHaSf4YvNHA76W6ZrYoZI7gWmJ/view?usp=drivesdk","Abrir_Factura")</f>
        <v>Abrir_Factura</v>
      </c>
    </row>
    <row r="37" spans="1:29" ht="12.5">
      <c r="A37" s="4">
        <v>45985.534214467596</v>
      </c>
      <c r="B37" s="5">
        <v>89600</v>
      </c>
      <c r="C37" s="5">
        <v>1042849973</v>
      </c>
      <c r="D37" s="5" t="s">
        <v>226</v>
      </c>
      <c r="F37" s="5" t="s">
        <v>227</v>
      </c>
      <c r="H37" s="5">
        <v>573106333999</v>
      </c>
      <c r="J37" s="5" t="s">
        <v>228</v>
      </c>
      <c r="K37" s="5" t="s">
        <v>229</v>
      </c>
      <c r="L37" s="5" t="s">
        <v>230</v>
      </c>
      <c r="M37" s="5" t="s">
        <v>231</v>
      </c>
      <c r="N37" s="6">
        <v>45986</v>
      </c>
      <c r="O37" s="7">
        <v>0.66666666666666663</v>
      </c>
      <c r="P37" s="5">
        <v>1</v>
      </c>
      <c r="Q37" s="5" t="s">
        <v>178</v>
      </c>
      <c r="R37" s="5">
        <v>100000</v>
      </c>
      <c r="S37" s="5">
        <v>0</v>
      </c>
      <c r="T37" s="5">
        <v>11000</v>
      </c>
      <c r="U37" s="5">
        <v>111000</v>
      </c>
      <c r="V37" s="5" t="s">
        <v>232</v>
      </c>
      <c r="W37" s="5" t="s">
        <v>36</v>
      </c>
      <c r="X37" s="5" t="s">
        <v>83</v>
      </c>
      <c r="Y37" s="5" t="s">
        <v>24</v>
      </c>
      <c r="Z37" s="5" t="s">
        <v>282</v>
      </c>
      <c r="AA37" s="5" t="s">
        <v>69</v>
      </c>
      <c r="AB37" s="5" t="s">
        <v>234</v>
      </c>
      <c r="AC37" s="8" t="str">
        <f>HYPERLINK("https://drive.google.com/file/d/1dTdiX9JRBtYjep8XpSZvXwS6oxHDU9Aw/view?usp=drivesdk","Abrir_Factura")</f>
        <v>Abrir_Factura</v>
      </c>
    </row>
    <row r="38" spans="1:29" ht="18" customHeight="1">
      <c r="A38" s="4">
        <v>45985.891061481481</v>
      </c>
      <c r="B38" s="5">
        <v>89601</v>
      </c>
      <c r="C38" s="5">
        <v>1140838766</v>
      </c>
      <c r="D38" s="5" t="s">
        <v>283</v>
      </c>
      <c r="F38" s="5" t="s">
        <v>284</v>
      </c>
      <c r="H38" s="5">
        <v>573007895738</v>
      </c>
      <c r="J38" s="5" t="s">
        <v>285</v>
      </c>
      <c r="K38" s="5" t="s">
        <v>185</v>
      </c>
      <c r="L38" s="5" t="s">
        <v>286</v>
      </c>
      <c r="M38" s="5" t="s">
        <v>287</v>
      </c>
      <c r="N38" s="6">
        <v>45986</v>
      </c>
      <c r="O38" s="7">
        <v>0.375</v>
      </c>
      <c r="P38" s="5">
        <v>1</v>
      </c>
      <c r="Q38" s="5" t="s">
        <v>112</v>
      </c>
      <c r="R38" s="5">
        <v>260000</v>
      </c>
      <c r="S38" s="5">
        <v>0</v>
      </c>
      <c r="T38" s="5">
        <v>8000</v>
      </c>
      <c r="U38" s="5">
        <v>268000</v>
      </c>
      <c r="V38" s="5" t="s">
        <v>288</v>
      </c>
      <c r="W38" s="5" t="s">
        <v>36</v>
      </c>
      <c r="X38" s="5" t="s">
        <v>43</v>
      </c>
      <c r="Y38" s="5" t="s">
        <v>24</v>
      </c>
      <c r="Z38" s="5" t="s">
        <v>289</v>
      </c>
      <c r="AA38" s="5" t="s">
        <v>44</v>
      </c>
      <c r="AC38" s="8" t="str">
        <f>HYPERLINK("https://drive.google.com/file/d/1jS7ICHjK3Ja9Sni_4aId8l_gmK3m0wxR/view?usp=drivesdk","Abrir_Factura")</f>
        <v>Abrir_Factura</v>
      </c>
    </row>
    <row r="39" spans="1:29" ht="18.75" customHeight="1">
      <c r="A39" s="4">
        <v>45985.731881006941</v>
      </c>
      <c r="B39" s="5">
        <v>89602</v>
      </c>
      <c r="C39" s="5">
        <v>1002211373</v>
      </c>
      <c r="D39" s="5" t="s">
        <v>290</v>
      </c>
      <c r="F39" s="5" t="s">
        <v>291</v>
      </c>
      <c r="H39" s="5">
        <v>16562620163</v>
      </c>
      <c r="J39" s="5" t="s">
        <v>292</v>
      </c>
      <c r="K39" s="5" t="s">
        <v>185</v>
      </c>
      <c r="L39" s="5" t="s">
        <v>293</v>
      </c>
      <c r="M39" s="5">
        <v>3188833856</v>
      </c>
      <c r="N39" s="6">
        <v>45986</v>
      </c>
      <c r="O39" s="7">
        <v>0.375</v>
      </c>
      <c r="P39" s="5">
        <v>1</v>
      </c>
      <c r="Q39" s="5" t="s">
        <v>294</v>
      </c>
      <c r="R39" s="5">
        <v>160000</v>
      </c>
      <c r="S39" s="5">
        <v>0</v>
      </c>
      <c r="T39" s="5">
        <v>8000</v>
      </c>
      <c r="U39" s="5">
        <v>168000</v>
      </c>
      <c r="V39" s="5" t="s">
        <v>295</v>
      </c>
      <c r="W39" s="5" t="s">
        <v>36</v>
      </c>
      <c r="X39" s="5" t="s">
        <v>67</v>
      </c>
      <c r="Y39" s="5" t="s">
        <v>24</v>
      </c>
      <c r="Z39" s="5" t="s">
        <v>296</v>
      </c>
      <c r="AA39" s="5" t="s">
        <v>69</v>
      </c>
      <c r="AC39" s="8" t="str">
        <f>HYPERLINK("https://drive.google.com/file/d/1d_GwwPImE8x23RYE5um8UpZHt6z0QyAU/view?usp=drivesdk","Abrir_Factura")</f>
        <v>Abrir_Factura</v>
      </c>
    </row>
    <row r="40" spans="1:29" ht="12.5">
      <c r="A40" s="4">
        <v>45985.636779953704</v>
      </c>
      <c r="B40" s="5">
        <v>89603</v>
      </c>
      <c r="C40" s="5">
        <v>1140841620</v>
      </c>
      <c r="D40" s="5" t="s">
        <v>297</v>
      </c>
      <c r="F40" s="5" t="s">
        <v>298</v>
      </c>
      <c r="H40" s="5">
        <v>573188062999</v>
      </c>
      <c r="J40" s="5" t="s">
        <v>299</v>
      </c>
      <c r="K40" s="5" t="s">
        <v>185</v>
      </c>
      <c r="L40" s="5" t="s">
        <v>300</v>
      </c>
      <c r="M40" s="5">
        <v>3168303473</v>
      </c>
      <c r="N40" s="6">
        <v>45986</v>
      </c>
      <c r="O40" s="7">
        <v>0.41666666666666669</v>
      </c>
      <c r="P40" s="5">
        <v>1</v>
      </c>
      <c r="Q40" s="5" t="s">
        <v>301</v>
      </c>
      <c r="R40" s="5">
        <v>400000</v>
      </c>
      <c r="S40" s="5">
        <v>0</v>
      </c>
      <c r="T40" s="5">
        <v>8000</v>
      </c>
      <c r="U40" s="5">
        <v>408000</v>
      </c>
      <c r="V40" s="5" t="s">
        <v>302</v>
      </c>
      <c r="W40" s="5" t="s">
        <v>36</v>
      </c>
      <c r="X40" s="5" t="s">
        <v>83</v>
      </c>
      <c r="Y40" s="5" t="s">
        <v>24</v>
      </c>
      <c r="Z40" s="5" t="s">
        <v>303</v>
      </c>
      <c r="AA40" s="5" t="s">
        <v>44</v>
      </c>
      <c r="AC40" s="8" t="str">
        <f>HYPERLINK("https://drive.google.com/file/d/1tMa5dPjluk8kZrE1XyAxIt43SJ-nlO03/view?usp=drivesdk","Abrir_Factura")</f>
        <v>Abrir_Factura</v>
      </c>
    </row>
    <row r="41" spans="1:29" ht="12.5">
      <c r="A41" s="4">
        <v>45986.392984745369</v>
      </c>
      <c r="B41" s="5">
        <v>89612</v>
      </c>
      <c r="C41" s="5">
        <v>1140899289</v>
      </c>
      <c r="D41" s="5" t="s">
        <v>304</v>
      </c>
      <c r="F41" s="5" t="s">
        <v>305</v>
      </c>
      <c r="H41" s="5">
        <v>573017188503</v>
      </c>
      <c r="J41" s="5" t="s">
        <v>306</v>
      </c>
      <c r="K41" s="5" t="s">
        <v>307</v>
      </c>
      <c r="L41" s="5" t="s">
        <v>308</v>
      </c>
      <c r="M41" s="5">
        <v>3017188503</v>
      </c>
      <c r="N41" s="6">
        <v>45986</v>
      </c>
      <c r="O41" s="7">
        <v>0.66666666666666663</v>
      </c>
      <c r="P41" s="5">
        <v>1</v>
      </c>
      <c r="Q41" s="5" t="s">
        <v>309</v>
      </c>
      <c r="R41" s="5">
        <v>80000</v>
      </c>
      <c r="S41" s="5">
        <v>0</v>
      </c>
      <c r="T41" s="5">
        <v>10000</v>
      </c>
      <c r="U41" s="5">
        <v>90000</v>
      </c>
      <c r="W41" s="5" t="s">
        <v>36</v>
      </c>
      <c r="X41" s="5" t="s">
        <v>83</v>
      </c>
      <c r="Y41" s="5" t="s">
        <v>310</v>
      </c>
      <c r="AA41" s="5" t="s">
        <v>44</v>
      </c>
      <c r="AC41" s="8" t="str">
        <f>HYPERLINK("https://drive.google.com/file/d/1qayxzrV_sfkPDjBx7vFePqkP6UqTQguF/view?usp=drivesdk","Abrir_Factura")</f>
        <v>Abrir_Factura</v>
      </c>
    </row>
    <row r="42" spans="1:29" ht="18.75" customHeight="1">
      <c r="A42" s="4">
        <v>45986.409606076384</v>
      </c>
      <c r="B42" s="5">
        <v>89613</v>
      </c>
      <c r="C42" s="5">
        <v>1010150521</v>
      </c>
      <c r="D42" s="5" t="s">
        <v>311</v>
      </c>
      <c r="F42" s="5" t="s">
        <v>312</v>
      </c>
      <c r="H42" s="5">
        <v>573013625860</v>
      </c>
      <c r="J42" s="5" t="s">
        <v>313</v>
      </c>
      <c r="K42" s="5" t="s">
        <v>314</v>
      </c>
      <c r="L42" s="5" t="s">
        <v>315</v>
      </c>
      <c r="M42" s="5">
        <v>3115353719</v>
      </c>
      <c r="N42" s="6">
        <v>45986</v>
      </c>
      <c r="O42" s="7">
        <v>0.52083333333333337</v>
      </c>
      <c r="P42" s="5">
        <v>1</v>
      </c>
      <c r="Q42" s="5" t="s">
        <v>65</v>
      </c>
      <c r="R42" s="5">
        <v>70000</v>
      </c>
      <c r="S42" s="5">
        <v>0</v>
      </c>
      <c r="T42" s="5">
        <v>15000</v>
      </c>
      <c r="U42" s="5">
        <v>85000</v>
      </c>
      <c r="V42" s="5" t="s">
        <v>316</v>
      </c>
      <c r="W42" s="5" t="s">
        <v>36</v>
      </c>
      <c r="X42" s="5" t="s">
        <v>83</v>
      </c>
      <c r="Y42" s="5" t="s">
        <v>24</v>
      </c>
      <c r="Z42" s="5" t="s">
        <v>317</v>
      </c>
      <c r="AA42" s="5" t="s">
        <v>69</v>
      </c>
      <c r="AC42" s="8" t="str">
        <f>HYPERLINK("https://drive.google.com/file/d/1og5udDEBHgP7cbWiPagTWH54C8YAzQUf/view?usp=drivesdk","Abrir_Factura")</f>
        <v>Abrir_Factura</v>
      </c>
    </row>
    <row r="43" spans="1:29" ht="16.5" customHeight="1">
      <c r="A43" s="4">
        <v>45985.81843756944</v>
      </c>
      <c r="B43" s="5">
        <v>89614</v>
      </c>
      <c r="C43" s="5">
        <v>1129565524</v>
      </c>
      <c r="D43" s="5" t="s">
        <v>318</v>
      </c>
      <c r="F43" s="5" t="s">
        <v>319</v>
      </c>
      <c r="H43" s="5">
        <v>573207092819</v>
      </c>
      <c r="J43" s="5" t="s">
        <v>320</v>
      </c>
      <c r="K43" s="5" t="s">
        <v>124</v>
      </c>
      <c r="L43" s="5" t="s">
        <v>321</v>
      </c>
      <c r="M43" s="5">
        <v>3207092819</v>
      </c>
      <c r="N43" s="6">
        <v>45986</v>
      </c>
      <c r="O43" s="7">
        <v>0.4375</v>
      </c>
      <c r="P43" s="5">
        <v>1</v>
      </c>
      <c r="Q43" s="5" t="s">
        <v>322</v>
      </c>
      <c r="R43" s="5">
        <v>120000</v>
      </c>
      <c r="S43" s="5">
        <v>0</v>
      </c>
      <c r="T43" s="5">
        <v>12000</v>
      </c>
      <c r="U43" s="5">
        <v>132000</v>
      </c>
      <c r="V43" s="5" t="s">
        <v>323</v>
      </c>
      <c r="W43" s="5" t="s">
        <v>36</v>
      </c>
      <c r="X43" s="5" t="s">
        <v>98</v>
      </c>
      <c r="Y43" s="5" t="s">
        <v>24</v>
      </c>
      <c r="Z43" s="5" t="s">
        <v>324</v>
      </c>
      <c r="AA43" s="5" t="s">
        <v>44</v>
      </c>
      <c r="AC43" s="8" t="str">
        <f>HYPERLINK("https://drive.google.com/file/d/1Erq1WiveqCI3PaiUFc5l_lRZjJ2nz4VJ/view?usp=drivesdk","Abrir_Factura")</f>
        <v>Abrir_Factura</v>
      </c>
    </row>
    <row r="44" spans="1:29" ht="12.5">
      <c r="A44" s="4">
        <v>45986.38862957176</v>
      </c>
      <c r="B44" s="5">
        <v>89615</v>
      </c>
      <c r="C44" s="5">
        <v>1043669351</v>
      </c>
      <c r="D44" s="5" t="s">
        <v>325</v>
      </c>
      <c r="F44" s="5" t="s">
        <v>326</v>
      </c>
      <c r="H44" s="5">
        <v>573167502204</v>
      </c>
      <c r="J44" s="5" t="s">
        <v>327</v>
      </c>
      <c r="K44" s="5" t="s">
        <v>328</v>
      </c>
      <c r="L44" s="5" t="s">
        <v>329</v>
      </c>
      <c r="M44" s="5">
        <v>3004449637</v>
      </c>
      <c r="N44" s="6">
        <v>45993</v>
      </c>
      <c r="O44" s="7">
        <v>0.41666666666666669</v>
      </c>
      <c r="P44" s="5">
        <v>1</v>
      </c>
      <c r="Q44" s="5" t="s">
        <v>330</v>
      </c>
      <c r="R44" s="5">
        <v>180000</v>
      </c>
      <c r="S44" s="5">
        <v>0</v>
      </c>
      <c r="T44" s="5">
        <v>12000</v>
      </c>
      <c r="U44" s="5">
        <v>192000</v>
      </c>
      <c r="W44" s="5" t="s">
        <v>36</v>
      </c>
      <c r="X44" s="5" t="s">
        <v>83</v>
      </c>
      <c r="Y44" s="5" t="s">
        <v>24</v>
      </c>
      <c r="Z44" s="5" t="s">
        <v>331</v>
      </c>
      <c r="AA44" s="5" t="s">
        <v>44</v>
      </c>
      <c r="AC44" s="8" t="str">
        <f>HYPERLINK("https://drive.google.com/file/d/1bDmatbBVKSZyD0pTUF4qjBvThDW_0Zq7/view?usp=drivesdk","Abrir_Factura")</f>
        <v>Abrir_Factura</v>
      </c>
    </row>
    <row r="45" spans="1:29" ht="12.5">
      <c r="A45" s="4">
        <v>45986.525393877309</v>
      </c>
      <c r="B45" s="5">
        <v>89628</v>
      </c>
      <c r="C45" s="5">
        <v>1140847215</v>
      </c>
      <c r="D45" s="5" t="s">
        <v>332</v>
      </c>
      <c r="F45" s="5" t="s">
        <v>227</v>
      </c>
      <c r="H45" s="5">
        <v>3008374077</v>
      </c>
      <c r="J45" s="5" t="s">
        <v>333</v>
      </c>
      <c r="K45" s="5" t="s">
        <v>33</v>
      </c>
      <c r="L45" s="5" t="s">
        <v>334</v>
      </c>
      <c r="M45" s="5">
        <v>3008374077</v>
      </c>
      <c r="N45" s="6">
        <v>45986</v>
      </c>
      <c r="O45" s="7">
        <v>0.60972222222222228</v>
      </c>
      <c r="P45" s="5">
        <v>1</v>
      </c>
      <c r="Q45" s="5" t="s">
        <v>335</v>
      </c>
      <c r="R45" s="5">
        <v>120000</v>
      </c>
      <c r="S45" s="5">
        <v>0</v>
      </c>
      <c r="T45" s="5"/>
      <c r="U45" s="5">
        <v>120000</v>
      </c>
      <c r="W45" s="5" t="s">
        <v>36</v>
      </c>
      <c r="X45" s="5" t="s">
        <v>204</v>
      </c>
      <c r="Y45" s="5" t="s">
        <v>24</v>
      </c>
      <c r="AA45" s="5" t="s">
        <v>44</v>
      </c>
      <c r="AC45" s="8" t="str">
        <f>HYPERLINK("https://drive.google.com/file/d/1r2A9_lpsdHUWEmXEuyRavsvuplwg7wo9/view?usp=drivesdk","Abrir_Factura")</f>
        <v>Abrir_Factura</v>
      </c>
    </row>
    <row r="46" spans="1:29" ht="15" customHeight="1">
      <c r="A46" s="4">
        <v>45986.53464322917</v>
      </c>
      <c r="B46" s="5">
        <v>89629</v>
      </c>
      <c r="C46" s="5">
        <v>580881</v>
      </c>
      <c r="D46" s="5" t="s">
        <v>336</v>
      </c>
      <c r="F46" s="5" t="s">
        <v>337</v>
      </c>
      <c r="H46" s="5">
        <v>13016610096</v>
      </c>
      <c r="J46" s="5" t="s">
        <v>338</v>
      </c>
      <c r="K46" s="5" t="s">
        <v>103</v>
      </c>
      <c r="L46" s="5" t="s">
        <v>339</v>
      </c>
      <c r="M46" s="5">
        <v>13016610096</v>
      </c>
      <c r="N46" s="6">
        <v>45988</v>
      </c>
      <c r="O46" s="7">
        <v>0.35416666666666669</v>
      </c>
      <c r="P46" s="5">
        <v>1</v>
      </c>
      <c r="Q46" s="5" t="s">
        <v>340</v>
      </c>
      <c r="R46" s="5">
        <v>570000</v>
      </c>
      <c r="S46" s="5">
        <v>0</v>
      </c>
      <c r="T46" s="5">
        <v>10000</v>
      </c>
      <c r="U46" s="5">
        <v>580000</v>
      </c>
      <c r="V46" s="5" t="s">
        <v>341</v>
      </c>
      <c r="W46" s="5" t="s">
        <v>36</v>
      </c>
      <c r="X46" s="5" t="s">
        <v>98</v>
      </c>
      <c r="Y46" s="5" t="s">
        <v>24</v>
      </c>
      <c r="Z46" s="5" t="s">
        <v>342</v>
      </c>
      <c r="AA46" s="5" t="s">
        <v>44</v>
      </c>
      <c r="AC46" s="8" t="str">
        <f>HYPERLINK("https://drive.google.com/file/d/1MSfmft_RTKxj_aR41j3C9WJAXqCe2PWd/view?usp=drivesdk","Abrir_Factura")</f>
        <v>Abrir_Factura</v>
      </c>
    </row>
    <row r="47" spans="1:29" ht="12.5">
      <c r="A47" s="4">
        <v>45986.411316759259</v>
      </c>
      <c r="B47" s="5">
        <v>89630</v>
      </c>
      <c r="C47" s="5">
        <v>80420054</v>
      </c>
      <c r="D47" s="5" t="s">
        <v>343</v>
      </c>
      <c r="F47" s="5" t="s">
        <v>344</v>
      </c>
      <c r="H47" s="5">
        <v>573112029123</v>
      </c>
      <c r="J47" s="5" t="s">
        <v>345</v>
      </c>
      <c r="K47" s="5" t="s">
        <v>110</v>
      </c>
      <c r="L47" s="5" t="s">
        <v>346</v>
      </c>
      <c r="M47" s="5">
        <v>3216433061</v>
      </c>
      <c r="N47" s="6">
        <v>45986</v>
      </c>
      <c r="O47" s="7">
        <v>0.75</v>
      </c>
      <c r="P47" s="5">
        <v>1</v>
      </c>
      <c r="Q47" s="5" t="s">
        <v>347</v>
      </c>
      <c r="R47" s="5">
        <v>294000</v>
      </c>
      <c r="S47" s="5">
        <v>0</v>
      </c>
      <c r="T47" s="5">
        <v>6000</v>
      </c>
      <c r="U47" s="5">
        <v>300000</v>
      </c>
      <c r="V47" s="5" t="s">
        <v>348</v>
      </c>
      <c r="W47" s="5" t="s">
        <v>36</v>
      </c>
      <c r="X47" s="5" t="s">
        <v>83</v>
      </c>
      <c r="Y47" s="5" t="s">
        <v>24</v>
      </c>
      <c r="Z47" s="5" t="s">
        <v>343</v>
      </c>
      <c r="AA47" s="5" t="s">
        <v>44</v>
      </c>
      <c r="AC47" s="8" t="str">
        <f>HYPERLINK("https://drive.google.com/file/d/12vTXMYKWPyYlvgDgk0cTM4eJqlGp50pB/view?usp=drivesdk","Abrir_Factura")</f>
        <v>Abrir_Factura</v>
      </c>
    </row>
    <row r="48" spans="1:29" ht="12.5">
      <c r="A48" s="4">
        <v>45986.623678726857</v>
      </c>
      <c r="B48" s="5">
        <v>89631</v>
      </c>
      <c r="C48" s="5">
        <v>1010077411</v>
      </c>
      <c r="D48" s="5" t="s">
        <v>349</v>
      </c>
      <c r="F48" s="5" t="s">
        <v>350</v>
      </c>
      <c r="H48" s="5" t="s">
        <v>25421</v>
      </c>
      <c r="J48" s="5" t="s">
        <v>349</v>
      </c>
      <c r="K48" s="5" t="s">
        <v>351</v>
      </c>
      <c r="L48" s="5" t="s">
        <v>352</v>
      </c>
      <c r="M48" s="5" t="s">
        <v>353</v>
      </c>
      <c r="N48" s="6">
        <v>45986</v>
      </c>
      <c r="O48" s="7">
        <v>0.70694444444444449</v>
      </c>
      <c r="P48" s="5">
        <v>1</v>
      </c>
      <c r="Q48" s="5" t="s">
        <v>75</v>
      </c>
      <c r="R48" s="5">
        <v>70000</v>
      </c>
      <c r="S48" s="5">
        <v>0</v>
      </c>
      <c r="T48" s="5">
        <v>11000</v>
      </c>
      <c r="U48" s="5">
        <v>81000</v>
      </c>
      <c r="V48" s="5" t="s">
        <v>354</v>
      </c>
      <c r="W48" s="5" t="s">
        <v>36</v>
      </c>
      <c r="X48" s="5" t="s">
        <v>67</v>
      </c>
      <c r="Y48" s="5" t="s">
        <v>24</v>
      </c>
      <c r="Z48" s="5" t="s">
        <v>355</v>
      </c>
      <c r="AA48" s="5" t="s">
        <v>69</v>
      </c>
      <c r="AC48" s="8" t="str">
        <f>HYPERLINK("https://drive.google.com/file/d/1a0L_K-jmT_50wk2Xe5bRvUINZ2Erjzuz/view?usp=drivesdk","Abrir_Factura")</f>
        <v>Abrir_Factura</v>
      </c>
    </row>
    <row r="49" spans="1:29" ht="12.5">
      <c r="A49" s="4">
        <v>45986.663213182866</v>
      </c>
      <c r="B49" s="5">
        <v>89632</v>
      </c>
      <c r="C49" s="5">
        <v>32723192</v>
      </c>
      <c r="D49" s="5" t="s">
        <v>356</v>
      </c>
      <c r="F49" s="5" t="s">
        <v>357</v>
      </c>
      <c r="H49" s="5">
        <v>573176609335</v>
      </c>
      <c r="J49" s="5" t="s">
        <v>358</v>
      </c>
      <c r="K49" s="5" t="s">
        <v>161</v>
      </c>
      <c r="L49" s="5" t="s">
        <v>359</v>
      </c>
      <c r="M49" s="5" t="s">
        <v>360</v>
      </c>
      <c r="N49" s="6">
        <v>45986</v>
      </c>
      <c r="O49" s="7">
        <v>0.74791666666666667</v>
      </c>
      <c r="P49" s="5">
        <v>1</v>
      </c>
      <c r="Q49" s="5" t="s">
        <v>361</v>
      </c>
      <c r="R49" s="5">
        <v>200000</v>
      </c>
      <c r="S49" s="5">
        <v>0</v>
      </c>
      <c r="T49" s="5">
        <v>8000</v>
      </c>
      <c r="U49" s="5">
        <v>208000</v>
      </c>
      <c r="W49" s="5" t="s">
        <v>36</v>
      </c>
      <c r="X49" s="5" t="s">
        <v>204</v>
      </c>
      <c r="Y49" s="5" t="s">
        <v>24</v>
      </c>
      <c r="AA49" s="5" t="s">
        <v>44</v>
      </c>
      <c r="AC49" s="8" t="str">
        <f>HYPERLINK("https://drive.google.com/file/d/1Q_f4iOQAy1iJ3M8xS47vhaHyNgE1HQvX/view?usp=drivesdk","Abrir_Factura")</f>
        <v>Abrir_Factura</v>
      </c>
    </row>
    <row r="50" spans="1:29" ht="12.5">
      <c r="A50" s="4">
        <v>45986.702875613424</v>
      </c>
      <c r="B50" s="5">
        <v>89633</v>
      </c>
      <c r="C50" s="5">
        <v>1045752007</v>
      </c>
      <c r="D50" s="5" t="s">
        <v>362</v>
      </c>
      <c r="F50" s="5" t="s">
        <v>363</v>
      </c>
      <c r="H50" s="5">
        <v>573022812819</v>
      </c>
      <c r="J50" s="5" t="s">
        <v>364</v>
      </c>
      <c r="K50" s="5" t="s">
        <v>249</v>
      </c>
      <c r="L50" s="5" t="s">
        <v>365</v>
      </c>
      <c r="M50" s="5">
        <v>3113106759</v>
      </c>
      <c r="N50" s="6">
        <v>45986</v>
      </c>
      <c r="O50" s="7">
        <v>0.78819444444444442</v>
      </c>
      <c r="P50" s="5">
        <v>1</v>
      </c>
      <c r="Q50" s="5" t="s">
        <v>75</v>
      </c>
      <c r="R50" s="5">
        <v>70000</v>
      </c>
      <c r="S50" s="5">
        <v>0</v>
      </c>
      <c r="T50" s="5">
        <v>10000</v>
      </c>
      <c r="U50" s="5">
        <v>80000</v>
      </c>
      <c r="W50" s="5" t="s">
        <v>36</v>
      </c>
      <c r="X50" s="5" t="s">
        <v>83</v>
      </c>
      <c r="Y50" s="5" t="s">
        <v>24</v>
      </c>
      <c r="AA50" s="5" t="s">
        <v>69</v>
      </c>
      <c r="AC50" s="8" t="str">
        <f>HYPERLINK("https://drive.google.com/file/d/1uuRLheIsPhD7sPgI0j-95rSNlXNgE6_o/view?usp=drivesdk","Abrir_Factura")</f>
        <v>Abrir_Factura</v>
      </c>
    </row>
    <row r="51" spans="1:29" ht="12.5">
      <c r="A51" s="4">
        <v>45986.705474259259</v>
      </c>
      <c r="B51" s="5">
        <v>89634</v>
      </c>
      <c r="C51" s="5">
        <v>1140856569</v>
      </c>
      <c r="D51" s="5" t="s">
        <v>366</v>
      </c>
      <c r="F51" s="5" t="s">
        <v>367</v>
      </c>
      <c r="H51" s="5">
        <v>57226133817</v>
      </c>
      <c r="J51" s="5" t="s">
        <v>368</v>
      </c>
      <c r="K51" s="5" t="s">
        <v>73</v>
      </c>
      <c r="L51" s="5" t="s">
        <v>369</v>
      </c>
      <c r="M51" s="5">
        <v>3008531481</v>
      </c>
      <c r="N51" s="6">
        <v>45986</v>
      </c>
      <c r="O51" s="7">
        <v>0.79097222222222219</v>
      </c>
      <c r="P51" s="5">
        <v>1</v>
      </c>
      <c r="Q51" s="5" t="s">
        <v>370</v>
      </c>
      <c r="R51" s="5">
        <v>260000</v>
      </c>
      <c r="S51" s="5">
        <v>0</v>
      </c>
      <c r="T51" s="5">
        <v>10000</v>
      </c>
      <c r="U51" s="5">
        <v>270000</v>
      </c>
      <c r="W51" s="5" t="s">
        <v>36</v>
      </c>
      <c r="X51" s="5" t="s">
        <v>67</v>
      </c>
      <c r="Y51" s="5" t="s">
        <v>24</v>
      </c>
      <c r="AA51" s="5" t="s">
        <v>44</v>
      </c>
      <c r="AC51" s="8" t="str">
        <f>HYPERLINK("https://drive.google.com/file/d/1UaIu7t43uf5-WlUu7MsY0QUMBxkfJxkn/view?usp=drivesdk","Abrir_Factura")</f>
        <v>Abrir_Factura</v>
      </c>
    </row>
    <row r="52" spans="1:29" ht="12.5">
      <c r="A52" s="4">
        <v>45987.31517332176</v>
      </c>
      <c r="B52" s="5">
        <v>89638</v>
      </c>
      <c r="C52" s="5">
        <v>22736562</v>
      </c>
      <c r="D52" s="5" t="s">
        <v>371</v>
      </c>
      <c r="F52" s="5" t="s">
        <v>372</v>
      </c>
      <c r="H52" s="5">
        <v>573017156935</v>
      </c>
      <c r="J52" s="5" t="s">
        <v>373</v>
      </c>
      <c r="K52" s="5" t="s">
        <v>110</v>
      </c>
      <c r="L52" s="5" t="s">
        <v>374</v>
      </c>
      <c r="M52" s="5">
        <v>3138692496</v>
      </c>
      <c r="N52" s="6">
        <v>45987</v>
      </c>
      <c r="O52" s="7">
        <v>0.4</v>
      </c>
      <c r="P52" s="5">
        <v>1</v>
      </c>
      <c r="Q52" s="5" t="s">
        <v>375</v>
      </c>
      <c r="R52" s="5">
        <v>70000</v>
      </c>
      <c r="S52" s="5">
        <v>0</v>
      </c>
      <c r="T52" s="5">
        <v>6000</v>
      </c>
      <c r="U52" s="5">
        <v>76000</v>
      </c>
      <c r="W52" s="5" t="s">
        <v>36</v>
      </c>
      <c r="X52" s="5" t="s">
        <v>67</v>
      </c>
      <c r="Y52" s="5" t="s">
        <v>24</v>
      </c>
      <c r="AA52" s="5" t="s">
        <v>69</v>
      </c>
      <c r="AC52" s="8" t="str">
        <f>HYPERLINK("https://drive.google.com/file/d/1t--nKRW2oaUJ7i78I1WFvuYdfXigzloV/view?usp=drivesdk","Abrir_Factura")</f>
        <v>Abrir_Factura</v>
      </c>
    </row>
    <row r="53" spans="1:29" ht="12.5">
      <c r="A53" s="4">
        <v>45987.36197017361</v>
      </c>
      <c r="B53" s="5">
        <v>89639</v>
      </c>
      <c r="C53" s="5">
        <v>1079914726</v>
      </c>
      <c r="D53" s="5" t="s">
        <v>376</v>
      </c>
      <c r="F53" s="5" t="s">
        <v>377</v>
      </c>
      <c r="H53" s="5">
        <v>573104214627</v>
      </c>
      <c r="J53" s="5" t="s">
        <v>378</v>
      </c>
      <c r="K53" s="5" t="s">
        <v>265</v>
      </c>
      <c r="L53" s="5" t="s">
        <v>379</v>
      </c>
      <c r="M53" s="5">
        <v>3104214627</v>
      </c>
      <c r="N53" s="6">
        <v>45987</v>
      </c>
      <c r="O53" s="7">
        <v>0.44513888888888886</v>
      </c>
      <c r="P53" s="5">
        <v>1</v>
      </c>
      <c r="Q53" s="5" t="s">
        <v>380</v>
      </c>
      <c r="R53" s="5">
        <v>300000</v>
      </c>
      <c r="S53" s="5">
        <v>0</v>
      </c>
      <c r="T53" s="5">
        <v>17000</v>
      </c>
      <c r="U53" s="5">
        <v>317000</v>
      </c>
      <c r="W53" s="5" t="s">
        <v>36</v>
      </c>
      <c r="X53" s="5" t="s">
        <v>67</v>
      </c>
      <c r="Y53" s="5" t="s">
        <v>24</v>
      </c>
      <c r="AA53" s="5" t="s">
        <v>69</v>
      </c>
      <c r="AC53" s="8" t="str">
        <f>HYPERLINK("https://drive.google.com/file/d/1r80m_yN2D6Mre1POsmrXGp7Gf1yeNBEV/view?usp=drivesdk","Abrir_Factura")</f>
        <v>Abrir_Factura</v>
      </c>
    </row>
    <row r="54" spans="1:29" ht="12.5">
      <c r="A54" s="4">
        <v>45987.388877268517</v>
      </c>
      <c r="B54" s="5">
        <v>89640</v>
      </c>
      <c r="C54" s="5">
        <v>1102882652</v>
      </c>
      <c r="D54" s="5" t="s">
        <v>381</v>
      </c>
      <c r="F54" s="5" t="s">
        <v>382</v>
      </c>
      <c r="H54" s="5">
        <v>573008593756</v>
      </c>
      <c r="J54" s="5" t="s">
        <v>383</v>
      </c>
      <c r="K54" s="5" t="s">
        <v>33</v>
      </c>
      <c r="L54" s="5" t="s">
        <v>34</v>
      </c>
      <c r="M54" s="5">
        <v>3008593756</v>
      </c>
      <c r="N54" s="6">
        <v>45988</v>
      </c>
      <c r="O54" s="7">
        <v>0.47916666666666669</v>
      </c>
      <c r="P54" s="5">
        <v>1</v>
      </c>
      <c r="Q54" s="5" t="s">
        <v>384</v>
      </c>
      <c r="R54" s="5">
        <v>153000</v>
      </c>
      <c r="S54" s="5">
        <v>0</v>
      </c>
      <c r="T54" s="5">
        <v>0</v>
      </c>
      <c r="U54" s="5">
        <v>153000</v>
      </c>
      <c r="V54" s="5" t="s">
        <v>385</v>
      </c>
      <c r="W54" s="5" t="s">
        <v>36</v>
      </c>
      <c r="X54" s="5" t="s">
        <v>43</v>
      </c>
      <c r="Y54" s="5" t="s">
        <v>24</v>
      </c>
      <c r="Z54" s="5" t="s">
        <v>385</v>
      </c>
      <c r="AA54" s="5" t="s">
        <v>44</v>
      </c>
      <c r="AC54" s="8" t="str">
        <f>HYPERLINK("https://drive.google.com/file/d/15sjSTbP7SepLak-mcCaFtc6n-VT1-t9L/view?usp=drivesdk","Abrir_Factura")</f>
        <v>Abrir_Factura</v>
      </c>
    </row>
    <row r="55" spans="1:29" ht="12.5">
      <c r="A55" s="4">
        <v>45987.390794328705</v>
      </c>
      <c r="B55" s="5">
        <v>89641</v>
      </c>
      <c r="C55" s="5">
        <v>1042351150</v>
      </c>
      <c r="D55" s="5" t="s">
        <v>386</v>
      </c>
      <c r="F55" s="5" t="s">
        <v>387</v>
      </c>
      <c r="H55" s="5">
        <v>573159282463</v>
      </c>
      <c r="J55" s="5" t="s">
        <v>388</v>
      </c>
      <c r="K55" s="5" t="s">
        <v>154</v>
      </c>
      <c r="L55" s="5" t="s">
        <v>389</v>
      </c>
      <c r="M55" s="5">
        <v>3113547794</v>
      </c>
      <c r="N55" s="6">
        <v>45987</v>
      </c>
      <c r="O55" s="7">
        <v>0.47430555555555554</v>
      </c>
      <c r="P55" s="5">
        <v>1</v>
      </c>
      <c r="Q55" s="5" t="s">
        <v>309</v>
      </c>
      <c r="R55" s="5">
        <v>80000</v>
      </c>
      <c r="S55" s="5">
        <v>0</v>
      </c>
      <c r="T55" s="5">
        <v>8000</v>
      </c>
      <c r="U55" s="5">
        <v>88000</v>
      </c>
      <c r="V55" s="5" t="s">
        <v>390</v>
      </c>
      <c r="W55" s="5" t="s">
        <v>36</v>
      </c>
      <c r="X55" s="5" t="s">
        <v>67</v>
      </c>
      <c r="Y55" s="5" t="s">
        <v>24</v>
      </c>
      <c r="Z55" s="5" t="s">
        <v>391</v>
      </c>
      <c r="AA55" s="5" t="s">
        <v>44</v>
      </c>
      <c r="AC55" s="8" t="str">
        <f>HYPERLINK("https://drive.google.com/file/d/1MvucbSSYL0h_nCmQbzlgMWNdqdCgtJPz/view?usp=drivesdk","Abrir_Factura")</f>
        <v>Abrir_Factura</v>
      </c>
    </row>
    <row r="56" spans="1:29" ht="12.5">
      <c r="A56" s="4">
        <v>45987.388185567128</v>
      </c>
      <c r="B56" s="5">
        <v>89643</v>
      </c>
      <c r="C56" s="5">
        <v>1140848061</v>
      </c>
      <c r="D56" s="5" t="s">
        <v>392</v>
      </c>
      <c r="F56" s="5" t="s">
        <v>393</v>
      </c>
      <c r="H56" s="5">
        <v>573147754370</v>
      </c>
      <c r="J56" s="5" t="s">
        <v>394</v>
      </c>
      <c r="K56" s="5" t="s">
        <v>103</v>
      </c>
      <c r="L56" s="5" t="s">
        <v>395</v>
      </c>
      <c r="M56" s="5">
        <v>3157076259</v>
      </c>
      <c r="N56" s="6">
        <v>45987</v>
      </c>
      <c r="O56" s="7">
        <v>0.46666666666666667</v>
      </c>
      <c r="P56" s="5">
        <v>1</v>
      </c>
      <c r="Q56" s="5" t="s">
        <v>375</v>
      </c>
      <c r="R56" s="5">
        <v>70000</v>
      </c>
      <c r="S56" s="5">
        <v>0</v>
      </c>
      <c r="T56" s="5">
        <v>10000</v>
      </c>
      <c r="U56" s="5">
        <v>80000</v>
      </c>
      <c r="V56" s="5" t="s">
        <v>396</v>
      </c>
      <c r="W56" s="5" t="s">
        <v>36</v>
      </c>
      <c r="X56" s="5" t="s">
        <v>67</v>
      </c>
      <c r="Y56" s="5" t="s">
        <v>24</v>
      </c>
      <c r="Z56" s="5" t="s">
        <v>397</v>
      </c>
      <c r="AA56" s="5" t="s">
        <v>44</v>
      </c>
      <c r="AC56" s="8" t="str">
        <f>HYPERLINK("https://drive.google.com/file/d/1PeRc7q0-wKflEmdQFokIAqpGQctpR2Kl/view?usp=drivesdk","Abrir_Factura")</f>
        <v>Abrir_Factura</v>
      </c>
    </row>
    <row r="57" spans="1:29" ht="12.5">
      <c r="A57" s="4">
        <v>45987.450852685186</v>
      </c>
      <c r="B57" s="5">
        <v>89645</v>
      </c>
      <c r="C57" s="5">
        <v>72297514</v>
      </c>
      <c r="D57" s="5" t="s">
        <v>398</v>
      </c>
      <c r="F57" s="5" t="s">
        <v>399</v>
      </c>
      <c r="H57" s="5">
        <v>573017486941</v>
      </c>
      <c r="J57" s="5" t="s">
        <v>400</v>
      </c>
      <c r="K57" s="5" t="s">
        <v>401</v>
      </c>
      <c r="L57" s="5" t="s">
        <v>402</v>
      </c>
      <c r="M57" s="5">
        <v>3005936006</v>
      </c>
      <c r="N57" s="6">
        <v>45987</v>
      </c>
      <c r="O57" s="7">
        <v>0.625</v>
      </c>
      <c r="P57" s="5">
        <v>1</v>
      </c>
      <c r="Q57" s="5" t="s">
        <v>178</v>
      </c>
      <c r="R57" s="5">
        <v>100000</v>
      </c>
      <c r="S57" s="5">
        <v>0</v>
      </c>
      <c r="T57" s="5">
        <v>12000</v>
      </c>
      <c r="U57" s="5">
        <v>112000</v>
      </c>
      <c r="V57" s="5" t="s">
        <v>403</v>
      </c>
      <c r="W57" s="5" t="s">
        <v>36</v>
      </c>
      <c r="X57" s="5" t="s">
        <v>67</v>
      </c>
      <c r="Y57" s="5" t="s">
        <v>310</v>
      </c>
      <c r="AA57" s="5" t="s">
        <v>69</v>
      </c>
      <c r="AC57" s="8" t="str">
        <f>HYPERLINK("https://drive.google.com/file/d/1R9l3APmZRHP4ncpmkR0sdus0f0bzTLdf/view?usp=drivesdk","Abrir_Factura")</f>
        <v>Abrir_Factura</v>
      </c>
    </row>
    <row r="58" spans="1:29" ht="12.5">
      <c r="A58" s="4">
        <v>45987.465909131948</v>
      </c>
      <c r="B58" s="5">
        <v>89647</v>
      </c>
      <c r="C58" s="5">
        <v>1140885990</v>
      </c>
      <c r="D58" s="5" t="s">
        <v>404</v>
      </c>
      <c r="F58" s="5" t="s">
        <v>387</v>
      </c>
      <c r="H58" s="5">
        <v>573015853230</v>
      </c>
      <c r="J58" s="5" t="s">
        <v>404</v>
      </c>
      <c r="K58" s="5" t="s">
        <v>405</v>
      </c>
      <c r="L58" s="5" t="s">
        <v>406</v>
      </c>
      <c r="M58" s="5">
        <v>3015853230</v>
      </c>
      <c r="N58" s="6">
        <v>45987</v>
      </c>
      <c r="O58" s="7">
        <v>0.625</v>
      </c>
      <c r="P58" s="5">
        <v>1</v>
      </c>
      <c r="Q58" s="5" t="s">
        <v>178</v>
      </c>
      <c r="R58" s="5">
        <v>100000</v>
      </c>
      <c r="S58" s="5">
        <v>0</v>
      </c>
      <c r="T58" s="5">
        <v>30000</v>
      </c>
      <c r="U58" s="5">
        <v>130000</v>
      </c>
      <c r="V58" s="5" t="s">
        <v>407</v>
      </c>
      <c r="W58" s="5" t="s">
        <v>36</v>
      </c>
      <c r="X58" s="5" t="s">
        <v>67</v>
      </c>
      <c r="Y58" s="5" t="s">
        <v>310</v>
      </c>
      <c r="AA58" s="5" t="s">
        <v>44</v>
      </c>
      <c r="AC58" s="8" t="str">
        <f>HYPERLINK("https://drive.google.com/file/d/1yITNndTl7ljW1u3FKI9s1_p2m0t-mnML/view?usp=drivesdk","Abrir_Factura")</f>
        <v>Abrir_Factura</v>
      </c>
    </row>
    <row r="59" spans="1:29" ht="12.5">
      <c r="A59" s="4">
        <v>45987.478045439813</v>
      </c>
      <c r="B59" s="5">
        <v>89648</v>
      </c>
      <c r="C59" s="5">
        <v>1020740415</v>
      </c>
      <c r="D59" s="5" t="s">
        <v>408</v>
      </c>
      <c r="F59" s="5" t="s">
        <v>409</v>
      </c>
      <c r="H59" s="5">
        <v>573008439408</v>
      </c>
      <c r="J59" s="5" t="s">
        <v>410</v>
      </c>
      <c r="K59" s="5" t="s">
        <v>154</v>
      </c>
      <c r="L59" s="5" t="s">
        <v>411</v>
      </c>
      <c r="M59" s="5">
        <v>3008439408</v>
      </c>
      <c r="N59" s="6">
        <v>45989</v>
      </c>
      <c r="O59" s="7">
        <v>0.33333333333333331</v>
      </c>
      <c r="P59" s="5">
        <v>1</v>
      </c>
      <c r="Q59" s="5" t="s">
        <v>239</v>
      </c>
      <c r="R59" s="5">
        <v>380000</v>
      </c>
      <c r="S59" s="5">
        <v>0</v>
      </c>
      <c r="T59" s="5">
        <v>8000</v>
      </c>
      <c r="U59" s="5">
        <v>388000</v>
      </c>
      <c r="V59" s="5" t="s">
        <v>412</v>
      </c>
      <c r="W59" s="5" t="s">
        <v>36</v>
      </c>
      <c r="X59" s="5" t="s">
        <v>67</v>
      </c>
      <c r="Y59" s="5" t="s">
        <v>24</v>
      </c>
      <c r="Z59" s="5" t="s">
        <v>413</v>
      </c>
      <c r="AA59" s="5" t="s">
        <v>69</v>
      </c>
      <c r="AC59" s="8" t="str">
        <f>HYPERLINK("https://drive.google.com/file/d/1g8pjexJg6gW2eriNoy9KtNlN_y-WDlEQ/view?usp=drivesdk","Abrir_Factura")</f>
        <v>Abrir_Factura</v>
      </c>
    </row>
    <row r="60" spans="1:29" ht="23.25" customHeight="1">
      <c r="A60" s="4">
        <v>45987.52451023148</v>
      </c>
      <c r="B60" s="5">
        <v>89649</v>
      </c>
      <c r="C60" s="5">
        <v>12221969151</v>
      </c>
      <c r="D60" s="5" t="s">
        <v>414</v>
      </c>
      <c r="F60" s="5" t="s">
        <v>415</v>
      </c>
      <c r="H60" s="5">
        <v>572402646180</v>
      </c>
      <c r="J60" s="5" t="s">
        <v>416</v>
      </c>
      <c r="K60" s="5" t="s">
        <v>33</v>
      </c>
      <c r="L60" s="5" t="s">
        <v>34</v>
      </c>
      <c r="M60" s="5">
        <v>2402646180</v>
      </c>
      <c r="N60" s="6">
        <v>45987</v>
      </c>
      <c r="O60" s="7">
        <v>0.61041666666666672</v>
      </c>
      <c r="P60" s="5">
        <v>1</v>
      </c>
      <c r="Q60" s="5" t="s">
        <v>309</v>
      </c>
      <c r="R60" s="5">
        <v>80000</v>
      </c>
      <c r="S60" s="5">
        <v>0</v>
      </c>
      <c r="T60" s="5">
        <v>0</v>
      </c>
      <c r="U60" s="5">
        <v>80000</v>
      </c>
      <c r="W60" s="5" t="s">
        <v>36</v>
      </c>
      <c r="X60" s="5" t="s">
        <v>43</v>
      </c>
      <c r="Y60" s="5" t="s">
        <v>24</v>
      </c>
      <c r="AA60" s="5" t="s">
        <v>44</v>
      </c>
      <c r="AB60" s="5" t="s">
        <v>225</v>
      </c>
      <c r="AC60" s="8" t="str">
        <f>HYPERLINK("https://drive.google.com/file/d/1OMkdGrSpZEQbZiu42BWVQhttX6_2Zdjm/view?usp=drivesdk","Abrir_Factura")</f>
        <v>Abrir_Factura</v>
      </c>
    </row>
    <row r="61" spans="1:29" ht="12.5">
      <c r="A61" s="4">
        <v>45987.570217650464</v>
      </c>
      <c r="B61" s="5">
        <v>89650</v>
      </c>
      <c r="C61" s="5">
        <v>1120750688</v>
      </c>
      <c r="D61" s="5" t="s">
        <v>417</v>
      </c>
      <c r="F61" s="5" t="s">
        <v>418</v>
      </c>
      <c r="H61" s="5">
        <v>573012153820</v>
      </c>
      <c r="J61" s="5" t="s">
        <v>419</v>
      </c>
      <c r="K61" s="5" t="s">
        <v>420</v>
      </c>
      <c r="L61" s="5" t="s">
        <v>421</v>
      </c>
      <c r="M61" s="5">
        <v>3135944149</v>
      </c>
      <c r="N61" s="6">
        <v>45987</v>
      </c>
      <c r="O61" s="7">
        <v>0.65486111111111112</v>
      </c>
      <c r="P61" s="5">
        <v>1</v>
      </c>
      <c r="Q61" s="5" t="s">
        <v>422</v>
      </c>
      <c r="R61" s="5">
        <v>130000</v>
      </c>
      <c r="S61" s="5">
        <v>0</v>
      </c>
      <c r="T61" s="5">
        <v>16000</v>
      </c>
      <c r="U61" s="5">
        <v>146000</v>
      </c>
      <c r="V61" s="5" t="s">
        <v>423</v>
      </c>
      <c r="W61" s="5" t="s">
        <v>36</v>
      </c>
      <c r="X61" s="5" t="s">
        <v>67</v>
      </c>
      <c r="Y61" s="5" t="s">
        <v>24</v>
      </c>
      <c r="Z61" s="5" t="s">
        <v>424</v>
      </c>
      <c r="AA61" s="5" t="s">
        <v>44</v>
      </c>
      <c r="AC61" s="8" t="str">
        <f>HYPERLINK("https://drive.google.com/file/d/1QtZ0XByhyUlEKYuDEWnR-8VW4RHriN9t/view?usp=drivesdk","Abrir_Factura")</f>
        <v>Abrir_Factura</v>
      </c>
    </row>
    <row r="62" spans="1:29" ht="12.5">
      <c r="A62" s="4">
        <v>45987.545230729171</v>
      </c>
      <c r="B62" s="5">
        <v>89651</v>
      </c>
      <c r="C62" s="5">
        <v>1123732178</v>
      </c>
      <c r="D62" s="5" t="s">
        <v>425</v>
      </c>
      <c r="F62" s="5" t="s">
        <v>426</v>
      </c>
      <c r="H62" s="5">
        <v>5731269606612</v>
      </c>
      <c r="J62" s="5" t="s">
        <v>427</v>
      </c>
      <c r="K62" s="5" t="s">
        <v>103</v>
      </c>
      <c r="L62" s="5" t="s">
        <v>428</v>
      </c>
      <c r="M62" s="5">
        <v>3003053176</v>
      </c>
      <c r="N62" s="6">
        <v>45987</v>
      </c>
      <c r="O62" s="7">
        <v>0.62569444444444444</v>
      </c>
      <c r="P62" s="5">
        <v>1</v>
      </c>
      <c r="Q62" s="5" t="s">
        <v>429</v>
      </c>
      <c r="R62" s="5">
        <v>238000</v>
      </c>
      <c r="S62" s="5">
        <v>0</v>
      </c>
      <c r="T62" s="5">
        <v>10000</v>
      </c>
      <c r="U62" s="5">
        <v>248000</v>
      </c>
      <c r="V62" s="5" t="s">
        <v>430</v>
      </c>
      <c r="W62" s="5" t="s">
        <v>36</v>
      </c>
      <c r="X62" s="5" t="s">
        <v>67</v>
      </c>
      <c r="Y62" s="5" t="s">
        <v>24</v>
      </c>
      <c r="Z62" s="5" t="s">
        <v>431</v>
      </c>
      <c r="AA62" s="5" t="s">
        <v>69</v>
      </c>
      <c r="AC62" s="8" t="str">
        <f>HYPERLINK("https://drive.google.com/file/d/1Fd4g8MUSBezfB7TqpSd_9Ez7wIEPgyYM/view?usp=drivesdk","Abrir_Factura")</f>
        <v>Abrir_Factura</v>
      </c>
    </row>
    <row r="63" spans="1:29" ht="12.5">
      <c r="A63" s="4">
        <v>45987.63121550926</v>
      </c>
      <c r="B63" s="5">
        <v>89652</v>
      </c>
      <c r="C63" s="5">
        <v>1001997753</v>
      </c>
      <c r="D63" s="5" t="s">
        <v>432</v>
      </c>
      <c r="F63" s="5" t="s">
        <v>433</v>
      </c>
      <c r="H63" s="5">
        <v>573128996844</v>
      </c>
      <c r="J63" s="5" t="s">
        <v>434</v>
      </c>
      <c r="K63" s="5" t="s">
        <v>33</v>
      </c>
      <c r="L63" s="5" t="s">
        <v>34</v>
      </c>
      <c r="M63" s="5">
        <v>3128996844</v>
      </c>
      <c r="N63" s="6">
        <v>45987</v>
      </c>
      <c r="O63" s="7">
        <v>0.71666666666666667</v>
      </c>
      <c r="P63" s="5">
        <v>1</v>
      </c>
      <c r="Q63" s="5" t="s">
        <v>435</v>
      </c>
      <c r="R63" s="5">
        <v>60000</v>
      </c>
      <c r="S63" s="5">
        <v>0</v>
      </c>
      <c r="T63" s="5">
        <v>0</v>
      </c>
      <c r="U63" s="5">
        <v>60000</v>
      </c>
      <c r="W63" s="5" t="s">
        <v>36</v>
      </c>
      <c r="X63" s="5" t="s">
        <v>51</v>
      </c>
      <c r="Y63" s="5" t="s">
        <v>24</v>
      </c>
      <c r="AA63" s="5" t="s">
        <v>44</v>
      </c>
      <c r="AC63" s="8" t="str">
        <f>HYPERLINK("https://drive.google.com/file/d/1vBgZ10_50crl_h_IIOnugVFhqoSAXhpN/view?usp=drivesdk","Abrir_Factura")</f>
        <v>Abrir_Factura</v>
      </c>
    </row>
    <row r="64" spans="1:29" ht="12.5">
      <c r="A64" s="4">
        <v>45987.635230462962</v>
      </c>
      <c r="B64" s="5">
        <v>89653</v>
      </c>
      <c r="C64" s="5">
        <v>0</v>
      </c>
      <c r="D64" s="5" t="s">
        <v>436</v>
      </c>
      <c r="F64" s="5" t="s">
        <v>437</v>
      </c>
      <c r="H64" s="5">
        <v>573226450395</v>
      </c>
      <c r="J64" s="5" t="s">
        <v>438</v>
      </c>
      <c r="K64" s="5" t="s">
        <v>351</v>
      </c>
      <c r="L64" s="5" t="s">
        <v>439</v>
      </c>
      <c r="M64" s="5">
        <v>3226450395</v>
      </c>
      <c r="N64" s="6">
        <v>45987</v>
      </c>
      <c r="O64" s="7">
        <v>0.72013888888888888</v>
      </c>
      <c r="P64" s="5">
        <v>1</v>
      </c>
      <c r="Q64" s="5" t="s">
        <v>178</v>
      </c>
      <c r="R64" s="5">
        <v>100000</v>
      </c>
      <c r="S64" s="5">
        <v>0</v>
      </c>
      <c r="T64" s="5">
        <v>11000</v>
      </c>
      <c r="U64" s="5">
        <v>111000</v>
      </c>
      <c r="W64" s="5" t="s">
        <v>36</v>
      </c>
      <c r="X64" s="5" t="s">
        <v>67</v>
      </c>
      <c r="Y64" s="5" t="s">
        <v>24</v>
      </c>
      <c r="AA64" s="5" t="s">
        <v>69</v>
      </c>
      <c r="AC64" s="8" t="str">
        <f>HYPERLINK("https://drive.google.com/file/d/1niJ_fMVvxJNceZp22swFZeAUZcY_1KaX/view?usp=drivesdk","Abrir_Factura")</f>
        <v>Abrir_Factura</v>
      </c>
    </row>
    <row r="65" spans="1:29" ht="12.5">
      <c r="A65" s="4">
        <v>45987.510357430554</v>
      </c>
      <c r="B65" s="5">
        <v>89654</v>
      </c>
      <c r="C65" s="5">
        <v>1002439554</v>
      </c>
      <c r="D65" s="5" t="s">
        <v>440</v>
      </c>
      <c r="F65" s="5" t="s">
        <v>441</v>
      </c>
      <c r="H65" s="5">
        <v>573147511194</v>
      </c>
      <c r="J65" s="5" t="s">
        <v>442</v>
      </c>
      <c r="K65" s="5" t="s">
        <v>33</v>
      </c>
      <c r="L65" s="5" t="s">
        <v>34</v>
      </c>
      <c r="M65" s="5">
        <v>3147511194</v>
      </c>
      <c r="N65" s="6">
        <v>45987</v>
      </c>
      <c r="O65" s="7">
        <v>0.625</v>
      </c>
      <c r="P65" s="5">
        <v>1</v>
      </c>
      <c r="Q65" s="5" t="s">
        <v>259</v>
      </c>
      <c r="R65" s="5">
        <v>190000</v>
      </c>
      <c r="S65" s="5">
        <v>0</v>
      </c>
      <c r="T65" s="5">
        <v>0</v>
      </c>
      <c r="U65" s="5">
        <v>190000</v>
      </c>
      <c r="V65" s="5" t="s">
        <v>443</v>
      </c>
      <c r="W65" s="5" t="s">
        <v>36</v>
      </c>
      <c r="X65" s="5" t="s">
        <v>98</v>
      </c>
      <c r="Y65" s="5" t="s">
        <v>24</v>
      </c>
      <c r="Z65" s="5" t="s">
        <v>444</v>
      </c>
      <c r="AA65" s="5" t="s">
        <v>69</v>
      </c>
      <c r="AC65" s="8" t="str">
        <f>HYPERLINK("https://drive.google.com/file/d/1kfc_sh6rFThB_5o4kIBh4DFzW6YcSBpR/view?usp=drivesdk","Abrir_Factura")</f>
        <v>Abrir_Factura</v>
      </c>
    </row>
    <row r="66" spans="1:29" ht="12.5">
      <c r="A66" s="4">
        <v>45987.656696041668</v>
      </c>
      <c r="B66" s="5">
        <v>89655</v>
      </c>
      <c r="C66" s="5">
        <v>1234094577</v>
      </c>
      <c r="D66" s="5" t="s">
        <v>445</v>
      </c>
      <c r="F66" s="5" t="s">
        <v>446</v>
      </c>
      <c r="H66" s="5">
        <v>5734624368707</v>
      </c>
      <c r="J66" s="5" t="s">
        <v>447</v>
      </c>
      <c r="K66" s="5" t="s">
        <v>448</v>
      </c>
      <c r="L66" s="5" t="s">
        <v>449</v>
      </c>
      <c r="M66" s="5">
        <v>3186013144</v>
      </c>
      <c r="N66" s="6">
        <v>45987</v>
      </c>
      <c r="O66" s="7">
        <v>0.74097222222222225</v>
      </c>
      <c r="P66" s="5">
        <v>1</v>
      </c>
      <c r="Q66" s="5" t="s">
        <v>322</v>
      </c>
      <c r="R66" s="5">
        <v>120000</v>
      </c>
      <c r="S66" s="5">
        <v>0</v>
      </c>
      <c r="T66" s="5">
        <v>15000</v>
      </c>
      <c r="U66" s="5">
        <v>135000</v>
      </c>
      <c r="W66" s="5" t="s">
        <v>36</v>
      </c>
      <c r="X66" s="5" t="s">
        <v>180</v>
      </c>
      <c r="Y66" s="5" t="s">
        <v>24</v>
      </c>
      <c r="AA66" s="5" t="s">
        <v>69</v>
      </c>
      <c r="AC66" s="8" t="str">
        <f>HYPERLINK("https://drive.google.com/file/d/17TekeX_8slCu2msFrErTkaxBkinglIJz/view?usp=drivesdk","Abrir_Factura")</f>
        <v>Abrir_Factura</v>
      </c>
    </row>
    <row r="67" spans="1:29" ht="19.5" customHeight="1">
      <c r="A67" s="4">
        <v>45987.66790645833</v>
      </c>
      <c r="B67" s="5">
        <v>89656</v>
      </c>
      <c r="C67" s="5">
        <v>1065617402</v>
      </c>
      <c r="D67" s="5" t="s">
        <v>450</v>
      </c>
      <c r="F67" s="5" t="s">
        <v>451</v>
      </c>
      <c r="H67" s="5">
        <v>573233030894</v>
      </c>
      <c r="J67" s="5" t="s">
        <v>452</v>
      </c>
      <c r="K67" s="5" t="s">
        <v>124</v>
      </c>
      <c r="L67" s="5" t="s">
        <v>453</v>
      </c>
      <c r="M67" s="5">
        <v>3233030894</v>
      </c>
      <c r="N67" s="6">
        <v>45987</v>
      </c>
      <c r="O67" s="7">
        <v>0.75347222222222221</v>
      </c>
      <c r="P67" s="5">
        <v>1</v>
      </c>
      <c r="Q67" s="5" t="s">
        <v>75</v>
      </c>
      <c r="R67" s="5">
        <v>70000</v>
      </c>
      <c r="S67" s="5">
        <v>0</v>
      </c>
      <c r="T67" s="5">
        <v>12000</v>
      </c>
      <c r="U67" s="5">
        <v>82000</v>
      </c>
      <c r="W67" s="5" t="s">
        <v>36</v>
      </c>
      <c r="X67" s="5" t="s">
        <v>196</v>
      </c>
      <c r="Y67" s="5" t="s">
        <v>24</v>
      </c>
      <c r="AA67" s="5" t="s">
        <v>44</v>
      </c>
      <c r="AC67" s="8" t="str">
        <f>HYPERLINK("https://drive.google.com/file/d/1dcOGe6DyM-LosU_4u7brTyCeG5ggdp0z/view?usp=drivesdk","Abrir_Factura")</f>
        <v>Abrir_Factura</v>
      </c>
    </row>
    <row r="68" spans="1:29" ht="12.5">
      <c r="A68" s="4">
        <v>45987.712255659717</v>
      </c>
      <c r="B68" s="5">
        <v>89657</v>
      </c>
      <c r="C68" s="5">
        <v>80240210</v>
      </c>
      <c r="D68" s="5" t="s">
        <v>454</v>
      </c>
      <c r="F68" s="5" t="s">
        <v>455</v>
      </c>
      <c r="H68" s="5">
        <v>573165292287</v>
      </c>
      <c r="J68" s="5" t="s">
        <v>456</v>
      </c>
      <c r="K68" s="5" t="s">
        <v>79</v>
      </c>
      <c r="L68" s="5" t="s">
        <v>457</v>
      </c>
      <c r="M68" s="5">
        <v>3165292287</v>
      </c>
      <c r="N68" s="6">
        <v>45987</v>
      </c>
      <c r="O68" s="7">
        <v>0.79861111111111116</v>
      </c>
      <c r="P68" s="5">
        <v>1</v>
      </c>
      <c r="Q68" s="5" t="s">
        <v>458</v>
      </c>
      <c r="R68" s="5">
        <v>320000</v>
      </c>
      <c r="S68" s="5">
        <v>0</v>
      </c>
      <c r="T68" s="5">
        <v>10000</v>
      </c>
      <c r="U68" s="5">
        <v>330000</v>
      </c>
      <c r="V68" s="5" t="s">
        <v>459</v>
      </c>
      <c r="W68" s="5" t="s">
        <v>36</v>
      </c>
      <c r="X68" s="5" t="s">
        <v>98</v>
      </c>
      <c r="Y68" s="5" t="s">
        <v>24</v>
      </c>
      <c r="Z68" s="5" t="s">
        <v>460</v>
      </c>
      <c r="AA68" s="5" t="s">
        <v>44</v>
      </c>
      <c r="AC68" s="8" t="str">
        <f>HYPERLINK("https://drive.google.com/file/d/1-PaH4bwvumALI8dcTYFoRr8r0TdXi67k/view?usp=drivesdk","Abrir_Factura")</f>
        <v>Abrir_Factura</v>
      </c>
    </row>
    <row r="69" spans="1:29" ht="12.5">
      <c r="A69" s="4">
        <v>45988.319130046293</v>
      </c>
      <c r="B69" s="5">
        <v>89658</v>
      </c>
      <c r="C69" s="5">
        <v>1143142098</v>
      </c>
      <c r="D69" s="5" t="s">
        <v>461</v>
      </c>
      <c r="F69" s="5" t="s">
        <v>462</v>
      </c>
      <c r="H69" s="5">
        <v>573013535388</v>
      </c>
      <c r="J69" s="5" t="s">
        <v>463</v>
      </c>
      <c r="K69" s="5" t="s">
        <v>464</v>
      </c>
      <c r="L69" s="5" t="s">
        <v>465</v>
      </c>
      <c r="M69" s="5" t="s">
        <v>25421</v>
      </c>
      <c r="N69" s="6">
        <v>45992</v>
      </c>
      <c r="O69" s="7">
        <v>0.93888888888888888</v>
      </c>
      <c r="P69" s="5">
        <v>1</v>
      </c>
      <c r="Q69" s="5" t="s">
        <v>422</v>
      </c>
      <c r="R69" s="5">
        <v>130000</v>
      </c>
      <c r="S69" s="5">
        <v>0</v>
      </c>
      <c r="T69" s="5">
        <v>20000</v>
      </c>
      <c r="U69" s="5">
        <v>150000</v>
      </c>
      <c r="V69" s="5" t="s">
        <v>466</v>
      </c>
      <c r="W69" s="5" t="s">
        <v>36</v>
      </c>
      <c r="X69" s="5" t="s">
        <v>83</v>
      </c>
      <c r="Y69" s="5" t="s">
        <v>24</v>
      </c>
      <c r="Z69" s="5" t="s">
        <v>467</v>
      </c>
      <c r="AA69" s="5" t="s">
        <v>69</v>
      </c>
      <c r="AC69" s="8" t="str">
        <f>HYPERLINK("https://drive.google.com/file/d/11V8DLMy10_NVUGwJwfsNemZTO_WepDEo/view?usp=drivesdk","Abrir_Factura")</f>
        <v>Abrir_Factura</v>
      </c>
    </row>
    <row r="70" spans="1:29" ht="12.5">
      <c r="A70" s="4">
        <v>45988.353433402779</v>
      </c>
      <c r="B70" s="5">
        <v>89659</v>
      </c>
      <c r="C70" s="5">
        <v>1192767057</v>
      </c>
      <c r="D70" s="5" t="s">
        <v>468</v>
      </c>
      <c r="F70" s="5" t="s">
        <v>469</v>
      </c>
      <c r="H70" s="5">
        <v>573104363236</v>
      </c>
      <c r="J70" s="5" t="s">
        <v>470</v>
      </c>
      <c r="K70" s="5" t="s">
        <v>307</v>
      </c>
      <c r="L70" s="5" t="s">
        <v>471</v>
      </c>
      <c r="M70" s="5">
        <v>3104363236</v>
      </c>
      <c r="N70" s="6">
        <v>45988</v>
      </c>
      <c r="O70" s="7">
        <v>0.43611111111111112</v>
      </c>
      <c r="P70" s="5">
        <v>1</v>
      </c>
      <c r="Q70" s="5" t="s">
        <v>309</v>
      </c>
      <c r="R70" s="5">
        <v>80000</v>
      </c>
      <c r="S70" s="5">
        <v>0</v>
      </c>
      <c r="T70" s="5">
        <v>10000</v>
      </c>
      <c r="U70" s="5">
        <v>90000</v>
      </c>
      <c r="V70" s="5" t="s">
        <v>472</v>
      </c>
      <c r="W70" s="5" t="s">
        <v>36</v>
      </c>
      <c r="X70" s="5" t="s">
        <v>83</v>
      </c>
      <c r="Y70" s="5" t="s">
        <v>24</v>
      </c>
      <c r="Z70" s="5" t="s">
        <v>473</v>
      </c>
      <c r="AA70" s="5" t="s">
        <v>69</v>
      </c>
      <c r="AC70" s="8" t="str">
        <f>HYPERLINK("https://drive.google.com/file/d/1Hf3AnJtl8ETq6gVRHQxh-wAzTU6oJy1U/view?usp=drivesdk","Abrir_Factura")</f>
        <v>Abrir_Factura</v>
      </c>
    </row>
    <row r="71" spans="1:29" ht="20.25" customHeight="1">
      <c r="A71" s="4">
        <v>45988.393398900458</v>
      </c>
      <c r="B71" s="5">
        <v>89681</v>
      </c>
      <c r="C71" s="5">
        <v>1234092314</v>
      </c>
      <c r="D71" s="5" t="s">
        <v>474</v>
      </c>
      <c r="F71" s="5" t="s">
        <v>475</v>
      </c>
      <c r="H71" s="5">
        <v>573117074781</v>
      </c>
      <c r="J71" s="5" t="s">
        <v>476</v>
      </c>
      <c r="K71" s="5" t="s">
        <v>124</v>
      </c>
      <c r="L71" s="5" t="s">
        <v>477</v>
      </c>
      <c r="M71" s="5">
        <v>3007010583</v>
      </c>
      <c r="N71" s="6">
        <v>45988</v>
      </c>
      <c r="O71" s="7">
        <v>0.47222222222222221</v>
      </c>
      <c r="P71" s="5">
        <v>1</v>
      </c>
      <c r="Q71" s="5" t="s">
        <v>75</v>
      </c>
      <c r="R71" s="5">
        <v>70000</v>
      </c>
      <c r="S71" s="5">
        <v>0</v>
      </c>
      <c r="T71" s="5">
        <v>12000</v>
      </c>
      <c r="U71" s="5">
        <v>82000</v>
      </c>
      <c r="V71" s="5" t="s">
        <v>478</v>
      </c>
      <c r="W71" s="5" t="s">
        <v>36</v>
      </c>
      <c r="X71" s="5" t="s">
        <v>180</v>
      </c>
      <c r="Y71" s="5" t="s">
        <v>24</v>
      </c>
      <c r="Z71" s="5" t="s">
        <v>479</v>
      </c>
      <c r="AA71" s="5" t="s">
        <v>44</v>
      </c>
      <c r="AC71" s="8" t="str">
        <f>HYPERLINK("https://drive.google.com/file/d/16CKavTy2D6vaE6xSZCxR9jXHZsQriGSs/view?usp=drivesdk","Abrir_Factura")</f>
        <v>Abrir_Factura</v>
      </c>
    </row>
    <row r="72" spans="1:29" ht="12.5">
      <c r="A72" s="4">
        <v>45988.382505474539</v>
      </c>
      <c r="B72" s="5">
        <v>89682</v>
      </c>
      <c r="C72" s="5">
        <v>1121555531</v>
      </c>
      <c r="D72" s="5" t="s">
        <v>480</v>
      </c>
      <c r="F72" s="5" t="s">
        <v>481</v>
      </c>
      <c r="H72" s="5">
        <v>573164502773</v>
      </c>
      <c r="J72" s="5" t="s">
        <v>482</v>
      </c>
      <c r="K72" s="5" t="s">
        <v>63</v>
      </c>
      <c r="L72" s="5" t="s">
        <v>483</v>
      </c>
      <c r="M72" s="5">
        <v>3164502773</v>
      </c>
      <c r="N72" s="6">
        <v>45988</v>
      </c>
      <c r="O72" s="7">
        <v>0.47916666666666669</v>
      </c>
      <c r="P72" s="5">
        <v>1</v>
      </c>
      <c r="Q72" s="5" t="s">
        <v>65</v>
      </c>
      <c r="R72" s="5">
        <v>70000</v>
      </c>
      <c r="S72" s="5">
        <v>0</v>
      </c>
      <c r="T72" s="5">
        <v>17000</v>
      </c>
      <c r="U72" s="5">
        <v>87000</v>
      </c>
      <c r="V72" s="5" t="s">
        <v>484</v>
      </c>
      <c r="W72" s="5" t="s">
        <v>36</v>
      </c>
      <c r="X72" s="5" t="s">
        <v>67</v>
      </c>
      <c r="Y72" s="5" t="s">
        <v>24</v>
      </c>
      <c r="Z72" s="5" t="s">
        <v>485</v>
      </c>
      <c r="AA72" s="5" t="s">
        <v>44</v>
      </c>
      <c r="AC72" s="8" t="str">
        <f>HYPERLINK("https://drive.google.com/file/d/1mwjbQkhQmDg1arMNyvpD38SfnIoLxhGr/view?usp=drivesdk","Abrir_Factura")</f>
        <v>Abrir_Factura</v>
      </c>
    </row>
    <row r="73" spans="1:29" ht="12.5">
      <c r="A73" s="4">
        <v>45988.401284664353</v>
      </c>
      <c r="B73" s="5">
        <v>89684</v>
      </c>
      <c r="C73" s="5">
        <v>44154964</v>
      </c>
      <c r="D73" s="5" t="s">
        <v>486</v>
      </c>
      <c r="F73" s="5" t="s">
        <v>487</v>
      </c>
      <c r="H73" s="5">
        <f>17728993732</f>
        <v>17728993732</v>
      </c>
      <c r="J73" s="5" t="s">
        <v>488</v>
      </c>
      <c r="K73" s="5" t="s">
        <v>405</v>
      </c>
      <c r="L73" s="5" t="s">
        <v>489</v>
      </c>
      <c r="M73" s="5">
        <v>573046525981</v>
      </c>
      <c r="N73" s="6">
        <v>45989</v>
      </c>
      <c r="O73" s="7">
        <v>0.45833333333333331</v>
      </c>
      <c r="P73" s="5">
        <v>1</v>
      </c>
      <c r="Q73" s="5" t="s">
        <v>75</v>
      </c>
      <c r="R73" s="5">
        <v>70000</v>
      </c>
      <c r="S73" s="5">
        <v>0</v>
      </c>
      <c r="T73" s="5">
        <v>30000</v>
      </c>
      <c r="U73" s="5">
        <v>100000</v>
      </c>
      <c r="V73" s="5" t="s">
        <v>490</v>
      </c>
      <c r="W73" s="5" t="s">
        <v>36</v>
      </c>
      <c r="X73" s="5" t="s">
        <v>98</v>
      </c>
      <c r="Y73" s="5" t="s">
        <v>24</v>
      </c>
      <c r="Z73" s="5" t="s">
        <v>491</v>
      </c>
      <c r="AA73" s="5" t="s">
        <v>44</v>
      </c>
      <c r="AC73" s="8" t="str">
        <f>HYPERLINK("https://drive.google.com/file/d/12uH0D1U4bggh5_2v_EUOFK5Lon3HQKT-/view?usp=drivesdk","Abrir_Factura")</f>
        <v>Abrir_Factura</v>
      </c>
    </row>
    <row r="74" spans="1:29" ht="12.5">
      <c r="A74" s="4">
        <v>45988.401888622684</v>
      </c>
      <c r="B74" s="5">
        <v>89685</v>
      </c>
      <c r="C74" s="5">
        <v>1007016681</v>
      </c>
      <c r="D74" s="5" t="s">
        <v>492</v>
      </c>
      <c r="F74" s="5" t="s">
        <v>493</v>
      </c>
      <c r="H74" s="5">
        <v>573105204973</v>
      </c>
      <c r="J74" s="5" t="s">
        <v>494</v>
      </c>
      <c r="K74" s="5" t="s">
        <v>185</v>
      </c>
      <c r="L74" s="5" t="s">
        <v>495</v>
      </c>
      <c r="M74" s="5">
        <v>3103608136</v>
      </c>
      <c r="N74" s="6">
        <v>45988</v>
      </c>
      <c r="O74" s="7">
        <v>0.48749999999999999</v>
      </c>
      <c r="P74" s="5">
        <v>1</v>
      </c>
      <c r="Q74" s="5" t="s">
        <v>375</v>
      </c>
      <c r="R74" s="5">
        <v>70000</v>
      </c>
      <c r="S74" s="5">
        <v>0</v>
      </c>
      <c r="T74" s="5">
        <v>8000</v>
      </c>
      <c r="U74" s="5">
        <v>78000</v>
      </c>
      <c r="V74" s="5" t="s">
        <v>496</v>
      </c>
      <c r="W74" s="5" t="s">
        <v>36</v>
      </c>
      <c r="X74" s="5" t="s">
        <v>83</v>
      </c>
      <c r="Y74" s="5" t="s">
        <v>24</v>
      </c>
      <c r="Z74" s="5" t="s">
        <v>497</v>
      </c>
      <c r="AA74" s="5" t="s">
        <v>69</v>
      </c>
      <c r="AB74" s="5">
        <v>17862477283</v>
      </c>
      <c r="AC74" s="8" t="str">
        <f>HYPERLINK("https://drive.google.com/file/d/18TN7qrRm8ZzXNrxblPjg79buvB5gMiHS/view?usp=drivesdk", "Abrir_Factura")</f>
        <v>Abrir_Factura</v>
      </c>
    </row>
    <row r="75" spans="1:29" ht="12.5">
      <c r="A75" s="4">
        <v>45988.421712268522</v>
      </c>
      <c r="B75" s="5">
        <v>89686</v>
      </c>
      <c r="C75" s="5">
        <v>1003000035</v>
      </c>
      <c r="D75" s="5" t="s">
        <v>417</v>
      </c>
      <c r="F75" s="5" t="s">
        <v>498</v>
      </c>
      <c r="H75" s="5">
        <v>573054888516</v>
      </c>
      <c r="J75" s="5" t="s">
        <v>499</v>
      </c>
      <c r="K75" s="5" t="s">
        <v>265</v>
      </c>
      <c r="L75" s="5" t="s">
        <v>500</v>
      </c>
      <c r="M75" s="5" t="s">
        <v>501</v>
      </c>
      <c r="N75" s="6">
        <v>45988</v>
      </c>
      <c r="O75" s="7">
        <v>0.49652777777777779</v>
      </c>
      <c r="P75" s="5">
        <v>1</v>
      </c>
      <c r="Q75" s="5" t="s">
        <v>375</v>
      </c>
      <c r="R75" s="5">
        <v>70000</v>
      </c>
      <c r="S75" s="5">
        <v>0</v>
      </c>
      <c r="T75" s="5">
        <v>17000</v>
      </c>
      <c r="U75" s="5">
        <v>87000</v>
      </c>
      <c r="W75" s="5" t="s">
        <v>36</v>
      </c>
      <c r="X75" s="5" t="s">
        <v>83</v>
      </c>
      <c r="Y75" s="5" t="s">
        <v>24</v>
      </c>
      <c r="Z75" s="5" t="s">
        <v>502</v>
      </c>
      <c r="AA75" s="5" t="s">
        <v>44</v>
      </c>
      <c r="AC75" s="8" t="str">
        <f>HYPERLINK("https://drive.google.com/file/d/19kkw9nKdK_AKjIRrNi2tuGuQWyt5sfP3/view?usp=drivesdk","Abrir_Factura")</f>
        <v>Abrir_Factura</v>
      </c>
    </row>
    <row r="76" spans="1:29" ht="12.5">
      <c r="A76" s="4">
        <v>45988.448140740744</v>
      </c>
      <c r="B76" s="5">
        <v>89687</v>
      </c>
      <c r="C76" s="5">
        <v>1192816447</v>
      </c>
      <c r="D76" s="5" t="s">
        <v>503</v>
      </c>
      <c r="F76" s="5" t="s">
        <v>504</v>
      </c>
      <c r="H76" s="5">
        <v>573172391248</v>
      </c>
      <c r="J76" s="5" t="s">
        <v>505</v>
      </c>
      <c r="K76" s="5" t="s">
        <v>405</v>
      </c>
      <c r="L76" s="5" t="s">
        <v>506</v>
      </c>
      <c r="M76" s="5">
        <v>3172391248</v>
      </c>
      <c r="N76" s="6">
        <v>45988</v>
      </c>
      <c r="O76" s="7">
        <v>0.52361111111111114</v>
      </c>
      <c r="P76" s="5">
        <v>1</v>
      </c>
      <c r="Q76" s="5" t="s">
        <v>65</v>
      </c>
      <c r="R76" s="5">
        <v>70000</v>
      </c>
      <c r="S76" s="5">
        <v>0</v>
      </c>
      <c r="T76" s="5">
        <v>30000</v>
      </c>
      <c r="U76" s="5">
        <v>100000</v>
      </c>
      <c r="V76" s="5" t="s">
        <v>507</v>
      </c>
      <c r="W76" s="5" t="s">
        <v>36</v>
      </c>
      <c r="X76" s="5" t="s">
        <v>83</v>
      </c>
      <c r="Y76" s="5" t="s">
        <v>24</v>
      </c>
      <c r="Z76" s="5" t="s">
        <v>508</v>
      </c>
      <c r="AA76" s="5" t="s">
        <v>69</v>
      </c>
      <c r="AC76" s="8" t="str">
        <f>HYPERLINK("https://drive.google.com/file/d/1j3ASJabP19sEJ-WKWHqmQjByfzZb1ykT/view?usp=drivesdk","Abrir_Factura")</f>
        <v>Abrir_Factura</v>
      </c>
    </row>
    <row r="77" spans="1:29" ht="12.5">
      <c r="A77" s="4">
        <v>45988.485333229168</v>
      </c>
      <c r="B77" s="5">
        <v>89688</v>
      </c>
      <c r="C77" s="5">
        <v>85467695</v>
      </c>
      <c r="D77" s="5" t="s">
        <v>509</v>
      </c>
      <c r="F77" s="5" t="s">
        <v>510</v>
      </c>
      <c r="H77" s="5">
        <v>573166907488</v>
      </c>
      <c r="J77" s="5" t="s">
        <v>511</v>
      </c>
      <c r="K77" s="5" t="s">
        <v>33</v>
      </c>
      <c r="L77" s="5" t="s">
        <v>34</v>
      </c>
      <c r="M77" s="5">
        <v>3166907488</v>
      </c>
      <c r="N77" s="6">
        <v>45988</v>
      </c>
      <c r="O77" s="7">
        <v>0.6118055555555556</v>
      </c>
      <c r="P77" s="5">
        <v>1</v>
      </c>
      <c r="Q77" s="5" t="s">
        <v>170</v>
      </c>
      <c r="R77" s="5">
        <v>300000</v>
      </c>
      <c r="S77" s="5">
        <v>0</v>
      </c>
      <c r="T77" s="5">
        <v>0</v>
      </c>
      <c r="U77" s="5">
        <v>300000</v>
      </c>
      <c r="V77" s="5" t="s">
        <v>512</v>
      </c>
      <c r="W77" s="5" t="s">
        <v>36</v>
      </c>
      <c r="X77" s="5" t="s">
        <v>51</v>
      </c>
      <c r="Y77" s="5" t="s">
        <v>310</v>
      </c>
      <c r="AA77" s="5" t="s">
        <v>44</v>
      </c>
      <c r="AC77" s="8" t="str">
        <f>HYPERLINK("https://drive.google.com/file/d/1Bckccwek0H_JgcUa6Yhy4-ob0Gf5NHb_/view?usp=drivesdk","Abrir_Factura")</f>
        <v>Abrir_Factura</v>
      </c>
    </row>
    <row r="78" spans="1:29" ht="12.5">
      <c r="A78" s="4">
        <v>45987.951560231479</v>
      </c>
      <c r="B78" s="5">
        <v>89689</v>
      </c>
      <c r="C78" s="5">
        <v>1043841188</v>
      </c>
      <c r="D78" s="5" t="s">
        <v>513</v>
      </c>
      <c r="F78" s="5" t="s">
        <v>514</v>
      </c>
      <c r="H78" s="5">
        <v>573205928079</v>
      </c>
      <c r="J78" s="5" t="s">
        <v>515</v>
      </c>
      <c r="K78" s="5" t="s">
        <v>516</v>
      </c>
      <c r="L78" s="5" t="s">
        <v>517</v>
      </c>
      <c r="M78" s="5" t="s">
        <v>518</v>
      </c>
      <c r="N78" s="6">
        <v>45988</v>
      </c>
      <c r="O78" s="7">
        <v>0.54166666666666663</v>
      </c>
      <c r="P78" s="5">
        <v>1</v>
      </c>
      <c r="Q78" s="5" t="s">
        <v>375</v>
      </c>
      <c r="R78" s="5">
        <v>70000</v>
      </c>
      <c r="S78" s="5">
        <v>0</v>
      </c>
      <c r="T78" s="5">
        <v>10000</v>
      </c>
      <c r="U78" s="5">
        <v>80000</v>
      </c>
      <c r="V78" s="5" t="s">
        <v>519</v>
      </c>
      <c r="W78" s="5" t="s">
        <v>36</v>
      </c>
      <c r="X78" s="5" t="s">
        <v>83</v>
      </c>
      <c r="Y78" s="5" t="s">
        <v>24</v>
      </c>
      <c r="Z78" s="5" t="s">
        <v>520</v>
      </c>
      <c r="AA78" s="5" t="s">
        <v>44</v>
      </c>
      <c r="AC78" s="8" t="str">
        <f>HYPERLINK("https://drive.google.com/file/d/1h7waYFPF6Mnz1nOyxU4sjyD-OZsWrZZJ/view?usp=drivesdk","Abrir_Factura")</f>
        <v>Abrir_Factura</v>
      </c>
    </row>
    <row r="79" spans="1:29" ht="12.5">
      <c r="A79" s="12">
        <v>45988</v>
      </c>
      <c r="B79" s="5">
        <v>89690</v>
      </c>
      <c r="C79" s="5">
        <v>32748863</v>
      </c>
      <c r="D79" s="5" t="s">
        <v>521</v>
      </c>
      <c r="F79" s="5" t="s">
        <v>522</v>
      </c>
      <c r="H79" s="5" t="s">
        <v>523</v>
      </c>
      <c r="J79" s="5" t="s">
        <v>521</v>
      </c>
      <c r="K79" s="5" t="s">
        <v>33</v>
      </c>
      <c r="L79" s="5" t="s">
        <v>524</v>
      </c>
      <c r="M79" s="5" t="s">
        <v>523</v>
      </c>
      <c r="N79" s="12">
        <v>45988</v>
      </c>
      <c r="O79" s="11">
        <v>0.5200231481481481</v>
      </c>
      <c r="P79" s="5">
        <v>1</v>
      </c>
      <c r="Q79" s="5" t="s">
        <v>525</v>
      </c>
      <c r="R79" s="5">
        <v>28000</v>
      </c>
      <c r="T79" s="5">
        <v>0</v>
      </c>
      <c r="U79" s="5">
        <v>28000</v>
      </c>
      <c r="W79" s="5" t="s">
        <v>36</v>
      </c>
      <c r="X79" s="5" t="s">
        <v>51</v>
      </c>
      <c r="AA79" s="5" t="s">
        <v>69</v>
      </c>
      <c r="AC79" s="8" t="str">
        <f>HYPERLINK("https://drive.google.com/file/d/1W_KXMt8uzlwMKnTIQpNNFtlz-uxPqTzJ/view?usp=drivesdk", "Abrir_Factura")</f>
        <v>Abrir_Factura</v>
      </c>
    </row>
    <row r="80" spans="1:29" ht="12.5">
      <c r="A80" s="4">
        <v>45988.409177291665</v>
      </c>
      <c r="B80" s="5">
        <v>89691</v>
      </c>
      <c r="C80" s="5">
        <v>0</v>
      </c>
      <c r="D80" s="5" t="s">
        <v>526</v>
      </c>
      <c r="F80" s="5" t="s">
        <v>527</v>
      </c>
      <c r="H80" s="5">
        <v>50379100639</v>
      </c>
      <c r="J80" s="5" t="s">
        <v>528</v>
      </c>
      <c r="K80" s="5" t="s">
        <v>110</v>
      </c>
      <c r="L80" s="5" t="s">
        <v>529</v>
      </c>
      <c r="M80" s="5" t="s">
        <v>25421</v>
      </c>
      <c r="N80" s="6">
        <v>45988</v>
      </c>
      <c r="O80" s="7">
        <v>0.66666666666666663</v>
      </c>
      <c r="P80" s="5">
        <v>1</v>
      </c>
      <c r="Q80" s="5" t="s">
        <v>50</v>
      </c>
      <c r="R80" s="5">
        <v>200000</v>
      </c>
      <c r="S80" s="5">
        <v>0</v>
      </c>
      <c r="T80" s="5">
        <v>6000</v>
      </c>
      <c r="U80" s="5">
        <v>206000</v>
      </c>
      <c r="V80" s="5" t="s">
        <v>530</v>
      </c>
      <c r="W80" s="5" t="s">
        <v>36</v>
      </c>
      <c r="X80" s="5" t="s">
        <v>98</v>
      </c>
      <c r="Y80" s="5" t="s">
        <v>24</v>
      </c>
      <c r="Z80" s="5" t="s">
        <v>531</v>
      </c>
      <c r="AA80" s="5" t="s">
        <v>69</v>
      </c>
      <c r="AC80" s="8" t="str">
        <f>HYPERLINK("https://drive.google.com/file/d/11XSY7Yl5YbGymBLmwFQU8UITp2Aqit66/view?usp=drivesdk","Abrir_Factura")</f>
        <v>Abrir_Factura</v>
      </c>
    </row>
    <row r="81" spans="1:29" ht="12.5">
      <c r="A81" s="4">
        <v>45988.394734317131</v>
      </c>
      <c r="B81" s="5">
        <v>89692</v>
      </c>
      <c r="C81" s="5">
        <v>1042240891</v>
      </c>
      <c r="D81" s="5" t="s">
        <v>532</v>
      </c>
      <c r="F81" s="5" t="s">
        <v>533</v>
      </c>
      <c r="H81" s="5">
        <v>573205337978</v>
      </c>
      <c r="J81" s="5" t="s">
        <v>534</v>
      </c>
      <c r="K81" s="5" t="s">
        <v>110</v>
      </c>
      <c r="L81" s="5" t="s">
        <v>535</v>
      </c>
      <c r="M81" s="5" t="s">
        <v>25421</v>
      </c>
      <c r="N81" s="6">
        <v>45989</v>
      </c>
      <c r="O81" s="7">
        <v>0.45833333333333331</v>
      </c>
      <c r="P81" s="5">
        <v>1</v>
      </c>
      <c r="Q81" s="5" t="s">
        <v>370</v>
      </c>
      <c r="R81" s="5">
        <v>260000</v>
      </c>
      <c r="S81" s="5">
        <v>0</v>
      </c>
      <c r="T81" s="5">
        <v>6000</v>
      </c>
      <c r="U81" s="5">
        <v>266000</v>
      </c>
      <c r="V81" s="5" t="s">
        <v>536</v>
      </c>
      <c r="W81" s="5" t="s">
        <v>36</v>
      </c>
      <c r="X81" s="5" t="s">
        <v>83</v>
      </c>
      <c r="Y81" s="5" t="s">
        <v>24</v>
      </c>
      <c r="Z81" s="5" t="s">
        <v>537</v>
      </c>
      <c r="AA81" s="5" t="s">
        <v>69</v>
      </c>
      <c r="AC81" s="8" t="str">
        <f>HYPERLINK("https://drive.google.com/file/d/1RPf6r2u2G_LfkWlC81jE4Ob7pX7b8qk7/view?usp=drivesdk","Abrir_Factura")</f>
        <v>Abrir_Factura</v>
      </c>
    </row>
    <row r="82" spans="1:29" ht="12.5">
      <c r="A82" s="4">
        <v>45988.541053506946</v>
      </c>
      <c r="B82" s="5">
        <v>89693</v>
      </c>
      <c r="C82" s="5">
        <v>1044217285</v>
      </c>
      <c r="D82" s="5" t="s">
        <v>538</v>
      </c>
      <c r="F82" s="5" t="s">
        <v>539</v>
      </c>
      <c r="H82" s="5">
        <v>573117393493</v>
      </c>
      <c r="J82" s="5" t="s">
        <v>540</v>
      </c>
      <c r="K82" s="5" t="s">
        <v>73</v>
      </c>
      <c r="L82" s="5" t="s">
        <v>541</v>
      </c>
      <c r="M82" s="5">
        <v>3117393493</v>
      </c>
      <c r="N82" s="6">
        <v>45988</v>
      </c>
      <c r="O82" s="7">
        <v>0.6875</v>
      </c>
      <c r="P82" s="5">
        <v>1</v>
      </c>
      <c r="Q82" s="5" t="s">
        <v>542</v>
      </c>
      <c r="R82" s="5">
        <v>140000</v>
      </c>
      <c r="S82" s="5">
        <v>0</v>
      </c>
      <c r="T82" s="5">
        <v>10000</v>
      </c>
      <c r="U82" s="5">
        <v>150000</v>
      </c>
      <c r="V82" s="5" t="s">
        <v>543</v>
      </c>
      <c r="W82" s="5" t="s">
        <v>36</v>
      </c>
      <c r="X82" s="5" t="s">
        <v>83</v>
      </c>
      <c r="Y82" s="5" t="s">
        <v>24</v>
      </c>
      <c r="Z82" s="5" t="s">
        <v>544</v>
      </c>
      <c r="AA82" s="5" t="s">
        <v>69</v>
      </c>
      <c r="AC82" s="8" t="str">
        <f>HYPERLINK("https://drive.google.com/file/d/1Jydzs20SX6p_ate9ADvvxv7YSB-ggDI5/view?usp=drivesdk","Abrir_Factura")</f>
        <v>Abrir_Factura</v>
      </c>
    </row>
    <row r="83" spans="1:29" ht="12.5">
      <c r="A83" s="4">
        <v>45988.584342581016</v>
      </c>
      <c r="B83" s="5">
        <v>89701</v>
      </c>
      <c r="C83" s="5">
        <v>1010163840</v>
      </c>
      <c r="D83" s="5" t="s">
        <v>290</v>
      </c>
      <c r="F83" s="5" t="s">
        <v>545</v>
      </c>
      <c r="H83" s="5">
        <v>573022653371</v>
      </c>
      <c r="J83" s="5" t="s">
        <v>546</v>
      </c>
      <c r="K83" s="5" t="s">
        <v>103</v>
      </c>
      <c r="L83" s="5" t="s">
        <v>547</v>
      </c>
      <c r="M83" s="5">
        <v>3107343510</v>
      </c>
      <c r="N83" s="6">
        <v>45989</v>
      </c>
      <c r="O83" s="7">
        <v>0.33333333333333331</v>
      </c>
      <c r="P83" s="5">
        <v>1</v>
      </c>
      <c r="Q83" s="5" t="s">
        <v>330</v>
      </c>
      <c r="R83" s="5">
        <v>180000</v>
      </c>
      <c r="S83" s="5">
        <v>0</v>
      </c>
      <c r="T83" s="5">
        <v>10000</v>
      </c>
      <c r="U83" s="5">
        <v>190000</v>
      </c>
      <c r="V83" s="5" t="s">
        <v>548</v>
      </c>
      <c r="W83" s="5" t="s">
        <v>36</v>
      </c>
      <c r="X83" s="5" t="s">
        <v>83</v>
      </c>
      <c r="Y83" s="5" t="s">
        <v>24</v>
      </c>
      <c r="Z83" s="5" t="s">
        <v>549</v>
      </c>
      <c r="AA83" s="5" t="s">
        <v>44</v>
      </c>
      <c r="AC83" s="8" t="str">
        <f>HYPERLINK("https://drive.google.com/file/d/1nEwCaoWkL1QqayegI9U_oEwq7GpFG7xz/view?usp=drivesdk","Abrir_Factura")</f>
        <v>Abrir_Factura</v>
      </c>
    </row>
    <row r="84" spans="1:29" ht="12.5">
      <c r="A84" s="4">
        <v>45988.621479097223</v>
      </c>
      <c r="B84" s="5">
        <v>89702</v>
      </c>
      <c r="C84" s="5">
        <v>1003123104</v>
      </c>
      <c r="D84" s="5" t="s">
        <v>550</v>
      </c>
      <c r="F84" s="5" t="s">
        <v>551</v>
      </c>
      <c r="H84" s="5">
        <v>573114081183</v>
      </c>
      <c r="J84" s="5" t="s">
        <v>552</v>
      </c>
      <c r="K84" s="5" t="s">
        <v>103</v>
      </c>
      <c r="L84" s="5" t="s">
        <v>553</v>
      </c>
      <c r="M84" s="5">
        <v>3114081183</v>
      </c>
      <c r="N84" s="6">
        <v>45988</v>
      </c>
      <c r="O84" s="7">
        <v>0.70416666666666672</v>
      </c>
      <c r="P84" s="5">
        <v>1</v>
      </c>
      <c r="Q84" s="5" t="s">
        <v>322</v>
      </c>
      <c r="R84" s="5">
        <v>120000</v>
      </c>
      <c r="S84" s="5">
        <v>0</v>
      </c>
      <c r="T84" s="5">
        <v>10000</v>
      </c>
      <c r="U84" s="5">
        <v>130000</v>
      </c>
      <c r="V84" s="5" t="s">
        <v>554</v>
      </c>
      <c r="W84" s="5" t="s">
        <v>36</v>
      </c>
      <c r="X84" s="5" t="s">
        <v>83</v>
      </c>
      <c r="Y84" s="5" t="s">
        <v>24</v>
      </c>
      <c r="Z84" s="5" t="s">
        <v>555</v>
      </c>
      <c r="AA84" s="5" t="s">
        <v>69</v>
      </c>
      <c r="AC84" s="8" t="str">
        <f>HYPERLINK("https://drive.google.com/file/d/1z4ZuzoEsYqLAvhDy2T_rFMd2CFw7LS27/view?usp=drivesdk","Abrir_Factura")</f>
        <v>Abrir_Factura</v>
      </c>
    </row>
    <row r="85" spans="1:29" ht="12.5">
      <c r="A85" s="4">
        <v>45989.351952604164</v>
      </c>
      <c r="B85" s="5">
        <v>89703</v>
      </c>
      <c r="C85" s="5">
        <v>232511</v>
      </c>
      <c r="D85" s="5" t="s">
        <v>556</v>
      </c>
      <c r="F85" s="5" t="s">
        <v>218</v>
      </c>
      <c r="H85" s="5">
        <v>573106150116</v>
      </c>
      <c r="J85" s="5" t="s">
        <v>557</v>
      </c>
      <c r="K85" s="5" t="s">
        <v>73</v>
      </c>
      <c r="L85" s="5" t="s">
        <v>558</v>
      </c>
      <c r="M85" s="5">
        <v>573106150116</v>
      </c>
      <c r="N85" s="6">
        <v>45989</v>
      </c>
      <c r="O85" s="7">
        <v>0.43611111111111112</v>
      </c>
      <c r="P85" s="5">
        <v>1</v>
      </c>
      <c r="Q85" s="5" t="s">
        <v>559</v>
      </c>
      <c r="R85" s="5">
        <v>90000</v>
      </c>
      <c r="S85" s="5">
        <v>0</v>
      </c>
      <c r="T85" s="5">
        <v>10000</v>
      </c>
      <c r="U85" s="5">
        <v>100000</v>
      </c>
      <c r="W85" s="5" t="s">
        <v>36</v>
      </c>
      <c r="X85" s="5" t="s">
        <v>196</v>
      </c>
      <c r="Y85" s="5" t="s">
        <v>24</v>
      </c>
      <c r="AA85" s="5" t="s">
        <v>44</v>
      </c>
      <c r="AC85" s="8" t="str">
        <f>HYPERLINK("https://drive.google.com/file/d/1as-aIeXrvbgNCqDyP7H6AW7E9FHQwnuy/view?usp=drivesdk","Abrir_Factura")</f>
        <v>Abrir_Factura</v>
      </c>
    </row>
    <row r="86" spans="1:29" ht="12.5">
      <c r="A86" s="4">
        <v>45989.36431607639</v>
      </c>
      <c r="B86" s="5">
        <v>89706</v>
      </c>
      <c r="C86" s="5">
        <v>1143469686</v>
      </c>
      <c r="D86" s="5" t="s">
        <v>560</v>
      </c>
      <c r="F86" s="5" t="s">
        <v>561</v>
      </c>
      <c r="H86" s="5">
        <v>573013127318</v>
      </c>
      <c r="J86" s="5" t="s">
        <v>562</v>
      </c>
      <c r="K86" s="5" t="s">
        <v>563</v>
      </c>
      <c r="L86" s="5" t="s">
        <v>564</v>
      </c>
      <c r="M86" s="5">
        <v>3244510698</v>
      </c>
      <c r="N86" s="6">
        <v>45989</v>
      </c>
      <c r="O86" s="7">
        <v>0.44722222222222224</v>
      </c>
      <c r="P86" s="5">
        <v>1</v>
      </c>
      <c r="Q86" s="5" t="s">
        <v>375</v>
      </c>
      <c r="R86" s="5">
        <v>70000</v>
      </c>
      <c r="S86" s="5">
        <v>0</v>
      </c>
      <c r="T86" s="5">
        <v>12000</v>
      </c>
      <c r="U86" s="5">
        <v>82000</v>
      </c>
      <c r="W86" s="5" t="s">
        <v>36</v>
      </c>
      <c r="X86" s="5" t="s">
        <v>83</v>
      </c>
      <c r="Y86" s="5" t="s">
        <v>24</v>
      </c>
      <c r="AA86" s="5" t="s">
        <v>69</v>
      </c>
      <c r="AC86" s="8" t="str">
        <f>HYPERLINK("https://drive.google.com/file/d/1MADP7OwKgXJBV5Io3K6guMexAdcTUDLb/view?usp=drivesdk","Abrir_Factura")</f>
        <v>Abrir_Factura</v>
      </c>
    </row>
    <row r="87" spans="1:29" ht="12.5">
      <c r="A87" s="4">
        <v>45989.359622731485</v>
      </c>
      <c r="B87" s="5">
        <v>89721</v>
      </c>
      <c r="C87" s="5">
        <v>22467011</v>
      </c>
      <c r="D87" s="5" t="s">
        <v>565</v>
      </c>
      <c r="F87" s="5" t="s">
        <v>382</v>
      </c>
      <c r="H87" s="5">
        <v>34697749517</v>
      </c>
      <c r="J87" s="5" t="s">
        <v>566</v>
      </c>
      <c r="K87" s="5" t="s">
        <v>401</v>
      </c>
      <c r="L87" s="5" t="s">
        <v>567</v>
      </c>
      <c r="M87" s="5" t="s">
        <v>568</v>
      </c>
      <c r="N87" s="6">
        <v>45990</v>
      </c>
      <c r="O87" s="7">
        <v>0.375</v>
      </c>
      <c r="P87" s="5">
        <v>1</v>
      </c>
      <c r="Q87" s="5" t="s">
        <v>75</v>
      </c>
      <c r="R87" s="5">
        <v>70000</v>
      </c>
      <c r="S87" s="5">
        <v>0</v>
      </c>
      <c r="T87" s="5">
        <v>12000</v>
      </c>
      <c r="U87" s="5">
        <v>82000</v>
      </c>
      <c r="V87" s="5" t="s">
        <v>569</v>
      </c>
      <c r="W87" s="5" t="s">
        <v>36</v>
      </c>
      <c r="X87" s="5" t="s">
        <v>83</v>
      </c>
      <c r="Y87" s="5" t="s">
        <v>24</v>
      </c>
      <c r="Z87" s="5" t="s">
        <v>570</v>
      </c>
      <c r="AA87" s="5" t="s">
        <v>69</v>
      </c>
      <c r="AC87" s="8" t="str">
        <f>HYPERLINK("https://drive.google.com/file/d/1ORuReyFpMp6sRB7CdsUXUhCa3o6VU-ex/view?usp=drivesdk","Abrir_Factura")</f>
        <v>Abrir_Factura</v>
      </c>
    </row>
    <row r="88" spans="1:29" ht="12.5">
      <c r="A88" s="4">
        <v>45989.393539178243</v>
      </c>
      <c r="B88" s="5">
        <v>89722</v>
      </c>
      <c r="C88" s="5">
        <v>72023311</v>
      </c>
      <c r="D88" s="5" t="s">
        <v>571</v>
      </c>
      <c r="F88" s="5" t="s">
        <v>572</v>
      </c>
      <c r="H88" s="5">
        <v>573017688486</v>
      </c>
      <c r="J88" s="5" t="s">
        <v>573</v>
      </c>
      <c r="K88" s="5" t="s">
        <v>574</v>
      </c>
      <c r="L88" s="5" t="s">
        <v>575</v>
      </c>
      <c r="M88" s="5">
        <v>3171538860</v>
      </c>
      <c r="N88" s="6">
        <v>45989</v>
      </c>
      <c r="O88" s="7">
        <v>0.47430555555555554</v>
      </c>
      <c r="P88" s="5">
        <v>1</v>
      </c>
      <c r="Q88" s="5" t="s">
        <v>576</v>
      </c>
      <c r="R88" s="5">
        <v>120000</v>
      </c>
      <c r="S88" s="5">
        <v>0</v>
      </c>
      <c r="T88" s="5">
        <v>17000</v>
      </c>
      <c r="U88" s="5">
        <v>137000</v>
      </c>
      <c r="V88" s="5" t="s">
        <v>577</v>
      </c>
      <c r="W88" s="5" t="s">
        <v>36</v>
      </c>
      <c r="X88" s="5" t="s">
        <v>83</v>
      </c>
      <c r="Y88" s="5" t="s">
        <v>310</v>
      </c>
      <c r="AA88" s="5" t="s">
        <v>69</v>
      </c>
      <c r="AC88" s="8" t="str">
        <f>HYPERLINK("https://drive.google.com/file/d/1fC1TiI5v8VcYFqzS_pLwZRCaBIFatwZ1/view?usp=drivesdk","Abrir_Factura")</f>
        <v>Abrir_Factura</v>
      </c>
    </row>
    <row r="89" spans="1:29" ht="12.5">
      <c r="A89" s="12">
        <v>45989</v>
      </c>
      <c r="B89" s="5">
        <v>89723</v>
      </c>
      <c r="C89" s="5">
        <v>63543839</v>
      </c>
      <c r="D89" s="5" t="s">
        <v>578</v>
      </c>
      <c r="F89" s="5" t="s">
        <v>77</v>
      </c>
      <c r="H89" s="5">
        <v>3156234881</v>
      </c>
      <c r="J89" s="5" t="s">
        <v>579</v>
      </c>
      <c r="K89" s="5" t="s">
        <v>33</v>
      </c>
      <c r="L89" s="5" t="s">
        <v>579</v>
      </c>
      <c r="M89" s="5">
        <v>3156234881</v>
      </c>
      <c r="N89" s="12">
        <v>45989</v>
      </c>
      <c r="O89" s="11">
        <v>0.4262037037037037</v>
      </c>
      <c r="P89" s="5">
        <v>1</v>
      </c>
      <c r="Q89" s="5" t="s">
        <v>580</v>
      </c>
      <c r="R89" s="5">
        <v>40000</v>
      </c>
      <c r="T89" s="5">
        <v>0</v>
      </c>
      <c r="U89" s="5">
        <v>40000</v>
      </c>
      <c r="W89" s="5" t="s">
        <v>36</v>
      </c>
      <c r="X89" s="5" t="s">
        <v>581</v>
      </c>
      <c r="AA89" s="5" t="s">
        <v>44</v>
      </c>
      <c r="AC89" s="8" t="str">
        <f>HYPERLINK("https://drive.google.com/file/d/1rQS9Ny8Q1r_JEvhca05KtdVRLX96TNJS/view?usp=drivesdk", "Abrir_Factura")</f>
        <v>Abrir_Factura</v>
      </c>
    </row>
    <row r="90" spans="1:29" ht="12.5">
      <c r="A90" s="12">
        <v>45989</v>
      </c>
      <c r="B90" s="5">
        <v>89724</v>
      </c>
      <c r="C90" s="5">
        <v>19352359</v>
      </c>
      <c r="D90" s="5" t="s">
        <v>582</v>
      </c>
      <c r="F90" s="5" t="s">
        <v>583</v>
      </c>
      <c r="H90" s="5">
        <v>3157241281</v>
      </c>
      <c r="J90" s="5" t="s">
        <v>48</v>
      </c>
      <c r="K90" s="5" t="s">
        <v>33</v>
      </c>
      <c r="L90" s="5" t="s">
        <v>119</v>
      </c>
      <c r="M90" s="5">
        <v>3157241281</v>
      </c>
      <c r="N90" s="12">
        <v>45989</v>
      </c>
      <c r="O90" s="11">
        <v>0.44429398148148147</v>
      </c>
      <c r="P90" s="5">
        <v>1</v>
      </c>
      <c r="Q90" s="5" t="s">
        <v>525</v>
      </c>
      <c r="R90" s="5">
        <v>164000</v>
      </c>
      <c r="T90" s="5">
        <v>0</v>
      </c>
      <c r="U90" s="5">
        <v>164000</v>
      </c>
      <c r="W90" s="5" t="s">
        <v>36</v>
      </c>
      <c r="X90" s="5" t="s">
        <v>196</v>
      </c>
      <c r="AA90" s="5" t="s">
        <v>44</v>
      </c>
      <c r="AC90" s="8" t="str">
        <f>HYPERLINK("https://drive.google.com/file/d/1fxIgPVRoa33di3ub-NUqC-aM7E6uCfY2/view?usp=drivesdk", "Abrir_Factura")</f>
        <v>Abrir_Factura</v>
      </c>
    </row>
    <row r="91" spans="1:29" ht="12.5">
      <c r="A91" s="4">
        <v>45989.419446377316</v>
      </c>
      <c r="B91" s="5">
        <v>89726</v>
      </c>
      <c r="C91" s="5">
        <v>1140765390</v>
      </c>
      <c r="D91" s="5" t="s">
        <v>584</v>
      </c>
      <c r="F91" s="5" t="s">
        <v>585</v>
      </c>
      <c r="H91" s="5">
        <v>573147065545</v>
      </c>
      <c r="J91" s="5" t="s">
        <v>586</v>
      </c>
      <c r="K91" s="5" t="s">
        <v>265</v>
      </c>
      <c r="L91" s="5" t="s">
        <v>587</v>
      </c>
      <c r="M91" s="5">
        <v>3175463514</v>
      </c>
      <c r="N91" s="6">
        <v>45989</v>
      </c>
      <c r="O91" s="7">
        <v>0.50486111111111109</v>
      </c>
      <c r="P91" s="5">
        <v>1</v>
      </c>
      <c r="Q91" s="5" t="s">
        <v>375</v>
      </c>
      <c r="R91" s="5">
        <v>70000</v>
      </c>
      <c r="S91" s="5">
        <v>0</v>
      </c>
      <c r="T91" s="5">
        <v>17000</v>
      </c>
      <c r="U91" s="5">
        <v>87000</v>
      </c>
      <c r="V91" s="5" t="s">
        <v>588</v>
      </c>
      <c r="W91" s="5" t="s">
        <v>36</v>
      </c>
      <c r="X91" s="5" t="s">
        <v>180</v>
      </c>
      <c r="Y91" s="5" t="s">
        <v>24</v>
      </c>
      <c r="Z91" s="5" t="s">
        <v>589</v>
      </c>
      <c r="AA91" s="5" t="s">
        <v>44</v>
      </c>
      <c r="AC91" s="8" t="str">
        <f>HYPERLINK("https://drive.google.com/file/d/1CruZAQgW1jbfy8erqhksI2MftFfXBw-j/view?usp=drivesdk","Abrir_Factura")</f>
        <v>Abrir_Factura</v>
      </c>
    </row>
    <row r="92" spans="1:29" ht="12.5">
      <c r="A92" s="12">
        <v>45989</v>
      </c>
      <c r="B92" s="5">
        <v>89727</v>
      </c>
      <c r="C92" s="5">
        <v>1044214453</v>
      </c>
      <c r="D92" s="5" t="s">
        <v>590</v>
      </c>
      <c r="F92" s="5" t="s">
        <v>591</v>
      </c>
      <c r="H92" s="5">
        <v>3013772533</v>
      </c>
      <c r="J92" s="5" t="s">
        <v>592</v>
      </c>
      <c r="K92" s="5" t="s">
        <v>593</v>
      </c>
      <c r="L92" s="5" t="s">
        <v>594</v>
      </c>
      <c r="M92" s="5">
        <v>3013772533</v>
      </c>
      <c r="N92" s="12">
        <v>45989</v>
      </c>
      <c r="O92" s="11">
        <v>0.51012731481481477</v>
      </c>
      <c r="P92" s="5">
        <v>1</v>
      </c>
      <c r="Q92" s="5" t="s">
        <v>120</v>
      </c>
      <c r="R92" s="5">
        <v>40000</v>
      </c>
      <c r="T92" s="5">
        <v>15000</v>
      </c>
      <c r="U92" s="5">
        <v>55000</v>
      </c>
      <c r="W92" s="5" t="s">
        <v>36</v>
      </c>
      <c r="X92" s="5" t="s">
        <v>83</v>
      </c>
      <c r="AA92" s="5" t="s">
        <v>69</v>
      </c>
      <c r="AC92" s="8" t="str">
        <f>HYPERLINK("https://drive.google.com/file/d/1iJJTLXdbfChG-numVGxtaeAuTV-Z2m_O/view?usp=drivesdk", "Abrir_Factura")</f>
        <v>Abrir_Factura</v>
      </c>
    </row>
    <row r="93" spans="1:29" ht="12.5">
      <c r="A93" s="4">
        <v>45989.412316608796</v>
      </c>
      <c r="B93" s="5">
        <v>89728</v>
      </c>
      <c r="C93" s="5">
        <v>1010065981</v>
      </c>
      <c r="D93" s="5" t="s">
        <v>595</v>
      </c>
      <c r="F93" s="5" t="s">
        <v>596</v>
      </c>
      <c r="H93" s="5">
        <v>13059032689</v>
      </c>
      <c r="J93" s="5" t="s">
        <v>597</v>
      </c>
      <c r="K93" s="5" t="s">
        <v>598</v>
      </c>
      <c r="L93" s="5" t="s">
        <v>599</v>
      </c>
      <c r="M93" s="5">
        <v>3017489693</v>
      </c>
      <c r="N93" s="6">
        <v>45989</v>
      </c>
      <c r="O93" s="7">
        <v>0.49791666666666667</v>
      </c>
      <c r="P93" s="5">
        <v>1</v>
      </c>
      <c r="Q93" s="5" t="s">
        <v>210</v>
      </c>
      <c r="R93" s="5">
        <v>150000</v>
      </c>
      <c r="S93" s="5">
        <v>0</v>
      </c>
      <c r="T93" s="5">
        <v>10000</v>
      </c>
      <c r="U93" s="5">
        <v>160000</v>
      </c>
      <c r="W93" s="5" t="s">
        <v>36</v>
      </c>
      <c r="X93" s="5" t="s">
        <v>83</v>
      </c>
      <c r="Y93" s="5" t="s">
        <v>310</v>
      </c>
      <c r="AA93" s="5" t="s">
        <v>69</v>
      </c>
      <c r="AC93" s="8" t="str">
        <f>HYPERLINK("https://drive.google.com/file/d/1vIAX37zAkrfSCVnE5onCd4aTGx_YIy39/view?usp=drivesdk","Abrir_Factura")</f>
        <v>Abrir_Factura</v>
      </c>
    </row>
    <row r="94" spans="1:29" ht="12.5">
      <c r="A94" s="4">
        <v>45989.48530915509</v>
      </c>
      <c r="B94" s="5">
        <v>89729</v>
      </c>
      <c r="C94" s="5">
        <v>72328745</v>
      </c>
      <c r="D94" s="5" t="s">
        <v>600</v>
      </c>
      <c r="F94" s="5" t="s">
        <v>601</v>
      </c>
      <c r="H94" s="5">
        <v>573147126101</v>
      </c>
      <c r="J94" s="5" t="s">
        <v>602</v>
      </c>
      <c r="K94" s="5" t="s">
        <v>33</v>
      </c>
      <c r="L94" s="5" t="s">
        <v>603</v>
      </c>
      <c r="M94" s="5" t="s">
        <v>604</v>
      </c>
      <c r="N94" s="6">
        <v>45989</v>
      </c>
      <c r="O94" s="7">
        <v>0.5708333333333333</v>
      </c>
      <c r="P94" s="5">
        <v>1</v>
      </c>
      <c r="Q94" s="5" t="s">
        <v>435</v>
      </c>
      <c r="R94" s="5">
        <v>60000</v>
      </c>
      <c r="S94" s="5">
        <v>0</v>
      </c>
      <c r="T94" s="5">
        <v>0</v>
      </c>
      <c r="U94" s="5">
        <v>60000</v>
      </c>
      <c r="W94" s="5" t="s">
        <v>36</v>
      </c>
      <c r="X94" s="5" t="s">
        <v>51</v>
      </c>
      <c r="Y94" s="5" t="s">
        <v>24</v>
      </c>
      <c r="AA94" s="5" t="s">
        <v>44</v>
      </c>
      <c r="AC94" s="8" t="str">
        <f>HYPERLINK("https://drive.google.com/file/d/1nQF_exO2AjH8iyvO3i4sXD1W4QjVdKoV/view?usp=drivesdk","Abrir_Factura")</f>
        <v>Abrir_Factura</v>
      </c>
    </row>
    <row r="95" spans="1:29" ht="12.5">
      <c r="A95" s="4">
        <v>45989.472265208329</v>
      </c>
      <c r="B95" s="5">
        <v>89730</v>
      </c>
      <c r="C95" s="5">
        <v>45764004</v>
      </c>
      <c r="D95" s="5" t="s">
        <v>332</v>
      </c>
      <c r="F95" s="5" t="s">
        <v>387</v>
      </c>
      <c r="H95" s="5">
        <v>573052300848</v>
      </c>
      <c r="J95" s="5" t="s">
        <v>605</v>
      </c>
      <c r="K95" s="5" t="s">
        <v>73</v>
      </c>
      <c r="L95" s="5" t="s">
        <v>606</v>
      </c>
      <c r="M95" s="5">
        <v>3052300848</v>
      </c>
      <c r="N95" s="6">
        <v>45989</v>
      </c>
      <c r="O95" s="7">
        <v>0.59513888888888888</v>
      </c>
      <c r="P95" s="5">
        <v>1</v>
      </c>
      <c r="Q95" s="5" t="s">
        <v>178</v>
      </c>
      <c r="R95" s="5">
        <v>100000</v>
      </c>
      <c r="S95" s="5">
        <v>0</v>
      </c>
      <c r="T95" s="5">
        <v>10000</v>
      </c>
      <c r="U95" s="5">
        <v>110000</v>
      </c>
      <c r="V95" s="5" t="s">
        <v>607</v>
      </c>
      <c r="W95" s="5" t="s">
        <v>36</v>
      </c>
      <c r="X95" s="5" t="s">
        <v>83</v>
      </c>
      <c r="Y95" s="5" t="s">
        <v>24</v>
      </c>
      <c r="Z95" s="5" t="s">
        <v>608</v>
      </c>
      <c r="AA95" s="5" t="s">
        <v>44</v>
      </c>
      <c r="AC95" s="8" t="str">
        <f>HYPERLINK("https://drive.google.com/file/d/1jJGX6zwKVZ4vnO-89TnhJ9BQJYYAyYbi/view?usp=drivesdk","Abrir_Factura")</f>
        <v>Abrir_Factura</v>
      </c>
    </row>
    <row r="96" spans="1:29" ht="12.5">
      <c r="A96" s="4">
        <v>45989.505425451389</v>
      </c>
      <c r="B96" s="5">
        <v>89731</v>
      </c>
      <c r="C96" s="5">
        <v>1041693775</v>
      </c>
      <c r="D96" s="5" t="s">
        <v>609</v>
      </c>
      <c r="F96" s="5" t="s">
        <v>610</v>
      </c>
      <c r="H96" s="5">
        <v>573028296647</v>
      </c>
      <c r="J96" s="5" t="s">
        <v>611</v>
      </c>
      <c r="K96" s="5" t="s">
        <v>307</v>
      </c>
      <c r="L96" s="5" t="s">
        <v>612</v>
      </c>
      <c r="M96" s="5">
        <v>3028296647</v>
      </c>
      <c r="N96" s="6">
        <v>45992</v>
      </c>
      <c r="O96" s="7">
        <v>0.33819444444444446</v>
      </c>
      <c r="P96" s="5">
        <v>1</v>
      </c>
      <c r="Q96" s="5" t="s">
        <v>613</v>
      </c>
      <c r="R96" s="5">
        <v>580000</v>
      </c>
      <c r="S96" s="5">
        <v>0</v>
      </c>
      <c r="T96" s="5">
        <v>10000</v>
      </c>
      <c r="U96" s="5">
        <v>590000</v>
      </c>
      <c r="V96" s="5" t="s">
        <v>614</v>
      </c>
      <c r="W96" s="5" t="s">
        <v>36</v>
      </c>
      <c r="X96" s="5" t="s">
        <v>83</v>
      </c>
      <c r="Y96" s="5" t="s">
        <v>24</v>
      </c>
      <c r="Z96" s="5" t="s">
        <v>615</v>
      </c>
      <c r="AA96" s="5" t="s">
        <v>69</v>
      </c>
      <c r="AB96" s="5" t="s">
        <v>616</v>
      </c>
      <c r="AC96" s="8" t="str">
        <f>HYPERLINK("https://drive.google.com/file/d/1r8WdezvDiyGsAR_fEBWmHrbvxyjIyyKg/view?usp=drivesdk","Abrir_Factura")</f>
        <v>Abrir_Factura</v>
      </c>
    </row>
    <row r="97" spans="1:29" ht="12.5">
      <c r="A97" s="12">
        <v>45989</v>
      </c>
      <c r="B97" s="5">
        <v>89732</v>
      </c>
      <c r="C97" s="5">
        <v>1047214424</v>
      </c>
      <c r="D97" s="5" t="s">
        <v>617</v>
      </c>
      <c r="F97" s="5" t="s">
        <v>618</v>
      </c>
      <c r="H97" s="5">
        <v>3012527025</v>
      </c>
      <c r="J97" s="5" t="s">
        <v>619</v>
      </c>
      <c r="K97" s="5" t="s">
        <v>328</v>
      </c>
      <c r="L97" s="5" t="s">
        <v>620</v>
      </c>
      <c r="M97" s="5" t="s">
        <v>621</v>
      </c>
      <c r="N97" s="12">
        <v>45989</v>
      </c>
      <c r="O97" s="11">
        <v>0.52495370370370376</v>
      </c>
      <c r="P97" s="5">
        <v>1</v>
      </c>
      <c r="Q97" s="5" t="s">
        <v>120</v>
      </c>
      <c r="R97" s="5">
        <v>130000</v>
      </c>
      <c r="T97" s="5">
        <v>12000</v>
      </c>
      <c r="U97" s="5">
        <v>142000</v>
      </c>
      <c r="W97" s="5" t="s">
        <v>36</v>
      </c>
      <c r="X97" s="5" t="s">
        <v>83</v>
      </c>
      <c r="AA97" s="5" t="s">
        <v>44</v>
      </c>
      <c r="AC97" s="8" t="str">
        <f>HYPERLINK("https://drive.google.com/file/d/1mX44ErcLMa-u4onBVNEBKi-fha2riKXs/view?usp=drivesdk", "Abrir_Factura")</f>
        <v>Abrir_Factura</v>
      </c>
    </row>
    <row r="98" spans="1:29" ht="21" customHeight="1">
      <c r="A98" s="4">
        <v>45989.539829097223</v>
      </c>
      <c r="B98" s="5">
        <v>89734</v>
      </c>
      <c r="C98" s="5">
        <v>22517899</v>
      </c>
      <c r="D98" s="5" t="s">
        <v>622</v>
      </c>
      <c r="F98" s="5" t="s">
        <v>623</v>
      </c>
      <c r="H98" s="5">
        <v>573005363005</v>
      </c>
      <c r="J98" s="5" t="s">
        <v>624</v>
      </c>
      <c r="K98" s="5" t="s">
        <v>598</v>
      </c>
      <c r="L98" s="5" t="s">
        <v>625</v>
      </c>
      <c r="M98" s="5">
        <v>3005363005</v>
      </c>
      <c r="N98" s="6">
        <v>45990</v>
      </c>
      <c r="O98" s="7">
        <v>0.56944444444444442</v>
      </c>
      <c r="P98" s="5">
        <v>1</v>
      </c>
      <c r="Q98" s="5" t="s">
        <v>96</v>
      </c>
      <c r="R98" s="5">
        <v>220000</v>
      </c>
      <c r="S98" s="5">
        <v>0</v>
      </c>
      <c r="T98" s="5">
        <v>10000</v>
      </c>
      <c r="U98" s="5">
        <v>230000</v>
      </c>
      <c r="V98" s="5" t="s">
        <v>626</v>
      </c>
      <c r="W98" s="5" t="s">
        <v>36</v>
      </c>
      <c r="X98" s="5" t="s">
        <v>98</v>
      </c>
      <c r="Y98" s="5" t="s">
        <v>24</v>
      </c>
      <c r="AA98" s="5" t="s">
        <v>44</v>
      </c>
      <c r="AC98" s="8" t="str">
        <f>HYPERLINK("https://drive.google.com/file/d/1RcqxmvCdq089UyNT3LnL2MxrJvN-5EKG/view?usp=drivesdk","Abrir_Factura")</f>
        <v>Abrir_Factura</v>
      </c>
    </row>
    <row r="99" spans="1:29" ht="12.5">
      <c r="A99" s="4">
        <v>45989.597246828707</v>
      </c>
      <c r="B99" s="5">
        <v>89735</v>
      </c>
      <c r="C99" s="5">
        <v>32710299</v>
      </c>
      <c r="D99" s="5" t="s">
        <v>627</v>
      </c>
      <c r="F99" s="5" t="s">
        <v>628</v>
      </c>
      <c r="H99" s="5">
        <v>573164426240</v>
      </c>
      <c r="J99" s="5" t="s">
        <v>629</v>
      </c>
      <c r="K99" s="5" t="s">
        <v>630</v>
      </c>
      <c r="L99" s="5" t="s">
        <v>631</v>
      </c>
      <c r="M99" s="5">
        <v>3164426240</v>
      </c>
      <c r="N99" s="6">
        <v>45967</v>
      </c>
      <c r="O99" s="7">
        <v>0.97152777777777777</v>
      </c>
      <c r="P99" s="5">
        <v>1</v>
      </c>
      <c r="Q99" s="5" t="s">
        <v>42</v>
      </c>
      <c r="R99" s="5">
        <v>140000</v>
      </c>
      <c r="S99" s="5">
        <v>0</v>
      </c>
      <c r="T99" s="5">
        <v>20000</v>
      </c>
      <c r="U99" s="5">
        <v>160000</v>
      </c>
      <c r="V99" s="5" t="s">
        <v>632</v>
      </c>
      <c r="W99" s="5" t="s">
        <v>36</v>
      </c>
      <c r="X99" s="5" t="s">
        <v>83</v>
      </c>
      <c r="Y99" s="5" t="s">
        <v>24</v>
      </c>
      <c r="AA99" s="5" t="s">
        <v>44</v>
      </c>
      <c r="AC99" s="8" t="str">
        <f>HYPERLINK("https://drive.google.com/file/d/1mHPVLO5eVBFo2DUY-BvwS34I6xywa_-l/view?usp=drivesdk","Abrir_Factura")</f>
        <v>Abrir_Factura</v>
      </c>
    </row>
    <row r="100" spans="1:29" ht="12.5">
      <c r="A100" s="4">
        <v>45989.584592071755</v>
      </c>
      <c r="B100" s="5">
        <v>89736</v>
      </c>
      <c r="C100" s="5">
        <v>22737126</v>
      </c>
      <c r="D100" s="5" t="s">
        <v>633</v>
      </c>
      <c r="F100" s="5" t="s">
        <v>634</v>
      </c>
      <c r="H100" s="5">
        <v>573106709048</v>
      </c>
      <c r="J100" s="5" t="s">
        <v>635</v>
      </c>
      <c r="K100" s="5" t="s">
        <v>73</v>
      </c>
      <c r="L100" s="5" t="s">
        <v>636</v>
      </c>
      <c r="M100" s="5">
        <v>3106709048</v>
      </c>
      <c r="N100" s="6">
        <v>45989</v>
      </c>
      <c r="O100" s="7">
        <v>0.66874999999999996</v>
      </c>
      <c r="P100" s="5">
        <v>1</v>
      </c>
      <c r="Q100" s="5" t="s">
        <v>542</v>
      </c>
      <c r="R100" s="5">
        <v>140000</v>
      </c>
      <c r="S100" s="5">
        <v>0</v>
      </c>
      <c r="T100" s="5">
        <v>10000</v>
      </c>
      <c r="U100" s="5">
        <v>150000</v>
      </c>
      <c r="V100" s="5" t="s">
        <v>637</v>
      </c>
      <c r="W100" s="5" t="s">
        <v>36</v>
      </c>
      <c r="X100" s="5" t="s">
        <v>83</v>
      </c>
      <c r="Y100" s="5" t="s">
        <v>24</v>
      </c>
      <c r="Z100" s="5" t="s">
        <v>638</v>
      </c>
      <c r="AA100" s="5" t="s">
        <v>44</v>
      </c>
      <c r="AC100" s="8" t="str">
        <f>HYPERLINK("https://drive.google.com/file/d/1cyb7xtNWugPgy5GYdn7ZKfhFpoisafc4/view?usp=drivesdk","Abrir_Factura")</f>
        <v>Abrir_Factura</v>
      </c>
    </row>
    <row r="101" spans="1:29" ht="12.5">
      <c r="A101" s="4">
        <v>45989.595755358794</v>
      </c>
      <c r="B101" s="5">
        <v>89737</v>
      </c>
      <c r="C101" s="5">
        <v>1140824945</v>
      </c>
      <c r="D101" s="5" t="s">
        <v>639</v>
      </c>
      <c r="F101" s="5" t="s">
        <v>640</v>
      </c>
      <c r="H101" s="5">
        <v>573004183413</v>
      </c>
      <c r="J101" s="5" t="s">
        <v>641</v>
      </c>
      <c r="K101" s="5" t="s">
        <v>73</v>
      </c>
      <c r="L101" s="5" t="s">
        <v>642</v>
      </c>
      <c r="M101" s="5">
        <v>3014723084</v>
      </c>
      <c r="N101" s="6">
        <v>45989</v>
      </c>
      <c r="O101" s="7">
        <v>0.67847222222222225</v>
      </c>
      <c r="P101" s="5">
        <v>1</v>
      </c>
      <c r="Q101" s="5" t="s">
        <v>89</v>
      </c>
      <c r="R101" s="5">
        <v>150000</v>
      </c>
      <c r="S101" s="5">
        <v>0</v>
      </c>
      <c r="T101" s="5">
        <v>10000</v>
      </c>
      <c r="U101" s="5">
        <v>160000</v>
      </c>
      <c r="V101" s="5" t="s">
        <v>643</v>
      </c>
      <c r="W101" s="5" t="s">
        <v>36</v>
      </c>
      <c r="X101" s="5" t="s">
        <v>83</v>
      </c>
      <c r="Y101" s="5" t="s">
        <v>24</v>
      </c>
      <c r="Z101" s="5" t="s">
        <v>644</v>
      </c>
      <c r="AA101" s="5" t="s">
        <v>44</v>
      </c>
      <c r="AC101" s="8" t="str">
        <f>HYPERLINK("https://drive.google.com/file/d/10KrR2hHqCMGPi5Fr3aI7hvYXq1SMj9Lj/view?usp=drivesdk","Abrir_Factura")</f>
        <v>Abrir_Factura</v>
      </c>
    </row>
    <row r="102" spans="1:29" ht="12.5">
      <c r="A102" s="4">
        <v>45989.375417916672</v>
      </c>
      <c r="B102" s="5">
        <v>89738</v>
      </c>
      <c r="C102" s="5">
        <v>22486488</v>
      </c>
      <c r="D102" s="5" t="s">
        <v>645</v>
      </c>
      <c r="F102" s="5" t="s">
        <v>646</v>
      </c>
      <c r="H102" s="5">
        <v>573002777625</v>
      </c>
      <c r="J102" s="5" t="s">
        <v>647</v>
      </c>
      <c r="K102" s="5" t="s">
        <v>405</v>
      </c>
      <c r="L102" s="5" t="s">
        <v>648</v>
      </c>
      <c r="M102" s="5">
        <v>3002777625</v>
      </c>
      <c r="N102" s="6">
        <v>45989</v>
      </c>
      <c r="O102" s="7">
        <v>0.45069444444444445</v>
      </c>
      <c r="P102" s="5">
        <v>1</v>
      </c>
      <c r="Q102" s="5" t="s">
        <v>649</v>
      </c>
      <c r="R102" s="5">
        <v>180000</v>
      </c>
      <c r="S102" s="5">
        <v>0</v>
      </c>
      <c r="T102" s="5">
        <v>30000</v>
      </c>
      <c r="U102" s="5">
        <v>210000</v>
      </c>
      <c r="V102" s="5" t="s">
        <v>650</v>
      </c>
      <c r="W102" s="5" t="s">
        <v>36</v>
      </c>
      <c r="X102" s="5" t="s">
        <v>196</v>
      </c>
      <c r="Y102" s="5" t="s">
        <v>24</v>
      </c>
      <c r="Z102" s="5" t="s">
        <v>651</v>
      </c>
      <c r="AA102" s="5" t="s">
        <v>69</v>
      </c>
      <c r="AC102" s="8" t="str">
        <f>HYPERLINK("https://drive.google.com/file/d/1GBfTNlRSiwYuU7bnaamAMxwKSCcuhFvo/view?usp=drivesdk","Abrir_Factura")</f>
        <v>Abrir_Factura</v>
      </c>
    </row>
    <row r="103" spans="1:29" ht="12.5">
      <c r="A103" s="4">
        <v>45989.55600138889</v>
      </c>
      <c r="B103" s="5">
        <v>89739</v>
      </c>
      <c r="C103" s="5">
        <v>1140833784</v>
      </c>
      <c r="D103" s="5" t="s">
        <v>652</v>
      </c>
      <c r="F103" s="5" t="s">
        <v>653</v>
      </c>
      <c r="H103" s="5">
        <v>573148029050</v>
      </c>
      <c r="J103" s="5" t="s">
        <v>654</v>
      </c>
      <c r="K103" s="5" t="s">
        <v>314</v>
      </c>
      <c r="L103" s="5" t="s">
        <v>655</v>
      </c>
      <c r="M103" s="5" t="s">
        <v>656</v>
      </c>
      <c r="N103" s="6">
        <v>45990</v>
      </c>
      <c r="O103" s="7">
        <v>0.39583333333333331</v>
      </c>
      <c r="P103" s="5">
        <v>1</v>
      </c>
      <c r="Q103" s="5" t="s">
        <v>370</v>
      </c>
      <c r="R103" s="5">
        <v>260000</v>
      </c>
      <c r="S103" s="5">
        <v>0</v>
      </c>
      <c r="T103" s="5">
        <v>15000</v>
      </c>
      <c r="U103" s="5">
        <v>275000</v>
      </c>
      <c r="V103" s="5" t="s">
        <v>657</v>
      </c>
      <c r="W103" s="5" t="s">
        <v>36</v>
      </c>
      <c r="X103" s="5" t="s">
        <v>83</v>
      </c>
      <c r="Y103" s="5" t="s">
        <v>24</v>
      </c>
      <c r="Z103" s="5" t="s">
        <v>658</v>
      </c>
      <c r="AA103" s="5" t="s">
        <v>44</v>
      </c>
      <c r="AC103" s="8" t="str">
        <f>HYPERLINK("https://drive.google.com/file/d/12C13DzfWi_0rMTbl_C1129pnlRLO7PER/view?usp=drivesdk","Abrir_Factura")</f>
        <v>Abrir_Factura</v>
      </c>
    </row>
    <row r="104" spans="1:29" ht="12.5">
      <c r="A104" s="4">
        <v>45989.675004456018</v>
      </c>
      <c r="B104" s="5">
        <v>89740</v>
      </c>
      <c r="C104" s="5">
        <v>11431138805</v>
      </c>
      <c r="D104" s="5" t="s">
        <v>659</v>
      </c>
      <c r="F104" s="5" t="s">
        <v>660</v>
      </c>
      <c r="H104" s="5">
        <v>578660514</v>
      </c>
      <c r="J104" s="5" t="s">
        <v>661</v>
      </c>
      <c r="K104" s="5" t="s">
        <v>63</v>
      </c>
      <c r="L104" s="5" t="s">
        <v>662</v>
      </c>
      <c r="M104" s="5">
        <v>3188660514</v>
      </c>
      <c r="N104" s="6">
        <v>45990</v>
      </c>
      <c r="O104" s="7">
        <v>0.29166666666666669</v>
      </c>
      <c r="P104" s="5">
        <v>1</v>
      </c>
      <c r="Q104" s="5" t="s">
        <v>309</v>
      </c>
      <c r="R104" s="5">
        <v>80000</v>
      </c>
      <c r="S104" s="5">
        <v>0</v>
      </c>
      <c r="T104" s="5">
        <v>17000</v>
      </c>
      <c r="U104" s="5">
        <v>97000</v>
      </c>
      <c r="V104" s="5" t="s">
        <v>663</v>
      </c>
      <c r="W104" s="5" t="s">
        <v>36</v>
      </c>
      <c r="X104" s="5" t="s">
        <v>67</v>
      </c>
      <c r="Y104" s="5" t="s">
        <v>24</v>
      </c>
      <c r="Z104" s="5" t="s">
        <v>664</v>
      </c>
      <c r="AA104" s="5" t="s">
        <v>44</v>
      </c>
      <c r="AC104" s="8" t="str">
        <f>HYPERLINK("https://drive.google.com/file/d/14JfRZ-OmYhEMGPaNnhuoCfRQSC94bCfb/view?usp=drivesdk","Abrir_Factura")</f>
        <v>Abrir_Factura</v>
      </c>
    </row>
    <row r="105" spans="1:29" ht="12.5">
      <c r="A105" s="4">
        <v>45990.51892707176</v>
      </c>
      <c r="B105" s="5">
        <v>89741</v>
      </c>
      <c r="C105" s="5">
        <v>1007017337</v>
      </c>
      <c r="D105" s="5" t="s">
        <v>665</v>
      </c>
      <c r="F105" s="5" t="s">
        <v>666</v>
      </c>
      <c r="H105" s="5">
        <v>573156164607</v>
      </c>
      <c r="J105" s="5" t="s">
        <v>667</v>
      </c>
      <c r="K105" s="5" t="s">
        <v>161</v>
      </c>
      <c r="L105" s="5" t="s">
        <v>668</v>
      </c>
      <c r="M105" s="5">
        <v>3156164607</v>
      </c>
      <c r="N105" s="6">
        <v>45991</v>
      </c>
      <c r="O105" s="7">
        <v>0.41666666666666669</v>
      </c>
      <c r="P105" s="5">
        <v>1</v>
      </c>
      <c r="Q105" s="5" t="s">
        <v>75</v>
      </c>
      <c r="R105" s="5">
        <v>70000</v>
      </c>
      <c r="S105" s="5">
        <v>0</v>
      </c>
      <c r="T105" s="5">
        <v>8000</v>
      </c>
      <c r="U105" s="5">
        <v>78000</v>
      </c>
      <c r="V105" s="5" t="s">
        <v>669</v>
      </c>
      <c r="W105" s="5" t="s">
        <v>36</v>
      </c>
      <c r="X105" s="5" t="s">
        <v>67</v>
      </c>
      <c r="Y105" s="5" t="s">
        <v>24</v>
      </c>
      <c r="AA105" s="5" t="s">
        <v>44</v>
      </c>
      <c r="AC105" s="8" t="str">
        <f>HYPERLINK("https://drive.google.com/file/d/1xUVYhJQwEdgon6yKleGUM7NOXXXQ3y3N/view?usp=drivesdk","Abrir_Factura")</f>
        <v>Abrir_Factura</v>
      </c>
    </row>
    <row r="106" spans="1:29" ht="12.5">
      <c r="A106" s="4">
        <v>45990.371145543977</v>
      </c>
      <c r="B106" s="5">
        <v>89742</v>
      </c>
      <c r="C106" s="5">
        <v>1140900474</v>
      </c>
      <c r="D106" s="5" t="s">
        <v>670</v>
      </c>
      <c r="F106" s="5" t="s">
        <v>671</v>
      </c>
      <c r="H106" s="5">
        <v>573222255603</v>
      </c>
      <c r="J106" s="5" t="s">
        <v>672</v>
      </c>
      <c r="L106" s="5" t="s">
        <v>49</v>
      </c>
      <c r="M106" s="5">
        <v>3222255603</v>
      </c>
      <c r="N106" s="6">
        <v>45990</v>
      </c>
      <c r="O106" s="7">
        <v>0.66666666666666663</v>
      </c>
      <c r="P106" s="5">
        <v>1</v>
      </c>
      <c r="Q106" s="5" t="s">
        <v>375</v>
      </c>
      <c r="R106" s="5">
        <v>70000</v>
      </c>
      <c r="S106" s="5">
        <v>0</v>
      </c>
      <c r="T106" s="5"/>
      <c r="U106" s="5">
        <v>70000</v>
      </c>
      <c r="V106" s="5" t="s">
        <v>673</v>
      </c>
      <c r="W106" s="5" t="s">
        <v>36</v>
      </c>
      <c r="X106" s="5" t="s">
        <v>43</v>
      </c>
      <c r="Y106" s="5" t="s">
        <v>24</v>
      </c>
      <c r="Z106" s="5" t="s">
        <v>674</v>
      </c>
      <c r="AA106" s="5" t="s">
        <v>69</v>
      </c>
      <c r="AC106" s="8" t="str">
        <f>HYPERLINK("https://drive.google.com/file/d/1JeFl4d5raZPji82j4Xh4BrFwh-_KDDhn/view?usp=drivesdk","Abrir_Factura")</f>
        <v>Abrir_Factura</v>
      </c>
    </row>
    <row r="107" spans="1:29" ht="12.5">
      <c r="A107" s="4">
        <v>45990.384527870367</v>
      </c>
      <c r="B107" s="5">
        <v>89743</v>
      </c>
      <c r="C107" s="5">
        <v>1040182369</v>
      </c>
      <c r="D107" s="5" t="s">
        <v>158</v>
      </c>
      <c r="F107" s="5" t="s">
        <v>675</v>
      </c>
      <c r="H107" s="5">
        <v>13179021951</v>
      </c>
      <c r="J107" s="5" t="s">
        <v>676</v>
      </c>
      <c r="K107" s="5" t="s">
        <v>33</v>
      </c>
      <c r="L107" s="5" t="s">
        <v>677</v>
      </c>
      <c r="M107" s="10" t="s">
        <v>678</v>
      </c>
      <c r="N107" s="6">
        <v>45990</v>
      </c>
      <c r="O107" s="7">
        <v>0.54583333333333328</v>
      </c>
      <c r="P107" s="5">
        <v>1</v>
      </c>
      <c r="Q107" s="5" t="s">
        <v>679</v>
      </c>
      <c r="R107" s="5">
        <v>180000</v>
      </c>
      <c r="S107" s="5">
        <v>0</v>
      </c>
      <c r="T107" s="5">
        <v>0</v>
      </c>
      <c r="U107" s="5">
        <v>180000</v>
      </c>
      <c r="V107" s="5" t="s">
        <v>680</v>
      </c>
      <c r="W107" s="5" t="s">
        <v>36</v>
      </c>
      <c r="X107" s="5" t="s">
        <v>43</v>
      </c>
      <c r="Y107" s="5" t="s">
        <v>24</v>
      </c>
      <c r="Z107" s="5" t="s">
        <v>681</v>
      </c>
      <c r="AA107" s="5" t="s">
        <v>69</v>
      </c>
      <c r="AC107" s="8" t="str">
        <f>HYPERLINK("https://drive.google.com/file/d/1cx4AzIRLVhCp8L2fmSMu9F1PYd-sMn-e/view?usp=drivesdk","Abrir_Factura")</f>
        <v>Abrir_Factura</v>
      </c>
    </row>
    <row r="108" spans="1:29" ht="12.5">
      <c r="A108" s="4">
        <v>45990.562697083333</v>
      </c>
      <c r="B108" s="5">
        <v>89744</v>
      </c>
      <c r="C108" s="5">
        <v>72282957</v>
      </c>
      <c r="D108" s="5" t="s">
        <v>682</v>
      </c>
      <c r="F108" s="5" t="s">
        <v>683</v>
      </c>
      <c r="H108" s="5">
        <v>573164536852</v>
      </c>
      <c r="J108" s="5" t="s">
        <v>684</v>
      </c>
      <c r="K108" s="5" t="s">
        <v>168</v>
      </c>
      <c r="L108" s="5" t="s">
        <v>685</v>
      </c>
      <c r="M108" s="5">
        <v>3164536852</v>
      </c>
      <c r="N108" s="6">
        <v>45991</v>
      </c>
      <c r="O108" s="7">
        <v>0.33333333333333331</v>
      </c>
      <c r="P108" s="5">
        <v>1</v>
      </c>
      <c r="Q108" s="5" t="s">
        <v>251</v>
      </c>
      <c r="R108" s="5">
        <v>170000</v>
      </c>
      <c r="S108" s="5">
        <v>0</v>
      </c>
      <c r="T108" s="5">
        <v>13000</v>
      </c>
      <c r="U108" s="5">
        <v>183000</v>
      </c>
      <c r="W108" s="5" t="s">
        <v>36</v>
      </c>
      <c r="X108" s="5" t="s">
        <v>67</v>
      </c>
      <c r="Y108" s="5" t="s">
        <v>24</v>
      </c>
      <c r="Z108" s="5" t="s">
        <v>686</v>
      </c>
      <c r="AA108" s="5" t="s">
        <v>69</v>
      </c>
      <c r="AC108" s="8" t="str">
        <f>HYPERLINK("https://drive.google.com/file/d/1m6vHPMSnQ_J85cTU4dWkfNHiTB0Tw7w_/view?usp=drivesdk","Abrir_Factura")</f>
        <v>Abrir_Factura</v>
      </c>
    </row>
    <row r="109" spans="1:29" ht="12.5">
      <c r="A109" s="4">
        <v>45992.369150810184</v>
      </c>
      <c r="B109" s="5">
        <v>89745</v>
      </c>
      <c r="C109" s="5">
        <v>72276221</v>
      </c>
      <c r="D109" s="5" t="s">
        <v>687</v>
      </c>
      <c r="F109" s="5" t="s">
        <v>688</v>
      </c>
      <c r="H109" s="5">
        <v>573015021488</v>
      </c>
      <c r="J109" s="5" t="s">
        <v>689</v>
      </c>
      <c r="K109" s="5" t="s">
        <v>33</v>
      </c>
      <c r="L109" s="5" t="s">
        <v>34</v>
      </c>
      <c r="M109" s="5">
        <v>3015021488</v>
      </c>
      <c r="N109" s="6">
        <v>45992</v>
      </c>
      <c r="O109" s="7">
        <v>0.45347222222222222</v>
      </c>
      <c r="P109" s="5">
        <v>1</v>
      </c>
      <c r="Q109" s="5" t="s">
        <v>75</v>
      </c>
      <c r="R109" s="5">
        <v>70000</v>
      </c>
      <c r="S109" s="5">
        <v>0</v>
      </c>
      <c r="T109" s="5">
        <v>0</v>
      </c>
      <c r="U109" s="5">
        <v>70000</v>
      </c>
      <c r="V109" s="5" t="s">
        <v>690</v>
      </c>
      <c r="W109" s="5" t="s">
        <v>36</v>
      </c>
      <c r="X109" s="5" t="s">
        <v>43</v>
      </c>
      <c r="Y109" s="5" t="s">
        <v>24</v>
      </c>
      <c r="Z109" s="5" t="s">
        <v>691</v>
      </c>
      <c r="AA109" s="5" t="s">
        <v>44</v>
      </c>
      <c r="AB109" s="5" t="s">
        <v>690</v>
      </c>
      <c r="AC109" s="8" t="str">
        <f>HYPERLINK("https://drive.google.com/file/d/1vo-Y1Ppx47yS3aBepePJi1xuTPu70xHQ/view?usp=drivesdk","Abrir_Factura")</f>
        <v>Abrir_Factura</v>
      </c>
    </row>
    <row r="110" spans="1:29" ht="12.5">
      <c r="A110" s="4">
        <v>45990.708395914349</v>
      </c>
      <c r="B110" s="5">
        <v>89746</v>
      </c>
      <c r="C110" s="5">
        <v>72209478</v>
      </c>
      <c r="D110" s="5" t="s">
        <v>692</v>
      </c>
      <c r="F110" s="5" t="s">
        <v>693</v>
      </c>
      <c r="H110" s="5">
        <v>18133173677</v>
      </c>
      <c r="J110" s="5" t="s">
        <v>694</v>
      </c>
      <c r="K110" s="5" t="s">
        <v>73</v>
      </c>
      <c r="L110" s="5" t="s">
        <v>695</v>
      </c>
      <c r="M110" s="5">
        <v>3226551951</v>
      </c>
      <c r="N110" s="6">
        <v>45992</v>
      </c>
      <c r="O110" s="7">
        <v>0.33333333333333331</v>
      </c>
      <c r="P110" s="5">
        <v>1</v>
      </c>
      <c r="Q110" s="5" t="s">
        <v>361</v>
      </c>
      <c r="R110" s="5">
        <v>200000</v>
      </c>
      <c r="S110" s="5">
        <v>0</v>
      </c>
      <c r="T110" s="5">
        <v>10000</v>
      </c>
      <c r="U110" s="5">
        <v>210000</v>
      </c>
      <c r="V110" s="5" t="s">
        <v>696</v>
      </c>
      <c r="W110" s="5" t="s">
        <v>36</v>
      </c>
      <c r="X110" s="5" t="s">
        <v>204</v>
      </c>
      <c r="Y110" s="5" t="s">
        <v>24</v>
      </c>
      <c r="Z110" s="5" t="s">
        <v>697</v>
      </c>
      <c r="AA110" s="5" t="s">
        <v>44</v>
      </c>
      <c r="AC110" s="8" t="str">
        <f>HYPERLINK("https://drive.google.com/file/d/1-ef_iqx0-trOlQH5UEfLRx0ontRLJv3y/view?usp=drivesdk","Abrir_Factura")</f>
        <v>Abrir_Factura</v>
      </c>
    </row>
    <row r="111" spans="1:29" ht="12.5">
      <c r="A111" s="4">
        <v>45992.363498541672</v>
      </c>
      <c r="B111" s="5">
        <v>89747</v>
      </c>
      <c r="C111" s="5">
        <v>1001993394</v>
      </c>
      <c r="D111" s="5" t="s">
        <v>698</v>
      </c>
      <c r="F111" s="5" t="s">
        <v>699</v>
      </c>
      <c r="H111" s="5">
        <v>573014426015</v>
      </c>
      <c r="J111" s="5" t="s">
        <v>700</v>
      </c>
      <c r="K111" s="5" t="s">
        <v>33</v>
      </c>
      <c r="L111" s="5" t="s">
        <v>34</v>
      </c>
      <c r="M111" s="5">
        <v>3014426015</v>
      </c>
      <c r="N111" s="6">
        <v>45994</v>
      </c>
      <c r="O111" s="7">
        <v>0.68055555555555558</v>
      </c>
      <c r="P111" s="5">
        <v>1</v>
      </c>
      <c r="Q111" s="5" t="s">
        <v>380</v>
      </c>
      <c r="R111" s="5">
        <v>300000</v>
      </c>
      <c r="S111" s="5">
        <v>0</v>
      </c>
      <c r="T111" s="5">
        <v>0</v>
      </c>
      <c r="U111" s="5">
        <v>300000</v>
      </c>
      <c r="V111" s="5" t="s">
        <v>701</v>
      </c>
      <c r="W111" s="5" t="s">
        <v>36</v>
      </c>
      <c r="X111" s="5" t="s">
        <v>98</v>
      </c>
      <c r="Y111" s="5" t="s">
        <v>24</v>
      </c>
      <c r="Z111" s="5" t="s">
        <v>702</v>
      </c>
      <c r="AA111" s="5" t="s">
        <v>69</v>
      </c>
      <c r="AB111" s="5" t="s">
        <v>701</v>
      </c>
      <c r="AC111" s="8" t="str">
        <f>HYPERLINK("https://drive.google.com/file/d/1o2v0zhPRK6tMhgOxHq4i3xA7IcYoqcWr/view?usp=drivesdk","Abrir_Factura")</f>
        <v>Abrir_Factura</v>
      </c>
    </row>
    <row r="112" spans="1:29" ht="12.5">
      <c r="A112" s="4">
        <v>45992.375477280089</v>
      </c>
      <c r="B112" s="5">
        <v>89748</v>
      </c>
      <c r="C112" s="5">
        <v>1103109747</v>
      </c>
      <c r="D112" s="5" t="s">
        <v>703</v>
      </c>
      <c r="F112" s="5" t="s">
        <v>704</v>
      </c>
      <c r="H112" s="5">
        <v>573004299885</v>
      </c>
      <c r="J112" s="5" t="s">
        <v>705</v>
      </c>
      <c r="K112" s="5" t="s">
        <v>124</v>
      </c>
      <c r="L112" s="5" t="s">
        <v>706</v>
      </c>
      <c r="M112" s="5">
        <v>3004299885</v>
      </c>
      <c r="N112" s="6">
        <v>45993</v>
      </c>
      <c r="O112" s="7">
        <v>0.375</v>
      </c>
      <c r="P112" s="5">
        <v>1</v>
      </c>
      <c r="Q112" s="5" t="s">
        <v>707</v>
      </c>
      <c r="R112" s="5">
        <v>320000</v>
      </c>
      <c r="S112" s="5">
        <v>0</v>
      </c>
      <c r="T112" s="5">
        <v>12000</v>
      </c>
      <c r="U112" s="5">
        <v>332000</v>
      </c>
      <c r="V112" s="5" t="s">
        <v>708</v>
      </c>
      <c r="W112" s="5" t="s">
        <v>36</v>
      </c>
      <c r="X112" s="5" t="s">
        <v>83</v>
      </c>
      <c r="Y112" s="5" t="s">
        <v>24</v>
      </c>
      <c r="Z112" s="5" t="s">
        <v>709</v>
      </c>
      <c r="AA112" s="5" t="s">
        <v>44</v>
      </c>
      <c r="AB112" s="5" t="s">
        <v>710</v>
      </c>
      <c r="AC112" s="8" t="str">
        <f>HYPERLINK("https://drive.google.com/file/d/1aoXq5R7ANgMRm_koe5AYIVUF-z-9a_OB/view?usp=drivesdk","Abrir_Factura")</f>
        <v>Abrir_Factura</v>
      </c>
    </row>
    <row r="113" spans="1:29" ht="12.5">
      <c r="A113" s="4">
        <v>45992.391651828701</v>
      </c>
      <c r="B113" s="5">
        <v>89749</v>
      </c>
      <c r="C113" s="5">
        <v>4352642</v>
      </c>
      <c r="D113" s="5" t="s">
        <v>711</v>
      </c>
      <c r="F113" s="5" t="s">
        <v>712</v>
      </c>
      <c r="H113" s="5">
        <v>16508634740</v>
      </c>
      <c r="J113" s="5" t="s">
        <v>713</v>
      </c>
      <c r="K113" s="5" t="s">
        <v>314</v>
      </c>
      <c r="L113" s="5" t="s">
        <v>714</v>
      </c>
      <c r="M113" s="5">
        <v>3004283772</v>
      </c>
      <c r="N113" s="6">
        <v>45992</v>
      </c>
      <c r="O113" s="7">
        <v>0.54166666666666663</v>
      </c>
      <c r="P113" s="5">
        <v>1</v>
      </c>
      <c r="Q113" s="5" t="s">
        <v>715</v>
      </c>
      <c r="R113" s="5">
        <v>290000</v>
      </c>
      <c r="S113" s="5">
        <v>0</v>
      </c>
      <c r="T113" s="5">
        <v>15000</v>
      </c>
      <c r="U113" s="5">
        <v>305000</v>
      </c>
      <c r="V113" s="5" t="s">
        <v>716</v>
      </c>
      <c r="W113" s="5" t="s">
        <v>36</v>
      </c>
      <c r="X113" s="5" t="s">
        <v>98</v>
      </c>
      <c r="Y113" s="5" t="s">
        <v>24</v>
      </c>
      <c r="Z113" s="5" t="s">
        <v>717</v>
      </c>
      <c r="AA113" s="5" t="s">
        <v>44</v>
      </c>
      <c r="AB113" s="5" t="s">
        <v>716</v>
      </c>
      <c r="AC113" s="8" t="str">
        <f>HYPERLINK("https://drive.google.com/file/d/1B2ykvVRj2KL8eszOfz1ehrB_YW83TArU/view?usp=drivesdk","Abrir_Factura")</f>
        <v>Abrir_Factura</v>
      </c>
    </row>
    <row r="114" spans="1:29" ht="12.5">
      <c r="A114" s="4">
        <v>45992.415063472217</v>
      </c>
      <c r="B114" s="5">
        <v>89750</v>
      </c>
      <c r="C114" s="5">
        <v>1122811690</v>
      </c>
      <c r="D114" s="5" t="s">
        <v>718</v>
      </c>
      <c r="F114" s="5" t="s">
        <v>719</v>
      </c>
      <c r="H114" s="5">
        <v>573124209998</v>
      </c>
      <c r="J114" s="5" t="s">
        <v>720</v>
      </c>
      <c r="K114" s="5" t="s">
        <v>63</v>
      </c>
      <c r="L114" s="5" t="s">
        <v>721</v>
      </c>
      <c r="M114" s="5">
        <v>3023500526</v>
      </c>
      <c r="N114" s="6">
        <v>45992</v>
      </c>
      <c r="O114" s="7">
        <v>0.60416666666666663</v>
      </c>
      <c r="P114" s="5">
        <v>1</v>
      </c>
      <c r="Q114" s="5" t="s">
        <v>422</v>
      </c>
      <c r="R114" s="5">
        <v>130000</v>
      </c>
      <c r="S114" s="5">
        <v>0</v>
      </c>
      <c r="T114" s="5">
        <v>17000</v>
      </c>
      <c r="U114" s="5">
        <v>147000</v>
      </c>
      <c r="W114" s="5" t="s">
        <v>36</v>
      </c>
      <c r="X114" s="5" t="s">
        <v>83</v>
      </c>
      <c r="Y114" s="5" t="s">
        <v>24</v>
      </c>
      <c r="Z114" s="5" t="s">
        <v>722</v>
      </c>
      <c r="AA114" s="5" t="s">
        <v>69</v>
      </c>
      <c r="AC114" s="8" t="str">
        <f>HYPERLINK("https://drive.google.com/file/d/1Fj4EHExCZFgakM3IsKu_tNBRfrTwLc08/view?usp=drivesdk","Abrir_Factura")</f>
        <v>Abrir_Factura</v>
      </c>
    </row>
    <row r="115" spans="1:29" ht="12.5">
      <c r="A115" s="4">
        <v>45992.411076192133</v>
      </c>
      <c r="B115" s="5">
        <v>89751</v>
      </c>
      <c r="C115" s="5">
        <v>1042432935</v>
      </c>
      <c r="D115" s="5" t="s">
        <v>723</v>
      </c>
      <c r="F115" s="5" t="s">
        <v>724</v>
      </c>
      <c r="H115" s="5">
        <v>573013404058</v>
      </c>
      <c r="J115" s="5" t="s">
        <v>725</v>
      </c>
      <c r="K115" s="5" t="s">
        <v>726</v>
      </c>
      <c r="L115" s="5" t="s">
        <v>727</v>
      </c>
      <c r="M115" s="5">
        <v>3002157429</v>
      </c>
      <c r="N115" s="6">
        <v>45992</v>
      </c>
      <c r="O115" s="7">
        <v>0.4909722222222222</v>
      </c>
      <c r="P115" s="5">
        <v>1</v>
      </c>
      <c r="Q115" s="5" t="s">
        <v>330</v>
      </c>
      <c r="R115" s="5">
        <v>180000</v>
      </c>
      <c r="S115" s="5">
        <v>0</v>
      </c>
      <c r="T115" s="5">
        <v>9000</v>
      </c>
      <c r="U115" s="5">
        <v>189000</v>
      </c>
      <c r="V115" s="5" t="s">
        <v>728</v>
      </c>
      <c r="W115" s="5" t="s">
        <v>36</v>
      </c>
      <c r="X115" s="5" t="s">
        <v>83</v>
      </c>
      <c r="Y115" s="5" t="s">
        <v>24</v>
      </c>
      <c r="Z115" s="5" t="s">
        <v>729</v>
      </c>
      <c r="AA115" s="5" t="s">
        <v>44</v>
      </c>
      <c r="AB115" s="5" t="s">
        <v>728</v>
      </c>
      <c r="AC115" s="8" t="str">
        <f>HYPERLINK("https://drive.google.com/file/d/1j1Xr0227PpDxHp1hq_Z1dSIpqCNWPOg9/view?usp=drivesdk","Abrir_Factura")</f>
        <v>Abrir_Factura</v>
      </c>
    </row>
    <row r="116" spans="1:29" ht="12.5">
      <c r="A116" s="4">
        <v>45992.40301952546</v>
      </c>
      <c r="B116" s="5">
        <v>89752</v>
      </c>
      <c r="C116" s="5">
        <v>40925603</v>
      </c>
      <c r="D116" s="5" t="s">
        <v>730</v>
      </c>
      <c r="F116" s="5" t="s">
        <v>731</v>
      </c>
      <c r="H116" s="5">
        <v>573157491230</v>
      </c>
      <c r="J116" s="5" t="s">
        <v>732</v>
      </c>
      <c r="K116" s="5" t="s">
        <v>185</v>
      </c>
      <c r="L116" s="5" t="s">
        <v>733</v>
      </c>
      <c r="M116" s="5">
        <v>3157491230</v>
      </c>
      <c r="N116" s="6">
        <v>45992</v>
      </c>
      <c r="O116" s="7">
        <v>0.45833333333333331</v>
      </c>
      <c r="P116" s="5">
        <v>1</v>
      </c>
      <c r="Q116" s="5" t="s">
        <v>734</v>
      </c>
      <c r="R116" s="5">
        <v>90000</v>
      </c>
      <c r="S116" s="5">
        <v>0</v>
      </c>
      <c r="T116" s="5">
        <v>8000</v>
      </c>
      <c r="U116" s="5">
        <v>98000</v>
      </c>
      <c r="V116" s="5" t="s">
        <v>735</v>
      </c>
      <c r="W116" s="5" t="s">
        <v>36</v>
      </c>
      <c r="X116" s="5" t="s">
        <v>180</v>
      </c>
      <c r="Y116" s="5" t="s">
        <v>24</v>
      </c>
      <c r="AA116" s="5" t="s">
        <v>69</v>
      </c>
      <c r="AB116" s="5" t="s">
        <v>735</v>
      </c>
      <c r="AC116" s="8" t="str">
        <f>HYPERLINK("https://drive.google.com/file/d/1HUeG7EccHtgro13fWTEkozphUyRQDyPW/view?usp=drivesdk","Abrir_Factura")</f>
        <v>Abrir_Factura</v>
      </c>
    </row>
    <row r="117" spans="1:29" ht="12.5">
      <c r="A117" s="4">
        <v>45992.496961817131</v>
      </c>
      <c r="B117" s="5">
        <v>89754</v>
      </c>
      <c r="C117" s="5">
        <v>1216971802</v>
      </c>
      <c r="D117" s="5" t="s">
        <v>736</v>
      </c>
      <c r="F117" s="5" t="s">
        <v>737</v>
      </c>
      <c r="H117" s="5">
        <v>573116265853</v>
      </c>
      <c r="J117" s="5" t="s">
        <v>738</v>
      </c>
      <c r="K117" s="5" t="s">
        <v>265</v>
      </c>
      <c r="L117" s="5" t="s">
        <v>739</v>
      </c>
      <c r="M117" s="5" t="s">
        <v>740</v>
      </c>
      <c r="N117" s="6">
        <v>45992</v>
      </c>
      <c r="O117" s="7">
        <v>0.64583333333333337</v>
      </c>
      <c r="P117" s="5">
        <v>1</v>
      </c>
      <c r="Q117" s="5" t="s">
        <v>133</v>
      </c>
      <c r="R117" s="5">
        <v>140000</v>
      </c>
      <c r="S117" s="5">
        <v>0</v>
      </c>
      <c r="T117" s="5">
        <v>17000</v>
      </c>
      <c r="U117" s="5">
        <v>157000</v>
      </c>
      <c r="V117" s="5" t="s">
        <v>741</v>
      </c>
      <c r="W117" s="5" t="s">
        <v>36</v>
      </c>
      <c r="X117" s="5" t="s">
        <v>83</v>
      </c>
      <c r="Y117" s="5" t="s">
        <v>24</v>
      </c>
      <c r="Z117" s="5" t="s">
        <v>742</v>
      </c>
      <c r="AA117" s="5" t="s">
        <v>44</v>
      </c>
      <c r="AB117" s="5" t="s">
        <v>741</v>
      </c>
      <c r="AC117" s="8" t="str">
        <f>HYPERLINK("https://drive.google.com/file/d/1aS4L9gAoY2gA6v4fshBFO1dcllCVv-F3/view?usp=drivesdk","Abrir_Factura")</f>
        <v>Abrir_Factura</v>
      </c>
    </row>
    <row r="118" spans="1:29" ht="12.5">
      <c r="A118" s="4">
        <v>45992.472850416671</v>
      </c>
      <c r="B118" s="5">
        <v>89755</v>
      </c>
      <c r="C118" s="5">
        <v>75189663</v>
      </c>
      <c r="D118" s="5" t="s">
        <v>743</v>
      </c>
      <c r="F118" s="5" t="s">
        <v>744</v>
      </c>
      <c r="H118" s="5">
        <v>573178300131</v>
      </c>
      <c r="J118" s="5" t="s">
        <v>745</v>
      </c>
      <c r="K118" s="5" t="s">
        <v>161</v>
      </c>
      <c r="L118" s="5" t="s">
        <v>746</v>
      </c>
      <c r="M118" s="5" t="s">
        <v>25421</v>
      </c>
      <c r="N118" s="6">
        <v>45993</v>
      </c>
      <c r="O118" s="7">
        <v>0.41666666666666669</v>
      </c>
      <c r="P118" s="5">
        <v>1</v>
      </c>
      <c r="Q118" s="5" t="s">
        <v>747</v>
      </c>
      <c r="R118" s="5">
        <v>300000</v>
      </c>
      <c r="T118" s="5">
        <v>8000</v>
      </c>
      <c r="U118" s="5">
        <v>308000</v>
      </c>
      <c r="V118" s="5" t="s">
        <v>748</v>
      </c>
      <c r="W118" s="5" t="s">
        <v>36</v>
      </c>
      <c r="X118" s="5" t="s">
        <v>98</v>
      </c>
      <c r="Y118" s="5" t="s">
        <v>24</v>
      </c>
      <c r="Z118" s="5" t="s">
        <v>749</v>
      </c>
      <c r="AA118" s="5" t="s">
        <v>69</v>
      </c>
      <c r="AB118" s="5" t="s">
        <v>748</v>
      </c>
      <c r="AC118" s="8" t="str">
        <f>HYPERLINK("https://drive.google.com/file/d/1_mdbg4wOSkF6lqr3Lz3-TvhvqJ-um5CH/view?usp=drivesdk","Abrir_Factura")</f>
        <v>Abrir_Factura</v>
      </c>
    </row>
    <row r="119" spans="1:29" ht="12.5">
      <c r="A119" s="4">
        <v>45992.459469780093</v>
      </c>
      <c r="B119" s="5">
        <v>89756</v>
      </c>
      <c r="C119" s="5">
        <v>1129525673</v>
      </c>
      <c r="D119" s="5" t="s">
        <v>750</v>
      </c>
      <c r="F119" s="5" t="s">
        <v>751</v>
      </c>
      <c r="H119" s="5">
        <v>573229128136</v>
      </c>
      <c r="J119" s="5" t="s">
        <v>752</v>
      </c>
      <c r="K119" s="5" t="s">
        <v>405</v>
      </c>
      <c r="L119" s="5" t="s">
        <v>753</v>
      </c>
      <c r="M119" s="5">
        <v>3229128136</v>
      </c>
      <c r="N119" s="6">
        <v>45994</v>
      </c>
      <c r="O119" s="7">
        <v>0.41666666666666669</v>
      </c>
      <c r="P119" s="5">
        <v>1</v>
      </c>
      <c r="Q119" s="5" t="s">
        <v>65</v>
      </c>
      <c r="R119" s="5">
        <v>70000</v>
      </c>
      <c r="S119" s="5">
        <v>0</v>
      </c>
      <c r="T119" s="5">
        <v>30000</v>
      </c>
      <c r="U119" s="5">
        <v>100000</v>
      </c>
      <c r="V119" s="5" t="s">
        <v>754</v>
      </c>
      <c r="W119" s="5" t="s">
        <v>36</v>
      </c>
      <c r="X119" s="5" t="s">
        <v>98</v>
      </c>
      <c r="Y119" s="5" t="s">
        <v>24</v>
      </c>
      <c r="Z119" s="5" t="s">
        <v>755</v>
      </c>
      <c r="AA119" s="5" t="s">
        <v>69</v>
      </c>
      <c r="AB119" s="5" t="s">
        <v>756</v>
      </c>
      <c r="AC119" s="8" t="str">
        <f>HYPERLINK("https://drive.google.com/file/d/1u49ZS2OTue2Y8uYwRsmG7dBhb0-QgzjP/view?usp=drivesdk","Abrir_Factura")</f>
        <v>Abrir_Factura</v>
      </c>
    </row>
    <row r="120" spans="1:29" ht="12.5">
      <c r="A120" s="4">
        <v>45992.602741157403</v>
      </c>
      <c r="B120" s="5">
        <v>89822</v>
      </c>
      <c r="C120" s="5">
        <v>1082961536</v>
      </c>
      <c r="D120" s="5" t="s">
        <v>757</v>
      </c>
      <c r="F120" s="5" t="s">
        <v>758</v>
      </c>
      <c r="H120" s="5">
        <v>573004568021</v>
      </c>
      <c r="J120" s="5" t="s">
        <v>759</v>
      </c>
      <c r="K120" s="5" t="s">
        <v>146</v>
      </c>
      <c r="L120" s="5" t="s">
        <v>760</v>
      </c>
      <c r="M120" s="5">
        <v>3246816903</v>
      </c>
      <c r="N120" s="6">
        <v>45994</v>
      </c>
      <c r="O120" s="7">
        <v>0.41666666666666669</v>
      </c>
      <c r="P120" s="5">
        <v>1</v>
      </c>
      <c r="Q120" s="5" t="s">
        <v>42</v>
      </c>
      <c r="R120" s="5">
        <v>130000</v>
      </c>
      <c r="S120" s="5">
        <v>0</v>
      </c>
      <c r="T120" s="5">
        <v>12000</v>
      </c>
      <c r="U120" s="5">
        <v>142000</v>
      </c>
      <c r="V120" s="5" t="s">
        <v>761</v>
      </c>
      <c r="W120" s="5" t="s">
        <v>36</v>
      </c>
      <c r="X120" s="5" t="s">
        <v>83</v>
      </c>
      <c r="Y120" s="5" t="s">
        <v>24</v>
      </c>
      <c r="Z120" s="5" t="s">
        <v>762</v>
      </c>
      <c r="AA120" s="5" t="s">
        <v>69</v>
      </c>
      <c r="AB120" s="5" t="s">
        <v>763</v>
      </c>
      <c r="AC120" s="8" t="str">
        <f>HYPERLINK("https://drive.google.com/file/d/1tdCQqk24ShdxRKPJ7LUTBX2X8qEbG8Lx/view?usp=drivesdk","Abrir_Factura")</f>
        <v>Abrir_Factura</v>
      </c>
    </row>
    <row r="121" spans="1:29" ht="12.5">
      <c r="A121" s="4">
        <v>45992.618622175927</v>
      </c>
      <c r="B121" s="5">
        <v>89823</v>
      </c>
      <c r="C121" s="5">
        <v>55220299</v>
      </c>
      <c r="D121" s="5" t="s">
        <v>764</v>
      </c>
      <c r="F121" s="5" t="s">
        <v>765</v>
      </c>
      <c r="H121" s="5">
        <v>573014591116</v>
      </c>
      <c r="J121" s="5" t="s">
        <v>766</v>
      </c>
      <c r="K121" s="5" t="s">
        <v>464</v>
      </c>
      <c r="L121" s="5" t="s">
        <v>767</v>
      </c>
      <c r="M121" s="5">
        <v>3014591116</v>
      </c>
      <c r="N121" s="6">
        <v>45992</v>
      </c>
      <c r="O121" s="7">
        <v>0.70208333333333328</v>
      </c>
      <c r="P121" s="5">
        <v>1</v>
      </c>
      <c r="Q121" s="5" t="s">
        <v>42</v>
      </c>
      <c r="R121" s="5">
        <v>200000</v>
      </c>
      <c r="S121" s="5">
        <v>0</v>
      </c>
      <c r="T121" s="5">
        <v>20000</v>
      </c>
      <c r="U121" s="5">
        <v>220000</v>
      </c>
      <c r="W121" s="5" t="s">
        <v>36</v>
      </c>
      <c r="X121" s="5" t="s">
        <v>83</v>
      </c>
      <c r="Y121" s="5" t="s">
        <v>24</v>
      </c>
      <c r="AA121" s="5" t="s">
        <v>69</v>
      </c>
      <c r="AB121" s="5" t="s">
        <v>768</v>
      </c>
      <c r="AC121" s="8" t="str">
        <f>HYPERLINK("https://drive.google.com/file/d/1qGQUUX0HV68QPrRFLMtDUCJg41c-uCDa/view?usp=drivesdk","Abrir_Factura")</f>
        <v>Abrir_Factura</v>
      </c>
    </row>
    <row r="122" spans="1:29" ht="12.5">
      <c r="A122" s="4">
        <v>45992.640098495365</v>
      </c>
      <c r="B122" s="5">
        <v>89824</v>
      </c>
      <c r="C122" s="5">
        <v>1140883220</v>
      </c>
      <c r="D122" s="5" t="s">
        <v>769</v>
      </c>
      <c r="F122" s="5" t="s">
        <v>770</v>
      </c>
      <c r="H122" s="5">
        <v>573156684264</v>
      </c>
      <c r="J122" s="5" t="s">
        <v>771</v>
      </c>
      <c r="K122" s="5" t="s">
        <v>110</v>
      </c>
      <c r="L122" s="5" t="s">
        <v>772</v>
      </c>
      <c r="M122" s="5">
        <v>3156684264</v>
      </c>
      <c r="N122" s="6">
        <v>45992</v>
      </c>
      <c r="O122" s="7">
        <v>0.72569444444444442</v>
      </c>
      <c r="P122" s="5">
        <v>1</v>
      </c>
      <c r="Q122" s="5" t="s">
        <v>613</v>
      </c>
      <c r="R122" s="5">
        <v>550000</v>
      </c>
      <c r="S122" s="5">
        <v>0</v>
      </c>
      <c r="T122" s="5">
        <v>6000</v>
      </c>
      <c r="U122" s="5">
        <v>556000</v>
      </c>
      <c r="W122" s="5" t="s">
        <v>36</v>
      </c>
      <c r="X122" s="5" t="s">
        <v>51</v>
      </c>
      <c r="Y122" s="5" t="s">
        <v>310</v>
      </c>
      <c r="AA122" s="5" t="s">
        <v>44</v>
      </c>
      <c r="AC122" s="8" t="str">
        <f>HYPERLINK("https://drive.google.com/file/d/1sR8WsCCVCOUJ3NBByNOQr2k5YraYVmQi/view?usp=drivesdk","Abrir_Factura")</f>
        <v>Abrir_Factura</v>
      </c>
    </row>
    <row r="123" spans="1:29" ht="12.5">
      <c r="A123" s="4">
        <v>45992.653819421292</v>
      </c>
      <c r="B123" s="5">
        <v>89827</v>
      </c>
      <c r="C123" s="5">
        <v>1234097757</v>
      </c>
      <c r="D123" s="5" t="s">
        <v>773</v>
      </c>
      <c r="F123" s="5" t="s">
        <v>774</v>
      </c>
      <c r="H123" s="5">
        <v>573004889263</v>
      </c>
      <c r="J123" s="5" t="s">
        <v>775</v>
      </c>
      <c r="K123" s="5" t="s">
        <v>124</v>
      </c>
      <c r="L123" s="5" t="s">
        <v>776</v>
      </c>
      <c r="M123" s="5">
        <v>3107379953</v>
      </c>
      <c r="N123" s="6">
        <v>45994</v>
      </c>
      <c r="O123" s="7">
        <v>0.60416666666666663</v>
      </c>
      <c r="P123" s="5">
        <v>1</v>
      </c>
      <c r="Q123" s="5" t="s">
        <v>75</v>
      </c>
      <c r="R123" s="5">
        <v>70000</v>
      </c>
      <c r="S123" s="5">
        <v>0</v>
      </c>
      <c r="T123" s="5">
        <v>12000</v>
      </c>
      <c r="U123" s="5">
        <v>82000</v>
      </c>
      <c r="V123" s="5" t="s">
        <v>777</v>
      </c>
      <c r="W123" s="5" t="s">
        <v>36</v>
      </c>
      <c r="X123" s="5" t="s">
        <v>83</v>
      </c>
      <c r="Y123" s="5" t="s">
        <v>24</v>
      </c>
      <c r="Z123" s="5" t="s">
        <v>778</v>
      </c>
      <c r="AA123" s="5" t="s">
        <v>44</v>
      </c>
      <c r="AB123" s="5" t="s">
        <v>779</v>
      </c>
      <c r="AC123" s="8" t="str">
        <f>HYPERLINK("https://drive.google.com/file/d/1r624B0aUBkSUB8-r-zcq3Iyv_E1XOtPJ/view?usp=drivesdk","Abrir_Factura")</f>
        <v>Abrir_Factura</v>
      </c>
    </row>
    <row r="124" spans="1:29" ht="12.5">
      <c r="A124" s="4">
        <v>45992.679977557869</v>
      </c>
      <c r="B124" s="5">
        <v>89828</v>
      </c>
      <c r="C124" s="5">
        <v>1140876208</v>
      </c>
      <c r="D124" s="5" t="s">
        <v>780</v>
      </c>
      <c r="F124" s="5" t="s">
        <v>781</v>
      </c>
      <c r="H124" s="5">
        <v>573017298487</v>
      </c>
      <c r="J124" s="5" t="s">
        <v>782</v>
      </c>
      <c r="K124" s="5" t="s">
        <v>783</v>
      </c>
      <c r="L124" s="5" t="s">
        <v>784</v>
      </c>
      <c r="M124" s="5">
        <v>3012671084</v>
      </c>
      <c r="N124" s="6">
        <v>45993</v>
      </c>
      <c r="O124" s="7">
        <v>0.33333333333333331</v>
      </c>
      <c r="P124" s="5">
        <v>1</v>
      </c>
      <c r="Q124" s="5" t="s">
        <v>375</v>
      </c>
      <c r="R124" s="5">
        <v>70000</v>
      </c>
      <c r="S124" s="5">
        <v>0</v>
      </c>
      <c r="T124" s="5">
        <v>17000</v>
      </c>
      <c r="U124" s="5">
        <v>87000</v>
      </c>
      <c r="V124" s="5" t="s">
        <v>785</v>
      </c>
      <c r="W124" s="5" t="s">
        <v>36</v>
      </c>
      <c r="X124" s="5" t="s">
        <v>83</v>
      </c>
      <c r="Y124" s="5" t="s">
        <v>24</v>
      </c>
      <c r="Z124" s="5" t="s">
        <v>786</v>
      </c>
      <c r="AA124" s="5" t="s">
        <v>44</v>
      </c>
      <c r="AB124" s="5" t="s">
        <v>785</v>
      </c>
      <c r="AC124" s="8" t="str">
        <f>HYPERLINK("https://drive.google.com/file/d/1Rzl9r8SevAdNR8RCjGTfMUCaR-KO2iJ7/view?usp=drivesdk","Abrir_Factura")</f>
        <v>Abrir_Factura</v>
      </c>
    </row>
    <row r="125" spans="1:29" ht="12.5">
      <c r="A125" s="4">
        <v>45992.720132604169</v>
      </c>
      <c r="B125" s="5">
        <v>89829</v>
      </c>
      <c r="C125" s="5">
        <v>1020834328</v>
      </c>
      <c r="D125" s="5" t="s">
        <v>787</v>
      </c>
      <c r="F125" s="5" t="s">
        <v>788</v>
      </c>
      <c r="H125" s="5">
        <v>573107175874</v>
      </c>
      <c r="J125" s="5" t="s">
        <v>789</v>
      </c>
      <c r="K125" s="5" t="s">
        <v>161</v>
      </c>
      <c r="L125" s="5" t="s">
        <v>790</v>
      </c>
      <c r="M125" s="5">
        <v>3182618317</v>
      </c>
      <c r="N125" s="6">
        <v>45993</v>
      </c>
      <c r="O125" s="7">
        <v>0.4375</v>
      </c>
      <c r="P125" s="5">
        <v>1</v>
      </c>
      <c r="Q125" s="5" t="s">
        <v>178</v>
      </c>
      <c r="R125" s="5">
        <v>100000</v>
      </c>
      <c r="S125" s="5">
        <v>0</v>
      </c>
      <c r="T125" s="5">
        <v>8000</v>
      </c>
      <c r="U125" s="5">
        <v>108000</v>
      </c>
      <c r="V125" s="5" t="s">
        <v>791</v>
      </c>
      <c r="W125" s="5" t="s">
        <v>36</v>
      </c>
      <c r="X125" s="5" t="s">
        <v>83</v>
      </c>
      <c r="Y125" s="5" t="s">
        <v>24</v>
      </c>
      <c r="Z125" s="5" t="s">
        <v>792</v>
      </c>
      <c r="AA125" s="5" t="s">
        <v>44</v>
      </c>
      <c r="AB125" s="5" t="s">
        <v>791</v>
      </c>
      <c r="AC125" s="8" t="str">
        <f>HYPERLINK("https://drive.google.com/file/d/1L5w0b4U0Jrn2pHRqvPSNAkmZZCITkyL-/view?usp=drivesdk","Abrir_Factura")</f>
        <v>Abrir_Factura</v>
      </c>
    </row>
    <row r="126" spans="1:29" ht="12.5">
      <c r="A126" s="4">
        <v>45992.737107210647</v>
      </c>
      <c r="B126" s="5">
        <v>89830</v>
      </c>
      <c r="C126" s="5">
        <v>1140863226</v>
      </c>
      <c r="D126" s="5" t="s">
        <v>793</v>
      </c>
      <c r="F126" s="5" t="s">
        <v>794</v>
      </c>
      <c r="H126" s="5">
        <v>573023748334</v>
      </c>
      <c r="J126" s="5" t="s">
        <v>795</v>
      </c>
      <c r="K126" s="5" t="s">
        <v>73</v>
      </c>
      <c r="L126" s="5" t="s">
        <v>796</v>
      </c>
      <c r="M126" s="5">
        <v>3003449723</v>
      </c>
      <c r="N126" s="6">
        <v>45992</v>
      </c>
      <c r="O126" s="7">
        <v>0.77083333333333337</v>
      </c>
      <c r="P126" s="5">
        <v>1</v>
      </c>
      <c r="Q126" s="5" t="s">
        <v>375</v>
      </c>
      <c r="R126" s="5">
        <v>70000</v>
      </c>
      <c r="S126" s="5">
        <v>0</v>
      </c>
      <c r="T126" s="5">
        <v>10000</v>
      </c>
      <c r="U126" s="5">
        <v>80000</v>
      </c>
      <c r="V126" s="5" t="s">
        <v>797</v>
      </c>
      <c r="W126" s="5" t="s">
        <v>36</v>
      </c>
      <c r="X126" s="5" t="s">
        <v>83</v>
      </c>
      <c r="Y126" s="5" t="s">
        <v>24</v>
      </c>
      <c r="Z126" s="5" t="s">
        <v>798</v>
      </c>
      <c r="AA126" s="5" t="s">
        <v>69</v>
      </c>
      <c r="AB126" s="5" t="s">
        <v>797</v>
      </c>
      <c r="AC126" s="8" t="str">
        <f>HYPERLINK("https://drive.google.com/file/d/18tIvrWI7I13uAfT0ppvuTeaeDnstMzFM/view?usp=drivesdk","Abrir_Factura")</f>
        <v>Abrir_Factura</v>
      </c>
    </row>
    <row r="127" spans="1:29" ht="12.5">
      <c r="A127" s="4">
        <v>45992.758196226852</v>
      </c>
      <c r="B127" s="5">
        <v>89831</v>
      </c>
      <c r="C127" s="5">
        <v>1129505236</v>
      </c>
      <c r="D127" s="5" t="s">
        <v>799</v>
      </c>
      <c r="F127" s="5" t="s">
        <v>800</v>
      </c>
      <c r="H127" s="5">
        <v>573024545384</v>
      </c>
      <c r="J127" s="5" t="s">
        <v>801</v>
      </c>
      <c r="K127" s="5" t="s">
        <v>124</v>
      </c>
      <c r="L127" s="5" t="s">
        <v>802</v>
      </c>
      <c r="M127" s="5" t="s">
        <v>25421</v>
      </c>
      <c r="N127" s="6">
        <v>46001</v>
      </c>
      <c r="O127" s="7">
        <v>0.4375</v>
      </c>
      <c r="P127" s="5">
        <v>1</v>
      </c>
      <c r="Q127" s="5" t="s">
        <v>187</v>
      </c>
      <c r="R127" s="5">
        <v>200000</v>
      </c>
      <c r="S127" s="5">
        <v>0</v>
      </c>
      <c r="T127" s="5">
        <v>12000</v>
      </c>
      <c r="U127" s="5">
        <v>212000</v>
      </c>
      <c r="V127" s="5" t="s">
        <v>803</v>
      </c>
      <c r="W127" s="5" t="s">
        <v>36</v>
      </c>
      <c r="X127" s="5" t="s">
        <v>180</v>
      </c>
      <c r="Y127" s="5" t="s">
        <v>24</v>
      </c>
      <c r="Z127" s="5" t="s">
        <v>804</v>
      </c>
      <c r="AA127" s="5" t="s">
        <v>69</v>
      </c>
      <c r="AB127" s="5" t="s">
        <v>803</v>
      </c>
      <c r="AC127" s="8" t="str">
        <f>HYPERLINK("https://drive.google.com/file/d/1hM2Gl2mAfvJ_KIEUwmMP2MWdup5ImkB4/view?usp=drivesdk","Abrir_Factura")</f>
        <v>Abrir_Factura</v>
      </c>
    </row>
    <row r="128" spans="1:29" ht="12.5">
      <c r="A128" s="4">
        <v>45992.792858761575</v>
      </c>
      <c r="B128" s="5">
        <v>89832</v>
      </c>
      <c r="C128" s="5">
        <v>1140884680</v>
      </c>
      <c r="D128" s="5" t="s">
        <v>100</v>
      </c>
      <c r="F128" s="5" t="s">
        <v>805</v>
      </c>
      <c r="H128" s="5">
        <v>573214394592</v>
      </c>
      <c r="J128" s="5" t="s">
        <v>806</v>
      </c>
      <c r="K128" s="5" t="s">
        <v>124</v>
      </c>
      <c r="L128" s="5" t="s">
        <v>807</v>
      </c>
      <c r="M128" s="5">
        <v>3214394592</v>
      </c>
      <c r="N128" s="6">
        <v>45993</v>
      </c>
      <c r="O128" s="7">
        <v>0.36458333333333331</v>
      </c>
      <c r="P128" s="5">
        <v>1</v>
      </c>
      <c r="Q128" s="5" t="s">
        <v>309</v>
      </c>
      <c r="R128" s="5">
        <v>80000</v>
      </c>
      <c r="S128" s="5">
        <v>0</v>
      </c>
      <c r="T128" s="5">
        <v>12000</v>
      </c>
      <c r="U128" s="5">
        <v>92000</v>
      </c>
      <c r="V128" s="5" t="s">
        <v>808</v>
      </c>
      <c r="W128" s="5" t="s">
        <v>36</v>
      </c>
      <c r="X128" s="5" t="s">
        <v>43</v>
      </c>
      <c r="Y128" s="5" t="s">
        <v>24</v>
      </c>
      <c r="Z128" s="5" t="s">
        <v>809</v>
      </c>
      <c r="AA128" s="5" t="s">
        <v>69</v>
      </c>
      <c r="AB128" s="5" t="s">
        <v>808</v>
      </c>
      <c r="AC128" s="8" t="str">
        <f>HYPERLINK("https://drive.google.com/file/d/1DEMCaJp3Zt11rQeMi0nFRh0as0u3iVzj/view?usp=drivesdk","Abrir_Factura")</f>
        <v>Abrir_Factura</v>
      </c>
    </row>
    <row r="129" spans="1:29" ht="12.5">
      <c r="A129" s="4">
        <v>45993.322645138891</v>
      </c>
      <c r="B129" s="5">
        <v>89833</v>
      </c>
      <c r="C129" s="5">
        <v>72206210</v>
      </c>
      <c r="D129" s="5" t="s">
        <v>810</v>
      </c>
      <c r="F129" s="5" t="s">
        <v>811</v>
      </c>
      <c r="H129" s="5">
        <v>573145966560</v>
      </c>
      <c r="J129" s="5" t="s">
        <v>812</v>
      </c>
      <c r="K129" s="5" t="s">
        <v>813</v>
      </c>
      <c r="L129" s="5" t="s">
        <v>814</v>
      </c>
      <c r="M129" s="5">
        <v>3182066764</v>
      </c>
      <c r="N129" s="6">
        <v>45993</v>
      </c>
      <c r="O129" s="7">
        <v>0.40208333333333335</v>
      </c>
      <c r="P129" s="5">
        <v>1</v>
      </c>
      <c r="Q129" s="5" t="s">
        <v>148</v>
      </c>
      <c r="R129" s="5">
        <v>200000</v>
      </c>
      <c r="S129" s="5">
        <v>0</v>
      </c>
      <c r="T129" s="5">
        <v>15000</v>
      </c>
      <c r="U129" s="5">
        <v>215000</v>
      </c>
      <c r="V129" s="5" t="s">
        <v>815</v>
      </c>
      <c r="W129" s="5" t="s">
        <v>36</v>
      </c>
      <c r="X129" s="5" t="s">
        <v>83</v>
      </c>
      <c r="Y129" s="5" t="s">
        <v>24</v>
      </c>
      <c r="Z129" s="5" t="s">
        <v>816</v>
      </c>
      <c r="AA129" s="5" t="s">
        <v>44</v>
      </c>
      <c r="AB129" s="5" t="s">
        <v>815</v>
      </c>
      <c r="AC129" s="8" t="str">
        <f>HYPERLINK("https://drive.google.com/file/d/1EnDoOv5p-zpKeovt7jc2QYIJ5bZd7n_s/view?usp=drivesdk","Abrir_Factura")</f>
        <v>Abrir_Factura</v>
      </c>
    </row>
    <row r="130" spans="1:29" ht="12.5">
      <c r="A130" s="4">
        <v>45993.329670208332</v>
      </c>
      <c r="B130" s="5">
        <v>89834</v>
      </c>
      <c r="C130" s="5">
        <v>830134409</v>
      </c>
      <c r="D130" s="5" t="s">
        <v>817</v>
      </c>
      <c r="F130" s="5" t="s">
        <v>818</v>
      </c>
      <c r="H130" s="5">
        <v>573174343075</v>
      </c>
      <c r="J130" s="5" t="s">
        <v>819</v>
      </c>
      <c r="K130" s="5" t="s">
        <v>103</v>
      </c>
      <c r="L130" s="5" t="s">
        <v>820</v>
      </c>
      <c r="M130" s="5">
        <v>3174343075</v>
      </c>
      <c r="N130" s="6">
        <v>45999</v>
      </c>
      <c r="O130" s="7">
        <v>0.78680555555555554</v>
      </c>
      <c r="P130" s="5">
        <v>1</v>
      </c>
      <c r="Q130" s="5" t="s">
        <v>42</v>
      </c>
      <c r="R130" s="5">
        <v>166600</v>
      </c>
      <c r="S130" s="5">
        <v>0</v>
      </c>
      <c r="T130" s="5">
        <v>10000</v>
      </c>
      <c r="U130" s="5">
        <v>176600</v>
      </c>
      <c r="V130" s="5" t="s">
        <v>821</v>
      </c>
      <c r="W130" s="5" t="s">
        <v>36</v>
      </c>
      <c r="X130" s="5" t="s">
        <v>822</v>
      </c>
      <c r="Y130" s="5" t="s">
        <v>24</v>
      </c>
      <c r="Z130" s="5" t="s">
        <v>823</v>
      </c>
      <c r="AA130" s="5" t="s">
        <v>44</v>
      </c>
      <c r="AB130" s="5" t="s">
        <v>824</v>
      </c>
      <c r="AC130" s="8" t="str">
        <f>HYPERLINK("https://drive.google.com/file/d/10WSPb42uowKqMsRXwW2q-DZOofXEV-dO/view?usp=drivesdk","Abrir_Factura")</f>
        <v>Abrir_Factura</v>
      </c>
    </row>
    <row r="131" spans="1:29" ht="12.5">
      <c r="A131" s="4">
        <v>45993.336400706015</v>
      </c>
      <c r="B131" s="5">
        <v>89835</v>
      </c>
      <c r="C131" s="5">
        <v>1067594795</v>
      </c>
      <c r="D131" s="5" t="s">
        <v>825</v>
      </c>
      <c r="F131" s="5" t="s">
        <v>826</v>
      </c>
      <c r="H131" s="5">
        <v>573043800116</v>
      </c>
      <c r="J131" s="5" t="s">
        <v>827</v>
      </c>
      <c r="K131" s="5" t="s">
        <v>351</v>
      </c>
      <c r="L131" s="5" t="s">
        <v>828</v>
      </c>
      <c r="M131" s="5">
        <v>3003238975</v>
      </c>
      <c r="N131" s="6">
        <v>45993</v>
      </c>
      <c r="O131" s="7">
        <v>0.41666666666666669</v>
      </c>
      <c r="P131" s="5">
        <v>1</v>
      </c>
      <c r="Q131" s="5" t="s">
        <v>178</v>
      </c>
      <c r="R131" s="5">
        <v>100000</v>
      </c>
      <c r="S131" s="5">
        <v>0</v>
      </c>
      <c r="T131" s="5">
        <v>11000</v>
      </c>
      <c r="U131" s="5">
        <v>111000</v>
      </c>
      <c r="V131" s="5" t="s">
        <v>829</v>
      </c>
      <c r="W131" s="5" t="s">
        <v>36</v>
      </c>
      <c r="X131" s="5" t="s">
        <v>83</v>
      </c>
      <c r="Y131" s="5" t="s">
        <v>24</v>
      </c>
      <c r="Z131" s="5" t="s">
        <v>830</v>
      </c>
      <c r="AA131" s="5" t="s">
        <v>69</v>
      </c>
      <c r="AB131" s="5" t="s">
        <v>829</v>
      </c>
      <c r="AC131" s="8" t="str">
        <f>HYPERLINK("https://drive.google.com/file/d/1BzqLIKEx21LACIWM3ao7eEta7-ggaffy/view?usp=drivesdk","Abrir_Factura")</f>
        <v>Abrir_Factura</v>
      </c>
    </row>
    <row r="132" spans="1:29" ht="12.5">
      <c r="A132" s="4">
        <v>45993.344164965281</v>
      </c>
      <c r="B132" s="5">
        <v>89836</v>
      </c>
      <c r="C132" s="5">
        <v>78023613</v>
      </c>
      <c r="D132" s="5" t="s">
        <v>831</v>
      </c>
      <c r="F132" s="5" t="s">
        <v>832</v>
      </c>
      <c r="H132" s="5">
        <v>573135057969</v>
      </c>
      <c r="J132" s="5" t="s">
        <v>833</v>
      </c>
      <c r="K132" s="5" t="s">
        <v>813</v>
      </c>
      <c r="L132" s="5" t="s">
        <v>834</v>
      </c>
      <c r="M132" s="5">
        <v>3135057969</v>
      </c>
      <c r="N132" s="6">
        <v>45993</v>
      </c>
      <c r="O132" s="7">
        <v>0.42291666666666666</v>
      </c>
      <c r="P132" s="5">
        <v>1</v>
      </c>
      <c r="Q132" s="5" t="s">
        <v>309</v>
      </c>
      <c r="R132" s="5">
        <v>80000</v>
      </c>
      <c r="S132" s="5">
        <v>0</v>
      </c>
      <c r="T132" s="5">
        <v>15000</v>
      </c>
      <c r="U132" s="5">
        <v>95000</v>
      </c>
      <c r="V132" s="5" t="s">
        <v>835</v>
      </c>
      <c r="W132" s="5" t="s">
        <v>36</v>
      </c>
      <c r="X132" s="5" t="s">
        <v>83</v>
      </c>
      <c r="Y132" s="5" t="s">
        <v>310</v>
      </c>
      <c r="AA132" s="5" t="s">
        <v>69</v>
      </c>
      <c r="AB132" s="5" t="s">
        <v>835</v>
      </c>
      <c r="AC132" s="8" t="str">
        <f>HYPERLINK("https://drive.google.com/file/d/18awRVHowwBq1aWwHhlxfogvg8m3DRebB/view?usp=drivesdk","Abrir_Factura")</f>
        <v>Abrir_Factura</v>
      </c>
    </row>
    <row r="133" spans="1:29" ht="12.5">
      <c r="A133" s="4">
        <v>45993.394257789347</v>
      </c>
      <c r="B133" s="5">
        <v>89844</v>
      </c>
      <c r="C133" s="5">
        <v>1140862686</v>
      </c>
      <c r="D133" s="5" t="s">
        <v>836</v>
      </c>
      <c r="F133" s="5" t="s">
        <v>837</v>
      </c>
      <c r="H133" s="5">
        <v>573145698837</v>
      </c>
      <c r="J133" s="5" t="s">
        <v>838</v>
      </c>
      <c r="K133" s="5" t="s">
        <v>154</v>
      </c>
      <c r="L133" s="5" t="s">
        <v>839</v>
      </c>
      <c r="M133" s="5">
        <v>3145698837</v>
      </c>
      <c r="N133" s="6">
        <v>46000</v>
      </c>
      <c r="O133" s="7">
        <v>0.75</v>
      </c>
      <c r="P133" s="5">
        <v>1</v>
      </c>
      <c r="Q133" s="5" t="s">
        <v>42</v>
      </c>
      <c r="R133" s="5">
        <v>50000</v>
      </c>
      <c r="S133" s="5">
        <v>0</v>
      </c>
      <c r="T133" s="5">
        <v>8000</v>
      </c>
      <c r="U133" s="5">
        <v>58000</v>
      </c>
      <c r="V133" s="5" t="s">
        <v>840</v>
      </c>
      <c r="W133" s="5" t="s">
        <v>36</v>
      </c>
      <c r="X133" s="5" t="s">
        <v>83</v>
      </c>
      <c r="Y133" s="5" t="s">
        <v>24</v>
      </c>
      <c r="Z133" s="5" t="s">
        <v>841</v>
      </c>
      <c r="AA133" s="5" t="s">
        <v>44</v>
      </c>
      <c r="AB133" s="5" t="s">
        <v>842</v>
      </c>
      <c r="AC133" s="8" t="str">
        <f>HYPERLINK("https://drive.google.com/file/d/180lC1-tKrRwwnyYu3pTQWMA9mNCfDpYB/view?usp=drivesdk","Abrir_Factura")</f>
        <v>Abrir_Factura</v>
      </c>
    </row>
    <row r="134" spans="1:29" ht="12.5">
      <c r="A134" s="4">
        <v>45992.760424050924</v>
      </c>
      <c r="B134" s="5">
        <v>89845</v>
      </c>
      <c r="C134" s="5">
        <v>1130204327</v>
      </c>
      <c r="D134" s="5" t="s">
        <v>843</v>
      </c>
      <c r="F134" s="5" t="s">
        <v>844</v>
      </c>
      <c r="H134" s="5">
        <v>573205216442</v>
      </c>
      <c r="J134" s="5" t="s">
        <v>845</v>
      </c>
      <c r="K134" s="5" t="s">
        <v>146</v>
      </c>
      <c r="L134" s="5" t="s">
        <v>846</v>
      </c>
      <c r="M134" s="5">
        <v>3205216442</v>
      </c>
      <c r="N134" s="6">
        <v>45992</v>
      </c>
      <c r="O134" s="7">
        <v>0.83333333333333337</v>
      </c>
      <c r="P134" s="5">
        <v>1</v>
      </c>
      <c r="Q134" s="5" t="s">
        <v>375</v>
      </c>
      <c r="R134" s="5">
        <v>70000</v>
      </c>
      <c r="S134" s="5">
        <v>0</v>
      </c>
      <c r="T134" s="5">
        <v>12000</v>
      </c>
      <c r="U134" s="5">
        <v>82000</v>
      </c>
      <c r="V134" s="5" t="s">
        <v>847</v>
      </c>
      <c r="W134" s="5" t="s">
        <v>36</v>
      </c>
      <c r="X134" s="5" t="s">
        <v>83</v>
      </c>
      <c r="Y134" s="5" t="s">
        <v>24</v>
      </c>
      <c r="Z134" s="5" t="s">
        <v>848</v>
      </c>
      <c r="AA134" s="5" t="s">
        <v>69</v>
      </c>
      <c r="AB134" s="5" t="s">
        <v>849</v>
      </c>
      <c r="AC134" s="8" t="str">
        <f>HYPERLINK("https://drive.google.com/file/d/1loTAOw3iTMVSqJcsM8tvDb9S4WpMfqf3/view?usp=drivesdk","Abrir_Factura")</f>
        <v>Abrir_Factura</v>
      </c>
    </row>
    <row r="135" spans="1:29" ht="12.5">
      <c r="A135" s="4">
        <v>45993.429736458333</v>
      </c>
      <c r="B135" s="5">
        <v>89846</v>
      </c>
      <c r="C135" s="5">
        <v>1140827440</v>
      </c>
      <c r="D135" s="5" t="s">
        <v>850</v>
      </c>
      <c r="F135" s="5" t="s">
        <v>851</v>
      </c>
      <c r="H135" s="5">
        <v>573160420106</v>
      </c>
      <c r="J135" s="5" t="s">
        <v>852</v>
      </c>
      <c r="K135" s="5" t="s">
        <v>103</v>
      </c>
      <c r="L135" s="5" t="s">
        <v>853</v>
      </c>
      <c r="M135" s="5">
        <v>3233010618</v>
      </c>
      <c r="N135" s="6">
        <v>45994</v>
      </c>
      <c r="O135" s="7">
        <v>0.375</v>
      </c>
      <c r="P135" s="5">
        <v>1</v>
      </c>
      <c r="Q135" s="5" t="s">
        <v>89</v>
      </c>
      <c r="R135" s="5">
        <v>150000</v>
      </c>
      <c r="S135" s="5">
        <v>0</v>
      </c>
      <c r="T135" s="5">
        <v>10000</v>
      </c>
      <c r="U135" s="5">
        <v>160000</v>
      </c>
      <c r="V135" s="5" t="s">
        <v>854</v>
      </c>
      <c r="W135" s="5" t="s">
        <v>36</v>
      </c>
      <c r="X135" s="5" t="s">
        <v>67</v>
      </c>
      <c r="Y135" s="5" t="s">
        <v>24</v>
      </c>
      <c r="Z135" s="5" t="s">
        <v>855</v>
      </c>
      <c r="AA135" s="5" t="s">
        <v>69</v>
      </c>
      <c r="AB135" s="5" t="s">
        <v>854</v>
      </c>
      <c r="AC135" s="8" t="str">
        <f>HYPERLINK("https://drive.google.com/file/d/1p5VgNwEupYqbDhk42DAdXbqWXj-AGo4e/view?usp=drivesdk","Abrir_Factura")</f>
        <v>Abrir_Factura</v>
      </c>
    </row>
    <row r="136" spans="1:29" ht="12.5">
      <c r="A136" s="4">
        <v>45993.440410682873</v>
      </c>
      <c r="B136" s="5">
        <v>89847</v>
      </c>
      <c r="C136" s="5">
        <v>1045749401</v>
      </c>
      <c r="D136" s="5" t="s">
        <v>856</v>
      </c>
      <c r="F136" s="5" t="s">
        <v>857</v>
      </c>
      <c r="H136" s="5">
        <v>573104703370</v>
      </c>
      <c r="J136" s="5" t="s">
        <v>858</v>
      </c>
      <c r="K136" s="5" t="s">
        <v>265</v>
      </c>
      <c r="L136" s="5" t="s">
        <v>859</v>
      </c>
      <c r="M136" s="5">
        <v>3104703370</v>
      </c>
      <c r="N136" s="6">
        <v>45996</v>
      </c>
      <c r="O136" s="7">
        <v>0.45833333333333331</v>
      </c>
      <c r="P136" s="5">
        <v>1</v>
      </c>
      <c r="Q136" s="5" t="s">
        <v>259</v>
      </c>
      <c r="R136" s="5">
        <v>190000</v>
      </c>
      <c r="S136" s="5">
        <v>0</v>
      </c>
      <c r="T136" s="5">
        <v>17000</v>
      </c>
      <c r="U136" s="5">
        <v>207000</v>
      </c>
      <c r="V136" s="5" t="s">
        <v>860</v>
      </c>
      <c r="W136" s="5" t="s">
        <v>36</v>
      </c>
      <c r="X136" s="5" t="s">
        <v>58</v>
      </c>
      <c r="Y136" s="5" t="s">
        <v>24</v>
      </c>
      <c r="Z136" s="5" t="s">
        <v>858</v>
      </c>
      <c r="AA136" s="5" t="s">
        <v>69</v>
      </c>
      <c r="AB136" s="5" t="s">
        <v>861</v>
      </c>
      <c r="AC136" s="8" t="str">
        <f>HYPERLINK("https://drive.google.com/file/d/11ryXnYKQ6C8_lupeIU8Tlrs5CWkaC0PT/view?usp=drivesdk","Abrir_Factura")</f>
        <v>Abrir_Factura</v>
      </c>
    </row>
    <row r="137" spans="1:29" ht="12.5">
      <c r="A137" s="4">
        <v>45993.477708287042</v>
      </c>
      <c r="B137" s="5">
        <v>89850</v>
      </c>
      <c r="C137" s="5">
        <v>8666608</v>
      </c>
      <c r="D137" s="5" t="s">
        <v>862</v>
      </c>
      <c r="F137" s="5" t="s">
        <v>863</v>
      </c>
      <c r="H137" s="5">
        <v>16197298657</v>
      </c>
      <c r="J137" s="5" t="s">
        <v>864</v>
      </c>
      <c r="K137" s="5" t="s">
        <v>161</v>
      </c>
      <c r="L137" s="5" t="s">
        <v>865</v>
      </c>
      <c r="M137" s="5">
        <v>16197298657</v>
      </c>
      <c r="N137" s="6">
        <v>46000</v>
      </c>
      <c r="O137" s="7">
        <v>0.33333333333333331</v>
      </c>
      <c r="P137" s="5">
        <v>1</v>
      </c>
      <c r="Q137" s="5" t="s">
        <v>866</v>
      </c>
      <c r="R137" s="5">
        <v>280000</v>
      </c>
      <c r="S137" s="5">
        <v>0</v>
      </c>
      <c r="T137" s="5">
        <v>8000</v>
      </c>
      <c r="U137" s="5">
        <v>288000</v>
      </c>
      <c r="V137" s="5" t="s">
        <v>867</v>
      </c>
      <c r="W137" s="5" t="s">
        <v>36</v>
      </c>
      <c r="X137" s="5" t="s">
        <v>868</v>
      </c>
      <c r="Y137" s="5" t="s">
        <v>24</v>
      </c>
      <c r="Z137" s="5" t="s">
        <v>869</v>
      </c>
      <c r="AA137" s="5" t="s">
        <v>69</v>
      </c>
      <c r="AB137" s="5"/>
      <c r="AC137" s="8" t="str">
        <f>HYPERLINK("https://drive.google.com/file/d/13dz0dc7kLGhjlmRC6gYFZFaZtp3RF1vg/view?usp=drivesdk","Abrir_Factura")</f>
        <v>Abrir_Factura</v>
      </c>
    </row>
    <row r="138" spans="1:29" ht="12.5">
      <c r="A138" s="4">
        <v>45993.491899768516</v>
      </c>
      <c r="B138" s="5">
        <v>89851</v>
      </c>
      <c r="C138" s="5">
        <v>22506482</v>
      </c>
      <c r="D138" s="5" t="s">
        <v>870</v>
      </c>
      <c r="F138" s="5" t="s">
        <v>871</v>
      </c>
      <c r="H138" s="5">
        <v>573146175335</v>
      </c>
      <c r="J138" s="5" t="s">
        <v>872</v>
      </c>
      <c r="K138" s="5" t="s">
        <v>265</v>
      </c>
      <c r="L138" s="5" t="s">
        <v>873</v>
      </c>
      <c r="M138" s="5">
        <v>3146175335</v>
      </c>
      <c r="N138" s="6">
        <v>45993</v>
      </c>
      <c r="O138" s="7">
        <v>0.57708333333333328</v>
      </c>
      <c r="P138" s="5">
        <v>1</v>
      </c>
      <c r="Q138" s="5" t="s">
        <v>874</v>
      </c>
      <c r="R138" s="5">
        <v>220000</v>
      </c>
      <c r="S138" s="5">
        <v>0</v>
      </c>
      <c r="T138" s="5">
        <v>17000</v>
      </c>
      <c r="U138" s="5">
        <v>237000</v>
      </c>
      <c r="V138" s="5" t="s">
        <v>875</v>
      </c>
      <c r="W138" s="5" t="s">
        <v>36</v>
      </c>
      <c r="X138" s="5" t="s">
        <v>67</v>
      </c>
      <c r="Y138" s="5" t="s">
        <v>24</v>
      </c>
      <c r="AA138" s="5" t="s">
        <v>69</v>
      </c>
      <c r="AB138" s="5" t="s">
        <v>875</v>
      </c>
      <c r="AC138" s="8" t="str">
        <f>HYPERLINK("https://drive.google.com/file/d/1NDDK2jKfbQAL2AiT0lHk6lG0hjikCv9z/view?usp=drivesdk","Abrir_Factura")</f>
        <v>Abrir_Factura</v>
      </c>
    </row>
    <row r="139" spans="1:29" ht="12.5">
      <c r="A139" s="4">
        <v>45993.509261874999</v>
      </c>
      <c r="B139" s="5">
        <v>89854</v>
      </c>
      <c r="C139" s="5">
        <v>1001917016</v>
      </c>
      <c r="D139" s="5" t="s">
        <v>876</v>
      </c>
      <c r="F139" s="5" t="s">
        <v>877</v>
      </c>
      <c r="H139" s="5">
        <v>573017644855</v>
      </c>
      <c r="J139" s="5" t="s">
        <v>878</v>
      </c>
      <c r="K139" s="5" t="s">
        <v>879</v>
      </c>
      <c r="L139" s="5" t="s">
        <v>880</v>
      </c>
      <c r="M139" s="5" t="s">
        <v>881</v>
      </c>
      <c r="N139" s="6">
        <v>45995</v>
      </c>
      <c r="O139" s="7">
        <v>0.3125</v>
      </c>
      <c r="P139" s="5">
        <v>1</v>
      </c>
      <c r="Q139" s="5" t="s">
        <v>309</v>
      </c>
      <c r="R139" s="5">
        <v>80000</v>
      </c>
      <c r="S139" s="5">
        <v>0</v>
      </c>
      <c r="T139" s="5">
        <v>20000</v>
      </c>
      <c r="U139" s="5">
        <v>100000</v>
      </c>
      <c r="V139" s="5" t="s">
        <v>882</v>
      </c>
      <c r="W139" s="5" t="s">
        <v>36</v>
      </c>
      <c r="X139" s="5" t="s">
        <v>83</v>
      </c>
      <c r="Y139" s="5" t="s">
        <v>310</v>
      </c>
      <c r="AA139" s="5" t="s">
        <v>69</v>
      </c>
      <c r="AB139" s="5"/>
      <c r="AC139" s="8" t="str">
        <f>HYPERLINK("https://drive.google.com/file/d/1CdHQc1L8tJEyChOpFyfSrpR03CK09byS/view?usp=drivesdk","Abrir_Factura")</f>
        <v>Abrir_Factura</v>
      </c>
    </row>
    <row r="140" spans="1:29" ht="12.5">
      <c r="A140" s="4">
        <v>45993.519119340279</v>
      </c>
      <c r="B140" s="5">
        <v>89856</v>
      </c>
      <c r="C140" s="5">
        <v>104786263282</v>
      </c>
      <c r="D140" s="5" t="s">
        <v>883</v>
      </c>
      <c r="F140" s="5" t="s">
        <v>884</v>
      </c>
      <c r="H140" s="5">
        <v>573017954782</v>
      </c>
      <c r="J140" s="5" t="s">
        <v>885</v>
      </c>
      <c r="K140" s="5" t="s">
        <v>886</v>
      </c>
      <c r="L140" s="5" t="s">
        <v>887</v>
      </c>
      <c r="M140" s="5">
        <v>3017954782</v>
      </c>
      <c r="N140" s="6">
        <v>45993</v>
      </c>
      <c r="O140" s="7">
        <v>0.60277777777777775</v>
      </c>
      <c r="P140" s="5">
        <v>1</v>
      </c>
      <c r="Q140" s="5" t="s">
        <v>156</v>
      </c>
      <c r="R140" s="5">
        <v>70000</v>
      </c>
      <c r="S140" s="5">
        <v>0</v>
      </c>
      <c r="T140" s="5">
        <v>10000</v>
      </c>
      <c r="U140" s="5">
        <v>80000</v>
      </c>
      <c r="V140" s="5" t="s">
        <v>888</v>
      </c>
      <c r="W140" s="5" t="s">
        <v>36</v>
      </c>
      <c r="X140" s="5" t="s">
        <v>67</v>
      </c>
      <c r="Y140" s="5" t="s">
        <v>24</v>
      </c>
      <c r="AA140" s="5" t="s">
        <v>69</v>
      </c>
      <c r="AB140" s="5" t="s">
        <v>888</v>
      </c>
      <c r="AC140" s="8" t="str">
        <f>HYPERLINK("https://drive.google.com/file/d/1gajNhy82VuctW07IA54yzolyAzSIgvfj/view?usp=drivesdk","Abrir_Factura")</f>
        <v>Abrir_Factura</v>
      </c>
    </row>
    <row r="141" spans="1:29" ht="12.5">
      <c r="A141" s="4">
        <v>45993.518169131945</v>
      </c>
      <c r="B141" s="5">
        <v>89857</v>
      </c>
      <c r="C141" s="5">
        <v>1083044286</v>
      </c>
      <c r="D141" s="5" t="s">
        <v>889</v>
      </c>
      <c r="F141" s="5" t="s">
        <v>890</v>
      </c>
      <c r="H141" s="5">
        <v>573205569078</v>
      </c>
      <c r="J141" s="5" t="s">
        <v>891</v>
      </c>
      <c r="K141" s="5" t="s">
        <v>892</v>
      </c>
      <c r="L141" s="5" t="s">
        <v>893</v>
      </c>
      <c r="M141" s="5">
        <v>3205569078</v>
      </c>
      <c r="N141" s="6">
        <v>45993</v>
      </c>
      <c r="O141" s="7">
        <v>0.5541666666666667</v>
      </c>
      <c r="P141" s="5">
        <v>1</v>
      </c>
      <c r="Q141" s="5" t="s">
        <v>57</v>
      </c>
      <c r="R141" s="5">
        <v>120000</v>
      </c>
      <c r="S141" s="5">
        <v>0</v>
      </c>
      <c r="T141" s="5">
        <v>10000</v>
      </c>
      <c r="U141" s="5">
        <v>130000</v>
      </c>
      <c r="V141" s="5" t="s">
        <v>894</v>
      </c>
      <c r="W141" s="5" t="s">
        <v>36</v>
      </c>
      <c r="X141" s="5" t="s">
        <v>180</v>
      </c>
      <c r="Y141" s="5" t="s">
        <v>310</v>
      </c>
      <c r="AA141" s="5" t="s">
        <v>69</v>
      </c>
      <c r="AC141" s="8" t="str">
        <f>HYPERLINK("https://drive.google.com/file/d/1utxtAgEN_NpMbHZ3hVVpmpHEbKcOj38P/view?usp=drivesdk","Abrir_Factura")</f>
        <v>Abrir_Factura</v>
      </c>
    </row>
    <row r="142" spans="1:29" ht="12.5">
      <c r="A142" s="4">
        <v>45993.558852777773</v>
      </c>
      <c r="B142" s="5">
        <v>89858</v>
      </c>
      <c r="C142" s="5">
        <v>1193594637</v>
      </c>
      <c r="D142" s="5" t="s">
        <v>895</v>
      </c>
      <c r="F142" s="5" t="s">
        <v>896</v>
      </c>
      <c r="H142" s="5">
        <v>573223602737</v>
      </c>
      <c r="J142" s="5" t="s">
        <v>897</v>
      </c>
      <c r="K142" s="5" t="s">
        <v>783</v>
      </c>
      <c r="L142" s="5" t="s">
        <v>898</v>
      </c>
      <c r="M142" s="5">
        <v>3005734908</v>
      </c>
      <c r="N142" s="6">
        <v>45993</v>
      </c>
      <c r="O142" s="7">
        <v>0.6430555555555556</v>
      </c>
      <c r="P142" s="5">
        <v>1</v>
      </c>
      <c r="Q142" s="5" t="s">
        <v>65</v>
      </c>
      <c r="R142" s="5">
        <v>70000</v>
      </c>
      <c r="S142" s="5">
        <v>0</v>
      </c>
      <c r="T142" s="5">
        <v>17000</v>
      </c>
      <c r="U142" s="5">
        <v>87000</v>
      </c>
      <c r="V142" s="5" t="s">
        <v>899</v>
      </c>
      <c r="W142" s="5" t="s">
        <v>36</v>
      </c>
      <c r="X142" s="5" t="s">
        <v>83</v>
      </c>
      <c r="Y142" s="5" t="s">
        <v>310</v>
      </c>
      <c r="AA142" s="5" t="s">
        <v>69</v>
      </c>
      <c r="AB142" s="5" t="s">
        <v>899</v>
      </c>
      <c r="AC142" s="8" t="str">
        <f>HYPERLINK("https://drive.google.com/file/d/1-L-cvLUaMlvwqJSzf0AlvA_-i_ZCZjYc/view?usp=drivesdk","Abrir_Factura")</f>
        <v>Abrir_Factura</v>
      </c>
    </row>
    <row r="143" spans="1:29" ht="12.5">
      <c r="A143" s="4">
        <v>45993.567086574076</v>
      </c>
      <c r="B143" s="5">
        <v>89859</v>
      </c>
      <c r="C143" s="5">
        <v>1140884794</v>
      </c>
      <c r="D143" s="5" t="s">
        <v>900</v>
      </c>
      <c r="F143" s="5" t="s">
        <v>901</v>
      </c>
      <c r="H143" s="5">
        <v>573218259292</v>
      </c>
      <c r="J143" s="5" t="s">
        <v>902</v>
      </c>
      <c r="K143" s="5" t="s">
        <v>879</v>
      </c>
      <c r="L143" s="5" t="s">
        <v>903</v>
      </c>
      <c r="M143" s="5">
        <v>3007165384</v>
      </c>
      <c r="N143" s="6">
        <v>45995</v>
      </c>
      <c r="O143" s="7">
        <v>0.41666666666666669</v>
      </c>
      <c r="P143" s="5">
        <v>1</v>
      </c>
      <c r="Q143" s="5" t="s">
        <v>649</v>
      </c>
      <c r="R143" s="5">
        <v>170000</v>
      </c>
      <c r="S143" s="5">
        <v>0</v>
      </c>
      <c r="T143" s="5">
        <v>20000</v>
      </c>
      <c r="U143" s="5">
        <v>190000</v>
      </c>
      <c r="W143" s="5" t="s">
        <v>36</v>
      </c>
      <c r="X143" s="5" t="s">
        <v>67</v>
      </c>
      <c r="Y143" s="5" t="s">
        <v>24</v>
      </c>
      <c r="Z143" s="5" t="s">
        <v>900</v>
      </c>
      <c r="AA143" s="5" t="s">
        <v>69</v>
      </c>
      <c r="AC143" s="8" t="str">
        <f>HYPERLINK("https://drive.google.com/file/d/1ZQ9mSTP3pvoA8AGaat2Hz5CdqUSvD_3L/view?usp=drivesdk","Abrir_Factura")</f>
        <v>Abrir_Factura</v>
      </c>
    </row>
    <row r="144" spans="1:29" ht="12.5">
      <c r="A144" s="4">
        <v>45993.563466574073</v>
      </c>
      <c r="B144" s="5">
        <v>89860</v>
      </c>
      <c r="C144" s="5">
        <v>1140850173</v>
      </c>
      <c r="D144" s="5" t="s">
        <v>904</v>
      </c>
      <c r="F144" s="5" t="s">
        <v>905</v>
      </c>
      <c r="H144" s="5">
        <v>573004708070</v>
      </c>
      <c r="J144" s="5" t="s">
        <v>906</v>
      </c>
      <c r="K144" s="5" t="s">
        <v>907</v>
      </c>
      <c r="L144" s="5" t="s">
        <v>908</v>
      </c>
      <c r="M144" s="5" t="s">
        <v>909</v>
      </c>
      <c r="N144" s="6">
        <v>45994</v>
      </c>
      <c r="O144" s="7">
        <v>0.375</v>
      </c>
      <c r="P144" s="5">
        <v>1</v>
      </c>
      <c r="Q144" s="5" t="s">
        <v>910</v>
      </c>
      <c r="R144" s="5">
        <v>220000</v>
      </c>
      <c r="S144" s="5">
        <v>0</v>
      </c>
      <c r="T144" s="5">
        <v>25000</v>
      </c>
      <c r="U144" s="5">
        <v>245000</v>
      </c>
      <c r="V144" s="5" t="s">
        <v>911</v>
      </c>
      <c r="W144" s="5" t="s">
        <v>36</v>
      </c>
      <c r="X144" s="5" t="s">
        <v>204</v>
      </c>
      <c r="Y144" s="5" t="s">
        <v>24</v>
      </c>
      <c r="Z144" s="5" t="s">
        <v>912</v>
      </c>
      <c r="AA144" s="5" t="s">
        <v>44</v>
      </c>
      <c r="AB144" s="5" t="s">
        <v>911</v>
      </c>
      <c r="AC144" s="8" t="str">
        <f>HYPERLINK("https://drive.google.com/file/d/1oZkIuqr8vPOKLc3wzf2CJOxRyfIaEc-W/view?usp=drivesdk","Abrir_Factura")</f>
        <v>Abrir_Factura</v>
      </c>
    </row>
    <row r="145" spans="1:29" ht="12.5">
      <c r="A145" s="4">
        <v>45993.550591689811</v>
      </c>
      <c r="B145" s="5">
        <v>89861</v>
      </c>
      <c r="C145" s="5">
        <v>1192925557</v>
      </c>
      <c r="D145" s="5" t="s">
        <v>913</v>
      </c>
      <c r="F145" s="5" t="s">
        <v>914</v>
      </c>
      <c r="H145" s="5">
        <v>573102011301</v>
      </c>
      <c r="J145" s="5" t="s">
        <v>915</v>
      </c>
      <c r="K145" s="5" t="s">
        <v>916</v>
      </c>
      <c r="L145" s="5" t="s">
        <v>917</v>
      </c>
      <c r="M145" s="5">
        <v>3102011301</v>
      </c>
      <c r="N145" s="6">
        <v>45993</v>
      </c>
      <c r="O145" s="7">
        <v>0.63402777777777775</v>
      </c>
      <c r="P145" s="5">
        <v>1</v>
      </c>
      <c r="Q145" s="5" t="s">
        <v>918</v>
      </c>
      <c r="R145" s="5">
        <v>220000</v>
      </c>
      <c r="S145" s="5">
        <v>0</v>
      </c>
      <c r="T145" s="5">
        <v>20000</v>
      </c>
      <c r="U145" s="5">
        <v>240000</v>
      </c>
      <c r="V145" s="5" t="s">
        <v>919</v>
      </c>
      <c r="W145" s="5" t="s">
        <v>36</v>
      </c>
      <c r="X145" s="5" t="s">
        <v>43</v>
      </c>
      <c r="Y145" s="5" t="s">
        <v>24</v>
      </c>
      <c r="Z145" s="5" t="s">
        <v>920</v>
      </c>
      <c r="AA145" s="5" t="s">
        <v>69</v>
      </c>
      <c r="AB145" s="5" t="s">
        <v>919</v>
      </c>
      <c r="AC145" s="8" t="str">
        <f>HYPERLINK("https://drive.google.com/file/d/1wz2YMhlrGILJaYgZQB7RhDfO_ILJHtVN/view?usp=drivesdk","Abrir_Factura")</f>
        <v>Abrir_Factura</v>
      </c>
    </row>
    <row r="146" spans="1:29" ht="12.5">
      <c r="A146" s="4">
        <v>45993.584163900465</v>
      </c>
      <c r="B146" s="5">
        <v>89862</v>
      </c>
      <c r="C146" s="5">
        <v>1140844677</v>
      </c>
      <c r="D146" s="5" t="s">
        <v>921</v>
      </c>
      <c r="F146" s="5" t="s">
        <v>922</v>
      </c>
      <c r="H146" s="5">
        <v>573012065557</v>
      </c>
      <c r="J146" s="5" t="s">
        <v>923</v>
      </c>
      <c r="K146" s="5" t="s">
        <v>924</v>
      </c>
      <c r="L146" s="5" t="s">
        <v>925</v>
      </c>
      <c r="M146" s="5">
        <v>3124646892</v>
      </c>
      <c r="N146" s="6">
        <v>45993</v>
      </c>
      <c r="O146" s="7">
        <v>0.6875</v>
      </c>
      <c r="P146" s="5">
        <v>1</v>
      </c>
      <c r="Q146" s="5" t="s">
        <v>178</v>
      </c>
      <c r="R146" s="5">
        <v>100000</v>
      </c>
      <c r="S146" s="5">
        <v>0</v>
      </c>
      <c r="T146" s="5">
        <v>20000</v>
      </c>
      <c r="U146" s="5">
        <v>120000</v>
      </c>
      <c r="V146" s="5" t="s">
        <v>926</v>
      </c>
      <c r="W146" s="5" t="s">
        <v>36</v>
      </c>
      <c r="X146" s="5" t="s">
        <v>83</v>
      </c>
      <c r="Y146" s="5" t="s">
        <v>24</v>
      </c>
      <c r="Z146" s="5" t="s">
        <v>927</v>
      </c>
      <c r="AA146" s="5" t="s">
        <v>44</v>
      </c>
      <c r="AB146" s="5" t="s">
        <v>926</v>
      </c>
      <c r="AC146" s="8" t="str">
        <f>HYPERLINK("https://drive.google.com/file/d/1UlJoB_or3zBX5ZHlo5P0J0-doeag63Ks/view?usp=drivesdk","Abrir_Factura")</f>
        <v>Abrir_Factura</v>
      </c>
    </row>
    <row r="147" spans="1:29" ht="12.5">
      <c r="A147" s="4">
        <v>45993.583834652774</v>
      </c>
      <c r="B147" s="5">
        <v>89863</v>
      </c>
      <c r="C147" s="5">
        <v>1020740283</v>
      </c>
      <c r="D147" s="5" t="s">
        <v>371</v>
      </c>
      <c r="F147" s="5" t="s">
        <v>928</v>
      </c>
      <c r="H147" s="5">
        <v>573138504975</v>
      </c>
      <c r="J147" s="5" t="s">
        <v>929</v>
      </c>
      <c r="K147" s="5" t="s">
        <v>930</v>
      </c>
      <c r="L147" s="5" t="s">
        <v>931</v>
      </c>
      <c r="M147" s="5">
        <v>3227239849</v>
      </c>
      <c r="N147" s="6">
        <v>45995</v>
      </c>
      <c r="O147" s="7">
        <v>0.41666666666666669</v>
      </c>
      <c r="P147" s="5">
        <v>1</v>
      </c>
      <c r="Q147" s="5" t="s">
        <v>649</v>
      </c>
      <c r="R147" s="5">
        <v>180000</v>
      </c>
      <c r="S147" s="5">
        <v>0</v>
      </c>
      <c r="T147" s="5">
        <v>30000</v>
      </c>
      <c r="U147" s="5">
        <v>210000</v>
      </c>
      <c r="V147" s="5" t="s">
        <v>932</v>
      </c>
      <c r="W147" s="5" t="s">
        <v>36</v>
      </c>
      <c r="X147" s="5" t="s">
        <v>98</v>
      </c>
      <c r="Y147" s="5" t="s">
        <v>24</v>
      </c>
      <c r="Z147" s="5" t="s">
        <v>933</v>
      </c>
      <c r="AA147" s="5" t="s">
        <v>44</v>
      </c>
      <c r="AB147" s="5" t="s">
        <v>932</v>
      </c>
      <c r="AC147" s="8" t="str">
        <f>HYPERLINK("https://drive.google.com/file/d/15NNvtOxrQIM6jSnQOdiHW5Ft_vh9Cv4F/view?usp=drivesdk","Abrir_Factura")</f>
        <v>Abrir_Factura</v>
      </c>
    </row>
    <row r="148" spans="1:29" ht="12.5">
      <c r="A148" s="4">
        <v>45993.589402048616</v>
      </c>
      <c r="B148" s="5">
        <v>89864</v>
      </c>
      <c r="C148" s="5">
        <v>1234093162</v>
      </c>
      <c r="D148" s="5" t="s">
        <v>934</v>
      </c>
      <c r="F148" s="5" t="s">
        <v>935</v>
      </c>
      <c r="H148" s="5">
        <v>573185196628</v>
      </c>
      <c r="J148" s="5" t="s">
        <v>936</v>
      </c>
      <c r="K148" s="5" t="s">
        <v>937</v>
      </c>
      <c r="L148" s="5" t="s">
        <v>938</v>
      </c>
      <c r="M148" s="5">
        <v>3243999896</v>
      </c>
      <c r="N148" s="6">
        <v>45994</v>
      </c>
      <c r="O148" s="7">
        <v>0.5</v>
      </c>
      <c r="P148" s="5">
        <v>1</v>
      </c>
      <c r="Q148" s="5" t="s">
        <v>380</v>
      </c>
      <c r="R148" s="5">
        <v>300000</v>
      </c>
      <c r="S148" s="5">
        <v>0</v>
      </c>
      <c r="T148" s="5">
        <v>20000</v>
      </c>
      <c r="U148" s="5">
        <v>320000</v>
      </c>
      <c r="V148" s="5" t="s">
        <v>939</v>
      </c>
      <c r="W148" s="5" t="s">
        <v>36</v>
      </c>
      <c r="X148" s="5" t="s">
        <v>98</v>
      </c>
      <c r="Y148" s="5" t="s">
        <v>24</v>
      </c>
      <c r="Z148" s="5" t="s">
        <v>940</v>
      </c>
      <c r="AA148" s="5" t="s">
        <v>44</v>
      </c>
      <c r="AC148" s="8" t="str">
        <f>HYPERLINK("https://drive.google.com/file/d/104czNz__CstxY1moIjMoOL4Y83yhlIDb/view?usp=drivesdk","Abrir_Factura")</f>
        <v>Abrir_Factura</v>
      </c>
    </row>
    <row r="149" spans="1:29" ht="12.5">
      <c r="A149" s="4">
        <v>45993.605957673615</v>
      </c>
      <c r="B149" s="5">
        <v>89866</v>
      </c>
      <c r="C149" s="5">
        <v>79602526</v>
      </c>
      <c r="D149" s="5" t="s">
        <v>941</v>
      </c>
      <c r="F149" s="5" t="s">
        <v>942</v>
      </c>
      <c r="H149" s="5">
        <v>573106379600</v>
      </c>
      <c r="J149" s="5" t="s">
        <v>943</v>
      </c>
      <c r="K149" s="5" t="s">
        <v>110</v>
      </c>
      <c r="L149" s="5" t="s">
        <v>944</v>
      </c>
      <c r="M149" s="5">
        <v>3106379600</v>
      </c>
      <c r="N149" s="6">
        <v>45994</v>
      </c>
      <c r="O149" s="7">
        <v>0.41666666666666669</v>
      </c>
      <c r="P149" s="5">
        <v>1</v>
      </c>
      <c r="Q149" s="5" t="s">
        <v>384</v>
      </c>
      <c r="R149" s="5">
        <v>180000</v>
      </c>
      <c r="S149" s="5">
        <v>0</v>
      </c>
      <c r="T149" s="5">
        <v>6000</v>
      </c>
      <c r="U149" s="5">
        <v>186000</v>
      </c>
      <c r="V149" s="5" t="s">
        <v>945</v>
      </c>
      <c r="W149" s="5" t="s">
        <v>36</v>
      </c>
      <c r="X149" s="5" t="s">
        <v>98</v>
      </c>
      <c r="Y149" s="5" t="s">
        <v>24</v>
      </c>
      <c r="Z149" s="5" t="s">
        <v>946</v>
      </c>
      <c r="AA149" s="5" t="s">
        <v>44</v>
      </c>
      <c r="AB149" s="5" t="s">
        <v>945</v>
      </c>
      <c r="AC149" s="8" t="str">
        <f>HYPERLINK("https://drive.google.com/file/d/1jn1MunlUjQp8bhkno9mnX6oIBw0rqCtW/view?usp=drivesdk","Abrir_Factura")</f>
        <v>Abrir_Factura</v>
      </c>
    </row>
    <row r="150" spans="1:29" ht="12.5">
      <c r="A150" s="4">
        <v>45993.633449166664</v>
      </c>
      <c r="B150" s="5">
        <v>89868</v>
      </c>
      <c r="C150" s="5">
        <v>1140841562</v>
      </c>
      <c r="D150" s="5" t="s">
        <v>947</v>
      </c>
      <c r="F150" s="5" t="s">
        <v>948</v>
      </c>
      <c r="H150" s="5">
        <v>573242833059</v>
      </c>
      <c r="J150" s="5" t="s">
        <v>949</v>
      </c>
      <c r="K150" s="5" t="s">
        <v>146</v>
      </c>
      <c r="L150" s="5" t="s">
        <v>950</v>
      </c>
      <c r="M150" s="5">
        <v>573242833059</v>
      </c>
      <c r="N150" s="6">
        <v>45993</v>
      </c>
      <c r="O150" s="7">
        <v>0.71319444444444446</v>
      </c>
      <c r="P150" s="5">
        <v>1</v>
      </c>
      <c r="Q150" s="5" t="s">
        <v>422</v>
      </c>
      <c r="R150" s="5">
        <v>130000</v>
      </c>
      <c r="S150" s="5">
        <v>0</v>
      </c>
      <c r="T150" s="5">
        <v>12000</v>
      </c>
      <c r="U150" s="5">
        <v>142000</v>
      </c>
      <c r="V150" s="5" t="s">
        <v>951</v>
      </c>
      <c r="W150" s="5" t="s">
        <v>36</v>
      </c>
      <c r="X150" s="5" t="s">
        <v>98</v>
      </c>
      <c r="Y150" s="5" t="s">
        <v>24</v>
      </c>
      <c r="Z150" s="5" t="s">
        <v>952</v>
      </c>
      <c r="AA150" s="5" t="s">
        <v>44</v>
      </c>
      <c r="AB150" s="5" t="s">
        <v>951</v>
      </c>
      <c r="AC150" s="8" t="str">
        <f>HYPERLINK("https://drive.google.com/file/d/1YrggCrxR6XNydneL66GECZNDBRnWjit2/view?usp=drivesdk","Abrir_Factura")</f>
        <v>Abrir_Factura</v>
      </c>
    </row>
    <row r="151" spans="1:29" ht="12.5">
      <c r="A151" s="4">
        <v>45994.354565104164</v>
      </c>
      <c r="B151" s="5">
        <v>89869</v>
      </c>
      <c r="C151" s="5">
        <v>1140842528</v>
      </c>
      <c r="D151" s="5" t="s">
        <v>953</v>
      </c>
      <c r="F151" s="5" t="s">
        <v>954</v>
      </c>
      <c r="H151" s="5">
        <v>573206203462</v>
      </c>
      <c r="J151" s="5" t="s">
        <v>955</v>
      </c>
      <c r="K151" s="5" t="s">
        <v>33</v>
      </c>
      <c r="L151" s="5" t="s">
        <v>34</v>
      </c>
      <c r="M151" s="5">
        <v>3206203462</v>
      </c>
      <c r="N151" s="6">
        <v>45994</v>
      </c>
      <c r="O151" s="7">
        <v>0.44027777777777777</v>
      </c>
      <c r="P151" s="5">
        <v>1</v>
      </c>
      <c r="Q151" s="5" t="s">
        <v>42</v>
      </c>
      <c r="R151" s="5">
        <v>25000</v>
      </c>
      <c r="S151" s="5">
        <v>0</v>
      </c>
      <c r="T151" s="5">
        <v>0</v>
      </c>
      <c r="U151" s="5">
        <v>25000</v>
      </c>
      <c r="W151" s="5" t="s">
        <v>36</v>
      </c>
      <c r="X151" s="5" t="s">
        <v>196</v>
      </c>
      <c r="Y151" s="5" t="s">
        <v>24</v>
      </c>
      <c r="AA151" s="5" t="s">
        <v>44</v>
      </c>
      <c r="AB151" s="5" t="s">
        <v>956</v>
      </c>
      <c r="AC151" s="8" t="str">
        <f>HYPERLINK("https://drive.google.com/file/d/1SDeyRwWmXmRwEgS9vfqhmdGa8DL7akVJ/view?usp=drivesdk","Abrir_Factura")</f>
        <v>Abrir_Factura</v>
      </c>
    </row>
    <row r="152" spans="1:29" ht="12.5">
      <c r="A152" s="4">
        <v>45994.354331539347</v>
      </c>
      <c r="B152" s="5">
        <v>89882</v>
      </c>
      <c r="C152" s="5">
        <v>52324177</v>
      </c>
      <c r="D152" s="5" t="s">
        <v>332</v>
      </c>
      <c r="F152" s="5" t="s">
        <v>387</v>
      </c>
      <c r="H152" s="5">
        <v>573187162851</v>
      </c>
      <c r="J152" s="5" t="s">
        <v>957</v>
      </c>
      <c r="K152" s="5" t="s">
        <v>63</v>
      </c>
      <c r="L152" s="5" t="s">
        <v>958</v>
      </c>
      <c r="M152" s="5">
        <v>3187162851</v>
      </c>
      <c r="N152" s="6">
        <v>45996</v>
      </c>
      <c r="O152" s="7">
        <v>0.41666666666666669</v>
      </c>
      <c r="P152" s="5">
        <v>1</v>
      </c>
      <c r="Q152" s="5" t="s">
        <v>259</v>
      </c>
      <c r="R152" s="5">
        <v>190000</v>
      </c>
      <c r="S152" s="5">
        <v>0</v>
      </c>
      <c r="T152" s="5">
        <v>17000</v>
      </c>
      <c r="U152" s="5">
        <v>207000</v>
      </c>
      <c r="V152" s="5" t="s">
        <v>959</v>
      </c>
      <c r="W152" s="5" t="s">
        <v>36</v>
      </c>
      <c r="X152" s="5" t="s">
        <v>180</v>
      </c>
      <c r="Y152" s="5" t="s">
        <v>24</v>
      </c>
      <c r="Z152" s="5" t="s">
        <v>960</v>
      </c>
      <c r="AA152" s="5" t="s">
        <v>69</v>
      </c>
      <c r="AB152" s="5"/>
      <c r="AC152" s="8" t="str">
        <f>HYPERLINK("https://drive.google.com/file/d/1AMTtMcPjB5K9jLasvIpezEKQCOYUd44d/view?usp=drivesdk","Abrir_Factura")</f>
        <v>Abrir_Factura</v>
      </c>
    </row>
    <row r="153" spans="1:29" ht="12.5">
      <c r="A153" s="4">
        <v>45994.372988796298</v>
      </c>
      <c r="B153" s="5">
        <v>89883</v>
      </c>
      <c r="C153" s="5">
        <v>1192784904</v>
      </c>
      <c r="D153" s="5" t="s">
        <v>961</v>
      </c>
      <c r="F153" s="5" t="s">
        <v>962</v>
      </c>
      <c r="H153" s="5">
        <v>573017951042</v>
      </c>
      <c r="J153" s="5" t="s">
        <v>963</v>
      </c>
      <c r="K153" s="5" t="s">
        <v>964</v>
      </c>
      <c r="L153" s="5" t="s">
        <v>965</v>
      </c>
      <c r="M153" s="5">
        <v>3015303170</v>
      </c>
      <c r="N153" s="6">
        <v>45994</v>
      </c>
      <c r="O153" s="7">
        <v>0.67152777777777772</v>
      </c>
      <c r="P153" s="5">
        <v>1</v>
      </c>
      <c r="Q153" s="5" t="s">
        <v>649</v>
      </c>
      <c r="R153" s="5">
        <v>180000</v>
      </c>
      <c r="S153" s="5">
        <v>0</v>
      </c>
      <c r="T153" s="5">
        <v>12000</v>
      </c>
      <c r="U153" s="5">
        <v>192000</v>
      </c>
      <c r="V153" s="5" t="s">
        <v>966</v>
      </c>
      <c r="W153" s="5" t="s">
        <v>36</v>
      </c>
      <c r="X153" s="5" t="s">
        <v>83</v>
      </c>
      <c r="Y153" s="5" t="s">
        <v>24</v>
      </c>
      <c r="Z153" s="5" t="s">
        <v>967</v>
      </c>
      <c r="AA153" s="5" t="s">
        <v>44</v>
      </c>
      <c r="AB153" s="5" t="s">
        <v>966</v>
      </c>
      <c r="AC153" s="8" t="str">
        <f>HYPERLINK("https://drive.google.com/file/d/1dRF6Z_ccqbDNxoeFHdVRZ3oby0AdtsYd/view?usp=drivesdk","Abrir_Factura")</f>
        <v>Abrir_Factura</v>
      </c>
    </row>
    <row r="154" spans="1:29" ht="12.5">
      <c r="A154" s="4">
        <v>45994.410469201393</v>
      </c>
      <c r="B154" s="5">
        <v>89884</v>
      </c>
      <c r="C154" s="5">
        <v>1045709359</v>
      </c>
      <c r="D154" s="5" t="s">
        <v>968</v>
      </c>
      <c r="F154" s="5" t="s">
        <v>298</v>
      </c>
      <c r="H154" s="5">
        <v>573156701654</v>
      </c>
      <c r="J154" s="5" t="s">
        <v>969</v>
      </c>
      <c r="K154" s="5" t="s">
        <v>783</v>
      </c>
      <c r="L154" s="5" t="s">
        <v>970</v>
      </c>
      <c r="M154" s="5" t="s">
        <v>25421</v>
      </c>
      <c r="N154" s="6">
        <v>45994</v>
      </c>
      <c r="O154" s="7">
        <v>0.58333333333333337</v>
      </c>
      <c r="P154" s="5">
        <v>1</v>
      </c>
      <c r="Q154" s="5" t="s">
        <v>435</v>
      </c>
      <c r="R154" s="5">
        <v>60000</v>
      </c>
      <c r="S154" s="5">
        <v>0</v>
      </c>
      <c r="T154" s="5">
        <v>17000</v>
      </c>
      <c r="U154" s="5">
        <v>77000</v>
      </c>
      <c r="V154" s="5" t="s">
        <v>971</v>
      </c>
      <c r="W154" s="5" t="s">
        <v>36</v>
      </c>
      <c r="X154" s="5" t="s">
        <v>83</v>
      </c>
      <c r="Y154" s="5" t="s">
        <v>310</v>
      </c>
      <c r="AA154" s="5" t="s">
        <v>69</v>
      </c>
      <c r="AB154" s="5" t="s">
        <v>971</v>
      </c>
      <c r="AC154" s="8" t="str">
        <f>HYPERLINK("https://drive.google.com/file/d/1rn0z1M2jkq5Lv4gMt9ePXHjY_YzVeXfM/view?usp=drivesdk","Abrir_Factura")</f>
        <v>Abrir_Factura</v>
      </c>
    </row>
    <row r="155" spans="1:29" ht="12.5">
      <c r="A155" s="4">
        <v>45994.415197800925</v>
      </c>
      <c r="B155" s="5">
        <v>89886</v>
      </c>
      <c r="C155" s="5">
        <v>1002249137</v>
      </c>
      <c r="D155" s="5" t="s">
        <v>972</v>
      </c>
      <c r="F155" s="5" t="s">
        <v>973</v>
      </c>
      <c r="H155" s="5">
        <v>573246702029</v>
      </c>
      <c r="J155" s="5" t="s">
        <v>974</v>
      </c>
      <c r="K155" s="5" t="s">
        <v>975</v>
      </c>
      <c r="L155" s="5" t="s">
        <v>976</v>
      </c>
      <c r="M155" s="5" t="s">
        <v>25421</v>
      </c>
      <c r="N155" s="6">
        <v>45994</v>
      </c>
      <c r="O155" s="7">
        <v>0.5</v>
      </c>
      <c r="P155" s="5">
        <v>1</v>
      </c>
      <c r="Q155" s="5" t="s">
        <v>576</v>
      </c>
      <c r="R155" s="5">
        <v>120000</v>
      </c>
      <c r="S155" s="5">
        <v>0</v>
      </c>
      <c r="T155" s="5">
        <v>10000</v>
      </c>
      <c r="U155" s="5">
        <v>130000</v>
      </c>
      <c r="V155" s="5" t="s">
        <v>977</v>
      </c>
      <c r="W155" s="5" t="s">
        <v>36</v>
      </c>
      <c r="X155" s="5" t="s">
        <v>83</v>
      </c>
      <c r="Y155" s="5" t="s">
        <v>24</v>
      </c>
      <c r="Z155" s="5" t="s">
        <v>978</v>
      </c>
      <c r="AA155" s="5" t="s">
        <v>44</v>
      </c>
      <c r="AB155" s="5" t="s">
        <v>977</v>
      </c>
      <c r="AC155" s="8" t="str">
        <f>HYPERLINK("https://drive.google.com/file/d/1_BNfW2_sW5b814Y0pLU4ZE7W5DMuIx_B/view?usp=drivesdk","Abrir_Factura")</f>
        <v>Abrir_Factura</v>
      </c>
    </row>
    <row r="156" spans="1:29" ht="12.5">
      <c r="A156" s="4">
        <v>45994.428150034721</v>
      </c>
      <c r="B156" s="5">
        <v>89888</v>
      </c>
      <c r="C156" s="5">
        <v>1010167392</v>
      </c>
      <c r="D156" s="5" t="s">
        <v>979</v>
      </c>
      <c r="F156" s="5" t="s">
        <v>980</v>
      </c>
      <c r="H156" s="5">
        <v>17256001792</v>
      </c>
      <c r="J156" s="5" t="s">
        <v>981</v>
      </c>
      <c r="K156" s="5" t="s">
        <v>185</v>
      </c>
      <c r="L156" s="5" t="s">
        <v>982</v>
      </c>
      <c r="M156" s="5">
        <v>3008437596</v>
      </c>
      <c r="N156" s="6">
        <v>45994</v>
      </c>
      <c r="O156" s="7">
        <v>0.51458333333333328</v>
      </c>
      <c r="P156" s="5">
        <v>1</v>
      </c>
      <c r="Q156" s="5" t="s">
        <v>866</v>
      </c>
      <c r="R156" s="5">
        <v>280000</v>
      </c>
      <c r="S156" s="5">
        <v>0</v>
      </c>
      <c r="T156" s="5">
        <v>8000</v>
      </c>
      <c r="U156" s="5">
        <v>288000</v>
      </c>
      <c r="V156" s="5" t="s">
        <v>983</v>
      </c>
      <c r="W156" s="5" t="s">
        <v>36</v>
      </c>
      <c r="X156" s="5" t="s">
        <v>83</v>
      </c>
      <c r="Y156" s="5" t="s">
        <v>24</v>
      </c>
      <c r="Z156" s="5" t="s">
        <v>984</v>
      </c>
      <c r="AA156" s="5" t="s">
        <v>44</v>
      </c>
      <c r="AB156" s="5" t="s">
        <v>983</v>
      </c>
      <c r="AC156" s="8" t="str">
        <f>HYPERLINK("https://drive.google.com/file/d/1Iqg3-1Ta1AUrnS5SCu8hTicIROwscXIe/view?usp=drivesdk","Abrir_Factura")</f>
        <v>Abrir_Factura</v>
      </c>
    </row>
    <row r="157" spans="1:29" ht="12.5">
      <c r="A157" s="4">
        <v>45994.407374305556</v>
      </c>
      <c r="B157" s="5">
        <v>89889</v>
      </c>
      <c r="C157" s="5">
        <v>1098740919</v>
      </c>
      <c r="D157" s="5" t="s">
        <v>338</v>
      </c>
      <c r="F157" s="5" t="s">
        <v>985</v>
      </c>
      <c r="H157" s="5">
        <v>573176676190</v>
      </c>
      <c r="J157" s="5" t="s">
        <v>986</v>
      </c>
      <c r="K157" s="5" t="s">
        <v>987</v>
      </c>
      <c r="L157" s="5" t="s">
        <v>988</v>
      </c>
      <c r="M157" s="5">
        <v>3235852150</v>
      </c>
      <c r="N157" s="6">
        <v>45994</v>
      </c>
      <c r="O157" s="7">
        <v>0.49027777777777776</v>
      </c>
      <c r="P157" s="5">
        <v>1</v>
      </c>
      <c r="Q157" s="5" t="s">
        <v>309</v>
      </c>
      <c r="R157" s="5">
        <v>80000</v>
      </c>
      <c r="S157" s="5">
        <v>0</v>
      </c>
      <c r="T157" s="5">
        <v>11000</v>
      </c>
      <c r="U157" s="5">
        <v>91000</v>
      </c>
      <c r="V157" s="5" t="s">
        <v>989</v>
      </c>
      <c r="W157" s="5" t="s">
        <v>36</v>
      </c>
      <c r="X157" s="5" t="s">
        <v>822</v>
      </c>
      <c r="Y157" s="5" t="s">
        <v>24</v>
      </c>
      <c r="Z157" s="5" t="s">
        <v>990</v>
      </c>
      <c r="AA157" s="5" t="s">
        <v>44</v>
      </c>
      <c r="AB157" s="5"/>
      <c r="AC157" s="8" t="str">
        <f>HYPERLINK("https://drive.google.com/file/d/1fyIlozZdIWDpHlEAmrOpIYUcnv9wTneW/view?usp=drivesdk","Abrir_Factura")</f>
        <v>Abrir_Factura</v>
      </c>
    </row>
    <row r="158" spans="1:29" ht="12.5">
      <c r="A158" s="4">
        <v>45994.458754791667</v>
      </c>
      <c r="B158" s="5">
        <v>89890</v>
      </c>
      <c r="C158" s="5">
        <v>1140883060</v>
      </c>
      <c r="D158" s="5" t="s">
        <v>991</v>
      </c>
      <c r="F158" s="5" t="s">
        <v>992</v>
      </c>
      <c r="H158" s="5">
        <v>34691344740</v>
      </c>
      <c r="J158" s="5" t="s">
        <v>993</v>
      </c>
      <c r="K158" s="5" t="s">
        <v>161</v>
      </c>
      <c r="L158" s="5" t="s">
        <v>994</v>
      </c>
      <c r="M158" s="10" t="s">
        <v>995</v>
      </c>
      <c r="N158" s="6">
        <v>45994</v>
      </c>
      <c r="O158" s="7">
        <v>0.54305555555555551</v>
      </c>
      <c r="P158" s="5">
        <v>1</v>
      </c>
      <c r="Q158" s="5" t="s">
        <v>89</v>
      </c>
      <c r="R158" s="5">
        <v>170000</v>
      </c>
      <c r="S158" s="5">
        <v>0</v>
      </c>
      <c r="T158" s="5">
        <v>8000</v>
      </c>
      <c r="U158" s="5">
        <v>178000</v>
      </c>
      <c r="V158" s="5" t="s">
        <v>996</v>
      </c>
      <c r="W158" s="5" t="s">
        <v>36</v>
      </c>
      <c r="X158" s="5" t="s">
        <v>83</v>
      </c>
      <c r="Y158" s="5" t="s">
        <v>24</v>
      </c>
      <c r="Z158" s="5" t="s">
        <v>997</v>
      </c>
      <c r="AA158" s="5" t="s">
        <v>69</v>
      </c>
      <c r="AB158" s="5" t="s">
        <v>998</v>
      </c>
      <c r="AC158" s="8" t="str">
        <f>HYPERLINK("https://drive.google.com/file/d/1ZOcoyJof0pS0qFxcm7wG2NDZzgFE2kC0/view?usp=drivesdk","Abrir_Factura")</f>
        <v>Abrir_Factura</v>
      </c>
    </row>
    <row r="159" spans="1:29" ht="12.5">
      <c r="A159" s="4">
        <v>45994.424484525458</v>
      </c>
      <c r="B159" s="5">
        <v>89891</v>
      </c>
      <c r="C159" s="5">
        <v>1045709359</v>
      </c>
      <c r="D159" s="5" t="s">
        <v>968</v>
      </c>
      <c r="F159" s="5" t="s">
        <v>298</v>
      </c>
      <c r="H159" s="5">
        <v>573156701654</v>
      </c>
      <c r="J159" s="5" t="s">
        <v>999</v>
      </c>
      <c r="K159" s="5" t="s">
        <v>103</v>
      </c>
      <c r="L159" s="5" t="s">
        <v>1000</v>
      </c>
      <c r="M159" s="5">
        <v>573156701654</v>
      </c>
      <c r="N159" s="6">
        <v>45994</v>
      </c>
      <c r="O159" s="7">
        <v>0.58333333333333337</v>
      </c>
      <c r="P159" s="5">
        <v>1</v>
      </c>
      <c r="Q159" s="5" t="s">
        <v>435</v>
      </c>
      <c r="R159" s="5">
        <v>60000</v>
      </c>
      <c r="S159" s="5">
        <v>0</v>
      </c>
      <c r="T159" s="5">
        <v>10000</v>
      </c>
      <c r="U159" s="5">
        <v>70000</v>
      </c>
      <c r="V159" s="5" t="s">
        <v>1001</v>
      </c>
      <c r="W159" s="5" t="s">
        <v>36</v>
      </c>
      <c r="X159" s="5" t="s">
        <v>83</v>
      </c>
      <c r="Y159" s="5" t="s">
        <v>310</v>
      </c>
      <c r="AA159" s="5" t="s">
        <v>69</v>
      </c>
      <c r="AB159" s="5" t="s">
        <v>1001</v>
      </c>
      <c r="AC159" s="8" t="str">
        <f>HYPERLINK("https://drive.google.com/file/d/1RMWAMt7J5VMsKeW_mj55C3dfCHSpV8C8/view?usp=drivesdk","Abrir_Factura")</f>
        <v>Abrir_Factura</v>
      </c>
    </row>
    <row r="160" spans="1:29" ht="12.5">
      <c r="A160" s="4">
        <v>45994.470142858801</v>
      </c>
      <c r="B160" s="5">
        <v>89892</v>
      </c>
      <c r="C160" s="5">
        <v>72000972</v>
      </c>
      <c r="D160" s="5" t="s">
        <v>1002</v>
      </c>
      <c r="F160" s="5" t="s">
        <v>1003</v>
      </c>
      <c r="H160" s="5">
        <v>573215394318</v>
      </c>
      <c r="J160" s="5" t="s">
        <v>1004</v>
      </c>
      <c r="K160" s="5" t="s">
        <v>33</v>
      </c>
      <c r="L160" s="5" t="s">
        <v>34</v>
      </c>
      <c r="M160" s="5">
        <v>3215394318</v>
      </c>
      <c r="N160" s="6">
        <v>45994</v>
      </c>
      <c r="O160" s="7">
        <v>0.55555555555555558</v>
      </c>
      <c r="P160" s="5">
        <v>1</v>
      </c>
      <c r="Q160" s="5" t="s">
        <v>42</v>
      </c>
      <c r="R160" s="5">
        <v>200000</v>
      </c>
      <c r="S160" s="5">
        <v>0</v>
      </c>
      <c r="T160" s="5">
        <v>0</v>
      </c>
      <c r="U160" s="5">
        <v>200000</v>
      </c>
      <c r="W160" s="5" t="s">
        <v>36</v>
      </c>
      <c r="X160" s="5" t="s">
        <v>51</v>
      </c>
      <c r="Y160" s="5" t="s">
        <v>24</v>
      </c>
      <c r="AA160" s="5" t="s">
        <v>44</v>
      </c>
      <c r="AB160" s="5" t="s">
        <v>120</v>
      </c>
      <c r="AC160" s="8" t="str">
        <f>HYPERLINK("https://drive.google.com/file/d/18ZKAawRajTiEII_01PS2_jKiFa_e4HzR/view?usp=drivesdk","Abrir_Factura")</f>
        <v>Abrir_Factura</v>
      </c>
    </row>
    <row r="161" spans="1:29" ht="12.5">
      <c r="A161" s="4">
        <v>45994.432135196759</v>
      </c>
      <c r="B161" s="5">
        <v>89893</v>
      </c>
      <c r="C161" s="5">
        <v>1045753916</v>
      </c>
      <c r="D161" s="5" t="s">
        <v>332</v>
      </c>
      <c r="F161" s="5" t="s">
        <v>596</v>
      </c>
      <c r="H161" s="5">
        <v>573137397482</v>
      </c>
      <c r="J161" s="5" t="s">
        <v>1005</v>
      </c>
      <c r="K161" s="5" t="s">
        <v>1006</v>
      </c>
      <c r="L161" s="5" t="s">
        <v>1007</v>
      </c>
      <c r="M161" s="5">
        <v>3116748196</v>
      </c>
      <c r="N161" s="6">
        <v>45994</v>
      </c>
      <c r="O161" s="7">
        <v>0.55208333333333337</v>
      </c>
      <c r="P161" s="5">
        <v>1</v>
      </c>
      <c r="Q161" s="5" t="s">
        <v>42</v>
      </c>
      <c r="R161" s="5">
        <v>70000</v>
      </c>
      <c r="S161" s="5">
        <v>0</v>
      </c>
      <c r="T161" s="5">
        <v>18000</v>
      </c>
      <c r="U161" s="5">
        <v>88000</v>
      </c>
      <c r="V161" s="5" t="s">
        <v>1008</v>
      </c>
      <c r="W161" s="5" t="s">
        <v>36</v>
      </c>
      <c r="X161" s="5" t="s">
        <v>83</v>
      </c>
      <c r="Y161" s="5" t="s">
        <v>24</v>
      </c>
      <c r="Z161" s="5" t="s">
        <v>1009</v>
      </c>
      <c r="AA161" s="5" t="s">
        <v>44</v>
      </c>
      <c r="AB161" s="5" t="s">
        <v>1010</v>
      </c>
      <c r="AC161" s="8" t="str">
        <f>HYPERLINK("https://drive.google.com/file/d/1oedgjMTlI54Yc19BQqh3G2Rg-CDm74ua/view?usp=drivesdk","Abrir_Factura")</f>
        <v>Abrir_Factura</v>
      </c>
    </row>
    <row r="162" spans="1:29" ht="12.5">
      <c r="A162" s="4">
        <v>45994.468869884258</v>
      </c>
      <c r="B162" s="5">
        <v>89894</v>
      </c>
      <c r="C162" s="5">
        <v>1044423291</v>
      </c>
      <c r="D162" s="5" t="s">
        <v>1011</v>
      </c>
      <c r="F162" s="5" t="s">
        <v>1012</v>
      </c>
      <c r="H162" s="5">
        <v>573183726734</v>
      </c>
      <c r="J162" s="5" t="s">
        <v>1013</v>
      </c>
      <c r="K162" s="5" t="s">
        <v>161</v>
      </c>
      <c r="L162" s="5" t="s">
        <v>1014</v>
      </c>
      <c r="M162" s="5" t="s">
        <v>25421</v>
      </c>
      <c r="N162" s="6">
        <v>45994</v>
      </c>
      <c r="O162" s="7">
        <v>0.55486111111111114</v>
      </c>
      <c r="P162" s="5">
        <v>1</v>
      </c>
      <c r="Q162" s="5" t="s">
        <v>330</v>
      </c>
      <c r="R162" s="5">
        <v>180000</v>
      </c>
      <c r="S162" s="5">
        <v>0</v>
      </c>
      <c r="T162" s="5">
        <v>8000</v>
      </c>
      <c r="U162" s="5">
        <v>188000</v>
      </c>
      <c r="V162" s="5" t="s">
        <v>1015</v>
      </c>
      <c r="W162" s="5" t="s">
        <v>36</v>
      </c>
      <c r="X162" s="5" t="s">
        <v>83</v>
      </c>
      <c r="Y162" s="5" t="s">
        <v>24</v>
      </c>
      <c r="Z162" s="5" t="s">
        <v>1016</v>
      </c>
      <c r="AA162" s="5" t="s">
        <v>69</v>
      </c>
      <c r="AB162" s="5"/>
      <c r="AC162" s="8" t="str">
        <f>HYPERLINK("https://drive.google.com/file/d/1ztDjtjzQAsuVlPJ1gvRPl8az4HubxwW3/view?usp=drivesdk","Abrir_Factura")</f>
        <v>Abrir_Factura</v>
      </c>
    </row>
    <row r="163" spans="1:29" ht="12.5">
      <c r="A163" s="4">
        <v>45994.481771365739</v>
      </c>
      <c r="B163" s="5">
        <v>89895</v>
      </c>
      <c r="C163" s="5">
        <v>22667395</v>
      </c>
      <c r="D163" s="5" t="s">
        <v>1017</v>
      </c>
      <c r="F163" s="5" t="s">
        <v>1018</v>
      </c>
      <c r="H163" s="5">
        <v>573213653413</v>
      </c>
      <c r="J163" s="5" t="s">
        <v>1019</v>
      </c>
      <c r="K163" s="5" t="s">
        <v>351</v>
      </c>
      <c r="L163" s="5" t="s">
        <v>1020</v>
      </c>
      <c r="M163" s="5">
        <v>3007608715</v>
      </c>
      <c r="N163" s="6">
        <v>45994</v>
      </c>
      <c r="O163" s="7">
        <v>0.56597222222222221</v>
      </c>
      <c r="P163" s="5">
        <v>1</v>
      </c>
      <c r="Q163" s="5" t="s">
        <v>734</v>
      </c>
      <c r="R163" s="5">
        <v>90000</v>
      </c>
      <c r="S163" s="5">
        <v>0</v>
      </c>
      <c r="T163" s="5">
        <v>11000</v>
      </c>
      <c r="U163" s="5">
        <v>101000</v>
      </c>
      <c r="V163" s="5" t="s">
        <v>1021</v>
      </c>
      <c r="W163" s="5" t="s">
        <v>36</v>
      </c>
      <c r="X163" s="5" t="s">
        <v>83</v>
      </c>
      <c r="Y163" s="5" t="s">
        <v>24</v>
      </c>
      <c r="Z163" s="5" t="s">
        <v>1022</v>
      </c>
      <c r="AA163" s="5" t="s">
        <v>69</v>
      </c>
      <c r="AB163" s="5" t="s">
        <v>1023</v>
      </c>
      <c r="AC163" s="8" t="str">
        <f>HYPERLINK("https://drive.google.com/file/d/1Qxh3GvBlDpeHu_raRusmFu1EIulC5HWF/view?usp=drivesdk","Abrir_Factura")</f>
        <v>Abrir_Factura</v>
      </c>
    </row>
    <row r="164" spans="1:29" ht="12.5">
      <c r="A164" s="4">
        <v>45994.504338275467</v>
      </c>
      <c r="B164" s="5">
        <v>89896</v>
      </c>
      <c r="C164" s="5">
        <v>9011131263</v>
      </c>
      <c r="D164" s="5" t="s">
        <v>1024</v>
      </c>
      <c r="F164" s="5" t="s">
        <v>1025</v>
      </c>
      <c r="H164" s="5">
        <v>573106313348</v>
      </c>
      <c r="J164" s="5" t="s">
        <v>1024</v>
      </c>
      <c r="K164" s="5" t="s">
        <v>33</v>
      </c>
      <c r="L164" s="5" t="s">
        <v>34</v>
      </c>
      <c r="M164" s="5">
        <v>3106313348</v>
      </c>
      <c r="N164" s="6">
        <v>45994</v>
      </c>
      <c r="O164" s="7">
        <v>0.58958333333333335</v>
      </c>
      <c r="P164" s="5">
        <v>1</v>
      </c>
      <c r="Q164" s="5" t="s">
        <v>42</v>
      </c>
      <c r="R164" s="5">
        <v>18000</v>
      </c>
      <c r="S164" s="5">
        <v>0</v>
      </c>
      <c r="T164" s="5">
        <v>0</v>
      </c>
      <c r="U164" s="5">
        <v>18000</v>
      </c>
      <c r="W164" s="5" t="s">
        <v>36</v>
      </c>
      <c r="X164" s="5" t="s">
        <v>196</v>
      </c>
      <c r="Y164" s="5" t="s">
        <v>24</v>
      </c>
      <c r="AA164" s="5" t="s">
        <v>44</v>
      </c>
      <c r="AB164" s="5" t="s">
        <v>525</v>
      </c>
      <c r="AC164" s="8" t="str">
        <f>HYPERLINK("https://drive.google.com/file/d/1QQyGaYlna4gOTaUsmjfm9tjAxh31tAKE/view?usp=drivesdk","Abrir_Factura")</f>
        <v>Abrir_Factura</v>
      </c>
    </row>
    <row r="165" spans="1:29" ht="12.5">
      <c r="A165" s="4">
        <v>45994.450681284725</v>
      </c>
      <c r="B165" s="5">
        <v>89897</v>
      </c>
      <c r="C165" s="5">
        <v>1002244681</v>
      </c>
      <c r="D165" s="5" t="s">
        <v>1026</v>
      </c>
      <c r="F165" s="5" t="s">
        <v>1027</v>
      </c>
      <c r="H165" s="5">
        <v>573006460804</v>
      </c>
      <c r="J165" s="5" t="s">
        <v>1028</v>
      </c>
      <c r="K165" s="5" t="s">
        <v>886</v>
      </c>
      <c r="L165" s="5" t="s">
        <v>1029</v>
      </c>
      <c r="M165" s="5">
        <v>3116542811</v>
      </c>
      <c r="N165" s="6">
        <v>45994</v>
      </c>
      <c r="O165" s="7">
        <v>0.53472222222222221</v>
      </c>
      <c r="P165" s="5">
        <v>1</v>
      </c>
      <c r="Q165" s="5" t="s">
        <v>42</v>
      </c>
      <c r="R165" s="5">
        <v>80000</v>
      </c>
      <c r="S165" s="5">
        <v>0</v>
      </c>
      <c r="T165" s="5">
        <v>10000</v>
      </c>
      <c r="U165" s="5">
        <v>90000</v>
      </c>
      <c r="V165" s="5" t="s">
        <v>1030</v>
      </c>
      <c r="W165" s="5" t="s">
        <v>36</v>
      </c>
      <c r="X165" s="5" t="s">
        <v>83</v>
      </c>
      <c r="Y165" s="5" t="s">
        <v>24</v>
      </c>
      <c r="Z165" s="5" t="s">
        <v>1031</v>
      </c>
      <c r="AA165" s="5" t="s">
        <v>44</v>
      </c>
      <c r="AB165" s="5" t="s">
        <v>1032</v>
      </c>
      <c r="AC165" s="8" t="str">
        <f>HYPERLINK("https://drive.google.com/file/d/1sP_gsXE7B-BRROOOfDn1uuVPSPo5KP_9/view?usp=drivesdk","Abrir_Factura")</f>
        <v>Abrir_Factura</v>
      </c>
    </row>
    <row r="166" spans="1:29" ht="12.5">
      <c r="A166" s="4">
        <v>45994.506883217589</v>
      </c>
      <c r="B166" s="5">
        <v>89898</v>
      </c>
      <c r="C166" s="5">
        <v>1048067299</v>
      </c>
      <c r="D166" s="5" t="s">
        <v>825</v>
      </c>
      <c r="F166" s="5" t="s">
        <v>1033</v>
      </c>
      <c r="H166" s="5">
        <v>19303337910</v>
      </c>
      <c r="J166" s="5" t="s">
        <v>1034</v>
      </c>
      <c r="K166" s="5" t="s">
        <v>73</v>
      </c>
      <c r="L166" s="5" t="s">
        <v>1035</v>
      </c>
      <c r="M166" s="5" t="s">
        <v>1036</v>
      </c>
      <c r="N166" s="6">
        <v>45994</v>
      </c>
      <c r="O166" s="7">
        <v>0.59236111111111112</v>
      </c>
      <c r="P166" s="5">
        <v>1</v>
      </c>
      <c r="Q166" s="5" t="s">
        <v>375</v>
      </c>
      <c r="R166" s="5">
        <v>70000</v>
      </c>
      <c r="S166" s="5">
        <v>0</v>
      </c>
      <c r="T166" s="5">
        <v>10000</v>
      </c>
      <c r="U166" s="5">
        <v>80000</v>
      </c>
      <c r="V166" s="5" t="s">
        <v>1037</v>
      </c>
      <c r="W166" s="5" t="s">
        <v>36</v>
      </c>
      <c r="X166" s="5" t="s">
        <v>83</v>
      </c>
      <c r="Y166" s="5" t="s">
        <v>24</v>
      </c>
      <c r="Z166" s="5" t="s">
        <v>1038</v>
      </c>
      <c r="AA166" s="5" t="s">
        <v>44</v>
      </c>
      <c r="AB166" s="5" t="s">
        <v>1037</v>
      </c>
      <c r="AC166" s="8" t="str">
        <f>HYPERLINK("https://drive.google.com/file/d/1dD9eadsKaWFP_AVBmYJ7_N0Eh1ZckTQN/view?usp=drivesdk","Abrir_Factura")</f>
        <v>Abrir_Factura</v>
      </c>
    </row>
    <row r="167" spans="1:29" ht="12.5">
      <c r="A167" s="4">
        <v>45994.378442847221</v>
      </c>
      <c r="B167" s="5">
        <v>89899</v>
      </c>
      <c r="C167" s="5">
        <v>1131074645</v>
      </c>
      <c r="D167" s="5" t="s">
        <v>1039</v>
      </c>
      <c r="F167" s="5" t="s">
        <v>591</v>
      </c>
      <c r="H167" s="5">
        <v>573186909270</v>
      </c>
      <c r="J167" s="5" t="s">
        <v>1040</v>
      </c>
      <c r="K167" s="5" t="s">
        <v>185</v>
      </c>
      <c r="L167" s="5" t="s">
        <v>1041</v>
      </c>
      <c r="M167" s="5">
        <v>3186909270</v>
      </c>
      <c r="N167" s="6">
        <v>45995</v>
      </c>
      <c r="O167" s="7">
        <v>0.35416666666666669</v>
      </c>
      <c r="P167" s="5">
        <v>1</v>
      </c>
      <c r="Q167" s="5" t="s">
        <v>576</v>
      </c>
      <c r="R167" s="5">
        <v>120000</v>
      </c>
      <c r="S167" s="5">
        <v>0</v>
      </c>
      <c r="T167" s="5">
        <v>8000</v>
      </c>
      <c r="U167" s="5">
        <v>128000</v>
      </c>
      <c r="V167" s="5" t="s">
        <v>1042</v>
      </c>
      <c r="W167" s="5" t="s">
        <v>36</v>
      </c>
      <c r="X167" s="5" t="s">
        <v>83</v>
      </c>
      <c r="Y167" s="5" t="s">
        <v>24</v>
      </c>
      <c r="Z167" s="5" t="s">
        <v>1043</v>
      </c>
      <c r="AA167" s="5" t="s">
        <v>69</v>
      </c>
      <c r="AB167" s="5" t="s">
        <v>1042</v>
      </c>
      <c r="AC167" s="8" t="str">
        <f>HYPERLINK("https://drive.google.com/file/d/1Z7NVQSiS35DT87hM8f3FZ-o-fx5WNqNg/view?usp=drivesdk","Abrir_Factura")</f>
        <v>Abrir_Factura</v>
      </c>
    </row>
    <row r="168" spans="1:29" ht="12.5">
      <c r="A168" s="4">
        <v>45994.499119444445</v>
      </c>
      <c r="B168" s="5">
        <v>89900</v>
      </c>
      <c r="C168" s="5">
        <v>79970300</v>
      </c>
      <c r="D168" s="5" t="s">
        <v>1044</v>
      </c>
      <c r="F168" s="5" t="s">
        <v>1045</v>
      </c>
      <c r="H168" s="5">
        <v>573203330033</v>
      </c>
      <c r="J168" s="5" t="s">
        <v>1046</v>
      </c>
      <c r="K168" s="5" t="s">
        <v>1047</v>
      </c>
      <c r="L168" s="5" t="s">
        <v>1048</v>
      </c>
      <c r="M168" s="5">
        <v>3012653255</v>
      </c>
      <c r="N168" s="6">
        <v>46002</v>
      </c>
      <c r="O168" s="7">
        <v>0.33333333333333331</v>
      </c>
      <c r="P168" s="5">
        <v>1</v>
      </c>
      <c r="Q168" s="5" t="s">
        <v>1049</v>
      </c>
      <c r="R168" s="5">
        <v>260000</v>
      </c>
      <c r="S168" s="5">
        <v>0</v>
      </c>
      <c r="T168" s="5">
        <v>15000</v>
      </c>
      <c r="U168" s="5">
        <v>275000</v>
      </c>
      <c r="V168" s="5" t="s">
        <v>1050</v>
      </c>
      <c r="W168" s="5" t="s">
        <v>36</v>
      </c>
      <c r="X168" s="5" t="s">
        <v>180</v>
      </c>
      <c r="Y168" s="5" t="s">
        <v>310</v>
      </c>
      <c r="AA168" s="5" t="s">
        <v>69</v>
      </c>
      <c r="AB168" s="5"/>
      <c r="AC168" s="8" t="str">
        <f>HYPERLINK("https://drive.google.com/file/d/1XqTRwtEaCxpxoQ4VVqWIrKaMdB2jDbZR/view?usp=drivesdk","Abrir_Factura")</f>
        <v>Abrir_Factura</v>
      </c>
    </row>
    <row r="169" spans="1:29" ht="12.5">
      <c r="A169" s="4">
        <v>45994.559609166667</v>
      </c>
      <c r="B169" s="5">
        <v>89901</v>
      </c>
      <c r="C169" s="5">
        <v>1001996028</v>
      </c>
      <c r="D169" s="5" t="s">
        <v>1051</v>
      </c>
      <c r="F169" s="5" t="s">
        <v>1052</v>
      </c>
      <c r="H169" s="5">
        <v>573012518818</v>
      </c>
      <c r="J169" s="5" t="s">
        <v>1053</v>
      </c>
      <c r="K169" s="5" t="s">
        <v>33</v>
      </c>
      <c r="L169" s="5" t="s">
        <v>34</v>
      </c>
      <c r="M169" s="5">
        <v>3012518818</v>
      </c>
      <c r="N169" s="6">
        <v>45994</v>
      </c>
      <c r="O169" s="7">
        <v>0.64583333333333337</v>
      </c>
      <c r="P169" s="5">
        <v>1</v>
      </c>
      <c r="Q169" s="5" t="s">
        <v>309</v>
      </c>
      <c r="R169" s="5">
        <v>80000</v>
      </c>
      <c r="S169" s="5">
        <v>0</v>
      </c>
      <c r="T169" s="5">
        <v>0</v>
      </c>
      <c r="U169" s="5">
        <v>80000</v>
      </c>
      <c r="V169" s="5" t="s">
        <v>1054</v>
      </c>
      <c r="W169" s="5" t="s">
        <v>36</v>
      </c>
      <c r="X169" s="5" t="s">
        <v>67</v>
      </c>
      <c r="Y169" s="5" t="s">
        <v>24</v>
      </c>
      <c r="Z169" s="5" t="s">
        <v>1055</v>
      </c>
      <c r="AA169" s="5" t="s">
        <v>44</v>
      </c>
      <c r="AB169" s="5"/>
      <c r="AC169" s="8" t="str">
        <f>HYPERLINK("https://drive.google.com/file/d/1LLQ8yU7Spol5D1ANtwf3Dye2nB9q_6kR/view?usp=drivesdk","Abrir_Factura")</f>
        <v>Abrir_Factura</v>
      </c>
    </row>
    <row r="170" spans="1:29" ht="12.5">
      <c r="A170" s="4">
        <v>45994.581690243052</v>
      </c>
      <c r="B170" s="5">
        <v>89902</v>
      </c>
      <c r="C170" s="5">
        <v>0</v>
      </c>
      <c r="D170" s="5" t="s">
        <v>332</v>
      </c>
      <c r="F170" s="5" t="s">
        <v>1003</v>
      </c>
      <c r="H170" s="5">
        <v>573143803899</v>
      </c>
      <c r="J170" s="5" t="s">
        <v>1056</v>
      </c>
      <c r="K170" s="5" t="s">
        <v>1057</v>
      </c>
      <c r="L170" s="5" t="s">
        <v>1058</v>
      </c>
      <c r="M170" s="5" t="s">
        <v>1003</v>
      </c>
      <c r="N170" s="6">
        <v>45994</v>
      </c>
      <c r="O170" s="7">
        <v>0.66527777777777775</v>
      </c>
      <c r="P170" s="5">
        <v>1</v>
      </c>
      <c r="Q170" s="5" t="s">
        <v>309</v>
      </c>
      <c r="R170" s="5">
        <v>80000</v>
      </c>
      <c r="S170" s="5">
        <v>15200</v>
      </c>
      <c r="T170" s="5">
        <v>14000</v>
      </c>
      <c r="U170" s="5">
        <v>109200</v>
      </c>
      <c r="V170" s="5" t="s">
        <v>1059</v>
      </c>
      <c r="W170" s="5" t="s">
        <v>36</v>
      </c>
      <c r="X170" s="5" t="s">
        <v>58</v>
      </c>
      <c r="Y170" s="5" t="s">
        <v>24</v>
      </c>
      <c r="Z170" s="5" t="s">
        <v>1060</v>
      </c>
      <c r="AA170" s="5" t="s">
        <v>44</v>
      </c>
      <c r="AB170" s="5" t="s">
        <v>1061</v>
      </c>
      <c r="AC170" s="8" t="str">
        <f>HYPERLINK("https://drive.google.com/file/d/1zQJBwWNGc7BUHc2IhepK7kZYyvNTgbar/view?usp=drivesdk","Abrir_Factura")</f>
        <v>Abrir_Factura</v>
      </c>
    </row>
    <row r="171" spans="1:29" ht="12.5">
      <c r="A171" s="4">
        <v>45994.554501307866</v>
      </c>
      <c r="B171" s="5">
        <v>89903</v>
      </c>
      <c r="C171" s="5">
        <v>1065908030</v>
      </c>
      <c r="D171" s="5" t="s">
        <v>1062</v>
      </c>
      <c r="F171" s="5" t="s">
        <v>1063</v>
      </c>
      <c r="H171" s="5">
        <v>573022603751</v>
      </c>
      <c r="J171" s="5" t="s">
        <v>1064</v>
      </c>
      <c r="K171" s="5" t="s">
        <v>265</v>
      </c>
      <c r="L171" s="5" t="s">
        <v>1065</v>
      </c>
      <c r="M171" s="5" t="s">
        <v>25421</v>
      </c>
      <c r="N171" s="6">
        <v>45995</v>
      </c>
      <c r="O171" s="7">
        <v>0.375</v>
      </c>
      <c r="P171" s="5">
        <v>1</v>
      </c>
      <c r="Q171" s="5" t="s">
        <v>42</v>
      </c>
      <c r="R171" s="5">
        <v>130000</v>
      </c>
      <c r="S171" s="5">
        <v>0</v>
      </c>
      <c r="T171" s="5">
        <v>17000</v>
      </c>
      <c r="U171" s="5">
        <v>147000</v>
      </c>
      <c r="V171" s="5" t="s">
        <v>1066</v>
      </c>
      <c r="W171" s="5" t="s">
        <v>36</v>
      </c>
      <c r="X171" s="5" t="s">
        <v>67</v>
      </c>
      <c r="Y171" s="5" t="s">
        <v>24</v>
      </c>
      <c r="Z171" s="5" t="s">
        <v>1067</v>
      </c>
      <c r="AA171" s="5" t="s">
        <v>69</v>
      </c>
      <c r="AB171" s="5" t="s">
        <v>1068</v>
      </c>
      <c r="AC171" s="8" t="str">
        <f>HYPERLINK("https://drive.google.com/file/d/1UZYGhX1cmPy2UehoSFT0ztenryqsAzy2/view?usp=drivesdk","Abrir_Factura")</f>
        <v>Abrir_Factura</v>
      </c>
    </row>
    <row r="172" spans="1:29" ht="12.5">
      <c r="A172" s="4">
        <v>45994.555208923615</v>
      </c>
      <c r="B172" s="5">
        <v>89904</v>
      </c>
      <c r="C172" s="5">
        <v>1042240441</v>
      </c>
      <c r="D172" s="5" t="s">
        <v>1069</v>
      </c>
      <c r="F172" s="5" t="s">
        <v>1070</v>
      </c>
      <c r="H172" s="5">
        <v>573186158657</v>
      </c>
      <c r="J172" s="5" t="s">
        <v>1071</v>
      </c>
      <c r="K172" s="5" t="s">
        <v>161</v>
      </c>
      <c r="L172" s="5" t="s">
        <v>1072</v>
      </c>
      <c r="M172" s="5">
        <v>3186158657</v>
      </c>
      <c r="N172" s="6">
        <v>45994</v>
      </c>
      <c r="O172" s="7">
        <v>0.63888888888888884</v>
      </c>
      <c r="P172" s="5">
        <v>1</v>
      </c>
      <c r="Q172" s="5" t="s">
        <v>1073</v>
      </c>
      <c r="R172" s="5">
        <v>350000</v>
      </c>
      <c r="S172" s="5">
        <v>0</v>
      </c>
      <c r="T172" s="5">
        <v>8000</v>
      </c>
      <c r="U172" s="5">
        <v>358000</v>
      </c>
      <c r="V172" s="5" t="s">
        <v>1074</v>
      </c>
      <c r="W172" s="5" t="s">
        <v>36</v>
      </c>
      <c r="X172" s="5" t="s">
        <v>180</v>
      </c>
      <c r="Y172" s="5" t="s">
        <v>24</v>
      </c>
      <c r="Z172" s="5" t="s">
        <v>1075</v>
      </c>
      <c r="AA172" s="5" t="s">
        <v>44</v>
      </c>
      <c r="AB172" s="5" t="s">
        <v>1076</v>
      </c>
      <c r="AC172" s="8" t="str">
        <f>HYPERLINK("https://drive.google.com/file/d/1OAJRsws2e5K2kL8GE7248cN3UvULU1mK/view?usp=drivesdk","Abrir_Factura")</f>
        <v>Abrir_Factura</v>
      </c>
    </row>
    <row r="173" spans="1:29" ht="12.5">
      <c r="A173" s="4">
        <v>45994.595817164351</v>
      </c>
      <c r="B173" s="5">
        <v>89905</v>
      </c>
      <c r="C173" s="5">
        <v>22519977</v>
      </c>
      <c r="D173" s="5" t="s">
        <v>1077</v>
      </c>
      <c r="F173" s="5" t="s">
        <v>1078</v>
      </c>
      <c r="H173" s="5">
        <v>573116609022</v>
      </c>
      <c r="J173" s="5" t="s">
        <v>1079</v>
      </c>
      <c r="L173" s="5" t="s">
        <v>1080</v>
      </c>
      <c r="M173" s="5">
        <v>3116609022</v>
      </c>
      <c r="N173" s="6">
        <v>45994</v>
      </c>
      <c r="O173" s="7">
        <v>0.68125000000000002</v>
      </c>
      <c r="P173" s="5">
        <v>1</v>
      </c>
      <c r="Q173" s="5" t="s">
        <v>361</v>
      </c>
      <c r="R173" s="5">
        <v>200000</v>
      </c>
      <c r="S173" s="5">
        <v>0</v>
      </c>
      <c r="T173" s="5"/>
      <c r="U173" s="5">
        <v>200000</v>
      </c>
      <c r="W173" s="5" t="s">
        <v>36</v>
      </c>
      <c r="X173" s="5" t="s">
        <v>43</v>
      </c>
      <c r="Y173" s="5" t="s">
        <v>24</v>
      </c>
      <c r="AA173" s="5" t="s">
        <v>44</v>
      </c>
      <c r="AB173" s="5" t="s">
        <v>1081</v>
      </c>
      <c r="AC173" s="8" t="str">
        <f>HYPERLINK("https://drive.google.com/file/d/1d3jYoV0yUGrT0GtzYKn_BdHeHuYxXgcp/view?usp=drivesdk","Abrir_Factura")</f>
        <v>Abrir_Factura</v>
      </c>
    </row>
    <row r="174" spans="1:29" ht="12.5">
      <c r="A174" s="4">
        <v>45994.598743518523</v>
      </c>
      <c r="B174" s="5">
        <v>89906</v>
      </c>
      <c r="C174" s="5">
        <v>1047217914</v>
      </c>
      <c r="D174" s="5" t="s">
        <v>1082</v>
      </c>
      <c r="F174" s="5" t="s">
        <v>1083</v>
      </c>
      <c r="H174" s="5">
        <v>573174346902</v>
      </c>
      <c r="J174" s="5" t="s">
        <v>1084</v>
      </c>
      <c r="K174" s="5" t="s">
        <v>33</v>
      </c>
      <c r="L174" s="5" t="s">
        <v>34</v>
      </c>
      <c r="M174" s="5">
        <v>3174346902</v>
      </c>
      <c r="N174" s="6">
        <v>45994</v>
      </c>
      <c r="O174" s="7">
        <v>0.68402777777777779</v>
      </c>
      <c r="P174" s="5">
        <v>1</v>
      </c>
      <c r="Q174" s="5" t="s">
        <v>1085</v>
      </c>
      <c r="R174" s="5">
        <v>130000</v>
      </c>
      <c r="S174" s="5">
        <v>0</v>
      </c>
      <c r="T174" s="5">
        <v>0</v>
      </c>
      <c r="U174" s="5">
        <v>130000</v>
      </c>
      <c r="V174" s="5" t="s">
        <v>1086</v>
      </c>
      <c r="W174" s="5" t="s">
        <v>36</v>
      </c>
      <c r="X174" s="5" t="s">
        <v>43</v>
      </c>
      <c r="Y174" s="5" t="s">
        <v>24</v>
      </c>
      <c r="Z174" s="5" t="s">
        <v>1087</v>
      </c>
      <c r="AA174" s="5" t="s">
        <v>44</v>
      </c>
      <c r="AB174" s="5" t="s">
        <v>1088</v>
      </c>
      <c r="AC174" s="8" t="str">
        <f>HYPERLINK("https://drive.google.com/file/d/1BdTkrx6KI1gmaUbc1l5ZkeSe_mbL2pqj/view?usp=drivesdk","Abrir_Factura")</f>
        <v>Abrir_Factura</v>
      </c>
    </row>
    <row r="175" spans="1:29" ht="12.5">
      <c r="A175" s="4">
        <v>45994.605697974534</v>
      </c>
      <c r="B175" s="5">
        <v>89907</v>
      </c>
      <c r="C175" s="5">
        <v>0</v>
      </c>
      <c r="D175" s="5" t="s">
        <v>1089</v>
      </c>
      <c r="F175" s="5" t="s">
        <v>1090</v>
      </c>
      <c r="H175" s="5">
        <v>570000</v>
      </c>
      <c r="J175" s="5" t="s">
        <v>1091</v>
      </c>
      <c r="K175" s="5" t="s">
        <v>33</v>
      </c>
      <c r="L175" s="5" t="s">
        <v>34</v>
      </c>
      <c r="M175" s="10" t="s">
        <v>678</v>
      </c>
      <c r="N175" s="6">
        <v>45994</v>
      </c>
      <c r="O175" s="7">
        <v>0.69166666666666665</v>
      </c>
      <c r="P175" s="5">
        <v>1</v>
      </c>
      <c r="Q175" s="5" t="s">
        <v>42</v>
      </c>
      <c r="R175" s="5">
        <v>98000</v>
      </c>
      <c r="S175" s="5">
        <v>0</v>
      </c>
      <c r="T175" s="5">
        <v>0</v>
      </c>
      <c r="U175" s="5">
        <v>98000</v>
      </c>
      <c r="W175" s="5" t="s">
        <v>36</v>
      </c>
      <c r="X175" s="5" t="s">
        <v>196</v>
      </c>
      <c r="Y175" s="5" t="s">
        <v>24</v>
      </c>
      <c r="AA175" s="5" t="s">
        <v>44</v>
      </c>
      <c r="AB175" s="5" t="s">
        <v>525</v>
      </c>
      <c r="AC175" s="8" t="str">
        <f>HYPERLINK("https://drive.google.com/file/d/1f1aerHTDv2X_HoVPZx3nngtyJNA1pBAH/view?usp=drivesdk","Abrir_Factura")</f>
        <v>Abrir_Factura</v>
      </c>
    </row>
    <row r="176" spans="1:29" ht="12.5">
      <c r="A176" s="4">
        <v>45994.60257318287</v>
      </c>
      <c r="B176" s="5">
        <v>89908</v>
      </c>
      <c r="C176" s="5">
        <v>1044212781</v>
      </c>
      <c r="D176" s="5" t="s">
        <v>1092</v>
      </c>
      <c r="F176" s="5" t="s">
        <v>1093</v>
      </c>
      <c r="H176" s="5">
        <v>573057390852</v>
      </c>
      <c r="J176" s="5" t="s">
        <v>1092</v>
      </c>
      <c r="K176" s="5" t="s">
        <v>249</v>
      </c>
      <c r="L176" s="5" t="s">
        <v>1094</v>
      </c>
      <c r="M176" s="5">
        <v>3057390852</v>
      </c>
      <c r="N176" s="6">
        <v>45995</v>
      </c>
      <c r="O176" s="7">
        <v>0.45833333333333331</v>
      </c>
      <c r="P176" s="5">
        <v>1</v>
      </c>
      <c r="Q176" s="5" t="s">
        <v>649</v>
      </c>
      <c r="R176" s="5">
        <v>180000</v>
      </c>
      <c r="S176" s="5">
        <v>0</v>
      </c>
      <c r="T176" s="5">
        <v>10000</v>
      </c>
      <c r="U176" s="5">
        <v>190000</v>
      </c>
      <c r="V176" s="5" t="s">
        <v>1095</v>
      </c>
      <c r="W176" s="5" t="s">
        <v>36</v>
      </c>
      <c r="X176" s="5" t="s">
        <v>83</v>
      </c>
      <c r="Y176" s="5" t="s">
        <v>24</v>
      </c>
      <c r="Z176" s="5" t="s">
        <v>1096</v>
      </c>
      <c r="AA176" s="5" t="s">
        <v>69</v>
      </c>
      <c r="AB176" s="5" t="s">
        <v>1095</v>
      </c>
      <c r="AC176" s="8" t="str">
        <f>HYPERLINK("https://drive.google.com/file/d/17EgwlJQNsQoQU8tl9VWXn7HHy8MVP8Lf/view?usp=drivesdk","Abrir_Factura")</f>
        <v>Abrir_Factura</v>
      </c>
    </row>
    <row r="177" spans="1:29" ht="12.5">
      <c r="A177" s="4">
        <v>45994.620950428245</v>
      </c>
      <c r="B177" s="5">
        <v>89909</v>
      </c>
      <c r="C177" s="5">
        <v>1140823664</v>
      </c>
      <c r="D177" s="5" t="s">
        <v>1097</v>
      </c>
      <c r="F177" s="5" t="s">
        <v>1098</v>
      </c>
      <c r="H177" s="5">
        <v>573206356110</v>
      </c>
      <c r="J177" s="5" t="s">
        <v>1099</v>
      </c>
      <c r="K177" s="5" t="s">
        <v>1100</v>
      </c>
      <c r="L177" s="5" t="s">
        <v>1101</v>
      </c>
      <c r="M177" s="5">
        <v>3152827179</v>
      </c>
      <c r="N177" s="6">
        <v>45994</v>
      </c>
      <c r="O177" s="7">
        <v>0.70486111111111116</v>
      </c>
      <c r="P177" s="5">
        <v>1</v>
      </c>
      <c r="Q177" s="5" t="s">
        <v>1102</v>
      </c>
      <c r="R177" s="5">
        <v>220000</v>
      </c>
      <c r="S177" s="5">
        <v>0</v>
      </c>
      <c r="T177" s="5">
        <v>13000</v>
      </c>
      <c r="U177" s="5">
        <v>233000</v>
      </c>
      <c r="V177" s="5" t="s">
        <v>1103</v>
      </c>
      <c r="W177" s="5" t="s">
        <v>36</v>
      </c>
      <c r="X177" s="5" t="s">
        <v>83</v>
      </c>
      <c r="Y177" s="5" t="s">
        <v>24</v>
      </c>
      <c r="Z177" s="5" t="s">
        <v>1104</v>
      </c>
      <c r="AA177" s="5" t="s">
        <v>69</v>
      </c>
      <c r="AB177" s="5" t="s">
        <v>1105</v>
      </c>
      <c r="AC177" s="8" t="str">
        <f>HYPERLINK("https://drive.google.com/file/d/1XcRv0u6BZn-2Mi9p8APZ-m8Aytok_7jD/view?usp=drivesdk","Abrir_Factura")</f>
        <v>Abrir_Factura</v>
      </c>
    </row>
    <row r="178" spans="1:29" ht="12.5">
      <c r="A178" s="4">
        <v>45994.60033872685</v>
      </c>
      <c r="B178" s="5">
        <v>89910</v>
      </c>
      <c r="C178" s="5">
        <v>1250825198</v>
      </c>
      <c r="D178" s="5" t="s">
        <v>1106</v>
      </c>
      <c r="F178" s="5" t="s">
        <v>1107</v>
      </c>
      <c r="H178" s="5">
        <v>573126214705</v>
      </c>
      <c r="J178" s="5" t="s">
        <v>1108</v>
      </c>
      <c r="K178" s="5" t="s">
        <v>79</v>
      </c>
      <c r="L178" s="5" t="s">
        <v>1109</v>
      </c>
      <c r="M178" s="5" t="s">
        <v>1110</v>
      </c>
      <c r="N178" s="6">
        <v>45994</v>
      </c>
      <c r="O178" s="7">
        <v>0.67986111111111114</v>
      </c>
      <c r="P178" s="5">
        <v>1</v>
      </c>
      <c r="Q178" s="5" t="s">
        <v>1111</v>
      </c>
      <c r="R178" s="5">
        <v>120000</v>
      </c>
      <c r="S178" s="5">
        <v>0</v>
      </c>
      <c r="T178" s="5">
        <v>10000</v>
      </c>
      <c r="U178" s="5">
        <v>130000</v>
      </c>
      <c r="V178" s="5" t="s">
        <v>1112</v>
      </c>
      <c r="W178" s="5" t="s">
        <v>36</v>
      </c>
      <c r="X178" s="5" t="s">
        <v>67</v>
      </c>
      <c r="Y178" s="5" t="s">
        <v>24</v>
      </c>
      <c r="Z178" s="5" t="s">
        <v>1113</v>
      </c>
      <c r="AA178" s="5" t="s">
        <v>69</v>
      </c>
      <c r="AB178" s="5" t="s">
        <v>1112</v>
      </c>
      <c r="AC178" s="8" t="str">
        <f>HYPERLINK("https://drive.google.com/file/d/13_stfmmIc83fWVQXGHbtnEc_fGCibu2s/view?usp=drivesdk","Abrir_Factura")</f>
        <v>Abrir_Factura</v>
      </c>
    </row>
    <row r="179" spans="1:29" ht="12.5">
      <c r="A179" s="4">
        <v>45994.555512592589</v>
      </c>
      <c r="B179" s="5">
        <v>89911</v>
      </c>
      <c r="C179" s="5">
        <v>1044214177</v>
      </c>
      <c r="D179" s="5" t="s">
        <v>1114</v>
      </c>
      <c r="F179" s="5" t="s">
        <v>1115</v>
      </c>
      <c r="H179" s="5">
        <v>573164457488</v>
      </c>
      <c r="J179" s="5" t="s">
        <v>1116</v>
      </c>
      <c r="K179" s="5"/>
      <c r="L179" s="5" t="s">
        <v>1117</v>
      </c>
      <c r="M179" s="5" t="s">
        <v>1117</v>
      </c>
      <c r="N179" s="6">
        <v>45994</v>
      </c>
      <c r="O179" s="7">
        <v>0.64027777777777772</v>
      </c>
      <c r="P179" s="5">
        <v>1</v>
      </c>
      <c r="Q179" s="5" t="s">
        <v>1118</v>
      </c>
      <c r="R179" s="5">
        <v>100000</v>
      </c>
      <c r="S179" s="5">
        <v>0</v>
      </c>
      <c r="T179" s="5"/>
      <c r="U179" s="5">
        <v>100000</v>
      </c>
      <c r="V179" s="5" t="s">
        <v>1119</v>
      </c>
      <c r="W179" s="5" t="s">
        <v>36</v>
      </c>
      <c r="X179" s="5" t="s">
        <v>67</v>
      </c>
      <c r="Y179" s="5" t="s">
        <v>310</v>
      </c>
      <c r="AA179" s="5" t="s">
        <v>44</v>
      </c>
      <c r="AB179" s="5" t="s">
        <v>1120</v>
      </c>
      <c r="AC179" s="8" t="str">
        <f>HYPERLINK("https://drive.google.com/file/d/13-yItWPDmliHyfjolemQ9i0_HbbvXQbs/view?usp=drivesdk","Abrir_Factura")</f>
        <v>Abrir_Factura</v>
      </c>
    </row>
    <row r="180" spans="1:29" ht="12.5">
      <c r="A180" s="4">
        <v>45994.684237256944</v>
      </c>
      <c r="B180" s="5">
        <v>89912</v>
      </c>
      <c r="C180" s="5">
        <v>1043028906</v>
      </c>
      <c r="D180" s="5" t="s">
        <v>1121</v>
      </c>
      <c r="F180" s="5" t="s">
        <v>1122</v>
      </c>
      <c r="H180" s="5">
        <v>573012278763</v>
      </c>
      <c r="J180" s="5" t="s">
        <v>1123</v>
      </c>
      <c r="K180" s="5" t="s">
        <v>1124</v>
      </c>
      <c r="L180" s="5" t="s">
        <v>1125</v>
      </c>
      <c r="M180" s="5">
        <v>3012278763</v>
      </c>
      <c r="N180" s="6">
        <v>45997</v>
      </c>
      <c r="O180" s="7">
        <v>0.43333333333333335</v>
      </c>
      <c r="P180" s="5">
        <v>1</v>
      </c>
      <c r="Q180" s="5" t="s">
        <v>1126</v>
      </c>
      <c r="R180" s="5">
        <v>300000</v>
      </c>
      <c r="S180" s="5">
        <v>0</v>
      </c>
      <c r="T180" s="5">
        <v>20000</v>
      </c>
      <c r="U180" s="5">
        <v>320000</v>
      </c>
      <c r="W180" s="5" t="s">
        <v>36</v>
      </c>
      <c r="X180" s="5" t="s">
        <v>67</v>
      </c>
      <c r="Y180" s="5" t="s">
        <v>24</v>
      </c>
      <c r="AA180" s="5" t="s">
        <v>44</v>
      </c>
      <c r="AC180" s="8" t="str">
        <f>HYPERLINK("https://drive.google.com/file/d/1mocKn4m6Pckpy0GZ0AVioqlJymjXzeSx/view?usp=drivesdk","Abrir_Factura")</f>
        <v>Abrir_Factura</v>
      </c>
    </row>
    <row r="181" spans="1:29" ht="12.5">
      <c r="A181" s="4">
        <v>45994.705514525464</v>
      </c>
      <c r="B181" s="5">
        <v>89913</v>
      </c>
      <c r="C181" s="5">
        <v>1120751127</v>
      </c>
      <c r="D181" s="5" t="s">
        <v>1127</v>
      </c>
      <c r="F181" s="5" t="s">
        <v>1128</v>
      </c>
      <c r="H181" s="5">
        <v>573015068968</v>
      </c>
      <c r="J181" s="5" t="s">
        <v>1129</v>
      </c>
      <c r="K181" s="5" t="s">
        <v>33</v>
      </c>
      <c r="L181" s="5" t="s">
        <v>34</v>
      </c>
      <c r="M181" s="5">
        <v>3015068968</v>
      </c>
      <c r="N181" s="6">
        <v>45994</v>
      </c>
      <c r="O181" s="7">
        <v>0.79097222222222219</v>
      </c>
      <c r="P181" s="5">
        <v>1</v>
      </c>
      <c r="Q181" s="5" t="s">
        <v>435</v>
      </c>
      <c r="R181" s="5">
        <v>60000</v>
      </c>
      <c r="S181" s="5">
        <v>0</v>
      </c>
      <c r="T181" s="5">
        <v>0</v>
      </c>
      <c r="U181" s="5">
        <v>60000</v>
      </c>
      <c r="W181" s="5" t="s">
        <v>36</v>
      </c>
      <c r="X181" s="5" t="s">
        <v>51</v>
      </c>
      <c r="Y181" s="5" t="s">
        <v>24</v>
      </c>
      <c r="AA181" s="5" t="s">
        <v>44</v>
      </c>
      <c r="AC181" s="8" t="str">
        <f>HYPERLINK("https://drive.google.com/file/d/10R8atdwQg9epuGtNxx6B0xfJM6TwN16C/view?usp=drivesdk","Abrir_Factura")</f>
        <v>Abrir_Factura</v>
      </c>
    </row>
    <row r="182" spans="1:29" ht="12.5">
      <c r="A182" s="4">
        <v>45994.664087488425</v>
      </c>
      <c r="B182" s="5">
        <v>89914</v>
      </c>
      <c r="C182" s="5">
        <v>1095808827</v>
      </c>
      <c r="D182" s="5" t="s">
        <v>1130</v>
      </c>
      <c r="F182" s="5" t="s">
        <v>1131</v>
      </c>
      <c r="H182" s="5">
        <v>614668872291</v>
      </c>
      <c r="J182" s="5" t="s">
        <v>1132</v>
      </c>
      <c r="K182" s="5" t="s">
        <v>185</v>
      </c>
      <c r="L182" s="5" t="s">
        <v>1133</v>
      </c>
      <c r="M182" s="5">
        <v>3187347933</v>
      </c>
      <c r="N182" s="6">
        <v>45996</v>
      </c>
      <c r="O182" s="7">
        <v>0.25</v>
      </c>
      <c r="P182" s="5">
        <v>1</v>
      </c>
      <c r="Q182" s="5" t="s">
        <v>96</v>
      </c>
      <c r="R182" s="5">
        <v>220000</v>
      </c>
      <c r="S182" s="5">
        <v>0</v>
      </c>
      <c r="T182" s="5">
        <v>8000</v>
      </c>
      <c r="U182" s="5">
        <v>228000</v>
      </c>
      <c r="V182" s="5" t="s">
        <v>1134</v>
      </c>
      <c r="W182" s="5" t="s">
        <v>36</v>
      </c>
      <c r="X182" s="5" t="s">
        <v>98</v>
      </c>
      <c r="Y182" s="5" t="s">
        <v>24</v>
      </c>
      <c r="Z182" s="5" t="s">
        <v>1135</v>
      </c>
      <c r="AA182" s="5" t="s">
        <v>44</v>
      </c>
      <c r="AB182" s="5" t="s">
        <v>1134</v>
      </c>
      <c r="AC182" s="8" t="str">
        <f>HYPERLINK("https://drive.google.com/file/d/1xTlqyEr4nzwcjgki05AfNMZCSss7h7ws/view?usp=drivesdk","Abrir_Factura")</f>
        <v>Abrir_Factura</v>
      </c>
    </row>
    <row r="183" spans="1:29" ht="12.5">
      <c r="A183" s="4">
        <v>45994.723998159723</v>
      </c>
      <c r="B183" s="5">
        <v>89915</v>
      </c>
      <c r="C183" s="5">
        <v>1041692783</v>
      </c>
      <c r="D183" s="5" t="s">
        <v>1136</v>
      </c>
      <c r="F183" s="5" t="s">
        <v>1137</v>
      </c>
      <c r="H183" s="5">
        <v>573003734830</v>
      </c>
      <c r="J183" s="5" t="s">
        <v>1138</v>
      </c>
      <c r="K183" s="5" t="s">
        <v>33</v>
      </c>
      <c r="L183" s="5" t="s">
        <v>34</v>
      </c>
      <c r="M183" s="5">
        <v>3003734830</v>
      </c>
      <c r="N183" s="6">
        <v>45994</v>
      </c>
      <c r="O183" s="7">
        <v>0.80972222222222223</v>
      </c>
      <c r="P183" s="5">
        <v>2</v>
      </c>
      <c r="Q183" s="5" t="s">
        <v>1139</v>
      </c>
      <c r="R183" s="5">
        <v>140000</v>
      </c>
      <c r="S183" s="5">
        <v>0</v>
      </c>
      <c r="T183" s="5">
        <v>0</v>
      </c>
      <c r="U183" s="5">
        <v>140000</v>
      </c>
      <c r="W183" s="5" t="s">
        <v>36</v>
      </c>
      <c r="X183" s="5" t="s">
        <v>581</v>
      </c>
      <c r="Y183" s="5" t="s">
        <v>24</v>
      </c>
      <c r="AA183" s="5" t="s">
        <v>44</v>
      </c>
      <c r="AC183" s="8" t="str">
        <f>HYPERLINK("https://drive.google.com/file/d/1Igf4pV28A4yT51ORgZrBqOw5t1zOXJ04/view?usp=drivesdk","Abrir_Factura")</f>
        <v>Abrir_Factura</v>
      </c>
    </row>
    <row r="184" spans="1:29" ht="12.5">
      <c r="A184" s="4">
        <v>45994.733427106483</v>
      </c>
      <c r="B184" s="5">
        <v>89916</v>
      </c>
      <c r="C184" s="5">
        <v>0</v>
      </c>
      <c r="D184" s="5" t="s">
        <v>1140</v>
      </c>
      <c r="F184" s="5" t="s">
        <v>1141</v>
      </c>
      <c r="H184" s="5">
        <v>57000</v>
      </c>
      <c r="J184" s="5" t="s">
        <v>1142</v>
      </c>
      <c r="K184" s="5" t="s">
        <v>33</v>
      </c>
      <c r="L184" s="5" t="s">
        <v>34</v>
      </c>
      <c r="M184" s="5">
        <v>0</v>
      </c>
      <c r="N184" s="6">
        <v>45994</v>
      </c>
      <c r="O184" s="7">
        <v>0.81944444444444442</v>
      </c>
      <c r="P184" s="5">
        <v>1</v>
      </c>
      <c r="Q184" s="5" t="s">
        <v>42</v>
      </c>
      <c r="R184" s="5">
        <v>0</v>
      </c>
      <c r="S184" s="5">
        <v>0</v>
      </c>
      <c r="T184" s="5">
        <v>0</v>
      </c>
      <c r="U184" s="5">
        <v>0</v>
      </c>
      <c r="W184" s="5" t="s">
        <v>36</v>
      </c>
      <c r="X184" s="5" t="s">
        <v>196</v>
      </c>
      <c r="Y184" s="5" t="s">
        <v>24</v>
      </c>
      <c r="AA184" s="5" t="s">
        <v>44</v>
      </c>
      <c r="AB184" s="5" t="s">
        <v>1143</v>
      </c>
      <c r="AC184" s="8" t="str">
        <f>HYPERLINK("https://drive.google.com/file/d/1JNMfCFUambXFWnK_VqCy7bUqC-XGBqCr/view?usp=drivesdk","Abrir_Factura")</f>
        <v>Abrir_Factura</v>
      </c>
    </row>
    <row r="185" spans="1:29" ht="12.5">
      <c r="A185" s="4">
        <v>45994.738538680554</v>
      </c>
      <c r="B185" s="5">
        <v>89917</v>
      </c>
      <c r="C185" s="5">
        <v>1140891609</v>
      </c>
      <c r="D185" s="5" t="s">
        <v>1144</v>
      </c>
      <c r="F185" s="5" t="s">
        <v>1145</v>
      </c>
      <c r="H185" s="5">
        <v>573153514436</v>
      </c>
      <c r="J185" s="5" t="s">
        <v>1146</v>
      </c>
      <c r="K185" s="5" t="s">
        <v>33</v>
      </c>
      <c r="L185" s="5" t="s">
        <v>34</v>
      </c>
      <c r="M185" s="5">
        <v>3153514436</v>
      </c>
      <c r="N185" s="6">
        <v>45994</v>
      </c>
      <c r="O185" s="7">
        <v>0.82430555555555551</v>
      </c>
      <c r="P185" s="5">
        <v>1</v>
      </c>
      <c r="Q185" s="5" t="s">
        <v>42</v>
      </c>
      <c r="R185" s="5">
        <v>0</v>
      </c>
      <c r="S185" s="5">
        <v>0</v>
      </c>
      <c r="T185" s="5">
        <v>0</v>
      </c>
      <c r="U185" s="5">
        <v>0</v>
      </c>
      <c r="W185" s="5" t="s">
        <v>36</v>
      </c>
      <c r="X185" s="5" t="s">
        <v>83</v>
      </c>
      <c r="Y185" s="5" t="s">
        <v>24</v>
      </c>
      <c r="AA185" s="5" t="s">
        <v>69</v>
      </c>
      <c r="AB185" s="5" t="s">
        <v>1147</v>
      </c>
      <c r="AC185" s="8" t="str">
        <f>HYPERLINK("https://drive.google.com/file/d/1f6v_UEox5A2yYC-iPBw5oy7Yjcpl5IHj/view?usp=drivesdk","Abrir_Factura")</f>
        <v>Abrir_Factura</v>
      </c>
    </row>
    <row r="186" spans="1:29" ht="12.5">
      <c r="A186" s="4">
        <v>45994.723032858798</v>
      </c>
      <c r="B186" s="5">
        <v>89918</v>
      </c>
      <c r="C186" s="5">
        <v>57271953</v>
      </c>
      <c r="D186" s="5" t="s">
        <v>1148</v>
      </c>
      <c r="F186" s="5" t="s">
        <v>1149</v>
      </c>
      <c r="H186" s="5">
        <v>573022059486</v>
      </c>
      <c r="J186" s="5" t="s">
        <v>1150</v>
      </c>
      <c r="K186" s="5" t="s">
        <v>73</v>
      </c>
      <c r="L186" s="5" t="s">
        <v>1151</v>
      </c>
      <c r="M186" s="5">
        <v>3022059386</v>
      </c>
      <c r="N186" s="6">
        <v>45994</v>
      </c>
      <c r="O186" s="7">
        <v>0.79861111111111116</v>
      </c>
      <c r="P186" s="5">
        <v>1</v>
      </c>
      <c r="Q186" s="5" t="s">
        <v>65</v>
      </c>
      <c r="R186" s="5">
        <v>70000</v>
      </c>
      <c r="S186" s="5">
        <v>0</v>
      </c>
      <c r="T186" s="5">
        <v>10000</v>
      </c>
      <c r="U186" s="5">
        <v>80000</v>
      </c>
      <c r="V186" s="5" t="s">
        <v>1152</v>
      </c>
      <c r="W186" s="5" t="s">
        <v>36</v>
      </c>
      <c r="X186" s="5" t="s">
        <v>83</v>
      </c>
      <c r="Y186" s="5" t="s">
        <v>24</v>
      </c>
      <c r="Z186" s="5" t="s">
        <v>1153</v>
      </c>
      <c r="AA186" s="5" t="s">
        <v>69</v>
      </c>
      <c r="AB186" s="5" t="s">
        <v>1152</v>
      </c>
      <c r="AC186" s="8" t="str">
        <f>HYPERLINK("https://drive.google.com/file/d/16U7UPgW0o5s8T_pp7UJb6Ty9pXdHpWwA/view?usp=drivesdk","Abrir_Factura")</f>
        <v>Abrir_Factura</v>
      </c>
    </row>
    <row r="187" spans="1:29" ht="12.5">
      <c r="A187" s="4">
        <v>45994.759072673609</v>
      </c>
      <c r="B187" s="5">
        <v>89919</v>
      </c>
      <c r="C187" s="5">
        <v>22580647</v>
      </c>
      <c r="D187" s="5" t="s">
        <v>1154</v>
      </c>
      <c r="F187" s="5" t="s">
        <v>1155</v>
      </c>
      <c r="H187" s="5">
        <v>573116881567</v>
      </c>
      <c r="J187" s="5" t="s">
        <v>1156</v>
      </c>
      <c r="K187" s="5" t="s">
        <v>185</v>
      </c>
      <c r="L187" s="5" t="s">
        <v>1157</v>
      </c>
      <c r="M187" s="5">
        <v>3222222</v>
      </c>
      <c r="N187" s="6">
        <v>45994</v>
      </c>
      <c r="O187" s="7">
        <v>0.84305555555555556</v>
      </c>
      <c r="P187" s="5">
        <v>1</v>
      </c>
      <c r="Q187" s="5" t="s">
        <v>42</v>
      </c>
      <c r="R187" s="5">
        <v>0</v>
      </c>
      <c r="S187" s="5">
        <v>0</v>
      </c>
      <c r="T187" s="5">
        <v>8000</v>
      </c>
      <c r="U187" s="5">
        <v>8000</v>
      </c>
      <c r="W187" s="5" t="s">
        <v>36</v>
      </c>
      <c r="X187" s="5" t="s">
        <v>67</v>
      </c>
      <c r="Y187" s="5" t="s">
        <v>24</v>
      </c>
      <c r="AA187" s="5" t="s">
        <v>44</v>
      </c>
      <c r="AB187" s="5" t="s">
        <v>1158</v>
      </c>
      <c r="AC187" s="8" t="str">
        <f>HYPERLINK("https://drive.google.com/file/d/10LglUyfxgyxzseB95MjR9LCJTYa4BnkH/view?usp=drivesdk","Abrir_Factura")</f>
        <v>Abrir_Factura</v>
      </c>
    </row>
    <row r="188" spans="1:29" ht="12.5">
      <c r="A188" s="4">
        <v>45994.767920983795</v>
      </c>
      <c r="B188" s="5">
        <v>89920</v>
      </c>
      <c r="C188" s="5">
        <v>1041693729</v>
      </c>
      <c r="D188" s="5" t="s">
        <v>1159</v>
      </c>
      <c r="F188" s="5" t="s">
        <v>1160</v>
      </c>
      <c r="H188" s="5">
        <v>573167838031</v>
      </c>
      <c r="J188" s="5" t="s">
        <v>1161</v>
      </c>
      <c r="K188" s="5" t="s">
        <v>33</v>
      </c>
      <c r="L188" s="5" t="s">
        <v>34</v>
      </c>
      <c r="M188" s="5">
        <v>3167838031</v>
      </c>
      <c r="N188" s="6">
        <v>45994</v>
      </c>
      <c r="O188" s="7">
        <v>0.85347222222222219</v>
      </c>
      <c r="P188" s="5">
        <v>1</v>
      </c>
      <c r="Q188" s="5" t="s">
        <v>42</v>
      </c>
      <c r="R188" s="5">
        <v>60000</v>
      </c>
      <c r="S188" s="5">
        <v>0</v>
      </c>
      <c r="T188" s="5">
        <v>0</v>
      </c>
      <c r="U188" s="5">
        <v>60000</v>
      </c>
      <c r="W188" s="5" t="s">
        <v>36</v>
      </c>
      <c r="X188" s="5" t="s">
        <v>51</v>
      </c>
      <c r="Y188" s="5" t="s">
        <v>24</v>
      </c>
      <c r="AA188" s="5" t="s">
        <v>69</v>
      </c>
      <c r="AB188" s="5" t="s">
        <v>1162</v>
      </c>
      <c r="AC188" s="8" t="str">
        <f>HYPERLINK("https://drive.google.com/file/d/15ZVJpRofirLt-tFKW_uCRu_CBLBOthhT/view?usp=drivesdk","Abrir_Factura")</f>
        <v>Abrir_Factura</v>
      </c>
    </row>
    <row r="189" spans="1:29" ht="12.5">
      <c r="A189" s="4">
        <v>45994.784165358797</v>
      </c>
      <c r="B189" s="5">
        <v>89921</v>
      </c>
      <c r="C189" s="5">
        <v>56097548</v>
      </c>
      <c r="D189" s="5" t="s">
        <v>1163</v>
      </c>
      <c r="F189" s="5" t="s">
        <v>1164</v>
      </c>
      <c r="H189" s="5">
        <v>573006714853</v>
      </c>
      <c r="J189" s="5" t="s">
        <v>1165</v>
      </c>
      <c r="K189" s="5" t="s">
        <v>33</v>
      </c>
      <c r="L189" s="5" t="s">
        <v>34</v>
      </c>
      <c r="M189" s="5">
        <v>3006714853</v>
      </c>
      <c r="N189" s="6">
        <v>45994</v>
      </c>
      <c r="O189" s="7">
        <v>0.86944444444444446</v>
      </c>
      <c r="P189" s="5">
        <v>1</v>
      </c>
      <c r="Q189" s="5" t="s">
        <v>42</v>
      </c>
      <c r="R189" s="5">
        <v>0</v>
      </c>
      <c r="S189" s="5">
        <v>0</v>
      </c>
      <c r="T189" s="5">
        <v>0</v>
      </c>
      <c r="U189" s="5">
        <v>0</v>
      </c>
      <c r="W189" s="5" t="s">
        <v>36</v>
      </c>
      <c r="X189" s="5" t="s">
        <v>196</v>
      </c>
      <c r="Y189" s="5" t="s">
        <v>24</v>
      </c>
      <c r="AA189" s="5" t="s">
        <v>44</v>
      </c>
      <c r="AB189" s="5" t="s">
        <v>525</v>
      </c>
      <c r="AC189" s="8" t="str">
        <f>HYPERLINK("https://drive.google.com/file/d/1RJlHwk2qeD7snUz8SVPtiCZ6zUnyBn1A/view?usp=drivesdk","Abrir_Factura")</f>
        <v>Abrir_Factura</v>
      </c>
    </row>
    <row r="190" spans="1:29" ht="12.5">
      <c r="A190" s="4">
        <v>45995.311468645828</v>
      </c>
      <c r="B190" s="5">
        <v>89922</v>
      </c>
      <c r="C190" s="5">
        <v>72289322</v>
      </c>
      <c r="D190" s="5" t="s">
        <v>1166</v>
      </c>
      <c r="F190" s="5" t="s">
        <v>1167</v>
      </c>
      <c r="H190" s="5">
        <v>573042024736</v>
      </c>
      <c r="J190" s="5" t="s">
        <v>1168</v>
      </c>
      <c r="K190" s="5" t="s">
        <v>73</v>
      </c>
      <c r="L190" s="5" t="s">
        <v>1169</v>
      </c>
      <c r="M190" s="5">
        <v>3017607112</v>
      </c>
      <c r="N190" s="6">
        <v>45995</v>
      </c>
      <c r="O190" s="7">
        <v>0.39652777777777776</v>
      </c>
      <c r="P190" s="5">
        <v>1</v>
      </c>
      <c r="Q190" s="5" t="s">
        <v>170</v>
      </c>
      <c r="R190" s="5">
        <v>300000</v>
      </c>
      <c r="S190" s="5">
        <v>0</v>
      </c>
      <c r="T190" s="5">
        <v>10000</v>
      </c>
      <c r="U190" s="5">
        <v>310000</v>
      </c>
      <c r="V190" s="5" t="s">
        <v>1170</v>
      </c>
      <c r="W190" s="5" t="s">
        <v>36</v>
      </c>
      <c r="X190" s="5" t="s">
        <v>83</v>
      </c>
      <c r="Y190" s="5" t="s">
        <v>24</v>
      </c>
      <c r="Z190" s="5" t="s">
        <v>1171</v>
      </c>
      <c r="AA190" s="5" t="s">
        <v>44</v>
      </c>
      <c r="AB190" s="5" t="s">
        <v>1172</v>
      </c>
      <c r="AC190" s="8" t="str">
        <f>HYPERLINK("https://drive.google.com/file/d/1UJQ4TxRpHFR5Csz-M6BkrOmt8OgkyL4r/view?usp=drivesdk","Abrir_Factura")</f>
        <v>Abrir_Factura</v>
      </c>
    </row>
    <row r="191" spans="1:29" ht="12.5">
      <c r="A191" s="4">
        <v>45995.344229421295</v>
      </c>
      <c r="B191" s="5">
        <v>89923</v>
      </c>
      <c r="C191" s="5">
        <v>0</v>
      </c>
      <c r="D191" s="5" t="s">
        <v>1173</v>
      </c>
      <c r="F191" s="5" t="s">
        <v>1174</v>
      </c>
      <c r="H191" s="5">
        <v>570000</v>
      </c>
      <c r="J191" s="5" t="s">
        <v>1175</v>
      </c>
      <c r="L191" s="5" t="s">
        <v>1176</v>
      </c>
      <c r="M191" s="5">
        <v>0</v>
      </c>
      <c r="N191" s="6">
        <v>45995</v>
      </c>
      <c r="O191" s="7">
        <v>0.42986111111111114</v>
      </c>
      <c r="P191" s="5">
        <v>3</v>
      </c>
      <c r="Q191" s="5" t="s">
        <v>42</v>
      </c>
      <c r="R191" s="5">
        <v>300000</v>
      </c>
      <c r="S191" s="5">
        <v>0</v>
      </c>
      <c r="T191" s="5"/>
      <c r="U191" s="5">
        <v>300000</v>
      </c>
      <c r="W191" s="5" t="s">
        <v>36</v>
      </c>
      <c r="X191" s="5" t="s">
        <v>43</v>
      </c>
      <c r="Y191" s="5" t="s">
        <v>24</v>
      </c>
      <c r="AA191" s="5" t="s">
        <v>44</v>
      </c>
      <c r="AB191" s="5" t="s">
        <v>1177</v>
      </c>
      <c r="AC191" s="8" t="str">
        <f>HYPERLINK("https://drive.google.com/file/d/1Itu0cGLOGBufhSA1XFr77xDdPxpG-6TC/view?usp=drivesdk","Abrir_Factura")</f>
        <v>Abrir_Factura</v>
      </c>
    </row>
    <row r="192" spans="1:29" ht="12.5">
      <c r="A192" s="4">
        <v>45995.341218773145</v>
      </c>
      <c r="B192" s="5">
        <v>89924</v>
      </c>
      <c r="C192" s="5">
        <v>901326861</v>
      </c>
      <c r="D192" s="5" t="s">
        <v>1178</v>
      </c>
      <c r="F192" s="5" t="s">
        <v>1179</v>
      </c>
      <c r="H192" s="5">
        <v>573225116069</v>
      </c>
      <c r="J192" s="5" t="s">
        <v>1180</v>
      </c>
      <c r="L192" s="5" t="s">
        <v>1181</v>
      </c>
      <c r="M192" s="5">
        <v>3225116069</v>
      </c>
      <c r="N192" s="6">
        <v>45996</v>
      </c>
      <c r="O192" s="7">
        <v>0.42430555555555555</v>
      </c>
      <c r="P192" s="5">
        <v>1</v>
      </c>
      <c r="Q192" s="5" t="s">
        <v>251</v>
      </c>
      <c r="R192" s="5">
        <v>170000</v>
      </c>
      <c r="S192" s="5">
        <v>32300</v>
      </c>
      <c r="T192" s="5"/>
      <c r="U192" s="5">
        <v>202300</v>
      </c>
      <c r="V192" s="5" t="s">
        <v>1182</v>
      </c>
      <c r="W192" s="5" t="s">
        <v>36</v>
      </c>
      <c r="X192" s="5" t="s">
        <v>83</v>
      </c>
      <c r="Y192" s="5" t="s">
        <v>24</v>
      </c>
      <c r="Z192" s="5" t="s">
        <v>1183</v>
      </c>
      <c r="AA192" s="5" t="s">
        <v>69</v>
      </c>
      <c r="AB192" s="5" t="s">
        <v>1182</v>
      </c>
      <c r="AC192" s="8" t="str">
        <f>HYPERLINK("https://drive.google.com/file/d/10VRnz3EG0YgtsVmflpBVxQBHWzPKhzoC/view?usp=drivesdk","Abrir_Factura")</f>
        <v>Abrir_Factura</v>
      </c>
    </row>
    <row r="193" spans="1:29" ht="12.5">
      <c r="A193" s="4">
        <v>45995.369051469912</v>
      </c>
      <c r="B193" s="5">
        <v>89925</v>
      </c>
      <c r="C193" s="5">
        <v>1140864822</v>
      </c>
      <c r="D193" s="5" t="s">
        <v>1184</v>
      </c>
      <c r="F193" s="5" t="s">
        <v>1185</v>
      </c>
      <c r="H193" s="5">
        <v>573232211447</v>
      </c>
      <c r="J193" s="5" t="s">
        <v>1186</v>
      </c>
      <c r="K193" s="5" t="s">
        <v>1187</v>
      </c>
      <c r="L193" s="5" t="s">
        <v>1188</v>
      </c>
      <c r="M193" s="5" t="s">
        <v>1189</v>
      </c>
      <c r="N193" s="6">
        <v>45995</v>
      </c>
      <c r="O193" s="7">
        <v>0.45833333333333331</v>
      </c>
      <c r="P193" s="5">
        <v>1</v>
      </c>
      <c r="Q193" s="5" t="s">
        <v>1190</v>
      </c>
      <c r="R193" s="5">
        <v>70000</v>
      </c>
      <c r="S193" s="5">
        <v>0</v>
      </c>
      <c r="T193" s="5">
        <v>25000</v>
      </c>
      <c r="U193" s="5">
        <v>95000</v>
      </c>
      <c r="V193" s="5" t="s">
        <v>1191</v>
      </c>
      <c r="W193" s="5" t="s">
        <v>36</v>
      </c>
      <c r="X193" s="5" t="s">
        <v>67</v>
      </c>
      <c r="Y193" s="5" t="s">
        <v>24</v>
      </c>
      <c r="Z193" s="5" t="s">
        <v>1192</v>
      </c>
      <c r="AA193" s="5" t="s">
        <v>44</v>
      </c>
      <c r="AB193" s="5" t="s">
        <v>1193</v>
      </c>
      <c r="AC193" s="8" t="str">
        <f>HYPERLINK("https://drive.google.com/file/d/1fFfP7UI6U9CjorSnEEebLGwzKtv2TvoA/view?usp=drivesdk","Abrir_Factura")</f>
        <v>Abrir_Factura</v>
      </c>
    </row>
    <row r="194" spans="1:29" ht="12.5">
      <c r="A194" s="4">
        <v>45995.404421643514</v>
      </c>
      <c r="B194" s="5">
        <v>89926</v>
      </c>
      <c r="C194" s="5">
        <v>1129569891</v>
      </c>
      <c r="D194" s="5" t="s">
        <v>1194</v>
      </c>
      <c r="F194" s="5" t="s">
        <v>399</v>
      </c>
      <c r="H194" s="5">
        <v>57245677847</v>
      </c>
      <c r="J194" s="5" t="s">
        <v>1195</v>
      </c>
      <c r="K194" s="5" t="s">
        <v>79</v>
      </c>
      <c r="L194" s="5" t="s">
        <v>1196</v>
      </c>
      <c r="M194" s="5" t="s">
        <v>25421</v>
      </c>
      <c r="N194" s="6">
        <v>45995</v>
      </c>
      <c r="O194" s="7">
        <v>0.5</v>
      </c>
      <c r="P194" s="5">
        <v>1</v>
      </c>
      <c r="Q194" s="5" t="s">
        <v>384</v>
      </c>
      <c r="R194" s="5">
        <v>180000</v>
      </c>
      <c r="S194" s="5">
        <v>0</v>
      </c>
      <c r="T194" s="5">
        <v>10000</v>
      </c>
      <c r="U194" s="5">
        <v>190000</v>
      </c>
      <c r="V194" s="5" t="s">
        <v>1197</v>
      </c>
      <c r="W194" s="5" t="s">
        <v>36</v>
      </c>
      <c r="X194" s="5" t="s">
        <v>83</v>
      </c>
      <c r="Y194" s="5" t="s">
        <v>24</v>
      </c>
      <c r="Z194" s="5" t="s">
        <v>1198</v>
      </c>
      <c r="AA194" s="5" t="s">
        <v>44</v>
      </c>
      <c r="AB194" s="5" t="s">
        <v>1199</v>
      </c>
      <c r="AC194" s="8" t="str">
        <f>HYPERLINK("https://drive.google.com/file/d/1woz2L1z7D_Fs45pB3MO3UtTCKlUi9ZXO/view?usp=drivesdk","Abrir_Factura")</f>
        <v>Abrir_Factura</v>
      </c>
    </row>
    <row r="195" spans="1:29" ht="12.5">
      <c r="A195" s="4">
        <v>45995.426386516207</v>
      </c>
      <c r="B195" s="5">
        <v>89927</v>
      </c>
      <c r="C195" s="5">
        <v>7918938</v>
      </c>
      <c r="D195" s="5" t="s">
        <v>1200</v>
      </c>
      <c r="F195" s="5" t="s">
        <v>1201</v>
      </c>
      <c r="H195" s="5">
        <v>573232885661</v>
      </c>
      <c r="J195" s="5" t="s">
        <v>1202</v>
      </c>
      <c r="K195" s="5" t="s">
        <v>33</v>
      </c>
      <c r="L195" s="5" t="s">
        <v>34</v>
      </c>
      <c r="M195" s="5">
        <v>3232885661</v>
      </c>
      <c r="N195" s="6">
        <v>45995</v>
      </c>
      <c r="O195" s="7">
        <v>0.51249999999999996</v>
      </c>
      <c r="P195" s="5">
        <v>1</v>
      </c>
      <c r="Q195" s="5" t="s">
        <v>1203</v>
      </c>
      <c r="R195" s="5">
        <v>300000</v>
      </c>
      <c r="S195" s="5">
        <v>0</v>
      </c>
      <c r="T195" s="5">
        <v>0</v>
      </c>
      <c r="U195" s="5">
        <v>300000</v>
      </c>
      <c r="W195" s="5" t="s">
        <v>36</v>
      </c>
      <c r="X195" s="5" t="s">
        <v>51</v>
      </c>
      <c r="Y195" s="5" t="s">
        <v>24</v>
      </c>
      <c r="AA195" s="5" t="s">
        <v>44</v>
      </c>
      <c r="AC195" s="8" t="str">
        <f>HYPERLINK("https://drive.google.com/file/d/1btc7EQSJxncd7G1SdOy3wU25IYjHaCGN/view?usp=drivesdk","Abrir_Factura")</f>
        <v>Abrir_Factura</v>
      </c>
    </row>
    <row r="196" spans="1:29" ht="12.5">
      <c r="A196" s="4">
        <v>45995.41118278935</v>
      </c>
      <c r="B196" s="5">
        <v>89928</v>
      </c>
      <c r="C196" s="5">
        <v>1140818372</v>
      </c>
      <c r="D196" s="5" t="s">
        <v>1204</v>
      </c>
      <c r="F196" s="5" t="s">
        <v>1205</v>
      </c>
      <c r="H196" s="5">
        <v>5748153</v>
      </c>
      <c r="J196" s="5" t="s">
        <v>1206</v>
      </c>
      <c r="K196" s="5" t="s">
        <v>63</v>
      </c>
      <c r="L196" s="5" t="s">
        <v>1207</v>
      </c>
      <c r="M196" s="5">
        <v>3160572152</v>
      </c>
      <c r="N196" s="6">
        <v>45996</v>
      </c>
      <c r="O196" s="7">
        <v>0.375</v>
      </c>
      <c r="P196" s="5">
        <v>1</v>
      </c>
      <c r="Q196" s="5" t="s">
        <v>1102</v>
      </c>
      <c r="R196" s="5">
        <v>220000</v>
      </c>
      <c r="S196" s="5">
        <v>0</v>
      </c>
      <c r="T196" s="5">
        <v>17000</v>
      </c>
      <c r="U196" s="5">
        <v>237000</v>
      </c>
      <c r="V196" s="5" t="s">
        <v>1208</v>
      </c>
      <c r="W196" s="5" t="s">
        <v>36</v>
      </c>
      <c r="X196" s="5" t="s">
        <v>83</v>
      </c>
      <c r="Y196" s="5" t="s">
        <v>24</v>
      </c>
      <c r="Z196" s="5" t="s">
        <v>1209</v>
      </c>
      <c r="AA196" s="5" t="s">
        <v>44</v>
      </c>
      <c r="AB196" s="5" t="s">
        <v>1208</v>
      </c>
      <c r="AC196" s="8" t="str">
        <f>HYPERLINK("https://drive.google.com/file/d/1dLJonUt-Li5KVFACzyosDMbuFR8YWpl2/view?usp=drivesdk","Abrir_Factura")</f>
        <v>Abrir_Factura</v>
      </c>
    </row>
    <row r="197" spans="1:29" ht="12.5">
      <c r="A197" s="4">
        <v>45995.432754409718</v>
      </c>
      <c r="B197" s="5">
        <v>89929</v>
      </c>
      <c r="C197" s="5">
        <v>1140874011</v>
      </c>
      <c r="D197" s="5" t="s">
        <v>1210</v>
      </c>
      <c r="F197" s="5" t="s">
        <v>1211</v>
      </c>
      <c r="H197" s="5">
        <v>573015759829</v>
      </c>
      <c r="J197" s="5" t="s">
        <v>1212</v>
      </c>
      <c r="K197" s="5" t="s">
        <v>563</v>
      </c>
      <c r="L197" s="5" t="s">
        <v>1213</v>
      </c>
      <c r="M197" s="5">
        <v>573015759829</v>
      </c>
      <c r="N197" s="6">
        <v>45995</v>
      </c>
      <c r="O197" s="7">
        <v>0.58680555555555558</v>
      </c>
      <c r="P197" s="5">
        <v>1</v>
      </c>
      <c r="Q197" s="5" t="s">
        <v>309</v>
      </c>
      <c r="R197" s="5">
        <v>80000</v>
      </c>
      <c r="S197" s="5">
        <v>0</v>
      </c>
      <c r="T197" s="5">
        <v>12000</v>
      </c>
      <c r="U197" s="5">
        <v>92000</v>
      </c>
      <c r="V197" s="5" t="s">
        <v>1214</v>
      </c>
      <c r="W197" s="5" t="s">
        <v>36</v>
      </c>
      <c r="X197" s="5" t="s">
        <v>83</v>
      </c>
      <c r="Y197" s="5" t="s">
        <v>24</v>
      </c>
      <c r="Z197" s="5" t="s">
        <v>1215</v>
      </c>
      <c r="AA197" s="5" t="s">
        <v>69</v>
      </c>
      <c r="AB197" s="5"/>
      <c r="AC197" s="8" t="str">
        <f>HYPERLINK("https://drive.google.com/file/d/1Y_WnsYWK4dD3SyOnce-mKOhMtOhGn-SB/view?usp=drivesdk","Abrir_Factura")</f>
        <v>Abrir_Factura</v>
      </c>
    </row>
    <row r="198" spans="1:29" ht="12.5">
      <c r="A198" s="4">
        <v>45995.421509675929</v>
      </c>
      <c r="B198" s="5">
        <v>89930</v>
      </c>
      <c r="C198" s="5">
        <v>1140829239</v>
      </c>
      <c r="D198" s="5" t="s">
        <v>1216</v>
      </c>
      <c r="F198" s="5" t="s">
        <v>1217</v>
      </c>
      <c r="H198" s="5">
        <v>573174293590</v>
      </c>
      <c r="J198" s="5" t="s">
        <v>1218</v>
      </c>
      <c r="L198" s="5" t="s">
        <v>1219</v>
      </c>
      <c r="M198" s="5">
        <v>3157555757</v>
      </c>
      <c r="N198" s="6">
        <v>45995</v>
      </c>
      <c r="O198" s="7">
        <v>0.67222222222222228</v>
      </c>
      <c r="P198" s="5">
        <v>1</v>
      </c>
      <c r="Q198" s="5" t="s">
        <v>361</v>
      </c>
      <c r="R198" s="5">
        <v>200000</v>
      </c>
      <c r="S198" s="5">
        <v>0</v>
      </c>
      <c r="T198" s="5"/>
      <c r="U198" s="5">
        <v>200000</v>
      </c>
      <c r="V198" s="5" t="s">
        <v>1220</v>
      </c>
      <c r="W198" s="5" t="s">
        <v>36</v>
      </c>
      <c r="X198" s="5" t="s">
        <v>204</v>
      </c>
      <c r="Y198" s="5" t="s">
        <v>24</v>
      </c>
      <c r="AA198" s="5" t="s">
        <v>44</v>
      </c>
      <c r="AB198" s="5" t="s">
        <v>1220</v>
      </c>
      <c r="AC198" s="8" t="str">
        <f>HYPERLINK("https://drive.google.com/file/d/1kbBbNCkseo_DvpEfaXvtWWfj_ASY5iyz/view?usp=drivesdk","Abrir_Factura")</f>
        <v>Abrir_Factura</v>
      </c>
    </row>
    <row r="199" spans="1:29" ht="12.5">
      <c r="A199" s="4">
        <v>45995.395424861112</v>
      </c>
      <c r="B199" s="5">
        <v>89931</v>
      </c>
      <c r="C199" s="5">
        <v>1051363393</v>
      </c>
      <c r="D199" s="5" t="s">
        <v>486</v>
      </c>
      <c r="F199" s="5" t="s">
        <v>1221</v>
      </c>
      <c r="H199" s="5">
        <v>573244711392</v>
      </c>
      <c r="J199" s="5" t="s">
        <v>1222</v>
      </c>
      <c r="K199" s="5" t="s">
        <v>33</v>
      </c>
      <c r="L199" s="5" t="s">
        <v>34</v>
      </c>
      <c r="M199" s="5">
        <v>573244711392</v>
      </c>
      <c r="N199" s="6">
        <v>45995</v>
      </c>
      <c r="O199" s="7">
        <v>0.51944444444444449</v>
      </c>
      <c r="P199" s="5">
        <v>1</v>
      </c>
      <c r="Q199" s="5" t="s">
        <v>75</v>
      </c>
      <c r="R199" s="5">
        <v>70000</v>
      </c>
      <c r="S199" s="5">
        <v>0</v>
      </c>
      <c r="T199" s="5">
        <v>0</v>
      </c>
      <c r="U199" s="5">
        <v>70000</v>
      </c>
      <c r="V199" s="5" t="s">
        <v>1223</v>
      </c>
      <c r="W199" s="5" t="s">
        <v>36</v>
      </c>
      <c r="X199" s="5" t="s">
        <v>67</v>
      </c>
      <c r="Y199" s="5" t="s">
        <v>24</v>
      </c>
      <c r="Z199" s="5" t="s">
        <v>1224</v>
      </c>
      <c r="AA199" s="5" t="s">
        <v>44</v>
      </c>
      <c r="AB199" s="5" t="s">
        <v>1223</v>
      </c>
      <c r="AC199" s="8" t="str">
        <f>HYPERLINK("https://drive.google.com/file/d/1scaWCZ2gy1_x5B3YlS8N8firrTAyojAm/view?usp=drivesdk","Abrir_Factura")</f>
        <v>Abrir_Factura</v>
      </c>
    </row>
    <row r="200" spans="1:29" ht="12.5">
      <c r="A200" s="4">
        <v>45995.451804224533</v>
      </c>
      <c r="B200" s="5">
        <v>89932</v>
      </c>
      <c r="C200" s="5">
        <v>32755032</v>
      </c>
      <c r="D200" s="5" t="s">
        <v>1225</v>
      </c>
      <c r="F200" s="5" t="s">
        <v>1226</v>
      </c>
      <c r="H200" s="5">
        <v>573145428123</v>
      </c>
      <c r="J200" s="5" t="s">
        <v>1227</v>
      </c>
      <c r="K200" s="5" t="s">
        <v>110</v>
      </c>
      <c r="L200" s="5" t="s">
        <v>1228</v>
      </c>
      <c r="M200" s="5">
        <v>3145428123</v>
      </c>
      <c r="N200" s="6">
        <v>45995</v>
      </c>
      <c r="O200" s="7">
        <v>0.58333333333333337</v>
      </c>
      <c r="P200" s="5">
        <v>1</v>
      </c>
      <c r="Q200" s="5" t="s">
        <v>42</v>
      </c>
      <c r="R200" s="5">
        <v>120000</v>
      </c>
      <c r="S200" s="5">
        <v>0</v>
      </c>
      <c r="T200" s="5">
        <v>6000</v>
      </c>
      <c r="U200" s="5">
        <v>126000</v>
      </c>
      <c r="V200" s="5" t="s">
        <v>1229</v>
      </c>
      <c r="W200" s="5" t="s">
        <v>36</v>
      </c>
      <c r="X200" s="5" t="s">
        <v>83</v>
      </c>
      <c r="Y200" s="5" t="s">
        <v>24</v>
      </c>
      <c r="AA200" s="5" t="s">
        <v>44</v>
      </c>
      <c r="AB200" s="5" t="s">
        <v>1230</v>
      </c>
      <c r="AC200" s="8" t="str">
        <f>HYPERLINK("https://drive.google.com/file/d/1ch-LNq45Qm_OdLTN4BIKynBOxI9eAr4f/view?usp=drivesdk", "Abrir_Factura")</f>
        <v>Abrir_Factura</v>
      </c>
    </row>
    <row r="201" spans="1:29" ht="12.5">
      <c r="A201" s="4">
        <v>45995.462617974539</v>
      </c>
      <c r="B201" s="5">
        <v>89933</v>
      </c>
      <c r="C201" s="5">
        <v>0</v>
      </c>
      <c r="D201" s="5" t="s">
        <v>1231</v>
      </c>
      <c r="F201" s="5" t="s">
        <v>1231</v>
      </c>
      <c r="H201" s="5">
        <v>5700000</v>
      </c>
      <c r="J201" s="5" t="s">
        <v>1231</v>
      </c>
      <c r="K201" s="5" t="s">
        <v>33</v>
      </c>
      <c r="L201" s="5" t="s">
        <v>34</v>
      </c>
      <c r="M201" s="10" t="s">
        <v>678</v>
      </c>
      <c r="N201" s="6">
        <v>45997</v>
      </c>
      <c r="O201" s="7">
        <v>0.21249999999999999</v>
      </c>
      <c r="P201" s="5">
        <v>3</v>
      </c>
      <c r="Q201" s="5" t="s">
        <v>42</v>
      </c>
      <c r="R201" s="5">
        <v>0</v>
      </c>
      <c r="S201" s="5">
        <v>0</v>
      </c>
      <c r="T201" s="5">
        <v>0</v>
      </c>
      <c r="U201" s="5">
        <v>0</v>
      </c>
      <c r="W201" s="5" t="s">
        <v>36</v>
      </c>
      <c r="X201" s="5" t="s">
        <v>43</v>
      </c>
      <c r="Y201" s="5" t="s">
        <v>24</v>
      </c>
      <c r="AA201" s="5" t="s">
        <v>44</v>
      </c>
      <c r="AB201" s="5" t="s">
        <v>1232</v>
      </c>
      <c r="AC201" s="8" t="str">
        <f>HYPERLINK("https://drive.google.com/file/d/1XNBNonjEbMuLLbFo1HJsTTSsA4foDNHs/view?usp=drivesdk","Abrir_Factura")</f>
        <v>Abrir_Factura</v>
      </c>
    </row>
    <row r="202" spans="1:29" ht="12.5">
      <c r="A202" s="4">
        <v>45995.482593703702</v>
      </c>
      <c r="B202" s="5">
        <v>89934</v>
      </c>
      <c r="C202" s="5">
        <v>0</v>
      </c>
      <c r="D202" s="5" t="s">
        <v>1233</v>
      </c>
      <c r="F202" s="5" t="s">
        <v>1234</v>
      </c>
      <c r="H202" s="5">
        <v>570000</v>
      </c>
      <c r="J202" s="5" t="s">
        <v>1235</v>
      </c>
      <c r="K202" s="5" t="s">
        <v>33</v>
      </c>
      <c r="L202" s="5" t="s">
        <v>34</v>
      </c>
      <c r="M202" s="5">
        <v>0</v>
      </c>
      <c r="N202" s="6">
        <v>45995</v>
      </c>
      <c r="O202" s="7">
        <v>0.56874999999999998</v>
      </c>
      <c r="P202" s="5">
        <v>1</v>
      </c>
      <c r="Q202" s="5" t="s">
        <v>42</v>
      </c>
      <c r="R202" s="5">
        <v>0</v>
      </c>
      <c r="S202" s="5">
        <v>0</v>
      </c>
      <c r="T202" s="5">
        <v>0</v>
      </c>
      <c r="U202" s="5">
        <v>0</v>
      </c>
      <c r="W202" s="5" t="s">
        <v>36</v>
      </c>
      <c r="X202" s="5" t="s">
        <v>51</v>
      </c>
      <c r="Y202" s="5" t="s">
        <v>24</v>
      </c>
      <c r="AA202" s="5" t="s">
        <v>44</v>
      </c>
      <c r="AB202" s="5" t="s">
        <v>525</v>
      </c>
      <c r="AC202" s="8" t="str">
        <f>HYPERLINK("https://drive.google.com/file/d/1AUagdhA3Z1vO1Bia3DXUQigk_nGinqy0/view?usp=drivesdk","Abrir_Factura")</f>
        <v>Abrir_Factura</v>
      </c>
    </row>
    <row r="203" spans="1:29" ht="12.5">
      <c r="A203" s="4">
        <v>45995.463438576393</v>
      </c>
      <c r="B203" s="5">
        <v>89935</v>
      </c>
      <c r="C203" s="5">
        <v>79944407</v>
      </c>
      <c r="D203" s="5" t="s">
        <v>338</v>
      </c>
      <c r="F203" s="5" t="s">
        <v>1236</v>
      </c>
      <c r="H203" s="5">
        <v>573014529328</v>
      </c>
      <c r="J203" s="5" t="s">
        <v>1237</v>
      </c>
      <c r="K203" s="5" t="s">
        <v>154</v>
      </c>
      <c r="L203" s="5" t="s">
        <v>1238</v>
      </c>
      <c r="M203" s="5">
        <v>573014529328</v>
      </c>
      <c r="N203" s="6">
        <v>45995</v>
      </c>
      <c r="O203" s="7">
        <v>0.52013888888888893</v>
      </c>
      <c r="P203" s="5">
        <v>1</v>
      </c>
      <c r="Q203" s="5" t="s">
        <v>322</v>
      </c>
      <c r="R203" s="5">
        <v>120000</v>
      </c>
      <c r="S203" s="5">
        <v>0</v>
      </c>
      <c r="T203" s="5">
        <v>8000</v>
      </c>
      <c r="U203" s="5">
        <v>128000</v>
      </c>
      <c r="V203" s="5" t="s">
        <v>1239</v>
      </c>
      <c r="W203" s="5" t="s">
        <v>36</v>
      </c>
      <c r="X203" s="5" t="s">
        <v>83</v>
      </c>
      <c r="Y203" s="5" t="s">
        <v>24</v>
      </c>
      <c r="Z203" s="5" t="s">
        <v>1240</v>
      </c>
      <c r="AA203" s="5" t="s">
        <v>44</v>
      </c>
      <c r="AB203" s="5" t="s">
        <v>1239</v>
      </c>
      <c r="AC203" s="8" t="str">
        <f>HYPERLINK("https://drive.google.com/file/d/17nZSHjSLdYearNE-OrGHcoptjqv5YYCW/view?usp=drivesdk","Abrir_Factura")</f>
        <v>Abrir_Factura</v>
      </c>
    </row>
    <row r="204" spans="1:29" ht="12.5">
      <c r="A204" s="4">
        <v>45995.484474571756</v>
      </c>
      <c r="B204" s="5">
        <v>89936</v>
      </c>
      <c r="C204" s="5">
        <v>1020822269</v>
      </c>
      <c r="D204" s="5" t="s">
        <v>1241</v>
      </c>
      <c r="F204" s="5" t="s">
        <v>1242</v>
      </c>
      <c r="H204" s="5">
        <v>573213435320</v>
      </c>
      <c r="J204" s="5" t="s">
        <v>1243</v>
      </c>
      <c r="K204" s="5" t="s">
        <v>146</v>
      </c>
      <c r="L204" s="5" t="s">
        <v>1244</v>
      </c>
      <c r="M204" s="5" t="s">
        <v>25421</v>
      </c>
      <c r="N204" s="6">
        <v>45995</v>
      </c>
      <c r="O204" s="7">
        <v>0.66666666666666663</v>
      </c>
      <c r="P204" s="5">
        <v>1</v>
      </c>
      <c r="Q204" s="5" t="s">
        <v>170</v>
      </c>
      <c r="R204" s="5">
        <v>300000</v>
      </c>
      <c r="S204" s="5">
        <v>0</v>
      </c>
      <c r="T204" s="5">
        <v>12000</v>
      </c>
      <c r="U204" s="5">
        <v>312000</v>
      </c>
      <c r="V204" s="5" t="s">
        <v>1245</v>
      </c>
      <c r="W204" s="5" t="s">
        <v>36</v>
      </c>
      <c r="X204" s="5" t="s">
        <v>83</v>
      </c>
      <c r="Y204" s="5" t="s">
        <v>310</v>
      </c>
      <c r="AA204" s="5" t="s">
        <v>69</v>
      </c>
      <c r="AB204" s="5" t="s">
        <v>1245</v>
      </c>
      <c r="AC204" s="8" t="str">
        <f>HYPERLINK("https://drive.google.com/file/d/1j5-CnMywqXl9MDlcEpu6NjgbmgqYnlPM/view?usp=drivesdk","Abrir_Factura")</f>
        <v>Abrir_Factura</v>
      </c>
    </row>
    <row r="205" spans="1:29" ht="12.5">
      <c r="A205" s="4">
        <v>45995.494954363428</v>
      </c>
      <c r="B205" s="5">
        <v>89937</v>
      </c>
      <c r="C205" s="5">
        <v>1110881534</v>
      </c>
      <c r="D205" s="5" t="s">
        <v>1246</v>
      </c>
      <c r="F205" s="5" t="s">
        <v>1247</v>
      </c>
      <c r="H205" s="5">
        <v>19155037870</v>
      </c>
      <c r="J205" s="5" t="s">
        <v>1248</v>
      </c>
      <c r="K205" s="5"/>
      <c r="L205" s="5" t="s">
        <v>1249</v>
      </c>
      <c r="M205" s="5" t="s">
        <v>1250</v>
      </c>
      <c r="N205" s="6">
        <v>45995</v>
      </c>
      <c r="O205" s="7">
        <v>0.5756944444444444</v>
      </c>
      <c r="P205" s="5">
        <v>1</v>
      </c>
      <c r="Q205" s="5" t="s">
        <v>1251</v>
      </c>
      <c r="R205" s="5">
        <v>500000</v>
      </c>
      <c r="S205" s="5">
        <v>0</v>
      </c>
      <c r="T205" s="5"/>
      <c r="U205" s="5">
        <v>500000</v>
      </c>
      <c r="W205" s="5" t="s">
        <v>36</v>
      </c>
      <c r="X205" s="5" t="s">
        <v>83</v>
      </c>
      <c r="Y205" s="5" t="s">
        <v>24</v>
      </c>
      <c r="AA205" s="5" t="s">
        <v>44</v>
      </c>
      <c r="AC205" s="8" t="str">
        <f>HYPERLINK("https://drive.google.com/file/d/1c3FYRrz_gdE5mP6o3vWT4CqX1SNDGTBU/view?usp=drivesdk","Abrir_Factura")</f>
        <v>Abrir_Factura</v>
      </c>
    </row>
    <row r="206" spans="1:29" ht="12.5">
      <c r="A206" s="4">
        <v>45995.491435219912</v>
      </c>
      <c r="B206" s="5">
        <v>89938</v>
      </c>
      <c r="C206" s="5">
        <v>18004764</v>
      </c>
      <c r="D206" s="5" t="s">
        <v>825</v>
      </c>
      <c r="F206" s="5" t="s">
        <v>1252</v>
      </c>
      <c r="H206" s="5">
        <v>573214426658</v>
      </c>
      <c r="J206" s="5" t="s">
        <v>1253</v>
      </c>
      <c r="K206" s="5" t="s">
        <v>110</v>
      </c>
      <c r="L206" s="5" t="s">
        <v>1254</v>
      </c>
      <c r="M206" s="5">
        <v>3168779925</v>
      </c>
      <c r="N206" s="6">
        <v>45995</v>
      </c>
      <c r="O206" s="7">
        <v>0.57222222222222219</v>
      </c>
      <c r="P206" s="5">
        <v>1</v>
      </c>
      <c r="Q206" s="5" t="s">
        <v>50</v>
      </c>
      <c r="R206" s="5">
        <v>200000</v>
      </c>
      <c r="S206" s="5">
        <v>0</v>
      </c>
      <c r="T206" s="5">
        <v>6000</v>
      </c>
      <c r="U206" s="5">
        <v>206000</v>
      </c>
      <c r="V206" s="5" t="s">
        <v>1255</v>
      </c>
      <c r="W206" s="5" t="s">
        <v>36</v>
      </c>
      <c r="X206" s="5" t="s">
        <v>83</v>
      </c>
      <c r="Y206" s="5" t="s">
        <v>24</v>
      </c>
      <c r="Z206" s="5" t="s">
        <v>1256</v>
      </c>
      <c r="AA206" s="5" t="s">
        <v>44</v>
      </c>
      <c r="AB206" s="5" t="s">
        <v>1257</v>
      </c>
      <c r="AC206" s="8" t="str">
        <f>HYPERLINK("https://drive.google.com/file/d/1YjYZUW3OQeVYyVDybfXuvZcoBPQtYAqB/view?usp=drivesdk","Abrir_Factura")</f>
        <v>Abrir_Factura</v>
      </c>
    </row>
    <row r="207" spans="1:29" ht="12.5">
      <c r="A207" s="13">
        <v>45996</v>
      </c>
      <c r="B207" s="5">
        <v>89939</v>
      </c>
      <c r="C207" s="5">
        <v>32713482</v>
      </c>
      <c r="D207" s="5" t="s">
        <v>1258</v>
      </c>
      <c r="F207" s="5" t="s">
        <v>1259</v>
      </c>
      <c r="H207" s="5">
        <v>573016969857</v>
      </c>
      <c r="J207" s="5" t="s">
        <v>1260</v>
      </c>
      <c r="K207" s="5" t="s">
        <v>33</v>
      </c>
      <c r="L207" s="5" t="s">
        <v>34</v>
      </c>
      <c r="M207" s="5" t="s">
        <v>1261</v>
      </c>
      <c r="N207" s="6">
        <v>45995</v>
      </c>
      <c r="O207" s="7">
        <v>0.33333333333333331</v>
      </c>
      <c r="P207" s="5">
        <v>1</v>
      </c>
      <c r="Q207" s="5" t="s">
        <v>649</v>
      </c>
      <c r="R207" s="5">
        <v>180000</v>
      </c>
      <c r="S207" s="5">
        <v>0</v>
      </c>
      <c r="T207" s="5">
        <v>0</v>
      </c>
      <c r="U207" s="5">
        <v>180000</v>
      </c>
      <c r="V207" s="5" t="s">
        <v>1262</v>
      </c>
      <c r="W207" s="5" t="s">
        <v>36</v>
      </c>
      <c r="X207" s="5" t="s">
        <v>83</v>
      </c>
      <c r="Y207" s="5" t="s">
        <v>24</v>
      </c>
      <c r="AA207" s="5" t="s">
        <v>69</v>
      </c>
      <c r="AB207" s="5" t="s">
        <v>1262</v>
      </c>
      <c r="AC207" s="8" t="str">
        <f>HYPERLINK("https://drive.google.com/file/d/1R2Q8drdR1PyPD__lZ-bliAWbcAohAdX9/view?usp=drivesdk","Abrir_Factura")</f>
        <v>Abrir_Factura</v>
      </c>
    </row>
    <row r="208" spans="1:29" ht="12.5">
      <c r="A208" s="4">
        <v>45995.406199699079</v>
      </c>
      <c r="B208" s="5">
        <v>89940</v>
      </c>
      <c r="C208" s="5">
        <v>15810460</v>
      </c>
      <c r="D208" s="5" t="s">
        <v>1263</v>
      </c>
      <c r="F208" s="5" t="s">
        <v>1264</v>
      </c>
      <c r="H208" s="5">
        <v>573053621051</v>
      </c>
      <c r="J208" s="5" t="s">
        <v>1265</v>
      </c>
      <c r="K208" s="5" t="s">
        <v>1100</v>
      </c>
      <c r="L208" s="5" t="s">
        <v>1266</v>
      </c>
      <c r="M208" s="5">
        <v>3053621051</v>
      </c>
      <c r="N208" s="6">
        <v>45995</v>
      </c>
      <c r="O208" s="7">
        <v>0.49166666666666664</v>
      </c>
      <c r="P208" s="5">
        <v>1</v>
      </c>
      <c r="Q208" s="5" t="s">
        <v>75</v>
      </c>
      <c r="R208" s="5">
        <v>70000</v>
      </c>
      <c r="S208" s="5">
        <v>0</v>
      </c>
      <c r="T208" s="5">
        <v>13000</v>
      </c>
      <c r="U208" s="5">
        <v>83000</v>
      </c>
      <c r="V208" s="5" t="s">
        <v>1267</v>
      </c>
      <c r="W208" s="5" t="s">
        <v>36</v>
      </c>
      <c r="X208" s="5" t="s">
        <v>83</v>
      </c>
      <c r="Y208" s="5" t="s">
        <v>24</v>
      </c>
      <c r="Z208" s="5" t="s">
        <v>1268</v>
      </c>
      <c r="AA208" s="5" t="s">
        <v>44</v>
      </c>
      <c r="AB208" s="5" t="s">
        <v>1267</v>
      </c>
      <c r="AC208" s="8" t="str">
        <f>HYPERLINK("https://drive.google.com/file/d/1HPBL07QpK0Dib5Kj5ZhSYKpvW5RfTU_s/view?usp=drivesdk","Abrir_Factura")</f>
        <v>Abrir_Factura</v>
      </c>
    </row>
    <row r="209" spans="1:29" ht="12.5">
      <c r="A209" s="4">
        <v>45995.492852256946</v>
      </c>
      <c r="B209" s="5">
        <v>89941</v>
      </c>
      <c r="C209" s="5">
        <v>1140892632</v>
      </c>
      <c r="D209" s="5" t="s">
        <v>1269</v>
      </c>
      <c r="F209" s="5" t="s">
        <v>1270</v>
      </c>
      <c r="H209" s="5">
        <v>573007733216</v>
      </c>
      <c r="J209" s="5" t="s">
        <v>1271</v>
      </c>
      <c r="K209" s="5" t="s">
        <v>1272</v>
      </c>
      <c r="L209" s="5" t="s">
        <v>1273</v>
      </c>
      <c r="M209" s="5" t="s">
        <v>1274</v>
      </c>
      <c r="N209" s="6">
        <v>45995</v>
      </c>
      <c r="O209" s="7">
        <v>0.62013888888888891</v>
      </c>
      <c r="P209" s="5">
        <v>1</v>
      </c>
      <c r="Q209" s="5" t="s">
        <v>361</v>
      </c>
      <c r="R209" s="5">
        <v>180000</v>
      </c>
      <c r="S209" s="5">
        <v>0</v>
      </c>
      <c r="T209" s="5">
        <v>12000</v>
      </c>
      <c r="U209" s="5">
        <v>192000</v>
      </c>
      <c r="V209" s="5" t="s">
        <v>1275</v>
      </c>
      <c r="W209" s="5" t="s">
        <v>36</v>
      </c>
      <c r="X209" s="5" t="s">
        <v>204</v>
      </c>
      <c r="Y209" s="5" t="s">
        <v>24</v>
      </c>
      <c r="Z209" s="5" t="s">
        <v>1276</v>
      </c>
      <c r="AA209" s="5" t="s">
        <v>69</v>
      </c>
      <c r="AB209" s="5"/>
      <c r="AC209" s="8" t="str">
        <f>HYPERLINK("https://drive.google.com/file/d/1ApmVAvec7-4Vwl0F6fzPzEJS8J3xh0xk/view?usp=drivesdk","Abrir_Factura")</f>
        <v>Abrir_Factura</v>
      </c>
    </row>
    <row r="210" spans="1:29" ht="12.5">
      <c r="A210" s="4">
        <v>45995.547425104167</v>
      </c>
      <c r="B210" s="5">
        <v>89942</v>
      </c>
      <c r="C210" s="5">
        <v>1045676524</v>
      </c>
      <c r="D210" s="5" t="s">
        <v>1277</v>
      </c>
      <c r="F210" s="5" t="s">
        <v>116</v>
      </c>
      <c r="H210" s="5">
        <v>577381101</v>
      </c>
      <c r="J210" s="5" t="s">
        <v>1278</v>
      </c>
      <c r="K210" s="5" t="s">
        <v>33</v>
      </c>
      <c r="L210" s="5" t="s">
        <v>34</v>
      </c>
      <c r="M210" s="5">
        <v>7381101</v>
      </c>
      <c r="N210" s="6">
        <v>45995</v>
      </c>
      <c r="O210" s="7">
        <v>0.63263888888888886</v>
      </c>
      <c r="P210" s="5">
        <v>1</v>
      </c>
      <c r="Q210" s="5" t="s">
        <v>133</v>
      </c>
      <c r="R210" s="5">
        <v>140000</v>
      </c>
      <c r="S210" s="5">
        <v>0</v>
      </c>
      <c r="T210" s="5">
        <v>0</v>
      </c>
      <c r="U210" s="5">
        <v>140000</v>
      </c>
      <c r="V210" s="5" t="s">
        <v>1279</v>
      </c>
      <c r="W210" s="5" t="s">
        <v>36</v>
      </c>
      <c r="X210" s="5" t="s">
        <v>51</v>
      </c>
      <c r="Y210" s="5" t="s">
        <v>24</v>
      </c>
      <c r="Z210" s="5" t="s">
        <v>1280</v>
      </c>
      <c r="AA210" s="5" t="s">
        <v>44</v>
      </c>
      <c r="AB210" s="5" t="s">
        <v>1281</v>
      </c>
      <c r="AC210" s="8" t="str">
        <f>HYPERLINK("https://drive.google.com/file/d/1t1_22SweqxM_ig8L5lLRIfFc1alv1tTF/view?usp=drivesdk","Abrir_Factura")</f>
        <v>Abrir_Factura</v>
      </c>
    </row>
    <row r="211" spans="1:29" ht="12.5">
      <c r="A211" s="4">
        <v>45995.554522916667</v>
      </c>
      <c r="B211" s="5">
        <v>89943</v>
      </c>
      <c r="C211" s="5">
        <v>0</v>
      </c>
      <c r="D211" s="5" t="s">
        <v>1282</v>
      </c>
      <c r="F211" s="5" t="s">
        <v>1283</v>
      </c>
      <c r="H211" s="5">
        <v>570000</v>
      </c>
      <c r="J211" s="5" t="s">
        <v>1284</v>
      </c>
      <c r="K211" s="5" t="s">
        <v>33</v>
      </c>
      <c r="L211" s="5" t="s">
        <v>34</v>
      </c>
      <c r="M211" s="10" t="s">
        <v>1285</v>
      </c>
      <c r="N211" s="6">
        <v>45995</v>
      </c>
      <c r="O211" s="7">
        <v>0.64027777777777772</v>
      </c>
      <c r="P211" s="5">
        <v>1</v>
      </c>
      <c r="Q211" s="5" t="s">
        <v>42</v>
      </c>
      <c r="R211" s="5">
        <v>0</v>
      </c>
      <c r="S211" s="5">
        <v>0</v>
      </c>
      <c r="T211" s="5">
        <v>0</v>
      </c>
      <c r="U211" s="5">
        <v>0</v>
      </c>
      <c r="W211" s="5" t="s">
        <v>36</v>
      </c>
      <c r="X211" s="5" t="s">
        <v>196</v>
      </c>
      <c r="Y211" s="5" t="s">
        <v>24</v>
      </c>
      <c r="AA211" s="5" t="s">
        <v>44</v>
      </c>
      <c r="AB211" s="5" t="s">
        <v>1286</v>
      </c>
      <c r="AC211" s="8" t="str">
        <f>HYPERLINK("https://drive.google.com/file/d/1XIlInNDOZNPAAmPjFX8Pz2pbaCC0bs-K/view?usp=drivesdk","Abrir_Factura")</f>
        <v>Abrir_Factura</v>
      </c>
    </row>
    <row r="212" spans="1:29" ht="12.5">
      <c r="A212" s="4">
        <v>45995.571011087959</v>
      </c>
      <c r="B212" s="5">
        <v>89944</v>
      </c>
      <c r="C212" s="5">
        <v>22669398</v>
      </c>
      <c r="D212" s="5" t="s">
        <v>1287</v>
      </c>
      <c r="F212" s="5" t="s">
        <v>1288</v>
      </c>
      <c r="H212" s="5">
        <v>573207329639</v>
      </c>
      <c r="J212" s="5" t="s">
        <v>1289</v>
      </c>
      <c r="K212" s="5" t="s">
        <v>33</v>
      </c>
      <c r="L212" s="5" t="s">
        <v>34</v>
      </c>
      <c r="M212" s="5">
        <v>3207329639</v>
      </c>
      <c r="N212" s="6">
        <v>45995</v>
      </c>
      <c r="O212" s="7">
        <v>0.65625</v>
      </c>
      <c r="P212" s="5">
        <v>1</v>
      </c>
      <c r="Q212" s="5" t="s">
        <v>42</v>
      </c>
      <c r="R212" s="5">
        <v>68000</v>
      </c>
      <c r="S212" s="5">
        <v>0</v>
      </c>
      <c r="T212" s="5">
        <v>0</v>
      </c>
      <c r="U212" s="5">
        <v>68000</v>
      </c>
      <c r="W212" s="5" t="s">
        <v>36</v>
      </c>
      <c r="X212" s="5" t="s">
        <v>51</v>
      </c>
      <c r="Y212" s="5" t="s">
        <v>24</v>
      </c>
      <c r="AA212" s="5" t="s">
        <v>44</v>
      </c>
      <c r="AB212" s="5" t="s">
        <v>1290</v>
      </c>
      <c r="AC212" s="8" t="str">
        <f>HYPERLINK("https://drive.google.com/file/d/1vBv1SwnluEAbq170F4Q-WngCASPRYzFu/view?usp=drivesdk","Abrir_Factura")</f>
        <v>Abrir_Factura</v>
      </c>
    </row>
    <row r="213" spans="1:29" ht="12.5">
      <c r="A213" s="4">
        <v>45995.599746423613</v>
      </c>
      <c r="B213" s="5">
        <v>89945</v>
      </c>
      <c r="C213" s="5">
        <v>1234096195</v>
      </c>
      <c r="D213" s="5" t="s">
        <v>1291</v>
      </c>
      <c r="F213" s="5" t="s">
        <v>93</v>
      </c>
      <c r="H213" s="5">
        <v>573506670596</v>
      </c>
      <c r="J213" s="5" t="s">
        <v>1292</v>
      </c>
      <c r="K213" s="5" t="s">
        <v>33</v>
      </c>
      <c r="L213" s="5" t="s">
        <v>34</v>
      </c>
      <c r="M213" s="5" t="s">
        <v>1293</v>
      </c>
      <c r="N213" s="6">
        <v>45995</v>
      </c>
      <c r="O213" s="7">
        <v>0.68541666666666667</v>
      </c>
      <c r="P213" s="5">
        <v>1</v>
      </c>
      <c r="Q213" s="5" t="s">
        <v>178</v>
      </c>
      <c r="R213" s="5">
        <v>100000</v>
      </c>
      <c r="S213" s="5">
        <v>0</v>
      </c>
      <c r="T213" s="5">
        <v>0</v>
      </c>
      <c r="U213" s="5">
        <v>100000</v>
      </c>
      <c r="V213" s="5" t="s">
        <v>1294</v>
      </c>
      <c r="W213" s="5" t="s">
        <v>36</v>
      </c>
      <c r="X213" s="5" t="s">
        <v>83</v>
      </c>
      <c r="Y213" s="5" t="s">
        <v>310</v>
      </c>
      <c r="AA213" s="5" t="s">
        <v>69</v>
      </c>
      <c r="AB213" s="5"/>
      <c r="AC213" s="8" t="str">
        <f>HYPERLINK("https://drive.google.com/file/d/1U_LJTFB5iokHx5sWWSPbrb9adIen1cZu/view?usp=drivesdk","Abrir_Factura")</f>
        <v>Abrir_Factura</v>
      </c>
    </row>
    <row r="214" spans="1:29" ht="12.5">
      <c r="A214" s="4">
        <v>45995.602381527773</v>
      </c>
      <c r="B214" s="5">
        <v>89946</v>
      </c>
      <c r="C214" s="5">
        <v>72178067</v>
      </c>
      <c r="D214" s="5" t="s">
        <v>1002</v>
      </c>
      <c r="F214" s="5" t="s">
        <v>1295</v>
      </c>
      <c r="H214" s="5">
        <v>573003182878</v>
      </c>
      <c r="J214" s="5" t="s">
        <v>1296</v>
      </c>
      <c r="K214" s="5" t="s">
        <v>33</v>
      </c>
      <c r="L214" s="5" t="s">
        <v>1297</v>
      </c>
      <c r="M214" s="5">
        <v>3003182878</v>
      </c>
      <c r="N214" s="6">
        <v>45995</v>
      </c>
      <c r="O214" s="7">
        <v>0.6875</v>
      </c>
      <c r="P214" s="5">
        <v>1</v>
      </c>
      <c r="Q214" s="5" t="s">
        <v>375</v>
      </c>
      <c r="R214" s="5">
        <v>70000</v>
      </c>
      <c r="S214" s="5">
        <v>0</v>
      </c>
      <c r="T214" s="5">
        <v>0</v>
      </c>
      <c r="U214" s="5">
        <v>70000</v>
      </c>
      <c r="W214" s="5" t="s">
        <v>36</v>
      </c>
      <c r="X214" s="5" t="s">
        <v>43</v>
      </c>
      <c r="Y214" s="5" t="s">
        <v>310</v>
      </c>
      <c r="AA214" s="5" t="s">
        <v>44</v>
      </c>
      <c r="AC214" s="8" t="str">
        <f>HYPERLINK("https://drive.google.com/file/d/1Nz4jw3oQygEe2IYMpIHpn2MnY4LOYzdv/view?usp=drivesdk","Abrir_Factura")</f>
        <v>Abrir_Factura</v>
      </c>
    </row>
    <row r="215" spans="1:29" ht="12.5">
      <c r="A215" s="4">
        <v>45995.569995891201</v>
      </c>
      <c r="B215" s="5">
        <v>89947</v>
      </c>
      <c r="C215" s="5">
        <v>52396185</v>
      </c>
      <c r="D215" s="5" t="s">
        <v>1298</v>
      </c>
      <c r="F215" s="5" t="s">
        <v>1299</v>
      </c>
      <c r="H215" s="5">
        <v>573204903411</v>
      </c>
      <c r="J215" s="5" t="s">
        <v>1300</v>
      </c>
      <c r="K215" s="5" t="s">
        <v>73</v>
      </c>
      <c r="L215" s="5" t="s">
        <v>1301</v>
      </c>
      <c r="M215" s="5">
        <v>3204903411</v>
      </c>
      <c r="N215" s="6">
        <v>45995</v>
      </c>
      <c r="O215" s="7">
        <v>0.65347222222222223</v>
      </c>
      <c r="P215" s="5">
        <v>1</v>
      </c>
      <c r="Q215" s="5" t="s">
        <v>42</v>
      </c>
      <c r="R215" s="5">
        <v>40000</v>
      </c>
      <c r="S215" s="5">
        <v>0</v>
      </c>
      <c r="T215" s="5">
        <v>10000</v>
      </c>
      <c r="U215" s="5">
        <v>50000</v>
      </c>
      <c r="V215" s="5" t="s">
        <v>1302</v>
      </c>
      <c r="W215" s="5" t="s">
        <v>36</v>
      </c>
      <c r="X215" s="5" t="s">
        <v>83</v>
      </c>
      <c r="Y215" s="5" t="s">
        <v>310</v>
      </c>
      <c r="AA215" s="5" t="s">
        <v>69</v>
      </c>
      <c r="AB215" s="5" t="s">
        <v>1303</v>
      </c>
      <c r="AC215" s="8" t="str">
        <f>HYPERLINK("https://drive.google.com/file/d/1oMR4_nRqLCZZnpiFp_CRsL2lRLAPVBFg/view?usp=drivesdk","Abrir_Factura")</f>
        <v>Abrir_Factura</v>
      </c>
    </row>
    <row r="216" spans="1:29" ht="12.5">
      <c r="A216" s="4">
        <v>45995.605900520837</v>
      </c>
      <c r="B216" s="5">
        <v>89948</v>
      </c>
      <c r="C216" s="5">
        <v>45757738</v>
      </c>
      <c r="D216" s="5" t="s">
        <v>1304</v>
      </c>
      <c r="F216" s="5" t="s">
        <v>1305</v>
      </c>
      <c r="H216" s="5">
        <v>573016275403</v>
      </c>
      <c r="J216" s="5" t="s">
        <v>1306</v>
      </c>
      <c r="K216" s="5" t="s">
        <v>110</v>
      </c>
      <c r="L216" s="5" t="s">
        <v>1307</v>
      </c>
      <c r="M216" s="5">
        <v>3103882221</v>
      </c>
      <c r="N216" s="6">
        <v>45996</v>
      </c>
      <c r="O216" s="7">
        <v>0.54166666666666663</v>
      </c>
      <c r="P216" s="5">
        <v>1</v>
      </c>
      <c r="Q216" s="5" t="s">
        <v>734</v>
      </c>
      <c r="R216" s="5">
        <v>90000</v>
      </c>
      <c r="S216" s="5">
        <v>0</v>
      </c>
      <c r="T216" s="5">
        <v>6000</v>
      </c>
      <c r="U216" s="5">
        <v>96000</v>
      </c>
      <c r="V216" s="5" t="s">
        <v>1308</v>
      </c>
      <c r="W216" s="5" t="s">
        <v>36</v>
      </c>
      <c r="X216" s="5" t="s">
        <v>180</v>
      </c>
      <c r="Y216" s="5" t="s">
        <v>24</v>
      </c>
      <c r="Z216" s="5" t="s">
        <v>1309</v>
      </c>
      <c r="AA216" s="5" t="s">
        <v>44</v>
      </c>
      <c r="AB216" s="5"/>
      <c r="AC216" s="8" t="str">
        <f>HYPERLINK("https://drive.google.com/file/d/1EiXEa1fGRtETcDAoywb6l0gsS-wxt29g/view?usp=drivesdk","Abrir_Factura")</f>
        <v>Abrir_Factura</v>
      </c>
    </row>
    <row r="217" spans="1:29" ht="12.5">
      <c r="A217" s="4">
        <v>45995.626465023146</v>
      </c>
      <c r="B217" s="5">
        <v>89949</v>
      </c>
      <c r="C217" s="5">
        <v>0</v>
      </c>
      <c r="D217" s="5" t="s">
        <v>1231</v>
      </c>
      <c r="F217" s="5" t="s">
        <v>1310</v>
      </c>
      <c r="H217" s="5">
        <v>57000000</v>
      </c>
      <c r="J217" s="5" t="s">
        <v>1310</v>
      </c>
      <c r="K217" s="5" t="s">
        <v>33</v>
      </c>
      <c r="L217" s="5" t="s">
        <v>34</v>
      </c>
      <c r="M217" s="5" t="s">
        <v>1310</v>
      </c>
      <c r="N217" s="6">
        <v>45995</v>
      </c>
      <c r="O217" s="7">
        <v>0.71180555555555558</v>
      </c>
      <c r="P217" s="5">
        <v>1</v>
      </c>
      <c r="Q217" s="5" t="s">
        <v>42</v>
      </c>
      <c r="R217" s="5">
        <v>0</v>
      </c>
      <c r="S217" s="5">
        <v>0</v>
      </c>
      <c r="T217" s="5">
        <v>0</v>
      </c>
      <c r="U217" s="5">
        <v>0</v>
      </c>
      <c r="W217" s="5" t="s">
        <v>36</v>
      </c>
      <c r="X217" s="5" t="s">
        <v>43</v>
      </c>
      <c r="Y217" s="5" t="s">
        <v>24</v>
      </c>
      <c r="AA217" s="5" t="s">
        <v>44</v>
      </c>
      <c r="AB217" s="5" t="s">
        <v>1311</v>
      </c>
      <c r="AC217" s="8" t="str">
        <f>HYPERLINK("https://drive.google.com/file/d/1r-jzB9N_SDu5ThAbfzJiWuWbcde5-Aal/view?usp=drivesdk","Abrir_Factura")</f>
        <v>Abrir_Factura</v>
      </c>
    </row>
    <row r="218" spans="1:29" ht="12.5">
      <c r="A218" s="4">
        <v>45995.625065995366</v>
      </c>
      <c r="B218" s="5">
        <v>89950</v>
      </c>
      <c r="C218" s="5">
        <v>1234088339</v>
      </c>
      <c r="D218" s="5" t="s">
        <v>1312</v>
      </c>
      <c r="F218" s="5" t="s">
        <v>31</v>
      </c>
      <c r="H218" s="5">
        <v>572405482534</v>
      </c>
      <c r="J218" s="5" t="s">
        <v>1313</v>
      </c>
      <c r="K218" s="5" t="s">
        <v>33</v>
      </c>
      <c r="L218" s="5" t="s">
        <v>34</v>
      </c>
      <c r="M218" s="5">
        <v>2405482534</v>
      </c>
      <c r="N218" s="6">
        <v>45995</v>
      </c>
      <c r="O218" s="7">
        <v>0.70972222222222225</v>
      </c>
      <c r="P218" s="5">
        <v>1</v>
      </c>
      <c r="Q218" s="5" t="s">
        <v>75</v>
      </c>
      <c r="R218" s="5">
        <v>70000</v>
      </c>
      <c r="S218" s="5">
        <v>0</v>
      </c>
      <c r="T218" s="5">
        <v>0</v>
      </c>
      <c r="U218" s="5">
        <v>70000</v>
      </c>
      <c r="W218" s="5" t="s">
        <v>36</v>
      </c>
      <c r="X218" s="5" t="s">
        <v>43</v>
      </c>
      <c r="Y218" s="5" t="s">
        <v>310</v>
      </c>
      <c r="AA218" s="5" t="s">
        <v>44</v>
      </c>
      <c r="AC218" s="8" t="str">
        <f>HYPERLINK("https://drive.google.com/file/d/12xSmVQD8O54JzNAfLBtaKJ-ktzTdmsdr/view?usp=drivesdk","Abrir_Factura")</f>
        <v>Abrir_Factura</v>
      </c>
    </row>
    <row r="219" spans="1:29" ht="12.5">
      <c r="A219" s="4">
        <v>45995.593629409719</v>
      </c>
      <c r="B219" s="5">
        <v>89951</v>
      </c>
      <c r="C219" s="5">
        <v>1044212565</v>
      </c>
      <c r="D219" s="5" t="s">
        <v>1314</v>
      </c>
      <c r="F219" s="5" t="s">
        <v>1315</v>
      </c>
      <c r="H219" s="5">
        <v>573116554591</v>
      </c>
      <c r="J219" s="5" t="s">
        <v>1316</v>
      </c>
      <c r="K219" s="5" t="s">
        <v>1317</v>
      </c>
      <c r="L219" s="5" t="s">
        <v>1318</v>
      </c>
      <c r="M219" s="5">
        <v>3008789204</v>
      </c>
      <c r="N219" s="6">
        <v>45995</v>
      </c>
      <c r="O219" s="7">
        <v>0.67847222222222225</v>
      </c>
      <c r="P219" s="5">
        <v>1</v>
      </c>
      <c r="Q219" s="5" t="s">
        <v>576</v>
      </c>
      <c r="R219" s="5">
        <v>120000</v>
      </c>
      <c r="S219" s="5">
        <v>0</v>
      </c>
      <c r="T219" s="5">
        <v>12000</v>
      </c>
      <c r="U219" s="5">
        <v>132000</v>
      </c>
      <c r="V219" s="5" t="s">
        <v>1319</v>
      </c>
      <c r="W219" s="5" t="s">
        <v>36</v>
      </c>
      <c r="X219" s="5" t="s">
        <v>67</v>
      </c>
      <c r="Y219" s="5" t="s">
        <v>24</v>
      </c>
      <c r="Z219" s="5" t="s">
        <v>1320</v>
      </c>
      <c r="AA219" s="5" t="s">
        <v>44</v>
      </c>
      <c r="AB219" s="5" t="s">
        <v>1319</v>
      </c>
      <c r="AC219" s="8" t="str">
        <f>HYPERLINK("https://drive.google.com/file/d/18icQ9oh_qnql2zk3M7DG9nKVXx0VP-E7/view?usp=drivesdk","Abrir_Factura")</f>
        <v>Abrir_Factura</v>
      </c>
    </row>
    <row r="220" spans="1:29" ht="12.5">
      <c r="A220" s="4">
        <v>45995.633149849542</v>
      </c>
      <c r="B220" s="5">
        <v>89952</v>
      </c>
      <c r="C220" s="5">
        <v>1140884864</v>
      </c>
      <c r="D220" s="5" t="s">
        <v>1321</v>
      </c>
      <c r="F220" s="5" t="s">
        <v>1322</v>
      </c>
      <c r="H220" s="5">
        <v>573015083167</v>
      </c>
      <c r="J220" s="5" t="s">
        <v>1323</v>
      </c>
      <c r="K220" s="5" t="s">
        <v>33</v>
      </c>
      <c r="L220" s="5" t="s">
        <v>34</v>
      </c>
      <c r="M220" s="5">
        <v>3015083167</v>
      </c>
      <c r="N220" s="6">
        <v>45996</v>
      </c>
      <c r="O220" s="7">
        <v>0.4236111111111111</v>
      </c>
      <c r="P220" s="5">
        <v>1</v>
      </c>
      <c r="Q220" s="5" t="s">
        <v>42</v>
      </c>
      <c r="R220" s="5">
        <v>75000</v>
      </c>
      <c r="S220" s="5">
        <v>0</v>
      </c>
      <c r="T220" s="5">
        <v>0</v>
      </c>
      <c r="U220" s="5">
        <v>75000</v>
      </c>
      <c r="W220" s="5" t="s">
        <v>36</v>
      </c>
      <c r="X220" s="5" t="s">
        <v>43</v>
      </c>
      <c r="Y220" s="5" t="s">
        <v>24</v>
      </c>
      <c r="AA220" s="5" t="s">
        <v>44</v>
      </c>
      <c r="AB220" s="5" t="s">
        <v>525</v>
      </c>
      <c r="AC220" s="8" t="str">
        <f>HYPERLINK("https://drive.google.com/file/d/1YygsokmxjyAbfSb7aXLcIIO8gEc3B37s/view?usp=drivesdk", "Abrir_Factura")</f>
        <v>Abrir_Factura</v>
      </c>
    </row>
    <row r="221" spans="1:29" ht="12.5">
      <c r="A221" s="4">
        <v>45995.596580682875</v>
      </c>
      <c r="B221" s="5">
        <v>89953</v>
      </c>
      <c r="C221" s="5">
        <v>1127233954</v>
      </c>
      <c r="D221" s="5" t="s">
        <v>318</v>
      </c>
      <c r="F221" s="5" t="s">
        <v>1324</v>
      </c>
      <c r="H221" s="5">
        <v>573188682475</v>
      </c>
      <c r="J221" s="5" t="s">
        <v>1325</v>
      </c>
      <c r="K221" s="5" t="s">
        <v>1317</v>
      </c>
      <c r="L221" s="5" t="s">
        <v>1326</v>
      </c>
      <c r="M221" s="5">
        <v>3008907769</v>
      </c>
      <c r="N221" s="6">
        <v>45995</v>
      </c>
      <c r="O221" s="7">
        <v>0.65763888888888888</v>
      </c>
      <c r="P221" s="5">
        <v>1</v>
      </c>
      <c r="Q221" s="5" t="s">
        <v>1327</v>
      </c>
      <c r="R221" s="5">
        <v>310000</v>
      </c>
      <c r="S221" s="5">
        <v>0</v>
      </c>
      <c r="T221" s="5">
        <v>12000</v>
      </c>
      <c r="U221" s="5">
        <v>322000</v>
      </c>
      <c r="V221" s="5" t="s">
        <v>1328</v>
      </c>
      <c r="W221" s="5" t="s">
        <v>36</v>
      </c>
      <c r="X221" s="5" t="s">
        <v>83</v>
      </c>
      <c r="Y221" s="5" t="s">
        <v>24</v>
      </c>
      <c r="Z221" s="5" t="s">
        <v>1329</v>
      </c>
      <c r="AA221" s="5" t="s">
        <v>69</v>
      </c>
      <c r="AB221" s="5" t="s">
        <v>1330</v>
      </c>
      <c r="AC221" s="8" t="str">
        <f>HYPERLINK("https://drive.google.com/file/d/12BQPCvh8MBTs9b9nWLs5msloScn5dKCO/view?usp=drivesdk","Abrir_Factura")</f>
        <v>Abrir_Factura</v>
      </c>
    </row>
    <row r="222" spans="1:29" ht="12.5">
      <c r="A222" s="4">
        <v>45995.68360113426</v>
      </c>
      <c r="B222" s="5">
        <v>89954</v>
      </c>
      <c r="C222" s="5">
        <v>1062305546</v>
      </c>
      <c r="D222" s="5" t="s">
        <v>1331</v>
      </c>
      <c r="F222" s="5" t="s">
        <v>31</v>
      </c>
      <c r="H222" s="5">
        <v>572405509421</v>
      </c>
      <c r="J222" s="5" t="s">
        <v>1331</v>
      </c>
      <c r="K222" s="5" t="s">
        <v>33</v>
      </c>
      <c r="L222" s="5" t="s">
        <v>34</v>
      </c>
      <c r="M222" s="5">
        <v>2405509421</v>
      </c>
      <c r="N222" s="6">
        <v>45995</v>
      </c>
      <c r="O222" s="7">
        <v>0.76875000000000004</v>
      </c>
      <c r="P222" s="5">
        <v>1</v>
      </c>
      <c r="Q222" s="5" t="s">
        <v>75</v>
      </c>
      <c r="R222" s="5">
        <v>70000</v>
      </c>
      <c r="S222" s="5">
        <v>0</v>
      </c>
      <c r="T222" s="5">
        <v>0</v>
      </c>
      <c r="U222" s="5">
        <v>70000</v>
      </c>
      <c r="W222" s="5" t="s">
        <v>36</v>
      </c>
      <c r="X222" s="5" t="s">
        <v>43</v>
      </c>
      <c r="Y222" s="5" t="s">
        <v>24</v>
      </c>
      <c r="AA222" s="5" t="s">
        <v>44</v>
      </c>
      <c r="AC222" s="8" t="str">
        <f>HYPERLINK("https://drive.google.com/file/d/18L-clAH1WuBgt05RDjl53gwiJtzwbEON/view?usp=drivesdk","Abrir_Factura")</f>
        <v>Abrir_Factura</v>
      </c>
    </row>
    <row r="223" spans="1:29" ht="12.5">
      <c r="A223" s="4">
        <v>45995.695062453698</v>
      </c>
      <c r="B223" s="5">
        <v>89955</v>
      </c>
      <c r="C223" s="5">
        <v>1048068053</v>
      </c>
      <c r="D223" s="5" t="s">
        <v>290</v>
      </c>
      <c r="F223" s="5" t="s">
        <v>1033</v>
      </c>
      <c r="H223" s="5">
        <v>573218220062</v>
      </c>
      <c r="J223" s="5" t="s">
        <v>1332</v>
      </c>
      <c r="K223" s="5" t="s">
        <v>1317</v>
      </c>
      <c r="L223" s="5" t="s">
        <v>1333</v>
      </c>
      <c r="M223" s="5">
        <v>3165525874</v>
      </c>
      <c r="N223" s="6">
        <v>45995</v>
      </c>
      <c r="O223" s="7">
        <v>0.77708333333333335</v>
      </c>
      <c r="P223" s="5">
        <v>1</v>
      </c>
      <c r="Q223" s="5" t="s">
        <v>65</v>
      </c>
      <c r="R223" s="5">
        <v>70000</v>
      </c>
      <c r="S223" s="5">
        <v>0</v>
      </c>
      <c r="T223" s="5">
        <v>12000</v>
      </c>
      <c r="U223" s="5">
        <v>82000</v>
      </c>
      <c r="V223" s="5" t="s">
        <v>1334</v>
      </c>
      <c r="W223" s="5" t="s">
        <v>36</v>
      </c>
      <c r="X223" s="5" t="s">
        <v>51</v>
      </c>
      <c r="Y223" s="5" t="s">
        <v>24</v>
      </c>
      <c r="AA223" s="5" t="s">
        <v>44</v>
      </c>
      <c r="AB223" s="5"/>
      <c r="AC223" s="8" t="str">
        <f>HYPERLINK("https://drive.google.com/file/d/1dENZZQHMVnAKNbzCFiO4ab3lm_LwnlwP/view?usp=drivesdk","Abrir_Factura")</f>
        <v>Abrir_Factura</v>
      </c>
    </row>
    <row r="224" spans="1:29" ht="12.5">
      <c r="A224" s="4">
        <v>45995.697255763887</v>
      </c>
      <c r="B224" s="5">
        <v>89956</v>
      </c>
      <c r="C224" s="5">
        <v>32654988</v>
      </c>
      <c r="D224" s="5" t="s">
        <v>1335</v>
      </c>
      <c r="F224" s="5" t="s">
        <v>1336</v>
      </c>
      <c r="H224" s="5">
        <v>573158853901</v>
      </c>
      <c r="J224" s="5" t="s">
        <v>1337</v>
      </c>
      <c r="K224" s="5" t="s">
        <v>33</v>
      </c>
      <c r="L224" s="5" t="s">
        <v>34</v>
      </c>
      <c r="M224" s="5">
        <v>3158853901</v>
      </c>
      <c r="N224" s="6">
        <v>45995</v>
      </c>
      <c r="O224" s="7">
        <v>0.78333333333333333</v>
      </c>
      <c r="P224" s="5">
        <v>1</v>
      </c>
      <c r="Q224" s="5" t="s">
        <v>42</v>
      </c>
      <c r="R224" s="5">
        <v>0</v>
      </c>
      <c r="S224" s="5">
        <v>0</v>
      </c>
      <c r="T224" s="5">
        <v>0</v>
      </c>
      <c r="U224" s="5">
        <v>0</v>
      </c>
      <c r="W224" s="5" t="s">
        <v>36</v>
      </c>
      <c r="X224" s="5" t="s">
        <v>51</v>
      </c>
      <c r="Y224" s="5" t="s">
        <v>24</v>
      </c>
      <c r="AA224" s="5" t="s">
        <v>44</v>
      </c>
      <c r="AB224" s="5" t="s">
        <v>525</v>
      </c>
      <c r="AC224" s="8" t="str">
        <f>HYPERLINK("https://drive.google.com/file/d/1msMvfPBNpmRLkglstf3Y6wtYGB51Ftcl/view?usp=drivesdk","Abrir_Factura")</f>
        <v>Abrir_Factura</v>
      </c>
    </row>
    <row r="225" spans="1:31" ht="12.5">
      <c r="A225" s="4">
        <v>45995.653873784722</v>
      </c>
      <c r="B225" s="5">
        <v>89957</v>
      </c>
      <c r="C225" s="5">
        <v>22466633</v>
      </c>
      <c r="D225" s="5" t="s">
        <v>1338</v>
      </c>
      <c r="F225" s="5" t="s">
        <v>1339</v>
      </c>
      <c r="H225" s="5">
        <v>573173807664</v>
      </c>
      <c r="J225" s="5" t="s">
        <v>1340</v>
      </c>
      <c r="K225" s="5" t="s">
        <v>124</v>
      </c>
      <c r="L225" s="5" t="s">
        <v>1341</v>
      </c>
      <c r="M225" s="5">
        <v>3008015081</v>
      </c>
      <c r="N225" s="6">
        <v>45996</v>
      </c>
      <c r="O225" s="7">
        <v>0.3125</v>
      </c>
      <c r="P225" s="5">
        <v>1</v>
      </c>
      <c r="Q225" s="5" t="s">
        <v>375</v>
      </c>
      <c r="R225" s="5">
        <v>70000</v>
      </c>
      <c r="S225" s="5">
        <v>0</v>
      </c>
      <c r="T225" s="5">
        <v>12000</v>
      </c>
      <c r="U225" s="5">
        <v>82000</v>
      </c>
      <c r="V225" s="5" t="s">
        <v>1342</v>
      </c>
      <c r="W225" s="5" t="s">
        <v>36</v>
      </c>
      <c r="X225" s="5" t="s">
        <v>180</v>
      </c>
      <c r="Y225" s="5" t="s">
        <v>24</v>
      </c>
      <c r="Z225" s="5" t="s">
        <v>1343</v>
      </c>
      <c r="AA225" s="5" t="s">
        <v>69</v>
      </c>
      <c r="AB225" s="5"/>
      <c r="AC225" s="8" t="str">
        <f>HYPERLINK("https://drive.google.com/file/d/1xBorSVcSoxab1BsOO_pGPx_PtU3JmeRh/view?usp=drivesdk","Abrir_Factura")</f>
        <v>Abrir_Factura</v>
      </c>
    </row>
    <row r="226" spans="1:31" ht="12.5">
      <c r="A226" s="4">
        <v>45995.5803241088</v>
      </c>
      <c r="B226" s="5">
        <v>89958</v>
      </c>
      <c r="C226" s="5">
        <v>72281869</v>
      </c>
      <c r="D226" s="5" t="s">
        <v>70</v>
      </c>
      <c r="F226" s="5" t="s">
        <v>1344</v>
      </c>
      <c r="H226" s="5">
        <v>573157289619</v>
      </c>
      <c r="J226" s="5" t="s">
        <v>1345</v>
      </c>
      <c r="K226" s="5" t="s">
        <v>249</v>
      </c>
      <c r="L226" s="5" t="s">
        <v>1346</v>
      </c>
      <c r="M226" s="5">
        <v>3157289619</v>
      </c>
      <c r="N226" s="6">
        <v>45996</v>
      </c>
      <c r="O226" s="7">
        <v>0.41666666666666669</v>
      </c>
      <c r="P226" s="5">
        <v>1</v>
      </c>
      <c r="Q226" s="5" t="s">
        <v>542</v>
      </c>
      <c r="R226" s="5">
        <v>140000</v>
      </c>
      <c r="S226" s="5">
        <v>0</v>
      </c>
      <c r="T226" s="5">
        <v>10000</v>
      </c>
      <c r="U226" s="5">
        <v>150000</v>
      </c>
      <c r="V226" s="5" t="s">
        <v>1347</v>
      </c>
      <c r="W226" s="5" t="s">
        <v>36</v>
      </c>
      <c r="X226" s="5" t="s">
        <v>83</v>
      </c>
      <c r="Y226" s="5" t="s">
        <v>24</v>
      </c>
      <c r="Z226" s="5" t="s">
        <v>1348</v>
      </c>
      <c r="AA226" s="5" t="s">
        <v>44</v>
      </c>
      <c r="AB226" s="5" t="s">
        <v>1347</v>
      </c>
      <c r="AC226" s="8" t="str">
        <f>HYPERLINK("https://drive.google.com/file/d/186mHvGeiVrrXYReSbbG9JFlato1LldBF/view?usp=drivesdk","Abrir_Factura")</f>
        <v>Abrir_Factura</v>
      </c>
    </row>
    <row r="227" spans="1:31" ht="12.5">
      <c r="A227" s="4">
        <v>45995.69356728009</v>
      </c>
      <c r="B227" s="5">
        <v>89959</v>
      </c>
      <c r="C227" s="5">
        <v>1029860437</v>
      </c>
      <c r="D227" s="5" t="s">
        <v>1349</v>
      </c>
      <c r="F227" s="5" t="s">
        <v>1350</v>
      </c>
      <c r="H227" s="5">
        <v>573150003659</v>
      </c>
      <c r="J227" s="5" t="s">
        <v>1351</v>
      </c>
      <c r="K227" s="5" t="s">
        <v>1352</v>
      </c>
      <c r="L227" s="5" t="s">
        <v>1353</v>
      </c>
      <c r="M227" s="5">
        <v>3150003659</v>
      </c>
      <c r="N227" s="6">
        <v>45996</v>
      </c>
      <c r="O227" s="7">
        <v>0.54166666666666663</v>
      </c>
      <c r="P227" s="5">
        <v>1</v>
      </c>
      <c r="Q227" s="5" t="s">
        <v>375</v>
      </c>
      <c r="R227" s="5">
        <v>70000</v>
      </c>
      <c r="S227" s="5">
        <v>0</v>
      </c>
      <c r="T227" s="5">
        <v>10000</v>
      </c>
      <c r="U227" s="5">
        <v>80000</v>
      </c>
      <c r="V227" s="5" t="s">
        <v>1354</v>
      </c>
      <c r="W227" s="5" t="s">
        <v>36</v>
      </c>
      <c r="X227" s="5" t="s">
        <v>83</v>
      </c>
      <c r="Y227" s="5" t="s">
        <v>310</v>
      </c>
      <c r="AA227" s="5" t="s">
        <v>44</v>
      </c>
      <c r="AB227" s="5" t="s">
        <v>1354</v>
      </c>
      <c r="AC227" s="8" t="str">
        <f>HYPERLINK("https://drive.google.com/file/d/1MQoJ5PQBYQUhEp1nhIYkgPgoGPCYI3Ae/view?usp=drivesdk","Abrir_Factura")</f>
        <v>Abrir_Factura</v>
      </c>
    </row>
    <row r="228" spans="1:31" ht="12.5">
      <c r="A228" s="4">
        <v>45995.677321898147</v>
      </c>
      <c r="B228" s="5">
        <v>89960</v>
      </c>
      <c r="C228" s="5">
        <v>830067005</v>
      </c>
      <c r="D228" s="5" t="s">
        <v>1355</v>
      </c>
      <c r="F228" s="5" t="s">
        <v>1355</v>
      </c>
      <c r="H228" s="5">
        <v>573014760005</v>
      </c>
      <c r="J228" s="5" t="s">
        <v>1356</v>
      </c>
      <c r="K228" s="5" t="s">
        <v>1272</v>
      </c>
      <c r="L228" s="5" t="s">
        <v>1357</v>
      </c>
      <c r="M228" s="5">
        <v>3014760005</v>
      </c>
      <c r="N228" s="6">
        <v>45996</v>
      </c>
      <c r="O228" s="7">
        <v>0.41666666666666669</v>
      </c>
      <c r="P228" s="5">
        <v>1</v>
      </c>
      <c r="Q228" s="5" t="s">
        <v>370</v>
      </c>
      <c r="R228" s="5">
        <v>260000</v>
      </c>
      <c r="S228" s="5">
        <v>49400</v>
      </c>
      <c r="T228" s="5">
        <v>12000</v>
      </c>
      <c r="U228" s="5">
        <v>321400</v>
      </c>
      <c r="V228" s="5" t="s">
        <v>1358</v>
      </c>
      <c r="W228" s="5" t="s">
        <v>36</v>
      </c>
      <c r="X228" s="5" t="s">
        <v>196</v>
      </c>
      <c r="Y228" s="5" t="s">
        <v>24</v>
      </c>
      <c r="Z228" s="5" t="s">
        <v>1359</v>
      </c>
      <c r="AA228" s="5" t="s">
        <v>44</v>
      </c>
      <c r="AB228" s="5" t="s">
        <v>1358</v>
      </c>
      <c r="AC228" s="8" t="str">
        <f>HYPERLINK("https://drive.google.com/file/d/1jNHTSwwuIzgBETd_IYdL7bGrka_PRpt2/view?usp=drivesdk","Abrir_Factura")</f>
        <v>Abrir_Factura</v>
      </c>
    </row>
    <row r="229" spans="1:31" ht="12.5">
      <c r="A229" s="4">
        <v>45995.689730937505</v>
      </c>
      <c r="B229" s="5">
        <v>89961</v>
      </c>
      <c r="C229" s="5">
        <v>72291323</v>
      </c>
      <c r="D229" s="5" t="s">
        <v>582</v>
      </c>
      <c r="F229" s="5" t="s">
        <v>1360</v>
      </c>
      <c r="H229" s="5">
        <v>5730020616131</v>
      </c>
      <c r="J229" s="5" t="s">
        <v>1361</v>
      </c>
      <c r="K229" s="5" t="s">
        <v>229</v>
      </c>
      <c r="L229" s="5" t="s">
        <v>1362</v>
      </c>
      <c r="M229" s="5">
        <v>3002061631</v>
      </c>
      <c r="N229" s="6">
        <v>45996</v>
      </c>
      <c r="O229" s="7">
        <v>0.33333333333333331</v>
      </c>
      <c r="P229" s="5">
        <v>1</v>
      </c>
      <c r="Q229" s="5" t="s">
        <v>375</v>
      </c>
      <c r="R229" s="5">
        <v>70000</v>
      </c>
      <c r="S229" s="5">
        <v>0</v>
      </c>
      <c r="T229" s="5">
        <v>11000</v>
      </c>
      <c r="U229" s="5">
        <v>81000</v>
      </c>
      <c r="V229" s="5" t="s">
        <v>1363</v>
      </c>
      <c r="W229" s="5" t="s">
        <v>36</v>
      </c>
      <c r="X229" s="5" t="s">
        <v>180</v>
      </c>
      <c r="Y229" s="5" t="s">
        <v>24</v>
      </c>
      <c r="Z229" s="5" t="s">
        <v>1364</v>
      </c>
      <c r="AA229" s="5" t="s">
        <v>69</v>
      </c>
      <c r="AB229" s="5"/>
      <c r="AC229" s="8" t="str">
        <f>HYPERLINK("https://drive.google.com/file/d/1c2BoRzK7VlEo6fbQZXX6190UQyV3ELqr/view?usp=drivesdk","Abrir_Factura")</f>
        <v>Abrir_Factura</v>
      </c>
    </row>
    <row r="230" spans="1:31" ht="12.5">
      <c r="A230" s="4">
        <v>45995.753591747685</v>
      </c>
      <c r="B230" s="5">
        <v>89962</v>
      </c>
      <c r="C230" s="5">
        <v>64720247</v>
      </c>
      <c r="D230" s="5" t="s">
        <v>1365</v>
      </c>
      <c r="F230" s="5" t="s">
        <v>1366</v>
      </c>
      <c r="H230" s="5">
        <v>573004379943</v>
      </c>
      <c r="J230" s="5" t="s">
        <v>1365</v>
      </c>
      <c r="K230" s="5" t="s">
        <v>307</v>
      </c>
      <c r="L230" s="5" t="s">
        <v>1367</v>
      </c>
      <c r="M230" s="5" t="s">
        <v>25421</v>
      </c>
      <c r="N230" s="6">
        <v>45995</v>
      </c>
      <c r="O230" s="7">
        <v>0.83680555555555558</v>
      </c>
      <c r="P230" s="5">
        <v>1</v>
      </c>
      <c r="Q230" s="5" t="s">
        <v>42</v>
      </c>
      <c r="R230" s="5">
        <v>0</v>
      </c>
      <c r="S230" s="5">
        <v>0</v>
      </c>
      <c r="T230" s="5">
        <v>10000</v>
      </c>
      <c r="U230" s="5">
        <v>10000</v>
      </c>
      <c r="W230" s="5" t="s">
        <v>36</v>
      </c>
      <c r="X230" s="5" t="s">
        <v>43</v>
      </c>
      <c r="Y230" s="5" t="s">
        <v>24</v>
      </c>
      <c r="AA230" s="5" t="s">
        <v>44</v>
      </c>
      <c r="AB230" s="5" t="s">
        <v>1368</v>
      </c>
      <c r="AC230" s="8" t="str">
        <f>HYPERLINK("https://drive.google.com/file/d/1uaFVJRLbJfMRSqfp6YT_Aamyvo5Utl9L/view?usp=drivesdk","Abrir_Factura")</f>
        <v>Abrir_Factura</v>
      </c>
    </row>
    <row r="231" spans="1:31" ht="12.5">
      <c r="A231" s="4">
        <v>45995.738894837967</v>
      </c>
      <c r="B231" s="5">
        <v>89963</v>
      </c>
      <c r="C231" s="5">
        <v>1042253493</v>
      </c>
      <c r="D231" s="5" t="s">
        <v>1369</v>
      </c>
      <c r="F231" s="5" t="s">
        <v>1370</v>
      </c>
      <c r="H231" s="5">
        <v>578573067</v>
      </c>
      <c r="J231" s="5" t="s">
        <v>1371</v>
      </c>
      <c r="K231" s="5" t="s">
        <v>185</v>
      </c>
      <c r="L231" s="5" t="s">
        <v>1372</v>
      </c>
      <c r="M231" s="5" t="s">
        <v>1373</v>
      </c>
      <c r="N231" s="6">
        <v>45996</v>
      </c>
      <c r="O231" s="7">
        <v>0.6875</v>
      </c>
      <c r="P231" s="5">
        <v>1</v>
      </c>
      <c r="Q231" s="5" t="s">
        <v>50</v>
      </c>
      <c r="R231" s="5">
        <v>200000</v>
      </c>
      <c r="S231" s="5">
        <v>0</v>
      </c>
      <c r="T231" s="5">
        <v>8000</v>
      </c>
      <c r="U231" s="5">
        <v>208000</v>
      </c>
      <c r="V231" s="5" t="s">
        <v>1374</v>
      </c>
      <c r="W231" s="5" t="s">
        <v>36</v>
      </c>
      <c r="X231" s="5" t="s">
        <v>83</v>
      </c>
      <c r="Y231" s="5" t="s">
        <v>24</v>
      </c>
      <c r="Z231" s="5" t="s">
        <v>1375</v>
      </c>
      <c r="AA231" s="5" t="s">
        <v>69</v>
      </c>
      <c r="AB231" s="5" t="s">
        <v>1374</v>
      </c>
      <c r="AC231" s="8" t="str">
        <f>HYPERLINK("https://drive.google.com/file/d/1bIE-Vo5q5oegeEeE9CwI7qE7u1qHdmyd/view?usp=drivesdk","Abrir_Factura")</f>
        <v>Abrir_Factura</v>
      </c>
    </row>
    <row r="232" spans="1:31" ht="12.5">
      <c r="A232" s="4">
        <v>45995.383164340281</v>
      </c>
      <c r="B232" s="5">
        <v>89964</v>
      </c>
      <c r="C232" s="5">
        <v>1104819143</v>
      </c>
      <c r="D232" s="5" t="s">
        <v>1376</v>
      </c>
      <c r="F232" s="5" t="s">
        <v>1377</v>
      </c>
      <c r="H232" s="5">
        <v>573004058649</v>
      </c>
      <c r="J232" s="5" t="s">
        <v>1378</v>
      </c>
      <c r="K232" s="5" t="s">
        <v>229</v>
      </c>
      <c r="L232" s="5" t="s">
        <v>1379</v>
      </c>
      <c r="M232" s="5">
        <v>3004058649</v>
      </c>
      <c r="N232" s="6">
        <v>45996</v>
      </c>
      <c r="O232" s="7">
        <v>0.70138888888888884</v>
      </c>
      <c r="P232" s="5">
        <v>1</v>
      </c>
      <c r="Q232" s="5" t="s">
        <v>112</v>
      </c>
      <c r="R232" s="5">
        <v>260000</v>
      </c>
      <c r="S232" s="5">
        <v>0</v>
      </c>
      <c r="T232" s="5">
        <v>11000</v>
      </c>
      <c r="U232" s="5">
        <v>271000</v>
      </c>
      <c r="V232" s="5" t="s">
        <v>1380</v>
      </c>
      <c r="W232" s="5" t="s">
        <v>36</v>
      </c>
      <c r="X232" s="5" t="s">
        <v>83</v>
      </c>
      <c r="Y232" s="5" t="s">
        <v>24</v>
      </c>
      <c r="Z232" s="5" t="s">
        <v>1381</v>
      </c>
      <c r="AA232" s="5" t="s">
        <v>44</v>
      </c>
      <c r="AB232" s="5" t="s">
        <v>1380</v>
      </c>
      <c r="AC232" s="8" t="str">
        <f>HYPERLINK("https://drive.google.com/file/d/12nW8H1GTvD6tzGQ67QSFEwZ7x0wUYcU_/view?usp=drivesdk","Abrir_Factura")</f>
        <v>Abrir_Factura</v>
      </c>
    </row>
    <row r="233" spans="1:31" ht="12.5">
      <c r="A233" s="14">
        <v>45996.329884259256</v>
      </c>
      <c r="B233" s="15">
        <v>89966</v>
      </c>
      <c r="C233" s="15">
        <v>0</v>
      </c>
      <c r="D233" s="16" t="s">
        <v>1382</v>
      </c>
      <c r="E233" s="16"/>
      <c r="F233" s="16" t="s">
        <v>1383</v>
      </c>
      <c r="G233" s="16"/>
      <c r="H233" s="17" t="s">
        <v>1384</v>
      </c>
      <c r="I233" s="16"/>
      <c r="J233" s="16" t="s">
        <v>1385</v>
      </c>
      <c r="K233" s="16" t="s">
        <v>33</v>
      </c>
      <c r="L233" s="16" t="s">
        <v>33</v>
      </c>
      <c r="M233" s="15">
        <v>3004614501</v>
      </c>
      <c r="N233" s="18">
        <v>45996</v>
      </c>
      <c r="O233" s="19">
        <v>0.58333333333333337</v>
      </c>
      <c r="P233" s="15">
        <v>1</v>
      </c>
      <c r="Q233" s="16" t="s">
        <v>42</v>
      </c>
      <c r="R233" s="15">
        <v>0</v>
      </c>
      <c r="S233" s="15">
        <v>0</v>
      </c>
      <c r="T233" s="15">
        <v>0</v>
      </c>
      <c r="U233" s="15">
        <v>0</v>
      </c>
      <c r="V233" s="16"/>
      <c r="W233" s="16" t="s">
        <v>36</v>
      </c>
      <c r="X233" s="16"/>
      <c r="Y233" s="16" t="s">
        <v>24</v>
      </c>
      <c r="Z233" s="16"/>
      <c r="AA233" s="16" t="s">
        <v>44</v>
      </c>
      <c r="AB233" s="16"/>
      <c r="AC233" s="20" t="str">
        <f>HYPERLINK("https://drive.google.com/file/d/16vKHgVSOunjxhQnUIJXWO2fTUIcMRonC/view","Abrir_Factura")</f>
        <v>Abrir_Factura</v>
      </c>
      <c r="AD233" s="16"/>
      <c r="AE233" s="16"/>
    </row>
    <row r="234" spans="1:31" ht="12.5">
      <c r="A234" s="4">
        <v>45996.333404965277</v>
      </c>
      <c r="B234" s="5">
        <v>89967</v>
      </c>
      <c r="C234" s="5">
        <v>0</v>
      </c>
      <c r="D234" s="5" t="s">
        <v>1386</v>
      </c>
      <c r="F234" s="5" t="s">
        <v>1387</v>
      </c>
      <c r="H234" s="5">
        <v>570000</v>
      </c>
      <c r="J234" s="5" t="s">
        <v>1387</v>
      </c>
      <c r="K234" s="5" t="s">
        <v>33</v>
      </c>
      <c r="L234" s="5" t="s">
        <v>34</v>
      </c>
      <c r="M234" s="10" t="s">
        <v>678</v>
      </c>
      <c r="N234" s="6">
        <v>46002</v>
      </c>
      <c r="O234" s="7">
        <v>0.375</v>
      </c>
      <c r="P234" s="5">
        <v>1</v>
      </c>
      <c r="Q234" s="5" t="s">
        <v>42</v>
      </c>
      <c r="R234" s="5">
        <v>640000</v>
      </c>
      <c r="S234" s="5">
        <v>0</v>
      </c>
      <c r="T234" s="5">
        <v>0</v>
      </c>
      <c r="U234" s="5">
        <v>640000</v>
      </c>
      <c r="W234" s="5" t="s">
        <v>36</v>
      </c>
      <c r="X234" s="5" t="s">
        <v>43</v>
      </c>
      <c r="Y234" s="5" t="s">
        <v>24</v>
      </c>
      <c r="AA234" s="5" t="s">
        <v>44</v>
      </c>
      <c r="AB234" s="5" t="s">
        <v>1388</v>
      </c>
      <c r="AC234" s="8" t="str">
        <f>HYPERLINK("https://drive.google.com/file/d/1ZgSPXaLwAK-gexKylSoopPu4viGbfEw3/view?usp=drivesdk","Abrir_Factura")</f>
        <v>Abrir_Factura</v>
      </c>
    </row>
    <row r="235" spans="1:31" ht="25.5" customHeight="1">
      <c r="A235" s="4">
        <v>45996.328767974541</v>
      </c>
      <c r="B235" s="5">
        <v>89968</v>
      </c>
      <c r="C235" s="5">
        <v>1140880381</v>
      </c>
      <c r="D235" s="5" t="s">
        <v>1389</v>
      </c>
      <c r="F235" s="5" t="s">
        <v>1390</v>
      </c>
      <c r="H235" s="5">
        <v>573003168380</v>
      </c>
      <c r="J235" s="5" t="s">
        <v>1391</v>
      </c>
      <c r="K235" s="5"/>
      <c r="L235" s="5" t="s">
        <v>1392</v>
      </c>
      <c r="M235" s="5">
        <v>3218516749</v>
      </c>
      <c r="N235" s="6">
        <v>45996</v>
      </c>
      <c r="O235" s="7">
        <v>0.36944444444444446</v>
      </c>
      <c r="P235" s="5">
        <v>1</v>
      </c>
      <c r="Q235" s="5" t="s">
        <v>1393</v>
      </c>
      <c r="R235" s="5">
        <v>550000</v>
      </c>
      <c r="S235" s="5">
        <v>0</v>
      </c>
      <c r="T235" s="5"/>
      <c r="U235" s="5">
        <v>550000</v>
      </c>
      <c r="V235" s="5" t="s">
        <v>1394</v>
      </c>
      <c r="W235" s="5" t="s">
        <v>36</v>
      </c>
      <c r="X235" s="5" t="s">
        <v>83</v>
      </c>
      <c r="Y235" s="5" t="s">
        <v>24</v>
      </c>
      <c r="Z235" s="5" t="s">
        <v>1389</v>
      </c>
      <c r="AA235" s="5" t="s">
        <v>44</v>
      </c>
      <c r="AB235" s="5" t="s">
        <v>1394</v>
      </c>
      <c r="AC235" s="8" t="str">
        <f>HYPERLINK("https://drive.google.com/file/d/12n3v5SJhMpf2-BCTQ5bGBeL6luL8_Yh3/view?usp=drivesdk","Abrir_Factura")</f>
        <v>Abrir_Factura</v>
      </c>
    </row>
    <row r="236" spans="1:31" ht="12.5">
      <c r="A236" s="4">
        <v>45995.794942430555</v>
      </c>
      <c r="B236" s="5">
        <v>89969</v>
      </c>
      <c r="C236" s="5">
        <v>55221593</v>
      </c>
      <c r="D236" s="5" t="s">
        <v>1395</v>
      </c>
      <c r="F236" s="5" t="s">
        <v>1396</v>
      </c>
      <c r="H236" s="5">
        <v>573014098063</v>
      </c>
      <c r="J236" s="5" t="s">
        <v>1397</v>
      </c>
      <c r="K236" s="5" t="s">
        <v>405</v>
      </c>
      <c r="L236" s="5" t="s">
        <v>1398</v>
      </c>
      <c r="M236" s="5">
        <v>3135132539</v>
      </c>
      <c r="N236" s="6">
        <v>45996</v>
      </c>
      <c r="O236" s="7">
        <v>0.58333333333333337</v>
      </c>
      <c r="P236" s="5">
        <v>1</v>
      </c>
      <c r="Q236" s="5" t="s">
        <v>458</v>
      </c>
      <c r="R236" s="5">
        <v>320000</v>
      </c>
      <c r="S236" s="5">
        <v>0</v>
      </c>
      <c r="T236" s="5">
        <v>30000</v>
      </c>
      <c r="U236" s="5">
        <v>350000</v>
      </c>
      <c r="V236" s="5" t="s">
        <v>1399</v>
      </c>
      <c r="W236" s="5" t="s">
        <v>36</v>
      </c>
      <c r="X236" s="5" t="s">
        <v>180</v>
      </c>
      <c r="Y236" s="5" t="s">
        <v>24</v>
      </c>
      <c r="Z236" s="5" t="s">
        <v>1400</v>
      </c>
      <c r="AA236" s="5" t="s">
        <v>44</v>
      </c>
      <c r="AB236" s="5" t="s">
        <v>1399</v>
      </c>
      <c r="AC236" s="8" t="str">
        <f>HYPERLINK("https://drive.google.com/file/d/1GTyTmhA5HS7LJV4olXPFrj70-xGcNJkT/view?usp=drivesdk","Abrir_Factura")</f>
        <v>Abrir_Factura</v>
      </c>
    </row>
    <row r="237" spans="1:31" ht="12.5">
      <c r="A237" s="4">
        <v>45996.28024143519</v>
      </c>
      <c r="B237" s="5">
        <v>89970</v>
      </c>
      <c r="C237" s="5">
        <v>1140879266</v>
      </c>
      <c r="D237" s="5" t="s">
        <v>1401</v>
      </c>
      <c r="F237" s="5" t="s">
        <v>1402</v>
      </c>
      <c r="H237" s="5">
        <v>573053819169</v>
      </c>
      <c r="J237" s="5" t="s">
        <v>1403</v>
      </c>
      <c r="K237" s="5" t="s">
        <v>265</v>
      </c>
      <c r="L237" s="5" t="s">
        <v>1404</v>
      </c>
      <c r="M237" s="5">
        <v>3135951817</v>
      </c>
      <c r="N237" s="6">
        <v>46000</v>
      </c>
      <c r="O237" s="7">
        <v>0.3125</v>
      </c>
      <c r="P237" s="5">
        <v>1</v>
      </c>
      <c r="Q237" s="5" t="s">
        <v>309</v>
      </c>
      <c r="R237" s="5">
        <v>80000</v>
      </c>
      <c r="S237" s="5">
        <v>0</v>
      </c>
      <c r="T237" s="5">
        <v>17000</v>
      </c>
      <c r="U237" s="5">
        <v>97000</v>
      </c>
      <c r="V237" s="5" t="s">
        <v>1405</v>
      </c>
      <c r="W237" s="5" t="s">
        <v>36</v>
      </c>
      <c r="X237" s="5" t="s">
        <v>98</v>
      </c>
      <c r="Y237" s="5" t="s">
        <v>24</v>
      </c>
      <c r="Z237" s="5" t="s">
        <v>1406</v>
      </c>
      <c r="AA237" s="5" t="s">
        <v>44</v>
      </c>
      <c r="AB237" s="5" t="s">
        <v>1405</v>
      </c>
      <c r="AC237" s="8" t="str">
        <f>HYPERLINK("https://drive.google.com/file/d/18RRWEXfA1Y6pZ9bcD-XRrdM-RLybQ0Vz/view?usp=drivesdk","Abrir_Factura")</f>
        <v>Abrir_Factura</v>
      </c>
    </row>
    <row r="238" spans="1:31" ht="12.5">
      <c r="A238" s="4">
        <v>45996.370980752312</v>
      </c>
      <c r="B238" s="5">
        <v>89971</v>
      </c>
      <c r="C238" s="5">
        <v>1042446851</v>
      </c>
      <c r="D238" s="5" t="s">
        <v>1407</v>
      </c>
      <c r="F238" s="5" t="s">
        <v>31</v>
      </c>
      <c r="H238" s="5">
        <v>572405697041</v>
      </c>
      <c r="J238" s="5" t="s">
        <v>1408</v>
      </c>
      <c r="K238" s="5" t="s">
        <v>33</v>
      </c>
      <c r="L238" s="5" t="s">
        <v>34</v>
      </c>
      <c r="M238" s="5">
        <v>2405697041</v>
      </c>
      <c r="N238" s="6">
        <v>45996</v>
      </c>
      <c r="O238" s="7">
        <v>0.45694444444444443</v>
      </c>
      <c r="P238" s="5">
        <v>1</v>
      </c>
      <c r="Q238" s="5" t="s">
        <v>178</v>
      </c>
      <c r="R238" s="5">
        <v>100000</v>
      </c>
      <c r="S238" s="5">
        <v>0</v>
      </c>
      <c r="T238" s="5">
        <v>0</v>
      </c>
      <c r="U238" s="5">
        <v>100000</v>
      </c>
      <c r="W238" s="5" t="s">
        <v>36</v>
      </c>
      <c r="X238" s="5" t="s">
        <v>43</v>
      </c>
      <c r="Y238" s="5" t="s">
        <v>24</v>
      </c>
      <c r="AA238" s="5" t="s">
        <v>44</v>
      </c>
      <c r="AC238" s="8" t="str">
        <f>HYPERLINK("https://drive.google.com/file/d/1i4hG-yG30AQkciA3hATEOE1h_6udLJzz/view?usp=drivesdk","Abrir_Factura")</f>
        <v>Abrir_Factura</v>
      </c>
    </row>
    <row r="239" spans="1:31" ht="12.5">
      <c r="A239" s="4">
        <v>45996.400788680556</v>
      </c>
      <c r="B239" s="5">
        <v>89972</v>
      </c>
      <c r="C239" s="5">
        <v>1067909949</v>
      </c>
      <c r="D239" s="5" t="s">
        <v>1409</v>
      </c>
      <c r="F239" s="5" t="s">
        <v>31</v>
      </c>
      <c r="H239" s="5">
        <v>572405699071</v>
      </c>
      <c r="J239" s="5" t="s">
        <v>1410</v>
      </c>
      <c r="K239" s="5" t="s">
        <v>33</v>
      </c>
      <c r="L239" s="5" t="s">
        <v>34</v>
      </c>
      <c r="M239" s="5">
        <v>2405699071</v>
      </c>
      <c r="N239" s="6">
        <v>45996</v>
      </c>
      <c r="O239" s="7">
        <v>0.48680555555555555</v>
      </c>
      <c r="P239" s="5">
        <v>1</v>
      </c>
      <c r="Q239" s="5" t="s">
        <v>309</v>
      </c>
      <c r="R239" s="5">
        <v>80000</v>
      </c>
      <c r="S239" s="5">
        <v>0</v>
      </c>
      <c r="T239" s="5">
        <v>0</v>
      </c>
      <c r="U239" s="5">
        <v>80000</v>
      </c>
      <c r="W239" s="5" t="s">
        <v>36</v>
      </c>
      <c r="X239" s="5" t="s">
        <v>43</v>
      </c>
      <c r="Y239" s="5" t="s">
        <v>24</v>
      </c>
      <c r="AA239" s="5" t="s">
        <v>44</v>
      </c>
      <c r="AC239" s="8" t="str">
        <f>HYPERLINK("https://drive.google.com/file/d/1cXb8cLfBSmue9yV5_V1hc7uuMuagxTNh/view?usp=drivesdk","Abrir_Factura")</f>
        <v>Abrir_Factura</v>
      </c>
    </row>
    <row r="240" spans="1:31" ht="12.5">
      <c r="A240" s="4">
        <v>45996.394848518517</v>
      </c>
      <c r="B240" s="5">
        <v>89973</v>
      </c>
      <c r="C240" s="5">
        <v>1234096683</v>
      </c>
      <c r="D240" s="5" t="s">
        <v>1411</v>
      </c>
      <c r="F240" s="5" t="s">
        <v>1412</v>
      </c>
      <c r="H240" s="5">
        <v>34641179836</v>
      </c>
      <c r="J240" s="5" t="s">
        <v>1413</v>
      </c>
      <c r="K240" s="5" t="s">
        <v>886</v>
      </c>
      <c r="L240" s="5" t="s">
        <v>1414</v>
      </c>
      <c r="M240" s="5" t="s">
        <v>25421</v>
      </c>
      <c r="N240" s="6">
        <v>45996</v>
      </c>
      <c r="O240" s="7">
        <v>0.72916666666666663</v>
      </c>
      <c r="P240" s="5">
        <v>1</v>
      </c>
      <c r="Q240" s="5" t="s">
        <v>309</v>
      </c>
      <c r="R240" s="5">
        <v>80000</v>
      </c>
      <c r="S240" s="5">
        <v>0</v>
      </c>
      <c r="T240" s="5">
        <v>10000</v>
      </c>
      <c r="U240" s="5">
        <v>90000</v>
      </c>
      <c r="V240" s="5" t="s">
        <v>1415</v>
      </c>
      <c r="W240" s="5" t="s">
        <v>36</v>
      </c>
      <c r="X240" s="5" t="s">
        <v>83</v>
      </c>
      <c r="Y240" s="5" t="s">
        <v>24</v>
      </c>
      <c r="Z240" s="5" t="s">
        <v>1416</v>
      </c>
      <c r="AA240" s="5" t="s">
        <v>44</v>
      </c>
      <c r="AB240" s="5" t="s">
        <v>1415</v>
      </c>
      <c r="AC240" s="8" t="str">
        <f>HYPERLINK("https://drive.google.com/file/d/1NjfFdD5GAtADhzdoAo3aX8eJhYeuL1Z9/view?usp=drivesdk","Abrir_Factura")</f>
        <v>Abrir_Factura</v>
      </c>
    </row>
    <row r="241" spans="1:29" ht="12.5">
      <c r="A241" s="4">
        <v>45996.398595335646</v>
      </c>
      <c r="B241" s="5">
        <v>89974</v>
      </c>
      <c r="C241" s="5">
        <v>9014971561</v>
      </c>
      <c r="D241" s="5" t="s">
        <v>1417</v>
      </c>
      <c r="F241" s="5" t="s">
        <v>1418</v>
      </c>
      <c r="H241" s="5">
        <v>573044617821</v>
      </c>
      <c r="J241" s="5" t="s">
        <v>1419</v>
      </c>
      <c r="K241" s="5" t="s">
        <v>33</v>
      </c>
      <c r="L241" s="5" t="s">
        <v>34</v>
      </c>
      <c r="M241" s="5">
        <v>3108165696</v>
      </c>
      <c r="N241" s="6">
        <v>45996</v>
      </c>
      <c r="O241" s="7">
        <v>0.48472222222222222</v>
      </c>
      <c r="P241" s="5">
        <v>1</v>
      </c>
      <c r="Q241" s="5" t="s">
        <v>259</v>
      </c>
      <c r="R241" s="5">
        <v>190000</v>
      </c>
      <c r="S241" s="5">
        <v>0</v>
      </c>
      <c r="T241" s="5">
        <v>0</v>
      </c>
      <c r="U241" s="5">
        <v>190000</v>
      </c>
      <c r="V241" s="5" t="s">
        <v>1420</v>
      </c>
      <c r="W241" s="5" t="s">
        <v>36</v>
      </c>
      <c r="X241" s="5" t="s">
        <v>51</v>
      </c>
      <c r="Y241" s="5" t="s">
        <v>24</v>
      </c>
      <c r="Z241" s="5" t="s">
        <v>1421</v>
      </c>
      <c r="AA241" s="5" t="s">
        <v>44</v>
      </c>
      <c r="AB241" s="5" t="s">
        <v>1420</v>
      </c>
      <c r="AC241" s="8" t="str">
        <f>HYPERLINK("https://drive.google.com/file/d/1GTOPUBbFST7y6xjYTG1yT7joZj_Ffgop/view?usp=drivesdk","Abrir_Factura")</f>
        <v>Abrir_Factura</v>
      </c>
    </row>
    <row r="242" spans="1:29" ht="12.5">
      <c r="A242" s="4">
        <v>45996.398718657409</v>
      </c>
      <c r="B242" s="5">
        <v>89975</v>
      </c>
      <c r="C242" s="5">
        <v>1001886423</v>
      </c>
      <c r="D242" s="5" t="s">
        <v>1422</v>
      </c>
      <c r="F242" s="5" t="s">
        <v>1423</v>
      </c>
      <c r="H242" s="5">
        <v>573178723007</v>
      </c>
      <c r="J242" s="5" t="s">
        <v>1424</v>
      </c>
      <c r="K242" s="5" t="s">
        <v>33</v>
      </c>
      <c r="L242" s="5" t="s">
        <v>34</v>
      </c>
      <c r="M242" s="5">
        <v>3178723007</v>
      </c>
      <c r="N242" s="6">
        <v>45997</v>
      </c>
      <c r="O242" s="7">
        <v>0.38541666666666669</v>
      </c>
      <c r="P242" s="5">
        <v>1</v>
      </c>
      <c r="Q242" s="5" t="s">
        <v>435</v>
      </c>
      <c r="R242" s="5">
        <v>60000</v>
      </c>
      <c r="S242" s="5">
        <v>0</v>
      </c>
      <c r="T242" s="5">
        <v>0</v>
      </c>
      <c r="U242" s="5">
        <v>60000</v>
      </c>
      <c r="V242" s="5" t="s">
        <v>1425</v>
      </c>
      <c r="W242" s="5" t="s">
        <v>36</v>
      </c>
      <c r="X242" s="5" t="s">
        <v>83</v>
      </c>
      <c r="Y242" s="5" t="s">
        <v>24</v>
      </c>
      <c r="Z242" s="5" t="s">
        <v>1426</v>
      </c>
      <c r="AA242" s="5" t="s">
        <v>44</v>
      </c>
      <c r="AB242" s="5" t="s">
        <v>1427</v>
      </c>
      <c r="AC242" s="8" t="str">
        <f>HYPERLINK("https://drive.google.com/file/d/18bmmJPMARtn-IEfoFQWO6S6E7RRg4smq/view?usp=drivesdk","Abrir_Factura")</f>
        <v>Abrir_Factura</v>
      </c>
    </row>
    <row r="243" spans="1:29" ht="12.5">
      <c r="A243" s="4">
        <v>45996.42270383102</v>
      </c>
      <c r="B243" s="5">
        <v>89976</v>
      </c>
      <c r="C243" s="5">
        <v>1140857152</v>
      </c>
      <c r="D243" s="5" t="s">
        <v>1428</v>
      </c>
      <c r="F243" s="5" t="s">
        <v>1429</v>
      </c>
      <c r="H243" s="5">
        <v>573118599812</v>
      </c>
      <c r="J243" s="5" t="s">
        <v>1430</v>
      </c>
      <c r="K243" s="5" t="s">
        <v>73</v>
      </c>
      <c r="L243" s="5" t="s">
        <v>1431</v>
      </c>
      <c r="M243" s="5">
        <v>3118599812</v>
      </c>
      <c r="N243" s="6">
        <v>46000</v>
      </c>
      <c r="O243" s="7">
        <v>0.37777777777777777</v>
      </c>
      <c r="P243" s="5">
        <v>1</v>
      </c>
      <c r="Q243" s="5" t="s">
        <v>1432</v>
      </c>
      <c r="R243" s="5">
        <v>170000</v>
      </c>
      <c r="S243" s="5">
        <v>0</v>
      </c>
      <c r="T243" s="5">
        <v>10000</v>
      </c>
      <c r="U243" s="5">
        <v>180000</v>
      </c>
      <c r="V243" s="5" t="s">
        <v>1433</v>
      </c>
      <c r="W243" s="5" t="s">
        <v>36</v>
      </c>
      <c r="X243" s="5" t="s">
        <v>83</v>
      </c>
      <c r="Y243" s="5" t="s">
        <v>24</v>
      </c>
      <c r="Z243" s="5" t="s">
        <v>1434</v>
      </c>
      <c r="AA243" s="5" t="s">
        <v>44</v>
      </c>
      <c r="AB243" s="5" t="s">
        <v>1435</v>
      </c>
      <c r="AC243" s="8" t="str">
        <f>HYPERLINK("https://drive.google.com/file/d/1QMg41jWKlaMuiFN9x0t8x_YBJ4We6nQo/view?usp=drivesdk","Abrir_Factura")</f>
        <v>Abrir_Factura</v>
      </c>
    </row>
    <row r="244" spans="1:29" ht="12.5">
      <c r="A244" s="4">
        <v>45996.448889756939</v>
      </c>
      <c r="B244" s="5">
        <v>89977</v>
      </c>
      <c r="C244" s="5">
        <v>1001870697</v>
      </c>
      <c r="D244" s="5" t="s">
        <v>1436</v>
      </c>
      <c r="F244" s="5" t="s">
        <v>37</v>
      </c>
      <c r="H244" s="5">
        <v>572405707114</v>
      </c>
      <c r="J244" s="5" t="s">
        <v>1436</v>
      </c>
      <c r="K244" s="5" t="s">
        <v>33</v>
      </c>
      <c r="L244" s="5" t="s">
        <v>34</v>
      </c>
      <c r="M244" s="5">
        <v>2405707114</v>
      </c>
      <c r="N244" s="6">
        <v>45996</v>
      </c>
      <c r="O244" s="7">
        <v>0.53472222222222221</v>
      </c>
      <c r="P244" s="5">
        <v>1</v>
      </c>
      <c r="Q244" s="5" t="s">
        <v>309</v>
      </c>
      <c r="R244" s="5">
        <v>80000</v>
      </c>
      <c r="S244" s="5">
        <v>0</v>
      </c>
      <c r="T244" s="5">
        <v>0</v>
      </c>
      <c r="U244" s="5">
        <v>80000</v>
      </c>
      <c r="W244" s="5" t="s">
        <v>36</v>
      </c>
      <c r="X244" s="5" t="s">
        <v>43</v>
      </c>
      <c r="Y244" s="5" t="s">
        <v>24</v>
      </c>
      <c r="AA244" s="5" t="s">
        <v>44</v>
      </c>
      <c r="AC244" s="8" t="str">
        <f>HYPERLINK("https://drive.google.com/file/d/1u8mhlGxMUuQozFlxCQl7dZ3Vj-d2kCT4/view?usp=drivesdk","Abrir_Factura")</f>
        <v>Abrir_Factura</v>
      </c>
    </row>
    <row r="245" spans="1:29" ht="18" customHeight="1">
      <c r="A245" s="4">
        <v>45996.414181759261</v>
      </c>
      <c r="B245" s="5">
        <v>89978</v>
      </c>
      <c r="C245" s="5">
        <v>1192904524</v>
      </c>
      <c r="D245" s="5" t="s">
        <v>1437</v>
      </c>
      <c r="F245" s="5" t="s">
        <v>1438</v>
      </c>
      <c r="H245" s="5">
        <v>573106766679</v>
      </c>
      <c r="J245" s="5" t="s">
        <v>1439</v>
      </c>
      <c r="K245" s="5" t="s">
        <v>265</v>
      </c>
      <c r="L245" s="5" t="s">
        <v>1440</v>
      </c>
      <c r="M245" s="5">
        <v>3106766679</v>
      </c>
      <c r="N245" s="6">
        <v>45996</v>
      </c>
      <c r="O245" s="7">
        <v>0.54166666666666663</v>
      </c>
      <c r="P245" s="5">
        <v>1</v>
      </c>
      <c r="Q245" s="5" t="s">
        <v>1126</v>
      </c>
      <c r="R245" s="5">
        <v>300000</v>
      </c>
      <c r="S245" s="5">
        <v>0</v>
      </c>
      <c r="T245" s="5">
        <v>17000</v>
      </c>
      <c r="U245" s="5">
        <v>317000</v>
      </c>
      <c r="V245" s="5" t="s">
        <v>1441</v>
      </c>
      <c r="W245" s="5" t="s">
        <v>36</v>
      </c>
      <c r="X245" s="5" t="s">
        <v>83</v>
      </c>
      <c r="Y245" s="5" t="s">
        <v>24</v>
      </c>
      <c r="Z245" s="5" t="s">
        <v>1442</v>
      </c>
      <c r="AA245" s="5" t="s">
        <v>69</v>
      </c>
      <c r="AB245" s="5"/>
      <c r="AC245" s="8" t="str">
        <f>HYPERLINK("https://drive.google.com/file/d/1lomiYqmKOgC45uP99ZIuWO2RFXua3V3z/view?usp=drivesdk","Abrir_Factura")</f>
        <v>Abrir_Factura</v>
      </c>
    </row>
    <row r="246" spans="1:29" ht="17.25" customHeight="1">
      <c r="A246" s="4">
        <v>45996.442457870369</v>
      </c>
      <c r="B246" s="5">
        <v>89979</v>
      </c>
      <c r="C246" s="5">
        <v>1004110016</v>
      </c>
      <c r="D246" s="5" t="s">
        <v>1443</v>
      </c>
      <c r="F246" s="5" t="s">
        <v>1444</v>
      </c>
      <c r="H246" s="5">
        <v>573016816328</v>
      </c>
      <c r="J246" s="5" t="s">
        <v>1445</v>
      </c>
      <c r="K246" s="5" t="s">
        <v>110</v>
      </c>
      <c r="L246" s="5" t="s">
        <v>1446</v>
      </c>
      <c r="M246" s="5">
        <v>3012219835</v>
      </c>
      <c r="N246" s="6">
        <v>45996</v>
      </c>
      <c r="O246" s="7">
        <v>0.52638888888888891</v>
      </c>
      <c r="P246" s="5">
        <v>1</v>
      </c>
      <c r="Q246" s="5" t="s">
        <v>75</v>
      </c>
      <c r="R246" s="5">
        <v>70000</v>
      </c>
      <c r="S246" s="5">
        <v>0</v>
      </c>
      <c r="T246" s="5">
        <v>6000</v>
      </c>
      <c r="U246" s="5">
        <v>76000</v>
      </c>
      <c r="V246" s="5" t="s">
        <v>1447</v>
      </c>
      <c r="W246" s="5" t="s">
        <v>36</v>
      </c>
      <c r="X246" s="5" t="s">
        <v>67</v>
      </c>
      <c r="Y246" s="5" t="s">
        <v>24</v>
      </c>
      <c r="Z246" s="5" t="s">
        <v>1448</v>
      </c>
      <c r="AA246" s="5" t="s">
        <v>44</v>
      </c>
      <c r="AB246" s="5" t="s">
        <v>1447</v>
      </c>
      <c r="AC246" s="8" t="str">
        <f>HYPERLINK("https://drive.google.com/file/d/1qYfxsMDU3oAbYT09eLsHaDdEXFjCuMlc/view?usp=drivesdk","Abrir_Factura")</f>
        <v>Abrir_Factura</v>
      </c>
    </row>
    <row r="247" spans="1:29" ht="12.5">
      <c r="A247" s="4">
        <v>45996.463326759258</v>
      </c>
      <c r="B247" s="5">
        <v>89980</v>
      </c>
      <c r="C247" s="5">
        <v>52417265</v>
      </c>
      <c r="D247" s="5" t="s">
        <v>1449</v>
      </c>
      <c r="F247" s="5" t="s">
        <v>1450</v>
      </c>
      <c r="H247" s="5">
        <v>573002627762</v>
      </c>
      <c r="J247" s="5" t="s">
        <v>1451</v>
      </c>
      <c r="K247" s="5" t="s">
        <v>33</v>
      </c>
      <c r="L247" s="5" t="s">
        <v>34</v>
      </c>
      <c r="M247" s="5" t="s">
        <v>1452</v>
      </c>
      <c r="N247" s="6">
        <v>45996</v>
      </c>
      <c r="O247" s="7">
        <v>0.54652777777777772</v>
      </c>
      <c r="P247" s="5">
        <v>1</v>
      </c>
      <c r="Q247" s="5" t="s">
        <v>42</v>
      </c>
      <c r="R247" s="5">
        <v>125000</v>
      </c>
      <c r="S247" s="5">
        <v>0</v>
      </c>
      <c r="T247" s="5">
        <v>0</v>
      </c>
      <c r="U247" s="5">
        <v>125000</v>
      </c>
      <c r="W247" s="5" t="s">
        <v>36</v>
      </c>
      <c r="X247" s="5" t="s">
        <v>43</v>
      </c>
      <c r="Y247" s="5" t="s">
        <v>24</v>
      </c>
      <c r="AA247" s="5" t="s">
        <v>44</v>
      </c>
      <c r="AB247" s="5" t="s">
        <v>1453</v>
      </c>
      <c r="AC247" s="8" t="str">
        <f>HYPERLINK("https://drive.google.com/file/d/1VjYBT8XEV2h3l3Pc6-MCbIPnEbJg6CxT/view?usp=drivesdk","Abrir_Factura")</f>
        <v>Abrir_Factura</v>
      </c>
    </row>
    <row r="248" spans="1:29" ht="12.5">
      <c r="A248" s="4">
        <v>45996.446786701388</v>
      </c>
      <c r="B248" s="5">
        <v>89981</v>
      </c>
      <c r="C248" s="5">
        <v>1140885414</v>
      </c>
      <c r="D248" s="5" t="s">
        <v>1349</v>
      </c>
      <c r="F248" s="5" t="s">
        <v>1454</v>
      </c>
      <c r="H248" s="5">
        <v>573022842643</v>
      </c>
      <c r="J248" s="5" t="s">
        <v>1455</v>
      </c>
      <c r="K248" s="5" t="s">
        <v>103</v>
      </c>
      <c r="L248" s="5" t="s">
        <v>1456</v>
      </c>
      <c r="M248" s="5">
        <v>3008089173</v>
      </c>
      <c r="N248" s="6">
        <v>45996</v>
      </c>
      <c r="O248" s="7">
        <v>0.52569444444444446</v>
      </c>
      <c r="P248" s="5">
        <v>1</v>
      </c>
      <c r="Q248" s="5" t="s">
        <v>747</v>
      </c>
      <c r="R248" s="5">
        <v>300000</v>
      </c>
      <c r="S248" s="5">
        <v>0</v>
      </c>
      <c r="T248" s="5">
        <v>10000</v>
      </c>
      <c r="U248" s="5">
        <v>310000</v>
      </c>
      <c r="V248" s="5" t="s">
        <v>1457</v>
      </c>
      <c r="W248" s="5" t="s">
        <v>36</v>
      </c>
      <c r="X248" s="5" t="s">
        <v>67</v>
      </c>
      <c r="Y248" s="5" t="s">
        <v>24</v>
      </c>
      <c r="Z248" s="5" t="s">
        <v>1458</v>
      </c>
      <c r="AA248" s="5" t="s">
        <v>69</v>
      </c>
      <c r="AB248" s="5" t="s">
        <v>1457</v>
      </c>
      <c r="AC248" s="8" t="str">
        <f>HYPERLINK("https://drive.google.com/file/d/1bQfd6xx7L_5yVA8FIDKNGU25h2-lw-sc/view?usp=drivesdk","Abrir_Factura")</f>
        <v>Abrir_Factura</v>
      </c>
    </row>
    <row r="249" spans="1:29" ht="12.5">
      <c r="A249" s="4">
        <v>45996.439314895833</v>
      </c>
      <c r="B249" s="5">
        <v>89982</v>
      </c>
      <c r="C249" s="5">
        <v>1140825501</v>
      </c>
      <c r="D249" s="5" t="s">
        <v>1459</v>
      </c>
      <c r="F249" s="5" t="s">
        <v>1460</v>
      </c>
      <c r="H249" s="5">
        <v>573012238829</v>
      </c>
      <c r="J249" s="5" t="s">
        <v>1461</v>
      </c>
      <c r="K249" s="5" t="s">
        <v>63</v>
      </c>
      <c r="L249" s="5" t="s">
        <v>1462</v>
      </c>
      <c r="M249" s="5">
        <v>3012238829</v>
      </c>
      <c r="N249" s="6">
        <v>45997</v>
      </c>
      <c r="O249" s="7">
        <v>0.4375</v>
      </c>
      <c r="P249" s="5">
        <v>1</v>
      </c>
      <c r="Q249" s="5" t="s">
        <v>187</v>
      </c>
      <c r="R249" s="5">
        <v>200000</v>
      </c>
      <c r="S249" s="5">
        <v>0</v>
      </c>
      <c r="T249" s="5">
        <v>17000</v>
      </c>
      <c r="U249" s="5">
        <v>217000</v>
      </c>
      <c r="V249" s="5" t="s">
        <v>1463</v>
      </c>
      <c r="W249" s="5" t="s">
        <v>36</v>
      </c>
      <c r="X249" s="5" t="s">
        <v>67</v>
      </c>
      <c r="Y249" s="5" t="s">
        <v>24</v>
      </c>
      <c r="Z249" s="5" t="s">
        <v>1464</v>
      </c>
      <c r="AA249" s="5" t="s">
        <v>69</v>
      </c>
      <c r="AB249" s="5"/>
      <c r="AC249" s="8" t="str">
        <f>HYPERLINK("https://drive.google.com/file/d/1Jx3XlxvzQrWxYxcKoWs-S171uXVAiNJz/view?usp=drivesdk","Abrir_Factura")</f>
        <v>Abrir_Factura</v>
      </c>
    </row>
    <row r="250" spans="1:29" ht="12.5">
      <c r="A250" s="4">
        <v>45996.474841840274</v>
      </c>
      <c r="B250" s="5">
        <v>89983</v>
      </c>
      <c r="C250" s="5">
        <v>1042851095</v>
      </c>
      <c r="D250" s="5" t="s">
        <v>1465</v>
      </c>
      <c r="F250" s="5" t="s">
        <v>1466</v>
      </c>
      <c r="H250" s="5">
        <v>573216984162</v>
      </c>
      <c r="J250" s="5" t="s">
        <v>1467</v>
      </c>
      <c r="K250" s="5" t="s">
        <v>154</v>
      </c>
      <c r="L250" s="5" t="s">
        <v>1468</v>
      </c>
      <c r="M250" s="5">
        <v>3216984162</v>
      </c>
      <c r="N250" s="6">
        <v>45996</v>
      </c>
      <c r="O250" s="7">
        <v>0.55694444444444446</v>
      </c>
      <c r="P250" s="5">
        <v>1</v>
      </c>
      <c r="Q250" s="5" t="s">
        <v>375</v>
      </c>
      <c r="R250" s="5">
        <v>70000</v>
      </c>
      <c r="S250" s="5">
        <v>0</v>
      </c>
      <c r="T250" s="5">
        <v>8000</v>
      </c>
      <c r="U250" s="5">
        <v>78000</v>
      </c>
      <c r="V250" s="5" t="s">
        <v>1469</v>
      </c>
      <c r="W250" s="5" t="s">
        <v>36</v>
      </c>
      <c r="X250" s="5" t="s">
        <v>67</v>
      </c>
      <c r="Y250" s="5" t="s">
        <v>24</v>
      </c>
      <c r="Z250" s="5" t="s">
        <v>1470</v>
      </c>
      <c r="AA250" s="5" t="s">
        <v>69</v>
      </c>
      <c r="AB250" s="5"/>
      <c r="AC250" s="8" t="str">
        <f>HYPERLINK("https://drive.google.com/file/d/1N1DyArYM8Fkh0z-oqf-0FEBde-muTpwV/view?usp=drivesdk","Abrir_Factura")</f>
        <v>Abrir_Factura</v>
      </c>
    </row>
    <row r="251" spans="1:29" ht="12.5">
      <c r="A251" s="4">
        <v>45996.487628680552</v>
      </c>
      <c r="B251" s="5">
        <v>89984</v>
      </c>
      <c r="C251" s="5">
        <v>77025113</v>
      </c>
      <c r="D251" s="5" t="s">
        <v>1471</v>
      </c>
      <c r="F251" s="5" t="s">
        <v>1472</v>
      </c>
      <c r="H251" s="5">
        <v>57164531944</v>
      </c>
      <c r="J251" s="5" t="s">
        <v>1473</v>
      </c>
      <c r="K251" s="5" t="s">
        <v>33</v>
      </c>
      <c r="L251" s="5" t="s">
        <v>34</v>
      </c>
      <c r="M251" s="5">
        <v>164531944</v>
      </c>
      <c r="N251" s="6">
        <v>45996</v>
      </c>
      <c r="O251" s="7">
        <v>0.57361111111111107</v>
      </c>
      <c r="P251" s="5">
        <v>2</v>
      </c>
      <c r="Q251" s="5" t="s">
        <v>1139</v>
      </c>
      <c r="R251" s="5">
        <v>140000</v>
      </c>
      <c r="S251" s="5">
        <v>0</v>
      </c>
      <c r="T251" s="5">
        <v>0</v>
      </c>
      <c r="U251" s="5">
        <v>140000</v>
      </c>
      <c r="W251" s="5" t="s">
        <v>36</v>
      </c>
      <c r="X251" s="5" t="s">
        <v>196</v>
      </c>
      <c r="Y251" s="5" t="s">
        <v>24</v>
      </c>
      <c r="AA251" s="5" t="s">
        <v>44</v>
      </c>
      <c r="AC251" s="8" t="str">
        <f>HYPERLINK("https://drive.google.com/file/d/1QNIm6LYyVbLN4rwAlNyLxsK6U0WVQVYI/view?usp=drivesdk","Abrir_Factura")</f>
        <v>Abrir_Factura</v>
      </c>
    </row>
    <row r="252" spans="1:29" ht="12.5">
      <c r="A252" s="4">
        <v>45996.503369814818</v>
      </c>
      <c r="B252" s="5">
        <v>89985</v>
      </c>
      <c r="C252" s="5">
        <v>1067892386</v>
      </c>
      <c r="D252" s="5" t="s">
        <v>1474</v>
      </c>
      <c r="F252" s="5" t="s">
        <v>1475</v>
      </c>
      <c r="H252" s="5">
        <v>573222850609</v>
      </c>
      <c r="J252" s="5" t="s">
        <v>1476</v>
      </c>
      <c r="K252" s="5" t="s">
        <v>33</v>
      </c>
      <c r="L252" s="5" t="s">
        <v>34</v>
      </c>
      <c r="M252" s="5">
        <v>3222850609</v>
      </c>
      <c r="N252" s="6">
        <v>45996</v>
      </c>
      <c r="O252" s="7">
        <v>0.58819444444444446</v>
      </c>
      <c r="P252" s="5">
        <v>1</v>
      </c>
      <c r="Q252" s="5" t="s">
        <v>178</v>
      </c>
      <c r="R252" s="5">
        <v>100000</v>
      </c>
      <c r="S252" s="5">
        <v>0</v>
      </c>
      <c r="T252" s="5">
        <v>0</v>
      </c>
      <c r="U252" s="5">
        <v>100000</v>
      </c>
      <c r="W252" s="5" t="s">
        <v>36</v>
      </c>
      <c r="X252" s="5" t="s">
        <v>43</v>
      </c>
      <c r="Y252" s="5" t="s">
        <v>24</v>
      </c>
      <c r="AA252" s="5" t="s">
        <v>44</v>
      </c>
      <c r="AB252" s="5" t="s">
        <v>31</v>
      </c>
      <c r="AC252" s="8" t="str">
        <f>HYPERLINK("https://drive.google.com/file/d/1TQ7ya5vGB6CijKbOnlU7wQuJxARn0EaY/view?usp=drivesdk","Abrir_Factura")</f>
        <v>Abrir_Factura</v>
      </c>
    </row>
    <row r="253" spans="1:29" ht="12.5">
      <c r="A253" s="4">
        <v>45995.697081550927</v>
      </c>
      <c r="B253" s="5">
        <v>89986</v>
      </c>
      <c r="C253" s="5">
        <v>80807281</v>
      </c>
      <c r="D253" s="5" t="s">
        <v>600</v>
      </c>
      <c r="F253" s="5" t="s">
        <v>1477</v>
      </c>
      <c r="H253" s="5">
        <v>573178874863</v>
      </c>
      <c r="J253" s="5" t="s">
        <v>1478</v>
      </c>
      <c r="K253" s="5" t="s">
        <v>574</v>
      </c>
      <c r="L253" s="5" t="s">
        <v>1479</v>
      </c>
      <c r="M253" s="5">
        <v>3024641508</v>
      </c>
      <c r="N253" s="6">
        <v>45996</v>
      </c>
      <c r="O253" s="7">
        <v>0.6875</v>
      </c>
      <c r="P253" s="5">
        <v>1</v>
      </c>
      <c r="Q253" s="5" t="s">
        <v>259</v>
      </c>
      <c r="R253" s="5">
        <v>190000</v>
      </c>
      <c r="S253" s="5">
        <v>0</v>
      </c>
      <c r="T253" s="5">
        <v>17000</v>
      </c>
      <c r="U253" s="5">
        <v>207000</v>
      </c>
      <c r="V253" s="5" t="s">
        <v>1480</v>
      </c>
      <c r="W253" s="5" t="s">
        <v>36</v>
      </c>
      <c r="X253" s="5" t="s">
        <v>1481</v>
      </c>
      <c r="Y253" s="5" t="s">
        <v>310</v>
      </c>
      <c r="AA253" s="5" t="s">
        <v>69</v>
      </c>
      <c r="AB253" s="5" t="s">
        <v>1480</v>
      </c>
      <c r="AC253" s="8" t="str">
        <f>HYPERLINK("https://drive.google.com/file/d/1d5b37pzM94Q7wE0mTdYf_VSld2sRUMaf/view?usp=drivesdk","Abrir_Factura")</f>
        <v>Abrir_Factura</v>
      </c>
    </row>
    <row r="254" spans="1:29" ht="12.5">
      <c r="A254" s="4">
        <v>45996.53435710648</v>
      </c>
      <c r="B254" s="5">
        <v>89987</v>
      </c>
      <c r="C254" s="5">
        <v>1042465249</v>
      </c>
      <c r="D254" s="5" t="s">
        <v>1482</v>
      </c>
      <c r="F254" s="5" t="s">
        <v>1483</v>
      </c>
      <c r="H254" s="5">
        <v>57014030939</v>
      </c>
      <c r="J254" s="5" t="s">
        <v>1484</v>
      </c>
      <c r="K254" s="5" t="s">
        <v>33</v>
      </c>
      <c r="L254" s="5" t="s">
        <v>34</v>
      </c>
      <c r="M254" s="5">
        <v>14030939</v>
      </c>
      <c r="N254" s="6">
        <v>45996</v>
      </c>
      <c r="O254" s="7">
        <v>0.62013888888888891</v>
      </c>
      <c r="P254" s="5">
        <v>1</v>
      </c>
      <c r="Q254" s="5" t="s">
        <v>42</v>
      </c>
      <c r="R254" s="5">
        <v>0</v>
      </c>
      <c r="S254" s="5">
        <v>0</v>
      </c>
      <c r="T254" s="5">
        <v>0</v>
      </c>
      <c r="U254" s="5">
        <v>0</v>
      </c>
      <c r="W254" s="5" t="s">
        <v>36</v>
      </c>
      <c r="X254" s="5" t="s">
        <v>51</v>
      </c>
      <c r="Y254" s="5" t="s">
        <v>24</v>
      </c>
      <c r="AA254" s="5" t="s">
        <v>44</v>
      </c>
      <c r="AB254" s="5" t="s">
        <v>1485</v>
      </c>
      <c r="AC254" s="8" t="str">
        <f>HYPERLINK("https://drive.google.com/file/d/1ZN4Y1Q0oIRFtaQun7IDMpxxS2C54dqpO/view?usp=drivesdk","Abrir_Factura")</f>
        <v>Abrir_Factura</v>
      </c>
    </row>
    <row r="255" spans="1:29" ht="12.5">
      <c r="A255" s="4">
        <v>45996.524728125005</v>
      </c>
      <c r="B255" s="5">
        <v>89988</v>
      </c>
      <c r="C255" s="5">
        <v>4851175</v>
      </c>
      <c r="D255" s="5" t="s">
        <v>526</v>
      </c>
      <c r="F255" s="5" t="s">
        <v>527</v>
      </c>
      <c r="H255" s="5">
        <v>50350379100639</v>
      </c>
      <c r="J255" s="5" t="s">
        <v>1486</v>
      </c>
      <c r="K255" s="5" t="s">
        <v>110</v>
      </c>
      <c r="L255" s="5" t="s">
        <v>1487</v>
      </c>
      <c r="M255" s="5">
        <v>573183891358</v>
      </c>
      <c r="N255" s="6">
        <v>45996</v>
      </c>
      <c r="O255" s="7">
        <v>0.68402777777777779</v>
      </c>
      <c r="P255" s="5">
        <v>1</v>
      </c>
      <c r="Q255" s="5" t="s">
        <v>576</v>
      </c>
      <c r="R255" s="5">
        <v>120000</v>
      </c>
      <c r="S255" s="5">
        <v>0</v>
      </c>
      <c r="T255" s="5">
        <v>6000</v>
      </c>
      <c r="U255" s="5">
        <v>126000</v>
      </c>
      <c r="V255" s="5" t="s">
        <v>1488</v>
      </c>
      <c r="W255" s="5" t="s">
        <v>36</v>
      </c>
      <c r="X255" s="5" t="s">
        <v>98</v>
      </c>
      <c r="Y255" s="5" t="s">
        <v>24</v>
      </c>
      <c r="Z255" s="5" t="s">
        <v>531</v>
      </c>
      <c r="AA255" s="5" t="s">
        <v>69</v>
      </c>
      <c r="AB255" s="5" t="s">
        <v>1488</v>
      </c>
      <c r="AC255" s="8" t="str">
        <f>HYPERLINK("https://drive.google.com/file/d/1QNEUitWZ54bEIoyYBZzTOp9q7g5sqLN2/view?usp=drivesdk","Abrir_Factura")</f>
        <v>Abrir_Factura</v>
      </c>
    </row>
    <row r="256" spans="1:29" ht="12.5">
      <c r="A256" s="4">
        <v>45996.531916898151</v>
      </c>
      <c r="B256" s="5">
        <v>89989</v>
      </c>
      <c r="C256" s="5">
        <v>32750038</v>
      </c>
      <c r="D256" s="5" t="s">
        <v>1489</v>
      </c>
      <c r="F256" s="5" t="s">
        <v>1490</v>
      </c>
      <c r="H256" s="5">
        <v>573157543658</v>
      </c>
      <c r="J256" s="5" t="s">
        <v>1491</v>
      </c>
      <c r="L256" s="5" t="s">
        <v>1492</v>
      </c>
      <c r="M256" s="5">
        <v>3227242831</v>
      </c>
      <c r="N256" s="6">
        <v>45997</v>
      </c>
      <c r="O256" s="7">
        <v>0.65555555555555556</v>
      </c>
      <c r="P256" s="5">
        <v>1</v>
      </c>
      <c r="Q256" s="5" t="s">
        <v>112</v>
      </c>
      <c r="R256" s="5">
        <v>260000</v>
      </c>
      <c r="S256" s="5">
        <v>0</v>
      </c>
      <c r="T256" s="5"/>
      <c r="U256" s="5">
        <v>260000</v>
      </c>
      <c r="V256" s="5" t="s">
        <v>1493</v>
      </c>
      <c r="W256" s="5" t="s">
        <v>36</v>
      </c>
      <c r="X256" s="5" t="s">
        <v>67</v>
      </c>
      <c r="Y256" s="5" t="s">
        <v>24</v>
      </c>
      <c r="AA256" s="5" t="s">
        <v>44</v>
      </c>
      <c r="AB256" s="5" t="s">
        <v>1493</v>
      </c>
      <c r="AC256" s="8" t="str">
        <f>HYPERLINK("https://drive.google.com/file/d/1u-itrZqRT514Q3UaniWeS3mL0sBENNC1/view?usp=drivesdk","Abrir_Factura")</f>
        <v>Abrir_Factura</v>
      </c>
    </row>
    <row r="257" spans="1:29" ht="12.5">
      <c r="A257" s="4">
        <v>45996.551890532406</v>
      </c>
      <c r="B257" s="5">
        <v>89990</v>
      </c>
      <c r="C257" s="5">
        <v>1045754762</v>
      </c>
      <c r="D257" s="5" t="s">
        <v>1494</v>
      </c>
      <c r="F257" s="5" t="s">
        <v>1495</v>
      </c>
      <c r="H257" s="5">
        <v>573023778517</v>
      </c>
      <c r="J257" s="5" t="s">
        <v>1496</v>
      </c>
      <c r="K257" s="5" t="s">
        <v>1497</v>
      </c>
      <c r="L257" s="5" t="s">
        <v>1498</v>
      </c>
      <c r="M257" s="5">
        <v>3023778517</v>
      </c>
      <c r="N257" s="6">
        <v>45996</v>
      </c>
      <c r="O257" s="7">
        <v>0.66319444444444442</v>
      </c>
      <c r="P257" s="5">
        <v>1</v>
      </c>
      <c r="Q257" s="5" t="s">
        <v>42</v>
      </c>
      <c r="R257" s="5">
        <v>130000</v>
      </c>
      <c r="S257" s="5">
        <v>0</v>
      </c>
      <c r="T257" s="5">
        <v>12000</v>
      </c>
      <c r="U257" s="5">
        <v>142000</v>
      </c>
      <c r="V257" s="5" t="s">
        <v>1499</v>
      </c>
      <c r="W257" s="5" t="s">
        <v>36</v>
      </c>
      <c r="X257" s="5" t="s">
        <v>51</v>
      </c>
      <c r="Y257" s="5" t="s">
        <v>24</v>
      </c>
      <c r="AA257" s="5" t="s">
        <v>44</v>
      </c>
      <c r="AB257" s="5" t="s">
        <v>120</v>
      </c>
      <c r="AC257" s="8" t="str">
        <f>HYPERLINK("https://drive.google.com/file/d/1f7abDJ8hU3MMktXRdKC-pJx0i2s7LgyF/view?usp=drivesdk","Abrir_Factura")</f>
        <v>Abrir_Factura</v>
      </c>
    </row>
    <row r="258" spans="1:29" ht="15.75" customHeight="1">
      <c r="A258" s="4">
        <v>45996.5556187037</v>
      </c>
      <c r="B258" s="5">
        <v>89991</v>
      </c>
      <c r="C258" s="5">
        <v>2405758706</v>
      </c>
      <c r="D258" s="5" t="s">
        <v>1500</v>
      </c>
      <c r="F258" s="5" t="s">
        <v>31</v>
      </c>
      <c r="H258" s="5">
        <v>570000</v>
      </c>
      <c r="J258" s="5" t="s">
        <v>1500</v>
      </c>
      <c r="K258" s="5" t="s">
        <v>33</v>
      </c>
      <c r="L258" s="5" t="s">
        <v>48</v>
      </c>
      <c r="M258" s="5" t="s">
        <v>1500</v>
      </c>
      <c r="N258" s="6">
        <v>45996</v>
      </c>
      <c r="O258" s="7">
        <v>0.64097222222222228</v>
      </c>
      <c r="P258" s="5">
        <v>1</v>
      </c>
      <c r="Q258" s="5" t="s">
        <v>42</v>
      </c>
      <c r="R258" s="5">
        <v>100000</v>
      </c>
      <c r="S258" s="5">
        <v>0</v>
      </c>
      <c r="T258" s="5">
        <v>0</v>
      </c>
      <c r="U258" s="5">
        <v>100000</v>
      </c>
      <c r="W258" s="5" t="s">
        <v>36</v>
      </c>
      <c r="X258" s="5" t="s">
        <v>43</v>
      </c>
      <c r="Y258" s="5" t="s">
        <v>24</v>
      </c>
      <c r="AA258" s="5" t="s">
        <v>44</v>
      </c>
      <c r="AB258" s="5" t="s">
        <v>1501</v>
      </c>
      <c r="AC258" s="8" t="str">
        <f>HYPERLINK("https://drive.google.com/file/d/1fiwMcel4u8kB3h-8z52qJKZ6zYm_03Uv/view?usp=drivesdk", "Abrir_Factura")</f>
        <v>Abrir_Factura</v>
      </c>
    </row>
    <row r="259" spans="1:29" ht="12.5">
      <c r="A259" s="4">
        <v>45996.563131967589</v>
      </c>
      <c r="B259" s="5">
        <v>89992</v>
      </c>
      <c r="C259" s="5">
        <v>57460731</v>
      </c>
      <c r="D259" s="5" t="s">
        <v>1502</v>
      </c>
      <c r="F259" s="5" t="s">
        <v>1503</v>
      </c>
      <c r="H259" s="5">
        <v>573176413394</v>
      </c>
      <c r="J259" s="5" t="s">
        <v>1502</v>
      </c>
      <c r="K259" s="5" t="s">
        <v>1504</v>
      </c>
      <c r="L259" s="5" t="s">
        <v>1505</v>
      </c>
      <c r="M259" s="5" t="s">
        <v>1506</v>
      </c>
      <c r="N259" s="6">
        <v>45996</v>
      </c>
      <c r="O259" s="7">
        <v>0.64513888888888893</v>
      </c>
      <c r="P259" s="5">
        <v>1</v>
      </c>
      <c r="Q259" s="5" t="s">
        <v>42</v>
      </c>
      <c r="R259" s="5">
        <v>90000</v>
      </c>
      <c r="S259" s="5">
        <v>0</v>
      </c>
      <c r="T259" s="5">
        <v>15000</v>
      </c>
      <c r="U259" s="5">
        <v>105000</v>
      </c>
      <c r="W259" s="5" t="s">
        <v>36</v>
      </c>
      <c r="X259" s="5" t="s">
        <v>67</v>
      </c>
      <c r="Y259" s="5" t="s">
        <v>24</v>
      </c>
      <c r="AA259" s="5" t="s">
        <v>44</v>
      </c>
      <c r="AB259" s="5" t="s">
        <v>1507</v>
      </c>
      <c r="AC259" s="8" t="str">
        <f>HYPERLINK("https://drive.google.com/file/d/1OyN9DPMXkqzttxAs0nUmntGzWNDbgbch/view?usp=drivesdk","Abrir_Factura")</f>
        <v>Abrir_Factura</v>
      </c>
    </row>
    <row r="260" spans="1:29" ht="12.5">
      <c r="A260" s="4">
        <v>45996.525326261573</v>
      </c>
      <c r="B260" s="5">
        <v>89993</v>
      </c>
      <c r="C260" s="5">
        <v>73187736</v>
      </c>
      <c r="D260" s="5" t="s">
        <v>1508</v>
      </c>
      <c r="F260" s="5" t="s">
        <v>1509</v>
      </c>
      <c r="H260" s="5">
        <v>573172444121</v>
      </c>
      <c r="J260" s="5" t="s">
        <v>1510</v>
      </c>
      <c r="K260" s="5" t="s">
        <v>208</v>
      </c>
      <c r="L260" s="5" t="s">
        <v>1511</v>
      </c>
      <c r="M260" s="5">
        <v>3106321949</v>
      </c>
      <c r="N260" s="6">
        <v>46000</v>
      </c>
      <c r="O260" s="7">
        <v>0.56597222222222221</v>
      </c>
      <c r="P260" s="5">
        <v>1</v>
      </c>
      <c r="Q260" s="5" t="s">
        <v>259</v>
      </c>
      <c r="R260" s="5">
        <v>190000</v>
      </c>
      <c r="S260" s="5">
        <v>0</v>
      </c>
      <c r="T260" s="5">
        <v>10000</v>
      </c>
      <c r="U260" s="5">
        <v>200000</v>
      </c>
      <c r="V260" s="5" t="s">
        <v>1512</v>
      </c>
      <c r="W260" s="5" t="s">
        <v>36</v>
      </c>
      <c r="X260" s="5" t="s">
        <v>67</v>
      </c>
      <c r="Y260" s="5" t="s">
        <v>24</v>
      </c>
      <c r="Z260" s="5" t="s">
        <v>1513</v>
      </c>
      <c r="AA260" s="5" t="s">
        <v>69</v>
      </c>
      <c r="AB260" s="5" t="s">
        <v>1512</v>
      </c>
      <c r="AC260" s="8" t="str">
        <f>HYPERLINK("https://drive.google.com/file/d/1S56u6J7HFrbAnH-cBCdD36v6IH2Mi1Ii/view?usp=drivesdk","Abrir_Factura")</f>
        <v>Abrir_Factura</v>
      </c>
    </row>
    <row r="261" spans="1:29" ht="12.5">
      <c r="A261" s="4">
        <v>45996.556392141203</v>
      </c>
      <c r="B261" s="5">
        <v>89994</v>
      </c>
      <c r="C261" s="5">
        <v>1140819658</v>
      </c>
      <c r="D261" s="5" t="s">
        <v>1514</v>
      </c>
      <c r="F261" s="5" t="s">
        <v>1515</v>
      </c>
      <c r="H261" s="5">
        <v>573106046741</v>
      </c>
      <c r="J261" s="5" t="s">
        <v>1516</v>
      </c>
      <c r="K261" s="5" t="s">
        <v>185</v>
      </c>
      <c r="L261" s="5" t="s">
        <v>1517</v>
      </c>
      <c r="M261" s="5">
        <v>3160498660</v>
      </c>
      <c r="N261" s="6">
        <v>45996</v>
      </c>
      <c r="O261" s="7">
        <v>0.6381944444444444</v>
      </c>
      <c r="P261" s="5">
        <v>1</v>
      </c>
      <c r="Q261" s="5" t="s">
        <v>422</v>
      </c>
      <c r="R261" s="5">
        <v>130000</v>
      </c>
      <c r="S261" s="5">
        <v>0</v>
      </c>
      <c r="T261" s="5">
        <v>8000</v>
      </c>
      <c r="U261" s="5">
        <v>138000</v>
      </c>
      <c r="V261" s="5" t="s">
        <v>1518</v>
      </c>
      <c r="W261" s="5" t="s">
        <v>36</v>
      </c>
      <c r="X261" s="5" t="s">
        <v>67</v>
      </c>
      <c r="Y261" s="5" t="s">
        <v>24</v>
      </c>
      <c r="Z261" s="5" t="s">
        <v>1519</v>
      </c>
      <c r="AA261" s="5" t="s">
        <v>44</v>
      </c>
      <c r="AB261" s="5" t="s">
        <v>1518</v>
      </c>
      <c r="AC261" s="8" t="str">
        <f>HYPERLINK("https://drive.google.com/file/d/1J_-dEbrNF6L7WbBy1m_jso-nk9JSxzkt/view?usp=drivesdk","Abrir_Factura")</f>
        <v>Abrir_Factura</v>
      </c>
    </row>
    <row r="262" spans="1:29" ht="12.5">
      <c r="A262" s="4">
        <v>45996.534079537036</v>
      </c>
      <c r="B262" s="5">
        <v>89995</v>
      </c>
      <c r="C262" s="5">
        <v>1140855945</v>
      </c>
      <c r="D262" s="5" t="s">
        <v>1520</v>
      </c>
      <c r="F262" s="5" t="s">
        <v>93</v>
      </c>
      <c r="H262" s="5">
        <v>573126708090</v>
      </c>
      <c r="J262" s="5" t="s">
        <v>1521</v>
      </c>
      <c r="K262" s="5" t="s">
        <v>33</v>
      </c>
      <c r="L262" s="5" t="s">
        <v>34</v>
      </c>
      <c r="M262" s="5">
        <v>3126708090</v>
      </c>
      <c r="N262" s="6">
        <v>45997</v>
      </c>
      <c r="O262" s="7">
        <v>0.4375</v>
      </c>
      <c r="P262" s="5">
        <v>3</v>
      </c>
      <c r="Q262" s="5" t="s">
        <v>42</v>
      </c>
      <c r="R262" s="5">
        <v>120000</v>
      </c>
      <c r="S262" s="5">
        <v>0</v>
      </c>
      <c r="T262" s="5">
        <v>0</v>
      </c>
      <c r="U262" s="5">
        <v>120000</v>
      </c>
      <c r="W262" s="5" t="s">
        <v>36</v>
      </c>
      <c r="X262" s="5" t="s">
        <v>67</v>
      </c>
      <c r="Y262" s="5" t="s">
        <v>24</v>
      </c>
      <c r="AA262" s="5" t="s">
        <v>44</v>
      </c>
      <c r="AB262" s="5" t="s">
        <v>1522</v>
      </c>
      <c r="AC262" s="8" t="str">
        <f>HYPERLINK("https://drive.google.com/file/d/1WF9fC7b7KZUalgJE3GqtfBVTCg-rR0GD/view?usp=drivesdk","Abrir_Factura")</f>
        <v>Abrir_Factura</v>
      </c>
    </row>
    <row r="263" spans="1:29" ht="20.25" customHeight="1">
      <c r="A263" s="4">
        <v>45996.603185150467</v>
      </c>
      <c r="B263" s="5">
        <v>89996</v>
      </c>
      <c r="C263" s="5">
        <v>1082835155</v>
      </c>
      <c r="D263" s="5" t="s">
        <v>46</v>
      </c>
      <c r="F263" s="5" t="s">
        <v>1523</v>
      </c>
      <c r="H263" s="5">
        <v>573014105356</v>
      </c>
      <c r="J263" s="5" t="s">
        <v>46</v>
      </c>
      <c r="K263" s="5" t="s">
        <v>1504</v>
      </c>
      <c r="L263" s="5" t="s">
        <v>1524</v>
      </c>
      <c r="M263" s="5">
        <v>3014105356</v>
      </c>
      <c r="N263" s="6">
        <v>45996</v>
      </c>
      <c r="O263" s="7">
        <v>0.68680555555555556</v>
      </c>
      <c r="P263" s="5">
        <v>1</v>
      </c>
      <c r="Q263" s="5" t="s">
        <v>210</v>
      </c>
      <c r="R263" s="5">
        <v>150000</v>
      </c>
      <c r="S263" s="5">
        <v>0</v>
      </c>
      <c r="T263" s="5">
        <v>15000</v>
      </c>
      <c r="U263" s="5">
        <v>165000</v>
      </c>
      <c r="V263" s="5" t="s">
        <v>1525</v>
      </c>
      <c r="W263" s="5" t="s">
        <v>36</v>
      </c>
      <c r="X263" s="5" t="s">
        <v>1481</v>
      </c>
      <c r="Y263" s="5" t="s">
        <v>24</v>
      </c>
      <c r="AA263" s="5" t="s">
        <v>44</v>
      </c>
      <c r="AB263" s="5" t="s">
        <v>1525</v>
      </c>
      <c r="AC263" s="8" t="str">
        <f>HYPERLINK("https://drive.google.com/file/d/1GpkfBG5yeUFvbveYk7OXrwdL8RgIr6eQ/view?usp=drivesdk","Abrir_Factura")</f>
        <v>Abrir_Factura</v>
      </c>
    </row>
    <row r="264" spans="1:29" ht="12.5">
      <c r="A264" s="4">
        <v>45996.596619039352</v>
      </c>
      <c r="B264" s="5">
        <v>89997</v>
      </c>
      <c r="C264" s="5">
        <v>1140824609</v>
      </c>
      <c r="D264" s="5" t="s">
        <v>1526</v>
      </c>
      <c r="F264" s="5" t="s">
        <v>1527</v>
      </c>
      <c r="H264" s="5">
        <v>50761124279</v>
      </c>
      <c r="J264" s="5" t="s">
        <v>1528</v>
      </c>
      <c r="K264" s="5" t="s">
        <v>103</v>
      </c>
      <c r="L264" s="5" t="s">
        <v>1529</v>
      </c>
      <c r="M264" s="5">
        <v>3015527186</v>
      </c>
      <c r="N264" s="6">
        <v>45997</v>
      </c>
      <c r="O264" s="7">
        <v>0.45833333333333331</v>
      </c>
      <c r="P264" s="5">
        <v>1</v>
      </c>
      <c r="Q264" s="5" t="s">
        <v>458</v>
      </c>
      <c r="R264" s="5">
        <v>320000</v>
      </c>
      <c r="S264" s="5">
        <v>0</v>
      </c>
      <c r="T264" s="5">
        <v>10000</v>
      </c>
      <c r="U264" s="5">
        <v>330000</v>
      </c>
      <c r="V264" s="5" t="s">
        <v>1530</v>
      </c>
      <c r="W264" s="5" t="s">
        <v>36</v>
      </c>
      <c r="X264" s="5" t="s">
        <v>98</v>
      </c>
      <c r="Y264" s="5" t="s">
        <v>24</v>
      </c>
      <c r="Z264" s="5" t="s">
        <v>1531</v>
      </c>
      <c r="AA264" s="5" t="s">
        <v>69</v>
      </c>
      <c r="AB264" s="5" t="s">
        <v>1532</v>
      </c>
      <c r="AC264" s="8" t="str">
        <f>HYPERLINK("https://drive.google.com/file/d/1OP0YSiNymb0VQ4MX3ecq98bkeD12nVgb/view?usp=drivesdk","Abrir_Factura")</f>
        <v>Abrir_Factura</v>
      </c>
    </row>
    <row r="265" spans="1:29" ht="12.5">
      <c r="A265" s="4">
        <v>45996.614443692131</v>
      </c>
      <c r="B265" s="5">
        <v>89998</v>
      </c>
      <c r="C265" s="5">
        <v>1018409137</v>
      </c>
      <c r="D265" s="5" t="s">
        <v>1533</v>
      </c>
      <c r="F265" s="5" t="s">
        <v>1534</v>
      </c>
      <c r="H265" s="5">
        <v>5760307200</v>
      </c>
      <c r="J265" s="5" t="s">
        <v>1535</v>
      </c>
      <c r="K265" s="5" t="s">
        <v>33</v>
      </c>
      <c r="L265" s="5" t="s">
        <v>34</v>
      </c>
      <c r="M265" s="5">
        <v>60307200</v>
      </c>
      <c r="N265" s="6">
        <v>45996</v>
      </c>
      <c r="O265" s="7">
        <v>0.7</v>
      </c>
      <c r="P265" s="5">
        <v>1</v>
      </c>
      <c r="Q265" s="5" t="s">
        <v>178</v>
      </c>
      <c r="R265" s="5">
        <v>100000</v>
      </c>
      <c r="S265" s="5">
        <v>0</v>
      </c>
      <c r="T265" s="5">
        <v>0</v>
      </c>
      <c r="U265" s="5">
        <v>100000</v>
      </c>
      <c r="V265" s="5" t="s">
        <v>225</v>
      </c>
      <c r="W265" s="5" t="s">
        <v>36</v>
      </c>
      <c r="X265" s="5" t="s">
        <v>43</v>
      </c>
      <c r="Y265" s="5" t="s">
        <v>24</v>
      </c>
      <c r="AA265" s="5" t="s">
        <v>44</v>
      </c>
      <c r="AB265" s="5" t="s">
        <v>225</v>
      </c>
      <c r="AC265" s="8" t="str">
        <f>HYPERLINK("https://drive.google.com/file/d/14833YWgdvU8GCQtAxzytgeQ3MTGHKGmD/view?usp=drivesdk","Abrir_Factura")</f>
        <v>Abrir_Factura</v>
      </c>
    </row>
    <row r="266" spans="1:29" ht="12.5">
      <c r="A266" s="4">
        <v>45996.618477291668</v>
      </c>
      <c r="B266" s="5">
        <v>89999</v>
      </c>
      <c r="C266" s="5">
        <v>1140834498</v>
      </c>
      <c r="D266" s="5" t="s">
        <v>1536</v>
      </c>
      <c r="F266" s="5" t="s">
        <v>1537</v>
      </c>
      <c r="H266" s="5">
        <v>571140834498</v>
      </c>
      <c r="J266" s="5" t="s">
        <v>1538</v>
      </c>
      <c r="K266" s="5" t="s">
        <v>33</v>
      </c>
      <c r="L266" s="5" t="s">
        <v>34</v>
      </c>
      <c r="M266" s="5">
        <v>571140834498</v>
      </c>
      <c r="N266" s="6">
        <v>45996</v>
      </c>
      <c r="O266" s="7">
        <v>0.70416666666666672</v>
      </c>
      <c r="P266" s="5">
        <v>1</v>
      </c>
      <c r="Q266" s="5" t="s">
        <v>178</v>
      </c>
      <c r="R266" s="5">
        <v>100000</v>
      </c>
      <c r="S266" s="5">
        <v>0</v>
      </c>
      <c r="T266" s="5">
        <v>0</v>
      </c>
      <c r="U266" s="5">
        <v>100000</v>
      </c>
      <c r="V266" s="5" t="s">
        <v>225</v>
      </c>
      <c r="W266" s="5" t="s">
        <v>36</v>
      </c>
      <c r="X266" s="5" t="s">
        <v>43</v>
      </c>
      <c r="Y266" s="5" t="s">
        <v>24</v>
      </c>
      <c r="AA266" s="5" t="s">
        <v>44</v>
      </c>
      <c r="AB266" s="5" t="s">
        <v>225</v>
      </c>
      <c r="AC266" s="8" t="str">
        <f>HYPERLINK("https://drive.google.com/file/d/1OJdBncbhDnL5MH9FLqgRCTMlaliEjLRt/view?usp=drivesdk","Abrir_Factura")</f>
        <v>Abrir_Factura</v>
      </c>
    </row>
    <row r="267" spans="1:29" ht="12.5">
      <c r="A267" s="4">
        <v>45996.642795856482</v>
      </c>
      <c r="B267" s="5">
        <v>90000</v>
      </c>
      <c r="C267" s="5">
        <v>1047360706</v>
      </c>
      <c r="D267" s="5" t="s">
        <v>1539</v>
      </c>
      <c r="F267" s="5" t="s">
        <v>1540</v>
      </c>
      <c r="H267" s="5">
        <v>573174337517</v>
      </c>
      <c r="J267" s="5" t="s">
        <v>1541</v>
      </c>
      <c r="K267" s="5" t="s">
        <v>33</v>
      </c>
      <c r="L267" s="5" t="s">
        <v>34</v>
      </c>
      <c r="M267" s="5">
        <v>3174337517</v>
      </c>
      <c r="N267" s="6">
        <v>45996</v>
      </c>
      <c r="O267" s="7">
        <v>0.72916666666666663</v>
      </c>
      <c r="P267" s="5">
        <v>1</v>
      </c>
      <c r="Q267" s="5" t="s">
        <v>42</v>
      </c>
      <c r="R267" s="5">
        <v>48000</v>
      </c>
      <c r="S267" s="5">
        <v>0</v>
      </c>
      <c r="T267" s="5">
        <v>0</v>
      </c>
      <c r="U267" s="5">
        <v>48000</v>
      </c>
      <c r="W267" s="5" t="s">
        <v>36</v>
      </c>
      <c r="X267" s="5" t="s">
        <v>51</v>
      </c>
      <c r="Y267" s="5" t="s">
        <v>24</v>
      </c>
      <c r="AA267" s="5" t="s">
        <v>44</v>
      </c>
      <c r="AB267" s="5" t="s">
        <v>1286</v>
      </c>
      <c r="AC267" s="8" t="str">
        <f>HYPERLINK("https://drive.google.com/file/d/19i0NHhIaDuojxdrPjW8zmSeROuv3Mn-I/view?usp=drivesdk","Abrir_Factura")</f>
        <v>Abrir_Factura</v>
      </c>
    </row>
    <row r="268" spans="1:29" ht="12.5">
      <c r="A268" s="4">
        <v>45996.649686238423</v>
      </c>
      <c r="B268" s="5">
        <v>90001</v>
      </c>
      <c r="C268" s="5">
        <v>1140895622</v>
      </c>
      <c r="D268" s="5" t="s">
        <v>1542</v>
      </c>
      <c r="F268" s="5" t="s">
        <v>1543</v>
      </c>
      <c r="H268" s="5">
        <v>573046837580</v>
      </c>
      <c r="J268" s="5" t="s">
        <v>1544</v>
      </c>
      <c r="K268" s="5" t="s">
        <v>33</v>
      </c>
      <c r="L268" s="5" t="s">
        <v>34</v>
      </c>
      <c r="M268" s="5">
        <v>3046837580</v>
      </c>
      <c r="N268" s="6">
        <v>45996</v>
      </c>
      <c r="O268" s="7">
        <v>0.73611111111111116</v>
      </c>
      <c r="P268" s="5">
        <v>1</v>
      </c>
      <c r="Q268" s="5" t="s">
        <v>1545</v>
      </c>
      <c r="R268" s="5">
        <v>100000</v>
      </c>
      <c r="S268" s="5">
        <v>0</v>
      </c>
      <c r="T268" s="5">
        <v>0</v>
      </c>
      <c r="U268" s="5">
        <v>100000</v>
      </c>
      <c r="W268" s="5" t="s">
        <v>36</v>
      </c>
      <c r="X268" s="5" t="s">
        <v>51</v>
      </c>
      <c r="Y268" s="5" t="s">
        <v>24</v>
      </c>
      <c r="AA268" s="5" t="s">
        <v>44</v>
      </c>
      <c r="AC268" s="8" t="str">
        <f>HYPERLINK("https://drive.google.com/file/d/1BlGrn9pzcQWQS2DTbTb2aMOXnZDpX2U5/view?usp=drivesdk","Abrir_Factura")</f>
        <v>Abrir_Factura</v>
      </c>
    </row>
    <row r="269" spans="1:29" ht="12.5">
      <c r="A269" s="4">
        <v>45996.644919907412</v>
      </c>
      <c r="B269" s="5">
        <v>90002</v>
      </c>
      <c r="C269" s="5">
        <v>1142918744</v>
      </c>
      <c r="D269" s="5" t="s">
        <v>1546</v>
      </c>
      <c r="F269" s="5" t="s">
        <v>1547</v>
      </c>
      <c r="H269" s="5">
        <v>573012800105</v>
      </c>
      <c r="J269" s="5" t="s">
        <v>1548</v>
      </c>
      <c r="K269" s="5" t="s">
        <v>146</v>
      </c>
      <c r="L269" s="5" t="s">
        <v>1549</v>
      </c>
      <c r="M269" s="5" t="s">
        <v>1550</v>
      </c>
      <c r="N269" s="6">
        <v>45996</v>
      </c>
      <c r="O269" s="7">
        <v>0.7270833333333333</v>
      </c>
      <c r="P269" s="5">
        <v>1</v>
      </c>
      <c r="Q269" s="5" t="s">
        <v>1551</v>
      </c>
      <c r="R269" s="5">
        <v>220000</v>
      </c>
      <c r="S269" s="5">
        <v>0</v>
      </c>
      <c r="T269" s="5">
        <v>12000</v>
      </c>
      <c r="U269" s="5">
        <v>232000</v>
      </c>
      <c r="V269" s="5" t="s">
        <v>1552</v>
      </c>
      <c r="W269" s="5" t="s">
        <v>36</v>
      </c>
      <c r="X269" s="5" t="s">
        <v>67</v>
      </c>
      <c r="Y269" s="5" t="s">
        <v>24</v>
      </c>
      <c r="Z269" s="5" t="s">
        <v>1553</v>
      </c>
      <c r="AA269" s="5" t="s">
        <v>69</v>
      </c>
      <c r="AB269" s="5" t="s">
        <v>1552</v>
      </c>
      <c r="AC269" s="8" t="str">
        <f>HYPERLINK("https://drive.google.com/file/d/1pVzfOIlNtCnbfFWVW7BgpYWXqrrAHZUy/view?usp=drivesdk","Abrir_Factura")</f>
        <v>Abrir_Factura</v>
      </c>
    </row>
    <row r="270" spans="1:29" ht="12.5">
      <c r="A270" s="4">
        <v>45996.661227349541</v>
      </c>
      <c r="B270" s="5">
        <v>90003</v>
      </c>
      <c r="C270" s="5">
        <v>1140895622</v>
      </c>
      <c r="D270" s="5" t="s">
        <v>1542</v>
      </c>
      <c r="F270" s="5" t="s">
        <v>1543</v>
      </c>
      <c r="H270" s="5">
        <v>573046837580</v>
      </c>
      <c r="J270" s="5" t="s">
        <v>1544</v>
      </c>
      <c r="K270" s="5" t="s">
        <v>33</v>
      </c>
      <c r="L270" s="5" t="s">
        <v>34</v>
      </c>
      <c r="M270" s="5">
        <v>3046837580</v>
      </c>
      <c r="N270" s="6">
        <v>45996</v>
      </c>
      <c r="O270" s="7">
        <v>0.74722222222222223</v>
      </c>
      <c r="P270" s="5">
        <v>1</v>
      </c>
      <c r="Q270" s="5" t="s">
        <v>89</v>
      </c>
      <c r="R270" s="5">
        <v>150000</v>
      </c>
      <c r="S270" s="5">
        <v>0</v>
      </c>
      <c r="T270" s="5">
        <v>0</v>
      </c>
      <c r="U270" s="5">
        <v>150000</v>
      </c>
      <c r="W270" s="5" t="s">
        <v>36</v>
      </c>
      <c r="X270" s="5" t="s">
        <v>51</v>
      </c>
      <c r="Y270" s="5" t="s">
        <v>24</v>
      </c>
      <c r="AA270" s="5" t="s">
        <v>44</v>
      </c>
      <c r="AC270" s="8" t="str">
        <f>HYPERLINK("https://drive.google.com/file/d/1kP62Oor8zZoGm19a0YmOclFK-YIkPc_W/view?usp=drivesdk","Abrir_Factura")</f>
        <v>Abrir_Factura</v>
      </c>
    </row>
    <row r="271" spans="1:29" ht="12.5">
      <c r="A271" s="4">
        <v>45996.663748634259</v>
      </c>
      <c r="B271" s="5">
        <v>90004</v>
      </c>
      <c r="C271" s="5">
        <v>1140895622</v>
      </c>
      <c r="D271" s="5" t="s">
        <v>1542</v>
      </c>
      <c r="F271" s="5" t="s">
        <v>1543</v>
      </c>
      <c r="H271" s="5">
        <v>573046837580</v>
      </c>
      <c r="J271" s="5" t="s">
        <v>1544</v>
      </c>
      <c r="K271" s="5" t="s">
        <v>33</v>
      </c>
      <c r="L271" s="5" t="s">
        <v>34</v>
      </c>
      <c r="M271" s="5">
        <v>3046837580</v>
      </c>
      <c r="N271" s="6">
        <v>45996</v>
      </c>
      <c r="O271" s="7">
        <v>0.75</v>
      </c>
      <c r="P271" s="5">
        <v>1</v>
      </c>
      <c r="Q271" s="5" t="s">
        <v>42</v>
      </c>
      <c r="R271" s="5">
        <v>15000</v>
      </c>
      <c r="S271" s="5">
        <v>0</v>
      </c>
      <c r="T271" s="5">
        <v>0</v>
      </c>
      <c r="U271" s="5">
        <v>15000</v>
      </c>
      <c r="W271" s="5" t="s">
        <v>36</v>
      </c>
      <c r="X271" s="5" t="s">
        <v>51</v>
      </c>
      <c r="Y271" s="5" t="s">
        <v>24</v>
      </c>
      <c r="AA271" s="5" t="s">
        <v>44</v>
      </c>
      <c r="AB271" s="5" t="s">
        <v>1554</v>
      </c>
      <c r="AC271" s="8" t="str">
        <f>HYPERLINK("https://drive.google.com/file/d/1kv8GRx2j4jO_GywSNweJeBpRsIKRrJDz/view?usp=drivesdk","Abrir_Factura")</f>
        <v>Abrir_Factura</v>
      </c>
    </row>
    <row r="272" spans="1:29" ht="12.5">
      <c r="A272" s="4">
        <v>45996.626255798612</v>
      </c>
      <c r="B272" s="5">
        <v>90005</v>
      </c>
      <c r="C272" s="5">
        <v>1129583172</v>
      </c>
      <c r="D272" s="5" t="s">
        <v>1555</v>
      </c>
      <c r="F272" s="5" t="s">
        <v>1556</v>
      </c>
      <c r="H272" s="5">
        <v>573006124100</v>
      </c>
      <c r="J272" s="5" t="s">
        <v>1557</v>
      </c>
      <c r="K272" s="5" t="s">
        <v>33</v>
      </c>
      <c r="L272" s="5" t="s">
        <v>34</v>
      </c>
      <c r="M272" s="5">
        <v>3006124100</v>
      </c>
      <c r="N272" s="6">
        <v>45996</v>
      </c>
      <c r="O272" s="7">
        <v>0.7104166666666667</v>
      </c>
      <c r="P272" s="5">
        <v>1</v>
      </c>
      <c r="Q272" s="5" t="s">
        <v>50</v>
      </c>
      <c r="R272" s="5">
        <v>200000</v>
      </c>
      <c r="S272" s="5">
        <v>0</v>
      </c>
      <c r="T272" s="5">
        <v>0</v>
      </c>
      <c r="U272" s="5">
        <v>200000</v>
      </c>
      <c r="V272" s="5" t="s">
        <v>1558</v>
      </c>
      <c r="W272" s="5" t="s">
        <v>36</v>
      </c>
      <c r="X272" s="5" t="s">
        <v>67</v>
      </c>
      <c r="Y272" s="5" t="s">
        <v>24</v>
      </c>
      <c r="AA272" s="5" t="s">
        <v>44</v>
      </c>
      <c r="AB272" s="5" t="s">
        <v>1558</v>
      </c>
      <c r="AC272" s="8" t="str">
        <f>HYPERLINK("https://drive.google.com/file/d/1jL61Ms_6sqCokBHvS2YqmZopO5NvV5S6/view?usp=drivesdk","Abrir_Factura")</f>
        <v>Abrir_Factura</v>
      </c>
    </row>
    <row r="273" spans="1:29" ht="12.5">
      <c r="A273" s="4">
        <v>45996.682746041668</v>
      </c>
      <c r="B273" s="5">
        <v>90006</v>
      </c>
      <c r="C273" s="5">
        <v>72314705</v>
      </c>
      <c r="D273" s="5" t="s">
        <v>1559</v>
      </c>
      <c r="F273" s="5" t="s">
        <v>451</v>
      </c>
      <c r="H273" s="5">
        <v>573012025283</v>
      </c>
      <c r="J273" s="5" t="s">
        <v>1560</v>
      </c>
      <c r="K273" s="5" t="s">
        <v>79</v>
      </c>
      <c r="L273" s="5" t="s">
        <v>1561</v>
      </c>
      <c r="M273" s="5">
        <v>3006479903</v>
      </c>
      <c r="N273" s="6">
        <v>45996</v>
      </c>
      <c r="O273" s="7">
        <v>0.76666666666666672</v>
      </c>
      <c r="P273" s="5">
        <v>1</v>
      </c>
      <c r="Q273" s="5" t="s">
        <v>42</v>
      </c>
      <c r="R273" s="5">
        <v>100000</v>
      </c>
      <c r="S273" s="5">
        <v>0</v>
      </c>
      <c r="T273" s="5">
        <v>10000</v>
      </c>
      <c r="U273" s="5">
        <v>110000</v>
      </c>
      <c r="W273" s="5" t="s">
        <v>36</v>
      </c>
      <c r="X273" s="5" t="s">
        <v>1481</v>
      </c>
      <c r="Y273" s="5" t="s">
        <v>24</v>
      </c>
      <c r="AA273" s="5" t="s">
        <v>44</v>
      </c>
      <c r="AB273" s="5" t="s">
        <v>1562</v>
      </c>
      <c r="AC273" s="8" t="str">
        <f>HYPERLINK("https://drive.google.com/file/d/1UlzG8i9lrTfmOr7RjZ1KhFregBbTE0Lf/view?usp=drivesdk", "Abrir_Factura")</f>
        <v>Abrir_Factura</v>
      </c>
    </row>
    <row r="274" spans="1:29" ht="12.5">
      <c r="A274" s="4">
        <v>45996.687506469912</v>
      </c>
      <c r="B274" s="5">
        <v>90007</v>
      </c>
      <c r="C274" s="5">
        <v>1126786323</v>
      </c>
      <c r="D274" s="5" t="s">
        <v>338</v>
      </c>
      <c r="F274" s="5" t="s">
        <v>1563</v>
      </c>
      <c r="H274" s="5">
        <v>573212054821</v>
      </c>
      <c r="J274" s="5" t="s">
        <v>1564</v>
      </c>
      <c r="K274" s="5" t="s">
        <v>33</v>
      </c>
      <c r="L274" s="5" t="s">
        <v>34</v>
      </c>
      <c r="M274" s="5" t="s">
        <v>1565</v>
      </c>
      <c r="N274" s="6">
        <v>45996</v>
      </c>
      <c r="O274" s="7">
        <v>0.7729166666666667</v>
      </c>
      <c r="P274" s="5">
        <v>1</v>
      </c>
      <c r="Q274" s="5" t="s">
        <v>50</v>
      </c>
      <c r="R274" s="5">
        <v>200000</v>
      </c>
      <c r="S274" s="5">
        <v>0</v>
      </c>
      <c r="T274" s="5">
        <v>0</v>
      </c>
      <c r="U274" s="5">
        <v>200000</v>
      </c>
      <c r="W274" s="5" t="s">
        <v>36</v>
      </c>
      <c r="X274" s="5" t="s">
        <v>67</v>
      </c>
      <c r="Y274" s="5" t="s">
        <v>24</v>
      </c>
      <c r="AA274" s="5" t="s">
        <v>44</v>
      </c>
      <c r="AC274" s="8" t="str">
        <f>HYPERLINK("https://drive.google.com/file/d/14JFGkEkokZx4FAcFeM7hoP447RThpOW0/view?usp=drivesdk","Abrir_Factura")</f>
        <v>Abrir_Factura</v>
      </c>
    </row>
    <row r="275" spans="1:29" ht="12.5">
      <c r="A275" s="4">
        <v>45996.706766874995</v>
      </c>
      <c r="B275" s="5">
        <v>90008</v>
      </c>
      <c r="C275" s="5">
        <v>1140889500</v>
      </c>
      <c r="D275" s="5" t="s">
        <v>76</v>
      </c>
      <c r="F275" s="5" t="s">
        <v>1566</v>
      </c>
      <c r="H275" s="5">
        <v>573156707171</v>
      </c>
      <c r="J275" s="5" t="s">
        <v>1567</v>
      </c>
      <c r="K275" s="5" t="s">
        <v>1352</v>
      </c>
      <c r="L275" s="5" t="s">
        <v>1568</v>
      </c>
      <c r="M275" s="5">
        <v>3158812081</v>
      </c>
      <c r="N275" s="6">
        <v>45997</v>
      </c>
      <c r="O275" s="7">
        <v>0.41666666666666669</v>
      </c>
      <c r="P275" s="5">
        <v>1</v>
      </c>
      <c r="Q275" s="5" t="s">
        <v>458</v>
      </c>
      <c r="R275" s="5">
        <v>320000</v>
      </c>
      <c r="S275" s="5">
        <v>0</v>
      </c>
      <c r="T275" s="5">
        <v>10000</v>
      </c>
      <c r="U275" s="5">
        <v>330000</v>
      </c>
      <c r="V275" s="5" t="s">
        <v>1569</v>
      </c>
      <c r="W275" s="5" t="s">
        <v>36</v>
      </c>
      <c r="X275" s="5" t="s">
        <v>67</v>
      </c>
      <c r="Y275" s="5" t="s">
        <v>24</v>
      </c>
      <c r="Z275" s="5" t="s">
        <v>1570</v>
      </c>
      <c r="AA275" s="5" t="s">
        <v>44</v>
      </c>
      <c r="AB275" s="5" t="s">
        <v>1569</v>
      </c>
      <c r="AC275" s="8" t="str">
        <f>HYPERLINK("https://drive.google.com/file/d/18miez9_oacsqa9A-VJb2B1FMkx0yGPBM/view?usp=drivesdk","Abrir_Factura")</f>
        <v>Abrir_Factura</v>
      </c>
    </row>
    <row r="276" spans="1:29" ht="12.5">
      <c r="A276" s="4">
        <v>45996.721083391203</v>
      </c>
      <c r="B276" s="5">
        <v>90009</v>
      </c>
      <c r="C276" s="5">
        <v>80068931</v>
      </c>
      <c r="D276" s="5" t="s">
        <v>1571</v>
      </c>
      <c r="F276" s="5" t="s">
        <v>1572</v>
      </c>
      <c r="H276" s="5">
        <v>573106306991</v>
      </c>
      <c r="J276" s="5" t="s">
        <v>1573</v>
      </c>
      <c r="K276" s="5" t="s">
        <v>307</v>
      </c>
      <c r="L276" s="5" t="s">
        <v>1574</v>
      </c>
      <c r="M276" s="5">
        <v>3148289986</v>
      </c>
      <c r="N276" s="6">
        <v>45996</v>
      </c>
      <c r="O276" s="7">
        <v>0.80486111111111114</v>
      </c>
      <c r="P276" s="5">
        <v>1</v>
      </c>
      <c r="Q276" s="5" t="s">
        <v>170</v>
      </c>
      <c r="R276" s="5">
        <v>300000</v>
      </c>
      <c r="S276" s="5">
        <v>0</v>
      </c>
      <c r="T276" s="5">
        <v>10000</v>
      </c>
      <c r="U276" s="5">
        <v>310000</v>
      </c>
      <c r="V276" s="5" t="s">
        <v>1575</v>
      </c>
      <c r="W276" s="5" t="s">
        <v>36</v>
      </c>
      <c r="X276" s="5" t="s">
        <v>83</v>
      </c>
      <c r="Y276" s="5" t="s">
        <v>24</v>
      </c>
      <c r="Z276" s="5" t="s">
        <v>1576</v>
      </c>
      <c r="AA276" s="5" t="s">
        <v>44</v>
      </c>
      <c r="AB276" s="5" t="s">
        <v>1577</v>
      </c>
      <c r="AC276" s="8" t="str">
        <f>HYPERLINK("https://drive.google.com/file/d/10rT_bzKNIE6hfwLwKCnrn8VoyZBLlwJS/view?usp=drivesdk","Abrir_Factura")</f>
        <v>Abrir_Factura</v>
      </c>
    </row>
    <row r="277" spans="1:29" ht="12.5">
      <c r="A277" s="4">
        <v>45996.745628946759</v>
      </c>
      <c r="B277" s="5">
        <v>90010</v>
      </c>
      <c r="C277" s="5">
        <v>1002159863</v>
      </c>
      <c r="D277" s="5" t="s">
        <v>836</v>
      </c>
      <c r="F277" s="5" t="s">
        <v>1578</v>
      </c>
      <c r="H277" s="5">
        <v>573218473343</v>
      </c>
      <c r="J277" s="5" t="s">
        <v>1579</v>
      </c>
      <c r="K277" s="5" t="s">
        <v>124</v>
      </c>
      <c r="L277" s="5" t="s">
        <v>1580</v>
      </c>
      <c r="M277" s="5">
        <v>3005116726</v>
      </c>
      <c r="N277" s="6">
        <v>45997</v>
      </c>
      <c r="O277" s="7">
        <v>0.75</v>
      </c>
      <c r="P277" s="5">
        <v>1</v>
      </c>
      <c r="Q277" s="5" t="s">
        <v>210</v>
      </c>
      <c r="R277" s="5">
        <v>150000</v>
      </c>
      <c r="S277" s="5">
        <v>0</v>
      </c>
      <c r="T277" s="5">
        <v>12000</v>
      </c>
      <c r="U277" s="5">
        <v>162000</v>
      </c>
      <c r="V277" s="5" t="s">
        <v>1581</v>
      </c>
      <c r="W277" s="5" t="s">
        <v>36</v>
      </c>
      <c r="X277" s="5" t="s">
        <v>83</v>
      </c>
      <c r="Y277" s="5" t="s">
        <v>24</v>
      </c>
      <c r="Z277" s="5" t="s">
        <v>1582</v>
      </c>
      <c r="AA277" s="5" t="s">
        <v>69</v>
      </c>
      <c r="AB277" s="5" t="s">
        <v>1583</v>
      </c>
      <c r="AC277" s="8" t="str">
        <f>HYPERLINK("https://drive.google.com/file/d/1PoTP8Gu2l_Hx8Zj8Fa_B63YgUqfR8utl/view?usp=drivesdk","Abrir_Factura")</f>
        <v>Abrir_Factura</v>
      </c>
    </row>
    <row r="278" spans="1:29" ht="12.5">
      <c r="A278" s="4">
        <v>45996.738045162041</v>
      </c>
      <c r="B278" s="5">
        <v>90011</v>
      </c>
      <c r="C278" s="5">
        <v>72249673</v>
      </c>
      <c r="D278" s="5" t="s">
        <v>1584</v>
      </c>
      <c r="F278" s="5" t="s">
        <v>1585</v>
      </c>
      <c r="H278" s="5">
        <v>573007849550</v>
      </c>
      <c r="J278" s="5" t="s">
        <v>1586</v>
      </c>
      <c r="K278" s="5" t="s">
        <v>33</v>
      </c>
      <c r="L278" s="5" t="s">
        <v>34</v>
      </c>
      <c r="M278" s="5">
        <v>3007849550</v>
      </c>
      <c r="N278" s="6">
        <v>45996</v>
      </c>
      <c r="O278" s="7">
        <v>0.82361111111111107</v>
      </c>
      <c r="P278" s="5">
        <v>1</v>
      </c>
      <c r="Q278" s="5" t="s">
        <v>42</v>
      </c>
      <c r="R278" s="5">
        <v>60000</v>
      </c>
      <c r="S278" s="5">
        <v>0</v>
      </c>
      <c r="T278" s="5">
        <v>0</v>
      </c>
      <c r="U278" s="5">
        <v>60000</v>
      </c>
      <c r="W278" s="5" t="s">
        <v>36</v>
      </c>
      <c r="X278" s="5" t="s">
        <v>196</v>
      </c>
      <c r="Y278" s="5" t="s">
        <v>24</v>
      </c>
      <c r="AA278" s="5" t="s">
        <v>69</v>
      </c>
      <c r="AB278" s="5" t="s">
        <v>1587</v>
      </c>
      <c r="AC278" s="8" t="str">
        <f>HYPERLINK("https://drive.google.com/file/d/1NNcLF3iJQbr5iGcen5x9fX-27tdGrfyt/view?usp=drivesdk","Abrir_Factura")</f>
        <v>Abrir_Factura</v>
      </c>
    </row>
    <row r="279" spans="1:29" ht="12.5">
      <c r="A279" s="4">
        <v>45996.751974189814</v>
      </c>
      <c r="B279" s="5">
        <v>90012</v>
      </c>
      <c r="C279" s="5">
        <v>1140868286</v>
      </c>
      <c r="D279" s="5" t="s">
        <v>1588</v>
      </c>
      <c r="F279" s="5" t="s">
        <v>510</v>
      </c>
      <c r="H279" s="5">
        <v>573017352005</v>
      </c>
      <c r="J279" s="5" t="s">
        <v>1589</v>
      </c>
      <c r="K279" s="5" t="s">
        <v>265</v>
      </c>
      <c r="L279" s="5" t="s">
        <v>1590</v>
      </c>
      <c r="M279" s="5">
        <v>3013755838</v>
      </c>
      <c r="N279" s="6">
        <v>45996</v>
      </c>
      <c r="O279" s="7">
        <v>0.83750000000000002</v>
      </c>
      <c r="P279" s="5">
        <v>1</v>
      </c>
      <c r="Q279" s="5" t="s">
        <v>259</v>
      </c>
      <c r="R279" s="5">
        <v>190000</v>
      </c>
      <c r="S279" s="5">
        <v>0</v>
      </c>
      <c r="T279" s="5">
        <v>17000</v>
      </c>
      <c r="U279" s="5">
        <v>207000</v>
      </c>
      <c r="V279" s="5" t="s">
        <v>1591</v>
      </c>
      <c r="W279" s="5" t="s">
        <v>36</v>
      </c>
      <c r="X279" s="5" t="s">
        <v>180</v>
      </c>
      <c r="Y279" s="5" t="s">
        <v>24</v>
      </c>
      <c r="AA279" s="5" t="s">
        <v>44</v>
      </c>
      <c r="AB279" s="5" t="s">
        <v>1591</v>
      </c>
      <c r="AC279" s="8" t="str">
        <f>HYPERLINK("https://drive.google.com/file/d/1ClXemlP7S9KKmLWdxl2W_kSrexvhqOpV/view?usp=drivesdk", "Abrir_Factura")</f>
        <v>Abrir_Factura</v>
      </c>
    </row>
    <row r="280" spans="1:29" ht="12.5">
      <c r="A280" s="4">
        <v>45996.757067233797</v>
      </c>
      <c r="B280" s="5">
        <v>90013</v>
      </c>
      <c r="C280" s="5">
        <v>32787305</v>
      </c>
      <c r="D280" s="5" t="s">
        <v>1592</v>
      </c>
      <c r="F280" s="5" t="s">
        <v>1593</v>
      </c>
      <c r="H280" s="5">
        <v>574015973988</v>
      </c>
      <c r="J280" s="5" t="s">
        <v>1594</v>
      </c>
      <c r="K280" s="5" t="s">
        <v>1595</v>
      </c>
      <c r="L280" s="5" t="s">
        <v>1596</v>
      </c>
      <c r="M280" s="5">
        <v>3150687430</v>
      </c>
      <c r="N280" s="6">
        <v>45997</v>
      </c>
      <c r="O280" s="7">
        <v>0.54166666666666663</v>
      </c>
      <c r="P280" s="5">
        <v>1</v>
      </c>
      <c r="Q280" s="5" t="s">
        <v>1597</v>
      </c>
      <c r="R280" s="5">
        <v>400000</v>
      </c>
      <c r="S280" s="5">
        <v>0</v>
      </c>
      <c r="T280" s="5">
        <v>20000</v>
      </c>
      <c r="U280" s="5">
        <v>420000</v>
      </c>
      <c r="V280" s="5" t="s">
        <v>1598</v>
      </c>
      <c r="W280" s="5" t="s">
        <v>36</v>
      </c>
      <c r="X280" s="5" t="s">
        <v>83</v>
      </c>
      <c r="Y280" s="5" t="s">
        <v>24</v>
      </c>
      <c r="Z280" s="5" t="s">
        <v>1599</v>
      </c>
      <c r="AA280" s="5" t="s">
        <v>69</v>
      </c>
      <c r="AB280" s="5" t="s">
        <v>1598</v>
      </c>
      <c r="AC280" s="8" t="str">
        <f>HYPERLINK("https://drive.google.com/file/d/1aI85fvUNTYcTgvBcxBWjOZFD8CtGqbLB/view?usp=drivesdk", "Abrir_Factura")</f>
        <v>Abrir_Factura</v>
      </c>
    </row>
    <row r="281" spans="1:29" ht="17.25" customHeight="1">
      <c r="A281" s="4">
        <v>45997.338541550926</v>
      </c>
      <c r="B281" s="5">
        <v>90014</v>
      </c>
      <c r="C281" s="5">
        <v>1143448994</v>
      </c>
      <c r="D281" s="5" t="s">
        <v>480</v>
      </c>
      <c r="F281" s="5" t="s">
        <v>455</v>
      </c>
      <c r="H281" s="5">
        <v>573043190657</v>
      </c>
      <c r="J281" s="5" t="s">
        <v>1600</v>
      </c>
      <c r="K281" s="5" t="s">
        <v>33</v>
      </c>
      <c r="L281" s="5" t="s">
        <v>34</v>
      </c>
      <c r="M281" s="5">
        <v>3043190657</v>
      </c>
      <c r="N281" s="6">
        <v>45997</v>
      </c>
      <c r="O281" s="7">
        <v>0.42222222222222222</v>
      </c>
      <c r="P281" s="5">
        <v>1</v>
      </c>
      <c r="Q281" s="5" t="s">
        <v>42</v>
      </c>
      <c r="R281" s="5">
        <v>16000</v>
      </c>
      <c r="S281" s="5">
        <v>0</v>
      </c>
      <c r="T281" s="5">
        <v>0</v>
      </c>
      <c r="U281" s="5">
        <v>16000</v>
      </c>
      <c r="W281" s="5" t="s">
        <v>36</v>
      </c>
      <c r="X281" s="5" t="s">
        <v>83</v>
      </c>
      <c r="Y281" s="5" t="s">
        <v>24</v>
      </c>
      <c r="AA281" s="5" t="s">
        <v>44</v>
      </c>
      <c r="AB281" s="5" t="s">
        <v>1601</v>
      </c>
      <c r="AC281" s="8" t="str">
        <f>HYPERLINK("https://drive.google.com/file/d/1hWgAnpJY77NemcqRRJVqfz9ftLotyO9l/view?usp=drivesdk","Abrir_Factura")</f>
        <v>Abrir_Factura</v>
      </c>
    </row>
    <row r="282" spans="1:29" ht="18.75" customHeight="1">
      <c r="A282" s="4">
        <v>45997.34213690972</v>
      </c>
      <c r="B282" s="5">
        <v>90015</v>
      </c>
      <c r="C282" s="5">
        <v>1140892693</v>
      </c>
      <c r="D282" s="5" t="s">
        <v>1602</v>
      </c>
      <c r="F282" s="5" t="s">
        <v>1603</v>
      </c>
      <c r="H282" s="5">
        <v>573105455130</v>
      </c>
      <c r="J282" s="5" t="s">
        <v>1604</v>
      </c>
      <c r="K282" s="5" t="s">
        <v>33</v>
      </c>
      <c r="L282" s="5" t="s">
        <v>34</v>
      </c>
      <c r="M282" s="5">
        <v>3105455130</v>
      </c>
      <c r="N282" s="6">
        <v>45997</v>
      </c>
      <c r="O282" s="7">
        <v>0.45833333333333331</v>
      </c>
      <c r="P282" s="5">
        <v>2</v>
      </c>
      <c r="Q282" s="5" t="s">
        <v>1605</v>
      </c>
      <c r="R282" s="5">
        <v>160000</v>
      </c>
      <c r="S282" s="5">
        <v>0</v>
      </c>
      <c r="T282" s="5">
        <v>0</v>
      </c>
      <c r="U282" s="5">
        <v>160000</v>
      </c>
      <c r="V282" s="5" t="s">
        <v>1606</v>
      </c>
      <c r="W282" s="5" t="s">
        <v>36</v>
      </c>
      <c r="X282" s="5" t="s">
        <v>67</v>
      </c>
      <c r="Y282" s="5" t="s">
        <v>24</v>
      </c>
      <c r="AA282" s="5" t="s">
        <v>69</v>
      </c>
      <c r="AB282" s="5" t="s">
        <v>1606</v>
      </c>
      <c r="AC282" s="8" t="str">
        <f>HYPERLINK("https://drive.google.com/file/d/1pNyu2RCL6-RUMU8VYeDF19GjwswQnl5d/view?usp=drivesdk","Abrir_Factura")</f>
        <v>Abrir_Factura</v>
      </c>
    </row>
    <row r="283" spans="1:29" ht="12.5">
      <c r="A283" s="4">
        <v>45997.35588023148</v>
      </c>
      <c r="B283" s="5">
        <v>90016</v>
      </c>
      <c r="C283" s="5">
        <v>1042252045</v>
      </c>
      <c r="D283" s="5" t="s">
        <v>338</v>
      </c>
      <c r="F283" s="5" t="s">
        <v>1607</v>
      </c>
      <c r="H283" s="5">
        <v>573147871018</v>
      </c>
      <c r="J283" s="5" t="s">
        <v>1608</v>
      </c>
      <c r="K283" s="5" t="s">
        <v>103</v>
      </c>
      <c r="L283" s="5" t="s">
        <v>1609</v>
      </c>
      <c r="M283" s="5" t="s">
        <v>25421</v>
      </c>
      <c r="N283" s="6">
        <v>45997</v>
      </c>
      <c r="O283" s="7">
        <v>0.44097222222222221</v>
      </c>
      <c r="P283" s="5">
        <v>1</v>
      </c>
      <c r="Q283" s="5" t="s">
        <v>1610</v>
      </c>
      <c r="R283" s="5">
        <v>220000</v>
      </c>
      <c r="S283" s="5">
        <v>0</v>
      </c>
      <c r="T283" s="5">
        <v>10000</v>
      </c>
      <c r="U283" s="5">
        <v>230000</v>
      </c>
      <c r="W283" s="5" t="s">
        <v>36</v>
      </c>
      <c r="X283" s="5" t="s">
        <v>67</v>
      </c>
      <c r="Y283" s="5" t="s">
        <v>24</v>
      </c>
      <c r="AA283" s="5" t="s">
        <v>44</v>
      </c>
      <c r="AC283" s="8" t="str">
        <f>HYPERLINK("https://drive.google.com/file/d/1n9C0v1yxRyNNQ_ZhqfNAQJRrnW5UZ-Ik/view?usp=drivesdk","Abrir_Factura")</f>
        <v>Abrir_Factura</v>
      </c>
    </row>
    <row r="284" spans="1:29" ht="12.5">
      <c r="A284" s="4">
        <v>45997.321354907406</v>
      </c>
      <c r="B284" s="5">
        <v>90017</v>
      </c>
      <c r="C284" s="5">
        <v>1047240155</v>
      </c>
      <c r="D284" s="5" t="s">
        <v>1611</v>
      </c>
      <c r="F284" s="5" t="s">
        <v>1612</v>
      </c>
      <c r="H284" s="5">
        <v>573007636328</v>
      </c>
      <c r="J284" s="5" t="s">
        <v>1613</v>
      </c>
      <c r="K284" s="5" t="s">
        <v>33</v>
      </c>
      <c r="L284" s="5" t="s">
        <v>34</v>
      </c>
      <c r="M284" s="5">
        <v>3007636328</v>
      </c>
      <c r="N284" s="6">
        <v>45997</v>
      </c>
      <c r="O284" s="7">
        <v>0.40694444444444444</v>
      </c>
      <c r="P284" s="5">
        <v>1</v>
      </c>
      <c r="Q284" s="5" t="s">
        <v>210</v>
      </c>
      <c r="R284" s="5">
        <v>150000</v>
      </c>
      <c r="S284" s="5">
        <v>0</v>
      </c>
      <c r="T284" s="5">
        <v>0</v>
      </c>
      <c r="U284" s="5">
        <v>150000</v>
      </c>
      <c r="V284" s="5" t="s">
        <v>1614</v>
      </c>
      <c r="W284" s="5" t="s">
        <v>36</v>
      </c>
      <c r="X284" s="5" t="s">
        <v>67</v>
      </c>
      <c r="Y284" s="5" t="s">
        <v>24</v>
      </c>
      <c r="Z284" s="5" t="s">
        <v>1615</v>
      </c>
      <c r="AA284" s="5" t="s">
        <v>44</v>
      </c>
      <c r="AB284" s="5" t="s">
        <v>1614</v>
      </c>
      <c r="AC284" s="8" t="str">
        <f>HYPERLINK("https://drive.google.com/file/d/1JDKWBJmiDbIeN0rs3sHZ569WJDKbvrUP/view?usp=drivesdk","Abrir_Factura")</f>
        <v>Abrir_Factura</v>
      </c>
    </row>
    <row r="285" spans="1:29" ht="12.5">
      <c r="A285" s="4">
        <v>45997.376566331019</v>
      </c>
      <c r="B285" s="5">
        <v>90018</v>
      </c>
      <c r="C285" s="5">
        <v>1193074864</v>
      </c>
      <c r="D285" s="5" t="s">
        <v>84</v>
      </c>
      <c r="F285" s="5" t="s">
        <v>1616</v>
      </c>
      <c r="H285" s="5">
        <v>573166515252</v>
      </c>
      <c r="J285" s="5" t="s">
        <v>1617</v>
      </c>
      <c r="K285" s="5" t="s">
        <v>892</v>
      </c>
      <c r="L285" s="5" t="s">
        <v>1618</v>
      </c>
      <c r="M285" s="5">
        <v>3043902220</v>
      </c>
      <c r="N285" s="6">
        <v>45997</v>
      </c>
      <c r="O285" s="7">
        <v>0.46041666666666664</v>
      </c>
      <c r="P285" s="5">
        <v>1</v>
      </c>
      <c r="Q285" s="5" t="s">
        <v>75</v>
      </c>
      <c r="R285" s="5">
        <v>70000</v>
      </c>
      <c r="S285" s="5">
        <v>0</v>
      </c>
      <c r="T285" s="5">
        <v>10000</v>
      </c>
      <c r="U285" s="5">
        <v>80000</v>
      </c>
      <c r="V285" s="5" t="s">
        <v>1619</v>
      </c>
      <c r="W285" s="5" t="s">
        <v>36</v>
      </c>
      <c r="X285" s="5" t="s">
        <v>67</v>
      </c>
      <c r="Y285" s="5" t="s">
        <v>24</v>
      </c>
      <c r="AA285" s="5" t="s">
        <v>44</v>
      </c>
      <c r="AB285" s="5" t="s">
        <v>1619</v>
      </c>
      <c r="AC285" s="8" t="str">
        <f>HYPERLINK("https://drive.google.com/file/d/13sLErGJGSY8rb-kDCalQGkl2oVdiNNlN/view?usp=drivesdk","Abrir_Factura")</f>
        <v>Abrir_Factura</v>
      </c>
    </row>
    <row r="286" spans="1:29" ht="12.5">
      <c r="A286" s="4">
        <v>45997.377076435187</v>
      </c>
      <c r="B286" s="5">
        <v>90019</v>
      </c>
      <c r="C286" s="5">
        <v>1142914121</v>
      </c>
      <c r="D286" s="5" t="s">
        <v>1314</v>
      </c>
      <c r="F286" s="5" t="s">
        <v>1620</v>
      </c>
      <c r="H286" s="5">
        <v>573008558535</v>
      </c>
      <c r="J286" s="5" t="s">
        <v>1314</v>
      </c>
      <c r="K286" s="5" t="s">
        <v>146</v>
      </c>
      <c r="L286" s="5" t="s">
        <v>1621</v>
      </c>
      <c r="M286" s="5">
        <v>3008558535</v>
      </c>
      <c r="N286" s="6">
        <v>45997</v>
      </c>
      <c r="O286" s="7">
        <v>0.70833333333333337</v>
      </c>
      <c r="P286" s="5">
        <v>1</v>
      </c>
      <c r="Q286" s="5" t="s">
        <v>42</v>
      </c>
      <c r="R286" s="5">
        <v>120000</v>
      </c>
      <c r="S286" s="5">
        <v>0</v>
      </c>
      <c r="T286" s="5">
        <v>12000</v>
      </c>
      <c r="U286" s="5">
        <v>132000</v>
      </c>
      <c r="W286" s="5" t="s">
        <v>36</v>
      </c>
      <c r="X286" s="5" t="s">
        <v>67</v>
      </c>
      <c r="Y286" s="5" t="s">
        <v>24</v>
      </c>
      <c r="Z286" s="5" t="s">
        <v>1622</v>
      </c>
      <c r="AA286" s="5" t="s">
        <v>44</v>
      </c>
      <c r="AB286" s="5" t="s">
        <v>1623</v>
      </c>
      <c r="AC286" s="8" t="str">
        <f>HYPERLINK("https://drive.google.com/file/d/1owJdWbVzm6eWliDPUqMkFZmue0uCKPC6/view?usp=drivesdk", "Abrir_Factura")</f>
        <v>Abrir_Factura</v>
      </c>
    </row>
    <row r="287" spans="1:29" ht="12.5">
      <c r="A287" s="4">
        <v>45997.400020648143</v>
      </c>
      <c r="B287" s="5">
        <v>90020</v>
      </c>
      <c r="C287" s="5">
        <v>1048068512</v>
      </c>
      <c r="D287" s="5" t="s">
        <v>226</v>
      </c>
      <c r="F287" s="5" t="s">
        <v>1624</v>
      </c>
      <c r="H287" s="5">
        <v>575912942</v>
      </c>
      <c r="J287" s="5" t="s">
        <v>1625</v>
      </c>
      <c r="K287" s="5" t="s">
        <v>598</v>
      </c>
      <c r="L287" s="5" t="s">
        <v>1626</v>
      </c>
      <c r="M287" s="5">
        <v>3025912942</v>
      </c>
      <c r="N287" s="6">
        <v>45997</v>
      </c>
      <c r="O287" s="7">
        <v>0.52777777777777779</v>
      </c>
      <c r="P287" s="5">
        <v>1</v>
      </c>
      <c r="Q287" s="5" t="s">
        <v>347</v>
      </c>
      <c r="R287" s="5">
        <v>230000</v>
      </c>
      <c r="S287" s="5">
        <v>0</v>
      </c>
      <c r="T287" s="5">
        <v>10000</v>
      </c>
      <c r="U287" s="5">
        <v>240000</v>
      </c>
      <c r="W287" s="5" t="s">
        <v>36</v>
      </c>
      <c r="X287" s="5" t="s">
        <v>51</v>
      </c>
      <c r="Y287" s="5" t="s">
        <v>24</v>
      </c>
      <c r="AA287" s="5" t="s">
        <v>69</v>
      </c>
      <c r="AC287" s="8" t="str">
        <f>HYPERLINK("https://drive.google.com/file/d/1eiwdoBFlB_enytDG5p_ZQsym4qj7wapq/view?usp=drivesdk","Abrir_Factura")</f>
        <v>Abrir_Factura</v>
      </c>
    </row>
    <row r="288" spans="1:29" ht="12.5">
      <c r="A288" s="4">
        <v>45997.417013321756</v>
      </c>
      <c r="B288" s="5">
        <v>90021</v>
      </c>
      <c r="C288" s="5">
        <v>1129509087</v>
      </c>
      <c r="D288" s="5" t="s">
        <v>1627</v>
      </c>
      <c r="F288" s="5" t="s">
        <v>1628</v>
      </c>
      <c r="H288" s="5">
        <v>573005550029</v>
      </c>
      <c r="J288" s="5" t="s">
        <v>1629</v>
      </c>
      <c r="K288" s="5" t="s">
        <v>185</v>
      </c>
      <c r="L288" s="5" t="s">
        <v>1630</v>
      </c>
      <c r="M288" s="5">
        <v>3005550029</v>
      </c>
      <c r="N288" s="6">
        <v>45997</v>
      </c>
      <c r="O288" s="7">
        <v>0.95833333333333337</v>
      </c>
      <c r="P288" s="5">
        <v>1</v>
      </c>
      <c r="Q288" s="5" t="s">
        <v>75</v>
      </c>
      <c r="R288" s="5">
        <v>70000</v>
      </c>
      <c r="S288" s="5">
        <v>0</v>
      </c>
      <c r="T288" s="5">
        <v>8000</v>
      </c>
      <c r="U288" s="5">
        <v>78000</v>
      </c>
      <c r="V288" s="5" t="s">
        <v>1631</v>
      </c>
      <c r="W288" s="5" t="s">
        <v>36</v>
      </c>
      <c r="X288" s="5" t="s">
        <v>67</v>
      </c>
      <c r="Y288" s="5" t="s">
        <v>24</v>
      </c>
      <c r="Z288" s="5" t="s">
        <v>1632</v>
      </c>
      <c r="AA288" s="5" t="s">
        <v>44</v>
      </c>
      <c r="AB288" s="5" t="s">
        <v>1631</v>
      </c>
      <c r="AC288" s="8" t="str">
        <f>HYPERLINK("https://drive.google.com/file/d/13oxIlfjWnYrXifAivh-XmYeHY4LRX7_I/view?usp=drivesdk","Abrir_Factura")</f>
        <v>Abrir_Factura</v>
      </c>
    </row>
    <row r="289" spans="1:29" ht="12.5">
      <c r="A289" s="4">
        <v>45997.428257488427</v>
      </c>
      <c r="B289" s="5">
        <v>90022</v>
      </c>
      <c r="C289" s="5">
        <v>1152450057</v>
      </c>
      <c r="D289" s="5" t="s">
        <v>262</v>
      </c>
      <c r="F289" s="5" t="s">
        <v>1633</v>
      </c>
      <c r="H289" s="5">
        <v>13322874387</v>
      </c>
      <c r="J289" s="5" t="s">
        <v>1634</v>
      </c>
      <c r="K289" s="5" t="s">
        <v>73</v>
      </c>
      <c r="L289" s="5" t="s">
        <v>1635</v>
      </c>
      <c r="M289" s="5">
        <v>3183380606</v>
      </c>
      <c r="N289" s="6">
        <v>45997</v>
      </c>
      <c r="O289" s="7">
        <v>0.70833333333333337</v>
      </c>
      <c r="P289" s="5">
        <v>1</v>
      </c>
      <c r="Q289" s="5" t="s">
        <v>707</v>
      </c>
      <c r="R289" s="5">
        <v>320000</v>
      </c>
      <c r="S289" s="5">
        <v>0</v>
      </c>
      <c r="T289" s="5">
        <v>10000</v>
      </c>
      <c r="U289" s="5">
        <v>330000</v>
      </c>
      <c r="V289" s="5" t="s">
        <v>1636</v>
      </c>
      <c r="W289" s="5" t="s">
        <v>36</v>
      </c>
      <c r="X289" s="5" t="s">
        <v>83</v>
      </c>
      <c r="Y289" s="5" t="s">
        <v>24</v>
      </c>
      <c r="Z289" s="5" t="s">
        <v>1637</v>
      </c>
      <c r="AA289" s="5" t="s">
        <v>44</v>
      </c>
      <c r="AB289" s="5" t="s">
        <v>1638</v>
      </c>
      <c r="AC289" s="8" t="str">
        <f>HYPERLINK("https://drive.google.com/file/d/1WRuen_o1jQBwx5PWuoULEEcYbdnE1Q-3/view?usp=drivesdk","Abrir_Factura")</f>
        <v>Abrir_Factura</v>
      </c>
    </row>
    <row r="290" spans="1:29" ht="12.5">
      <c r="A290" s="4">
        <v>45997.417503854165</v>
      </c>
      <c r="B290" s="5">
        <v>90023</v>
      </c>
      <c r="C290" s="5">
        <v>1140856569</v>
      </c>
      <c r="D290" s="5" t="s">
        <v>1639</v>
      </c>
      <c r="F290" s="5" t="s">
        <v>367</v>
      </c>
      <c r="H290" s="5">
        <v>573226133817</v>
      </c>
      <c r="J290" s="5" t="s">
        <v>1640</v>
      </c>
      <c r="K290" s="5" t="s">
        <v>87</v>
      </c>
      <c r="L290" s="5" t="s">
        <v>1641</v>
      </c>
      <c r="M290" s="5">
        <v>3017113120</v>
      </c>
      <c r="N290" s="6">
        <v>45998</v>
      </c>
      <c r="O290" s="7">
        <v>0.375</v>
      </c>
      <c r="P290" s="5">
        <v>1</v>
      </c>
      <c r="Q290" s="5" t="s">
        <v>112</v>
      </c>
      <c r="R290" s="5">
        <v>260000</v>
      </c>
      <c r="S290" s="5">
        <v>0</v>
      </c>
      <c r="T290" s="5">
        <v>13000</v>
      </c>
      <c r="U290" s="5">
        <v>273000</v>
      </c>
      <c r="V290" s="5" t="s">
        <v>1642</v>
      </c>
      <c r="W290" s="5" t="s">
        <v>36</v>
      </c>
      <c r="X290" s="5" t="s">
        <v>180</v>
      </c>
      <c r="Y290" s="5" t="s">
        <v>24</v>
      </c>
      <c r="Z290" s="5" t="s">
        <v>1643</v>
      </c>
      <c r="AA290" s="5" t="s">
        <v>44</v>
      </c>
      <c r="AB290" s="5" t="s">
        <v>1642</v>
      </c>
      <c r="AC290" s="8" t="str">
        <f>HYPERLINK("https://drive.google.com/file/d/1ZZXrJ1r0ib5WsgINhlAei3RYVoiJerDU/view?usp=drivesdk","Abrir_Factura")</f>
        <v>Abrir_Factura</v>
      </c>
    </row>
    <row r="291" spans="1:29" ht="12.5">
      <c r="A291" s="4">
        <v>45997.443397094903</v>
      </c>
      <c r="B291" s="5">
        <v>90024</v>
      </c>
      <c r="C291" s="5">
        <v>1047419812</v>
      </c>
      <c r="D291" s="5" t="s">
        <v>1644</v>
      </c>
      <c r="F291" s="5" t="s">
        <v>1645</v>
      </c>
      <c r="H291" s="5">
        <v>573016533455</v>
      </c>
      <c r="J291" s="5" t="s">
        <v>1646</v>
      </c>
      <c r="K291" s="5" t="s">
        <v>1647</v>
      </c>
      <c r="L291" s="5" t="s">
        <v>1648</v>
      </c>
      <c r="M291" s="5">
        <v>3205320097</v>
      </c>
      <c r="N291" s="6">
        <v>45997</v>
      </c>
      <c r="O291" s="7">
        <v>0.70833333333333337</v>
      </c>
      <c r="P291" s="5">
        <v>1</v>
      </c>
      <c r="Q291" s="5" t="s">
        <v>1102</v>
      </c>
      <c r="R291" s="5">
        <v>220000</v>
      </c>
      <c r="S291" s="5">
        <v>0</v>
      </c>
      <c r="T291" s="5">
        <v>18000</v>
      </c>
      <c r="U291" s="5">
        <v>238000</v>
      </c>
      <c r="V291" s="5" t="s">
        <v>1649</v>
      </c>
      <c r="W291" s="5" t="s">
        <v>36</v>
      </c>
      <c r="X291" s="5" t="s">
        <v>83</v>
      </c>
      <c r="Y291" s="5" t="s">
        <v>24</v>
      </c>
      <c r="Z291" s="5" t="s">
        <v>1650</v>
      </c>
      <c r="AA291" s="5" t="s">
        <v>69</v>
      </c>
      <c r="AB291" s="5"/>
      <c r="AC291" s="8" t="str">
        <f>HYPERLINK("https://drive.google.com/file/d/10_xvnEVNDIC5imUJw8vf0cl7k60kmrj6/view?usp=drivesdk", "Abrir_Factura")</f>
        <v>Abrir_Factura</v>
      </c>
    </row>
    <row r="292" spans="1:29" ht="18" customHeight="1">
      <c r="A292" s="4">
        <v>45997.4343587037</v>
      </c>
      <c r="B292" s="5">
        <v>90025</v>
      </c>
      <c r="C292" s="5">
        <v>1140833347</v>
      </c>
      <c r="D292" s="5" t="s">
        <v>1651</v>
      </c>
      <c r="F292" s="5" t="s">
        <v>1652</v>
      </c>
      <c r="H292" s="5">
        <v>573014164165</v>
      </c>
      <c r="J292" s="5" t="s">
        <v>1653</v>
      </c>
      <c r="K292" s="5" t="s">
        <v>448</v>
      </c>
      <c r="L292" s="5" t="s">
        <v>1654</v>
      </c>
      <c r="M292" s="5">
        <v>3017543110</v>
      </c>
      <c r="N292" s="6">
        <v>45997</v>
      </c>
      <c r="O292" s="7">
        <v>0.5180555555555556</v>
      </c>
      <c r="P292" s="5">
        <v>1</v>
      </c>
      <c r="Q292" s="5" t="s">
        <v>309</v>
      </c>
      <c r="R292" s="5">
        <v>80000</v>
      </c>
      <c r="S292" s="5">
        <v>0</v>
      </c>
      <c r="T292" s="5">
        <v>15000</v>
      </c>
      <c r="U292" s="5">
        <v>95000</v>
      </c>
      <c r="V292" s="5" t="s">
        <v>1655</v>
      </c>
      <c r="W292" s="5" t="s">
        <v>36</v>
      </c>
      <c r="X292" s="5" t="s">
        <v>67</v>
      </c>
      <c r="Y292" s="5" t="s">
        <v>24</v>
      </c>
      <c r="Z292" s="5" t="s">
        <v>1656</v>
      </c>
      <c r="AA292" s="5" t="s">
        <v>44</v>
      </c>
      <c r="AB292" s="5" t="s">
        <v>1657</v>
      </c>
      <c r="AC292" s="8" t="str">
        <f>HYPERLINK("https://drive.google.com/file/d/1d4X__FS1NHjgnArzlm2XbKgvPkM-x5q6/view?usp=drivesdk", "Abrir_Factura")</f>
        <v>Abrir_Factura</v>
      </c>
    </row>
    <row r="293" spans="1:29" ht="18" customHeight="1">
      <c r="A293" s="4">
        <v>45997.43634565972</v>
      </c>
      <c r="B293" s="5">
        <v>90026</v>
      </c>
      <c r="C293" s="5">
        <v>1192788363</v>
      </c>
      <c r="D293" s="5" t="s">
        <v>1658</v>
      </c>
      <c r="F293" s="5" t="s">
        <v>1659</v>
      </c>
      <c r="H293" s="5">
        <v>13476080627</v>
      </c>
      <c r="J293" s="5" t="s">
        <v>1660</v>
      </c>
      <c r="K293" s="5" t="s">
        <v>265</v>
      </c>
      <c r="L293" s="5" t="s">
        <v>1661</v>
      </c>
      <c r="M293" s="5">
        <v>3244334923</v>
      </c>
      <c r="N293" s="6">
        <v>45997</v>
      </c>
      <c r="O293" s="7">
        <v>0.51597222222222228</v>
      </c>
      <c r="P293" s="5">
        <v>1</v>
      </c>
      <c r="Q293" s="5" t="s">
        <v>187</v>
      </c>
      <c r="R293" s="5">
        <v>200000</v>
      </c>
      <c r="S293" s="5">
        <v>0</v>
      </c>
      <c r="T293" s="5">
        <v>17000</v>
      </c>
      <c r="U293" s="5">
        <v>217000</v>
      </c>
      <c r="V293" s="5" t="s">
        <v>1662</v>
      </c>
      <c r="W293" s="5" t="s">
        <v>36</v>
      </c>
      <c r="X293" s="5" t="s">
        <v>868</v>
      </c>
      <c r="Y293" s="5" t="s">
        <v>24</v>
      </c>
      <c r="Z293" s="5" t="s">
        <v>1663</v>
      </c>
      <c r="AA293" s="5" t="s">
        <v>69</v>
      </c>
      <c r="AB293" s="5" t="s">
        <v>1662</v>
      </c>
      <c r="AC293" s="8" t="str">
        <f>HYPERLINK("https://drive.google.com/file/d/1_OfbIIqGMDXZJQ_WmPTEZWJ-Q-pGK6l9/view?usp=drivesdk","Abrir_Factura")</f>
        <v>Abrir_Factura</v>
      </c>
    </row>
    <row r="294" spans="1:29" ht="18" customHeight="1">
      <c r="A294" s="4">
        <v>45997.44939415509</v>
      </c>
      <c r="B294" s="5">
        <v>90027</v>
      </c>
      <c r="C294" s="5">
        <v>72267936</v>
      </c>
      <c r="D294" s="5" t="s">
        <v>703</v>
      </c>
      <c r="F294" s="5" t="s">
        <v>1664</v>
      </c>
      <c r="H294" s="5">
        <v>573017962144</v>
      </c>
      <c r="J294" s="5" t="s">
        <v>1665</v>
      </c>
      <c r="K294" s="5" t="s">
        <v>103</v>
      </c>
      <c r="L294" s="5" t="s">
        <v>1666</v>
      </c>
      <c r="M294" s="5">
        <v>3017970570</v>
      </c>
      <c r="N294" s="6">
        <v>45997</v>
      </c>
      <c r="O294" s="7">
        <v>0.58333333333333337</v>
      </c>
      <c r="P294" s="5">
        <v>1</v>
      </c>
      <c r="Q294" s="5" t="s">
        <v>50</v>
      </c>
      <c r="R294" s="5">
        <v>200000</v>
      </c>
      <c r="S294" s="5">
        <v>0</v>
      </c>
      <c r="T294" s="5">
        <v>10000</v>
      </c>
      <c r="U294" s="5">
        <v>210000</v>
      </c>
      <c r="V294" s="5" t="s">
        <v>1667</v>
      </c>
      <c r="W294" s="5" t="s">
        <v>36</v>
      </c>
      <c r="X294" s="5" t="s">
        <v>180</v>
      </c>
      <c r="Y294" s="5" t="s">
        <v>24</v>
      </c>
      <c r="Z294" s="5" t="s">
        <v>703</v>
      </c>
      <c r="AA294" s="5" t="s">
        <v>44</v>
      </c>
      <c r="AB294" s="5" t="s">
        <v>1668</v>
      </c>
      <c r="AC294" s="8" t="str">
        <f>HYPERLINK("https://drive.google.com/file/d/1Xt7blxaqLsyauoCRJjApo6OOb-cFB8Jx/view?usp=drivesdk","Abrir_Factura")</f>
        <v>Abrir_Factura</v>
      </c>
    </row>
    <row r="295" spans="1:29" ht="12.5">
      <c r="A295" s="4">
        <v>45997.457184050931</v>
      </c>
      <c r="B295" s="5">
        <v>90028</v>
      </c>
      <c r="C295" s="5">
        <v>1140877655</v>
      </c>
      <c r="D295" s="5" t="s">
        <v>1584</v>
      </c>
      <c r="F295" s="5" t="s">
        <v>1669</v>
      </c>
      <c r="H295" s="5">
        <v>573135860866</v>
      </c>
      <c r="J295" s="5" t="s">
        <v>1670</v>
      </c>
      <c r="K295" s="5" t="s">
        <v>33</v>
      </c>
      <c r="L295" s="5" t="s">
        <v>34</v>
      </c>
      <c r="M295" s="5">
        <v>3135860866</v>
      </c>
      <c r="N295" s="6">
        <v>45997</v>
      </c>
      <c r="O295" s="7">
        <v>0.625</v>
      </c>
      <c r="P295" s="5">
        <v>1</v>
      </c>
      <c r="Q295" s="5" t="s">
        <v>309</v>
      </c>
      <c r="R295" s="5">
        <v>80000</v>
      </c>
      <c r="S295" s="5">
        <v>0</v>
      </c>
      <c r="T295" s="5">
        <v>0</v>
      </c>
      <c r="U295" s="5">
        <v>80000</v>
      </c>
      <c r="V295" s="5" t="s">
        <v>1671</v>
      </c>
      <c r="W295" s="5" t="s">
        <v>36</v>
      </c>
      <c r="X295" s="5" t="s">
        <v>98</v>
      </c>
      <c r="Y295" s="5" t="s">
        <v>24</v>
      </c>
      <c r="Z295" s="5" t="s">
        <v>1672</v>
      </c>
      <c r="AA295" s="5" t="s">
        <v>69</v>
      </c>
      <c r="AB295" s="5" t="s">
        <v>1673</v>
      </c>
      <c r="AC295" s="8" t="str">
        <f>HYPERLINK("https://drive.google.com/file/d/1NpSOtCkWGiBX9MyzabMk3fU190UbUp_h/view?usp=drivesdk","Abrir_Factura")</f>
        <v>Abrir_Factura</v>
      </c>
    </row>
    <row r="296" spans="1:29" ht="12.5">
      <c r="A296" s="4">
        <v>45997.449931030089</v>
      </c>
      <c r="B296" s="5">
        <v>90029</v>
      </c>
      <c r="C296" s="5">
        <v>1016949708</v>
      </c>
      <c r="D296" s="5" t="s">
        <v>1674</v>
      </c>
      <c r="F296" s="5" t="s">
        <v>1675</v>
      </c>
      <c r="H296" s="5">
        <v>573043845927</v>
      </c>
      <c r="J296" s="5" t="s">
        <v>1676</v>
      </c>
      <c r="K296" s="5" t="s">
        <v>1677</v>
      </c>
      <c r="L296" s="5" t="s">
        <v>1678</v>
      </c>
      <c r="M296" s="5" t="s">
        <v>1679</v>
      </c>
      <c r="N296" s="6">
        <v>45997</v>
      </c>
      <c r="O296" s="7">
        <v>0.54166666666666663</v>
      </c>
      <c r="P296" s="5">
        <v>1</v>
      </c>
      <c r="Q296" s="5" t="s">
        <v>75</v>
      </c>
      <c r="R296" s="5">
        <v>70000</v>
      </c>
      <c r="S296" s="5">
        <v>0</v>
      </c>
      <c r="T296" s="5">
        <v>17000</v>
      </c>
      <c r="U296" s="5">
        <v>87000</v>
      </c>
      <c r="V296" s="5" t="s">
        <v>1680</v>
      </c>
      <c r="W296" s="5" t="s">
        <v>36</v>
      </c>
      <c r="X296" s="5" t="s">
        <v>1481</v>
      </c>
      <c r="Y296" s="5" t="s">
        <v>24</v>
      </c>
      <c r="Z296" s="5" t="s">
        <v>1681</v>
      </c>
      <c r="AA296" s="5" t="s">
        <v>44</v>
      </c>
      <c r="AB296" s="5" t="s">
        <v>1680</v>
      </c>
      <c r="AC296" s="8" t="str">
        <f>HYPERLINK("https://drive.google.com/file/d/1OqGRbhCaasT_V3rIVPK4ehdrVPbAlcj4/view?usp=drivesdk","Abrir_Factura")</f>
        <v>Abrir_Factura</v>
      </c>
    </row>
    <row r="297" spans="1:29" ht="12.5">
      <c r="A297" s="4">
        <v>45997.489200775468</v>
      </c>
      <c r="B297" s="5">
        <v>90030</v>
      </c>
      <c r="C297" s="5">
        <v>37270681</v>
      </c>
      <c r="D297" s="5" t="s">
        <v>1682</v>
      </c>
      <c r="F297" s="5" t="s">
        <v>1683</v>
      </c>
      <c r="H297" s="5">
        <v>573173672739</v>
      </c>
      <c r="I297" s="5" t="s">
        <v>1684</v>
      </c>
      <c r="J297" s="5" t="s">
        <v>1685</v>
      </c>
      <c r="K297" s="5" t="s">
        <v>33</v>
      </c>
      <c r="L297" s="5" t="s">
        <v>34</v>
      </c>
      <c r="M297" s="5">
        <v>3173672739</v>
      </c>
      <c r="N297" s="13">
        <v>46000</v>
      </c>
      <c r="O297" s="11">
        <v>0.375</v>
      </c>
      <c r="P297" s="5">
        <v>1</v>
      </c>
      <c r="Q297" s="5" t="s">
        <v>75</v>
      </c>
      <c r="R297" s="5">
        <v>70000</v>
      </c>
      <c r="S297" s="5">
        <v>0</v>
      </c>
      <c r="T297" s="5">
        <v>0</v>
      </c>
      <c r="U297" s="5">
        <v>70000</v>
      </c>
      <c r="V297" s="5"/>
      <c r="W297" s="5" t="s">
        <v>36</v>
      </c>
      <c r="X297" s="5" t="s">
        <v>67</v>
      </c>
      <c r="Y297" s="5" t="s">
        <v>24</v>
      </c>
      <c r="AA297" s="5" t="s">
        <v>44</v>
      </c>
      <c r="AB297" s="5" t="s">
        <v>1686</v>
      </c>
      <c r="AC297" s="8" t="str">
        <f>HYPERLINK("https://drive.google.com/file/d/1V8CauyMdatcfvq-ncPrVrEGa6TelY06V/view?usp=drivesdk", "Abrir_Factura")</f>
        <v>Abrir_Factura</v>
      </c>
    </row>
    <row r="298" spans="1:29" ht="12.5">
      <c r="A298" s="4">
        <v>45997.506148518514</v>
      </c>
      <c r="B298" s="5">
        <v>90031</v>
      </c>
      <c r="C298" s="5">
        <v>1044431061</v>
      </c>
      <c r="D298" s="5" t="s">
        <v>1687</v>
      </c>
      <c r="F298" s="5" t="s">
        <v>1688</v>
      </c>
      <c r="H298" s="5">
        <v>573234582934</v>
      </c>
      <c r="J298" s="5" t="s">
        <v>1689</v>
      </c>
      <c r="K298" s="5" t="s">
        <v>63</v>
      </c>
      <c r="L298" s="5" t="s">
        <v>1690</v>
      </c>
      <c r="M298" s="5">
        <v>3217942660</v>
      </c>
      <c r="N298" s="6">
        <v>45997</v>
      </c>
      <c r="O298" s="7">
        <v>0.59166666666666667</v>
      </c>
      <c r="P298" s="5">
        <v>1</v>
      </c>
      <c r="Q298" s="5" t="s">
        <v>309</v>
      </c>
      <c r="R298" s="5">
        <v>80000</v>
      </c>
      <c r="S298" s="5">
        <v>0</v>
      </c>
      <c r="T298" s="5">
        <v>17000</v>
      </c>
      <c r="U298" s="5">
        <v>97000</v>
      </c>
      <c r="W298" s="5" t="s">
        <v>36</v>
      </c>
      <c r="X298" s="5" t="s">
        <v>83</v>
      </c>
      <c r="Y298" s="5" t="s">
        <v>24</v>
      </c>
      <c r="Z298" s="5" t="s">
        <v>1691</v>
      </c>
      <c r="AA298" s="5" t="s">
        <v>44</v>
      </c>
      <c r="AC298" s="8" t="str">
        <f>HYPERLINK("https://drive.google.com/file/d/1F_671JVFLiu23Fwn8ChWlER8gcviyt5x/view?usp=drivesdk","Abrir_Factura")</f>
        <v>Abrir_Factura</v>
      </c>
    </row>
    <row r="299" spans="1:29" ht="12.5">
      <c r="A299" s="4">
        <v>45997.3618446412</v>
      </c>
      <c r="B299" s="5">
        <v>90032</v>
      </c>
      <c r="C299" s="5">
        <v>72212975</v>
      </c>
      <c r="D299" s="5" t="s">
        <v>1692</v>
      </c>
      <c r="F299" s="5" t="s">
        <v>387</v>
      </c>
      <c r="H299" s="5">
        <v>574528261</v>
      </c>
      <c r="J299" s="5" t="s">
        <v>1693</v>
      </c>
      <c r="K299" s="5" t="s">
        <v>73</v>
      </c>
      <c r="L299" s="5" t="s">
        <v>1694</v>
      </c>
      <c r="M299" s="5" t="s">
        <v>1695</v>
      </c>
      <c r="N299" s="6">
        <v>45997</v>
      </c>
      <c r="O299" s="7">
        <v>0.44236111111111109</v>
      </c>
      <c r="P299" s="5">
        <v>1</v>
      </c>
      <c r="Q299" s="5" t="s">
        <v>1696</v>
      </c>
      <c r="R299" s="5">
        <v>700000</v>
      </c>
      <c r="S299" s="5">
        <v>0</v>
      </c>
      <c r="T299" s="5">
        <v>10000</v>
      </c>
      <c r="U299" s="5">
        <v>710000</v>
      </c>
      <c r="V299" s="5" t="s">
        <v>1697</v>
      </c>
      <c r="W299" s="5" t="s">
        <v>36</v>
      </c>
      <c r="X299" s="5" t="s">
        <v>83</v>
      </c>
      <c r="Y299" s="5" t="s">
        <v>24</v>
      </c>
      <c r="Z299" s="5" t="s">
        <v>1698</v>
      </c>
      <c r="AA299" s="5" t="s">
        <v>44</v>
      </c>
      <c r="AB299" s="5"/>
      <c r="AC299" s="8" t="str">
        <f>HYPERLINK("https://drive.google.com/file/d/1zO0IW1w5-Jvkg5L0yXuQ1dlp5opPtEk3/view?usp=drivesdk", "Abrir_Factura")</f>
        <v>Abrir_Factura</v>
      </c>
    </row>
    <row r="300" spans="1:29" ht="12.5">
      <c r="A300" s="4">
        <v>45997.52462837963</v>
      </c>
      <c r="B300" s="5">
        <v>90033</v>
      </c>
      <c r="C300" s="5">
        <v>52645529</v>
      </c>
      <c r="D300" s="5" t="s">
        <v>1321</v>
      </c>
      <c r="F300" s="5" t="s">
        <v>1699</v>
      </c>
      <c r="H300" s="5">
        <v>573145812039</v>
      </c>
      <c r="J300" s="5" t="s">
        <v>1700</v>
      </c>
      <c r="K300" s="5" t="s">
        <v>33</v>
      </c>
      <c r="L300" s="5" t="s">
        <v>1701</v>
      </c>
      <c r="M300" s="5">
        <v>573145812039</v>
      </c>
      <c r="N300" s="6">
        <v>45997</v>
      </c>
      <c r="O300" s="7">
        <v>0.61041666666666672</v>
      </c>
      <c r="P300" s="5">
        <v>1</v>
      </c>
      <c r="Q300" s="5" t="s">
        <v>178</v>
      </c>
      <c r="R300" s="5">
        <v>100000</v>
      </c>
      <c r="S300" s="5">
        <v>0</v>
      </c>
      <c r="T300" s="5">
        <v>0</v>
      </c>
      <c r="U300" s="5">
        <v>100000</v>
      </c>
      <c r="W300" s="5" t="s">
        <v>36</v>
      </c>
      <c r="X300" s="5" t="s">
        <v>196</v>
      </c>
      <c r="Y300" s="5" t="s">
        <v>24</v>
      </c>
      <c r="AA300" s="5" t="s">
        <v>69</v>
      </c>
      <c r="AC300" s="8" t="str">
        <f>HYPERLINK("https://drive.google.com/file/d/1lJYL_9fjiUM-vvPr3gqhzm8KZopzAeOj/view?usp=drivesdk", "Abrir_Factura")</f>
        <v>Abrir_Factura</v>
      </c>
    </row>
    <row r="301" spans="1:29" ht="12.5">
      <c r="A301" s="4">
        <v>45997.529523113422</v>
      </c>
      <c r="B301" s="5">
        <v>90034</v>
      </c>
      <c r="C301" s="5">
        <v>1140903198</v>
      </c>
      <c r="D301" s="5" t="s">
        <v>1702</v>
      </c>
      <c r="F301" s="5" t="s">
        <v>1703</v>
      </c>
      <c r="H301" s="5">
        <v>573008095865</v>
      </c>
      <c r="J301" s="5" t="s">
        <v>1704</v>
      </c>
      <c r="K301" s="5" t="s">
        <v>33</v>
      </c>
      <c r="L301" s="5" t="s">
        <v>34</v>
      </c>
      <c r="M301" s="5">
        <v>8095865</v>
      </c>
      <c r="N301" s="6">
        <v>45997</v>
      </c>
      <c r="O301" s="7">
        <v>0.61527777777777781</v>
      </c>
      <c r="P301" s="5">
        <v>1</v>
      </c>
      <c r="Q301" s="5" t="s">
        <v>1111</v>
      </c>
      <c r="R301" s="5">
        <v>120000</v>
      </c>
      <c r="S301" s="5">
        <v>0</v>
      </c>
      <c r="T301" s="5">
        <v>0</v>
      </c>
      <c r="U301" s="5">
        <v>120000</v>
      </c>
      <c r="W301" s="5" t="s">
        <v>36</v>
      </c>
      <c r="X301" s="5" t="s">
        <v>1705</v>
      </c>
      <c r="Y301" s="5" t="s">
        <v>24</v>
      </c>
      <c r="AA301" s="5" t="s">
        <v>69</v>
      </c>
      <c r="AC301" s="8" t="str">
        <f>HYPERLINK("https://drive.google.com/file/d/1PrOE8XwoaqvZGAKl7DdFwuX4rpG2UsJJ/view?usp=drivesdk", "Abrir_Factura")</f>
        <v>Abrir_Factura</v>
      </c>
    </row>
    <row r="302" spans="1:29" ht="12.5">
      <c r="A302" s="4">
        <v>45997.49390483796</v>
      </c>
      <c r="B302" s="5">
        <v>90035</v>
      </c>
      <c r="C302" s="5">
        <v>1026271027</v>
      </c>
      <c r="D302" s="5" t="s">
        <v>1706</v>
      </c>
      <c r="F302" s="5" t="s">
        <v>1707</v>
      </c>
      <c r="H302" s="5">
        <v>573107647968</v>
      </c>
      <c r="J302" s="5" t="s">
        <v>1708</v>
      </c>
      <c r="K302" s="5" t="s">
        <v>265</v>
      </c>
      <c r="L302" s="5" t="s">
        <v>1709</v>
      </c>
      <c r="M302" s="5" t="s">
        <v>1710</v>
      </c>
      <c r="N302" s="6">
        <v>46007</v>
      </c>
      <c r="O302" s="7">
        <v>0.33333333333333331</v>
      </c>
      <c r="P302" s="5">
        <v>1</v>
      </c>
      <c r="Q302" s="5" t="s">
        <v>156</v>
      </c>
      <c r="R302" s="5">
        <v>70000</v>
      </c>
      <c r="S302" s="5">
        <v>0</v>
      </c>
      <c r="T302" s="5">
        <v>17000</v>
      </c>
      <c r="U302" s="5">
        <v>87000</v>
      </c>
      <c r="V302" s="5" t="s">
        <v>1711</v>
      </c>
      <c r="W302" s="5" t="s">
        <v>36</v>
      </c>
      <c r="X302" s="5" t="s">
        <v>83</v>
      </c>
      <c r="Y302" s="5" t="s">
        <v>24</v>
      </c>
      <c r="Z302" s="5" t="s">
        <v>1712</v>
      </c>
      <c r="AA302" s="5" t="s">
        <v>69</v>
      </c>
      <c r="AB302" s="5" t="s">
        <v>1713</v>
      </c>
      <c r="AC302" s="8" t="str">
        <f>HYPERLINK("https://drive.google.com/file/d/15MEYfpHGJoSOn6c_FnuQtzkxhOBa3hPG/view?usp=drivesdk","Abrir_Factura")</f>
        <v>Abrir_Factura</v>
      </c>
    </row>
    <row r="303" spans="1:29" ht="12.5">
      <c r="A303" s="4">
        <v>45997.489269861107</v>
      </c>
      <c r="B303" s="5">
        <v>90036</v>
      </c>
      <c r="C303" s="5">
        <v>1044424624</v>
      </c>
      <c r="D303" s="5" t="s">
        <v>1714</v>
      </c>
      <c r="F303" s="5" t="s">
        <v>1683</v>
      </c>
      <c r="H303" s="5">
        <v>573104172030</v>
      </c>
      <c r="J303" s="5" t="s">
        <v>1715</v>
      </c>
      <c r="K303" s="5" t="s">
        <v>73</v>
      </c>
      <c r="L303" s="5" t="s">
        <v>1716</v>
      </c>
      <c r="M303" s="5">
        <v>3104172030</v>
      </c>
      <c r="N303" s="6">
        <v>45997</v>
      </c>
      <c r="O303" s="7">
        <v>0.66666666666666663</v>
      </c>
      <c r="P303" s="5">
        <v>1</v>
      </c>
      <c r="Q303" s="5" t="s">
        <v>42</v>
      </c>
      <c r="R303" s="5">
        <v>0</v>
      </c>
      <c r="S303" s="5">
        <v>0</v>
      </c>
      <c r="T303" s="5">
        <v>10000</v>
      </c>
      <c r="U303" s="5">
        <v>10000</v>
      </c>
      <c r="W303" s="5" t="s">
        <v>36</v>
      </c>
      <c r="X303" s="5" t="s">
        <v>43</v>
      </c>
      <c r="Y303" s="5" t="s">
        <v>24</v>
      </c>
      <c r="AA303" s="5" t="s">
        <v>1717</v>
      </c>
      <c r="AB303" s="5" t="s">
        <v>1718</v>
      </c>
      <c r="AC303" s="8" t="str">
        <f>HYPERLINK("https://drive.google.com/file/d/1HCuf_p5QDaP84gf0JKfci6ciT8ZNhi7F/view?usp=drivesdk", "Abrir_Factura")</f>
        <v>Abrir_Factura</v>
      </c>
    </row>
    <row r="304" spans="1:29" ht="12.5">
      <c r="A304" s="4">
        <v>45997.538360266204</v>
      </c>
      <c r="B304" s="5">
        <v>90037</v>
      </c>
      <c r="C304" s="5">
        <v>1003315310</v>
      </c>
      <c r="D304" s="5" t="s">
        <v>1719</v>
      </c>
      <c r="F304" s="5" t="s">
        <v>1720</v>
      </c>
      <c r="H304" s="5">
        <v>573168273639</v>
      </c>
      <c r="J304" s="5" t="s">
        <v>1721</v>
      </c>
      <c r="K304" s="5" t="s">
        <v>1722</v>
      </c>
      <c r="L304" s="5" t="s">
        <v>1723</v>
      </c>
      <c r="M304" s="5">
        <v>3011332917</v>
      </c>
      <c r="N304" s="6">
        <v>45997</v>
      </c>
      <c r="O304" s="7">
        <v>0.62291666666666667</v>
      </c>
      <c r="P304" s="5">
        <v>1</v>
      </c>
      <c r="Q304" s="5" t="s">
        <v>375</v>
      </c>
      <c r="R304" s="5">
        <v>70000</v>
      </c>
      <c r="S304" s="5">
        <v>0</v>
      </c>
      <c r="T304" s="5">
        <v>15000</v>
      </c>
      <c r="U304" s="5">
        <v>85000</v>
      </c>
      <c r="V304" s="5" t="s">
        <v>1724</v>
      </c>
      <c r="W304" s="5" t="s">
        <v>36</v>
      </c>
      <c r="X304" s="5" t="s">
        <v>67</v>
      </c>
      <c r="Y304" s="5" t="s">
        <v>24</v>
      </c>
      <c r="Z304" s="5" t="s">
        <v>1725</v>
      </c>
      <c r="AA304" s="5" t="s">
        <v>44</v>
      </c>
      <c r="AB304" s="5" t="s">
        <v>1724</v>
      </c>
      <c r="AC304" s="8" t="str">
        <f>HYPERLINK("https://drive.google.com/file/d/1ArwqwhFCRi7xOnx1oHK4oy0Ff_hnW9dz/view?usp=drivesdk","Abrir_Factura")</f>
        <v>Abrir_Factura</v>
      </c>
    </row>
    <row r="305" spans="1:30" ht="12.5">
      <c r="A305" s="4">
        <v>45997.552522013888</v>
      </c>
      <c r="B305" s="5">
        <v>90038</v>
      </c>
      <c r="C305" s="5">
        <v>72165221</v>
      </c>
      <c r="D305" s="5" t="s">
        <v>1726</v>
      </c>
      <c r="F305" s="5" t="s">
        <v>1727</v>
      </c>
      <c r="H305" s="5">
        <v>57164544969</v>
      </c>
      <c r="J305" s="5" t="s">
        <v>1728</v>
      </c>
      <c r="K305" s="5" t="s">
        <v>33</v>
      </c>
      <c r="L305" s="5" t="s">
        <v>34</v>
      </c>
      <c r="M305" s="5">
        <v>164544969</v>
      </c>
      <c r="N305" s="6">
        <v>45997</v>
      </c>
      <c r="O305" s="7">
        <v>0.63888888888888884</v>
      </c>
      <c r="P305" s="5">
        <v>1</v>
      </c>
      <c r="Q305" s="5" t="s">
        <v>178</v>
      </c>
      <c r="R305" s="5">
        <v>100000</v>
      </c>
      <c r="S305" s="5">
        <v>0</v>
      </c>
      <c r="T305" s="5">
        <v>0</v>
      </c>
      <c r="U305" s="5">
        <v>100000</v>
      </c>
      <c r="W305" s="5" t="s">
        <v>36</v>
      </c>
      <c r="X305" s="5" t="s">
        <v>196</v>
      </c>
      <c r="Y305" s="5" t="s">
        <v>24</v>
      </c>
      <c r="AA305" s="5" t="s">
        <v>1717</v>
      </c>
      <c r="AB305" s="5" t="s">
        <v>1729</v>
      </c>
      <c r="AC305" s="8" t="str">
        <f>HYPERLINK("https://drive.google.com/file/d/1FLmrZPy0GrgKZoZl8O1PpNqRzM43LBJF/view?usp=drivesdk","Abrir_Factura")</f>
        <v>Abrir_Factura</v>
      </c>
    </row>
    <row r="306" spans="1:30" ht="12.5">
      <c r="A306" s="4">
        <v>45997.542153506947</v>
      </c>
      <c r="B306" s="5">
        <v>90039</v>
      </c>
      <c r="C306" s="5">
        <v>1140847768</v>
      </c>
      <c r="D306" s="5" t="s">
        <v>1304</v>
      </c>
      <c r="F306" s="5" t="s">
        <v>1730</v>
      </c>
      <c r="H306" s="5">
        <v>573175134911</v>
      </c>
      <c r="J306" s="5" t="s">
        <v>1731</v>
      </c>
      <c r="K306" s="5" t="s">
        <v>185</v>
      </c>
      <c r="L306" s="5" t="s">
        <v>1732</v>
      </c>
      <c r="M306" s="5">
        <v>3006064722</v>
      </c>
      <c r="N306" s="6">
        <v>45997</v>
      </c>
      <c r="O306" s="7">
        <v>0.62777777777777777</v>
      </c>
      <c r="P306" s="5">
        <v>1</v>
      </c>
      <c r="Q306" s="5" t="s">
        <v>734</v>
      </c>
      <c r="R306" s="5">
        <v>140000</v>
      </c>
      <c r="S306" s="5">
        <v>0</v>
      </c>
      <c r="T306" s="5">
        <v>8000</v>
      </c>
      <c r="U306" s="5">
        <v>148000</v>
      </c>
      <c r="V306" s="5" t="s">
        <v>1733</v>
      </c>
      <c r="W306" s="5" t="s">
        <v>36</v>
      </c>
      <c r="X306" s="5" t="s">
        <v>83</v>
      </c>
      <c r="Y306" s="5" t="s">
        <v>24</v>
      </c>
      <c r="Z306" s="5" t="s">
        <v>1734</v>
      </c>
      <c r="AA306" s="5" t="s">
        <v>69</v>
      </c>
      <c r="AB306" s="5" t="s">
        <v>1735</v>
      </c>
      <c r="AC306" s="8" t="str">
        <f>HYPERLINK("https://drive.google.com/file/d/1xiZc6X_Be0ebrbxQ9jqhexn3KJ1h9zXw/view?usp=drivesdk ", "Abrir_Factura")</f>
        <v>Abrir_Factura</v>
      </c>
    </row>
    <row r="307" spans="1:30" ht="12.5">
      <c r="A307" s="4">
        <v>45997.485313333338</v>
      </c>
      <c r="B307" s="5">
        <v>90040</v>
      </c>
      <c r="C307" s="5">
        <v>1045717976</v>
      </c>
      <c r="D307" s="5" t="s">
        <v>1736</v>
      </c>
      <c r="F307" s="5" t="s">
        <v>1737</v>
      </c>
      <c r="H307" s="5">
        <v>573215794138</v>
      </c>
      <c r="J307" s="5" t="s">
        <v>1738</v>
      </c>
      <c r="L307" s="5" t="s">
        <v>1739</v>
      </c>
      <c r="M307" s="5">
        <v>3215794138</v>
      </c>
      <c r="N307" s="6">
        <v>45998</v>
      </c>
      <c r="O307" s="7">
        <v>0.39583333333333331</v>
      </c>
      <c r="P307" s="5">
        <v>1</v>
      </c>
      <c r="Q307" s="5" t="s">
        <v>89</v>
      </c>
      <c r="R307" s="5">
        <v>150000</v>
      </c>
      <c r="S307" s="5">
        <v>0</v>
      </c>
      <c r="T307" s="5"/>
      <c r="U307" s="5">
        <v>150000</v>
      </c>
      <c r="V307" s="5" t="s">
        <v>1740</v>
      </c>
      <c r="W307" s="5" t="s">
        <v>36</v>
      </c>
      <c r="X307" s="5" t="s">
        <v>83</v>
      </c>
      <c r="Y307" s="5" t="s">
        <v>24</v>
      </c>
      <c r="Z307" s="5" t="s">
        <v>1741</v>
      </c>
      <c r="AA307" s="5" t="s">
        <v>69</v>
      </c>
      <c r="AB307" s="5" t="s">
        <v>1740</v>
      </c>
      <c r="AC307" s="8" t="str">
        <f>HYPERLINK("https://drive.google.com/file/d/1NDxCGd_lKcOWUGyKnp14RcUH6iXi3uO3/view?usp=drivesdk","Abrir_Factura")</f>
        <v>Abrir_Factura</v>
      </c>
    </row>
    <row r="308" spans="1:30" ht="18" customHeight="1">
      <c r="A308" s="4">
        <v>45997.606913078707</v>
      </c>
      <c r="B308" s="5">
        <v>90041</v>
      </c>
      <c r="C308" s="5">
        <v>22478346</v>
      </c>
      <c r="D308" s="5" t="s">
        <v>1742</v>
      </c>
      <c r="F308" s="5" t="s">
        <v>1743</v>
      </c>
      <c r="H308" s="5">
        <v>572406191506</v>
      </c>
      <c r="J308" s="5" t="s">
        <v>1744</v>
      </c>
      <c r="K308" s="5" t="s">
        <v>33</v>
      </c>
      <c r="L308" s="5" t="s">
        <v>1745</v>
      </c>
      <c r="M308" s="5">
        <v>2406191506</v>
      </c>
      <c r="N308" s="6">
        <v>45997</v>
      </c>
      <c r="O308" s="7">
        <v>0.69236111111111109</v>
      </c>
      <c r="P308" s="5">
        <v>1</v>
      </c>
      <c r="Q308" s="5" t="s">
        <v>178</v>
      </c>
      <c r="R308" s="5">
        <v>100000</v>
      </c>
      <c r="S308" s="5">
        <v>0</v>
      </c>
      <c r="T308" s="5">
        <v>0</v>
      </c>
      <c r="U308" s="5">
        <v>100000</v>
      </c>
      <c r="W308" s="5" t="s">
        <v>36</v>
      </c>
      <c r="X308" s="5" t="s">
        <v>37</v>
      </c>
      <c r="Y308" s="5" t="s">
        <v>24</v>
      </c>
      <c r="AA308" s="5" t="s">
        <v>1717</v>
      </c>
      <c r="AC308" s="8" t="str">
        <f>HYPERLINK("https://drive.google.com/file/d/1RNcnhY4hWgvuOX9IyDieVpajL1JYHM9s/view?usp=drivesdk", "Abrir_Factura")</f>
        <v>Abrir_Factura</v>
      </c>
    </row>
    <row r="309" spans="1:30" ht="22.5" customHeight="1">
      <c r="A309" s="4">
        <v>45997.618890740741</v>
      </c>
      <c r="B309" s="5">
        <v>90042</v>
      </c>
      <c r="C309" s="5">
        <v>44003398</v>
      </c>
      <c r="D309" s="5" t="s">
        <v>1746</v>
      </c>
      <c r="F309" s="5" t="s">
        <v>1747</v>
      </c>
      <c r="H309" s="5">
        <v>573102570325</v>
      </c>
      <c r="J309" s="5" t="s">
        <v>1748</v>
      </c>
      <c r="K309" s="5" t="s">
        <v>63</v>
      </c>
      <c r="L309" s="5" t="s">
        <v>1749</v>
      </c>
      <c r="M309" s="5">
        <v>3102570325</v>
      </c>
      <c r="N309" s="6">
        <v>45997</v>
      </c>
      <c r="O309" s="7">
        <v>0.70208333333333328</v>
      </c>
      <c r="P309" s="5">
        <v>1</v>
      </c>
      <c r="Q309" s="5" t="s">
        <v>335</v>
      </c>
      <c r="R309" s="5">
        <v>120000</v>
      </c>
      <c r="S309" s="5">
        <v>0</v>
      </c>
      <c r="T309" s="5">
        <v>17000</v>
      </c>
      <c r="U309" s="5">
        <v>137000</v>
      </c>
      <c r="V309" s="5" t="s">
        <v>1750</v>
      </c>
      <c r="W309" s="5" t="s">
        <v>36</v>
      </c>
      <c r="X309" s="5" t="s">
        <v>83</v>
      </c>
      <c r="Y309" s="5" t="s">
        <v>24</v>
      </c>
      <c r="Z309" s="5" t="s">
        <v>1751</v>
      </c>
      <c r="AA309" s="5" t="s">
        <v>69</v>
      </c>
      <c r="AC309" s="8" t="str">
        <f>HYPERLINK("https://drive.google.com/file/d/156M-w4I2IqSWus_1DOUFaXU5qnFhZQ6w/view?usp=drivesdk", "Abrir Factura")</f>
        <v>Abrir Factura</v>
      </c>
    </row>
    <row r="310" spans="1:30" ht="12.5">
      <c r="A310" s="4">
        <v>45997.5224394213</v>
      </c>
      <c r="B310" s="5">
        <v>90043</v>
      </c>
      <c r="C310" s="5">
        <v>1149840298</v>
      </c>
      <c r="D310" s="5" t="s">
        <v>332</v>
      </c>
      <c r="F310" s="5" t="s">
        <v>1752</v>
      </c>
      <c r="H310" s="5">
        <v>573218299587</v>
      </c>
      <c r="J310" s="5" t="s">
        <v>1753</v>
      </c>
      <c r="L310" s="5" t="s">
        <v>1754</v>
      </c>
      <c r="M310" s="5" t="s">
        <v>25421</v>
      </c>
      <c r="N310" s="6">
        <v>45998</v>
      </c>
      <c r="O310" s="7">
        <v>0.41666666666666669</v>
      </c>
      <c r="P310" s="5">
        <v>1</v>
      </c>
      <c r="Q310" s="5" t="s">
        <v>309</v>
      </c>
      <c r="R310" s="5">
        <v>80000</v>
      </c>
      <c r="S310" s="5">
        <v>0</v>
      </c>
      <c r="T310" s="5"/>
      <c r="U310" s="5">
        <v>80000</v>
      </c>
      <c r="V310" s="5" t="s">
        <v>1755</v>
      </c>
      <c r="W310" s="5" t="s">
        <v>36</v>
      </c>
      <c r="X310" s="5" t="s">
        <v>67</v>
      </c>
      <c r="Y310" s="5" t="s">
        <v>24</v>
      </c>
      <c r="Z310" s="5" t="s">
        <v>1756</v>
      </c>
      <c r="AA310" s="5" t="s">
        <v>44</v>
      </c>
      <c r="AB310" s="5" t="s">
        <v>1755</v>
      </c>
      <c r="AC310" s="8" t="str">
        <f>HYPERLINK("https://drive.google.com/file/d/1Q6WckcrvsnTuHwvuWu7RXIdxg7bnH5j5/view?usp=drivesdk","Abrir_Factura")</f>
        <v>Abrir_Factura</v>
      </c>
    </row>
    <row r="311" spans="1:30" ht="12.5">
      <c r="A311" s="4">
        <v>45997.628743703703</v>
      </c>
      <c r="B311" s="5">
        <v>90044</v>
      </c>
      <c r="C311" s="5">
        <v>55313640</v>
      </c>
      <c r="D311" s="5" t="s">
        <v>1757</v>
      </c>
      <c r="F311" s="5" t="s">
        <v>1758</v>
      </c>
      <c r="H311" s="5">
        <v>573006548603</v>
      </c>
      <c r="J311" s="5" t="s">
        <v>1759</v>
      </c>
      <c r="K311" s="5" t="s">
        <v>73</v>
      </c>
      <c r="L311" s="5" t="s">
        <v>1760</v>
      </c>
      <c r="M311" s="5">
        <v>3006548603</v>
      </c>
      <c r="N311" s="6">
        <v>46003</v>
      </c>
      <c r="O311" s="7">
        <v>0.625</v>
      </c>
      <c r="P311" s="5">
        <v>1</v>
      </c>
      <c r="Q311" s="5" t="s">
        <v>42</v>
      </c>
      <c r="R311" s="5">
        <v>0</v>
      </c>
      <c r="S311" s="5">
        <v>0</v>
      </c>
      <c r="T311" s="5">
        <v>10000</v>
      </c>
      <c r="U311" s="5">
        <v>10000</v>
      </c>
      <c r="W311" s="5" t="s">
        <v>36</v>
      </c>
      <c r="X311" s="5" t="s">
        <v>1705</v>
      </c>
      <c r="Y311" s="5" t="s">
        <v>24</v>
      </c>
      <c r="AA311" s="5" t="s">
        <v>1717</v>
      </c>
      <c r="AB311" s="5" t="s">
        <v>1761</v>
      </c>
      <c r="AC311" s="8" t="str">
        <f>HYPERLINK("https://drive.google.com/file/d/1uLeFkgmGgT9TCLkLnPQkCsnLE1zQAvmQ/view?usp=drivesdk","Abrir_Factura")</f>
        <v>Abrir_Factura</v>
      </c>
    </row>
    <row r="312" spans="1:30" ht="12.5">
      <c r="A312" s="4">
        <v>45997.618890740741</v>
      </c>
      <c r="B312" s="5">
        <v>90045</v>
      </c>
      <c r="C312" s="5">
        <v>44003398</v>
      </c>
      <c r="D312" s="5" t="s">
        <v>1746</v>
      </c>
      <c r="F312" s="5" t="s">
        <v>1747</v>
      </c>
      <c r="H312" s="5">
        <v>573102570325</v>
      </c>
      <c r="J312" s="5" t="s">
        <v>1748</v>
      </c>
      <c r="L312" s="5" t="s">
        <v>1749</v>
      </c>
      <c r="M312" s="5">
        <v>3102570325</v>
      </c>
      <c r="N312" s="6">
        <v>45997</v>
      </c>
      <c r="O312" s="7">
        <v>0.70208333333333328</v>
      </c>
      <c r="P312" s="5">
        <v>1</v>
      </c>
      <c r="Q312" s="5" t="s">
        <v>1762</v>
      </c>
      <c r="R312" s="5">
        <v>120000</v>
      </c>
      <c r="S312" s="5">
        <v>0</v>
      </c>
      <c r="U312" s="5">
        <v>120000</v>
      </c>
      <c r="V312" s="5" t="s">
        <v>1750</v>
      </c>
      <c r="W312" s="5" t="s">
        <v>36</v>
      </c>
      <c r="X312" s="5" t="s">
        <v>83</v>
      </c>
      <c r="Y312" s="5" t="s">
        <v>24</v>
      </c>
      <c r="Z312" s="5" t="s">
        <v>1751</v>
      </c>
      <c r="AA312" s="5" t="s">
        <v>69</v>
      </c>
      <c r="AC312" s="8" t="str">
        <f>HYPERLINK("https://drive.google.com/file/d/1pmS1oSWA6NQh5okcyha-2ugpz_I4IJ_l/view?usp=drivesdk", "Abrir_Factura")</f>
        <v>Abrir_Factura</v>
      </c>
    </row>
    <row r="313" spans="1:30" ht="12.5">
      <c r="A313" s="4">
        <v>45997.643475752317</v>
      </c>
      <c r="B313" s="5">
        <v>90046</v>
      </c>
      <c r="C313" s="5">
        <v>1142161572</v>
      </c>
      <c r="D313" s="5" t="s">
        <v>332</v>
      </c>
      <c r="F313" s="5" t="s">
        <v>1763</v>
      </c>
      <c r="H313" s="5">
        <v>573205165349</v>
      </c>
      <c r="J313" s="5" t="s">
        <v>1764</v>
      </c>
      <c r="K313" s="5" t="s">
        <v>185</v>
      </c>
      <c r="L313" s="5" t="s">
        <v>1765</v>
      </c>
      <c r="M313" s="5">
        <v>3135860999</v>
      </c>
      <c r="N313" s="6">
        <v>45997</v>
      </c>
      <c r="O313" s="7">
        <v>0.6875</v>
      </c>
      <c r="P313" s="5">
        <v>1</v>
      </c>
      <c r="Q313" s="5" t="s">
        <v>874</v>
      </c>
      <c r="R313" s="5">
        <v>220000</v>
      </c>
      <c r="S313" s="5">
        <v>0</v>
      </c>
      <c r="T313" s="5">
        <v>8000</v>
      </c>
      <c r="U313" s="5">
        <v>228000</v>
      </c>
      <c r="V313" s="5" t="s">
        <v>1766</v>
      </c>
      <c r="W313" s="5" t="s">
        <v>36</v>
      </c>
      <c r="X313" s="5" t="s">
        <v>83</v>
      </c>
      <c r="Y313" s="5" t="s">
        <v>24</v>
      </c>
      <c r="Z313" s="5" t="s">
        <v>1767</v>
      </c>
      <c r="AA313" s="5" t="s">
        <v>44</v>
      </c>
      <c r="AC313" s="8" t="str">
        <f>HYPERLINK("https://drive.google.com/file/d/1QMtweYnHMhUZ1YRV_3uAyyUOkLbUq6xM/view?usp=drivesdk","Abrir_Factura")</f>
        <v>Abrir_Factura</v>
      </c>
    </row>
    <row r="314" spans="1:30" ht="12.5">
      <c r="A314" s="4">
        <v>45997.641734293982</v>
      </c>
      <c r="B314" s="5">
        <v>90047</v>
      </c>
      <c r="C314" s="5">
        <v>1046874522</v>
      </c>
      <c r="D314" s="5" t="s">
        <v>1349</v>
      </c>
      <c r="F314" s="5" t="s">
        <v>1768</v>
      </c>
      <c r="H314" s="5">
        <v>573127942021</v>
      </c>
      <c r="J314" s="5" t="s">
        <v>1769</v>
      </c>
      <c r="K314" s="5" t="s">
        <v>33</v>
      </c>
      <c r="L314" s="5" t="s">
        <v>34</v>
      </c>
      <c r="M314" s="5">
        <v>3127942021</v>
      </c>
      <c r="N314" s="6">
        <v>45997</v>
      </c>
      <c r="O314" s="7">
        <v>0.72777777777777775</v>
      </c>
      <c r="P314" s="5">
        <v>1</v>
      </c>
      <c r="Q314" s="5" t="s">
        <v>42</v>
      </c>
      <c r="R314" s="5">
        <v>0</v>
      </c>
      <c r="S314" s="5">
        <v>0</v>
      </c>
      <c r="T314" s="5">
        <v>0</v>
      </c>
      <c r="U314" s="5">
        <v>0</v>
      </c>
      <c r="W314" s="5" t="s">
        <v>36</v>
      </c>
      <c r="X314" s="5" t="s">
        <v>1705</v>
      </c>
      <c r="Y314" s="5" t="s">
        <v>24</v>
      </c>
      <c r="AA314" s="5" t="s">
        <v>1717</v>
      </c>
      <c r="AB314" s="5" t="s">
        <v>1770</v>
      </c>
      <c r="AC314" s="8" t="str">
        <f>HYPERLINK("https://drive.google.com/file/d/1mOhPOoC9Rbvmw6NljAx9QDYcCEQ4z37e/view?usp=drivesdk", "Abrir_Factura")</f>
        <v>Abrir_Factura</v>
      </c>
      <c r="AD314" s="9">
        <v>46001.481041666666</v>
      </c>
    </row>
    <row r="315" spans="1:30" ht="17.25" customHeight="1">
      <c r="A315" s="4">
        <v>45997.685564907406</v>
      </c>
      <c r="B315" s="5">
        <v>90048</v>
      </c>
      <c r="C315" s="5">
        <v>9011131263</v>
      </c>
      <c r="D315" s="5" t="s">
        <v>1024</v>
      </c>
      <c r="F315" s="5" t="s">
        <v>1771</v>
      </c>
      <c r="H315" s="5">
        <v>573106313348</v>
      </c>
      <c r="J315" s="5" t="s">
        <v>1772</v>
      </c>
      <c r="K315" s="5" t="s">
        <v>33</v>
      </c>
      <c r="L315" s="5" t="s">
        <v>34</v>
      </c>
      <c r="M315" s="5">
        <v>3106313348</v>
      </c>
      <c r="N315" s="6">
        <v>45997</v>
      </c>
      <c r="O315" s="7">
        <v>0.77152777777777781</v>
      </c>
      <c r="P315" s="5">
        <v>1</v>
      </c>
      <c r="Q315" s="5" t="s">
        <v>42</v>
      </c>
      <c r="R315" s="5">
        <v>0</v>
      </c>
      <c r="S315" s="5">
        <v>0</v>
      </c>
      <c r="T315" s="5">
        <v>0</v>
      </c>
      <c r="U315" s="5">
        <v>0</v>
      </c>
      <c r="W315" s="5" t="s">
        <v>36</v>
      </c>
      <c r="X315" s="5" t="s">
        <v>196</v>
      </c>
      <c r="Y315" s="5" t="s">
        <v>24</v>
      </c>
      <c r="AA315" s="5" t="s">
        <v>1717</v>
      </c>
      <c r="AB315" s="5" t="s">
        <v>525</v>
      </c>
      <c r="AC315" s="8" t="str">
        <f>HYPERLINK("https://drive.google.com/file/d/1duz5n3jmhovKhxcaixmEmkuTguuDKq5d/view?usp=drivesdk","Abrir_Factura")</f>
        <v>Abrir_Factura</v>
      </c>
    </row>
    <row r="316" spans="1:30" ht="12.5">
      <c r="A316" s="4">
        <v>45997.694390671299</v>
      </c>
      <c r="B316" s="5">
        <v>90049</v>
      </c>
      <c r="C316" s="5">
        <v>1140871530</v>
      </c>
      <c r="D316" s="5" t="s">
        <v>1773</v>
      </c>
      <c r="F316" s="5" t="s">
        <v>1774</v>
      </c>
      <c r="H316" s="5">
        <v>573145013622</v>
      </c>
      <c r="J316" s="5" t="s">
        <v>1775</v>
      </c>
      <c r="K316" s="5" t="s">
        <v>33</v>
      </c>
      <c r="L316" s="5" t="s">
        <v>34</v>
      </c>
      <c r="M316" s="5">
        <v>3145013622</v>
      </c>
      <c r="N316" s="6">
        <v>45997</v>
      </c>
      <c r="O316" s="7">
        <v>0.78055555555555556</v>
      </c>
      <c r="P316" s="5">
        <v>1</v>
      </c>
      <c r="Q316" s="5" t="s">
        <v>178</v>
      </c>
      <c r="R316" s="5">
        <v>100000</v>
      </c>
      <c r="S316" s="5">
        <v>0</v>
      </c>
      <c r="T316" s="5">
        <v>0</v>
      </c>
      <c r="U316" s="5">
        <v>100000</v>
      </c>
      <c r="W316" s="5" t="s">
        <v>36</v>
      </c>
      <c r="X316" s="5" t="s">
        <v>196</v>
      </c>
      <c r="Y316" s="5" t="s">
        <v>24</v>
      </c>
      <c r="AA316" s="5" t="s">
        <v>1717</v>
      </c>
      <c r="AC316" s="8" t="str">
        <f>HYPERLINK("https://drive.google.com/file/d/1C2ksU2ZFDCkbfieu8BgOu-0UKOu0QBlo/view?usp=drivesdk","Abrir_Factura")</f>
        <v>Abrir_Factura</v>
      </c>
    </row>
    <row r="317" spans="1:30" ht="12.5">
      <c r="A317" s="4">
        <v>45997.684684525462</v>
      </c>
      <c r="B317" s="5">
        <v>90050</v>
      </c>
      <c r="C317" s="5">
        <v>1045735465</v>
      </c>
      <c r="D317" s="5" t="s">
        <v>1514</v>
      </c>
      <c r="F317" s="5" t="s">
        <v>1776</v>
      </c>
      <c r="H317" s="5">
        <v>573013878236</v>
      </c>
      <c r="J317" s="5" t="s">
        <v>1777</v>
      </c>
      <c r="K317" s="5" t="s">
        <v>33</v>
      </c>
      <c r="L317" s="5" t="s">
        <v>34</v>
      </c>
      <c r="M317" s="5">
        <v>3013878236</v>
      </c>
      <c r="N317" s="6">
        <v>45997</v>
      </c>
      <c r="O317" s="7">
        <v>0.74791666666666667</v>
      </c>
      <c r="P317" s="5">
        <v>1</v>
      </c>
      <c r="Q317" s="5" t="s">
        <v>42</v>
      </c>
      <c r="R317" s="5">
        <v>0</v>
      </c>
      <c r="S317" s="5">
        <v>0</v>
      </c>
      <c r="T317" s="5">
        <v>0</v>
      </c>
      <c r="U317" s="5">
        <v>0</v>
      </c>
      <c r="W317" s="5" t="s">
        <v>36</v>
      </c>
      <c r="X317" s="5" t="s">
        <v>196</v>
      </c>
      <c r="Y317" s="5" t="s">
        <v>24</v>
      </c>
      <c r="AA317" s="5" t="s">
        <v>69</v>
      </c>
      <c r="AB317" s="5" t="s">
        <v>1778</v>
      </c>
      <c r="AC317" s="8" t="str">
        <f>HYPERLINK("https://drive.google.com/file/d/1lmwJciQvv35I1jqjTU6Xqa9J4rosjW0M/view?usp=drivesdk","Abrir_Factura")</f>
        <v>Abrir_Factura</v>
      </c>
    </row>
    <row r="318" spans="1:30" ht="12.5">
      <c r="A318" s="4">
        <v>45997.727057233795</v>
      </c>
      <c r="B318" s="5">
        <v>90051</v>
      </c>
      <c r="C318" s="5">
        <v>55303645</v>
      </c>
      <c r="D318" s="5" t="s">
        <v>1779</v>
      </c>
      <c r="F318" s="5" t="s">
        <v>1780</v>
      </c>
      <c r="H318" s="5">
        <v>573205425252</v>
      </c>
      <c r="J318" s="5" t="s">
        <v>1781</v>
      </c>
      <c r="L318" s="5" t="s">
        <v>1782</v>
      </c>
      <c r="M318" s="5">
        <v>3013755838</v>
      </c>
      <c r="N318" s="6">
        <v>45997</v>
      </c>
      <c r="O318" s="7">
        <v>0.81319444444444444</v>
      </c>
      <c r="P318" s="5">
        <v>1</v>
      </c>
      <c r="Q318" s="5" t="s">
        <v>42</v>
      </c>
      <c r="R318" s="5">
        <v>0</v>
      </c>
      <c r="S318" s="5">
        <v>0</v>
      </c>
      <c r="T318" s="5"/>
      <c r="U318" s="5">
        <v>0</v>
      </c>
      <c r="W318" s="5" t="s">
        <v>36</v>
      </c>
      <c r="X318" s="5" t="s">
        <v>83</v>
      </c>
      <c r="Y318" s="5" t="s">
        <v>24</v>
      </c>
      <c r="AA318" s="5" t="s">
        <v>69</v>
      </c>
      <c r="AB318" s="5" t="s">
        <v>1783</v>
      </c>
      <c r="AC318" s="8" t="str">
        <f>HYPERLINK("https://drive.google.com/file/d/1c-Z110r1IbbC_FISSLIJNMFerI6kgL2p/view?usp=drivesdk","Abrir_Factura")</f>
        <v>Abrir_Factura</v>
      </c>
    </row>
    <row r="319" spans="1:30" ht="12.5">
      <c r="A319" s="4">
        <v>45997.742489456017</v>
      </c>
      <c r="B319" s="5">
        <v>90052</v>
      </c>
      <c r="C319" s="5">
        <v>72271937</v>
      </c>
      <c r="D319" s="5" t="s">
        <v>1784</v>
      </c>
      <c r="F319" s="5" t="s">
        <v>1785</v>
      </c>
      <c r="H319" s="5">
        <v>573045334016</v>
      </c>
      <c r="J319" s="5" t="s">
        <v>1786</v>
      </c>
      <c r="K319" s="5" t="s">
        <v>33</v>
      </c>
      <c r="L319" s="5" t="s">
        <v>34</v>
      </c>
      <c r="M319" s="5">
        <v>3045334016</v>
      </c>
      <c r="N319" s="6">
        <v>45997</v>
      </c>
      <c r="O319" s="7">
        <v>0.82777777777777772</v>
      </c>
      <c r="P319" s="5">
        <v>1</v>
      </c>
      <c r="Q319" s="5" t="s">
        <v>42</v>
      </c>
      <c r="R319" s="5">
        <v>60000</v>
      </c>
      <c r="S319" s="5">
        <v>0</v>
      </c>
      <c r="T319" s="5">
        <v>0</v>
      </c>
      <c r="U319" s="5">
        <v>60000</v>
      </c>
      <c r="W319" s="5" t="s">
        <v>36</v>
      </c>
      <c r="X319" s="5" t="s">
        <v>1705</v>
      </c>
      <c r="Y319" s="5" t="s">
        <v>24</v>
      </c>
      <c r="AA319" s="5" t="s">
        <v>1717</v>
      </c>
      <c r="AB319" s="5" t="s">
        <v>1787</v>
      </c>
      <c r="AC319" s="8" t="str">
        <f>HYPERLINK("https://drive.google.com/file/d/1-XzQ_ZE5GCDtohJ6bQyH7nFUQznw8SVt/view?usp=drivesdk","Abrir_Factura")</f>
        <v>Abrir_Factura</v>
      </c>
    </row>
    <row r="320" spans="1:30" ht="12.5">
      <c r="A320" s="4">
        <v>45997.714687083339</v>
      </c>
      <c r="B320" s="5">
        <v>90053</v>
      </c>
      <c r="C320" s="5">
        <v>1007211115</v>
      </c>
      <c r="D320" s="5" t="s">
        <v>1788</v>
      </c>
      <c r="F320" s="5" t="s">
        <v>1789</v>
      </c>
      <c r="H320" s="5">
        <v>573225363411</v>
      </c>
      <c r="J320" s="5" t="s">
        <v>1790</v>
      </c>
      <c r="K320" s="5" t="s">
        <v>103</v>
      </c>
      <c r="L320" s="5" t="s">
        <v>1791</v>
      </c>
      <c r="M320" s="5">
        <v>3058670019</v>
      </c>
      <c r="N320" s="6">
        <v>45998</v>
      </c>
      <c r="O320" s="7">
        <v>0.41666666666666669</v>
      </c>
      <c r="P320" s="5">
        <v>1</v>
      </c>
      <c r="Q320" s="5" t="s">
        <v>1792</v>
      </c>
      <c r="R320" s="5">
        <v>130000</v>
      </c>
      <c r="S320" s="5">
        <v>0</v>
      </c>
      <c r="T320" s="5">
        <v>10000</v>
      </c>
      <c r="U320" s="5">
        <v>140000</v>
      </c>
      <c r="V320" s="5" t="s">
        <v>1793</v>
      </c>
      <c r="W320" s="5" t="s">
        <v>36</v>
      </c>
      <c r="X320" s="5" t="s">
        <v>83</v>
      </c>
      <c r="Y320" s="5" t="s">
        <v>24</v>
      </c>
      <c r="Z320" s="5" t="s">
        <v>1794</v>
      </c>
      <c r="AA320" s="5" t="s">
        <v>69</v>
      </c>
      <c r="AC320" s="8" t="str">
        <f>HYPERLINK("https://drive.google.com/file/d/1rlad_XeVrdfsgx25TPdMuIJRJykZ48Mq/view?usp=drivesdk","Abrir_Factura")</f>
        <v>Abrir_Factura</v>
      </c>
    </row>
    <row r="321" spans="1:29" ht="12.5">
      <c r="A321" s="4">
        <v>45997.747332708328</v>
      </c>
      <c r="B321" s="5">
        <v>90054</v>
      </c>
      <c r="C321" s="5">
        <v>1046697374</v>
      </c>
      <c r="D321" s="5" t="s">
        <v>1795</v>
      </c>
      <c r="F321" s="5" t="s">
        <v>1796</v>
      </c>
      <c r="H321" s="5">
        <v>573244284354</v>
      </c>
      <c r="J321" s="5" t="s">
        <v>1797</v>
      </c>
      <c r="K321" s="5" t="s">
        <v>33</v>
      </c>
      <c r="L321" s="5" t="s">
        <v>34</v>
      </c>
      <c r="M321" s="5">
        <v>3244284354</v>
      </c>
      <c r="N321" s="6">
        <v>45997</v>
      </c>
      <c r="O321" s="7">
        <v>0.83333333333333337</v>
      </c>
      <c r="P321" s="5">
        <v>1</v>
      </c>
      <c r="Q321" s="5" t="s">
        <v>435</v>
      </c>
      <c r="R321" s="5">
        <v>60000</v>
      </c>
      <c r="S321" s="5">
        <v>0</v>
      </c>
      <c r="T321" s="5">
        <v>0</v>
      </c>
      <c r="U321" s="5">
        <v>60000</v>
      </c>
      <c r="W321" s="5" t="s">
        <v>36</v>
      </c>
      <c r="X321" s="5" t="s">
        <v>1705</v>
      </c>
      <c r="Y321" s="5" t="s">
        <v>24</v>
      </c>
      <c r="AA321" s="5" t="s">
        <v>1717</v>
      </c>
      <c r="AC321" s="8" t="str">
        <f>HYPERLINK("https://drive.google.com/file/d/1Mr8D8PuJS4Yy_XV8U6D0zvsfrXmaHVli/view?usp=drivesdk", "Abrir_Factura")</f>
        <v>Abrir_Factura</v>
      </c>
    </row>
    <row r="322" spans="1:29" ht="12.5">
      <c r="A322" s="4">
        <v>45997.739557094908</v>
      </c>
      <c r="B322" s="5">
        <v>90055</v>
      </c>
      <c r="C322" s="5">
        <v>1143430016</v>
      </c>
      <c r="D322" s="5" t="s">
        <v>1798</v>
      </c>
      <c r="F322" s="5" t="s">
        <v>1799</v>
      </c>
      <c r="H322" s="5">
        <v>573013723831</v>
      </c>
      <c r="J322" s="5" t="s">
        <v>1800</v>
      </c>
      <c r="K322" s="5" t="s">
        <v>79</v>
      </c>
      <c r="L322" s="5" t="s">
        <v>1801</v>
      </c>
      <c r="M322" s="5">
        <v>3013723831</v>
      </c>
      <c r="N322" s="6">
        <v>45997</v>
      </c>
      <c r="O322" s="7">
        <v>0.86388888888888893</v>
      </c>
      <c r="P322" s="5">
        <v>1</v>
      </c>
      <c r="Q322" s="5" t="s">
        <v>42</v>
      </c>
      <c r="R322" s="5">
        <v>300000</v>
      </c>
      <c r="S322" s="5">
        <v>0</v>
      </c>
      <c r="T322" s="5">
        <v>10000</v>
      </c>
      <c r="U322" s="5">
        <v>310000</v>
      </c>
      <c r="W322" s="5" t="s">
        <v>36</v>
      </c>
      <c r="X322" s="5" t="s">
        <v>83</v>
      </c>
      <c r="Y322" s="5" t="s">
        <v>24</v>
      </c>
      <c r="AA322" s="5" t="s">
        <v>44</v>
      </c>
      <c r="AB322" s="5"/>
      <c r="AC322" s="8" t="str">
        <f>HYPERLINK("https://drive.google.com/file/d/1xNI4eLtsBcNwto1tyUkmO6dgiwxHngo-/view?usp=drivesdk","Abrir_Factura")</f>
        <v>Abrir_Factura</v>
      </c>
    </row>
    <row r="323" spans="1:29" ht="12.5">
      <c r="A323" s="4">
        <v>46000.367260833329</v>
      </c>
      <c r="B323" s="5">
        <v>90056</v>
      </c>
      <c r="C323" s="5">
        <v>1140855893</v>
      </c>
      <c r="D323" s="5" t="s">
        <v>1802</v>
      </c>
      <c r="F323" s="5" t="s">
        <v>1803</v>
      </c>
      <c r="H323" s="5">
        <v>573016917734</v>
      </c>
      <c r="J323" s="5" t="s">
        <v>1804</v>
      </c>
      <c r="K323" s="5" t="s">
        <v>73</v>
      </c>
      <c r="L323" s="5" t="s">
        <v>1805</v>
      </c>
      <c r="M323" s="5">
        <v>573016917734</v>
      </c>
      <c r="N323" s="6">
        <v>46000</v>
      </c>
      <c r="O323" s="7">
        <v>0.4513888888888889</v>
      </c>
      <c r="P323" s="5">
        <v>1</v>
      </c>
      <c r="Q323" s="5" t="s">
        <v>42</v>
      </c>
      <c r="R323" s="5">
        <v>200000</v>
      </c>
      <c r="S323" s="5">
        <v>0</v>
      </c>
      <c r="T323" s="5">
        <v>8000</v>
      </c>
      <c r="U323" s="5">
        <v>208000</v>
      </c>
      <c r="V323" s="5" t="s">
        <v>1806</v>
      </c>
      <c r="W323" s="5" t="s">
        <v>36</v>
      </c>
      <c r="X323" s="5" t="s">
        <v>67</v>
      </c>
      <c r="Y323" s="5" t="s">
        <v>24</v>
      </c>
      <c r="AA323" s="5" t="s">
        <v>44</v>
      </c>
      <c r="AB323" s="5" t="s">
        <v>1807</v>
      </c>
      <c r="AC323" s="8" t="str">
        <f>HYPERLINK("https://drive.google.com/file/d/1Tp_85ZnvuDO2VQFDaldNENq5WIIfH3bM/view?usp=drivesdk", "Abrir_Factura")</f>
        <v>Abrir_Factura</v>
      </c>
    </row>
    <row r="324" spans="1:29" ht="12.5">
      <c r="A324" s="4">
        <v>46000.356124641199</v>
      </c>
      <c r="B324" s="5">
        <v>90057</v>
      </c>
      <c r="C324" s="5">
        <v>1048065384</v>
      </c>
      <c r="D324" s="5" t="s">
        <v>226</v>
      </c>
      <c r="F324" s="5" t="s">
        <v>1808</v>
      </c>
      <c r="H324" s="5">
        <v>573113715714</v>
      </c>
      <c r="J324" s="5" t="s">
        <v>1809</v>
      </c>
      <c r="K324" s="5" t="s">
        <v>33</v>
      </c>
      <c r="L324" s="5" t="s">
        <v>34</v>
      </c>
      <c r="M324" s="5">
        <v>3113715714</v>
      </c>
      <c r="N324" s="6">
        <v>46000</v>
      </c>
      <c r="O324" s="7">
        <v>0.58333333333333337</v>
      </c>
      <c r="P324" s="5">
        <v>1</v>
      </c>
      <c r="Q324" s="5" t="s">
        <v>178</v>
      </c>
      <c r="R324" s="5">
        <v>100000</v>
      </c>
      <c r="S324" s="5">
        <v>0</v>
      </c>
      <c r="T324" s="5">
        <v>0</v>
      </c>
      <c r="U324" s="5">
        <v>100000</v>
      </c>
      <c r="V324" s="5" t="s">
        <v>1810</v>
      </c>
      <c r="W324" s="5" t="s">
        <v>36</v>
      </c>
      <c r="X324" s="5" t="s">
        <v>83</v>
      </c>
      <c r="Y324" s="5" t="s">
        <v>24</v>
      </c>
      <c r="Z324" s="5" t="s">
        <v>1811</v>
      </c>
      <c r="AA324" s="5" t="s">
        <v>69</v>
      </c>
      <c r="AC324" s="8" t="str">
        <f>HYPERLINK("https://drive.google.com/file/d/1gAOaMl5PnviLeoOEPWpB669utrlP2Nr0/view?usp=drivesdk","Abrir_Factura")</f>
        <v>Abrir_Factura</v>
      </c>
    </row>
    <row r="325" spans="1:29" ht="12.5">
      <c r="A325" s="4">
        <v>46000.370955231483</v>
      </c>
      <c r="B325" s="5">
        <v>90058</v>
      </c>
      <c r="C325" s="5">
        <v>1002161954</v>
      </c>
      <c r="D325" s="5" t="s">
        <v>1812</v>
      </c>
      <c r="F325" s="5" t="s">
        <v>1813</v>
      </c>
      <c r="H325" s="5">
        <v>573150468241</v>
      </c>
      <c r="J325" s="5" t="s">
        <v>1814</v>
      </c>
      <c r="K325" s="5" t="s">
        <v>1815</v>
      </c>
      <c r="L325" s="5" t="s">
        <v>1816</v>
      </c>
      <c r="M325" s="5">
        <v>3150468241</v>
      </c>
      <c r="N325" s="6">
        <v>46000</v>
      </c>
      <c r="O325" s="7">
        <v>0.45624999999999999</v>
      </c>
      <c r="P325" s="5">
        <v>1</v>
      </c>
      <c r="Q325" s="5" t="s">
        <v>330</v>
      </c>
      <c r="R325" s="5">
        <v>180000</v>
      </c>
      <c r="S325" s="5">
        <v>0</v>
      </c>
      <c r="T325" s="5">
        <v>18000</v>
      </c>
      <c r="U325" s="5">
        <v>198000</v>
      </c>
      <c r="V325" s="5" t="s">
        <v>1817</v>
      </c>
      <c r="W325" s="5" t="s">
        <v>36</v>
      </c>
      <c r="X325" s="5" t="s">
        <v>83</v>
      </c>
      <c r="Y325" s="5" t="s">
        <v>24</v>
      </c>
      <c r="Z325" s="5" t="s">
        <v>1818</v>
      </c>
      <c r="AA325" s="5" t="s">
        <v>44</v>
      </c>
      <c r="AC325" s="8" t="str">
        <f>HYPERLINK("https://drive.google.com/file/d/1ya94--4e6gkpe5JIo-m_nxp-vY_KolQN/view?usp=drivesdk","Abrir_Factura")</f>
        <v>Abrir_Factura</v>
      </c>
    </row>
    <row r="326" spans="1:29" ht="17.25" customHeight="1">
      <c r="A326" s="4">
        <v>46000.392982083329</v>
      </c>
      <c r="B326" s="5">
        <v>90059</v>
      </c>
      <c r="C326" s="5">
        <v>1045726272</v>
      </c>
      <c r="D326" s="5" t="s">
        <v>445</v>
      </c>
      <c r="F326" s="5" t="s">
        <v>1819</v>
      </c>
      <c r="H326" s="5">
        <v>573023057717</v>
      </c>
      <c r="J326" s="5" t="s">
        <v>1820</v>
      </c>
      <c r="K326" s="5" t="s">
        <v>33</v>
      </c>
      <c r="L326" s="5" t="s">
        <v>34</v>
      </c>
      <c r="M326" s="5">
        <v>3023057717</v>
      </c>
      <c r="N326" s="6">
        <v>46000</v>
      </c>
      <c r="O326" s="7">
        <v>0.47361111111111109</v>
      </c>
      <c r="P326" s="5">
        <v>1</v>
      </c>
      <c r="Q326" s="5" t="s">
        <v>42</v>
      </c>
      <c r="R326" s="5">
        <v>250000</v>
      </c>
      <c r="S326" s="5">
        <v>0</v>
      </c>
      <c r="T326" s="5">
        <v>0</v>
      </c>
      <c r="U326" s="5">
        <v>250000</v>
      </c>
      <c r="W326" s="5" t="s">
        <v>36</v>
      </c>
      <c r="X326" s="5" t="s">
        <v>1481</v>
      </c>
      <c r="Y326" s="5" t="s">
        <v>24</v>
      </c>
      <c r="AA326" s="5" t="s">
        <v>1717</v>
      </c>
      <c r="AB326" s="5" t="s">
        <v>120</v>
      </c>
      <c r="AC326" s="8" t="str">
        <f>HYPERLINK("https://drive.google.com/file/d/1q_30zwCQPKW05pcCOZLw9m7ZIIv-3b7W/view?usp=drivesdk","Abrir_Factura")</f>
        <v>Abrir_Factura</v>
      </c>
    </row>
    <row r="327" spans="1:29" ht="12.5">
      <c r="A327" s="4">
        <v>46000.384668391205</v>
      </c>
      <c r="B327" s="5">
        <v>90060</v>
      </c>
      <c r="C327" s="5">
        <v>1140817994</v>
      </c>
      <c r="D327" s="5" t="s">
        <v>1821</v>
      </c>
      <c r="F327" s="5" t="s">
        <v>1822</v>
      </c>
      <c r="H327" s="5">
        <v>573017255318</v>
      </c>
      <c r="J327" s="5" t="s">
        <v>1823</v>
      </c>
      <c r="K327" s="5" t="s">
        <v>351</v>
      </c>
      <c r="L327" s="5" t="s">
        <v>1824</v>
      </c>
      <c r="M327" s="5">
        <v>3017255318</v>
      </c>
      <c r="N327" s="6">
        <v>46000</v>
      </c>
      <c r="O327" s="7">
        <v>0.46944444444444444</v>
      </c>
      <c r="P327" s="5">
        <v>1</v>
      </c>
      <c r="Q327" s="5" t="s">
        <v>649</v>
      </c>
      <c r="R327" s="5">
        <v>180000</v>
      </c>
      <c r="S327" s="5">
        <v>0</v>
      </c>
      <c r="T327" s="5">
        <v>11000</v>
      </c>
      <c r="U327" s="5">
        <v>191000</v>
      </c>
      <c r="V327" s="5" t="s">
        <v>1825</v>
      </c>
      <c r="W327" s="5" t="s">
        <v>36</v>
      </c>
      <c r="X327" s="5" t="s">
        <v>83</v>
      </c>
      <c r="Y327" s="5" t="s">
        <v>24</v>
      </c>
      <c r="Z327" s="5" t="s">
        <v>1826</v>
      </c>
      <c r="AA327" s="5" t="s">
        <v>44</v>
      </c>
      <c r="AC327" s="8" t="str">
        <f>HYPERLINK("https://drive.google.com/file/d/1WVM3lBmCJU99gUF2i4HWiFtP0ce5JL10/view?usp=drivesdk","Abrir_Factura")</f>
        <v>Abrir_Factura</v>
      </c>
    </row>
    <row r="328" spans="1:29" ht="12.5">
      <c r="A328" s="4">
        <v>46000.370431990741</v>
      </c>
      <c r="B328" s="5">
        <v>90061</v>
      </c>
      <c r="C328" s="5">
        <v>1143430016</v>
      </c>
      <c r="D328" s="5" t="s">
        <v>1798</v>
      </c>
      <c r="F328" s="5" t="s">
        <v>1827</v>
      </c>
      <c r="H328" s="5">
        <v>573046688627</v>
      </c>
      <c r="J328" s="5" t="s">
        <v>1828</v>
      </c>
      <c r="K328" s="5" t="s">
        <v>33</v>
      </c>
      <c r="L328" s="5" t="s">
        <v>34</v>
      </c>
      <c r="M328" s="5">
        <v>3046688627</v>
      </c>
      <c r="N328" s="6">
        <v>46000</v>
      </c>
      <c r="O328" s="7">
        <v>0.45555555555555555</v>
      </c>
      <c r="P328" s="5">
        <v>1</v>
      </c>
      <c r="Q328" s="5" t="s">
        <v>42</v>
      </c>
      <c r="R328" s="5">
        <v>370000</v>
      </c>
      <c r="S328" s="5">
        <v>0</v>
      </c>
      <c r="T328" s="5">
        <v>0</v>
      </c>
      <c r="U328" s="5">
        <v>370000</v>
      </c>
      <c r="W328" s="5" t="s">
        <v>36</v>
      </c>
      <c r="X328" s="5" t="s">
        <v>83</v>
      </c>
      <c r="Y328" s="5" t="s">
        <v>24</v>
      </c>
      <c r="AA328" s="5" t="s">
        <v>44</v>
      </c>
      <c r="AB328" s="5" t="s">
        <v>1829</v>
      </c>
      <c r="AC328" s="8" t="str">
        <f>HYPERLINK("https://drive.google.com/file/d/1uQkTTE_GflCwu8eNjcbuOD2fQK2MmQNu/view?usp=drivesdk", "Abrir_Factura")</f>
        <v>Abrir_Factura</v>
      </c>
    </row>
    <row r="329" spans="1:29" ht="12.5">
      <c r="A329" s="4">
        <v>46000.41561935185</v>
      </c>
      <c r="B329" s="5">
        <v>90062</v>
      </c>
      <c r="C329" s="5">
        <v>1140841858</v>
      </c>
      <c r="D329" s="5" t="s">
        <v>1830</v>
      </c>
      <c r="F329" s="5" t="s">
        <v>1831</v>
      </c>
      <c r="H329" s="5">
        <v>573003915137</v>
      </c>
      <c r="J329" s="5" t="s">
        <v>1832</v>
      </c>
      <c r="K329" s="5" t="s">
        <v>33</v>
      </c>
      <c r="L329" s="5" t="s">
        <v>34</v>
      </c>
      <c r="M329" s="5">
        <v>3001915137</v>
      </c>
      <c r="N329" s="6">
        <v>46000</v>
      </c>
      <c r="O329" s="7">
        <v>0.50138888888888888</v>
      </c>
      <c r="P329" s="5">
        <v>1</v>
      </c>
      <c r="Q329" s="5" t="s">
        <v>42</v>
      </c>
      <c r="R329" s="5">
        <v>100000</v>
      </c>
      <c r="S329" s="5">
        <v>0</v>
      </c>
      <c r="T329" s="5">
        <v>0</v>
      </c>
      <c r="U329" s="5">
        <v>100000</v>
      </c>
      <c r="W329" s="5" t="s">
        <v>36</v>
      </c>
      <c r="X329" s="5" t="s">
        <v>1705</v>
      </c>
      <c r="Y329" s="5" t="s">
        <v>24</v>
      </c>
      <c r="AA329" s="5" t="s">
        <v>1717</v>
      </c>
      <c r="AB329" s="5" t="s">
        <v>1833</v>
      </c>
      <c r="AC329" s="8" t="str">
        <f>HYPERLINK("https://drive.google.com/file/d/1tJoE_lIDrbBvjFY3mPx_wiYEabbpCWQA/view?usp=drivesdk","Abrir_Factura")</f>
        <v>Abrir_Factura</v>
      </c>
    </row>
    <row r="330" spans="1:29" ht="12.5">
      <c r="A330" s="4">
        <v>46000.414491284726</v>
      </c>
      <c r="B330" s="5">
        <v>90063</v>
      </c>
      <c r="C330" s="5">
        <v>1002388429</v>
      </c>
      <c r="D330" s="5" t="s">
        <v>1834</v>
      </c>
      <c r="F330" s="5" t="s">
        <v>1835</v>
      </c>
      <c r="H330" s="5">
        <v>573003456071</v>
      </c>
      <c r="J330" s="5" t="s">
        <v>1836</v>
      </c>
      <c r="K330" s="5" t="s">
        <v>1047</v>
      </c>
      <c r="L330" s="5" t="s">
        <v>1837</v>
      </c>
      <c r="M330" s="5">
        <v>3017731705</v>
      </c>
      <c r="N330" s="6">
        <v>46000</v>
      </c>
      <c r="O330" s="7">
        <v>0.49722222222222223</v>
      </c>
      <c r="P330" s="5">
        <v>1</v>
      </c>
      <c r="Q330" s="5" t="s">
        <v>375</v>
      </c>
      <c r="R330" s="5">
        <v>70000</v>
      </c>
      <c r="S330" s="5">
        <v>0</v>
      </c>
      <c r="T330" s="5">
        <v>15000</v>
      </c>
      <c r="U330" s="5">
        <v>85000</v>
      </c>
      <c r="V330" s="5" t="s">
        <v>1838</v>
      </c>
      <c r="W330" s="5" t="s">
        <v>36</v>
      </c>
      <c r="X330" s="5" t="s">
        <v>83</v>
      </c>
      <c r="Y330" s="5" t="s">
        <v>24</v>
      </c>
      <c r="Z330" s="5" t="s">
        <v>1839</v>
      </c>
      <c r="AA330" s="5" t="s">
        <v>69</v>
      </c>
      <c r="AC330" s="8" t="str">
        <f>HYPERLINK("https://drive.google.com/file/d/12ANZjcqHTGgAAUKFTxUf93T_Tm9ka__e/view?usp=drivesdk","Abrir_Factura")</f>
        <v>Abrir_Factura</v>
      </c>
    </row>
    <row r="331" spans="1:29" ht="12.5">
      <c r="A331" s="4">
        <v>46000.411763460652</v>
      </c>
      <c r="B331" s="5">
        <v>90064</v>
      </c>
      <c r="C331" s="5">
        <v>55223776</v>
      </c>
      <c r="D331" s="5" t="s">
        <v>1840</v>
      </c>
      <c r="F331" s="5" t="s">
        <v>1444</v>
      </c>
      <c r="H331" s="5">
        <v>573005021107</v>
      </c>
      <c r="J331" s="5" t="s">
        <v>1841</v>
      </c>
      <c r="K331" s="5" t="s">
        <v>33</v>
      </c>
      <c r="L331" s="5" t="s">
        <v>34</v>
      </c>
      <c r="M331" s="5">
        <v>3005021107</v>
      </c>
      <c r="N331" s="6">
        <v>46000</v>
      </c>
      <c r="O331" s="7">
        <v>0.58333333333333337</v>
      </c>
      <c r="P331" s="5">
        <v>1</v>
      </c>
      <c r="Q331" s="5" t="s">
        <v>309</v>
      </c>
      <c r="R331" s="5">
        <v>80000</v>
      </c>
      <c r="S331" s="5">
        <v>0</v>
      </c>
      <c r="T331" s="5">
        <v>0</v>
      </c>
      <c r="U331" s="5">
        <v>80000</v>
      </c>
      <c r="W331" s="5" t="s">
        <v>36</v>
      </c>
      <c r="X331" s="5" t="s">
        <v>83</v>
      </c>
      <c r="Y331" s="5" t="s">
        <v>24</v>
      </c>
      <c r="AA331" s="5" t="s">
        <v>44</v>
      </c>
      <c r="AC331" s="8" t="str">
        <f>HYPERLINK("https://drive.google.com/file/d/1jhk4teBNm_8VSOzjCmhr9BhjoCmtWHwv/view?usp=drivesdk","Abrir_Factura")</f>
        <v>Abrir_Factura</v>
      </c>
    </row>
    <row r="332" spans="1:29" ht="12.5">
      <c r="A332" s="4">
        <v>45998.746411631946</v>
      </c>
      <c r="B332" s="5">
        <v>90065</v>
      </c>
      <c r="C332" s="5">
        <v>1129570257</v>
      </c>
      <c r="D332" s="5" t="s">
        <v>703</v>
      </c>
      <c r="F332" s="5" t="s">
        <v>1774</v>
      </c>
      <c r="H332" s="5">
        <v>573145337495</v>
      </c>
      <c r="J332" s="5" t="s">
        <v>1842</v>
      </c>
      <c r="K332" s="5" t="s">
        <v>351</v>
      </c>
      <c r="L332" s="5" t="s">
        <v>1843</v>
      </c>
      <c r="M332" s="5">
        <v>3013390144</v>
      </c>
      <c r="N332" s="6">
        <v>46000</v>
      </c>
      <c r="O332" s="7">
        <v>0.5</v>
      </c>
      <c r="P332" s="5">
        <v>1</v>
      </c>
      <c r="Q332" s="5" t="s">
        <v>187</v>
      </c>
      <c r="R332" s="5">
        <v>200000</v>
      </c>
      <c r="S332" s="5">
        <v>0</v>
      </c>
      <c r="T332" s="5">
        <v>11000</v>
      </c>
      <c r="U332" s="5">
        <v>211000</v>
      </c>
      <c r="V332" s="5" t="s">
        <v>1844</v>
      </c>
      <c r="W332" s="5" t="s">
        <v>36</v>
      </c>
      <c r="X332" s="5" t="s">
        <v>1705</v>
      </c>
      <c r="Y332" s="5" t="s">
        <v>24</v>
      </c>
      <c r="Z332" s="5" t="s">
        <v>1845</v>
      </c>
      <c r="AA332" s="5" t="s">
        <v>1717</v>
      </c>
      <c r="AB332" s="5" t="s">
        <v>1846</v>
      </c>
      <c r="AC332" s="8" t="str">
        <f>HYPERLINK("https://drive.google.com/file/d/1oNDXWXE4rbYrLpQcZV6alpzYKfv6Pgip/view?usp=drivesdk","Abrir_Factura")</f>
        <v>Abrir_Factura</v>
      </c>
    </row>
    <row r="333" spans="1:29" ht="12.5">
      <c r="A333" s="4">
        <v>46000.432786631944</v>
      </c>
      <c r="B333" s="5">
        <v>90066</v>
      </c>
      <c r="C333" s="5">
        <v>26893311</v>
      </c>
      <c r="D333" s="5" t="s">
        <v>1812</v>
      </c>
      <c r="F333" s="5" t="s">
        <v>1847</v>
      </c>
      <c r="H333" s="5">
        <v>5700000</v>
      </c>
      <c r="J333" s="5" t="s">
        <v>1848</v>
      </c>
      <c r="K333" s="5" t="s">
        <v>33</v>
      </c>
      <c r="L333" s="5" t="s">
        <v>34</v>
      </c>
      <c r="M333" s="5">
        <v>0</v>
      </c>
      <c r="N333" s="6">
        <v>46000</v>
      </c>
      <c r="O333" s="7">
        <v>0.5180555555555556</v>
      </c>
      <c r="P333" s="5">
        <v>1</v>
      </c>
      <c r="Q333" s="5" t="s">
        <v>42</v>
      </c>
      <c r="R333" s="5">
        <v>80000</v>
      </c>
      <c r="S333" s="5">
        <v>0</v>
      </c>
      <c r="T333" s="5">
        <v>0</v>
      </c>
      <c r="U333" s="5">
        <v>80000</v>
      </c>
      <c r="W333" s="5" t="s">
        <v>36</v>
      </c>
      <c r="X333" s="5" t="s">
        <v>1705</v>
      </c>
      <c r="Y333" s="5" t="s">
        <v>24</v>
      </c>
      <c r="AA333" s="5" t="s">
        <v>1717</v>
      </c>
      <c r="AB333" s="5" t="s">
        <v>1849</v>
      </c>
      <c r="AC333" s="8" t="str">
        <f>HYPERLINK("https://drive.google.com/file/d/17OIQ2goGu4we905Uc2O5DdwX2-45_fMc/view?usp=drivesdk","Abrir_Factura")</f>
        <v>Abrir_Factura</v>
      </c>
    </row>
    <row r="334" spans="1:29" ht="12.5">
      <c r="A334" s="4">
        <v>46000.439019988422</v>
      </c>
      <c r="B334" s="5">
        <v>90067</v>
      </c>
      <c r="C334" s="5">
        <v>1140903905</v>
      </c>
      <c r="D334" s="5" t="s">
        <v>1850</v>
      </c>
      <c r="F334" s="5" t="s">
        <v>1851</v>
      </c>
      <c r="H334" s="5">
        <v>573057752173</v>
      </c>
      <c r="J334" s="5" t="s">
        <v>1852</v>
      </c>
      <c r="K334" s="5" t="s">
        <v>33</v>
      </c>
      <c r="L334" s="5" t="s">
        <v>34</v>
      </c>
      <c r="M334" s="5">
        <v>3057752173</v>
      </c>
      <c r="N334" s="6">
        <v>46000</v>
      </c>
      <c r="O334" s="7">
        <v>0.52361111111111114</v>
      </c>
      <c r="P334" s="5">
        <v>1</v>
      </c>
      <c r="Q334" s="5" t="s">
        <v>649</v>
      </c>
      <c r="R334" s="5">
        <v>180000</v>
      </c>
      <c r="S334" s="5">
        <v>0</v>
      </c>
      <c r="T334" s="5">
        <v>0</v>
      </c>
      <c r="U334" s="5">
        <v>180000</v>
      </c>
      <c r="V334" s="5" t="s">
        <v>1853</v>
      </c>
      <c r="W334" s="5" t="s">
        <v>36</v>
      </c>
      <c r="X334" s="5" t="s">
        <v>83</v>
      </c>
      <c r="Y334" s="5" t="s">
        <v>24</v>
      </c>
      <c r="AA334" s="5" t="s">
        <v>69</v>
      </c>
      <c r="AC334" s="8" t="str">
        <f>HYPERLINK("https://drive.google.com/file/d/1Vxd_lj-317yBd_wbQCHe17i9AgfuRDYB/view?usp=drivesdk","Abrir_Factura")</f>
        <v>Abrir_Factura</v>
      </c>
    </row>
    <row r="335" spans="1:29" ht="12.5">
      <c r="A335" s="4">
        <v>46000.442761828701</v>
      </c>
      <c r="B335" s="5">
        <v>90068</v>
      </c>
      <c r="C335" s="5">
        <v>1140874858</v>
      </c>
      <c r="D335" s="5" t="s">
        <v>1854</v>
      </c>
      <c r="F335" s="5" t="s">
        <v>1855</v>
      </c>
      <c r="H335" s="5">
        <v>34655354144</v>
      </c>
      <c r="J335" s="5" t="s">
        <v>1856</v>
      </c>
      <c r="K335" s="5" t="s">
        <v>103</v>
      </c>
      <c r="L335" s="5" t="s">
        <v>1857</v>
      </c>
      <c r="M335" s="5">
        <v>34655354144</v>
      </c>
      <c r="N335" s="6">
        <v>46000</v>
      </c>
      <c r="O335" s="7">
        <v>0.52777777777777779</v>
      </c>
      <c r="P335" s="5">
        <v>1</v>
      </c>
      <c r="Q335" s="5" t="s">
        <v>874</v>
      </c>
      <c r="R335" s="5">
        <v>220000</v>
      </c>
      <c r="S335" s="5">
        <v>0</v>
      </c>
      <c r="T335" s="5">
        <v>10000</v>
      </c>
      <c r="U335" s="5">
        <v>230000</v>
      </c>
      <c r="V335" s="5" t="s">
        <v>1858</v>
      </c>
      <c r="W335" s="5" t="s">
        <v>36</v>
      </c>
      <c r="X335" s="5" t="s">
        <v>83</v>
      </c>
      <c r="Y335" s="5" t="s">
        <v>24</v>
      </c>
      <c r="AA335" s="5" t="s">
        <v>69</v>
      </c>
      <c r="AC335" s="8" t="str">
        <f>HYPERLINK("https://drive.google.com/file/d/1ZOzYGv68eI2VqEhO7yw8iuuYqQKK9lWe/view?usp=drivesdk","Abrir_Factura")</f>
        <v>Abrir_Factura</v>
      </c>
    </row>
    <row r="336" spans="1:29" ht="12.5">
      <c r="A336" s="4">
        <v>46000.413451689819</v>
      </c>
      <c r="B336" s="5">
        <v>90069</v>
      </c>
      <c r="C336" s="5">
        <v>1234090006</v>
      </c>
      <c r="D336" s="5" t="s">
        <v>582</v>
      </c>
      <c r="F336" s="5" t="s">
        <v>1859</v>
      </c>
      <c r="H336" s="5">
        <v>573015954609</v>
      </c>
      <c r="J336" s="5" t="s">
        <v>1860</v>
      </c>
      <c r="K336" s="5" t="s">
        <v>161</v>
      </c>
      <c r="L336" s="5" t="s">
        <v>1861</v>
      </c>
      <c r="M336" s="5">
        <v>3187855107</v>
      </c>
      <c r="N336" s="6">
        <v>46000</v>
      </c>
      <c r="O336" s="7">
        <v>0.48958333333333331</v>
      </c>
      <c r="P336" s="5">
        <v>1</v>
      </c>
      <c r="Q336" s="5" t="s">
        <v>81</v>
      </c>
      <c r="R336" s="5">
        <v>350000</v>
      </c>
      <c r="S336" s="5">
        <v>0</v>
      </c>
      <c r="T336" s="5">
        <v>8000</v>
      </c>
      <c r="U336" s="5">
        <v>358000</v>
      </c>
      <c r="V336" s="5" t="s">
        <v>1862</v>
      </c>
      <c r="W336" s="5" t="s">
        <v>36</v>
      </c>
      <c r="X336" s="5" t="s">
        <v>83</v>
      </c>
      <c r="Y336" s="5" t="s">
        <v>24</v>
      </c>
      <c r="Z336" s="5" t="s">
        <v>1863</v>
      </c>
      <c r="AA336" s="5" t="s">
        <v>69</v>
      </c>
      <c r="AC336" s="8" t="str">
        <f>HYPERLINK("https://drive.google.com/file/d/1gF8JlR4r3yodMPZlYPQbYaJlItVeLu4Y/view?usp=drivesdk","Abrir_Factura")</f>
        <v>Abrir_Factura</v>
      </c>
    </row>
    <row r="337" spans="1:29" ht="12.5">
      <c r="A337" s="4">
        <v>46000.456349664353</v>
      </c>
      <c r="B337" s="5">
        <v>90070</v>
      </c>
      <c r="C337" s="5">
        <v>1129563892</v>
      </c>
      <c r="D337" s="5" t="s">
        <v>1864</v>
      </c>
      <c r="F337" s="5" t="s">
        <v>1865</v>
      </c>
      <c r="H337" s="5">
        <v>15514822719</v>
      </c>
      <c r="J337" s="5" t="s">
        <v>1866</v>
      </c>
      <c r="K337" s="5" t="s">
        <v>33</v>
      </c>
      <c r="L337" s="5" t="s">
        <v>34</v>
      </c>
      <c r="M337" s="5" t="s">
        <v>25421</v>
      </c>
      <c r="N337" s="6">
        <v>46000</v>
      </c>
      <c r="O337" s="7">
        <v>0.54166666666666663</v>
      </c>
      <c r="P337" s="5">
        <v>2</v>
      </c>
      <c r="Q337" s="5" t="s">
        <v>1867</v>
      </c>
      <c r="R337" s="5">
        <v>170000</v>
      </c>
      <c r="S337" s="5">
        <v>0</v>
      </c>
      <c r="T337" s="5">
        <v>0</v>
      </c>
      <c r="U337" s="5">
        <v>170000</v>
      </c>
      <c r="V337" s="5" t="s">
        <v>1868</v>
      </c>
      <c r="W337" s="5" t="s">
        <v>36</v>
      </c>
      <c r="X337" s="5" t="s">
        <v>83</v>
      </c>
      <c r="Y337" s="5" t="s">
        <v>24</v>
      </c>
      <c r="AA337" s="5" t="s">
        <v>69</v>
      </c>
      <c r="AC337" s="8" t="str">
        <f>HYPERLINK("https://drive.google.com/file/d/1GhKKJWWJe0c7Kc01PSXQhftwzpM6xPqf/view?usp=drivesdk","Abrir_Factura")</f>
        <v>Abrir_Factura</v>
      </c>
    </row>
    <row r="338" spans="1:29" ht="12.5">
      <c r="A338" s="4">
        <v>46000.468780868061</v>
      </c>
      <c r="B338" s="5">
        <v>90071</v>
      </c>
      <c r="C338" s="5">
        <v>1067909949</v>
      </c>
      <c r="D338" s="5" t="s">
        <v>1869</v>
      </c>
      <c r="F338" s="5" t="s">
        <v>31</v>
      </c>
      <c r="H338" s="5">
        <v>572405699071</v>
      </c>
      <c r="J338" s="5" t="s">
        <v>1410</v>
      </c>
      <c r="K338" s="5" t="s">
        <v>33</v>
      </c>
      <c r="L338" s="5" t="s">
        <v>34</v>
      </c>
      <c r="M338" s="5">
        <v>2405699071</v>
      </c>
      <c r="N338" s="6">
        <v>46000</v>
      </c>
      <c r="O338" s="7">
        <v>0.55347222222222225</v>
      </c>
      <c r="P338" s="5">
        <v>1</v>
      </c>
      <c r="Q338" s="5" t="s">
        <v>309</v>
      </c>
      <c r="R338" s="5">
        <v>80000</v>
      </c>
      <c r="S338" s="5">
        <v>0</v>
      </c>
      <c r="T338" s="5">
        <v>0</v>
      </c>
      <c r="U338" s="5">
        <v>80000</v>
      </c>
      <c r="W338" s="5" t="s">
        <v>36</v>
      </c>
      <c r="X338" s="5" t="s">
        <v>43</v>
      </c>
      <c r="Y338" s="5" t="s">
        <v>24</v>
      </c>
      <c r="AA338" s="5" t="s">
        <v>44</v>
      </c>
      <c r="AC338" s="8" t="str">
        <f>HYPERLINK("https://drive.google.com/file/d/1crCtNEyhwzgV360J16uNwH2YPnCCTzGE/view?usp=drivesdk","Abrir_Factura")</f>
        <v>Abrir_Factura</v>
      </c>
    </row>
    <row r="339" spans="1:29" ht="12.5">
      <c r="A339" s="4">
        <v>46000.468988379631</v>
      </c>
      <c r="B339" s="5">
        <v>90072</v>
      </c>
      <c r="C339" s="5">
        <v>1045144368</v>
      </c>
      <c r="D339" s="5" t="s">
        <v>1870</v>
      </c>
      <c r="F339" s="5" t="s">
        <v>1871</v>
      </c>
      <c r="H339" s="5">
        <v>573215888602</v>
      </c>
      <c r="J339" s="5" t="s">
        <v>1872</v>
      </c>
      <c r="K339" s="5" t="s">
        <v>63</v>
      </c>
      <c r="L339" s="5" t="s">
        <v>1873</v>
      </c>
      <c r="M339" s="5">
        <v>3215888602</v>
      </c>
      <c r="N339" s="6">
        <v>46000</v>
      </c>
      <c r="O339" s="7">
        <v>0.5541666666666667</v>
      </c>
      <c r="P339" s="5">
        <v>1</v>
      </c>
      <c r="Q339" s="5" t="s">
        <v>322</v>
      </c>
      <c r="R339" s="5">
        <v>120000</v>
      </c>
      <c r="S339" s="5">
        <v>0</v>
      </c>
      <c r="T339" s="5">
        <v>17000</v>
      </c>
      <c r="U339" s="5">
        <v>137000</v>
      </c>
      <c r="V339" s="5" t="s">
        <v>1874</v>
      </c>
      <c r="W339" s="5" t="s">
        <v>36</v>
      </c>
      <c r="X339" s="5" t="s">
        <v>83</v>
      </c>
      <c r="Y339" s="5" t="s">
        <v>24</v>
      </c>
      <c r="Z339" s="5" t="s">
        <v>1875</v>
      </c>
      <c r="AA339" s="5" t="s">
        <v>44</v>
      </c>
      <c r="AC339" s="8" t="str">
        <f>HYPERLINK("https://drive.google.com/file/d/1VV3vrRwZJFqQNxhYRJ9rx-Xu4E4CR19-/view?usp=drivesdk","Abrir_Factura")</f>
        <v>Abrir_Factura</v>
      </c>
    </row>
    <row r="340" spans="1:29" ht="12.5">
      <c r="A340" s="4">
        <v>46000.479842777779</v>
      </c>
      <c r="B340" s="5">
        <v>90073</v>
      </c>
      <c r="C340" s="5">
        <v>1140819712</v>
      </c>
      <c r="D340" s="5" t="s">
        <v>1876</v>
      </c>
      <c r="F340" s="5" t="s">
        <v>1877</v>
      </c>
      <c r="H340" s="5">
        <v>573043766239</v>
      </c>
      <c r="J340" s="5" t="s">
        <v>1878</v>
      </c>
      <c r="K340" s="5" t="s">
        <v>33</v>
      </c>
      <c r="L340" s="5" t="s">
        <v>34</v>
      </c>
      <c r="M340" s="5">
        <v>3043766239</v>
      </c>
      <c r="N340" s="6">
        <v>46000</v>
      </c>
      <c r="O340" s="7">
        <v>0.56527777777777777</v>
      </c>
      <c r="P340" s="5">
        <v>1</v>
      </c>
      <c r="Q340" s="5" t="s">
        <v>75</v>
      </c>
      <c r="R340" s="5">
        <v>70000</v>
      </c>
      <c r="S340" s="5">
        <v>0</v>
      </c>
      <c r="T340" s="5">
        <v>0</v>
      </c>
      <c r="U340" s="5">
        <v>70000</v>
      </c>
      <c r="W340" s="5" t="s">
        <v>36</v>
      </c>
      <c r="X340" s="5" t="s">
        <v>1705</v>
      </c>
      <c r="Y340" s="5" t="s">
        <v>24</v>
      </c>
      <c r="AA340" s="5" t="s">
        <v>1717</v>
      </c>
      <c r="AC340" s="8" t="str">
        <f>HYPERLINK("https://drive.google.com/file/d/123jWR5pvtp4vNNPk6KE2oSgUQGLR42Hd/view?usp=drivesdk","Abrir_Factura")</f>
        <v>Abrir_Factura</v>
      </c>
    </row>
    <row r="341" spans="1:29" ht="12.5">
      <c r="A341" s="4">
        <v>46000.474771516208</v>
      </c>
      <c r="B341" s="5">
        <v>90074</v>
      </c>
      <c r="C341" s="5">
        <v>1045675275</v>
      </c>
      <c r="D341" s="5" t="s">
        <v>1879</v>
      </c>
      <c r="F341" s="5" t="s">
        <v>1880</v>
      </c>
      <c r="H341" s="5">
        <v>573016358575</v>
      </c>
      <c r="J341" s="5" t="s">
        <v>1881</v>
      </c>
      <c r="K341" s="5" t="s">
        <v>79</v>
      </c>
      <c r="L341" s="5" t="s">
        <v>1882</v>
      </c>
      <c r="M341" s="5">
        <v>3017571575</v>
      </c>
      <c r="N341" s="6">
        <v>46000</v>
      </c>
      <c r="O341" s="7">
        <v>0.55902777777777779</v>
      </c>
      <c r="P341" s="5">
        <v>1</v>
      </c>
      <c r="Q341" s="5" t="s">
        <v>42</v>
      </c>
      <c r="R341" s="5">
        <v>70000</v>
      </c>
      <c r="S341" s="5">
        <v>0</v>
      </c>
      <c r="T341" s="5">
        <v>10000</v>
      </c>
      <c r="U341" s="5">
        <v>80000</v>
      </c>
      <c r="V341" s="5" t="s">
        <v>1883</v>
      </c>
      <c r="W341" s="5" t="s">
        <v>36</v>
      </c>
      <c r="X341" s="5" t="s">
        <v>67</v>
      </c>
      <c r="Y341" s="5" t="s">
        <v>24</v>
      </c>
      <c r="Z341" s="5" t="s">
        <v>1884</v>
      </c>
      <c r="AA341" s="5" t="s">
        <v>44</v>
      </c>
      <c r="AB341" s="5" t="s">
        <v>1885</v>
      </c>
      <c r="AC341" s="8" t="str">
        <f>HYPERLINK("https://drive.google.com/file/d/1DxnruRgxXV4knkplxwHXc9vkwF1lBH1W/view?usp=drivesdk","Abrir_Factura")</f>
        <v>Abrir_Factura</v>
      </c>
    </row>
    <row r="342" spans="1:29" ht="12.5">
      <c r="A342" s="4">
        <v>46000.48918449074</v>
      </c>
      <c r="B342" s="5">
        <v>90075</v>
      </c>
      <c r="C342" s="5">
        <v>72248365</v>
      </c>
      <c r="D342" s="5" t="s">
        <v>1210</v>
      </c>
      <c r="F342" s="5" t="s">
        <v>1886</v>
      </c>
      <c r="H342" s="5">
        <v>572407219337</v>
      </c>
      <c r="J342" s="5" t="s">
        <v>1887</v>
      </c>
      <c r="K342" s="5" t="s">
        <v>33</v>
      </c>
      <c r="L342" s="5" t="s">
        <v>34</v>
      </c>
      <c r="M342" s="5">
        <v>2407219337</v>
      </c>
      <c r="N342" s="6">
        <v>46000</v>
      </c>
      <c r="O342" s="7">
        <v>0.57291666666666663</v>
      </c>
      <c r="P342" s="5">
        <v>1</v>
      </c>
      <c r="Q342" s="5" t="s">
        <v>309</v>
      </c>
      <c r="R342" s="5">
        <v>80000</v>
      </c>
      <c r="S342" s="5">
        <v>0</v>
      </c>
      <c r="T342" s="5">
        <v>0</v>
      </c>
      <c r="U342" s="5">
        <v>80000</v>
      </c>
      <c r="V342" s="5" t="s">
        <v>225</v>
      </c>
      <c r="W342" s="5" t="s">
        <v>36</v>
      </c>
      <c r="X342" s="5" t="s">
        <v>43</v>
      </c>
      <c r="Y342" s="5" t="s">
        <v>24</v>
      </c>
      <c r="AA342" s="5" t="s">
        <v>44</v>
      </c>
      <c r="AC342" s="8" t="str">
        <f>HYPERLINK("https://drive.google.com/file/d/1mucXINBoxYUkYr58BwWR8rc16ZUVU48g/view?usp=drivesdk","Abrir_Factura")</f>
        <v>Abrir_Factura</v>
      </c>
    </row>
    <row r="343" spans="1:29" ht="12.5">
      <c r="A343" s="4">
        <v>46000.49701068287</v>
      </c>
      <c r="B343" s="5">
        <v>90076</v>
      </c>
      <c r="C343" s="5">
        <v>1129577148</v>
      </c>
      <c r="D343" s="5" t="s">
        <v>825</v>
      </c>
      <c r="F343" s="5" t="s">
        <v>1888</v>
      </c>
      <c r="H343" s="5">
        <v>573126230871</v>
      </c>
      <c r="J343" s="5" t="s">
        <v>1889</v>
      </c>
      <c r="K343" s="5" t="s">
        <v>185</v>
      </c>
      <c r="L343" s="5" t="s">
        <v>1890</v>
      </c>
      <c r="M343" s="5">
        <v>3126230871</v>
      </c>
      <c r="N343" s="6">
        <v>46002</v>
      </c>
      <c r="O343" s="7">
        <v>0.33333333333333331</v>
      </c>
      <c r="P343" s="5">
        <v>1</v>
      </c>
      <c r="Q343" s="5" t="s">
        <v>347</v>
      </c>
      <c r="R343" s="5">
        <v>230000</v>
      </c>
      <c r="S343" s="5">
        <v>0</v>
      </c>
      <c r="T343" s="5">
        <v>8000</v>
      </c>
      <c r="U343" s="5">
        <v>238000</v>
      </c>
      <c r="W343" s="5" t="s">
        <v>36</v>
      </c>
      <c r="X343" s="5" t="s">
        <v>43</v>
      </c>
      <c r="Y343" s="5" t="s">
        <v>24</v>
      </c>
      <c r="AA343" s="5" t="s">
        <v>1717</v>
      </c>
      <c r="AB343" s="5" t="s">
        <v>1891</v>
      </c>
      <c r="AC343" s="8" t="str">
        <f>HYPERLINK("https://drive.google.com/file/d/1V-udvYOe_Q9E778l_UiMjGnwJdAdqHra/view?usp=drivesdk","Abrir_Factura")</f>
        <v>Abrir_Factura</v>
      </c>
    </row>
    <row r="344" spans="1:29" ht="12.5">
      <c r="A344" s="4">
        <v>46000.475728402773</v>
      </c>
      <c r="B344" s="5">
        <v>90077</v>
      </c>
      <c r="C344" s="5">
        <v>22587327</v>
      </c>
      <c r="D344" s="5" t="s">
        <v>1892</v>
      </c>
      <c r="F344" s="5" t="s">
        <v>1893</v>
      </c>
      <c r="H344" s="5">
        <v>573128082491</v>
      </c>
      <c r="J344" s="5" t="s">
        <v>1894</v>
      </c>
      <c r="K344" s="5" t="s">
        <v>307</v>
      </c>
      <c r="L344" s="5" t="s">
        <v>1895</v>
      </c>
      <c r="M344" s="5">
        <v>3107886915</v>
      </c>
      <c r="N344" s="6">
        <v>46000</v>
      </c>
      <c r="O344" s="7">
        <v>0.56180555555555556</v>
      </c>
      <c r="P344" s="5">
        <v>1</v>
      </c>
      <c r="Q344" s="5" t="s">
        <v>1896</v>
      </c>
      <c r="R344" s="5">
        <v>260000</v>
      </c>
      <c r="S344" s="5">
        <v>0</v>
      </c>
      <c r="T344" s="5">
        <v>10000</v>
      </c>
      <c r="U344" s="5">
        <v>270000</v>
      </c>
      <c r="V344" s="5" t="s">
        <v>1897</v>
      </c>
      <c r="W344" s="5" t="s">
        <v>36</v>
      </c>
      <c r="X344" s="5" t="s">
        <v>83</v>
      </c>
      <c r="Y344" s="5" t="s">
        <v>24</v>
      </c>
      <c r="Z344" s="5" t="s">
        <v>1898</v>
      </c>
      <c r="AA344" s="5" t="s">
        <v>44</v>
      </c>
      <c r="AB344" s="5" t="s">
        <v>1899</v>
      </c>
      <c r="AC344" s="8" t="str">
        <f>HYPERLINK("https://drive.google.com/file/d/1C9uw5FnD0wuKKjGVcIGyr_W0ekJxBhLM/view?usp=drivesdk","Abrir_Factura")</f>
        <v>Abrir_Factura</v>
      </c>
    </row>
    <row r="345" spans="1:29" ht="12.5">
      <c r="A345" s="4">
        <v>46000.503986585652</v>
      </c>
      <c r="B345" s="5">
        <v>90078</v>
      </c>
      <c r="C345" s="5">
        <v>23108689</v>
      </c>
      <c r="D345" s="5" t="s">
        <v>1900</v>
      </c>
      <c r="F345" s="5" t="s">
        <v>1901</v>
      </c>
      <c r="H345" s="5">
        <v>573115645616</v>
      </c>
      <c r="J345" s="5" t="s">
        <v>1902</v>
      </c>
      <c r="K345" s="5" t="s">
        <v>33</v>
      </c>
      <c r="L345" s="5" t="s">
        <v>1903</v>
      </c>
      <c r="M345" s="5">
        <v>3013416367</v>
      </c>
      <c r="N345" s="6">
        <v>46000</v>
      </c>
      <c r="O345" s="7">
        <v>0.58611111111111114</v>
      </c>
      <c r="P345" s="5">
        <v>1</v>
      </c>
      <c r="Q345" s="5" t="s">
        <v>734</v>
      </c>
      <c r="R345" s="5">
        <v>90000</v>
      </c>
      <c r="S345" s="5">
        <v>0</v>
      </c>
      <c r="T345" s="5">
        <v>0</v>
      </c>
      <c r="U345" s="5">
        <v>90000</v>
      </c>
      <c r="W345" s="5" t="s">
        <v>36</v>
      </c>
      <c r="X345" s="5" t="s">
        <v>1705</v>
      </c>
      <c r="Y345" s="5" t="s">
        <v>24</v>
      </c>
      <c r="AA345" s="5" t="s">
        <v>1717</v>
      </c>
      <c r="AC345" s="8" t="str">
        <f>HYPERLINK("https://drive.google.com/file/d/1aNQYXRVgjTq39nh6iKw5StBIzeuK_X-f/view?usp=drivesdk","Abrir_Factura")</f>
        <v>Abrir_Factura</v>
      </c>
    </row>
    <row r="346" spans="1:29" ht="12.5">
      <c r="A346" s="4">
        <v>46000.525215717593</v>
      </c>
      <c r="B346" s="5">
        <v>90079</v>
      </c>
      <c r="C346" s="5">
        <v>32686969</v>
      </c>
      <c r="D346" s="5" t="s">
        <v>1904</v>
      </c>
      <c r="F346" s="5" t="s">
        <v>1905</v>
      </c>
      <c r="H346" s="5">
        <v>13057648205</v>
      </c>
      <c r="J346" s="5" t="s">
        <v>1906</v>
      </c>
      <c r="K346" s="5" t="s">
        <v>110</v>
      </c>
      <c r="L346" s="5" t="s">
        <v>1907</v>
      </c>
      <c r="M346" s="5">
        <v>3057648205</v>
      </c>
      <c r="N346" s="6">
        <v>46006</v>
      </c>
      <c r="O346" s="7">
        <v>0.33333333333333331</v>
      </c>
      <c r="P346" s="5">
        <v>1</v>
      </c>
      <c r="Q346" s="5" t="s">
        <v>335</v>
      </c>
      <c r="R346" s="5">
        <v>120000</v>
      </c>
      <c r="S346" s="5">
        <v>22800</v>
      </c>
      <c r="T346" s="5">
        <v>6000</v>
      </c>
      <c r="U346" s="5">
        <v>148800</v>
      </c>
      <c r="V346" s="5" t="s">
        <v>1908</v>
      </c>
      <c r="W346" s="5" t="s">
        <v>36</v>
      </c>
      <c r="X346" s="5" t="s">
        <v>1909</v>
      </c>
      <c r="Y346" s="5" t="s">
        <v>24</v>
      </c>
      <c r="Z346" s="5" t="s">
        <v>1910</v>
      </c>
      <c r="AA346" s="5" t="s">
        <v>1911</v>
      </c>
      <c r="AB346" s="5" t="s">
        <v>1912</v>
      </c>
      <c r="AC346" s="8" t="str">
        <f>HYPERLINK("https://drive.google.com/file/d/18K1TYp5NqXilgtY8K19J3CHyu7xm9Dob/view?usp=drivesdk","Abrir_Factura")</f>
        <v>Abrir_Factura</v>
      </c>
    </row>
    <row r="347" spans="1:29" ht="12.5">
      <c r="A347" s="4">
        <v>46000.53088899306</v>
      </c>
      <c r="B347" s="5">
        <v>90080</v>
      </c>
      <c r="C347" s="5">
        <v>8901016912</v>
      </c>
      <c r="D347" s="5" t="s">
        <v>1913</v>
      </c>
      <c r="F347" s="5" t="s">
        <v>1914</v>
      </c>
      <c r="H347" s="5">
        <v>573003598301</v>
      </c>
      <c r="J347" s="5" t="s">
        <v>1915</v>
      </c>
      <c r="K347" s="5" t="s">
        <v>124</v>
      </c>
      <c r="L347" s="5" t="s">
        <v>1916</v>
      </c>
      <c r="M347" s="5">
        <v>3003598301</v>
      </c>
      <c r="N347" s="6">
        <v>46000</v>
      </c>
      <c r="O347" s="7">
        <v>0.61458333333333337</v>
      </c>
      <c r="P347" s="5">
        <v>1</v>
      </c>
      <c r="Q347" s="5" t="s">
        <v>259</v>
      </c>
      <c r="R347" s="5">
        <v>190000</v>
      </c>
      <c r="S347" s="5">
        <v>36100</v>
      </c>
      <c r="T347" s="5">
        <v>12000</v>
      </c>
      <c r="U347" s="5">
        <v>238100</v>
      </c>
      <c r="W347" s="5" t="s">
        <v>36</v>
      </c>
      <c r="X347" s="5" t="s">
        <v>43</v>
      </c>
      <c r="Y347" s="5" t="s">
        <v>24</v>
      </c>
      <c r="AA347" s="5" t="s">
        <v>69</v>
      </c>
      <c r="AB347" s="5" t="s">
        <v>1917</v>
      </c>
      <c r="AC347" s="8" t="str">
        <f>HYPERLINK("https://drive.google.com/file/d/1HpdKCMgjB5yZQQbk4ZB_M9U0cd-Ko-fb/view?usp=drivesdk","Abrir_Factura")</f>
        <v>Abrir_Factura</v>
      </c>
    </row>
    <row r="348" spans="1:29" ht="12.5">
      <c r="A348" s="4">
        <v>46000.537314884263</v>
      </c>
      <c r="B348" s="5">
        <v>90081</v>
      </c>
      <c r="C348" s="5">
        <v>1129573100</v>
      </c>
      <c r="D348" s="5" t="s">
        <v>1918</v>
      </c>
      <c r="F348" s="5" t="s">
        <v>1919</v>
      </c>
      <c r="H348" s="5">
        <v>573022614467</v>
      </c>
      <c r="J348" s="5" t="s">
        <v>1920</v>
      </c>
      <c r="K348" s="5" t="s">
        <v>1921</v>
      </c>
      <c r="L348" s="5" t="s">
        <v>1922</v>
      </c>
      <c r="M348" s="5">
        <v>3022614467</v>
      </c>
      <c r="N348" s="6">
        <v>46000</v>
      </c>
      <c r="O348" s="7">
        <v>0.62083333333333335</v>
      </c>
      <c r="P348" s="5">
        <v>1</v>
      </c>
      <c r="Q348" s="5" t="s">
        <v>576</v>
      </c>
      <c r="R348" s="5">
        <v>120000</v>
      </c>
      <c r="S348" s="5">
        <v>0</v>
      </c>
      <c r="T348" s="5">
        <v>15000</v>
      </c>
      <c r="U348" s="5">
        <v>135000</v>
      </c>
      <c r="V348" s="5" t="s">
        <v>1923</v>
      </c>
      <c r="W348" s="5" t="s">
        <v>36</v>
      </c>
      <c r="X348" s="5" t="s">
        <v>83</v>
      </c>
      <c r="Y348" s="5" t="s">
        <v>24</v>
      </c>
      <c r="AA348" s="5" t="s">
        <v>44</v>
      </c>
      <c r="AC348" s="8" t="str">
        <f>HYPERLINK("https://drive.google.com/file/d/1BgP3qmONqm37g1WbNaeQ8kSfVj20RwHX/view?usp=drivesdk","Abrir_Factura")</f>
        <v>Abrir_Factura</v>
      </c>
    </row>
    <row r="349" spans="1:29" ht="12.5">
      <c r="A349" s="4">
        <v>46000.542156053241</v>
      </c>
      <c r="B349" s="5">
        <v>90082</v>
      </c>
      <c r="C349" s="5">
        <v>55223981</v>
      </c>
      <c r="D349" s="5" t="s">
        <v>1602</v>
      </c>
      <c r="F349" s="5" t="s">
        <v>1924</v>
      </c>
      <c r="H349" s="5">
        <v>573153539732</v>
      </c>
      <c r="J349" s="5" t="s">
        <v>1925</v>
      </c>
      <c r="K349" s="5"/>
      <c r="L349" s="5" t="s">
        <v>1926</v>
      </c>
      <c r="M349" s="5">
        <v>3153539732</v>
      </c>
      <c r="N349" s="6">
        <v>46000</v>
      </c>
      <c r="O349" s="7">
        <v>0.62708333333333333</v>
      </c>
      <c r="P349" s="5">
        <v>1</v>
      </c>
      <c r="Q349" s="5" t="s">
        <v>42</v>
      </c>
      <c r="R349" s="5">
        <v>200000</v>
      </c>
      <c r="S349" s="5">
        <v>0</v>
      </c>
      <c r="T349" s="5"/>
      <c r="U349" s="5">
        <v>200000</v>
      </c>
      <c r="W349" s="5" t="s">
        <v>36</v>
      </c>
      <c r="X349" s="5" t="s">
        <v>83</v>
      </c>
      <c r="Y349" s="5" t="s">
        <v>24</v>
      </c>
      <c r="AA349" s="5" t="s">
        <v>1717</v>
      </c>
      <c r="AB349" s="5" t="s">
        <v>1927</v>
      </c>
      <c r="AC349" s="8" t="str">
        <f>HYPERLINK("https://drive.google.com/file/d/1lM7--8DzCwH2e8ijimNUdvL61T9kNfCd/view?usp=drivesdk", "Abrir_Factura")</f>
        <v>Abrir_Factura</v>
      </c>
    </row>
    <row r="350" spans="1:29" ht="12.5">
      <c r="A350" s="4">
        <v>46000.522158599539</v>
      </c>
      <c r="B350" s="5">
        <v>90083</v>
      </c>
      <c r="C350" s="5">
        <v>1043115898</v>
      </c>
      <c r="D350" s="5" t="s">
        <v>1928</v>
      </c>
      <c r="F350" s="5" t="s">
        <v>1929</v>
      </c>
      <c r="H350" s="5">
        <v>573145480471</v>
      </c>
      <c r="J350" s="5" t="s">
        <v>1930</v>
      </c>
      <c r="K350" s="5" t="s">
        <v>185</v>
      </c>
      <c r="L350" s="5" t="s">
        <v>1931</v>
      </c>
      <c r="M350" s="5" t="s">
        <v>25421</v>
      </c>
      <c r="N350" s="6">
        <v>46000</v>
      </c>
      <c r="O350" s="7">
        <v>0.625</v>
      </c>
      <c r="P350" s="5">
        <v>1</v>
      </c>
      <c r="Q350" s="5" t="s">
        <v>649</v>
      </c>
      <c r="R350" s="5">
        <v>100000</v>
      </c>
      <c r="S350" s="5">
        <v>0</v>
      </c>
      <c r="T350" s="5">
        <v>8000</v>
      </c>
      <c r="U350" s="5">
        <v>108000</v>
      </c>
      <c r="V350" s="5" t="s">
        <v>1932</v>
      </c>
      <c r="W350" s="5" t="s">
        <v>36</v>
      </c>
      <c r="X350" s="5" t="s">
        <v>83</v>
      </c>
      <c r="Y350" s="5" t="s">
        <v>24</v>
      </c>
      <c r="Z350" s="5" t="s">
        <v>1933</v>
      </c>
      <c r="AA350" s="5" t="s">
        <v>69</v>
      </c>
      <c r="AB350" s="5" t="s">
        <v>1934</v>
      </c>
      <c r="AC350" s="8" t="str">
        <f>HYPERLINK("https://drive.google.com/file/d/1ko7v6ue2X20eOKi1cJrYnytlcsrwxdro/view?usp=drivesdk", "Abrir_Factura")</f>
        <v>Abrir_Factura</v>
      </c>
    </row>
    <row r="351" spans="1:29" ht="12.5">
      <c r="A351" s="4">
        <v>46000.556497395832</v>
      </c>
      <c r="B351" s="5">
        <v>90084</v>
      </c>
      <c r="C351" s="5">
        <v>8512209</v>
      </c>
      <c r="D351" s="5" t="s">
        <v>1935</v>
      </c>
      <c r="F351" s="5" t="s">
        <v>1624</v>
      </c>
      <c r="H351" s="5">
        <v>573174010049</v>
      </c>
      <c r="J351" s="5" t="s">
        <v>1936</v>
      </c>
      <c r="K351" s="5" t="s">
        <v>33</v>
      </c>
      <c r="L351" s="5" t="s">
        <v>34</v>
      </c>
      <c r="M351" s="5">
        <v>3174010049</v>
      </c>
      <c r="N351" s="6">
        <v>46000</v>
      </c>
      <c r="O351" s="7">
        <v>0.64236111111111116</v>
      </c>
      <c r="P351" s="5">
        <v>1</v>
      </c>
      <c r="Q351" s="5" t="s">
        <v>42</v>
      </c>
      <c r="R351" s="5">
        <v>100000</v>
      </c>
      <c r="S351" s="5">
        <v>0</v>
      </c>
      <c r="T351" s="5">
        <v>0</v>
      </c>
      <c r="U351" s="5">
        <v>100000</v>
      </c>
      <c r="W351" s="5" t="s">
        <v>36</v>
      </c>
      <c r="X351" s="5" t="s">
        <v>1937</v>
      </c>
      <c r="Y351" s="5" t="s">
        <v>24</v>
      </c>
      <c r="AA351" s="5" t="s">
        <v>44</v>
      </c>
      <c r="AB351" s="5" t="s">
        <v>1938</v>
      </c>
      <c r="AC351" s="8" t="str">
        <f>HYPERLINK("https://drive.google.com/file/d/18OMJmzmPaV-9MuXrAGYTXFaofyot_CYY/view?usp=drivesdk","Abrir_Factura")</f>
        <v>Abrir_Factura</v>
      </c>
    </row>
    <row r="352" spans="1:29" ht="12.5">
      <c r="A352" s="4">
        <v>46000.545167326389</v>
      </c>
      <c r="B352" s="5">
        <v>90085</v>
      </c>
      <c r="C352" s="5">
        <v>1129565320</v>
      </c>
      <c r="D352" s="5" t="s">
        <v>1939</v>
      </c>
      <c r="F352" s="5" t="s">
        <v>1940</v>
      </c>
      <c r="H352" s="5">
        <v>573015484574</v>
      </c>
      <c r="J352" s="5" t="s">
        <v>1941</v>
      </c>
      <c r="K352" s="5" t="s">
        <v>249</v>
      </c>
      <c r="L352" s="5" t="s">
        <v>1942</v>
      </c>
      <c r="M352" s="5">
        <v>3015484574</v>
      </c>
      <c r="N352" s="6">
        <v>46000</v>
      </c>
      <c r="O352" s="7">
        <v>0.62986111111111109</v>
      </c>
      <c r="P352" s="5">
        <v>1</v>
      </c>
      <c r="Q352" s="5" t="s">
        <v>649</v>
      </c>
      <c r="R352" s="5">
        <v>170000</v>
      </c>
      <c r="S352" s="5">
        <v>0</v>
      </c>
      <c r="T352" s="5">
        <v>10000</v>
      </c>
      <c r="U352" s="5">
        <v>180000</v>
      </c>
      <c r="V352" s="5" t="s">
        <v>1943</v>
      </c>
      <c r="W352" s="5" t="s">
        <v>36</v>
      </c>
      <c r="X352" s="5" t="s">
        <v>83</v>
      </c>
      <c r="Y352" s="5" t="s">
        <v>24</v>
      </c>
      <c r="Z352" s="5" t="s">
        <v>1944</v>
      </c>
      <c r="AA352" s="5" t="s">
        <v>69</v>
      </c>
      <c r="AB352" s="5" t="s">
        <v>1945</v>
      </c>
      <c r="AC352" s="8" t="str">
        <f>HYPERLINK("https://drive.google.com/file/d/1vJttQWyEVOg-kuGUGNcyftPXi7FVcGii/view?usp=drivesdk","Abrir_Factura")</f>
        <v>Abrir_Factura</v>
      </c>
    </row>
    <row r="353" spans="1:29" ht="12.5">
      <c r="A353" s="4">
        <v>46000.569222789352</v>
      </c>
      <c r="B353" s="5">
        <v>90086</v>
      </c>
      <c r="C353" s="5">
        <v>1046816690</v>
      </c>
      <c r="D353" s="5" t="s">
        <v>1946</v>
      </c>
      <c r="F353" s="5" t="s">
        <v>1947</v>
      </c>
      <c r="H353" s="5">
        <v>573042447180</v>
      </c>
      <c r="J353" s="5" t="s">
        <v>1948</v>
      </c>
      <c r="K353" s="5" t="s">
        <v>33</v>
      </c>
      <c r="L353" s="5" t="s">
        <v>34</v>
      </c>
      <c r="M353" s="5">
        <v>3042447180</v>
      </c>
      <c r="N353" s="6">
        <v>46000</v>
      </c>
      <c r="O353" s="7">
        <v>0.65486111111111112</v>
      </c>
      <c r="P353" s="5">
        <v>1</v>
      </c>
      <c r="Q353" s="5" t="s">
        <v>75</v>
      </c>
      <c r="R353" s="5">
        <v>70000</v>
      </c>
      <c r="S353" s="5">
        <v>0</v>
      </c>
      <c r="T353" s="5">
        <v>0</v>
      </c>
      <c r="U353" s="5">
        <v>70000</v>
      </c>
      <c r="W353" s="5" t="s">
        <v>36</v>
      </c>
      <c r="X353" s="5" t="s">
        <v>1481</v>
      </c>
      <c r="Y353" s="5" t="s">
        <v>24</v>
      </c>
      <c r="AA353" s="5" t="s">
        <v>1717</v>
      </c>
      <c r="AC353" s="8" t="str">
        <f>HYPERLINK("https://drive.google.com/file/d/1gy_0IaEWh3bvSQIVVyKJ_JUYkkdOTFO2/view?usp=drivesdk","Abrir_Factura")</f>
        <v>Abrir_Factura</v>
      </c>
    </row>
    <row r="354" spans="1:29" ht="12.5">
      <c r="A354" s="4">
        <v>46000.575800682869</v>
      </c>
      <c r="B354" s="5">
        <v>90087</v>
      </c>
      <c r="C354" s="5">
        <v>1003376225</v>
      </c>
      <c r="D354" s="5" t="s">
        <v>1949</v>
      </c>
      <c r="F354" s="5" t="s">
        <v>1950</v>
      </c>
      <c r="H354" s="5">
        <v>573228690977</v>
      </c>
      <c r="J354" s="5" t="s">
        <v>1951</v>
      </c>
      <c r="K354" s="5" t="s">
        <v>1497</v>
      </c>
      <c r="L354" s="5" t="s">
        <v>1952</v>
      </c>
      <c r="M354" s="5">
        <v>3228690977</v>
      </c>
      <c r="N354" s="6">
        <v>46000</v>
      </c>
      <c r="O354" s="7">
        <v>0.66111111111111109</v>
      </c>
      <c r="P354" s="5">
        <v>1</v>
      </c>
      <c r="Q354" s="5" t="s">
        <v>42</v>
      </c>
      <c r="R354" s="5">
        <v>60000</v>
      </c>
      <c r="S354" s="5">
        <v>0</v>
      </c>
      <c r="T354" s="5">
        <v>12000</v>
      </c>
      <c r="U354" s="5">
        <v>72000</v>
      </c>
      <c r="V354" s="5" t="s">
        <v>1953</v>
      </c>
      <c r="W354" s="5" t="s">
        <v>36</v>
      </c>
      <c r="X354" s="5" t="s">
        <v>67</v>
      </c>
      <c r="Y354" s="5" t="s">
        <v>24</v>
      </c>
      <c r="Z354" s="5" t="s">
        <v>1954</v>
      </c>
      <c r="AA354" s="5" t="s">
        <v>69</v>
      </c>
      <c r="AB354" s="5" t="s">
        <v>1955</v>
      </c>
      <c r="AC354" s="8" t="str">
        <f>HYPERLINK("https://drive.google.com/file/d/1K4sgUliDA324k3iCSM2M9NkWn1m5pWS1/view?usp=drivesdk", "Abrir_Factura")</f>
        <v>Abrir_Factura</v>
      </c>
    </row>
    <row r="355" spans="1:29" ht="12.5">
      <c r="A355" s="4">
        <v>46000.582082858797</v>
      </c>
      <c r="B355" s="5">
        <v>90088</v>
      </c>
      <c r="C355" s="5">
        <v>1046758923</v>
      </c>
      <c r="D355" s="5" t="s">
        <v>1449</v>
      </c>
      <c r="F355" s="5" t="s">
        <v>601</v>
      </c>
      <c r="H355" s="5">
        <v>573013022486</v>
      </c>
      <c r="J355" s="5" t="s">
        <v>1956</v>
      </c>
      <c r="K355" s="5" t="s">
        <v>124</v>
      </c>
      <c r="L355" s="5" t="s">
        <v>1957</v>
      </c>
      <c r="M355" s="5">
        <v>3015309473</v>
      </c>
      <c r="N355" s="6">
        <v>46000</v>
      </c>
      <c r="O355" s="7">
        <v>0.65833333333333333</v>
      </c>
      <c r="P355" s="5">
        <v>1</v>
      </c>
      <c r="Q355" s="5" t="s">
        <v>75</v>
      </c>
      <c r="R355" s="5">
        <v>70000</v>
      </c>
      <c r="S355" s="5">
        <v>0</v>
      </c>
      <c r="T355" s="5">
        <v>12000</v>
      </c>
      <c r="U355" s="5">
        <v>82000</v>
      </c>
      <c r="V355" s="5" t="s">
        <v>1958</v>
      </c>
      <c r="W355" s="5" t="s">
        <v>36</v>
      </c>
      <c r="X355" s="5" t="s">
        <v>67</v>
      </c>
      <c r="Y355" s="5" t="s">
        <v>24</v>
      </c>
      <c r="AA355" s="5" t="s">
        <v>69</v>
      </c>
      <c r="AC355" s="8" t="str">
        <f>HYPERLINK("https://drive.google.com/file/d/1SO-GqWIjrL-DNwgaaGxjBijvbvjg1xrs/view?usp=drivesdk","Abrir_Factura")</f>
        <v>Abrir_Factura</v>
      </c>
    </row>
    <row r="356" spans="1:29" ht="12.5">
      <c r="A356" s="4">
        <v>46000.476157372686</v>
      </c>
      <c r="B356" s="5">
        <v>90089</v>
      </c>
      <c r="C356" s="5">
        <v>900408543</v>
      </c>
      <c r="D356" s="5" t="s">
        <v>1959</v>
      </c>
      <c r="F356" s="5" t="s">
        <v>298</v>
      </c>
      <c r="H356" s="5">
        <v>573157420418</v>
      </c>
      <c r="J356" s="5" t="s">
        <v>1960</v>
      </c>
      <c r="K356" s="5" t="s">
        <v>73</v>
      </c>
      <c r="L356" s="5" t="s">
        <v>1961</v>
      </c>
      <c r="M356" s="5">
        <v>3157420418</v>
      </c>
      <c r="N356" s="6">
        <v>46000</v>
      </c>
      <c r="O356" s="7">
        <v>0.56041666666666667</v>
      </c>
      <c r="P356" s="5">
        <v>1</v>
      </c>
      <c r="Q356" s="5" t="s">
        <v>1962</v>
      </c>
      <c r="R356" s="5">
        <v>330000</v>
      </c>
      <c r="S356" s="5">
        <v>0</v>
      </c>
      <c r="T356" s="5">
        <v>8000</v>
      </c>
      <c r="U356" s="5">
        <v>338000</v>
      </c>
      <c r="V356" s="5" t="s">
        <v>1963</v>
      </c>
      <c r="W356" s="5" t="s">
        <v>36</v>
      </c>
      <c r="X356" s="5" t="s">
        <v>83</v>
      </c>
      <c r="Y356" s="5" t="s">
        <v>24</v>
      </c>
      <c r="AA356" s="5" t="s">
        <v>44</v>
      </c>
      <c r="AB356" s="5" t="s">
        <v>1964</v>
      </c>
      <c r="AC356" s="8" t="str">
        <f>HYPERLINK("https://drive.google.com/file/d/1ouzSwOXDFRHjEBAo0HXpYK_SAmpXT2wW/view?usp=drivesdk","Abrir_Factura")</f>
        <v>Abrir_Factura</v>
      </c>
    </row>
    <row r="357" spans="1:29" ht="12.5">
      <c r="A357" s="4">
        <v>46000.628381273149</v>
      </c>
      <c r="B357" s="5">
        <v>90090</v>
      </c>
      <c r="C357" s="5">
        <v>7234876</v>
      </c>
      <c r="D357" s="5" t="s">
        <v>1965</v>
      </c>
      <c r="F357" s="5" t="s">
        <v>1966</v>
      </c>
      <c r="H357" s="5">
        <v>573157218390</v>
      </c>
      <c r="J357" s="5" t="s">
        <v>1967</v>
      </c>
      <c r="K357" s="5" t="s">
        <v>33</v>
      </c>
      <c r="L357" s="5" t="s">
        <v>34</v>
      </c>
      <c r="M357" s="5">
        <v>3157218390</v>
      </c>
      <c r="N357" s="6">
        <v>46000</v>
      </c>
      <c r="O357" s="7">
        <v>0.71319444444444446</v>
      </c>
      <c r="P357" s="5">
        <v>1</v>
      </c>
      <c r="Q357" s="5" t="s">
        <v>42</v>
      </c>
      <c r="R357" s="5">
        <v>50000</v>
      </c>
      <c r="S357" s="5">
        <v>0</v>
      </c>
      <c r="T357" s="5">
        <v>0</v>
      </c>
      <c r="U357" s="5">
        <v>50000</v>
      </c>
      <c r="W357" s="5" t="s">
        <v>36</v>
      </c>
      <c r="X357" s="5" t="s">
        <v>43</v>
      </c>
      <c r="Y357" s="5" t="s">
        <v>24</v>
      </c>
      <c r="AA357" s="5" t="s">
        <v>44</v>
      </c>
      <c r="AB357" s="5" t="s">
        <v>120</v>
      </c>
      <c r="AC357" s="8" t="str">
        <f>HYPERLINK("https://drive.google.com/file/d/1yYSIeHJ6aoUp1bUItZGf6H1LHSaFACpE/view?usp=drivesdk","Abrir_Factura")</f>
        <v>Abrir_Factura</v>
      </c>
    </row>
    <row r="358" spans="1:29" ht="12.5">
      <c r="A358" s="4">
        <v>46000.463806608794</v>
      </c>
      <c r="B358" s="5">
        <v>90091</v>
      </c>
      <c r="C358" s="5">
        <v>1020754190</v>
      </c>
      <c r="D358" s="5" t="s">
        <v>1349</v>
      </c>
      <c r="F358" s="5" t="s">
        <v>1968</v>
      </c>
      <c r="H358" s="5">
        <v>573157485968</v>
      </c>
      <c r="J358" s="5" t="s">
        <v>1969</v>
      </c>
      <c r="K358" s="5" t="s">
        <v>185</v>
      </c>
      <c r="L358" s="5" t="s">
        <v>1970</v>
      </c>
      <c r="M358" s="5">
        <v>3157485968</v>
      </c>
      <c r="N358" s="6">
        <v>46000</v>
      </c>
      <c r="O358" s="7">
        <v>0.66666666666666663</v>
      </c>
      <c r="P358" s="5">
        <v>1</v>
      </c>
      <c r="Q358" s="5" t="s">
        <v>309</v>
      </c>
      <c r="R358" s="5">
        <v>80000</v>
      </c>
      <c r="S358" s="5">
        <v>0</v>
      </c>
      <c r="T358" s="5">
        <v>8000</v>
      </c>
      <c r="U358" s="5">
        <v>88000</v>
      </c>
      <c r="V358" s="5" t="s">
        <v>1971</v>
      </c>
      <c r="W358" s="5" t="s">
        <v>36</v>
      </c>
      <c r="X358" s="5" t="s">
        <v>83</v>
      </c>
      <c r="Y358" s="5" t="s">
        <v>24</v>
      </c>
      <c r="Z358" s="5" t="s">
        <v>1972</v>
      </c>
      <c r="AA358" s="5" t="s">
        <v>44</v>
      </c>
      <c r="AC358" s="8" t="str">
        <f>HYPERLINK("https://drive.google.com/file/d/1dKGaZe7REyrCHJgjVoY7iXy8FArwBIfu/view?usp=drivesdk","Abrir_Factura")</f>
        <v>Abrir_Factura</v>
      </c>
    </row>
    <row r="359" spans="1:29" ht="12.5">
      <c r="A359" s="4">
        <v>46000.646610567128</v>
      </c>
      <c r="B359" s="5">
        <v>90092</v>
      </c>
      <c r="C359" s="5">
        <v>1047230323</v>
      </c>
      <c r="D359" s="5" t="s">
        <v>1973</v>
      </c>
      <c r="F359" s="5" t="s">
        <v>1974</v>
      </c>
      <c r="H359" s="5">
        <v>573166289485</v>
      </c>
      <c r="J359" s="5" t="s">
        <v>1975</v>
      </c>
      <c r="K359" s="5" t="s">
        <v>307</v>
      </c>
      <c r="L359" s="5" t="s">
        <v>1976</v>
      </c>
      <c r="N359" s="6">
        <v>46004</v>
      </c>
      <c r="O359" s="7">
        <v>0.375</v>
      </c>
      <c r="P359" s="5">
        <v>1</v>
      </c>
      <c r="Q359" s="5" t="s">
        <v>1977</v>
      </c>
      <c r="R359" s="5">
        <v>250000</v>
      </c>
      <c r="S359" s="5">
        <v>0</v>
      </c>
      <c r="T359" s="5">
        <v>10000</v>
      </c>
      <c r="U359" s="5">
        <v>260000</v>
      </c>
      <c r="V359" s="5" t="s">
        <v>1978</v>
      </c>
      <c r="W359" s="5" t="s">
        <v>36</v>
      </c>
      <c r="X359" s="5" t="s">
        <v>83</v>
      </c>
      <c r="Y359" s="5" t="s">
        <v>24</v>
      </c>
      <c r="AA359" s="5" t="s">
        <v>69</v>
      </c>
      <c r="AB359" s="5" t="s">
        <v>1979</v>
      </c>
      <c r="AC359" s="8" t="str">
        <f>HYPERLINK("https://drive.google.com/file/d/15NVTLJ6jLmc8bVKFQR90UwcsmKEI2Vp9/view?usp=drivesdk","Abrir_Factura")</f>
        <v>Abrir_Factura</v>
      </c>
    </row>
    <row r="360" spans="1:29" ht="12.5">
      <c r="A360" s="4">
        <v>46000.636783842594</v>
      </c>
      <c r="B360" s="5">
        <v>90093</v>
      </c>
      <c r="C360" s="5">
        <v>1002186624</v>
      </c>
      <c r="D360" s="5" t="s">
        <v>1980</v>
      </c>
      <c r="F360" s="5" t="s">
        <v>1981</v>
      </c>
      <c r="H360" s="5">
        <v>573243883371</v>
      </c>
      <c r="J360" s="5" t="s">
        <v>1982</v>
      </c>
      <c r="K360" s="5" t="s">
        <v>249</v>
      </c>
      <c r="L360" s="5" t="s">
        <v>1983</v>
      </c>
      <c r="M360" s="5">
        <v>3243883371</v>
      </c>
      <c r="N360" s="6">
        <v>46001</v>
      </c>
      <c r="O360" s="7">
        <v>0.70833333333333337</v>
      </c>
      <c r="P360" s="5">
        <v>1</v>
      </c>
      <c r="Q360" s="5" t="s">
        <v>309</v>
      </c>
      <c r="R360" s="5">
        <v>80000</v>
      </c>
      <c r="S360" s="5">
        <v>0</v>
      </c>
      <c r="T360" s="5">
        <v>10000</v>
      </c>
      <c r="U360" s="5">
        <v>90000</v>
      </c>
      <c r="V360" s="5" t="s">
        <v>1984</v>
      </c>
      <c r="W360" s="5" t="s">
        <v>36</v>
      </c>
      <c r="X360" s="5" t="s">
        <v>67</v>
      </c>
      <c r="Y360" s="5" t="s">
        <v>24</v>
      </c>
      <c r="Z360" s="5" t="s">
        <v>1985</v>
      </c>
      <c r="AA360" s="5" t="s">
        <v>69</v>
      </c>
      <c r="AC360" s="8" t="str">
        <f>HYPERLINK("https://drive.google.com/file/d/1gu70YyCpaPuDOnSMCIX040UYHgYCqH6G/view?usp=drivesdk","Abrir_Factura")</f>
        <v>Abrir_Factura</v>
      </c>
    </row>
    <row r="361" spans="1:29" ht="12.5">
      <c r="A361" s="4">
        <v>46000.658649745368</v>
      </c>
      <c r="B361" s="5">
        <v>90094</v>
      </c>
      <c r="C361" s="5">
        <v>72286470</v>
      </c>
      <c r="D361" s="5" t="s">
        <v>1986</v>
      </c>
      <c r="F361" s="5" t="s">
        <v>1987</v>
      </c>
      <c r="H361" s="5">
        <v>570000</v>
      </c>
      <c r="J361" s="5" t="s">
        <v>1988</v>
      </c>
      <c r="K361" s="5" t="s">
        <v>33</v>
      </c>
      <c r="L361" s="5" t="s">
        <v>34</v>
      </c>
      <c r="N361" s="6">
        <v>46000</v>
      </c>
      <c r="O361" s="7">
        <v>0.74444444444444446</v>
      </c>
      <c r="P361" s="5">
        <v>1</v>
      </c>
      <c r="Q361" s="5" t="s">
        <v>178</v>
      </c>
      <c r="R361" s="5">
        <v>100000</v>
      </c>
      <c r="S361" s="5">
        <v>0</v>
      </c>
      <c r="T361" s="5">
        <v>0</v>
      </c>
      <c r="U361" s="5">
        <v>100000</v>
      </c>
      <c r="W361" s="5" t="s">
        <v>36</v>
      </c>
      <c r="X361" s="5" t="s">
        <v>1705</v>
      </c>
      <c r="Y361" s="5" t="s">
        <v>24</v>
      </c>
      <c r="AA361" s="5" t="s">
        <v>44</v>
      </c>
      <c r="AC361" s="8" t="str">
        <f>HYPERLINK("https://drive.google.com/file/d/1IbwTVlKVMjhZE07q95XuVykxql9aqKmJ/view?usp=drivesdk", "Abrir_Factura")</f>
        <v>Abrir_Factura</v>
      </c>
    </row>
    <row r="362" spans="1:29" ht="12.5">
      <c r="A362" s="4">
        <v>46000.659973379632</v>
      </c>
      <c r="B362" s="5">
        <v>90095</v>
      </c>
      <c r="C362" s="5">
        <v>22468328</v>
      </c>
      <c r="D362" s="5" t="s">
        <v>1989</v>
      </c>
      <c r="F362" s="5" t="s">
        <v>1990</v>
      </c>
      <c r="H362" s="5">
        <v>573106011462</v>
      </c>
      <c r="J362" s="5" t="s">
        <v>1991</v>
      </c>
      <c r="K362" s="5" t="s">
        <v>161</v>
      </c>
      <c r="L362" s="5" t="s">
        <v>1992</v>
      </c>
      <c r="M362" s="5">
        <v>3106011462</v>
      </c>
      <c r="N362" s="6">
        <v>46000</v>
      </c>
      <c r="O362" s="7">
        <v>0.74097222222222225</v>
      </c>
      <c r="P362" s="5">
        <v>1</v>
      </c>
      <c r="Q362" s="5" t="s">
        <v>42</v>
      </c>
      <c r="R362" s="5">
        <v>60000</v>
      </c>
      <c r="S362" s="5">
        <v>0</v>
      </c>
      <c r="T362" s="5">
        <v>8000</v>
      </c>
      <c r="U362" s="5">
        <v>68000</v>
      </c>
      <c r="V362" s="5" t="s">
        <v>1993</v>
      </c>
      <c r="W362" s="5" t="s">
        <v>36</v>
      </c>
      <c r="X362" s="5" t="s">
        <v>83</v>
      </c>
      <c r="Y362" s="5" t="s">
        <v>24</v>
      </c>
      <c r="Z362" s="5" t="s">
        <v>1994</v>
      </c>
      <c r="AA362" s="5" t="s">
        <v>44</v>
      </c>
      <c r="AB362" s="5" t="s">
        <v>1995</v>
      </c>
      <c r="AC362" s="8" t="str">
        <f>HYPERLINK("https://drive.google.com/file/d/19W0fzoNlkTx1WkiIs34jTo3xhW67IFTl/view?usp=drivesdk","Abrir_Factura")</f>
        <v>Abrir_Factura</v>
      </c>
    </row>
    <row r="363" spans="1:29" ht="12.5">
      <c r="A363" s="4">
        <v>46000.687626550927</v>
      </c>
      <c r="B363" s="5">
        <v>90096</v>
      </c>
      <c r="C363" s="5">
        <v>1047405146</v>
      </c>
      <c r="D363" s="5" t="s">
        <v>1996</v>
      </c>
      <c r="F363" s="5" t="s">
        <v>455</v>
      </c>
      <c r="H363" s="5">
        <v>573007753380</v>
      </c>
      <c r="J363" s="5" t="s">
        <v>1997</v>
      </c>
      <c r="K363" s="5" t="s">
        <v>33</v>
      </c>
      <c r="L363" s="5" t="s">
        <v>34</v>
      </c>
      <c r="M363" s="5" t="s">
        <v>25421</v>
      </c>
      <c r="N363" s="6">
        <v>46000</v>
      </c>
      <c r="O363" s="7">
        <v>0.77222222222222225</v>
      </c>
      <c r="P363" s="5">
        <v>1</v>
      </c>
      <c r="Q363" s="5" t="s">
        <v>42</v>
      </c>
      <c r="R363" s="5">
        <v>50000</v>
      </c>
      <c r="S363" s="5">
        <v>0</v>
      </c>
      <c r="T363" s="5">
        <v>0</v>
      </c>
      <c r="U363" s="5">
        <v>50000</v>
      </c>
      <c r="W363" s="5" t="s">
        <v>36</v>
      </c>
      <c r="X363" s="5" t="s">
        <v>83</v>
      </c>
      <c r="Y363" s="5" t="s">
        <v>24</v>
      </c>
      <c r="AA363" s="5" t="s">
        <v>69</v>
      </c>
      <c r="AB363" s="5" t="s">
        <v>1998</v>
      </c>
      <c r="AC363" s="8" t="str">
        <f>HYPERLINK("https://drive.google.com/file/d/1TOmRyDnMhVgIspXXFPcoPKLKnsZODuRV/view?usp=drivesdk","Abrir_Factura")</f>
        <v>Abrir_Factura</v>
      </c>
    </row>
    <row r="364" spans="1:29" ht="12.5">
      <c r="A364" s="4">
        <v>46000.690401168977</v>
      </c>
      <c r="B364" s="5">
        <v>90097</v>
      </c>
      <c r="C364" s="5">
        <v>55229105</v>
      </c>
      <c r="D364" s="5" t="s">
        <v>1999</v>
      </c>
      <c r="F364" s="5" t="s">
        <v>2000</v>
      </c>
      <c r="H364" s="5">
        <v>573007274333</v>
      </c>
      <c r="J364" s="5" t="s">
        <v>2001</v>
      </c>
      <c r="K364" s="5" t="s">
        <v>33</v>
      </c>
      <c r="L364" s="5" t="s">
        <v>34</v>
      </c>
      <c r="M364" s="5">
        <v>3007274333</v>
      </c>
      <c r="N364" s="6">
        <v>46000</v>
      </c>
      <c r="O364" s="7">
        <v>0.77569444444444446</v>
      </c>
      <c r="P364" s="5">
        <v>1</v>
      </c>
      <c r="Q364" s="5" t="s">
        <v>42</v>
      </c>
      <c r="R364" s="5">
        <v>100000</v>
      </c>
      <c r="S364" s="5">
        <v>0</v>
      </c>
      <c r="T364" s="5">
        <v>0</v>
      </c>
      <c r="U364" s="5">
        <v>100000</v>
      </c>
      <c r="V364" s="5" t="s">
        <v>2002</v>
      </c>
      <c r="W364" s="5" t="s">
        <v>36</v>
      </c>
      <c r="X364" s="5" t="s">
        <v>83</v>
      </c>
      <c r="Y364" s="5" t="s">
        <v>24</v>
      </c>
      <c r="AA364" s="5" t="s">
        <v>44</v>
      </c>
      <c r="AB364" s="5" t="s">
        <v>2002</v>
      </c>
      <c r="AC364" s="8" t="str">
        <f>HYPERLINK("https://drive.google.com/file/d/1vAekNISTARJlGiGi3vkFnzaQ1km91ndX/view?usp=drivesdk","Abrir_Factura")</f>
        <v>Abrir_Factura</v>
      </c>
    </row>
    <row r="365" spans="1:29" ht="12.5">
      <c r="A365" s="4">
        <v>46000.693290370371</v>
      </c>
      <c r="B365" s="5">
        <v>90098</v>
      </c>
      <c r="C365" s="5">
        <v>22550989</v>
      </c>
      <c r="D365" s="5" t="s">
        <v>2003</v>
      </c>
      <c r="F365" s="5" t="s">
        <v>2004</v>
      </c>
      <c r="H365" s="5">
        <v>573012147788</v>
      </c>
      <c r="J365" s="5" t="s">
        <v>2005</v>
      </c>
      <c r="K365" s="5" t="s">
        <v>33</v>
      </c>
      <c r="L365" s="5" t="s">
        <v>34</v>
      </c>
      <c r="M365" s="5">
        <v>3012147788</v>
      </c>
      <c r="N365" s="6">
        <v>46000</v>
      </c>
      <c r="O365" s="7">
        <v>0.77916666666666667</v>
      </c>
      <c r="P365" s="5">
        <v>1</v>
      </c>
      <c r="Q365" s="5" t="s">
        <v>309</v>
      </c>
      <c r="R365" s="5">
        <v>80000</v>
      </c>
      <c r="S365" s="5">
        <v>0</v>
      </c>
      <c r="T365" s="5">
        <v>0</v>
      </c>
      <c r="U365" s="5">
        <v>80000</v>
      </c>
      <c r="W365" s="5" t="s">
        <v>36</v>
      </c>
      <c r="X365" s="5" t="s">
        <v>83</v>
      </c>
      <c r="Y365" s="5" t="s">
        <v>24</v>
      </c>
      <c r="AA365" s="5" t="s">
        <v>1717</v>
      </c>
      <c r="AC365" s="8" t="str">
        <f>HYPERLINK("https://drive.google.com/file/d/1kFq0y4L9fD0lxdmbMErYPiIGkXaUtOnB/view?usp=drivesdk","Abrir_Factura")</f>
        <v>Abrir_Factura</v>
      </c>
    </row>
    <row r="366" spans="1:29" ht="12.5">
      <c r="A366" s="4">
        <v>46000.617216365739</v>
      </c>
      <c r="B366" s="5">
        <v>90099</v>
      </c>
      <c r="C366" s="5">
        <v>1113686376</v>
      </c>
      <c r="D366" s="5" t="s">
        <v>297</v>
      </c>
      <c r="F366" s="5" t="s">
        <v>1226</v>
      </c>
      <c r="H366" s="5">
        <v>14147085647</v>
      </c>
      <c r="J366" s="5" t="s">
        <v>2006</v>
      </c>
      <c r="K366" s="5" t="s">
        <v>2007</v>
      </c>
      <c r="L366" s="5" t="s">
        <v>2008</v>
      </c>
      <c r="M366" s="5">
        <v>3015702504</v>
      </c>
      <c r="N366" s="6">
        <v>46001</v>
      </c>
      <c r="O366" s="7">
        <v>0.41666666666666669</v>
      </c>
      <c r="P366" s="5">
        <v>1</v>
      </c>
      <c r="Q366" s="5" t="s">
        <v>57</v>
      </c>
      <c r="R366" s="5">
        <v>120000</v>
      </c>
      <c r="S366" s="5">
        <v>0</v>
      </c>
      <c r="T366" s="5">
        <v>12000</v>
      </c>
      <c r="U366" s="5">
        <v>132000</v>
      </c>
      <c r="V366" s="5" t="s">
        <v>2009</v>
      </c>
      <c r="W366" s="5" t="s">
        <v>36</v>
      </c>
      <c r="X366" s="5" t="s">
        <v>83</v>
      </c>
      <c r="Y366" s="5" t="s">
        <v>24</v>
      </c>
      <c r="Z366" s="5" t="s">
        <v>2010</v>
      </c>
      <c r="AA366" s="5" t="s">
        <v>69</v>
      </c>
      <c r="AC366" s="8" t="str">
        <f>HYPERLINK("https://drive.google.com/file/d/1KN48moJ-qxyqDfTY6TJMeLDWU6SZYs2m/view?usp=drivesdk","Abrir_Factura")</f>
        <v>Abrir_Factura</v>
      </c>
    </row>
    <row r="367" spans="1:29" ht="12.5">
      <c r="A367" s="4">
        <v>46000.690241643519</v>
      </c>
      <c r="B367" s="5">
        <v>90100</v>
      </c>
      <c r="C367" s="5">
        <v>1014191172</v>
      </c>
      <c r="D367" s="5" t="s">
        <v>371</v>
      </c>
      <c r="F367" s="5" t="s">
        <v>2011</v>
      </c>
      <c r="H367" s="5">
        <v>573177991112</v>
      </c>
      <c r="J367" s="5" t="s">
        <v>2012</v>
      </c>
      <c r="K367" s="5" t="s">
        <v>87</v>
      </c>
      <c r="L367" s="5" t="s">
        <v>2013</v>
      </c>
      <c r="M367" s="5">
        <v>3108393365</v>
      </c>
      <c r="N367" s="6">
        <v>46006</v>
      </c>
      <c r="O367" s="7">
        <v>0.5</v>
      </c>
      <c r="P367" s="5">
        <v>1</v>
      </c>
      <c r="Q367" s="5" t="s">
        <v>309</v>
      </c>
      <c r="R367" s="5">
        <v>80000</v>
      </c>
      <c r="S367" s="5">
        <v>0</v>
      </c>
      <c r="T367" s="5">
        <v>13000</v>
      </c>
      <c r="U367" s="5">
        <v>93000</v>
      </c>
      <c r="V367" s="5" t="s">
        <v>2014</v>
      </c>
      <c r="W367" s="5" t="s">
        <v>36</v>
      </c>
      <c r="X367" s="5" t="s">
        <v>67</v>
      </c>
      <c r="Y367" s="5" t="s">
        <v>24</v>
      </c>
      <c r="Z367" s="5" t="s">
        <v>2015</v>
      </c>
      <c r="AA367" s="5" t="s">
        <v>69</v>
      </c>
      <c r="AC367" s="8" t="str">
        <f>HYPERLINK("https://drive.google.com/file/d/1gIu7MSy0gqlT2yMGLDIQ0ahhR7hiFO48/view?usp=drivesdk","Abrir_Factura")</f>
        <v>Abrir_Factura</v>
      </c>
    </row>
    <row r="368" spans="1:29" ht="12.5">
      <c r="A368" s="4">
        <v>46000.603163101856</v>
      </c>
      <c r="B368" s="5">
        <v>90101</v>
      </c>
      <c r="C368" s="5">
        <v>669480</v>
      </c>
      <c r="D368" s="5" t="s">
        <v>2016</v>
      </c>
      <c r="F368" s="5" t="s">
        <v>2017</v>
      </c>
      <c r="H368" s="5">
        <v>573007881065</v>
      </c>
      <c r="J368" s="5" t="s">
        <v>2018</v>
      </c>
      <c r="K368" s="5"/>
      <c r="L368" s="10" t="s">
        <v>2019</v>
      </c>
      <c r="M368" s="5">
        <v>3007881065</v>
      </c>
      <c r="N368" s="6">
        <v>46000</v>
      </c>
      <c r="O368" s="7">
        <v>0.68819444444444444</v>
      </c>
      <c r="P368" s="5">
        <v>1</v>
      </c>
      <c r="Q368" s="5" t="s">
        <v>42</v>
      </c>
      <c r="R368" s="5">
        <v>50000</v>
      </c>
      <c r="S368" s="5">
        <v>0</v>
      </c>
      <c r="T368" s="5"/>
      <c r="U368" s="5">
        <v>50000</v>
      </c>
      <c r="V368" s="5" t="s">
        <v>2020</v>
      </c>
      <c r="W368" s="5" t="s">
        <v>36</v>
      </c>
      <c r="X368" s="5" t="s">
        <v>83</v>
      </c>
      <c r="Y368" s="5" t="s">
        <v>24</v>
      </c>
      <c r="Z368" s="5" t="s">
        <v>1153</v>
      </c>
      <c r="AA368" s="5" t="s">
        <v>44</v>
      </c>
      <c r="AB368" s="5" t="s">
        <v>2021</v>
      </c>
      <c r="AC368" s="8" t="str">
        <f>HYPERLINK("https://drive.google.com/file/d/1jqHm_2zCTwVb2qIsq_wq_WuiMiMI6Y03/view?usp=drivesdk","Abrir_Factura")</f>
        <v>Abrir_Factura</v>
      </c>
    </row>
    <row r="369" spans="1:29" ht="12.5">
      <c r="A369" s="4">
        <v>46000.715425995368</v>
      </c>
      <c r="B369" s="5">
        <v>90102</v>
      </c>
      <c r="C369" s="5">
        <v>32714031</v>
      </c>
      <c r="D369" s="5" t="s">
        <v>2022</v>
      </c>
      <c r="F369" s="5" t="s">
        <v>2023</v>
      </c>
      <c r="H369" s="5">
        <v>573174420025</v>
      </c>
      <c r="J369" s="5" t="s">
        <v>2024</v>
      </c>
      <c r="K369" s="5" t="s">
        <v>103</v>
      </c>
      <c r="L369" s="5" t="s">
        <v>2025</v>
      </c>
      <c r="M369" s="5">
        <v>3174420025</v>
      </c>
      <c r="N369" s="6">
        <v>46000</v>
      </c>
      <c r="O369" s="7">
        <v>0.79861111111111116</v>
      </c>
      <c r="P369" s="5">
        <v>1</v>
      </c>
      <c r="Q369" s="5" t="s">
        <v>96</v>
      </c>
      <c r="R369" s="5">
        <v>220000</v>
      </c>
      <c r="S369" s="5">
        <v>0</v>
      </c>
      <c r="T369" s="5">
        <v>10000</v>
      </c>
      <c r="U369" s="5">
        <v>230000</v>
      </c>
      <c r="V369" s="5" t="s">
        <v>2026</v>
      </c>
      <c r="W369" s="5" t="s">
        <v>36</v>
      </c>
      <c r="X369" s="5" t="s">
        <v>67</v>
      </c>
      <c r="Y369" s="5" t="s">
        <v>24</v>
      </c>
      <c r="Z369" s="5" t="s">
        <v>2027</v>
      </c>
      <c r="AA369" s="5" t="s">
        <v>44</v>
      </c>
      <c r="AC369" s="8" t="str">
        <f>HYPERLINK("https://drive.google.com/file/d/16n5J_8EH-Gmqnge_5ySS0c9icrkcEZx0/view?usp=drivesdk","Abrir_Factura")</f>
        <v>Abrir_Factura</v>
      </c>
    </row>
    <row r="370" spans="1:29" ht="12.5">
      <c r="A370" s="4">
        <v>46000.695155347217</v>
      </c>
      <c r="B370" s="5">
        <v>90103</v>
      </c>
      <c r="C370" s="5">
        <v>901504872</v>
      </c>
      <c r="D370" s="5" t="s">
        <v>2028</v>
      </c>
      <c r="F370" s="5" t="s">
        <v>2029</v>
      </c>
      <c r="H370" s="5">
        <v>573164543781</v>
      </c>
      <c r="J370" s="5" t="s">
        <v>2030</v>
      </c>
      <c r="K370" s="5" t="s">
        <v>73</v>
      </c>
      <c r="L370" s="5" t="s">
        <v>2031</v>
      </c>
      <c r="M370" s="5">
        <v>3164543781</v>
      </c>
      <c r="N370" s="6">
        <v>46000</v>
      </c>
      <c r="O370" s="7">
        <v>0.77013888888888893</v>
      </c>
      <c r="P370" s="5">
        <v>1</v>
      </c>
      <c r="Q370" s="5" t="s">
        <v>170</v>
      </c>
      <c r="R370" s="5">
        <v>300000</v>
      </c>
      <c r="S370" s="5">
        <v>57000</v>
      </c>
      <c r="T370" s="5">
        <v>8000</v>
      </c>
      <c r="U370" s="5">
        <v>365000</v>
      </c>
      <c r="V370" s="5" t="s">
        <v>2032</v>
      </c>
      <c r="W370" s="5" t="s">
        <v>36</v>
      </c>
      <c r="X370" s="5" t="s">
        <v>67</v>
      </c>
      <c r="Y370" s="5" t="s">
        <v>24</v>
      </c>
      <c r="Z370" s="5" t="s">
        <v>2033</v>
      </c>
      <c r="AA370" s="5" t="s">
        <v>44</v>
      </c>
      <c r="AC370" s="8" t="str">
        <f>HYPERLINK("https://drive.google.com/file/d/1MDdBDuvc9G9dfuM3-xfr17X7iPoobvnV/view?usp=drivesdk","Abrir_Factura")</f>
        <v>Abrir_Factura</v>
      </c>
    </row>
    <row r="371" spans="1:29" ht="12.5">
      <c r="A371" s="4">
        <v>46000.766994965277</v>
      </c>
      <c r="B371" s="5">
        <v>90104</v>
      </c>
      <c r="C371" s="5">
        <v>1044424389</v>
      </c>
      <c r="D371" s="5" t="s">
        <v>2034</v>
      </c>
      <c r="F371" s="5" t="s">
        <v>2035</v>
      </c>
      <c r="H371" s="5">
        <v>570000</v>
      </c>
      <c r="J371" s="5" t="s">
        <v>2036</v>
      </c>
      <c r="K371" s="5" t="s">
        <v>33</v>
      </c>
      <c r="L371" s="5" t="s">
        <v>34</v>
      </c>
      <c r="M371" s="5">
        <v>0</v>
      </c>
      <c r="N371" s="6">
        <v>46000</v>
      </c>
      <c r="O371" s="7">
        <v>0.85277777777777775</v>
      </c>
      <c r="P371" s="5">
        <v>2</v>
      </c>
      <c r="Q371" s="5" t="s">
        <v>1139</v>
      </c>
      <c r="R371" s="5">
        <v>140000</v>
      </c>
      <c r="S371" s="5">
        <v>0</v>
      </c>
      <c r="T371" s="5">
        <v>0</v>
      </c>
      <c r="U371" s="5">
        <v>140000</v>
      </c>
      <c r="W371" s="5" t="s">
        <v>36</v>
      </c>
      <c r="X371" s="5" t="s">
        <v>1705</v>
      </c>
      <c r="Y371" s="5" t="s">
        <v>24</v>
      </c>
      <c r="AA371" s="5" t="s">
        <v>1717</v>
      </c>
      <c r="AC371" s="8" t="str">
        <f>HYPERLINK("https://drive.google.com/file/d/1vsNLOOrYSMCIEg3LsNoxkZvFnfcXPTAW/view?usp=drivesdk","Abrir_Factura")</f>
        <v>Abrir_Factura</v>
      </c>
    </row>
    <row r="372" spans="1:29" ht="12.5">
      <c r="A372" s="4">
        <v>46000.770536921293</v>
      </c>
      <c r="B372" s="5">
        <v>90105</v>
      </c>
      <c r="C372" s="5">
        <v>1140852537</v>
      </c>
      <c r="D372" s="5" t="s">
        <v>2037</v>
      </c>
      <c r="F372" s="5" t="s">
        <v>2038</v>
      </c>
      <c r="H372" s="5">
        <v>573005297181</v>
      </c>
      <c r="J372" s="5" t="s">
        <v>2039</v>
      </c>
      <c r="K372" s="5" t="s">
        <v>33</v>
      </c>
      <c r="L372" s="5" t="s">
        <v>34</v>
      </c>
      <c r="M372" s="5">
        <v>3005297181</v>
      </c>
      <c r="N372" s="6">
        <v>46000</v>
      </c>
      <c r="O372" s="7">
        <v>0.85555555555555551</v>
      </c>
      <c r="P372" s="5">
        <v>1</v>
      </c>
      <c r="Q372" s="5" t="s">
        <v>75</v>
      </c>
      <c r="R372" s="5">
        <v>70000</v>
      </c>
      <c r="S372" s="5">
        <v>0</v>
      </c>
      <c r="T372" s="5">
        <v>0</v>
      </c>
      <c r="U372" s="5">
        <v>70000</v>
      </c>
      <c r="W372" s="5" t="s">
        <v>36</v>
      </c>
      <c r="X372" s="5" t="s">
        <v>83</v>
      </c>
      <c r="Y372" s="5" t="s">
        <v>24</v>
      </c>
      <c r="AA372" s="5" t="s">
        <v>44</v>
      </c>
      <c r="AC372" s="8" t="str">
        <f>HYPERLINK("https://drive.google.com/file/d/10rlob4VwhjI3b7QFCjedIrA_0Rj-VV2O/view?usp=drivesdk","Abrir_Factura")</f>
        <v>Abrir_Factura</v>
      </c>
    </row>
    <row r="373" spans="1:29" ht="12.5">
      <c r="A373" s="4">
        <v>46000.775471122688</v>
      </c>
      <c r="B373" s="5">
        <v>90106</v>
      </c>
      <c r="C373" s="5">
        <v>0</v>
      </c>
      <c r="D373" s="5" t="s">
        <v>2040</v>
      </c>
      <c r="F373" s="5" t="s">
        <v>2041</v>
      </c>
      <c r="H373" s="5">
        <v>573154015161</v>
      </c>
      <c r="J373" s="5" t="s">
        <v>2042</v>
      </c>
      <c r="K373" s="5" t="s">
        <v>886</v>
      </c>
      <c r="L373" s="5" t="s">
        <v>2043</v>
      </c>
      <c r="N373" s="6">
        <v>46000</v>
      </c>
      <c r="O373" s="7">
        <v>0.85902777777777772</v>
      </c>
      <c r="P373" s="5">
        <v>1</v>
      </c>
      <c r="Q373" s="5" t="s">
        <v>96</v>
      </c>
      <c r="R373" s="5">
        <v>300000</v>
      </c>
      <c r="S373" s="5">
        <v>0</v>
      </c>
      <c r="T373" s="5">
        <v>10000</v>
      </c>
      <c r="U373" s="5">
        <v>310000</v>
      </c>
      <c r="V373" s="5" t="s">
        <v>2044</v>
      </c>
      <c r="W373" s="5" t="s">
        <v>36</v>
      </c>
      <c r="X373" s="5" t="s">
        <v>67</v>
      </c>
      <c r="Y373" s="5" t="s">
        <v>24</v>
      </c>
      <c r="AA373" s="5" t="s">
        <v>44</v>
      </c>
      <c r="AC373" s="8" t="str">
        <f>HYPERLINK("https://drive.google.com/file/d/1f6xY_TxE7B2g8VlngdHrKYy0TysHYW6i/view?usp=drivesdk","Abrir_Factura")</f>
        <v>Abrir_Factura</v>
      </c>
    </row>
    <row r="374" spans="1:29" ht="12.5">
      <c r="A374" s="4">
        <v>46000.787813217597</v>
      </c>
      <c r="B374" s="5">
        <v>90107</v>
      </c>
      <c r="C374" s="5">
        <v>8773703</v>
      </c>
      <c r="D374" s="5" t="s">
        <v>2045</v>
      </c>
      <c r="F374" s="5" t="s">
        <v>2046</v>
      </c>
      <c r="H374" s="5">
        <v>573046446071</v>
      </c>
      <c r="J374" s="5" t="s">
        <v>2047</v>
      </c>
      <c r="K374" s="5" t="s">
        <v>33</v>
      </c>
      <c r="L374" s="5" t="s">
        <v>34</v>
      </c>
      <c r="M374" s="5">
        <v>3046446071</v>
      </c>
      <c r="N374" s="6">
        <v>46000</v>
      </c>
      <c r="O374" s="7">
        <v>0.87361111111111112</v>
      </c>
      <c r="P374" s="5">
        <v>1</v>
      </c>
      <c r="Q374" s="5" t="s">
        <v>42</v>
      </c>
      <c r="R374" s="5">
        <v>40000</v>
      </c>
      <c r="S374" s="5">
        <v>0</v>
      </c>
      <c r="T374" s="5">
        <v>0</v>
      </c>
      <c r="U374" s="5">
        <v>40000</v>
      </c>
      <c r="W374" s="5" t="s">
        <v>36</v>
      </c>
      <c r="X374" s="5" t="s">
        <v>1705</v>
      </c>
      <c r="Y374" s="5" t="s">
        <v>24</v>
      </c>
      <c r="AA374" s="5" t="s">
        <v>1717</v>
      </c>
      <c r="AB374" s="5" t="s">
        <v>2048</v>
      </c>
      <c r="AC374" s="8" t="str">
        <f>HYPERLINK("https://drive.google.com/file/d/1mqE7WlfAgsNUxbO-xXhTcLhyc8r9svT2/view?usp=drivesdk","Abrir_Factura")</f>
        <v>Abrir_Factura</v>
      </c>
    </row>
    <row r="375" spans="1:29" ht="12.5">
      <c r="A375" s="4">
        <v>46001.297461296301</v>
      </c>
      <c r="B375" s="5">
        <v>90108</v>
      </c>
      <c r="C375" s="5">
        <v>1082925032</v>
      </c>
      <c r="D375" s="5" t="s">
        <v>1291</v>
      </c>
      <c r="F375" s="5" t="s">
        <v>2049</v>
      </c>
      <c r="H375" s="5">
        <v>573158084648</v>
      </c>
      <c r="J375" s="5" t="s">
        <v>2050</v>
      </c>
      <c r="K375" s="5" t="s">
        <v>33</v>
      </c>
      <c r="L375" s="5" t="s">
        <v>34</v>
      </c>
      <c r="M375" s="5">
        <v>3158084648</v>
      </c>
      <c r="N375" s="6">
        <v>46001</v>
      </c>
      <c r="O375" s="7">
        <v>0.38194444444444442</v>
      </c>
      <c r="P375" s="5">
        <v>1</v>
      </c>
      <c r="Q375" s="5" t="s">
        <v>1102</v>
      </c>
      <c r="R375" s="5">
        <v>220000</v>
      </c>
      <c r="S375" s="5">
        <v>0</v>
      </c>
      <c r="T375" s="5">
        <v>0</v>
      </c>
      <c r="U375" s="5">
        <v>220000</v>
      </c>
      <c r="W375" s="5" t="s">
        <v>36</v>
      </c>
      <c r="X375" s="5" t="s">
        <v>43</v>
      </c>
      <c r="Y375" s="5" t="s">
        <v>24</v>
      </c>
      <c r="AA375" s="5" t="s">
        <v>44</v>
      </c>
      <c r="AC375" s="8" t="str">
        <f>HYPERLINK("https://drive.google.com/file/d/1xBFWuKxaoP9xTexOpvIhF-uFRA05N_D8/view?usp=drivesdk","Abrir_Factura")</f>
        <v>Abrir_Factura</v>
      </c>
    </row>
    <row r="376" spans="1:29" ht="12.5">
      <c r="A376" s="4">
        <v>46000.771554942126</v>
      </c>
      <c r="B376" s="5">
        <v>90109</v>
      </c>
      <c r="C376" s="5">
        <v>55313649</v>
      </c>
      <c r="D376" s="5" t="s">
        <v>2051</v>
      </c>
      <c r="F376" s="5" t="s">
        <v>1758</v>
      </c>
      <c r="H376" s="5">
        <v>573006548603</v>
      </c>
      <c r="J376" s="5" t="s">
        <v>2052</v>
      </c>
      <c r="K376" s="5" t="s">
        <v>73</v>
      </c>
      <c r="L376" s="5" t="s">
        <v>2053</v>
      </c>
      <c r="M376" s="5">
        <v>3006548603</v>
      </c>
      <c r="N376" s="6">
        <v>46003</v>
      </c>
      <c r="O376" s="7">
        <v>0.65069444444444446</v>
      </c>
      <c r="P376" s="5">
        <v>1</v>
      </c>
      <c r="Q376" s="5" t="s">
        <v>42</v>
      </c>
      <c r="R376" s="5">
        <v>0</v>
      </c>
      <c r="S376" s="5">
        <v>0</v>
      </c>
      <c r="T376" s="5">
        <v>8000</v>
      </c>
      <c r="U376" s="5">
        <v>8000</v>
      </c>
      <c r="W376" s="5" t="s">
        <v>36</v>
      </c>
      <c r="X376" s="5" t="s">
        <v>83</v>
      </c>
      <c r="Y376" s="5" t="s">
        <v>24</v>
      </c>
      <c r="AA376" s="5" t="s">
        <v>44</v>
      </c>
      <c r="AB376" s="5" t="s">
        <v>2054</v>
      </c>
      <c r="AC376" s="8" t="str">
        <f>HYPERLINK("https://drive.google.com/file/d/1oKzs1OY1mRm1EfLiP5ql9_LIGqBYUSVu/view?usp=drivesdk","Abrir_Factura")</f>
        <v>Abrir_Factura</v>
      </c>
    </row>
    <row r="377" spans="1:29" ht="12.5">
      <c r="A377" s="4">
        <v>46001.312080405092</v>
      </c>
      <c r="B377" s="5">
        <v>90110</v>
      </c>
      <c r="C377" s="5">
        <v>0</v>
      </c>
      <c r="D377" s="5" t="s">
        <v>2055</v>
      </c>
      <c r="F377" s="5">
        <v>0</v>
      </c>
      <c r="H377" s="5">
        <v>573154921199</v>
      </c>
      <c r="J377" s="5" t="s">
        <v>2056</v>
      </c>
      <c r="K377" s="5" t="s">
        <v>464</v>
      </c>
      <c r="L377" s="5" t="s">
        <v>2057</v>
      </c>
      <c r="M377" s="5" t="s">
        <v>2058</v>
      </c>
      <c r="N377" s="6">
        <v>46001</v>
      </c>
      <c r="O377" s="7">
        <v>0.39583333333333331</v>
      </c>
      <c r="P377" s="5">
        <v>1</v>
      </c>
      <c r="Q377" s="5" t="s">
        <v>2059</v>
      </c>
      <c r="R377" s="5">
        <v>250000</v>
      </c>
      <c r="S377" s="5">
        <v>0</v>
      </c>
      <c r="T377" s="5">
        <v>20000</v>
      </c>
      <c r="U377" s="5">
        <v>270000</v>
      </c>
      <c r="V377" s="5" t="s">
        <v>2060</v>
      </c>
      <c r="W377" s="5" t="s">
        <v>36</v>
      </c>
      <c r="X377" s="5" t="s">
        <v>83</v>
      </c>
      <c r="Y377" s="5" t="s">
        <v>24</v>
      </c>
      <c r="AA377" s="5" t="s">
        <v>44</v>
      </c>
      <c r="AC377" s="8" t="str">
        <f>HYPERLINK("https://drive.google.com/file/d/1gh2q6ilrHll0vxDtZwlR4P2CwOvWqS7G/view?usp=drivesdk","Abrir_Factura")</f>
        <v>Abrir_Factura</v>
      </c>
    </row>
    <row r="378" spans="1:29" ht="12.5">
      <c r="A378" s="4">
        <v>46001.317254710651</v>
      </c>
      <c r="B378" s="5">
        <v>90111</v>
      </c>
      <c r="C378" s="5">
        <v>8737403</v>
      </c>
      <c r="D378" s="5" t="s">
        <v>2061</v>
      </c>
      <c r="F378" s="5" t="s">
        <v>2062</v>
      </c>
      <c r="H378" s="5">
        <v>573106304282</v>
      </c>
      <c r="J378" s="5" t="s">
        <v>2063</v>
      </c>
      <c r="K378" s="5" t="s">
        <v>33</v>
      </c>
      <c r="L378" s="5" t="s">
        <v>34</v>
      </c>
      <c r="M378" s="5">
        <v>3106304282</v>
      </c>
      <c r="N378" s="6">
        <v>46001</v>
      </c>
      <c r="O378" s="7">
        <v>0.40347222222222223</v>
      </c>
      <c r="P378" s="5">
        <v>1</v>
      </c>
      <c r="Q378" s="5" t="s">
        <v>42</v>
      </c>
      <c r="R378" s="5">
        <v>36000</v>
      </c>
      <c r="S378" s="5">
        <v>0</v>
      </c>
      <c r="T378" s="5">
        <v>0</v>
      </c>
      <c r="U378" s="5">
        <v>36000</v>
      </c>
      <c r="W378" s="5" t="s">
        <v>36</v>
      </c>
      <c r="X378" s="5" t="s">
        <v>1705</v>
      </c>
      <c r="Y378" s="5" t="s">
        <v>24</v>
      </c>
      <c r="AA378" s="5" t="s">
        <v>1717</v>
      </c>
      <c r="AB378" s="5" t="s">
        <v>2064</v>
      </c>
      <c r="AC378" s="8" t="str">
        <f>HYPERLINK("https://drive.google.com/file/d/1-dbW1BYMSOLbhR23B9oVYELXiwsyHYwb/view?usp=drivesdk","Abrir_Factura")</f>
        <v>Abrir_Factura</v>
      </c>
    </row>
    <row r="379" spans="1:29" ht="12.5">
      <c r="A379" s="4">
        <v>46000.747676238425</v>
      </c>
      <c r="B379" s="5">
        <v>90112</v>
      </c>
      <c r="C379" s="5">
        <v>1140864822</v>
      </c>
      <c r="D379" s="5" t="s">
        <v>1184</v>
      </c>
      <c r="F379" s="5" t="s">
        <v>1185</v>
      </c>
      <c r="H379" s="5">
        <v>573232211447</v>
      </c>
      <c r="J379" s="5" t="s">
        <v>2065</v>
      </c>
      <c r="K379" s="5" t="s">
        <v>154</v>
      </c>
      <c r="L379" s="5" t="s">
        <v>2066</v>
      </c>
      <c r="M379" s="5">
        <v>3023864866</v>
      </c>
      <c r="N379" s="6">
        <v>46000</v>
      </c>
      <c r="O379" s="7">
        <v>0.83402777777777781</v>
      </c>
      <c r="P379" s="5">
        <v>1</v>
      </c>
      <c r="Q379" s="5" t="s">
        <v>375</v>
      </c>
      <c r="R379" s="5">
        <v>70000</v>
      </c>
      <c r="S379" s="5">
        <v>0</v>
      </c>
      <c r="T379" s="5">
        <v>8000</v>
      </c>
      <c r="U379" s="5">
        <v>78000</v>
      </c>
      <c r="V379" s="5" t="s">
        <v>2067</v>
      </c>
      <c r="W379" s="5" t="s">
        <v>36</v>
      </c>
      <c r="X379" s="5" t="s">
        <v>67</v>
      </c>
      <c r="Y379" s="5" t="s">
        <v>24</v>
      </c>
      <c r="Z379" s="5" t="s">
        <v>2068</v>
      </c>
      <c r="AA379" s="5" t="s">
        <v>44</v>
      </c>
      <c r="AC379" s="8" t="str">
        <f>HYPERLINK("https://drive.google.com/file/d/14fuocV6M7whlBwfLl6Cu4n_kRUq26qnx/view?usp=drivesdk","Abrir_Factura")</f>
        <v>Abrir_Factura</v>
      </c>
    </row>
    <row r="380" spans="1:29" ht="12.5">
      <c r="A380" s="4">
        <v>46000.545270960647</v>
      </c>
      <c r="B380" s="5">
        <v>90113</v>
      </c>
      <c r="C380" s="5">
        <v>1018457587</v>
      </c>
      <c r="D380" s="5" t="s">
        <v>2069</v>
      </c>
      <c r="F380" s="5" t="s">
        <v>2070</v>
      </c>
      <c r="H380" s="5">
        <v>525585534987</v>
      </c>
      <c r="J380" s="5" t="s">
        <v>2071</v>
      </c>
      <c r="K380" s="5" t="s">
        <v>73</v>
      </c>
      <c r="L380" s="5" t="s">
        <v>2072</v>
      </c>
      <c r="M380" s="5">
        <v>3205643000</v>
      </c>
      <c r="N380" s="6">
        <v>46000</v>
      </c>
      <c r="O380" s="7">
        <v>0.58750000000000002</v>
      </c>
      <c r="P380" s="5">
        <v>1</v>
      </c>
      <c r="Q380" s="5" t="s">
        <v>370</v>
      </c>
      <c r="R380" s="5">
        <v>275000</v>
      </c>
      <c r="S380" s="5">
        <v>0</v>
      </c>
      <c r="T380" s="5">
        <v>8000</v>
      </c>
      <c r="U380" s="5">
        <v>283000</v>
      </c>
      <c r="V380" s="5" t="s">
        <v>2073</v>
      </c>
      <c r="W380" s="5" t="s">
        <v>36</v>
      </c>
      <c r="X380" s="5" t="s">
        <v>1937</v>
      </c>
      <c r="Y380" s="5" t="s">
        <v>24</v>
      </c>
      <c r="Z380" s="5" t="s">
        <v>2069</v>
      </c>
      <c r="AA380" s="5" t="s">
        <v>69</v>
      </c>
      <c r="AB380" s="5" t="s">
        <v>2074</v>
      </c>
      <c r="AC380" s="8" t="str">
        <f>HYPERLINK("https://drive.google.com/file/d/1eVje9RZ4F4svKU22sUSVQi5KCtnD-WQd/view?usp=drivesdk","Abrir_Factura")</f>
        <v>Abrir_Factura</v>
      </c>
    </row>
    <row r="381" spans="1:29" ht="12.5">
      <c r="A381" s="4">
        <v>46001.352287696762</v>
      </c>
      <c r="B381" s="5">
        <v>90114</v>
      </c>
      <c r="C381" s="5">
        <v>1026272909</v>
      </c>
      <c r="D381" s="5" t="s">
        <v>1627</v>
      </c>
      <c r="F381" s="5" t="s">
        <v>2075</v>
      </c>
      <c r="H381" s="5">
        <v>575215579221110</v>
      </c>
      <c r="J381" s="5" t="s">
        <v>2076</v>
      </c>
      <c r="K381" s="5" t="s">
        <v>103</v>
      </c>
      <c r="L381" s="5" t="s">
        <v>2077</v>
      </c>
      <c r="M381" s="5">
        <v>3173646805</v>
      </c>
      <c r="N381" s="6">
        <v>46001</v>
      </c>
      <c r="O381" s="7">
        <v>0.43819444444444444</v>
      </c>
      <c r="P381" s="5">
        <v>1</v>
      </c>
      <c r="Q381" s="5" t="s">
        <v>42</v>
      </c>
      <c r="R381" s="5">
        <v>350000</v>
      </c>
      <c r="S381" s="5">
        <v>0</v>
      </c>
      <c r="T381" s="5">
        <v>10000</v>
      </c>
      <c r="U381" s="5">
        <v>360000</v>
      </c>
      <c r="V381" s="5" t="s">
        <v>2078</v>
      </c>
      <c r="W381" s="5" t="s">
        <v>36</v>
      </c>
      <c r="X381" s="5" t="s">
        <v>83</v>
      </c>
      <c r="Y381" s="5" t="s">
        <v>24</v>
      </c>
      <c r="AA381" s="5" t="s">
        <v>69</v>
      </c>
      <c r="AB381" s="5" t="s">
        <v>2079</v>
      </c>
      <c r="AC381" s="8" t="str">
        <f>HYPERLINK("https://drive.google.com/file/d/16R7p88rBIaSm1j2bRPQ_va4fSHvvVOA6/view?usp=drivesdk","Abrir_Factura")</f>
        <v>Abrir_Factura</v>
      </c>
    </row>
    <row r="382" spans="1:29" ht="12.5">
      <c r="A382" s="4">
        <v>46001.367957743059</v>
      </c>
      <c r="B382" s="5">
        <v>90115</v>
      </c>
      <c r="C382" s="5">
        <v>1193537226</v>
      </c>
      <c r="D382" s="5" t="s">
        <v>2080</v>
      </c>
      <c r="F382" s="5" t="s">
        <v>455</v>
      </c>
      <c r="H382" s="5">
        <v>573024231004</v>
      </c>
      <c r="J382" s="5" t="s">
        <v>2081</v>
      </c>
      <c r="K382" s="5" t="s">
        <v>229</v>
      </c>
      <c r="L382" s="5" t="s">
        <v>2082</v>
      </c>
      <c r="M382" s="5">
        <v>3024231004</v>
      </c>
      <c r="N382" s="6">
        <v>46001</v>
      </c>
      <c r="O382" s="7">
        <v>0.625</v>
      </c>
      <c r="P382" s="5">
        <v>1</v>
      </c>
      <c r="Q382" s="5" t="s">
        <v>375</v>
      </c>
      <c r="R382" s="5">
        <v>70000</v>
      </c>
      <c r="S382" s="5">
        <v>0</v>
      </c>
      <c r="T382" s="5">
        <v>11000</v>
      </c>
      <c r="U382" s="5">
        <v>81000</v>
      </c>
      <c r="V382" s="5" t="s">
        <v>2083</v>
      </c>
      <c r="W382" s="5" t="s">
        <v>36</v>
      </c>
      <c r="X382" s="5" t="s">
        <v>83</v>
      </c>
      <c r="Y382" s="5" t="s">
        <v>24</v>
      </c>
      <c r="Z382" s="5" t="s">
        <v>2084</v>
      </c>
      <c r="AA382" s="5" t="s">
        <v>69</v>
      </c>
      <c r="AC382" s="8" t="str">
        <f>HYPERLINK("https://drive.google.com/file/d/1dSzpQ2ZuuTssTL4bk0UjbGQHcPFlfS6C/view?usp=drivesdk","Abrir_Factura")</f>
        <v>Abrir_Factura</v>
      </c>
    </row>
    <row r="383" spans="1:29" ht="12.5">
      <c r="A383" s="4">
        <v>46001.384434884254</v>
      </c>
      <c r="B383" s="5">
        <v>90116</v>
      </c>
      <c r="C383" s="5">
        <v>1143430016</v>
      </c>
      <c r="D383" s="5" t="s">
        <v>1798</v>
      </c>
      <c r="F383" s="5" t="s">
        <v>1827</v>
      </c>
      <c r="H383" s="5">
        <v>573046688627</v>
      </c>
      <c r="J383" s="5" t="s">
        <v>2085</v>
      </c>
      <c r="K383" s="5" t="s">
        <v>103</v>
      </c>
      <c r="L383" s="5" t="s">
        <v>2086</v>
      </c>
      <c r="M383" s="5">
        <v>3046688627</v>
      </c>
      <c r="N383" s="6">
        <v>46001</v>
      </c>
      <c r="O383" s="7">
        <v>0.45833333333333331</v>
      </c>
      <c r="P383" s="5">
        <v>1</v>
      </c>
      <c r="Q383" s="5" t="s">
        <v>42</v>
      </c>
      <c r="R383" s="5">
        <v>350000</v>
      </c>
      <c r="S383" s="5">
        <v>0</v>
      </c>
      <c r="T383" s="5">
        <v>10000</v>
      </c>
      <c r="U383" s="5">
        <v>360000</v>
      </c>
      <c r="W383" s="5" t="s">
        <v>36</v>
      </c>
      <c r="X383" s="5" t="s">
        <v>83</v>
      </c>
      <c r="Y383" s="5" t="s">
        <v>24</v>
      </c>
      <c r="AA383" s="5" t="s">
        <v>44</v>
      </c>
      <c r="AB383" s="5" t="s">
        <v>2087</v>
      </c>
      <c r="AC383" s="8" t="str">
        <f>HYPERLINK("https://drive.google.com/file/d/1sPu7PDOfMsrcI_VjlERDVY6w6F5voafc/view?usp=drivesdk","Abrir_Factura")</f>
        <v>Abrir_Factura</v>
      </c>
    </row>
    <row r="384" spans="1:29" ht="12.5">
      <c r="A384" s="4">
        <v>46001.372153113422</v>
      </c>
      <c r="B384" s="5">
        <v>90117</v>
      </c>
      <c r="C384" s="5">
        <v>1140896366</v>
      </c>
      <c r="D384" s="5" t="s">
        <v>84</v>
      </c>
      <c r="F384" s="5" t="s">
        <v>2088</v>
      </c>
      <c r="H384" s="5">
        <v>573113596214</v>
      </c>
      <c r="J384" s="5" t="s">
        <v>2089</v>
      </c>
      <c r="K384" s="5" t="s">
        <v>2090</v>
      </c>
      <c r="L384" s="5" t="s">
        <v>2091</v>
      </c>
      <c r="M384" s="5" t="s">
        <v>2092</v>
      </c>
      <c r="N384" s="6">
        <v>46001</v>
      </c>
      <c r="O384" s="7">
        <v>0.45347222222222222</v>
      </c>
      <c r="P384" s="5">
        <v>1</v>
      </c>
      <c r="Q384" s="5" t="s">
        <v>1251</v>
      </c>
      <c r="R384" s="5">
        <v>500000</v>
      </c>
      <c r="S384" s="5">
        <v>0</v>
      </c>
      <c r="T384" s="5">
        <v>10000</v>
      </c>
      <c r="U384" s="5">
        <v>510000</v>
      </c>
      <c r="V384" s="5" t="s">
        <v>2093</v>
      </c>
      <c r="W384" s="5" t="s">
        <v>36</v>
      </c>
      <c r="X384" s="5" t="s">
        <v>83</v>
      </c>
      <c r="Y384" s="5" t="s">
        <v>24</v>
      </c>
      <c r="Z384" s="5" t="s">
        <v>2094</v>
      </c>
      <c r="AA384" s="5" t="s">
        <v>44</v>
      </c>
      <c r="AC384" s="8" t="str">
        <f>HYPERLINK("https://drive.google.com/file/d/1Gwv_KDHzdPJT8118wsPeqDIGgGrGQmBC/view?usp=drivesdk","Abrir_Factura")</f>
        <v>Abrir_Factura</v>
      </c>
    </row>
    <row r="385" spans="1:30" ht="12.5">
      <c r="A385" s="4">
        <v>46001.389393506943</v>
      </c>
      <c r="B385" s="5">
        <v>90118</v>
      </c>
      <c r="C385" s="5">
        <v>1129581017</v>
      </c>
      <c r="D385" s="5" t="s">
        <v>2095</v>
      </c>
      <c r="F385" s="5" t="s">
        <v>2096</v>
      </c>
      <c r="H385" s="5">
        <v>573006332592</v>
      </c>
      <c r="J385" s="5" t="s">
        <v>2097</v>
      </c>
      <c r="K385" s="5" t="s">
        <v>146</v>
      </c>
      <c r="L385" s="5" t="s">
        <v>2098</v>
      </c>
      <c r="M385" s="5">
        <v>3008091604</v>
      </c>
      <c r="N385" s="6">
        <v>46004</v>
      </c>
      <c r="O385" s="7">
        <v>0.45833333333333331</v>
      </c>
      <c r="P385" s="5">
        <v>1</v>
      </c>
      <c r="Q385" s="5" t="s">
        <v>747</v>
      </c>
      <c r="R385" s="5">
        <v>300000</v>
      </c>
      <c r="S385" s="5">
        <v>0</v>
      </c>
      <c r="T385" s="5">
        <v>12000</v>
      </c>
      <c r="U385" s="5">
        <v>312000</v>
      </c>
      <c r="V385" s="5" t="s">
        <v>2099</v>
      </c>
      <c r="W385" s="5" t="s">
        <v>36</v>
      </c>
      <c r="X385" s="5" t="s">
        <v>83</v>
      </c>
      <c r="Y385" s="5" t="s">
        <v>24</v>
      </c>
      <c r="Z385" s="5" t="s">
        <v>2100</v>
      </c>
      <c r="AA385" s="5" t="s">
        <v>69</v>
      </c>
      <c r="AC385" s="8" t="str">
        <f>HYPERLINK("https://drive.google.com/file/d/1h0EpKCdHzKOC45-z6wQgcWu5Acx7ksMK/view?usp=drivesdk","Abrir_Factura")</f>
        <v>Abrir_Factura</v>
      </c>
    </row>
    <row r="386" spans="1:30" ht="12.5">
      <c r="A386" s="4">
        <v>46001.399572175927</v>
      </c>
      <c r="B386" s="5">
        <v>90119</v>
      </c>
      <c r="C386" s="5">
        <v>1140840050</v>
      </c>
      <c r="D386" s="5" t="s">
        <v>2101</v>
      </c>
      <c r="F386" s="5" t="s">
        <v>2102</v>
      </c>
      <c r="H386" s="5">
        <v>573216981443</v>
      </c>
      <c r="J386" s="5" t="s">
        <v>2103</v>
      </c>
      <c r="K386" s="5" t="s">
        <v>886</v>
      </c>
      <c r="L386" s="5" t="s">
        <v>2104</v>
      </c>
      <c r="M386" s="5" t="s">
        <v>2105</v>
      </c>
      <c r="N386" s="6">
        <v>46001</v>
      </c>
      <c r="O386" s="7">
        <v>0.48333333333333334</v>
      </c>
      <c r="P386" s="5">
        <v>1</v>
      </c>
      <c r="Q386" s="5" t="s">
        <v>42</v>
      </c>
      <c r="R386" s="5">
        <v>242000</v>
      </c>
      <c r="S386" s="5">
        <v>0</v>
      </c>
      <c r="T386" s="5">
        <v>10000</v>
      </c>
      <c r="U386" s="5">
        <v>252000</v>
      </c>
      <c r="V386" s="5" t="s">
        <v>2106</v>
      </c>
      <c r="W386" s="5" t="s">
        <v>36</v>
      </c>
      <c r="X386" s="5" t="s">
        <v>83</v>
      </c>
      <c r="Y386" s="5" t="s">
        <v>24</v>
      </c>
      <c r="AA386" s="5" t="s">
        <v>44</v>
      </c>
      <c r="AB386" s="5" t="s">
        <v>2106</v>
      </c>
      <c r="AC386" s="8" t="str">
        <f>HYPERLINK("https://drive.google.com/file/d/1vQMeX4zQ4dnbdTq20be_AmwVM0cAj1dW/view?usp=drivesdk","Abrir_Factura")</f>
        <v>Abrir_Factura</v>
      </c>
    </row>
    <row r="387" spans="1:30" ht="12.5">
      <c r="A387" s="4">
        <v>46000.803304606481</v>
      </c>
      <c r="B387" s="5">
        <v>90120</v>
      </c>
      <c r="C387" s="5">
        <v>17971779</v>
      </c>
      <c r="D387" s="5" t="s">
        <v>2107</v>
      </c>
      <c r="F387" s="5" t="s">
        <v>2108</v>
      </c>
      <c r="H387" s="5">
        <v>573017254126</v>
      </c>
      <c r="J387" s="5" t="s">
        <v>2109</v>
      </c>
      <c r="K387" s="5" t="s">
        <v>1047</v>
      </c>
      <c r="L387" s="5" t="s">
        <v>2110</v>
      </c>
      <c r="M387" s="5">
        <v>3157268416</v>
      </c>
      <c r="N387" s="6">
        <v>46001</v>
      </c>
      <c r="O387" s="7">
        <v>0.33333333333333331</v>
      </c>
      <c r="P387" s="5">
        <v>1</v>
      </c>
      <c r="Q387" s="5" t="s">
        <v>458</v>
      </c>
      <c r="R387" s="5">
        <v>320000</v>
      </c>
      <c r="S387" s="5">
        <v>0</v>
      </c>
      <c r="T387" s="5">
        <v>15000</v>
      </c>
      <c r="U387" s="5">
        <v>335000</v>
      </c>
      <c r="V387" s="5" t="s">
        <v>2111</v>
      </c>
      <c r="W387" s="5" t="s">
        <v>36</v>
      </c>
      <c r="X387" s="5" t="s">
        <v>83</v>
      </c>
      <c r="Y387" s="5" t="s">
        <v>24</v>
      </c>
      <c r="Z387" s="5" t="s">
        <v>2112</v>
      </c>
      <c r="AA387" s="5" t="s">
        <v>69</v>
      </c>
      <c r="AC387" s="8" t="str">
        <f>HYPERLINK("https://drive.google.com/file/d/1chcU1QDThjrBve7FIZVZgQcwya3KHXUs/view?usp=drivesdk","Abrir_Factura")</f>
        <v>Abrir_Factura</v>
      </c>
    </row>
    <row r="388" spans="1:30" ht="12.5">
      <c r="A388" s="4">
        <v>46001.394249861114</v>
      </c>
      <c r="B388" s="5">
        <v>90121</v>
      </c>
      <c r="C388" s="5">
        <v>1143262705</v>
      </c>
      <c r="D388" s="5" t="s">
        <v>2113</v>
      </c>
      <c r="F388" s="5" t="s">
        <v>1968</v>
      </c>
      <c r="H388" s="5">
        <v>573007426106</v>
      </c>
      <c r="J388" s="5" t="s">
        <v>2114</v>
      </c>
      <c r="K388" s="5" t="s">
        <v>2115</v>
      </c>
      <c r="L388" s="5" t="s">
        <v>2116</v>
      </c>
      <c r="M388" s="5">
        <v>3126058089</v>
      </c>
      <c r="N388" s="6">
        <v>46001</v>
      </c>
      <c r="O388" s="7">
        <v>0.625</v>
      </c>
      <c r="P388" s="5">
        <v>1</v>
      </c>
      <c r="Q388" s="5" t="s">
        <v>1049</v>
      </c>
      <c r="R388" s="5">
        <v>260000</v>
      </c>
      <c r="S388" s="5">
        <v>0</v>
      </c>
      <c r="T388" s="5">
        <v>18000</v>
      </c>
      <c r="U388" s="5">
        <v>278000</v>
      </c>
      <c r="V388" s="5" t="s">
        <v>2117</v>
      </c>
      <c r="W388" s="5" t="s">
        <v>36</v>
      </c>
      <c r="X388" s="5" t="s">
        <v>83</v>
      </c>
      <c r="Y388" s="5" t="s">
        <v>24</v>
      </c>
      <c r="Z388" s="5" t="s">
        <v>2113</v>
      </c>
      <c r="AA388" s="5" t="s">
        <v>69</v>
      </c>
      <c r="AC388" s="8" t="str">
        <f>HYPERLINK("https://drive.google.com/file/d/1SOhdYw02y324KUve1PsEeUiWW4pYlCQE/view?usp=drivesdk","Abrir_Factura")</f>
        <v>Abrir_Factura</v>
      </c>
    </row>
    <row r="389" spans="1:30" ht="12.5">
      <c r="A389" s="4">
        <v>46001.397468796291</v>
      </c>
      <c r="B389" s="5">
        <v>90122</v>
      </c>
      <c r="C389" s="5">
        <v>1143262705</v>
      </c>
      <c r="D389" s="5" t="s">
        <v>2113</v>
      </c>
      <c r="F389" s="5" t="s">
        <v>1968</v>
      </c>
      <c r="H389" s="5">
        <v>573007426106</v>
      </c>
      <c r="J389" s="5" t="s">
        <v>2118</v>
      </c>
      <c r="K389" s="5" t="s">
        <v>73</v>
      </c>
      <c r="L389" s="5" t="s">
        <v>2119</v>
      </c>
      <c r="M389" s="5">
        <v>3187661747</v>
      </c>
      <c r="N389" s="6">
        <v>46001</v>
      </c>
      <c r="O389" s="7">
        <v>0.625</v>
      </c>
      <c r="P389" s="5">
        <v>1</v>
      </c>
      <c r="Q389" s="5" t="s">
        <v>2120</v>
      </c>
      <c r="R389" s="5">
        <v>200000</v>
      </c>
      <c r="S389" s="5">
        <v>0</v>
      </c>
      <c r="T389" s="5">
        <v>8000</v>
      </c>
      <c r="U389" s="5">
        <v>208000</v>
      </c>
      <c r="V389" s="5" t="s">
        <v>2121</v>
      </c>
      <c r="W389" s="5" t="s">
        <v>36</v>
      </c>
      <c r="X389" s="5" t="s">
        <v>83</v>
      </c>
      <c r="Y389" s="5" t="s">
        <v>24</v>
      </c>
      <c r="Z389" s="5" t="s">
        <v>2122</v>
      </c>
      <c r="AA389" s="5" t="s">
        <v>69</v>
      </c>
      <c r="AC389" s="8" t="str">
        <f>HYPERLINK("https://drive.google.com/file/d/17ov8-D9PuuJ_Z5hGYX9N8Y3BsFJtNJcC/view?usp=drivesdk","Abrir_Factura")</f>
        <v>Abrir_Factura</v>
      </c>
    </row>
    <row r="390" spans="1:30" ht="12.5">
      <c r="A390" s="4">
        <v>46001.400974953707</v>
      </c>
      <c r="B390" s="5">
        <v>90123</v>
      </c>
      <c r="C390" s="5">
        <v>1002209174</v>
      </c>
      <c r="D390" s="5" t="s">
        <v>2123</v>
      </c>
      <c r="F390" s="5" t="s">
        <v>2124</v>
      </c>
      <c r="H390" s="5">
        <v>17704010789</v>
      </c>
      <c r="J390" s="5" t="s">
        <v>2125</v>
      </c>
      <c r="K390" s="5" t="s">
        <v>161</v>
      </c>
      <c r="L390" s="5" t="s">
        <v>2126</v>
      </c>
      <c r="M390" s="5">
        <v>3205437770</v>
      </c>
      <c r="N390" s="6">
        <v>46002</v>
      </c>
      <c r="O390" s="7">
        <v>0.3125</v>
      </c>
      <c r="P390" s="5">
        <v>1</v>
      </c>
      <c r="Q390" s="5" t="s">
        <v>96</v>
      </c>
      <c r="R390" s="5">
        <v>220000</v>
      </c>
      <c r="S390" s="5">
        <v>0</v>
      </c>
      <c r="T390" s="5">
        <v>8000</v>
      </c>
      <c r="U390" s="5">
        <v>228000</v>
      </c>
      <c r="V390" s="5" t="s">
        <v>2127</v>
      </c>
      <c r="W390" s="5" t="s">
        <v>36</v>
      </c>
      <c r="X390" s="5" t="s">
        <v>83</v>
      </c>
      <c r="Y390" s="5" t="s">
        <v>24</v>
      </c>
      <c r="Z390" s="5" t="s">
        <v>2128</v>
      </c>
      <c r="AA390" s="5" t="s">
        <v>44</v>
      </c>
      <c r="AB390" s="5" t="s">
        <v>2129</v>
      </c>
      <c r="AC390" s="8" t="str">
        <f>HYPERLINK("https://drive.google.com/file/d/1GgHX8XjitgqJDjJvjJ_0v8n1f8lyq1_h/view?usp=drivesdk","Abrir_Factura")</f>
        <v>Abrir_Factura</v>
      </c>
    </row>
    <row r="391" spans="1:30" ht="12.5">
      <c r="A391" s="4">
        <v>46001.422705474542</v>
      </c>
      <c r="B391" s="5">
        <v>90124</v>
      </c>
      <c r="C391" s="5">
        <v>1143159063</v>
      </c>
      <c r="D391" s="5" t="s">
        <v>2130</v>
      </c>
      <c r="F391" s="5" t="s">
        <v>2131</v>
      </c>
      <c r="H391" s="5">
        <v>573023523898</v>
      </c>
      <c r="J391" s="5" t="s">
        <v>2132</v>
      </c>
      <c r="K391" s="5" t="s">
        <v>63</v>
      </c>
      <c r="L391" s="5" t="s">
        <v>2133</v>
      </c>
      <c r="M391" s="5">
        <v>3023523898</v>
      </c>
      <c r="N391" s="6">
        <v>46001</v>
      </c>
      <c r="O391" s="7">
        <v>0.50694444444444442</v>
      </c>
      <c r="P391" s="5">
        <v>1</v>
      </c>
      <c r="Q391" s="5" t="s">
        <v>309</v>
      </c>
      <c r="R391" s="5">
        <v>80000</v>
      </c>
      <c r="S391" s="5">
        <v>0</v>
      </c>
      <c r="T391" s="5">
        <v>17000</v>
      </c>
      <c r="U391" s="5">
        <v>97000</v>
      </c>
      <c r="W391" s="5" t="s">
        <v>36</v>
      </c>
      <c r="X391" s="5" t="s">
        <v>83</v>
      </c>
      <c r="Y391" s="5" t="s">
        <v>24</v>
      </c>
      <c r="AA391" s="5" t="s">
        <v>44</v>
      </c>
      <c r="AC391" s="8" t="str">
        <f>HYPERLINK("https://drive.google.com/file/d/1JFFkWQfcJrkuFD3Nq6MrUMZOKyYWB3lS/view?usp=drivesdk","Abrir_Factura")</f>
        <v>Abrir_Factura</v>
      </c>
    </row>
    <row r="392" spans="1:30" ht="12.5">
      <c r="A392" s="4">
        <v>46001.414339826384</v>
      </c>
      <c r="B392" s="5">
        <v>90125</v>
      </c>
      <c r="C392" s="5">
        <v>1002011993</v>
      </c>
      <c r="D392" s="5" t="s">
        <v>2134</v>
      </c>
      <c r="F392" s="5" t="s">
        <v>2135</v>
      </c>
      <c r="H392" s="5">
        <v>573014459144</v>
      </c>
      <c r="J392" s="5" t="s">
        <v>2136</v>
      </c>
      <c r="K392" s="5" t="s">
        <v>1504</v>
      </c>
      <c r="L392" s="5" t="s">
        <v>2137</v>
      </c>
      <c r="M392" s="5">
        <v>3014459144</v>
      </c>
      <c r="N392" s="6">
        <v>46003</v>
      </c>
      <c r="O392" s="7">
        <v>0.39583333333333331</v>
      </c>
      <c r="P392" s="5">
        <v>1</v>
      </c>
      <c r="Q392" s="5" t="s">
        <v>178</v>
      </c>
      <c r="R392" s="5">
        <v>100000</v>
      </c>
      <c r="S392" s="5">
        <v>0</v>
      </c>
      <c r="T392" s="5">
        <v>15000</v>
      </c>
      <c r="U392" s="5">
        <v>115000</v>
      </c>
      <c r="V392" s="5" t="s">
        <v>2138</v>
      </c>
      <c r="W392" s="5" t="s">
        <v>36</v>
      </c>
      <c r="X392" s="5" t="s">
        <v>83</v>
      </c>
      <c r="Y392" s="5" t="s">
        <v>24</v>
      </c>
      <c r="Z392" s="5" t="s">
        <v>2139</v>
      </c>
      <c r="AA392" s="5" t="s">
        <v>69</v>
      </c>
      <c r="AC392" s="8" t="str">
        <f>HYPERLINK("https://drive.google.com/file/d/1og35x1iukfYmwl0F5stnB3jSU10c5NBL/view?usp=drivesdk","Abrir_Factura")</f>
        <v>Abrir_Factura</v>
      </c>
    </row>
    <row r="393" spans="1:30" ht="12.5">
      <c r="A393" s="4">
        <v>46001.433714652776</v>
      </c>
      <c r="B393" s="5">
        <v>90126</v>
      </c>
      <c r="C393" s="5">
        <v>1047337186</v>
      </c>
      <c r="D393" s="5" t="s">
        <v>46</v>
      </c>
      <c r="F393" s="5" t="s">
        <v>2140</v>
      </c>
      <c r="H393" s="5">
        <v>573216569116</v>
      </c>
      <c r="J393" s="5" t="s">
        <v>2141</v>
      </c>
      <c r="K393" s="5" t="s">
        <v>33</v>
      </c>
      <c r="L393" s="5" t="s">
        <v>34</v>
      </c>
      <c r="M393" s="5">
        <v>3216569116</v>
      </c>
      <c r="N393" s="6">
        <v>46001</v>
      </c>
      <c r="O393" s="7">
        <v>0.51875000000000004</v>
      </c>
      <c r="P393" s="5">
        <v>1</v>
      </c>
      <c r="Q393" s="5" t="s">
        <v>380</v>
      </c>
      <c r="R393" s="5">
        <v>300000</v>
      </c>
      <c r="S393" s="5">
        <v>0</v>
      </c>
      <c r="T393" s="5">
        <v>0</v>
      </c>
      <c r="U393" s="5">
        <v>300000</v>
      </c>
      <c r="V393" s="5" t="s">
        <v>2142</v>
      </c>
      <c r="W393" s="5" t="s">
        <v>36</v>
      </c>
      <c r="X393" s="5" t="s">
        <v>83</v>
      </c>
      <c r="Y393" s="5" t="s">
        <v>24</v>
      </c>
      <c r="Z393" s="5" t="s">
        <v>2143</v>
      </c>
      <c r="AA393" s="5" t="s">
        <v>69</v>
      </c>
      <c r="AC393" s="8" t="str">
        <f>HYPERLINK("https://drive.google.com/file/d/1masyMznfVmjPer17kTL4f_lYWby46IxJ/view?usp=drivesdk","Abrir_Factura")</f>
        <v>Abrir_Factura</v>
      </c>
    </row>
    <row r="394" spans="1:30" ht="12.5">
      <c r="A394" s="4">
        <v>46001.417215995374</v>
      </c>
      <c r="B394" s="5">
        <v>90127</v>
      </c>
      <c r="C394" s="5">
        <v>80423394</v>
      </c>
      <c r="D394" s="5" t="s">
        <v>1513</v>
      </c>
      <c r="F394" s="5" t="s">
        <v>2144</v>
      </c>
      <c r="H394" s="5">
        <v>573102997207</v>
      </c>
      <c r="J394" s="5" t="s">
        <v>2145</v>
      </c>
      <c r="K394" s="5" t="s">
        <v>307</v>
      </c>
      <c r="L394" s="5" t="s">
        <v>2146</v>
      </c>
      <c r="M394" s="5">
        <v>3102997207</v>
      </c>
      <c r="N394" s="6">
        <v>46002</v>
      </c>
      <c r="O394" s="7">
        <v>0.41666666666666669</v>
      </c>
      <c r="P394" s="5">
        <v>1</v>
      </c>
      <c r="Q394" s="5" t="s">
        <v>435</v>
      </c>
      <c r="R394" s="5">
        <v>60000</v>
      </c>
      <c r="S394" s="5">
        <v>0</v>
      </c>
      <c r="T394" s="5">
        <v>10000</v>
      </c>
      <c r="U394" s="5">
        <v>70000</v>
      </c>
      <c r="V394" s="5" t="s">
        <v>2147</v>
      </c>
      <c r="W394" s="5" t="s">
        <v>36</v>
      </c>
      <c r="X394" s="5" t="s">
        <v>1937</v>
      </c>
      <c r="Y394" s="5" t="s">
        <v>24</v>
      </c>
      <c r="Z394" s="5" t="s">
        <v>2148</v>
      </c>
      <c r="AA394" s="5" t="s">
        <v>44</v>
      </c>
      <c r="AC394" s="8" t="str">
        <f>HYPERLINK("https://drive.google.com/file/d/1-XbdZce4U_2TBZmGekotpD67E8cj7ihZ/view?usp=drivesdk","Abrir_Factura")</f>
        <v>Abrir_Factura</v>
      </c>
    </row>
    <row r="395" spans="1:30" ht="12.5">
      <c r="A395" s="4">
        <v>46001.45341850695</v>
      </c>
      <c r="B395" s="5">
        <v>90128</v>
      </c>
      <c r="C395" s="5">
        <v>53125286</v>
      </c>
      <c r="D395" s="5" t="s">
        <v>1173</v>
      </c>
      <c r="F395" s="5" t="s">
        <v>2149</v>
      </c>
      <c r="H395" s="5">
        <v>570000</v>
      </c>
      <c r="J395" s="5" t="s">
        <v>2150</v>
      </c>
      <c r="K395" s="5" t="s">
        <v>33</v>
      </c>
      <c r="L395" s="5" t="s">
        <v>34</v>
      </c>
      <c r="M395" s="5">
        <v>0</v>
      </c>
      <c r="N395" s="6">
        <v>46001</v>
      </c>
      <c r="O395" s="7">
        <v>0.53888888888888886</v>
      </c>
      <c r="P395" s="5">
        <v>1</v>
      </c>
      <c r="Q395" s="5" t="s">
        <v>42</v>
      </c>
      <c r="R395" s="5">
        <v>980000</v>
      </c>
      <c r="S395" s="5">
        <v>0</v>
      </c>
      <c r="T395" s="5">
        <v>0</v>
      </c>
      <c r="U395" s="5">
        <v>980000</v>
      </c>
      <c r="W395" s="5" t="s">
        <v>36</v>
      </c>
      <c r="X395" s="5" t="s">
        <v>2151</v>
      </c>
      <c r="Y395" s="5" t="s">
        <v>24</v>
      </c>
      <c r="Z395" s="5"/>
      <c r="AA395" s="5" t="s">
        <v>44</v>
      </c>
      <c r="AB395" s="5" t="s">
        <v>2152</v>
      </c>
      <c r="AC395" s="8" t="str">
        <f>HYPERLINK("https://drive.google.com/file/d/1XGP_s_LjEvI-ku_IoZv2fgdhvAlEq1m8/view?usp=drivesdk", "Abrir Factura")</f>
        <v>Abrir Factura</v>
      </c>
    </row>
    <row r="396" spans="1:30" ht="12.5">
      <c r="A396" s="4">
        <v>46001.439562534724</v>
      </c>
      <c r="B396" s="5">
        <v>90129</v>
      </c>
      <c r="C396" s="5">
        <v>1140835866</v>
      </c>
      <c r="D396" s="5" t="s">
        <v>825</v>
      </c>
      <c r="F396" s="5" t="s">
        <v>2153</v>
      </c>
      <c r="H396" s="5">
        <v>573218151708</v>
      </c>
      <c r="J396" s="5" t="s">
        <v>2154</v>
      </c>
      <c r="K396" s="5" t="s">
        <v>964</v>
      </c>
      <c r="L396" s="5" t="s">
        <v>2155</v>
      </c>
      <c r="M396" s="5">
        <v>3176463957</v>
      </c>
      <c r="N396" s="6">
        <v>46001</v>
      </c>
      <c r="O396" s="7">
        <v>0.52569444444444446</v>
      </c>
      <c r="P396" s="5">
        <v>1</v>
      </c>
      <c r="Q396" s="5" t="s">
        <v>96</v>
      </c>
      <c r="R396" s="5">
        <v>220000</v>
      </c>
      <c r="S396" s="5">
        <v>0</v>
      </c>
      <c r="T396" s="5">
        <v>12000</v>
      </c>
      <c r="U396" s="5">
        <v>232000</v>
      </c>
      <c r="V396" s="5" t="s">
        <v>2156</v>
      </c>
      <c r="W396" s="5" t="s">
        <v>36</v>
      </c>
      <c r="X396" s="5" t="s">
        <v>1937</v>
      </c>
      <c r="Y396" s="5" t="s">
        <v>24</v>
      </c>
      <c r="Z396" s="5" t="s">
        <v>2157</v>
      </c>
      <c r="AA396" s="5" t="s">
        <v>69</v>
      </c>
      <c r="AC396" s="8" t="str">
        <f>HYPERLINK("https://drive.google.com/file/d/1TZuNIsA9J6qrmwEUtlcYQCNcW7tqqKxR/view?usp=drivesdk","Abrir_Factura")</f>
        <v>Abrir_Factura</v>
      </c>
    </row>
    <row r="397" spans="1:30" ht="12.5">
      <c r="A397" s="4">
        <v>46001.490846828703</v>
      </c>
      <c r="B397" s="5">
        <v>90130</v>
      </c>
      <c r="C397" s="5">
        <v>9012554124</v>
      </c>
      <c r="D397" s="5" t="s">
        <v>2158</v>
      </c>
      <c r="F397" s="5" t="s">
        <v>2159</v>
      </c>
      <c r="H397" s="5">
        <v>573015379941</v>
      </c>
      <c r="J397" s="5" t="s">
        <v>2160</v>
      </c>
      <c r="K397" s="5" t="s">
        <v>63</v>
      </c>
      <c r="L397" s="5" t="s">
        <v>2161</v>
      </c>
      <c r="M397" s="5"/>
      <c r="N397" s="6">
        <v>46002</v>
      </c>
      <c r="O397" s="7">
        <v>0.42638888888888887</v>
      </c>
      <c r="P397" s="5">
        <v>1</v>
      </c>
      <c r="Q397" s="5" t="s">
        <v>2162</v>
      </c>
      <c r="R397" s="5">
        <v>350000</v>
      </c>
      <c r="S397" s="5">
        <v>68400</v>
      </c>
      <c r="T397" s="5">
        <v>17000</v>
      </c>
      <c r="U397" s="5">
        <v>435400</v>
      </c>
      <c r="V397" s="5"/>
      <c r="W397" s="5" t="s">
        <v>36</v>
      </c>
      <c r="X397" s="5" t="s">
        <v>2163</v>
      </c>
      <c r="Y397" s="5" t="s">
        <v>24</v>
      </c>
      <c r="AA397" s="5" t="s">
        <v>44</v>
      </c>
      <c r="AB397" s="5" t="s">
        <v>2164</v>
      </c>
      <c r="AC397" s="8" t="str">
        <f>HYPERLINK("https://drive.google.com/file/d/1Mx_-lC27lj5lHcqR1CnaPJrxzHgW1cAs/view?usp=drivesdk","Abrir_Factura")</f>
        <v>Abrir_Factura</v>
      </c>
      <c r="AD397" s="9">
        <v>46001.492824074077</v>
      </c>
    </row>
    <row r="398" spans="1:30" ht="12.5">
      <c r="A398" s="4">
        <v>46001.431196793987</v>
      </c>
      <c r="B398" s="5">
        <v>90131</v>
      </c>
      <c r="C398" s="5">
        <v>1065574950</v>
      </c>
      <c r="D398" s="5" t="s">
        <v>2165</v>
      </c>
      <c r="F398" s="5" t="s">
        <v>2166</v>
      </c>
      <c r="H398" s="5">
        <v>573005668210</v>
      </c>
      <c r="J398" s="5" t="s">
        <v>2167</v>
      </c>
      <c r="K398" s="5" t="s">
        <v>124</v>
      </c>
      <c r="L398" s="5" t="s">
        <v>2168</v>
      </c>
      <c r="M398" s="5">
        <v>3008438060</v>
      </c>
      <c r="N398" s="6">
        <v>46001</v>
      </c>
      <c r="O398" s="7">
        <v>0.66666666666666663</v>
      </c>
      <c r="P398" s="5">
        <v>1</v>
      </c>
      <c r="Q398" s="5" t="s">
        <v>2169</v>
      </c>
      <c r="R398" s="5">
        <v>96500</v>
      </c>
      <c r="S398" s="5">
        <v>0</v>
      </c>
      <c r="T398" s="5">
        <v>12000</v>
      </c>
      <c r="U398" s="5">
        <v>108500</v>
      </c>
      <c r="V398" s="5" t="s">
        <v>2170</v>
      </c>
      <c r="W398" s="5" t="s">
        <v>36</v>
      </c>
      <c r="X398" s="5" t="s">
        <v>83</v>
      </c>
      <c r="Y398" s="5" t="s">
        <v>24</v>
      </c>
      <c r="Z398" s="5" t="s">
        <v>2171</v>
      </c>
      <c r="AA398" s="5" t="s">
        <v>44</v>
      </c>
      <c r="AC398" s="8" t="str">
        <f>HYPERLINK("https://drive.google.com/file/d/1I1RErzLqkHq3E5LvBYWya-d8ezRTYsN5/view?usp=drivesdk","Abrir_Factura")</f>
        <v>Abrir_Factura</v>
      </c>
      <c r="AD398" s="9">
        <v>46001.498749999999</v>
      </c>
    </row>
    <row r="399" spans="1:30" ht="12.5">
      <c r="A399" s="4">
        <v>46001.535624861106</v>
      </c>
      <c r="B399" s="5">
        <v>90132</v>
      </c>
      <c r="C399" s="5">
        <v>901001147</v>
      </c>
      <c r="D399" s="5" t="s">
        <v>2172</v>
      </c>
      <c r="F399" s="5" t="s">
        <v>2173</v>
      </c>
      <c r="H399" s="5">
        <v>573003006459</v>
      </c>
      <c r="J399" s="5" t="s">
        <v>2174</v>
      </c>
      <c r="K399" s="5" t="s">
        <v>33</v>
      </c>
      <c r="L399" s="5" t="s">
        <v>33</v>
      </c>
      <c r="M399" s="5">
        <v>3004879641</v>
      </c>
      <c r="N399" s="6">
        <v>46001</v>
      </c>
      <c r="O399" s="7">
        <v>0.61805555555555558</v>
      </c>
      <c r="P399" s="5">
        <v>1</v>
      </c>
      <c r="Q399" s="5" t="s">
        <v>42</v>
      </c>
      <c r="R399" s="5">
        <v>238000</v>
      </c>
      <c r="S399" s="5">
        <v>0</v>
      </c>
      <c r="T399" s="5">
        <v>0</v>
      </c>
      <c r="U399" s="5">
        <v>238000</v>
      </c>
      <c r="V399" s="5" t="s">
        <v>2175</v>
      </c>
      <c r="W399" s="5" t="s">
        <v>36</v>
      </c>
      <c r="X399" s="5" t="s">
        <v>2163</v>
      </c>
      <c r="Y399" s="5" t="s">
        <v>24</v>
      </c>
      <c r="Z399" s="5" t="s">
        <v>2176</v>
      </c>
      <c r="AA399" s="5" t="s">
        <v>69</v>
      </c>
      <c r="AB399" s="5" t="s">
        <v>2177</v>
      </c>
      <c r="AC399" s="8" t="str">
        <f>HYPERLINK("https://drive.google.com/file/d/1PUQtEBc0BXkmJwFhsnZ_wDDUwBTuYlSa/view?usp=drivesdk","Abrir_Factura")</f>
        <v>Abrir_Factura</v>
      </c>
      <c r="AD399" s="9">
        <v>46001.550057870372</v>
      </c>
    </row>
    <row r="400" spans="1:30" ht="12.5">
      <c r="A400" s="4">
        <v>46001.551316296296</v>
      </c>
      <c r="B400" s="5">
        <v>90133</v>
      </c>
      <c r="C400" s="5">
        <v>900467904</v>
      </c>
      <c r="D400" s="5" t="s">
        <v>2178</v>
      </c>
      <c r="F400" s="5" t="s">
        <v>2159</v>
      </c>
      <c r="H400" s="5">
        <v>573015669546</v>
      </c>
      <c r="J400" s="5" t="s">
        <v>2178</v>
      </c>
      <c r="K400" s="5" t="s">
        <v>33</v>
      </c>
      <c r="L400" s="5" t="s">
        <v>34</v>
      </c>
      <c r="M400" s="5" t="s">
        <v>25421</v>
      </c>
      <c r="N400" s="6">
        <v>46001</v>
      </c>
      <c r="O400" s="7">
        <v>0.63541666666666663</v>
      </c>
      <c r="P400" s="5">
        <v>1</v>
      </c>
      <c r="Q400" s="5" t="s">
        <v>42</v>
      </c>
      <c r="R400" s="5">
        <v>223720</v>
      </c>
      <c r="S400" s="5">
        <v>0</v>
      </c>
      <c r="T400" s="5">
        <v>0</v>
      </c>
      <c r="U400" s="5">
        <v>223720</v>
      </c>
      <c r="W400" s="5" t="s">
        <v>36</v>
      </c>
      <c r="X400" s="5" t="s">
        <v>43</v>
      </c>
      <c r="Y400" s="5" t="s">
        <v>24</v>
      </c>
      <c r="AA400" s="5" t="s">
        <v>44</v>
      </c>
      <c r="AB400" s="5" t="s">
        <v>2179</v>
      </c>
      <c r="AC400" s="8" t="str">
        <f>HYPERLINK("https://drive.google.com/file/d/1wJxZ_p-A74Vp4NKS9GxKoHc50ZJdbHqD/view?usp=drivesdk","Abrir_Factura")</f>
        <v>Abrir_Factura</v>
      </c>
      <c r="AD400" s="9">
        <v>46001.55641203704</v>
      </c>
    </row>
    <row r="401" spans="1:30" ht="12.5">
      <c r="A401" s="4">
        <v>46000.881332893521</v>
      </c>
      <c r="B401" s="5">
        <v>90134</v>
      </c>
      <c r="C401" s="5">
        <v>1140849945</v>
      </c>
      <c r="D401" s="5" t="s">
        <v>2180</v>
      </c>
      <c r="F401" s="5" t="s">
        <v>2181</v>
      </c>
      <c r="H401" s="5">
        <v>573122120148</v>
      </c>
      <c r="J401" s="5" t="s">
        <v>2182</v>
      </c>
      <c r="K401" s="5" t="s">
        <v>185</v>
      </c>
      <c r="L401" s="5" t="s">
        <v>2183</v>
      </c>
      <c r="M401" s="5">
        <v>3122120248</v>
      </c>
      <c r="N401" s="6">
        <v>46002</v>
      </c>
      <c r="O401" s="7">
        <v>0.47916666666666669</v>
      </c>
      <c r="P401" s="5">
        <v>1</v>
      </c>
      <c r="Q401" s="5" t="s">
        <v>309</v>
      </c>
      <c r="R401" s="5">
        <v>80000</v>
      </c>
      <c r="S401" s="5">
        <v>0</v>
      </c>
      <c r="T401" s="5">
        <v>8000</v>
      </c>
      <c r="U401" s="5">
        <v>88000</v>
      </c>
      <c r="V401" s="5" t="s">
        <v>2184</v>
      </c>
      <c r="W401" s="5" t="s">
        <v>36</v>
      </c>
      <c r="X401" s="5" t="s">
        <v>1937</v>
      </c>
      <c r="Y401" s="5" t="s">
        <v>24</v>
      </c>
      <c r="Z401" s="5" t="s">
        <v>2185</v>
      </c>
      <c r="AA401" s="5" t="s">
        <v>44</v>
      </c>
      <c r="AC401" s="8" t="str">
        <f>HYPERLINK("https://drive.google.com/file/d/1Rthm6kZHBmjf6QjOecW54_rKDMuerDoj/view?usp=drivesdk","Abrir_Factura")</f>
        <v>Abrir_Factura</v>
      </c>
      <c r="AD401" s="9">
        <v>46001.559594907405</v>
      </c>
    </row>
    <row r="402" spans="1:30" ht="12.5">
      <c r="A402" s="4">
        <v>46001.579061689816</v>
      </c>
      <c r="B402" s="5">
        <v>90135</v>
      </c>
      <c r="C402" s="5">
        <v>2407582260</v>
      </c>
      <c r="D402" s="5" t="s">
        <v>2186</v>
      </c>
      <c r="F402" s="5" t="s">
        <v>31</v>
      </c>
      <c r="H402" s="5">
        <v>572407582260</v>
      </c>
      <c r="J402" s="5" t="s">
        <v>2186</v>
      </c>
      <c r="K402" s="5" t="s">
        <v>33</v>
      </c>
      <c r="L402" s="5" t="s">
        <v>34</v>
      </c>
      <c r="N402" s="6">
        <v>46001</v>
      </c>
      <c r="O402" s="7">
        <v>0.66319444444444442</v>
      </c>
      <c r="P402" s="5">
        <v>1</v>
      </c>
      <c r="Q402" s="5" t="s">
        <v>178</v>
      </c>
      <c r="R402" s="5">
        <v>100000</v>
      </c>
      <c r="S402" s="5">
        <v>0</v>
      </c>
      <c r="T402" s="5">
        <v>0</v>
      </c>
      <c r="U402" s="5">
        <v>100000</v>
      </c>
      <c r="W402" s="5" t="s">
        <v>36</v>
      </c>
      <c r="X402" s="5" t="s">
        <v>43</v>
      </c>
      <c r="Y402" s="5" t="s">
        <v>24</v>
      </c>
      <c r="AA402" s="5" t="s">
        <v>37</v>
      </c>
      <c r="AC402" s="8" t="str">
        <f>HYPERLINK("https://drive.google.com/file/d/1o3HbFOf5NSLzYMt_Gw5lFmt40J2a9r8T/view?usp=drivesdk", "Abrir_Factura")</f>
        <v>Abrir_Factura</v>
      </c>
      <c r="AD402" s="9">
        <v>46001.581956018519</v>
      </c>
    </row>
    <row r="403" spans="1:30" ht="12.5">
      <c r="A403" s="4">
        <v>46001.577348495368</v>
      </c>
      <c r="B403" s="5">
        <v>90136</v>
      </c>
      <c r="C403" s="5">
        <v>1007263531</v>
      </c>
      <c r="D403" s="5" t="s">
        <v>2187</v>
      </c>
      <c r="F403" s="5" t="s">
        <v>992</v>
      </c>
      <c r="H403" s="5">
        <v>573182778929</v>
      </c>
      <c r="J403" s="5" t="s">
        <v>2188</v>
      </c>
      <c r="K403" s="5" t="s">
        <v>73</v>
      </c>
      <c r="L403" s="5" t="s">
        <v>2189</v>
      </c>
      <c r="M403" s="5">
        <v>3182778929</v>
      </c>
      <c r="N403" s="6">
        <v>46005</v>
      </c>
      <c r="O403" s="7">
        <v>0.375</v>
      </c>
      <c r="P403" s="5">
        <v>1</v>
      </c>
      <c r="Q403" s="5" t="s">
        <v>75</v>
      </c>
      <c r="R403" s="5">
        <v>70000</v>
      </c>
      <c r="S403" s="5">
        <v>0</v>
      </c>
      <c r="T403" s="5">
        <v>8000</v>
      </c>
      <c r="U403" s="5">
        <v>78000</v>
      </c>
      <c r="V403" s="5" t="s">
        <v>2190</v>
      </c>
      <c r="W403" s="5" t="s">
        <v>36</v>
      </c>
      <c r="X403" s="5" t="s">
        <v>83</v>
      </c>
      <c r="Y403" s="5" t="s">
        <v>24</v>
      </c>
      <c r="AA403" s="5" t="s">
        <v>44</v>
      </c>
      <c r="AC403" s="8" t="str">
        <f>HYPERLINK("https://drive.google.com/file/d/17J5gpfKtxCoptuveF-HB_yYZxJZ6Jdgl/view?usp=drivesdk","Abrir_Factura")</f>
        <v>Abrir_Factura</v>
      </c>
      <c r="AD403" s="9">
        <v>46001.588726851849</v>
      </c>
    </row>
    <row r="404" spans="1:30" ht="12.5">
      <c r="A404" s="4">
        <v>46001.51353783565</v>
      </c>
      <c r="B404" s="5">
        <v>90137</v>
      </c>
      <c r="C404" s="5">
        <v>22478611</v>
      </c>
      <c r="D404" s="5" t="s">
        <v>2191</v>
      </c>
      <c r="F404" s="5" t="s">
        <v>2192</v>
      </c>
      <c r="H404" s="5">
        <v>573007335753</v>
      </c>
      <c r="J404" s="5" t="s">
        <v>2193</v>
      </c>
      <c r="K404" s="5" t="s">
        <v>185</v>
      </c>
      <c r="L404" s="5" t="s">
        <v>2194</v>
      </c>
      <c r="M404" s="5">
        <v>3106327782</v>
      </c>
      <c r="N404" s="6">
        <v>46002</v>
      </c>
      <c r="O404" s="7">
        <v>0.59722222222222221</v>
      </c>
      <c r="P404" s="5">
        <v>1</v>
      </c>
      <c r="Q404" s="5" t="s">
        <v>187</v>
      </c>
      <c r="R404" s="5">
        <v>200000</v>
      </c>
      <c r="S404" s="5">
        <v>0</v>
      </c>
      <c r="T404" s="5">
        <v>8000</v>
      </c>
      <c r="U404" s="5">
        <v>208000</v>
      </c>
      <c r="V404" s="5" t="s">
        <v>2195</v>
      </c>
      <c r="W404" s="5" t="s">
        <v>36</v>
      </c>
      <c r="X404" s="5" t="s">
        <v>83</v>
      </c>
      <c r="Y404" s="5" t="s">
        <v>24</v>
      </c>
      <c r="Z404" s="5" t="s">
        <v>2196</v>
      </c>
      <c r="AA404" s="5" t="s">
        <v>44</v>
      </c>
      <c r="AC404" s="8" t="str">
        <f>HYPERLINK("https://drive.google.com/file/d/1B0s96ocEXi0ZdMjWWYhHXpG1WmsDQqbV/view?usp=drivesdk","Abrir_Factura")</f>
        <v>Abrir_Factura</v>
      </c>
      <c r="AD404" s="9">
        <v>46001.60765046296</v>
      </c>
    </row>
    <row r="405" spans="1:30" ht="12.5">
      <c r="A405" s="4">
        <v>46001.600054618058</v>
      </c>
      <c r="B405" s="5">
        <v>90138</v>
      </c>
      <c r="C405" s="5">
        <v>1140869145</v>
      </c>
      <c r="D405" s="5" t="s">
        <v>665</v>
      </c>
      <c r="F405" s="5" t="s">
        <v>399</v>
      </c>
      <c r="H405" s="5">
        <v>573157661816</v>
      </c>
      <c r="J405" s="5" t="s">
        <v>2197</v>
      </c>
      <c r="K405" s="5" t="s">
        <v>161</v>
      </c>
      <c r="L405" s="5" t="s">
        <v>2198</v>
      </c>
      <c r="M405" s="5">
        <v>3157661817</v>
      </c>
      <c r="N405" s="6">
        <v>46002</v>
      </c>
      <c r="O405" s="7">
        <v>0.41666666666666669</v>
      </c>
      <c r="P405" s="5">
        <v>1</v>
      </c>
      <c r="Q405" s="5" t="s">
        <v>89</v>
      </c>
      <c r="R405" s="5">
        <v>150000</v>
      </c>
      <c r="S405" s="5">
        <v>0</v>
      </c>
      <c r="T405" s="5">
        <v>8000</v>
      </c>
      <c r="U405" s="5">
        <v>158000</v>
      </c>
      <c r="V405" s="5" t="s">
        <v>2199</v>
      </c>
      <c r="W405" s="5" t="s">
        <v>36</v>
      </c>
      <c r="X405" s="5" t="s">
        <v>83</v>
      </c>
      <c r="Y405" s="5" t="s">
        <v>24</v>
      </c>
      <c r="Z405" s="5" t="s">
        <v>2200</v>
      </c>
      <c r="AA405" s="5" t="s">
        <v>44</v>
      </c>
      <c r="AC405" s="8" t="str">
        <f>HYPERLINK("https://drive.google.com/file/d/1ekcQxqvJNeFmmvzTcfD_ro1Xo3Bk_s-p/view?usp=drivesdk","Abrir_Factura")</f>
        <v>Abrir_Factura</v>
      </c>
      <c r="AD405" s="9">
        <v>46001.609930555554</v>
      </c>
    </row>
    <row r="406" spans="1:30" ht="12.5">
      <c r="A406" s="4">
        <v>46001.589549259261</v>
      </c>
      <c r="B406" s="5">
        <v>90139</v>
      </c>
      <c r="C406" s="5">
        <v>901888751</v>
      </c>
      <c r="D406" s="5" t="s">
        <v>2201</v>
      </c>
      <c r="F406" s="5" t="s">
        <v>2202</v>
      </c>
      <c r="H406" s="5">
        <v>573204899499</v>
      </c>
      <c r="J406" s="5" t="s">
        <v>2203</v>
      </c>
      <c r="K406" s="5" t="s">
        <v>73</v>
      </c>
      <c r="L406" s="5" t="s">
        <v>2204</v>
      </c>
      <c r="M406" s="5">
        <v>3204899499</v>
      </c>
      <c r="N406" s="6">
        <v>46001</v>
      </c>
      <c r="O406" s="7">
        <v>0.6743055555555556</v>
      </c>
      <c r="P406" s="5">
        <v>1</v>
      </c>
      <c r="Q406" s="5" t="s">
        <v>2205</v>
      </c>
      <c r="R406" s="5">
        <v>200000</v>
      </c>
      <c r="S406" s="5">
        <v>38000</v>
      </c>
      <c r="T406" s="5">
        <v>8000</v>
      </c>
      <c r="U406" s="5">
        <v>246000</v>
      </c>
      <c r="V406" s="5" t="s">
        <v>2206</v>
      </c>
      <c r="W406" s="5" t="s">
        <v>36</v>
      </c>
      <c r="X406" s="5" t="s">
        <v>67</v>
      </c>
      <c r="Y406" s="5" t="s">
        <v>24</v>
      </c>
      <c r="Z406" s="5" t="s">
        <v>2207</v>
      </c>
      <c r="AA406" s="5" t="s">
        <v>69</v>
      </c>
      <c r="AB406" s="5" t="s">
        <v>2208</v>
      </c>
      <c r="AC406" s="8" t="str">
        <f>HYPERLINK("https://drive.google.com/file/d/1F-k7NsrAKGPL6gFzQC2gIgu9ic2a3fkV/view?usp=drivesdk","Abrir_Factura")</f>
        <v>Abrir_Factura</v>
      </c>
      <c r="AD406" s="9">
        <v>46001.615624999999</v>
      </c>
    </row>
    <row r="407" spans="1:30" ht="12.5">
      <c r="A407" s="4">
        <v>46001.622476412042</v>
      </c>
      <c r="B407" s="5">
        <v>90140</v>
      </c>
      <c r="C407" s="5">
        <v>1029720257</v>
      </c>
      <c r="D407" s="5" t="s">
        <v>2209</v>
      </c>
      <c r="F407" s="5" t="s">
        <v>2210</v>
      </c>
      <c r="H407" s="5">
        <v>573177320217</v>
      </c>
      <c r="J407" s="5" t="s">
        <v>2211</v>
      </c>
      <c r="K407" s="5" t="s">
        <v>154</v>
      </c>
      <c r="L407" s="5" t="s">
        <v>2212</v>
      </c>
      <c r="M407" s="5">
        <v>3216162586</v>
      </c>
      <c r="N407" s="6">
        <v>46001</v>
      </c>
      <c r="O407" s="7">
        <v>0.70625000000000004</v>
      </c>
      <c r="P407" s="5">
        <v>1</v>
      </c>
      <c r="Q407" s="5" t="s">
        <v>559</v>
      </c>
      <c r="R407" s="5">
        <v>90000</v>
      </c>
      <c r="S407" s="5">
        <v>0</v>
      </c>
      <c r="T407" s="5">
        <v>8000</v>
      </c>
      <c r="U407" s="5">
        <v>98000</v>
      </c>
      <c r="V407" s="5" t="s">
        <v>2213</v>
      </c>
      <c r="W407" s="5" t="s">
        <v>36</v>
      </c>
      <c r="X407" s="5" t="s">
        <v>1937</v>
      </c>
      <c r="Y407" s="5" t="s">
        <v>24</v>
      </c>
      <c r="Z407" s="5" t="s">
        <v>2214</v>
      </c>
      <c r="AA407" s="5" t="s">
        <v>44</v>
      </c>
      <c r="AC407" s="8" t="str">
        <f>HYPERLINK("https://drive.google.com/file/d/1bAx3JUh1tZdFjTHz7HW92eMNGR4plHOy/view?usp=drivesdk","Abrir_Factura")</f>
        <v>Abrir_Factura</v>
      </c>
      <c r="AD407" s="9">
        <v>46001.629837962966</v>
      </c>
    </row>
    <row r="408" spans="1:30" ht="12.5">
      <c r="A408" s="4">
        <v>46001.626363738425</v>
      </c>
      <c r="B408" s="5">
        <v>90141</v>
      </c>
      <c r="C408" s="5">
        <v>72047031</v>
      </c>
      <c r="D408" s="5" t="s">
        <v>2215</v>
      </c>
      <c r="F408" s="5" t="s">
        <v>2216</v>
      </c>
      <c r="H408" s="5">
        <v>573246881935</v>
      </c>
      <c r="J408" s="5" t="s">
        <v>2217</v>
      </c>
      <c r="K408" s="5" t="s">
        <v>2218</v>
      </c>
      <c r="L408" s="5" t="s">
        <v>2219</v>
      </c>
      <c r="M408" s="5" t="s">
        <v>25421</v>
      </c>
      <c r="N408" s="6">
        <v>46002</v>
      </c>
      <c r="O408" s="7">
        <v>0.41666666666666669</v>
      </c>
      <c r="P408" s="5">
        <v>1</v>
      </c>
      <c r="Q408" s="5" t="s">
        <v>187</v>
      </c>
      <c r="R408" s="5">
        <v>210000</v>
      </c>
      <c r="S408" s="5">
        <v>0</v>
      </c>
      <c r="T408" s="5">
        <v>40000</v>
      </c>
      <c r="U408" s="5">
        <v>250000</v>
      </c>
      <c r="V408" s="5" t="s">
        <v>2220</v>
      </c>
      <c r="W408" s="5" t="s">
        <v>36</v>
      </c>
      <c r="X408" s="5" t="s">
        <v>83</v>
      </c>
      <c r="Y408" s="5" t="s">
        <v>24</v>
      </c>
      <c r="Z408" s="5" t="s">
        <v>2221</v>
      </c>
      <c r="AA408" s="5" t="s">
        <v>44</v>
      </c>
      <c r="AC408" s="8" t="str">
        <f>HYPERLINK("https://drive.google.com/file/d/1WXqAOOjiSz-f5WM9m2X-da3w08eLS-il/view?usp=drivesdk","Abrir_Factura")</f>
        <v>Abrir_Factura</v>
      </c>
      <c r="AD408" s="9">
        <v>46001.63175925926</v>
      </c>
    </row>
    <row r="409" spans="1:30" ht="12.5">
      <c r="A409" s="4">
        <v>46001.629657939819</v>
      </c>
      <c r="B409" s="5">
        <v>90142</v>
      </c>
      <c r="C409" s="5">
        <v>1124020376</v>
      </c>
      <c r="D409" s="5" t="s">
        <v>2222</v>
      </c>
      <c r="F409" s="5" t="s">
        <v>2223</v>
      </c>
      <c r="H409" s="5">
        <v>573138471335</v>
      </c>
      <c r="J409" s="5" t="s">
        <v>2224</v>
      </c>
      <c r="K409" s="5" t="s">
        <v>103</v>
      </c>
      <c r="L409" s="5" t="s">
        <v>2225</v>
      </c>
      <c r="M409" s="5">
        <v>3138471335</v>
      </c>
      <c r="N409" s="6">
        <v>46006</v>
      </c>
      <c r="O409" s="7">
        <v>0.45833333333333331</v>
      </c>
      <c r="P409" s="5">
        <v>1</v>
      </c>
      <c r="Q409" s="5" t="s">
        <v>649</v>
      </c>
      <c r="R409" s="5">
        <v>180000</v>
      </c>
      <c r="S409" s="5">
        <v>0</v>
      </c>
      <c r="T409" s="5">
        <v>10000</v>
      </c>
      <c r="U409" s="5">
        <v>190000</v>
      </c>
      <c r="V409" s="5" t="s">
        <v>2226</v>
      </c>
      <c r="W409" s="5" t="s">
        <v>36</v>
      </c>
      <c r="X409" s="5" t="s">
        <v>83</v>
      </c>
      <c r="Y409" s="5" t="s">
        <v>24</v>
      </c>
      <c r="Z409" s="5" t="s">
        <v>2227</v>
      </c>
      <c r="AA409" s="5" t="s">
        <v>44</v>
      </c>
      <c r="AC409" s="8" t="str">
        <f>HYPERLINK("https://drive.google.com/file/d/1bQ19qL83gBPBu9xTzdBnS15XwhDgy5e-/view?usp=drivesdk","Abrir_Factura")</f>
        <v>Abrir_Factura</v>
      </c>
      <c r="AD409" s="9">
        <v>46001.634155092594</v>
      </c>
    </row>
    <row r="410" spans="1:30" ht="12.5">
      <c r="A410" s="4">
        <v>46001.637947627314</v>
      </c>
      <c r="B410" s="5">
        <v>90143</v>
      </c>
      <c r="C410" s="5">
        <v>1143430016</v>
      </c>
      <c r="D410" s="5" t="s">
        <v>1798</v>
      </c>
      <c r="F410" s="5" t="s">
        <v>1827</v>
      </c>
      <c r="H410" s="5">
        <v>573046688627</v>
      </c>
      <c r="J410" s="5" t="s">
        <v>2228</v>
      </c>
      <c r="K410" s="5" t="s">
        <v>103</v>
      </c>
      <c r="L410" s="5" t="s">
        <v>2086</v>
      </c>
      <c r="N410" s="6">
        <v>46001</v>
      </c>
      <c r="O410" s="7">
        <v>0.72291666666666665</v>
      </c>
      <c r="P410" s="5">
        <v>1</v>
      </c>
      <c r="Q410" s="5" t="s">
        <v>2229</v>
      </c>
      <c r="R410" s="5">
        <v>180000</v>
      </c>
      <c r="S410" s="5">
        <v>0</v>
      </c>
      <c r="T410" s="5">
        <v>10000</v>
      </c>
      <c r="U410" s="5">
        <v>190000</v>
      </c>
      <c r="V410" s="5" t="s">
        <v>2230</v>
      </c>
      <c r="W410" s="5" t="s">
        <v>36</v>
      </c>
      <c r="X410" s="5" t="s">
        <v>83</v>
      </c>
      <c r="Y410" s="5" t="s">
        <v>24</v>
      </c>
      <c r="AA410" s="5" t="s">
        <v>44</v>
      </c>
      <c r="AC410" s="8" t="str">
        <f>HYPERLINK("https://drive.google.com/file/d/1JzpK61HQV1Jpo-uslMrtiDN8Lwo_SNx7/view?usp=drivesdk","Abrir_Factura")</f>
        <v>Abrir_Factura</v>
      </c>
      <c r="AD410" s="9">
        <v>46001.638923611114</v>
      </c>
    </row>
    <row r="411" spans="1:30" ht="12.5">
      <c r="A411" s="4">
        <v>46001.659963009261</v>
      </c>
      <c r="B411" s="5">
        <v>90144</v>
      </c>
      <c r="C411" s="5">
        <v>36623647</v>
      </c>
      <c r="D411" s="5" t="s">
        <v>2231</v>
      </c>
      <c r="F411" s="5" t="s">
        <v>2232</v>
      </c>
      <c r="H411" s="5">
        <v>573135132627</v>
      </c>
      <c r="J411" s="5" t="s">
        <v>2233</v>
      </c>
      <c r="L411" s="5" t="s">
        <v>2234</v>
      </c>
      <c r="M411" s="5">
        <v>3135132627</v>
      </c>
      <c r="N411" s="6">
        <v>46007</v>
      </c>
      <c r="O411" s="7">
        <v>0.33333333333333331</v>
      </c>
      <c r="P411" s="5">
        <v>1</v>
      </c>
      <c r="Q411" s="5" t="s">
        <v>42</v>
      </c>
      <c r="R411" s="5">
        <v>180000</v>
      </c>
      <c r="S411" s="5">
        <v>0</v>
      </c>
      <c r="T411" s="5"/>
      <c r="U411" s="5">
        <v>180000</v>
      </c>
      <c r="W411" s="5" t="s">
        <v>36</v>
      </c>
      <c r="X411" s="5" t="s">
        <v>196</v>
      </c>
      <c r="Y411" s="5" t="s">
        <v>24</v>
      </c>
      <c r="AA411" s="5" t="s">
        <v>1717</v>
      </c>
      <c r="AB411" s="5" t="s">
        <v>2235</v>
      </c>
      <c r="AC411" s="8" t="str">
        <f>HYPERLINK("https://drive.google.com/file/d/14ujvWwTMSzC3fxZxsa__U-YjXFS67pKg/view?usp=drivesdk","Abrir_Factura")</f>
        <v>Abrir_Factura</v>
      </c>
      <c r="AD411" s="9">
        <v>46001.660543981481</v>
      </c>
    </row>
    <row r="412" spans="1:30" ht="12.5">
      <c r="A412" s="4">
        <v>46001.663435625</v>
      </c>
      <c r="B412" s="5">
        <v>90145</v>
      </c>
      <c r="C412" s="5">
        <v>1129505920</v>
      </c>
      <c r="D412" s="5" t="s">
        <v>2236</v>
      </c>
      <c r="F412" s="5" t="s">
        <v>2237</v>
      </c>
      <c r="H412" s="5">
        <v>570000</v>
      </c>
      <c r="J412" s="5" t="s">
        <v>2238</v>
      </c>
      <c r="K412" s="5" t="s">
        <v>33</v>
      </c>
      <c r="L412" s="5" t="s">
        <v>34</v>
      </c>
      <c r="M412" s="5">
        <v>0</v>
      </c>
      <c r="N412" s="6">
        <v>46001</v>
      </c>
      <c r="O412" s="7">
        <v>0.74861111111111112</v>
      </c>
      <c r="P412" s="5">
        <v>1</v>
      </c>
      <c r="Q412" s="5" t="s">
        <v>210</v>
      </c>
      <c r="R412" s="5">
        <v>150000</v>
      </c>
      <c r="S412" s="5">
        <v>0</v>
      </c>
      <c r="T412" s="5">
        <v>0</v>
      </c>
      <c r="U412" s="5">
        <v>150000</v>
      </c>
      <c r="W412" s="5" t="s">
        <v>36</v>
      </c>
      <c r="X412" s="5" t="s">
        <v>196</v>
      </c>
      <c r="Y412" s="5" t="s">
        <v>24</v>
      </c>
      <c r="AA412" s="5" t="s">
        <v>1717</v>
      </c>
      <c r="AC412" s="8" t="str">
        <f>HYPERLINK("https://drive.google.com/file/d/1AvjvvsPFRKHAoYChvriQeTNuVT0D99mA/view?usp=drivesdk","Abrir_Factura")</f>
        <v>Abrir_Factura</v>
      </c>
      <c r="AD412" s="9">
        <v>46001.6637962963</v>
      </c>
    </row>
    <row r="413" spans="1:30" ht="12.5">
      <c r="A413" s="4">
        <v>46001.566441053241</v>
      </c>
      <c r="B413" s="5">
        <v>90146</v>
      </c>
      <c r="C413" s="5">
        <v>1001817877</v>
      </c>
      <c r="D413" s="5" t="s">
        <v>2239</v>
      </c>
      <c r="F413" s="5" t="s">
        <v>2240</v>
      </c>
      <c r="H413" s="5">
        <v>573004281258</v>
      </c>
      <c r="J413" s="5" t="s">
        <v>2241</v>
      </c>
      <c r="K413" s="5" t="s">
        <v>161</v>
      </c>
      <c r="L413" s="5" t="s">
        <v>2242</v>
      </c>
      <c r="M413" s="5">
        <v>3157215229</v>
      </c>
      <c r="N413" s="6">
        <v>46002</v>
      </c>
      <c r="O413" s="7">
        <v>0.29166666666666669</v>
      </c>
      <c r="P413" s="5">
        <v>1</v>
      </c>
      <c r="Q413" s="5" t="s">
        <v>2243</v>
      </c>
      <c r="R413" s="5">
        <v>272000</v>
      </c>
      <c r="S413" s="5">
        <v>0</v>
      </c>
      <c r="T413" s="5">
        <v>8000</v>
      </c>
      <c r="U413" s="5">
        <v>280000</v>
      </c>
      <c r="V413" s="5" t="s">
        <v>2244</v>
      </c>
      <c r="W413" s="5" t="s">
        <v>36</v>
      </c>
      <c r="X413" s="5" t="s">
        <v>83</v>
      </c>
      <c r="Y413" s="5" t="s">
        <v>24</v>
      </c>
      <c r="Z413" s="5" t="s">
        <v>2245</v>
      </c>
      <c r="AA413" s="5" t="s">
        <v>44</v>
      </c>
      <c r="AC413" s="8" t="str">
        <f>HYPERLINK("https://drive.google.com/file/d/1pXxO3p1dnaMMDEaFtp6k9H5F483jow1B/view?usp=drivesdk","Abrir_Factura")</f>
        <v>Abrir_Factura</v>
      </c>
      <c r="AD413" s="9">
        <v>46001.669293981482</v>
      </c>
    </row>
    <row r="414" spans="1:30" ht="12.5">
      <c r="A414" s="4">
        <v>46001.655587777779</v>
      </c>
      <c r="B414" s="5">
        <v>90147</v>
      </c>
      <c r="C414" s="5">
        <v>1140902834</v>
      </c>
      <c r="D414" s="5" t="s">
        <v>2246</v>
      </c>
      <c r="F414" s="5" t="s">
        <v>2247</v>
      </c>
      <c r="H414" s="5">
        <v>573008513485</v>
      </c>
      <c r="J414" s="5" t="s">
        <v>2248</v>
      </c>
      <c r="K414" s="5" t="s">
        <v>110</v>
      </c>
      <c r="L414" s="5" t="s">
        <v>2249</v>
      </c>
      <c r="M414" s="5">
        <v>3008513485</v>
      </c>
      <c r="N414" s="6">
        <v>46004</v>
      </c>
      <c r="O414" s="7">
        <v>0.41666666666666669</v>
      </c>
      <c r="P414" s="5">
        <v>1</v>
      </c>
      <c r="Q414" s="5" t="s">
        <v>96</v>
      </c>
      <c r="R414" s="5">
        <v>220000</v>
      </c>
      <c r="S414" s="5">
        <v>0</v>
      </c>
      <c r="T414" s="5">
        <v>6000</v>
      </c>
      <c r="U414" s="5">
        <v>226000</v>
      </c>
      <c r="V414" s="5" t="s">
        <v>2250</v>
      </c>
      <c r="W414" s="5" t="s">
        <v>36</v>
      </c>
      <c r="X414" s="5" t="s">
        <v>83</v>
      </c>
      <c r="Y414" s="5" t="s">
        <v>24</v>
      </c>
      <c r="Z414" s="5" t="s">
        <v>2251</v>
      </c>
      <c r="AA414" s="5" t="s">
        <v>69</v>
      </c>
      <c r="AC414" s="8" t="str">
        <f>HYPERLINK("https://drive.google.com/file/d/1buUmMb20PGm2HQuHefxR5UKCqusRAi8T/view?usp=drivesdk","Abrir_Factura")</f>
        <v>Abrir_Factura</v>
      </c>
      <c r="AD414" s="9">
        <v>46001.67596064815</v>
      </c>
    </row>
    <row r="415" spans="1:30" ht="12.5">
      <c r="A415" s="4">
        <v>46001.676061412036</v>
      </c>
      <c r="B415" s="5">
        <v>90148</v>
      </c>
      <c r="C415" s="5">
        <v>1047039794</v>
      </c>
      <c r="D415" s="5" t="s">
        <v>2252</v>
      </c>
      <c r="F415" s="5" t="s">
        <v>2253</v>
      </c>
      <c r="H415" s="5">
        <v>573004833797</v>
      </c>
      <c r="J415" s="5" t="s">
        <v>2254</v>
      </c>
      <c r="K415" s="5" t="s">
        <v>103</v>
      </c>
      <c r="L415" s="5" t="s">
        <v>2255</v>
      </c>
      <c r="M415" s="5">
        <v>3004833797</v>
      </c>
      <c r="N415" s="6">
        <v>46003</v>
      </c>
      <c r="O415" s="7">
        <v>0.625</v>
      </c>
      <c r="P415" s="5">
        <v>1</v>
      </c>
      <c r="Q415" s="5" t="s">
        <v>2256</v>
      </c>
      <c r="R415" s="5">
        <v>90000</v>
      </c>
      <c r="S415" s="5">
        <v>0</v>
      </c>
      <c r="T415" s="5">
        <v>10000</v>
      </c>
      <c r="U415" s="5">
        <v>100000</v>
      </c>
      <c r="V415" s="5" t="s">
        <v>2257</v>
      </c>
      <c r="W415" s="5" t="s">
        <v>36</v>
      </c>
      <c r="X415" s="5" t="s">
        <v>83</v>
      </c>
      <c r="Y415" s="5" t="s">
        <v>24</v>
      </c>
      <c r="Z415" s="5" t="s">
        <v>2258</v>
      </c>
      <c r="AA415" s="5" t="s">
        <v>44</v>
      </c>
      <c r="AB415" s="5" t="s">
        <v>2259</v>
      </c>
      <c r="AC415" s="8" t="str">
        <f>HYPERLINK("https://drive.google.com/file/d/1RoEfs7wYXzS5-efaqx94AcD3BDTphL72/view?usp=drivesdk","Abrir_Factura")</f>
        <v>Abrir_Factura</v>
      </c>
      <c r="AD415" s="9">
        <v>46001.692152777781</v>
      </c>
    </row>
    <row r="416" spans="1:30" ht="12.5">
      <c r="A416" s="4">
        <v>46001.685554340278</v>
      </c>
      <c r="B416" s="5">
        <v>90149</v>
      </c>
      <c r="C416" s="5">
        <v>1005626262</v>
      </c>
      <c r="D416" s="5" t="s">
        <v>2260</v>
      </c>
      <c r="F416" s="5" t="s">
        <v>2261</v>
      </c>
      <c r="H416" s="5">
        <v>573135807122</v>
      </c>
      <c r="J416" s="5" t="s">
        <v>2262</v>
      </c>
      <c r="K416" s="5" t="s">
        <v>2263</v>
      </c>
      <c r="L416" s="5" t="s">
        <v>1133</v>
      </c>
      <c r="M416" s="5">
        <v>3013293966</v>
      </c>
      <c r="N416" s="6">
        <v>46001</v>
      </c>
      <c r="O416" s="7">
        <v>0.77013888888888893</v>
      </c>
      <c r="P416" s="5">
        <v>1</v>
      </c>
      <c r="Q416" s="5" t="s">
        <v>2264</v>
      </c>
      <c r="R416" s="5">
        <v>200000</v>
      </c>
      <c r="S416" s="5">
        <v>0</v>
      </c>
      <c r="T416" s="5">
        <v>17000</v>
      </c>
      <c r="U416" s="5">
        <v>217000</v>
      </c>
      <c r="V416" s="5" t="s">
        <v>2265</v>
      </c>
      <c r="W416" s="5" t="s">
        <v>36</v>
      </c>
      <c r="X416" s="5" t="s">
        <v>83</v>
      </c>
      <c r="Y416" s="5" t="s">
        <v>24</v>
      </c>
      <c r="Z416" s="5" t="s">
        <v>2266</v>
      </c>
      <c r="AA416" s="5" t="s">
        <v>69</v>
      </c>
      <c r="AC416" s="8" t="str">
        <f>HYPERLINK("https://drive.google.com/file/d/1_rnO37dlcZDMRwLPQXnfhW36sny_lmN_/view?usp=drivesdk", "Abrir_Factura")</f>
        <v>Abrir_Factura</v>
      </c>
      <c r="AD416" s="9">
        <v>46001.695069444446</v>
      </c>
    </row>
    <row r="417" spans="1:30" ht="12.5">
      <c r="A417" s="4">
        <v>46001.734610648149</v>
      </c>
      <c r="B417" s="5">
        <v>90150</v>
      </c>
      <c r="C417" s="5">
        <v>72178067</v>
      </c>
      <c r="D417" s="5" t="s">
        <v>1513</v>
      </c>
      <c r="F417" s="5" t="s">
        <v>1295</v>
      </c>
      <c r="H417" s="5">
        <v>573003182878</v>
      </c>
      <c r="J417" s="5" t="s">
        <v>2267</v>
      </c>
      <c r="L417" s="5" t="s">
        <v>2268</v>
      </c>
      <c r="M417" s="5" t="s">
        <v>2269</v>
      </c>
      <c r="N417" s="6">
        <v>46002</v>
      </c>
      <c r="O417" s="7">
        <v>0.79791666666666672</v>
      </c>
      <c r="P417" s="5">
        <v>1</v>
      </c>
      <c r="Q417" s="5" t="s">
        <v>2270</v>
      </c>
      <c r="R417" s="5">
        <v>100000</v>
      </c>
      <c r="S417" s="5">
        <v>0</v>
      </c>
      <c r="T417" s="5"/>
      <c r="U417" s="5">
        <v>100000</v>
      </c>
      <c r="W417" s="5" t="s">
        <v>36</v>
      </c>
      <c r="X417" s="5" t="s">
        <v>43</v>
      </c>
      <c r="Y417" s="5" t="s">
        <v>24</v>
      </c>
      <c r="AA417" s="5" t="s">
        <v>44</v>
      </c>
      <c r="AB417" s="5" t="s">
        <v>2271</v>
      </c>
      <c r="AC417" s="8" t="str">
        <f>HYPERLINK("https://drive.google.com/file/d/1hj4ZYOM1ue4MZP3v_zscosoBW1BZh7R6/view?usp=drivesdk","Abrir_Factura")</f>
        <v>Abrir_Factura</v>
      </c>
      <c r="AD417" s="9">
        <v>46001.739849537036</v>
      </c>
    </row>
    <row r="418" spans="1:30" ht="12.5">
      <c r="A418" s="4">
        <v>46001.747585393518</v>
      </c>
      <c r="B418" s="5">
        <v>90151</v>
      </c>
      <c r="C418" s="5">
        <v>1136881264</v>
      </c>
      <c r="D418" s="5" t="s">
        <v>2272</v>
      </c>
      <c r="F418" s="5" t="s">
        <v>2273</v>
      </c>
      <c r="H418" s="5">
        <v>570000</v>
      </c>
      <c r="J418" s="5" t="s">
        <v>2274</v>
      </c>
      <c r="K418" s="5" t="s">
        <v>33</v>
      </c>
      <c r="L418" s="5" t="s">
        <v>34</v>
      </c>
      <c r="M418" s="5">
        <v>0</v>
      </c>
      <c r="N418" s="6">
        <v>46001</v>
      </c>
      <c r="O418" s="7">
        <v>0.83333333333333337</v>
      </c>
      <c r="P418" s="5">
        <v>1</v>
      </c>
      <c r="Q418" s="5" t="s">
        <v>42</v>
      </c>
      <c r="R418" s="5">
        <v>60000</v>
      </c>
      <c r="S418" s="5">
        <v>0</v>
      </c>
      <c r="T418" s="5">
        <v>0</v>
      </c>
      <c r="U418" s="5">
        <v>60000</v>
      </c>
      <c r="V418" s="5"/>
      <c r="W418" s="5" t="s">
        <v>36</v>
      </c>
      <c r="X418" s="5" t="s">
        <v>1705</v>
      </c>
      <c r="Y418" s="5" t="s">
        <v>24</v>
      </c>
      <c r="Z418" s="5"/>
      <c r="AA418" s="5" t="s">
        <v>1717</v>
      </c>
      <c r="AB418" s="5" t="s">
        <v>2275</v>
      </c>
      <c r="AC418" s="8" t="str">
        <f>HYPERLINK("https://drive.google.com/file/d/1JaoRbyz0LttoKTE_XTLa7TB-vbM1hyLE/view?usp=drivesdk", "Abrir_Factura")</f>
        <v>Abrir_Factura</v>
      </c>
      <c r="AD418" s="9">
        <v>46001.747974537036</v>
      </c>
    </row>
    <row r="419" spans="1:30" ht="12.5">
      <c r="A419" s="4">
        <v>46002.307454490743</v>
      </c>
      <c r="B419" s="5">
        <v>90152</v>
      </c>
      <c r="C419" s="5">
        <v>72193220</v>
      </c>
      <c r="D419" s="5" t="s">
        <v>2276</v>
      </c>
      <c r="F419" s="5" t="s">
        <v>2277</v>
      </c>
      <c r="H419" s="5">
        <v>573157215229</v>
      </c>
      <c r="J419" s="5" t="s">
        <v>2278</v>
      </c>
      <c r="L419" s="5" t="s">
        <v>2279</v>
      </c>
      <c r="M419" s="5" t="s">
        <v>2280</v>
      </c>
      <c r="N419" s="6">
        <v>46002</v>
      </c>
      <c r="O419" s="7">
        <v>0.3923611111111111</v>
      </c>
      <c r="P419" s="5">
        <v>1</v>
      </c>
      <c r="Q419" s="5" t="s">
        <v>42</v>
      </c>
      <c r="R419" s="5">
        <v>150000</v>
      </c>
      <c r="S419" s="5">
        <v>0</v>
      </c>
      <c r="T419" s="5"/>
      <c r="U419" s="5">
        <v>150000</v>
      </c>
      <c r="W419" s="5" t="s">
        <v>36</v>
      </c>
      <c r="X419" s="5" t="s">
        <v>43</v>
      </c>
      <c r="Y419" s="5" t="s">
        <v>24</v>
      </c>
      <c r="AA419" s="5" t="s">
        <v>44</v>
      </c>
      <c r="AB419" s="5" t="s">
        <v>2281</v>
      </c>
      <c r="AC419" s="8" t="str">
        <f>HYPERLINK("https://drive.google.com/file/d/15zJ0EW-7zZHnUTEPM6S_7m04yM2YTkQX/view?usp=drivesdk","Abrir_Factura")</f>
        <v>Abrir_Factura</v>
      </c>
      <c r="AD419" s="9">
        <v>46002.31</v>
      </c>
    </row>
    <row r="420" spans="1:30" ht="12.5">
      <c r="A420" s="4">
        <v>46002.316667476851</v>
      </c>
      <c r="B420" s="5">
        <v>90153</v>
      </c>
      <c r="C420" s="21">
        <v>55313640</v>
      </c>
      <c r="D420" s="5" t="s">
        <v>2282</v>
      </c>
      <c r="F420" s="5" t="s">
        <v>2283</v>
      </c>
      <c r="H420" s="5">
        <v>573006548603</v>
      </c>
      <c r="J420" s="5" t="s">
        <v>2284</v>
      </c>
      <c r="L420" s="5" t="s">
        <v>2285</v>
      </c>
      <c r="M420" s="5">
        <v>3006548603</v>
      </c>
      <c r="N420" s="6">
        <v>46003</v>
      </c>
      <c r="O420" s="7">
        <v>0.58333333333333337</v>
      </c>
      <c r="P420" s="5">
        <v>1</v>
      </c>
      <c r="Q420" s="5" t="s">
        <v>42</v>
      </c>
      <c r="R420" s="5">
        <v>20000</v>
      </c>
      <c r="S420" s="5">
        <v>0</v>
      </c>
      <c r="T420" s="5"/>
      <c r="U420" s="5">
        <v>20000</v>
      </c>
      <c r="W420" s="5" t="s">
        <v>36</v>
      </c>
      <c r="X420" s="5" t="s">
        <v>83</v>
      </c>
      <c r="Y420" s="5" t="s">
        <v>24</v>
      </c>
      <c r="AA420" s="5" t="s">
        <v>44</v>
      </c>
      <c r="AB420" s="5" t="s">
        <v>2286</v>
      </c>
      <c r="AC420" s="8" t="str">
        <f>HYPERLINK("https://drive.google.com/file/d/1pF266YiOdsfIm20heaPzdwsMYubUs2CB/view?usp=drivesdk","Abrir_Factura")</f>
        <v>Abrir_Factura</v>
      </c>
      <c r="AD420" s="9">
        <v>46002.317349537036</v>
      </c>
    </row>
    <row r="421" spans="1:30" ht="12.5">
      <c r="A421" s="4">
        <v>46002.313170706024</v>
      </c>
      <c r="B421" s="5">
        <v>90154</v>
      </c>
      <c r="C421" s="5">
        <v>1002159627</v>
      </c>
      <c r="D421" s="5" t="s">
        <v>2287</v>
      </c>
      <c r="F421" s="5" t="s">
        <v>877</v>
      </c>
      <c r="H421" s="5">
        <v>905331500244</v>
      </c>
      <c r="J421" s="5" t="s">
        <v>2288</v>
      </c>
      <c r="K421" s="5" t="s">
        <v>886</v>
      </c>
      <c r="L421" s="5" t="s">
        <v>2289</v>
      </c>
      <c r="M421" s="5">
        <v>3016001398</v>
      </c>
      <c r="N421" s="6">
        <v>46002</v>
      </c>
      <c r="O421" s="7">
        <v>0.4375</v>
      </c>
      <c r="P421" s="5">
        <v>1</v>
      </c>
      <c r="Q421" s="5" t="s">
        <v>1597</v>
      </c>
      <c r="R421" s="5">
        <v>400000</v>
      </c>
      <c r="S421" s="5">
        <v>0</v>
      </c>
      <c r="T421" s="5">
        <v>10000</v>
      </c>
      <c r="U421" s="5">
        <v>410000</v>
      </c>
      <c r="V421" s="5" t="s">
        <v>2290</v>
      </c>
      <c r="W421" s="5" t="s">
        <v>36</v>
      </c>
      <c r="X421" s="5" t="s">
        <v>1937</v>
      </c>
      <c r="Y421" s="5" t="s">
        <v>24</v>
      </c>
      <c r="Z421" s="5" t="s">
        <v>2291</v>
      </c>
      <c r="AA421" s="5" t="s">
        <v>44</v>
      </c>
      <c r="AB421" s="5" t="s">
        <v>2292</v>
      </c>
      <c r="AC421" s="8" t="str">
        <f>HYPERLINK("https://drive.google.com/file/d/1wYeu5drz1KlNf4nhCXP9Aa6pr1WqFHTM/view?usp=drivesdk", "Abrir_Factura")</f>
        <v>Abrir_Factura</v>
      </c>
      <c r="AD421" s="9">
        <v>46002.496550925927</v>
      </c>
    </row>
    <row r="422" spans="1:30" ht="12.5">
      <c r="A422" s="4">
        <v>46002.366149756941</v>
      </c>
      <c r="B422" s="5">
        <v>90155</v>
      </c>
      <c r="C422" s="5">
        <v>1140895828</v>
      </c>
      <c r="D422" s="5" t="s">
        <v>2293</v>
      </c>
      <c r="F422" s="5" t="s">
        <v>2294</v>
      </c>
      <c r="H422" s="5">
        <v>573183960995</v>
      </c>
      <c r="J422" s="5" t="s">
        <v>2295</v>
      </c>
      <c r="K422" s="5" t="s">
        <v>33</v>
      </c>
      <c r="L422" s="5" t="s">
        <v>34</v>
      </c>
      <c r="M422" s="5">
        <v>3183960995</v>
      </c>
      <c r="N422" s="6">
        <v>46002</v>
      </c>
      <c r="O422" s="7">
        <v>0.45208333333333334</v>
      </c>
      <c r="P422" s="5">
        <v>1</v>
      </c>
      <c r="Q422" s="5" t="s">
        <v>210</v>
      </c>
      <c r="R422" s="5">
        <v>150000</v>
      </c>
      <c r="S422" s="5">
        <v>0</v>
      </c>
      <c r="T422" s="5">
        <v>0</v>
      </c>
      <c r="U422" s="5">
        <v>150000</v>
      </c>
      <c r="W422" s="5" t="s">
        <v>36</v>
      </c>
      <c r="X422" s="5" t="s">
        <v>196</v>
      </c>
      <c r="Y422" s="5" t="s">
        <v>24</v>
      </c>
      <c r="AA422" s="5" t="s">
        <v>69</v>
      </c>
      <c r="AC422" s="8" t="str">
        <f>HYPERLINK("https://drive.google.com/file/d/1g_Rdx9ZNhJPNzQ7oai4lxF-6R6ITe-i-/view?usp=drivesdk","Abrir_Factura")</f>
        <v>Abrir_Factura</v>
      </c>
      <c r="AD422" s="9">
        <v>46002.373449074075</v>
      </c>
    </row>
    <row r="423" spans="1:30" ht="12.5">
      <c r="A423" s="4">
        <v>46002.338806828702</v>
      </c>
      <c r="B423" s="5">
        <v>90156</v>
      </c>
      <c r="C423" s="5">
        <v>1140846280</v>
      </c>
      <c r="D423" s="5" t="s">
        <v>2296</v>
      </c>
      <c r="F423" s="5" t="s">
        <v>2297</v>
      </c>
      <c r="H423" s="5">
        <v>573183773739</v>
      </c>
      <c r="J423" s="5" t="s">
        <v>2298</v>
      </c>
      <c r="K423" s="5" t="s">
        <v>185</v>
      </c>
      <c r="L423" s="5" t="s">
        <v>2299</v>
      </c>
      <c r="M423" s="5">
        <v>3013720840</v>
      </c>
      <c r="N423" s="6">
        <v>46002</v>
      </c>
      <c r="O423" s="7">
        <v>0.4375</v>
      </c>
      <c r="P423" s="5">
        <v>1</v>
      </c>
      <c r="Q423" s="5" t="s">
        <v>65</v>
      </c>
      <c r="R423" s="5">
        <v>70000</v>
      </c>
      <c r="S423" s="5">
        <v>0</v>
      </c>
      <c r="T423" s="5">
        <v>8000</v>
      </c>
      <c r="U423" s="5">
        <v>78000</v>
      </c>
      <c r="V423" s="5" t="s">
        <v>2300</v>
      </c>
      <c r="W423" s="5" t="s">
        <v>36</v>
      </c>
      <c r="X423" s="5" t="s">
        <v>83</v>
      </c>
      <c r="Y423" s="5" t="s">
        <v>24</v>
      </c>
      <c r="Z423" s="5" t="s">
        <v>2301</v>
      </c>
      <c r="AA423" s="5" t="s">
        <v>69</v>
      </c>
      <c r="AC423" s="8" t="str">
        <f>HYPERLINK("https://drive.google.com/file/d/1MrrTqdrLOEtZCxO7aEH9vHQeoOw8qXQI/view?usp=drivesdk","Abrir_Factura")</f>
        <v>Abrir_Factura</v>
      </c>
      <c r="AD423" s="9">
        <v>46002.374490740738</v>
      </c>
    </row>
    <row r="424" spans="1:30" ht="12.5">
      <c r="A424" s="4">
        <v>46002.406915625004</v>
      </c>
      <c r="B424" s="5">
        <v>90157</v>
      </c>
      <c r="C424" s="5">
        <v>1125269531</v>
      </c>
      <c r="D424" s="5" t="s">
        <v>1144</v>
      </c>
      <c r="F424" s="5" t="s">
        <v>2302</v>
      </c>
      <c r="H424" s="5">
        <v>57168307302</v>
      </c>
      <c r="J424" s="5" t="s">
        <v>2303</v>
      </c>
      <c r="K424" s="5" t="s">
        <v>33</v>
      </c>
      <c r="L424" s="5" t="s">
        <v>34</v>
      </c>
      <c r="M424" s="5">
        <v>168307302</v>
      </c>
      <c r="N424" s="6">
        <v>46002</v>
      </c>
      <c r="O424" s="7">
        <v>0.49166666666666664</v>
      </c>
      <c r="P424" s="5">
        <v>1</v>
      </c>
      <c r="Q424" s="5" t="s">
        <v>178</v>
      </c>
      <c r="R424" s="5">
        <v>100000</v>
      </c>
      <c r="S424" s="5">
        <v>0</v>
      </c>
      <c r="T424" s="5">
        <v>0</v>
      </c>
      <c r="U424" s="5">
        <v>100000</v>
      </c>
      <c r="V424" s="5" t="s">
        <v>2304</v>
      </c>
      <c r="W424" s="5" t="s">
        <v>36</v>
      </c>
      <c r="X424" s="5" t="s">
        <v>1705</v>
      </c>
      <c r="Y424" s="5" t="s">
        <v>24</v>
      </c>
      <c r="Z424" s="5" t="s">
        <v>2303</v>
      </c>
      <c r="AA424" s="5" t="s">
        <v>1717</v>
      </c>
      <c r="AC424" s="8" t="str">
        <f>HYPERLINK("https://drive.google.com/file/d/1vG0JzDZp0tgxZbI-sE69SRwkav4IgzcI/view?usp=drivesdk", "Abrir_Factura")</f>
        <v>Abrir_Factura</v>
      </c>
      <c r="AD424" s="9">
        <v>46002.409143518518</v>
      </c>
    </row>
    <row r="425" spans="1:30" ht="12.5">
      <c r="A425" s="4">
        <v>46002.368027812496</v>
      </c>
      <c r="B425" s="5">
        <v>90158</v>
      </c>
      <c r="C425" s="5">
        <v>1082889192</v>
      </c>
      <c r="D425" s="5" t="s">
        <v>1184</v>
      </c>
      <c r="F425" s="5" t="s">
        <v>2305</v>
      </c>
      <c r="H425" s="5">
        <v>573150704749</v>
      </c>
      <c r="J425" s="5" t="s">
        <v>2306</v>
      </c>
      <c r="K425" s="5" t="s">
        <v>124</v>
      </c>
      <c r="L425" s="5" t="s">
        <v>2307</v>
      </c>
      <c r="M425" s="5">
        <v>3135750789</v>
      </c>
      <c r="N425" s="6">
        <v>46002</v>
      </c>
      <c r="O425" s="7">
        <v>0.45069444444444445</v>
      </c>
      <c r="P425" s="5">
        <v>1</v>
      </c>
      <c r="Q425" s="5" t="s">
        <v>42</v>
      </c>
      <c r="R425" s="5">
        <v>140000</v>
      </c>
      <c r="S425" s="5">
        <v>0</v>
      </c>
      <c r="T425" s="5">
        <v>12000</v>
      </c>
      <c r="U425" s="5">
        <v>152000</v>
      </c>
      <c r="V425" s="5" t="s">
        <v>2308</v>
      </c>
      <c r="W425" s="5" t="s">
        <v>36</v>
      </c>
      <c r="X425" s="5" t="s">
        <v>180</v>
      </c>
      <c r="Y425" s="5" t="s">
        <v>24</v>
      </c>
      <c r="Z425" s="5" t="s">
        <v>2309</v>
      </c>
      <c r="AA425" s="5" t="s">
        <v>69</v>
      </c>
      <c r="AB425" s="5" t="s">
        <v>2310</v>
      </c>
      <c r="AC425" s="8" t="str">
        <f>HYPERLINK("https://drive.google.com/file/d/1OLDfFy2tO29iXwCG8ZtHf78Fg-12uQnx/view?usp=drivesdk","Abrir_Factura")</f>
        <v>Abrir_Factura</v>
      </c>
      <c r="AD425" s="9">
        <v>46002.412939814814</v>
      </c>
    </row>
    <row r="426" spans="1:30" ht="12.5">
      <c r="A426" s="4">
        <v>46002.42734248843</v>
      </c>
      <c r="B426" s="5">
        <v>90159</v>
      </c>
      <c r="C426" s="5">
        <v>99666278</v>
      </c>
      <c r="D426" s="5" t="s">
        <v>1026</v>
      </c>
      <c r="F426" s="5" t="s">
        <v>2311</v>
      </c>
      <c r="H426" s="5">
        <v>573166180703</v>
      </c>
      <c r="J426" s="5" t="s">
        <v>2312</v>
      </c>
      <c r="K426" s="5" t="s">
        <v>33</v>
      </c>
      <c r="L426" s="5" t="s">
        <v>2313</v>
      </c>
      <c r="M426" s="5" t="s">
        <v>2314</v>
      </c>
      <c r="N426" s="6">
        <v>46002</v>
      </c>
      <c r="O426" s="7">
        <v>0.50972222222222219</v>
      </c>
      <c r="P426" s="5">
        <v>1</v>
      </c>
      <c r="Q426" s="5" t="s">
        <v>2315</v>
      </c>
      <c r="R426" s="5">
        <v>100000</v>
      </c>
      <c r="S426" s="5">
        <v>0</v>
      </c>
      <c r="T426" s="5">
        <v>0</v>
      </c>
      <c r="U426" s="5">
        <v>100000</v>
      </c>
      <c r="V426" s="5" t="s">
        <v>2316</v>
      </c>
      <c r="W426" s="5" t="s">
        <v>36</v>
      </c>
      <c r="X426" s="5" t="s">
        <v>2317</v>
      </c>
      <c r="Y426" s="5" t="s">
        <v>24</v>
      </c>
      <c r="AA426" s="5" t="s">
        <v>44</v>
      </c>
      <c r="AB426" s="5" t="s">
        <v>2318</v>
      </c>
      <c r="AC426" s="8" t="str">
        <f>HYPERLINK("https://drive.google.com/file/d/15CulGS1Ramju-RQrfR3o8gyuxgcWQSSL/view?usp=drivesdk", "Abrir_Factura")</f>
        <v>Abrir_Factura</v>
      </c>
      <c r="AD426" s="9">
        <v>46002.431585648148</v>
      </c>
    </row>
    <row r="427" spans="1:30" ht="12.5">
      <c r="A427" s="4">
        <v>46002.427039444447</v>
      </c>
      <c r="B427" s="5">
        <v>90160</v>
      </c>
      <c r="C427" s="5">
        <v>1001818269</v>
      </c>
      <c r="D427" s="5" t="s">
        <v>283</v>
      </c>
      <c r="F427" s="5" t="s">
        <v>2319</v>
      </c>
      <c r="H427" s="5">
        <v>573218795753</v>
      </c>
      <c r="J427" s="5" t="s">
        <v>2320</v>
      </c>
      <c r="K427" s="5" t="s">
        <v>892</v>
      </c>
      <c r="L427" s="5" t="s">
        <v>2321</v>
      </c>
      <c r="M427" s="5">
        <v>3137141871</v>
      </c>
      <c r="N427" s="6">
        <v>46003</v>
      </c>
      <c r="O427" s="7">
        <v>0.40625</v>
      </c>
      <c r="P427" s="5">
        <v>1</v>
      </c>
      <c r="Q427" s="5" t="s">
        <v>375</v>
      </c>
      <c r="R427" s="5">
        <v>70000</v>
      </c>
      <c r="S427" s="5">
        <v>0</v>
      </c>
      <c r="T427" s="5">
        <v>10000</v>
      </c>
      <c r="U427" s="5">
        <v>80000</v>
      </c>
      <c r="V427" s="5" t="s">
        <v>2322</v>
      </c>
      <c r="W427" s="5" t="s">
        <v>36</v>
      </c>
      <c r="X427" s="5" t="s">
        <v>67</v>
      </c>
      <c r="Y427" s="5" t="s">
        <v>24</v>
      </c>
      <c r="Z427" s="5" t="s">
        <v>2323</v>
      </c>
      <c r="AA427" s="5" t="s">
        <v>44</v>
      </c>
      <c r="AC427" s="8" t="str">
        <f>HYPERLINK("https://drive.google.com/file/d/1zh4qvYVwcIm6DOImgEYG5vo2X3meeqgf/view?usp=drivesdk", "Abrir_Factura")</f>
        <v>Abrir_Factura</v>
      </c>
      <c r="AD427" s="9">
        <v>46002.436481481483</v>
      </c>
    </row>
    <row r="428" spans="1:30" ht="12.5">
      <c r="A428" s="4">
        <v>46002.450482534725</v>
      </c>
      <c r="B428" s="5">
        <v>90161</v>
      </c>
      <c r="C428" s="5">
        <v>1045742501</v>
      </c>
      <c r="D428" s="5" t="s">
        <v>2324</v>
      </c>
      <c r="F428" s="5" t="s">
        <v>227</v>
      </c>
      <c r="H428" s="5">
        <v>573015861068</v>
      </c>
      <c r="J428" s="5" t="s">
        <v>2324</v>
      </c>
      <c r="K428" s="5" t="s">
        <v>2007</v>
      </c>
      <c r="L428" s="5" t="s">
        <v>2325</v>
      </c>
      <c r="M428" s="5">
        <v>3015861068</v>
      </c>
      <c r="N428" s="6">
        <v>46002</v>
      </c>
      <c r="O428" s="7">
        <v>0.54166666666666663</v>
      </c>
      <c r="P428" s="5">
        <v>1</v>
      </c>
      <c r="Q428" s="5" t="s">
        <v>2326</v>
      </c>
      <c r="R428" s="5">
        <v>140000</v>
      </c>
      <c r="S428" s="5">
        <v>0</v>
      </c>
      <c r="T428" s="5">
        <v>12000</v>
      </c>
      <c r="U428" s="5">
        <v>152000</v>
      </c>
      <c r="V428" s="5" t="s">
        <v>2327</v>
      </c>
      <c r="W428" s="5" t="s">
        <v>36</v>
      </c>
      <c r="X428" s="5" t="s">
        <v>83</v>
      </c>
      <c r="Y428" s="5" t="s">
        <v>24</v>
      </c>
      <c r="AA428" s="5" t="s">
        <v>69</v>
      </c>
      <c r="AC428" s="8" t="str">
        <f>HYPERLINK("https://drive.google.com/file/d/1U0kbCWPoYVlfP3nVoJJ4vX14wV9_K5mf/view?usp=drivesdk","Abrir_Factura")</f>
        <v>Abrir_Factura</v>
      </c>
      <c r="AD428" s="9">
        <v>46002.467800925922</v>
      </c>
    </row>
    <row r="429" spans="1:30" ht="12.5">
      <c r="A429" s="4">
        <v>46002.463469247683</v>
      </c>
      <c r="B429" s="5">
        <v>90162</v>
      </c>
      <c r="C429" s="5">
        <v>1001822855</v>
      </c>
      <c r="D429" s="5" t="s">
        <v>297</v>
      </c>
      <c r="F429" s="5" t="s">
        <v>2328</v>
      </c>
      <c r="H429" s="5">
        <v>573014235619</v>
      </c>
      <c r="J429" s="5" t="s">
        <v>2329</v>
      </c>
      <c r="K429" s="5" t="s">
        <v>63</v>
      </c>
      <c r="L429" s="5" t="s">
        <v>2330</v>
      </c>
      <c r="M429" s="5">
        <v>3014235619</v>
      </c>
      <c r="N429" s="6">
        <v>46002</v>
      </c>
      <c r="O429" s="11">
        <v>0.51880787037037035</v>
      </c>
      <c r="P429" s="5">
        <v>1</v>
      </c>
      <c r="Q429" s="5" t="s">
        <v>42</v>
      </c>
      <c r="R429" s="5">
        <v>90000</v>
      </c>
      <c r="S429" s="5">
        <v>0</v>
      </c>
      <c r="T429" s="5">
        <v>17000</v>
      </c>
      <c r="U429" s="5">
        <v>107000</v>
      </c>
      <c r="W429" s="5" t="s">
        <v>36</v>
      </c>
      <c r="X429" s="5" t="s">
        <v>1937</v>
      </c>
      <c r="Y429" s="5" t="s">
        <v>24</v>
      </c>
      <c r="Z429" s="5" t="s">
        <v>2331</v>
      </c>
      <c r="AA429" s="5" t="s">
        <v>44</v>
      </c>
      <c r="AB429" s="5" t="s">
        <v>2332</v>
      </c>
      <c r="AC429" s="8" t="str">
        <f>HYPERLINK("https://drive.google.com/file/d/136AMBXiZtoNgjkxyAslkvKZIz1qUgFK0/view?usp=drivesdk","Abrir_Factura")</f>
        <v>Abrir_Factura</v>
      </c>
      <c r="AD429" s="9">
        <v>46002.477083333331</v>
      </c>
    </row>
    <row r="430" spans="1:30" ht="12.5">
      <c r="A430" s="4">
        <v>46002.454147037039</v>
      </c>
      <c r="B430" s="5">
        <v>90163</v>
      </c>
      <c r="C430" s="5">
        <v>1192796434</v>
      </c>
      <c r="D430" s="5" t="s">
        <v>2333</v>
      </c>
      <c r="F430" s="5" t="s">
        <v>2334</v>
      </c>
      <c r="H430" s="5">
        <v>573022820242</v>
      </c>
      <c r="J430" s="5" t="s">
        <v>2335</v>
      </c>
      <c r="K430" s="5" t="s">
        <v>1057</v>
      </c>
      <c r="L430" s="5" t="s">
        <v>2336</v>
      </c>
      <c r="M430" s="5" t="s">
        <v>2337</v>
      </c>
      <c r="N430" s="6">
        <v>46004</v>
      </c>
      <c r="O430" s="7">
        <v>0.5</v>
      </c>
      <c r="P430" s="5">
        <v>1</v>
      </c>
      <c r="Q430" s="5" t="s">
        <v>210</v>
      </c>
      <c r="R430" s="5">
        <v>150000</v>
      </c>
      <c r="S430" s="5">
        <v>0</v>
      </c>
      <c r="T430" s="5">
        <v>14000</v>
      </c>
      <c r="U430" s="5">
        <v>164000</v>
      </c>
      <c r="V430" s="5" t="s">
        <v>2338</v>
      </c>
      <c r="W430" s="5" t="s">
        <v>36</v>
      </c>
      <c r="X430" s="5" t="s">
        <v>83</v>
      </c>
      <c r="Y430" s="5" t="s">
        <v>24</v>
      </c>
      <c r="Z430" s="5" t="s">
        <v>2339</v>
      </c>
      <c r="AA430" s="5" t="s">
        <v>44</v>
      </c>
      <c r="AC430" s="8" t="str">
        <f>HYPERLINK("https://drive.google.com/file/d/1yb4wNqO7f2lL0mPzbWtAURFdoxGBN2uz/view?usp=drivesdk", "Abrir_Factura")</f>
        <v>Abrir_Factura</v>
      </c>
      <c r="AD430" s="9">
        <v>46002.484675925924</v>
      </c>
    </row>
    <row r="431" spans="1:30" ht="12.5">
      <c r="A431" s="4">
        <v>46002.485250833328</v>
      </c>
      <c r="B431" s="5">
        <v>90164</v>
      </c>
      <c r="C431" s="5">
        <v>72163074</v>
      </c>
      <c r="D431" s="5" t="s">
        <v>2340</v>
      </c>
      <c r="F431" s="5" t="s">
        <v>2341</v>
      </c>
      <c r="H431" s="5">
        <v>573012037810</v>
      </c>
      <c r="J431" s="5" t="s">
        <v>2342</v>
      </c>
      <c r="K431" s="5" t="s">
        <v>33</v>
      </c>
      <c r="L431" s="5" t="s">
        <v>34</v>
      </c>
      <c r="M431" s="5">
        <v>3012037810</v>
      </c>
      <c r="N431" s="6">
        <v>46002</v>
      </c>
      <c r="O431" s="7">
        <v>0.57152777777777775</v>
      </c>
      <c r="P431" s="5">
        <v>1</v>
      </c>
      <c r="Q431" s="5" t="s">
        <v>42</v>
      </c>
      <c r="R431" s="5">
        <v>80000</v>
      </c>
      <c r="S431" s="5">
        <v>0</v>
      </c>
      <c r="T431" s="5">
        <v>0</v>
      </c>
      <c r="U431" s="5">
        <v>80000</v>
      </c>
      <c r="W431" s="5" t="s">
        <v>36</v>
      </c>
      <c r="X431" s="5" t="s">
        <v>1705</v>
      </c>
      <c r="Y431" s="5" t="s">
        <v>24</v>
      </c>
      <c r="AA431" s="5" t="s">
        <v>1717</v>
      </c>
      <c r="AB431" s="5" t="s">
        <v>1286</v>
      </c>
      <c r="AC431" s="8" t="str">
        <f>HYPERLINK("https://drive.google.com/file/d/1fhh6milZ2vwNHliV1-OcDiyGxf_Fgbfr/view?usp=drivesdk","Abrir_Factura")</f>
        <v>Abrir_Factura</v>
      </c>
      <c r="AD431" s="9">
        <v>46002.486076388886</v>
      </c>
    </row>
    <row r="432" spans="1:30" ht="12.5">
      <c r="A432" s="4">
        <v>46002.492606944448</v>
      </c>
      <c r="B432" s="5">
        <v>90165</v>
      </c>
      <c r="C432" s="5">
        <v>1048067722</v>
      </c>
      <c r="D432" s="5" t="s">
        <v>1876</v>
      </c>
      <c r="F432" s="5" t="s">
        <v>2343</v>
      </c>
      <c r="H432" s="5">
        <v>573043117743</v>
      </c>
      <c r="J432" s="5" t="s">
        <v>2344</v>
      </c>
      <c r="K432" s="5" t="s">
        <v>63</v>
      </c>
      <c r="L432" s="5" t="s">
        <v>2345</v>
      </c>
      <c r="M432" s="5">
        <v>3125380604</v>
      </c>
      <c r="N432" s="6">
        <v>46004</v>
      </c>
      <c r="O432" s="7">
        <v>8.3333333333333329E-2</v>
      </c>
      <c r="P432" s="5">
        <v>1</v>
      </c>
      <c r="Q432" s="5" t="s">
        <v>2346</v>
      </c>
      <c r="R432" s="5">
        <v>155000</v>
      </c>
      <c r="S432" s="5">
        <v>0</v>
      </c>
      <c r="T432" s="5">
        <v>17000</v>
      </c>
      <c r="U432" s="5">
        <v>172000</v>
      </c>
      <c r="W432" s="5" t="s">
        <v>36</v>
      </c>
      <c r="X432" s="5" t="s">
        <v>83</v>
      </c>
      <c r="Y432" s="5" t="s">
        <v>24</v>
      </c>
      <c r="AA432" s="5" t="s">
        <v>1717</v>
      </c>
      <c r="AC432" s="8" t="str">
        <f>HYPERLINK("https://drive.google.com/file/d/1PsbX4XUWM3cTGhtiqDmE5GTl97os9imz/view?usp=drivesdk", "Abrir_Factura")</f>
        <v>Abrir_Factura</v>
      </c>
      <c r="AD432" s="9">
        <v>46002.494398148148</v>
      </c>
    </row>
    <row r="433" spans="1:30" ht="12.5">
      <c r="A433" s="4">
        <v>46002.458026516208</v>
      </c>
      <c r="B433" s="5">
        <v>90166</v>
      </c>
      <c r="C433" s="5">
        <v>1042850218</v>
      </c>
      <c r="D433" s="5" t="s">
        <v>1144</v>
      </c>
      <c r="F433" s="5" t="s">
        <v>1940</v>
      </c>
      <c r="H433" s="5">
        <v>573041481574</v>
      </c>
      <c r="J433" s="5" t="s">
        <v>2347</v>
      </c>
      <c r="K433" s="5" t="s">
        <v>892</v>
      </c>
      <c r="L433" s="5" t="s">
        <v>2348</v>
      </c>
      <c r="M433" s="5">
        <v>3113579429</v>
      </c>
      <c r="N433" s="6">
        <v>46004</v>
      </c>
      <c r="O433" s="7">
        <v>0.625</v>
      </c>
      <c r="P433" s="5">
        <v>1</v>
      </c>
      <c r="Q433" s="5" t="s">
        <v>679</v>
      </c>
      <c r="R433" s="5">
        <v>180000</v>
      </c>
      <c r="S433" s="5">
        <v>0</v>
      </c>
      <c r="T433" s="5">
        <v>10000</v>
      </c>
      <c r="U433" s="5">
        <v>190000</v>
      </c>
      <c r="V433" s="5" t="s">
        <v>2349</v>
      </c>
      <c r="W433" s="5" t="s">
        <v>36</v>
      </c>
      <c r="X433" s="5" t="s">
        <v>83</v>
      </c>
      <c r="Y433" s="5" t="s">
        <v>24</v>
      </c>
      <c r="Z433" s="5" t="s">
        <v>2350</v>
      </c>
      <c r="AA433" s="5" t="s">
        <v>69</v>
      </c>
      <c r="AC433" s="8" t="str">
        <f>HYPERLINK("https://drive.google.com/file/d/1QL7QJHqA4O6a48FsyfYxum6zc61owHgv/view?usp=drivesdk", "Abrir_Factura")</f>
        <v>Abrir_Factura</v>
      </c>
      <c r="AD433" s="9">
        <v>46002.50072916667</v>
      </c>
    </row>
    <row r="434" spans="1:30" ht="12.5">
      <c r="A434" s="4">
        <v>46002.492230405092</v>
      </c>
      <c r="B434" s="5">
        <v>90167</v>
      </c>
      <c r="C434" s="5">
        <v>1140829113</v>
      </c>
      <c r="D434" s="5" t="s">
        <v>1051</v>
      </c>
      <c r="F434" s="5" t="s">
        <v>2351</v>
      </c>
      <c r="H434" s="5">
        <v>572106376698</v>
      </c>
      <c r="J434" s="5" t="s">
        <v>2352</v>
      </c>
      <c r="K434" s="5" t="s">
        <v>892</v>
      </c>
      <c r="L434" s="5" t="s">
        <v>2353</v>
      </c>
      <c r="M434" s="5" t="s">
        <v>2354</v>
      </c>
      <c r="N434" s="6">
        <v>46002</v>
      </c>
      <c r="O434" s="7">
        <v>0.625</v>
      </c>
      <c r="P434" s="5">
        <v>1</v>
      </c>
      <c r="Q434" s="5" t="s">
        <v>50</v>
      </c>
      <c r="R434" s="5">
        <v>200000</v>
      </c>
      <c r="S434" s="5">
        <v>0</v>
      </c>
      <c r="T434" s="5">
        <v>10000</v>
      </c>
      <c r="U434" s="5">
        <v>210000</v>
      </c>
      <c r="V434" s="5" t="s">
        <v>2355</v>
      </c>
      <c r="W434" s="5" t="s">
        <v>36</v>
      </c>
      <c r="X434" s="5" t="s">
        <v>83</v>
      </c>
      <c r="Y434" s="5" t="s">
        <v>24</v>
      </c>
      <c r="AA434" s="5" t="s">
        <v>44</v>
      </c>
      <c r="AC434" s="8" t="str">
        <f>HYPERLINK("https://drive.google.com/file/d/1M6v2LypSqrHE4v8str6R9yDuHiqCLdnS/view?usp=drivesdk", "Abrir_Factura")</f>
        <v>Abrir_Factura</v>
      </c>
      <c r="AD434" s="9">
        <v>46002.511423611111</v>
      </c>
    </row>
    <row r="435" spans="1:30" ht="12.5">
      <c r="A435" s="4">
        <v>46002.505370902778</v>
      </c>
      <c r="B435" s="5">
        <v>90168</v>
      </c>
      <c r="C435" s="5">
        <v>1234097527</v>
      </c>
      <c r="D435" s="5" t="s">
        <v>2356</v>
      </c>
      <c r="F435" s="5" t="s">
        <v>890</v>
      </c>
      <c r="H435" s="5">
        <v>573205399094</v>
      </c>
      <c r="J435" s="5" t="s">
        <v>2357</v>
      </c>
      <c r="K435" s="5" t="s">
        <v>249</v>
      </c>
      <c r="L435" s="5" t="s">
        <v>2358</v>
      </c>
      <c r="M435" s="5">
        <v>3205399094</v>
      </c>
      <c r="N435" s="6">
        <v>46002</v>
      </c>
      <c r="O435" s="7">
        <v>0.59027777777777779</v>
      </c>
      <c r="P435" s="5">
        <v>1</v>
      </c>
      <c r="Q435" s="5" t="s">
        <v>133</v>
      </c>
      <c r="R435" s="5">
        <v>140000</v>
      </c>
      <c r="S435" s="5">
        <v>0</v>
      </c>
      <c r="T435" s="5">
        <v>10000</v>
      </c>
      <c r="U435" s="5">
        <v>150000</v>
      </c>
      <c r="V435" s="5" t="s">
        <v>2359</v>
      </c>
      <c r="W435" s="5" t="s">
        <v>36</v>
      </c>
      <c r="X435" s="5" t="s">
        <v>83</v>
      </c>
      <c r="Y435" s="5" t="s">
        <v>24</v>
      </c>
      <c r="Z435" s="5" t="s">
        <v>2360</v>
      </c>
      <c r="AA435" s="5" t="s">
        <v>69</v>
      </c>
      <c r="AC435" s="8" t="str">
        <f>HYPERLINK("https://drive.google.com/file/d/12Qd6qE6O6_chioq25TlvZ_LrEdVxJ5dy/view?usp=drivesdk","Abrir_Factura")</f>
        <v>Abrir_Factura</v>
      </c>
      <c r="AD435" s="9">
        <v>46002.516631944447</v>
      </c>
    </row>
    <row r="436" spans="1:30" ht="12.5">
      <c r="A436" s="4">
        <v>46002.51128097222</v>
      </c>
      <c r="B436" s="5">
        <v>90169</v>
      </c>
      <c r="C436" s="5">
        <v>1010122581</v>
      </c>
      <c r="D436" s="5" t="s">
        <v>2361</v>
      </c>
      <c r="F436" s="5" t="s">
        <v>2362</v>
      </c>
      <c r="H436" s="5">
        <v>573176676303</v>
      </c>
      <c r="J436" s="5" t="s">
        <v>2363</v>
      </c>
      <c r="K436" s="5" t="s">
        <v>110</v>
      </c>
      <c r="L436" s="5" t="s">
        <v>2364</v>
      </c>
      <c r="M436" s="5" t="s">
        <v>25421</v>
      </c>
      <c r="N436" s="6">
        <v>46002</v>
      </c>
      <c r="O436" s="7">
        <v>0.625</v>
      </c>
      <c r="P436" s="5">
        <v>1</v>
      </c>
      <c r="Q436" s="5" t="s">
        <v>187</v>
      </c>
      <c r="R436" s="5">
        <v>200000</v>
      </c>
      <c r="S436" s="5">
        <v>0</v>
      </c>
      <c r="T436" s="5">
        <v>6000</v>
      </c>
      <c r="U436" s="5">
        <v>206000</v>
      </c>
      <c r="V436" s="5" t="s">
        <v>2365</v>
      </c>
      <c r="W436" s="5" t="s">
        <v>36</v>
      </c>
      <c r="X436" s="5" t="s">
        <v>83</v>
      </c>
      <c r="Y436" s="5" t="s">
        <v>24</v>
      </c>
      <c r="Z436" s="5" t="s">
        <v>2366</v>
      </c>
      <c r="AA436" s="5" t="s">
        <v>69</v>
      </c>
      <c r="AC436" s="8" t="str">
        <f>HYPERLINK("https://drive.google.com/file/d/1FTQh1PFAY4omX9zDdFnTTb4btTlcqru5/view?usp=drivesdk","Abrir_Factura")</f>
        <v>Abrir_Factura</v>
      </c>
      <c r="AD436" s="9">
        <v>46002.521516203706</v>
      </c>
    </row>
    <row r="437" spans="1:30" ht="12.5">
      <c r="A437" s="4">
        <v>46002.531739699072</v>
      </c>
      <c r="B437" s="5">
        <v>90170</v>
      </c>
      <c r="C437" s="5">
        <v>1129575991</v>
      </c>
      <c r="D437" s="5" t="s">
        <v>2367</v>
      </c>
      <c r="F437" s="5" t="s">
        <v>2368</v>
      </c>
      <c r="H437" s="5">
        <v>573007302234</v>
      </c>
      <c r="J437" s="5" t="s">
        <v>2369</v>
      </c>
      <c r="K437" s="5" t="s">
        <v>726</v>
      </c>
      <c r="L437" s="5" t="s">
        <v>2370</v>
      </c>
      <c r="M437" s="5">
        <v>3007302234</v>
      </c>
      <c r="N437" s="6">
        <v>46002</v>
      </c>
      <c r="O437" s="7">
        <v>0.61597222222222225</v>
      </c>
      <c r="P437" s="5">
        <v>1</v>
      </c>
      <c r="Q437" s="5" t="s">
        <v>2371</v>
      </c>
      <c r="R437" s="5">
        <v>100000</v>
      </c>
      <c r="S437" s="5">
        <v>0</v>
      </c>
      <c r="T437" s="5">
        <v>9000</v>
      </c>
      <c r="U437" s="5">
        <v>109000</v>
      </c>
      <c r="V437" s="5" t="s">
        <v>2372</v>
      </c>
      <c r="W437" s="5" t="s">
        <v>36</v>
      </c>
      <c r="X437" s="5" t="s">
        <v>83</v>
      </c>
      <c r="Y437" s="5" t="s">
        <v>24</v>
      </c>
      <c r="Z437" s="5" t="s">
        <v>1153</v>
      </c>
      <c r="AA437" s="5" t="s">
        <v>69</v>
      </c>
      <c r="AB437" s="5" t="s">
        <v>2373</v>
      </c>
      <c r="AC437" s="8" t="str">
        <f>HYPERLINK("https://drive.google.com/file/d/17yTOFiQzSBXnXH4WI2RAccrwXUFpHjFL/view?usp=drivesdk","Abrir_Factura")</f>
        <v>Abrir_Factura</v>
      </c>
      <c r="AD437" s="9">
        <v>46002.537314814814</v>
      </c>
    </row>
    <row r="438" spans="1:30" ht="12.5">
      <c r="A438" s="4">
        <v>46002.537459224535</v>
      </c>
      <c r="B438" s="5">
        <v>90171</v>
      </c>
      <c r="C438" s="5">
        <v>901876344</v>
      </c>
      <c r="D438" s="5" t="s">
        <v>2374</v>
      </c>
      <c r="F438" s="5" t="s">
        <v>2375</v>
      </c>
      <c r="H438" s="5">
        <v>573106623313</v>
      </c>
      <c r="J438" s="5" t="s">
        <v>2376</v>
      </c>
      <c r="K438" s="5" t="s">
        <v>33</v>
      </c>
      <c r="L438" s="5" t="s">
        <v>34</v>
      </c>
      <c r="M438" s="5" t="s">
        <v>2377</v>
      </c>
      <c r="N438" s="6">
        <v>46002</v>
      </c>
      <c r="O438" s="7">
        <v>0.62152777777777779</v>
      </c>
      <c r="P438" s="5">
        <v>1</v>
      </c>
      <c r="Q438" s="5" t="s">
        <v>42</v>
      </c>
      <c r="R438" s="5">
        <v>160650</v>
      </c>
      <c r="S438" s="5">
        <v>0</v>
      </c>
      <c r="T438" s="5">
        <v>0</v>
      </c>
      <c r="U438" s="5">
        <v>160650</v>
      </c>
      <c r="W438" s="5" t="s">
        <v>36</v>
      </c>
      <c r="X438" s="5" t="s">
        <v>43</v>
      </c>
      <c r="Y438" s="5" t="s">
        <v>24</v>
      </c>
      <c r="AA438" s="5" t="s">
        <v>1717</v>
      </c>
      <c r="AB438" s="5" t="s">
        <v>2378</v>
      </c>
      <c r="AC438" s="8" t="str">
        <f>HYPERLINK("https://drive.google.com/file/d/1aLRNemuJ0V32DjVRsbC8AqNcJb46m9pw/view?usp=drivesdk", "Abrir_Factura")</f>
        <v>Abrir_Factura</v>
      </c>
      <c r="AD438" s="9">
        <v>46002.538773148146</v>
      </c>
    </row>
    <row r="439" spans="1:30" ht="12.5">
      <c r="A439" s="4">
        <v>46002.535892881948</v>
      </c>
      <c r="B439" s="5">
        <v>90172</v>
      </c>
      <c r="C439" s="5">
        <v>1122722201</v>
      </c>
      <c r="D439" s="5" t="s">
        <v>2379</v>
      </c>
      <c r="F439" s="5" t="s">
        <v>498</v>
      </c>
      <c r="H439" s="5">
        <v>573014888021</v>
      </c>
      <c r="J439" s="5" t="s">
        <v>2380</v>
      </c>
      <c r="K439" s="5" t="s">
        <v>2381</v>
      </c>
      <c r="L439" s="5" t="s">
        <v>2382</v>
      </c>
      <c r="M439" s="5">
        <v>30013795179</v>
      </c>
      <c r="N439" s="6">
        <v>46002</v>
      </c>
      <c r="O439" s="7">
        <v>0.62083333333333335</v>
      </c>
      <c r="P439" s="5">
        <v>1</v>
      </c>
      <c r="Q439" s="5" t="s">
        <v>75</v>
      </c>
      <c r="R439" s="5">
        <v>70000</v>
      </c>
      <c r="S439" s="5">
        <v>0</v>
      </c>
      <c r="T439" s="5">
        <v>18000</v>
      </c>
      <c r="U439" s="5">
        <v>88000</v>
      </c>
      <c r="V439" s="5" t="s">
        <v>2383</v>
      </c>
      <c r="W439" s="5" t="s">
        <v>36</v>
      </c>
      <c r="X439" s="5" t="s">
        <v>83</v>
      </c>
      <c r="Y439" s="5" t="s">
        <v>24</v>
      </c>
      <c r="Z439" s="5" t="s">
        <v>2384</v>
      </c>
      <c r="AA439" s="5" t="s">
        <v>69</v>
      </c>
      <c r="AC439" s="8" t="str">
        <f>HYPERLINK("https://drive.google.com/file/d/1yiBhpL2Zl8YtnzP07n1BLZ-JFTWjg_70/view?usp=drivesdk","Abrir_Factura")</f>
        <v>Abrir_Factura</v>
      </c>
      <c r="AD439" s="9">
        <v>46002.541122685187</v>
      </c>
    </row>
    <row r="440" spans="1:30" ht="12.5">
      <c r="A440" s="4">
        <v>46002.544318865737</v>
      </c>
      <c r="B440" s="5">
        <v>90173</v>
      </c>
      <c r="C440" s="5">
        <v>22735060</v>
      </c>
      <c r="D440" s="5" t="s">
        <v>2385</v>
      </c>
      <c r="F440" s="5" t="s">
        <v>2386</v>
      </c>
      <c r="H440" s="5">
        <v>573042145559</v>
      </c>
      <c r="J440" s="5" t="s">
        <v>2387</v>
      </c>
      <c r="K440" s="5" t="s">
        <v>33</v>
      </c>
      <c r="L440" s="5" t="s">
        <v>34</v>
      </c>
      <c r="M440" s="5">
        <v>3042145559</v>
      </c>
      <c r="N440" s="6">
        <v>46004</v>
      </c>
      <c r="O440" s="7">
        <v>0.62638888888888888</v>
      </c>
      <c r="P440" s="5">
        <v>1</v>
      </c>
      <c r="Q440" s="5" t="s">
        <v>42</v>
      </c>
      <c r="R440" s="5">
        <v>100000</v>
      </c>
      <c r="S440" s="5">
        <v>0</v>
      </c>
      <c r="T440" s="5">
        <v>0</v>
      </c>
      <c r="U440" s="5">
        <v>100000</v>
      </c>
      <c r="W440" s="5" t="s">
        <v>36</v>
      </c>
      <c r="X440" s="5" t="s">
        <v>67</v>
      </c>
      <c r="Y440" s="5" t="s">
        <v>24</v>
      </c>
      <c r="AA440" s="5" t="s">
        <v>1717</v>
      </c>
      <c r="AB440" s="5" t="s">
        <v>2388</v>
      </c>
      <c r="AC440" s="8" t="str">
        <f>HYPERLINK("https://drive.google.com/file/d/1VzezNFo77h1IVb4U7NNLfIhWqXqDIYj7/view?usp=drivesdk", "Abrir_Factura")</f>
        <v>Abrir_Factura</v>
      </c>
      <c r="AD440" s="9">
        <v>46007.433067129627</v>
      </c>
    </row>
    <row r="441" spans="1:30" ht="12.5">
      <c r="A441" s="4">
        <v>46002.525174467592</v>
      </c>
      <c r="B441" s="5">
        <v>90174</v>
      </c>
      <c r="C441" s="5">
        <v>1001917229</v>
      </c>
      <c r="D441" s="5" t="s">
        <v>2389</v>
      </c>
      <c r="F441" s="5" t="s">
        <v>2390</v>
      </c>
      <c r="H441" s="5">
        <v>573016686619</v>
      </c>
      <c r="J441" s="5" t="s">
        <v>2391</v>
      </c>
      <c r="K441" s="5" t="s">
        <v>249</v>
      </c>
      <c r="L441" s="5" t="s">
        <v>2392</v>
      </c>
      <c r="M441" s="5">
        <v>3016686619</v>
      </c>
      <c r="N441" s="6">
        <v>46011</v>
      </c>
      <c r="O441" s="7">
        <v>0.39583333333333331</v>
      </c>
      <c r="P441" s="5">
        <v>1</v>
      </c>
      <c r="Q441" s="5" t="s">
        <v>2393</v>
      </c>
      <c r="R441" s="5">
        <v>170000</v>
      </c>
      <c r="S441" s="5">
        <v>0</v>
      </c>
      <c r="T441" s="5">
        <v>10000</v>
      </c>
      <c r="U441" s="5">
        <v>180000</v>
      </c>
      <c r="V441" s="5" t="s">
        <v>2394</v>
      </c>
      <c r="W441" s="5" t="s">
        <v>36</v>
      </c>
      <c r="X441" s="5" t="s">
        <v>83</v>
      </c>
      <c r="Y441" s="5" t="s">
        <v>24</v>
      </c>
      <c r="Z441" s="5" t="s">
        <v>2395</v>
      </c>
      <c r="AA441" s="5" t="s">
        <v>69</v>
      </c>
      <c r="AB441" s="5" t="s">
        <v>2396</v>
      </c>
      <c r="AC441" s="8" t="str">
        <f>HYPERLINK("https://drive.google.com/file/d/1_J-jl6WJup3LNApAvneTWO1m26RhJdSw/view?usp=drivesdk","Abrir_Factura")</f>
        <v>Abrir_Factura</v>
      </c>
      <c r="AD441" s="9">
        <v>46002.575057870374</v>
      </c>
    </row>
    <row r="442" spans="1:30" ht="12.5">
      <c r="A442" s="4">
        <v>46002.441847326394</v>
      </c>
      <c r="B442" s="5">
        <v>90175</v>
      </c>
      <c r="C442" s="5">
        <v>30534417610</v>
      </c>
      <c r="D442" s="5" t="s">
        <v>2397</v>
      </c>
      <c r="F442" s="5" t="s">
        <v>2398</v>
      </c>
      <c r="H442" s="5">
        <v>573053441761</v>
      </c>
      <c r="J442" s="5" t="s">
        <v>2399</v>
      </c>
      <c r="K442" s="5" t="s">
        <v>63</v>
      </c>
      <c r="L442" s="5" t="s">
        <v>2400</v>
      </c>
      <c r="M442" s="5">
        <v>3053441761</v>
      </c>
      <c r="N442" s="6">
        <v>46002</v>
      </c>
      <c r="O442" s="7">
        <v>0.73750000000000004</v>
      </c>
      <c r="P442" s="5">
        <v>1</v>
      </c>
      <c r="Q442" s="5" t="s">
        <v>178</v>
      </c>
      <c r="R442" s="5">
        <v>100000</v>
      </c>
      <c r="S442" s="5">
        <v>0</v>
      </c>
      <c r="T442" s="5">
        <v>17000</v>
      </c>
      <c r="U442" s="5">
        <v>117000</v>
      </c>
      <c r="W442" s="5" t="s">
        <v>36</v>
      </c>
      <c r="X442" s="5" t="s">
        <v>83</v>
      </c>
      <c r="Y442" s="5" t="s">
        <v>24</v>
      </c>
      <c r="AA442" s="5" t="s">
        <v>69</v>
      </c>
      <c r="AC442" s="8" t="str">
        <f>HYPERLINK("https://drive.google.com/file/d/11dAnDT-zFfmO7BfB91C5MGQxxUPEUGKg/view?usp=drivesdk","Abrir_Factura")</f>
        <v>Abrir_Factura</v>
      </c>
      <c r="AD442" s="9">
        <v>46002.589537037034</v>
      </c>
    </row>
    <row r="443" spans="1:30" ht="12.5">
      <c r="A443" s="4">
        <v>46002.580900451387</v>
      </c>
      <c r="B443" s="5">
        <v>90176</v>
      </c>
      <c r="C443" s="5">
        <v>1006957748</v>
      </c>
      <c r="D443" s="5" t="s">
        <v>2401</v>
      </c>
      <c r="F443" s="5" t="s">
        <v>2402</v>
      </c>
      <c r="H443" s="5">
        <v>573043833544</v>
      </c>
      <c r="J443" s="5" t="s">
        <v>2403</v>
      </c>
      <c r="K443" s="5" t="s">
        <v>307</v>
      </c>
      <c r="L443" s="5" t="s">
        <v>2404</v>
      </c>
      <c r="M443" s="5">
        <v>3043833544</v>
      </c>
      <c r="N443" s="6">
        <v>46002</v>
      </c>
      <c r="O443" s="7">
        <v>0.66597222222222219</v>
      </c>
      <c r="P443" s="5">
        <v>1</v>
      </c>
      <c r="Q443" s="5" t="s">
        <v>375</v>
      </c>
      <c r="R443" s="5">
        <v>70000</v>
      </c>
      <c r="S443" s="5">
        <v>0</v>
      </c>
      <c r="T443" s="5">
        <v>10000</v>
      </c>
      <c r="U443" s="5">
        <v>80000</v>
      </c>
      <c r="V443" s="5" t="s">
        <v>2405</v>
      </c>
      <c r="W443" s="5" t="s">
        <v>36</v>
      </c>
      <c r="X443" s="5" t="s">
        <v>67</v>
      </c>
      <c r="Y443" s="5" t="s">
        <v>24</v>
      </c>
      <c r="Z443" s="5" t="s">
        <v>2406</v>
      </c>
      <c r="AA443" s="5" t="s">
        <v>69</v>
      </c>
      <c r="AC443" s="8" t="str">
        <f>HYPERLINK("https://drive.google.com/file/d/1z1kos46EzSRyJmMhHUxaPNhN58LrN2-C/view?usp=drivesdk","Abrir_Factura")</f>
        <v>Abrir_Factura</v>
      </c>
      <c r="AD443" s="9">
        <v>46002.591493055559</v>
      </c>
    </row>
    <row r="444" spans="1:30" ht="12.5">
      <c r="A444" s="4">
        <v>46002.600793414356</v>
      </c>
      <c r="B444" s="5">
        <v>90177</v>
      </c>
      <c r="C444" s="5">
        <v>901876344</v>
      </c>
      <c r="D444" s="5" t="s">
        <v>2374</v>
      </c>
      <c r="F444" s="5" t="s">
        <v>2407</v>
      </c>
      <c r="H444" s="5">
        <v>573106623313</v>
      </c>
      <c r="J444" s="5" t="s">
        <v>2376</v>
      </c>
      <c r="K444" s="5" t="s">
        <v>33</v>
      </c>
      <c r="L444" s="5" t="s">
        <v>34</v>
      </c>
      <c r="N444" s="6">
        <v>46003</v>
      </c>
      <c r="O444" s="7">
        <v>0.68263888888888891</v>
      </c>
      <c r="P444" s="5">
        <v>1</v>
      </c>
      <c r="Q444" s="5" t="s">
        <v>42</v>
      </c>
      <c r="R444" s="5">
        <v>124950</v>
      </c>
      <c r="S444" s="5">
        <v>0</v>
      </c>
      <c r="T444" s="5">
        <v>0</v>
      </c>
      <c r="U444" s="5">
        <v>124950</v>
      </c>
      <c r="W444" s="5" t="s">
        <v>36</v>
      </c>
      <c r="X444" s="5" t="s">
        <v>43</v>
      </c>
      <c r="Y444" s="5" t="s">
        <v>24</v>
      </c>
      <c r="AA444" s="5" t="s">
        <v>1717</v>
      </c>
      <c r="AB444" s="5" t="s">
        <v>2408</v>
      </c>
      <c r="AC444" s="8" t="str">
        <f>HYPERLINK("https://drive.google.com/file/d/1bvLxrjH19TpuaXCYjvdfoGJ4VEBXc-lg/view?usp=drivesdk", "Abrir_Factura")</f>
        <v>Abrir_Factura</v>
      </c>
      <c r="AD444" s="9">
        <v>46002.604421296295</v>
      </c>
    </row>
    <row r="445" spans="1:30" ht="12.5">
      <c r="A445" s="4">
        <v>46002.609558703705</v>
      </c>
      <c r="B445" s="5">
        <v>90178</v>
      </c>
      <c r="C445" s="5">
        <v>901876344</v>
      </c>
      <c r="D445" s="5" t="s">
        <v>2409</v>
      </c>
      <c r="F445" s="5" t="s">
        <v>2410</v>
      </c>
      <c r="H445" s="5">
        <v>573106623313</v>
      </c>
      <c r="J445" s="5" t="s">
        <v>2376</v>
      </c>
      <c r="K445" s="5" t="s">
        <v>33</v>
      </c>
      <c r="L445" s="5" t="s">
        <v>34</v>
      </c>
      <c r="M445" s="5">
        <v>3106623313</v>
      </c>
      <c r="N445" s="6">
        <v>46004</v>
      </c>
      <c r="O445" s="7">
        <v>0.60902777777777772</v>
      </c>
      <c r="P445" s="5">
        <v>1</v>
      </c>
      <c r="Q445" s="5" t="s">
        <v>42</v>
      </c>
      <c r="R445" s="5">
        <v>113050</v>
      </c>
      <c r="S445" s="5">
        <v>0</v>
      </c>
      <c r="T445" s="5">
        <v>0</v>
      </c>
      <c r="U445" s="5">
        <v>113050</v>
      </c>
      <c r="W445" s="5" t="s">
        <v>36</v>
      </c>
      <c r="X445" s="5" t="s">
        <v>43</v>
      </c>
      <c r="Y445" s="5" t="s">
        <v>24</v>
      </c>
      <c r="AA445" s="5" t="s">
        <v>1717</v>
      </c>
      <c r="AB445" s="5" t="s">
        <v>2411</v>
      </c>
      <c r="AC445" s="8" t="str">
        <f>HYPERLINK("https://drive.google.com/file/d/1PtrFo0CLuHVaIA_lggVI_27W1VXn6ieK/view?usp=drivesdk","Abrir_Factura")</f>
        <v>Abrir_Factura</v>
      </c>
      <c r="AD445" s="9">
        <v>46002.610439814816</v>
      </c>
    </row>
    <row r="446" spans="1:30" ht="12.5">
      <c r="A446" s="4">
        <v>46002.664090682869</v>
      </c>
      <c r="B446" s="5">
        <v>90179</v>
      </c>
      <c r="C446" s="5">
        <v>12546723</v>
      </c>
      <c r="D446" s="5" t="s">
        <v>2412</v>
      </c>
      <c r="F446" s="5" t="s">
        <v>2413</v>
      </c>
      <c r="H446" s="5">
        <v>573134163639</v>
      </c>
      <c r="J446" s="5" t="s">
        <v>2414</v>
      </c>
      <c r="L446" s="5" t="s">
        <v>2415</v>
      </c>
      <c r="M446" s="5">
        <v>3043822440</v>
      </c>
      <c r="N446" s="6">
        <v>46002</v>
      </c>
      <c r="O446" s="7">
        <v>0.74722222222222223</v>
      </c>
      <c r="P446" s="5">
        <v>1</v>
      </c>
      <c r="Q446" s="5" t="s">
        <v>458</v>
      </c>
      <c r="R446" s="5">
        <v>320000</v>
      </c>
      <c r="S446" s="5">
        <v>0</v>
      </c>
      <c r="T446" s="5"/>
      <c r="U446" s="5">
        <v>320000</v>
      </c>
      <c r="V446" s="5" t="s">
        <v>2416</v>
      </c>
      <c r="W446" s="5" t="s">
        <v>36</v>
      </c>
      <c r="X446" s="5" t="s">
        <v>196</v>
      </c>
      <c r="Y446" s="5" t="s">
        <v>24</v>
      </c>
      <c r="AA446" s="5" t="s">
        <v>1717</v>
      </c>
      <c r="AB446" s="5" t="s">
        <v>2417</v>
      </c>
      <c r="AC446" s="8" t="str">
        <f>HYPERLINK("https://drive.google.com/file/d/1TZ-rCh261kzjnf_Pf5elUPIuwisPZ8QQ/view?usp=drivesdk", "Abrir_Factura")</f>
        <v>Abrir_Factura</v>
      </c>
      <c r="AD446" s="9">
        <v>46002.664803240739</v>
      </c>
    </row>
    <row r="447" spans="1:30" ht="12.5">
      <c r="A447" s="4">
        <v>46002.683821041668</v>
      </c>
      <c r="B447" s="5">
        <v>90180</v>
      </c>
      <c r="C447" s="5">
        <v>1140845909</v>
      </c>
      <c r="D447" s="5" t="s">
        <v>2418</v>
      </c>
      <c r="F447" s="5" t="s">
        <v>2419</v>
      </c>
      <c r="H447" s="5" t="s">
        <v>25421</v>
      </c>
      <c r="J447" s="5" t="s">
        <v>2420</v>
      </c>
      <c r="K447" s="5" t="s">
        <v>1272</v>
      </c>
      <c r="L447" s="5" t="s">
        <v>2421</v>
      </c>
      <c r="M447" s="5">
        <v>3145553319</v>
      </c>
      <c r="N447" s="6">
        <v>46002</v>
      </c>
      <c r="O447" s="7">
        <v>0.7680555555555556</v>
      </c>
      <c r="P447" s="5">
        <v>1</v>
      </c>
      <c r="Q447" s="5" t="s">
        <v>251</v>
      </c>
      <c r="R447" s="5">
        <v>170000</v>
      </c>
      <c r="S447" s="5">
        <v>0</v>
      </c>
      <c r="T447" s="5">
        <v>12000</v>
      </c>
      <c r="U447" s="5">
        <v>182000</v>
      </c>
      <c r="V447" s="5" t="s">
        <v>2422</v>
      </c>
      <c r="W447" s="5" t="s">
        <v>36</v>
      </c>
      <c r="X447" s="5" t="s">
        <v>67</v>
      </c>
      <c r="Y447" s="5" t="s">
        <v>24</v>
      </c>
      <c r="AA447" s="5" t="s">
        <v>44</v>
      </c>
      <c r="AC447" s="8" t="str">
        <f>HYPERLINK("https://drive.google.com/file/d/1KbIJMdm9EIOpz8gePLtFqRzkUSPEd0yE/view?usp=drivesdk", "Abrir_Factura")</f>
        <v>Abrir_Factura</v>
      </c>
      <c r="AD447" s="9">
        <v>46002.685219907406</v>
      </c>
    </row>
    <row r="448" spans="1:30" ht="12.5">
      <c r="A448" s="4">
        <v>46002.697906932866</v>
      </c>
      <c r="B448" s="5">
        <v>90181</v>
      </c>
      <c r="C448" s="5">
        <v>0</v>
      </c>
      <c r="D448" s="5" t="s">
        <v>627</v>
      </c>
      <c r="F448" s="5" t="s">
        <v>2423</v>
      </c>
      <c r="H448" s="5">
        <v>573016391435</v>
      </c>
      <c r="J448" s="5" t="s">
        <v>2424</v>
      </c>
      <c r="K448" s="5" t="s">
        <v>307</v>
      </c>
      <c r="L448" s="5" t="s">
        <v>2425</v>
      </c>
      <c r="M448" s="5">
        <v>3016391435</v>
      </c>
      <c r="N448" s="6">
        <v>46002</v>
      </c>
      <c r="O448" s="7">
        <v>0.78125</v>
      </c>
      <c r="P448" s="5">
        <v>1</v>
      </c>
      <c r="Q448" s="5" t="s">
        <v>42</v>
      </c>
      <c r="R448" s="5">
        <v>120000</v>
      </c>
      <c r="S448" s="5">
        <v>0</v>
      </c>
      <c r="T448" s="5">
        <v>10000</v>
      </c>
      <c r="U448" s="5">
        <v>130000</v>
      </c>
      <c r="V448" s="5" t="s">
        <v>2426</v>
      </c>
      <c r="W448" s="5" t="s">
        <v>36</v>
      </c>
      <c r="X448" s="5" t="s">
        <v>67</v>
      </c>
      <c r="Y448" s="5" t="s">
        <v>24</v>
      </c>
      <c r="AA448" s="5" t="s">
        <v>69</v>
      </c>
      <c r="AB448" s="5" t="s">
        <v>2427</v>
      </c>
      <c r="AC448" s="8" t="str">
        <f>HYPERLINK("https://drive.google.com/file/d/18FEovafdd_TBukfIlNfJBbneqDM-1343/view?usp=drivesdk", "Abrir_Factura")</f>
        <v>Abrir_Factura</v>
      </c>
      <c r="AD448" s="9">
        <v>46002.698622685188</v>
      </c>
    </row>
    <row r="449" spans="1:30" ht="12.5">
      <c r="A449" s="4">
        <v>46002.718687569446</v>
      </c>
      <c r="B449" s="5">
        <v>90182</v>
      </c>
      <c r="C449" s="5">
        <v>55304172</v>
      </c>
      <c r="D449" s="5" t="s">
        <v>2428</v>
      </c>
      <c r="F449" s="5" t="s">
        <v>2429</v>
      </c>
      <c r="H449" s="5">
        <v>573017925190</v>
      </c>
      <c r="J449" s="5" t="s">
        <v>2430</v>
      </c>
      <c r="K449" s="5" t="s">
        <v>110</v>
      </c>
      <c r="L449" s="5" t="s">
        <v>2431</v>
      </c>
      <c r="M449" s="5">
        <v>3114016946</v>
      </c>
      <c r="N449" s="6">
        <v>46003</v>
      </c>
      <c r="O449" s="7">
        <v>0.66666666666666663</v>
      </c>
      <c r="P449" s="5">
        <v>1</v>
      </c>
      <c r="Q449" s="5" t="s">
        <v>187</v>
      </c>
      <c r="R449" s="5">
        <v>200000</v>
      </c>
      <c r="S449" s="5">
        <v>0</v>
      </c>
      <c r="T449" s="5">
        <v>6000</v>
      </c>
      <c r="U449" s="5">
        <v>206000</v>
      </c>
      <c r="V449" s="5" t="s">
        <v>2432</v>
      </c>
      <c r="W449" s="5" t="s">
        <v>36</v>
      </c>
      <c r="X449" s="5" t="s">
        <v>67</v>
      </c>
      <c r="Y449" s="5" t="s">
        <v>24</v>
      </c>
      <c r="Z449" s="5" t="s">
        <v>2433</v>
      </c>
      <c r="AA449" s="5" t="s">
        <v>44</v>
      </c>
      <c r="AC449" s="8" t="str">
        <f>HYPERLINK("https://drive.google.com/file/d/15_o6wOlqS7UF2anR7x51KyvDvG1FEm_x/view?usp=drivesdk","Abrir_Factura")</f>
        <v>Abrir_Factura</v>
      </c>
      <c r="AD449" s="9">
        <v>46002.730416666665</v>
      </c>
    </row>
    <row r="450" spans="1:30" ht="12.5">
      <c r="A450" s="4">
        <v>46002.728492870374</v>
      </c>
      <c r="B450" s="5">
        <v>90183</v>
      </c>
      <c r="C450" s="5">
        <v>7907721</v>
      </c>
      <c r="D450" s="5" t="s">
        <v>2434</v>
      </c>
      <c r="F450" s="5" t="s">
        <v>2435</v>
      </c>
      <c r="H450" s="5">
        <v>573008623546</v>
      </c>
      <c r="J450" s="5" t="s">
        <v>2436</v>
      </c>
      <c r="K450" s="5" t="s">
        <v>33</v>
      </c>
      <c r="L450" s="5" t="s">
        <v>34</v>
      </c>
      <c r="M450" s="5">
        <v>3008623546</v>
      </c>
      <c r="N450" s="6">
        <v>46003</v>
      </c>
      <c r="O450" s="7">
        <v>0.73263888888888884</v>
      </c>
      <c r="P450" s="5">
        <v>1</v>
      </c>
      <c r="Q450" s="5" t="s">
        <v>649</v>
      </c>
      <c r="R450" s="5">
        <v>180000</v>
      </c>
      <c r="S450" s="5">
        <v>0</v>
      </c>
      <c r="T450" s="5">
        <v>0</v>
      </c>
      <c r="U450" s="5">
        <v>180000</v>
      </c>
      <c r="V450" s="5" t="s">
        <v>2437</v>
      </c>
      <c r="W450" s="5" t="s">
        <v>36</v>
      </c>
      <c r="X450" s="5" t="s">
        <v>2438</v>
      </c>
      <c r="Y450" s="5" t="s">
        <v>24</v>
      </c>
      <c r="Z450" s="5" t="s">
        <v>2439</v>
      </c>
      <c r="AA450" s="5" t="s">
        <v>44</v>
      </c>
      <c r="AC450" s="8" t="str">
        <f>HYPERLINK("https://drive.google.com/file/d/1BXBvcZeIEEM0NMPZuMtr9J9PRIoRGT85/view?usp=drivesdk","Abrir_Factura")</f>
        <v>Abrir_Factura</v>
      </c>
      <c r="AD450" s="9">
        <v>46002.738020833334</v>
      </c>
    </row>
    <row r="451" spans="1:30" ht="12.5">
      <c r="A451" s="4">
        <v>46002.744148148151</v>
      </c>
      <c r="B451" s="5">
        <v>90184</v>
      </c>
      <c r="C451" s="5">
        <v>9006172673</v>
      </c>
      <c r="D451" s="5" t="s">
        <v>2440</v>
      </c>
      <c r="F451" s="5" t="s">
        <v>2441</v>
      </c>
      <c r="H451" s="5">
        <v>573114188906</v>
      </c>
      <c r="J451" s="5" t="s">
        <v>2440</v>
      </c>
      <c r="K451" s="5" t="s">
        <v>33</v>
      </c>
      <c r="L451" s="5" t="s">
        <v>34</v>
      </c>
      <c r="M451" s="5">
        <v>3114188906</v>
      </c>
      <c r="N451" s="6">
        <v>46002</v>
      </c>
      <c r="O451" s="7">
        <v>0.82222222222222219</v>
      </c>
      <c r="P451" s="5">
        <v>1</v>
      </c>
      <c r="Q451" s="5" t="s">
        <v>1792</v>
      </c>
      <c r="R451" s="5">
        <v>200000</v>
      </c>
      <c r="S451" s="5">
        <v>0</v>
      </c>
      <c r="T451" s="5">
        <v>0</v>
      </c>
      <c r="U451" s="5">
        <v>200000</v>
      </c>
      <c r="W451" s="5" t="s">
        <v>36</v>
      </c>
      <c r="X451" s="5" t="s">
        <v>67</v>
      </c>
      <c r="Y451" s="5" t="s">
        <v>24</v>
      </c>
      <c r="AA451" s="5" t="s">
        <v>1717</v>
      </c>
      <c r="AC451" s="8" t="str">
        <f>HYPERLINK("https://drive.google.com/file/d/1JW_c6PnLcDIJE6KXYZ7xX28Tuhr9xvFc/view?usp=drivesdk","Abrir_Factura")</f>
        <v>Abrir_Factura</v>
      </c>
      <c r="AD451" s="9">
        <v>46002.750034722223</v>
      </c>
    </row>
    <row r="452" spans="1:30" ht="12.5">
      <c r="A452" s="4">
        <v>46002.756805497687</v>
      </c>
      <c r="B452" s="5">
        <v>90185</v>
      </c>
      <c r="C452" s="5">
        <v>1140895461</v>
      </c>
      <c r="D452" s="5" t="s">
        <v>2442</v>
      </c>
      <c r="F452" s="5" t="s">
        <v>2443</v>
      </c>
      <c r="H452" s="5">
        <v>573145404704</v>
      </c>
      <c r="J452" s="5" t="s">
        <v>2197</v>
      </c>
      <c r="K452" s="5" t="s">
        <v>110</v>
      </c>
      <c r="L452" s="5" t="s">
        <v>2444</v>
      </c>
      <c r="M452" s="5" t="s">
        <v>2445</v>
      </c>
      <c r="N452" s="6">
        <v>46003</v>
      </c>
      <c r="O452" s="7">
        <v>0.38124999999999998</v>
      </c>
      <c r="P452" s="5">
        <v>1</v>
      </c>
      <c r="Q452" s="5" t="s">
        <v>210</v>
      </c>
      <c r="R452" s="5">
        <v>150000</v>
      </c>
      <c r="S452" s="5">
        <v>0</v>
      </c>
      <c r="T452" s="5">
        <v>6000</v>
      </c>
      <c r="U452" s="5">
        <v>156000</v>
      </c>
      <c r="V452" s="5" t="s">
        <v>2446</v>
      </c>
      <c r="W452" s="5" t="s">
        <v>36</v>
      </c>
      <c r="X452" s="5" t="s">
        <v>67</v>
      </c>
      <c r="Y452" s="5" t="s">
        <v>24</v>
      </c>
      <c r="AA452" s="5" t="s">
        <v>44</v>
      </c>
      <c r="AC452" s="8" t="str">
        <f>HYPERLINK("https://drive.google.com/file/d/1KH9YRut0IweQr06N3BvhBVkv0H1gxpK9/view?usp=drivesdk","Abrir_Factura")</f>
        <v>Abrir_Factura</v>
      </c>
      <c r="AD452" s="9">
        <v>46002.75818287037</v>
      </c>
    </row>
    <row r="453" spans="1:30" ht="12.5">
      <c r="A453" s="4">
        <v>46002.738356851856</v>
      </c>
      <c r="B453" s="5">
        <v>90186</v>
      </c>
      <c r="C453" s="5">
        <v>1002210547</v>
      </c>
      <c r="D453" s="5" t="s">
        <v>158</v>
      </c>
      <c r="F453" s="5" t="s">
        <v>2447</v>
      </c>
      <c r="H453" s="5">
        <v>573135270850</v>
      </c>
      <c r="J453" s="5" t="s">
        <v>2448</v>
      </c>
      <c r="K453" s="5" t="s">
        <v>103</v>
      </c>
      <c r="L453" s="5" t="s">
        <v>2449</v>
      </c>
      <c r="M453" s="5">
        <v>3174933551</v>
      </c>
      <c r="N453" s="6">
        <v>46003</v>
      </c>
      <c r="O453" s="7">
        <v>0.39930555555555558</v>
      </c>
      <c r="P453" s="5">
        <v>1</v>
      </c>
      <c r="Q453" s="5" t="s">
        <v>384</v>
      </c>
      <c r="R453" s="5">
        <v>180000</v>
      </c>
      <c r="S453" s="5">
        <v>0</v>
      </c>
      <c r="T453" s="5">
        <v>10000</v>
      </c>
      <c r="U453" s="5">
        <v>190000</v>
      </c>
      <c r="V453" s="5" t="s">
        <v>2450</v>
      </c>
      <c r="W453" s="5" t="s">
        <v>36</v>
      </c>
      <c r="X453" s="5" t="s">
        <v>67</v>
      </c>
      <c r="Y453" s="5" t="s">
        <v>24</v>
      </c>
      <c r="Z453" s="5" t="s">
        <v>2451</v>
      </c>
      <c r="AA453" s="5" t="s">
        <v>44</v>
      </c>
      <c r="AC453" s="8" t="str">
        <f>HYPERLINK("https://drive.google.com/file/d/12h54GnVmx912j5o1U_5fRcznsS8X7fxv/view?usp=drivesdk","Abrir_Factura")</f>
        <v>Abrir_Factura</v>
      </c>
      <c r="AD453" s="9">
        <v>46002.761597222219</v>
      </c>
    </row>
    <row r="454" spans="1:30" ht="12.5">
      <c r="A454" s="4">
        <v>46002.764347233795</v>
      </c>
      <c r="B454" s="5">
        <v>90187</v>
      </c>
      <c r="C454" s="5">
        <v>79154272</v>
      </c>
      <c r="D454" s="5" t="s">
        <v>2452</v>
      </c>
      <c r="F454" s="5" t="s">
        <v>2453</v>
      </c>
      <c r="H454" s="5">
        <v>57000</v>
      </c>
      <c r="J454" s="5" t="s">
        <v>2454</v>
      </c>
      <c r="K454" s="5" t="s">
        <v>33</v>
      </c>
      <c r="L454" s="5" t="s">
        <v>34</v>
      </c>
      <c r="M454" s="5">
        <v>0</v>
      </c>
      <c r="N454" s="6">
        <v>46002</v>
      </c>
      <c r="O454" s="7">
        <v>0.85069444444444442</v>
      </c>
      <c r="P454" s="5">
        <v>1</v>
      </c>
      <c r="Q454" s="5" t="s">
        <v>42</v>
      </c>
      <c r="R454" s="5">
        <v>170000</v>
      </c>
      <c r="S454" s="5">
        <v>0</v>
      </c>
      <c r="T454" s="5">
        <v>0</v>
      </c>
      <c r="U454" s="5">
        <v>170000</v>
      </c>
      <c r="W454" s="5" t="s">
        <v>36</v>
      </c>
      <c r="X454" s="5" t="s">
        <v>1705</v>
      </c>
      <c r="Y454" s="5" t="s">
        <v>24</v>
      </c>
      <c r="AA454" s="5" t="s">
        <v>1717</v>
      </c>
      <c r="AB454" s="5" t="s">
        <v>2455</v>
      </c>
      <c r="AC454" s="8" t="str">
        <f>HYPERLINK("https://drive.google.com/file/d/1C0rwXwaF7F17yfYODt5EXM0bOH3_HKAK/view?usp=drivesdk","Abrir_Factura")</f>
        <v>Abrir_Factura</v>
      </c>
      <c r="AD454" s="9">
        <v>46002.765208333331</v>
      </c>
    </row>
    <row r="455" spans="1:30" ht="12.5">
      <c r="A455" s="4">
        <v>46002.748678206015</v>
      </c>
      <c r="B455" s="5">
        <v>90188</v>
      </c>
      <c r="C455" s="5">
        <v>1140890417</v>
      </c>
      <c r="D455" s="5" t="s">
        <v>825</v>
      </c>
      <c r="F455" s="5" t="s">
        <v>2456</v>
      </c>
      <c r="H455" s="5">
        <v>573160813930</v>
      </c>
      <c r="J455" s="5" t="s">
        <v>2457</v>
      </c>
      <c r="K455" s="5" t="s">
        <v>265</v>
      </c>
      <c r="L455" s="5" t="s">
        <v>2458</v>
      </c>
      <c r="M455" s="5">
        <v>3160838102</v>
      </c>
      <c r="N455" s="6">
        <v>46004</v>
      </c>
      <c r="O455" s="7">
        <v>0.33333333333333331</v>
      </c>
      <c r="P455" s="5">
        <v>1</v>
      </c>
      <c r="Q455" s="5" t="s">
        <v>1597</v>
      </c>
      <c r="R455" s="5">
        <v>400000</v>
      </c>
      <c r="S455" s="5">
        <v>0</v>
      </c>
      <c r="T455" s="5">
        <v>17000</v>
      </c>
      <c r="U455" s="5">
        <v>417000</v>
      </c>
      <c r="V455" s="5" t="s">
        <v>2459</v>
      </c>
      <c r="W455" s="5" t="s">
        <v>36</v>
      </c>
      <c r="X455" s="5" t="s">
        <v>1937</v>
      </c>
      <c r="Y455" s="5" t="s">
        <v>24</v>
      </c>
      <c r="Z455" s="5" t="s">
        <v>2460</v>
      </c>
      <c r="AA455" s="5" t="s">
        <v>69</v>
      </c>
      <c r="AC455" s="8" t="str">
        <f>HYPERLINK("https://drive.google.com/file/d/1nmVffK6X-2zuLzeCqdlZ4mSR6tzKURnz/view?usp=drivesdk","Abrir_Factura")</f>
        <v>Abrir_Factura</v>
      </c>
      <c r="AD455" s="9">
        <v>46003.29047453704</v>
      </c>
    </row>
    <row r="456" spans="1:30" ht="12.5">
      <c r="A456" s="4">
        <v>46003.298324953706</v>
      </c>
      <c r="B456" s="5">
        <v>90189</v>
      </c>
      <c r="C456" s="5">
        <v>1044427226</v>
      </c>
      <c r="D456" s="5" t="s">
        <v>2461</v>
      </c>
      <c r="F456" s="5" t="s">
        <v>2462</v>
      </c>
      <c r="H456" s="5">
        <v>573015540860</v>
      </c>
      <c r="J456" s="5" t="s">
        <v>2463</v>
      </c>
      <c r="K456" s="5" t="s">
        <v>103</v>
      </c>
      <c r="L456" s="5" t="s">
        <v>2464</v>
      </c>
      <c r="M456" s="5">
        <v>3015540860</v>
      </c>
      <c r="N456" s="6">
        <v>46004</v>
      </c>
      <c r="O456" s="7">
        <v>0.33333333333333331</v>
      </c>
      <c r="P456" s="5">
        <v>1</v>
      </c>
      <c r="Q456" s="5" t="s">
        <v>42</v>
      </c>
      <c r="R456" s="5">
        <v>350000</v>
      </c>
      <c r="S456" s="5">
        <v>0</v>
      </c>
      <c r="T456" s="5">
        <v>10000</v>
      </c>
      <c r="U456" s="5">
        <v>360000</v>
      </c>
      <c r="W456" s="5" t="s">
        <v>36</v>
      </c>
      <c r="X456" s="5" t="s">
        <v>67</v>
      </c>
      <c r="Y456" s="5" t="s">
        <v>24</v>
      </c>
      <c r="AA456" s="5" t="s">
        <v>69</v>
      </c>
      <c r="AB456" s="5" t="s">
        <v>2465</v>
      </c>
      <c r="AC456" s="8" t="str">
        <f>HYPERLINK("https://drive.google.com/file/d/1Apnn6fsHGffLjFzhBWCEfTzyAR857_Xm/view?usp=drivesdk","Abrir_Factura")</f>
        <v>Abrir_Factura</v>
      </c>
      <c r="AD456" s="9">
        <v>46003.299131944441</v>
      </c>
    </row>
    <row r="457" spans="1:30" ht="12.5">
      <c r="A457" s="4">
        <v>46002.842784074077</v>
      </c>
      <c r="B457" s="5">
        <v>90190</v>
      </c>
      <c r="C457" s="5">
        <v>1065823920</v>
      </c>
      <c r="D457" s="5" t="s">
        <v>2466</v>
      </c>
      <c r="F457" s="5" t="s">
        <v>2467</v>
      </c>
      <c r="H457" s="5">
        <v>573015266031</v>
      </c>
      <c r="J457" s="5" t="s">
        <v>2468</v>
      </c>
      <c r="K457" s="5" t="s">
        <v>33</v>
      </c>
      <c r="L457" s="5" t="s">
        <v>34</v>
      </c>
      <c r="M457" s="5">
        <v>3015266031</v>
      </c>
      <c r="N457" s="6">
        <v>46003</v>
      </c>
      <c r="O457" s="7">
        <v>0.375</v>
      </c>
      <c r="P457" s="5">
        <v>1</v>
      </c>
      <c r="Q457" s="5" t="s">
        <v>309</v>
      </c>
      <c r="R457" s="5">
        <v>80000</v>
      </c>
      <c r="S457" s="5">
        <v>0</v>
      </c>
      <c r="T457" s="5">
        <v>0</v>
      </c>
      <c r="U457" s="5">
        <v>80000</v>
      </c>
      <c r="V457" s="5" t="s">
        <v>2469</v>
      </c>
      <c r="W457" s="5" t="s">
        <v>36</v>
      </c>
      <c r="X457" s="5" t="s">
        <v>1705</v>
      </c>
      <c r="Y457" s="5" t="s">
        <v>24</v>
      </c>
      <c r="Z457" s="5" t="s">
        <v>2470</v>
      </c>
      <c r="AA457" s="5" t="s">
        <v>69</v>
      </c>
      <c r="AC457" s="8" t="str">
        <f>HYPERLINK("https://drive.google.com/file/d/1VyETUB67ePeS7wU9MZviqXMyYrJ_hWXV/view?usp=drivesdk", "Abrir_Factura")</f>
        <v>Abrir_Factura</v>
      </c>
      <c r="AD457" s="9">
        <v>46003.355706018519</v>
      </c>
    </row>
    <row r="458" spans="1:30" ht="12.5">
      <c r="A458" s="4">
        <v>46003.359018275463</v>
      </c>
      <c r="B458" s="5">
        <v>90191</v>
      </c>
      <c r="C458" s="5">
        <v>0</v>
      </c>
      <c r="D458" s="5" t="s">
        <v>2471</v>
      </c>
      <c r="F458" s="5" t="s">
        <v>2472</v>
      </c>
      <c r="H458" s="5">
        <v>573113043191</v>
      </c>
      <c r="J458" s="5" t="s">
        <v>2473</v>
      </c>
      <c r="K458" s="5" t="s">
        <v>33</v>
      </c>
      <c r="L458" s="5" t="s">
        <v>34</v>
      </c>
      <c r="M458" s="5" t="s">
        <v>2474</v>
      </c>
      <c r="N458" s="6">
        <v>46003</v>
      </c>
      <c r="O458" s="7">
        <v>0.44444444444444442</v>
      </c>
      <c r="P458" s="5">
        <v>1</v>
      </c>
      <c r="Q458" s="5" t="s">
        <v>42</v>
      </c>
      <c r="R458" s="5">
        <v>250000</v>
      </c>
      <c r="S458" s="5">
        <v>0</v>
      </c>
      <c r="T458" s="5">
        <v>0</v>
      </c>
      <c r="U458" s="5">
        <v>250000</v>
      </c>
      <c r="W458" s="5" t="s">
        <v>36</v>
      </c>
      <c r="X458" s="5" t="s">
        <v>83</v>
      </c>
      <c r="Y458" s="5" t="s">
        <v>24</v>
      </c>
      <c r="AA458" s="5" t="s">
        <v>1717</v>
      </c>
      <c r="AB458" s="5" t="s">
        <v>2475</v>
      </c>
      <c r="AC458" s="8" t="str">
        <f>HYPERLINK("https://drive.google.com/file/d/1m3tcvhj0S_myt02DmuCOz1bjXNtDWC1V/view?usp=drivesdk","Abrir_Factura")</f>
        <v>Abrir_Factura</v>
      </c>
      <c r="AD458" s="9">
        <v>46003.359618055554</v>
      </c>
    </row>
    <row r="459" spans="1:30" ht="12.5">
      <c r="A459" s="4">
        <v>46003.364330671291</v>
      </c>
      <c r="B459" s="5">
        <v>90192</v>
      </c>
      <c r="C459" s="5">
        <v>900832514</v>
      </c>
      <c r="D459" s="5" t="s">
        <v>2476</v>
      </c>
      <c r="F459" s="5" t="s">
        <v>2477</v>
      </c>
      <c r="H459" s="5">
        <v>573167523792</v>
      </c>
      <c r="J459" s="5" t="s">
        <v>2478</v>
      </c>
      <c r="K459" s="5" t="s">
        <v>33</v>
      </c>
      <c r="L459" s="5" t="s">
        <v>34</v>
      </c>
      <c r="M459" s="5">
        <v>3167523792</v>
      </c>
      <c r="N459" s="6">
        <v>46003</v>
      </c>
      <c r="O459" s="7">
        <v>0.45</v>
      </c>
      <c r="P459" s="5">
        <v>1</v>
      </c>
      <c r="Q459" s="5" t="s">
        <v>2479</v>
      </c>
      <c r="R459" s="5">
        <v>1785000</v>
      </c>
      <c r="S459" s="5">
        <v>0</v>
      </c>
      <c r="T459" s="5">
        <v>0</v>
      </c>
      <c r="U459" s="5">
        <v>1785000</v>
      </c>
      <c r="W459" s="5" t="s">
        <v>36</v>
      </c>
      <c r="X459" s="5" t="s">
        <v>67</v>
      </c>
      <c r="Y459" s="5" t="s">
        <v>24</v>
      </c>
      <c r="AA459" s="5" t="s">
        <v>44</v>
      </c>
      <c r="AB459" s="5" t="s">
        <v>2480</v>
      </c>
      <c r="AC459" s="8" t="str">
        <f>HYPERLINK("https://drive.google.com/file/d/1mNvjzoS3bnmlJtw89nAEMbmLEb3DqS3x/view?usp=drivesdk","Abrir_Factura")</f>
        <v>Abrir_Factura</v>
      </c>
      <c r="AD459" s="9">
        <v>46003.366273148145</v>
      </c>
    </row>
    <row r="460" spans="1:30" ht="12.5">
      <c r="A460" s="4">
        <v>46003.368215428243</v>
      </c>
      <c r="B460" s="5">
        <v>90193</v>
      </c>
      <c r="C460" s="5">
        <v>80874082</v>
      </c>
      <c r="D460" s="5" t="s">
        <v>1702</v>
      </c>
      <c r="F460" s="5" t="s">
        <v>2481</v>
      </c>
      <c r="H460" s="5">
        <v>573212433430</v>
      </c>
      <c r="J460" s="5" t="s">
        <v>1467</v>
      </c>
      <c r="K460" s="5" t="s">
        <v>33</v>
      </c>
      <c r="L460" s="5" t="s">
        <v>34</v>
      </c>
      <c r="N460" s="6">
        <v>46003</v>
      </c>
      <c r="O460" s="7">
        <v>0.45069444444444445</v>
      </c>
      <c r="P460" s="5">
        <v>1</v>
      </c>
      <c r="Q460" s="5" t="s">
        <v>2482</v>
      </c>
      <c r="R460" s="5">
        <v>220000</v>
      </c>
      <c r="S460" s="5">
        <v>0</v>
      </c>
      <c r="T460" s="5">
        <v>0</v>
      </c>
      <c r="U460" s="5">
        <v>220000</v>
      </c>
      <c r="V460" s="5" t="s">
        <v>2483</v>
      </c>
      <c r="W460" s="5" t="s">
        <v>36</v>
      </c>
      <c r="X460" s="5" t="s">
        <v>67</v>
      </c>
      <c r="Y460" s="5" t="s">
        <v>24</v>
      </c>
      <c r="Z460" s="5" t="s">
        <v>2484</v>
      </c>
      <c r="AA460" s="5" t="s">
        <v>44</v>
      </c>
      <c r="AC460" s="8" t="str">
        <f>HYPERLINK("https://drive.google.com/file/d/1QRKgd3e8aCi2SDPKOMiugn22gc_m-Xra/view?usp=drivesdk","Abrir_Factura")</f>
        <v>Abrir_Factura</v>
      </c>
      <c r="AD460" s="9">
        <v>46003.373518518521</v>
      </c>
    </row>
    <row r="461" spans="1:30" ht="12.5">
      <c r="A461" s="4">
        <v>46003.374242812497</v>
      </c>
      <c r="B461" s="5">
        <v>90194</v>
      </c>
      <c r="C461" s="5">
        <v>5522003</v>
      </c>
      <c r="D461" s="5" t="s">
        <v>2485</v>
      </c>
      <c r="F461" s="5" t="s">
        <v>1968</v>
      </c>
      <c r="H461" s="5">
        <v>57314564920</v>
      </c>
      <c r="J461" s="5" t="s">
        <v>2486</v>
      </c>
      <c r="K461" s="5" t="s">
        <v>33</v>
      </c>
      <c r="L461" s="5" t="s">
        <v>34</v>
      </c>
      <c r="M461" s="5">
        <v>314564920</v>
      </c>
      <c r="N461" s="6">
        <v>46003</v>
      </c>
      <c r="O461" s="7">
        <v>0.4597222222222222</v>
      </c>
      <c r="P461" s="5">
        <v>1</v>
      </c>
      <c r="Q461" s="5" t="s">
        <v>375</v>
      </c>
      <c r="R461" s="5">
        <v>70000</v>
      </c>
      <c r="S461" s="5">
        <v>0</v>
      </c>
      <c r="T461" s="5">
        <v>0</v>
      </c>
      <c r="U461" s="5">
        <v>70000</v>
      </c>
      <c r="W461" s="5" t="s">
        <v>36</v>
      </c>
      <c r="X461" s="5" t="s">
        <v>1705</v>
      </c>
      <c r="Y461" s="5" t="s">
        <v>24</v>
      </c>
      <c r="AA461" s="5" t="s">
        <v>1717</v>
      </c>
      <c r="AC461" s="8" t="str">
        <f>HYPERLINK("https://drive.google.com/file/d/1PaMZFu2mSydhad4eKqQeitHwHC6sxNof/view?usp=drivesdk","Abrir_Factura")</f>
        <v>Abrir_Factura</v>
      </c>
      <c r="AD461" s="9">
        <v>46003.376145833332</v>
      </c>
    </row>
    <row r="462" spans="1:30" ht="12.5">
      <c r="A462" s="4">
        <v>46003.375502430557</v>
      </c>
      <c r="B462" s="5">
        <v>90195</v>
      </c>
      <c r="C462" s="5">
        <v>441135</v>
      </c>
      <c r="D462" s="5" t="s">
        <v>2487</v>
      </c>
      <c r="F462" s="5" t="s">
        <v>2488</v>
      </c>
      <c r="H462" s="5">
        <v>584142358683</v>
      </c>
      <c r="J462" s="5" t="s">
        <v>2489</v>
      </c>
      <c r="K462" s="5" t="s">
        <v>563</v>
      </c>
      <c r="L462" s="5" t="s">
        <v>2490</v>
      </c>
      <c r="M462" s="5">
        <v>3168740115</v>
      </c>
      <c r="N462" s="6">
        <v>46003</v>
      </c>
      <c r="O462" s="7">
        <v>0.49722222222222223</v>
      </c>
      <c r="P462" s="5">
        <v>1</v>
      </c>
      <c r="Q462" s="5" t="s">
        <v>42</v>
      </c>
      <c r="R462" s="5">
        <v>100000</v>
      </c>
      <c r="S462" s="5">
        <v>0</v>
      </c>
      <c r="T462" s="5">
        <v>12000</v>
      </c>
      <c r="U462" s="5">
        <v>112000</v>
      </c>
      <c r="V462" s="5" t="s">
        <v>2491</v>
      </c>
      <c r="W462" s="5" t="s">
        <v>36</v>
      </c>
      <c r="X462" s="5" t="s">
        <v>180</v>
      </c>
      <c r="Y462" s="5" t="s">
        <v>24</v>
      </c>
      <c r="Z462" s="5" t="s">
        <v>2492</v>
      </c>
      <c r="AA462" s="5" t="s">
        <v>69</v>
      </c>
      <c r="AB462" s="5" t="s">
        <v>2493</v>
      </c>
      <c r="AC462" s="8" t="str">
        <f>HYPERLINK("https://drive.google.com/file/d/1BdptoW3K6NKimKycDvBLZCzxeOX3FD8n/view?usp=drivesdk", "Abrir_Factura")</f>
        <v>Abrir_Factura</v>
      </c>
      <c r="AD462" s="9">
        <v>46003.391863425924</v>
      </c>
    </row>
    <row r="463" spans="1:30" ht="12.5">
      <c r="A463" s="4">
        <v>46003.384428078702</v>
      </c>
      <c r="B463" s="5">
        <v>90196</v>
      </c>
      <c r="C463" s="5">
        <v>22533618</v>
      </c>
      <c r="D463" s="5" t="s">
        <v>2494</v>
      </c>
      <c r="F463" s="5" t="s">
        <v>2495</v>
      </c>
      <c r="H463" s="5">
        <v>573017713595</v>
      </c>
      <c r="J463" s="5" t="s">
        <v>2496</v>
      </c>
      <c r="L463" s="5" t="s">
        <v>2497</v>
      </c>
      <c r="M463" s="5">
        <v>3145968606</v>
      </c>
      <c r="N463" s="6">
        <v>46003</v>
      </c>
      <c r="O463" s="7">
        <v>0.45624999999999999</v>
      </c>
      <c r="P463" s="5">
        <v>1</v>
      </c>
      <c r="Q463" s="5" t="s">
        <v>112</v>
      </c>
      <c r="R463" s="5">
        <v>260000</v>
      </c>
      <c r="S463" s="5">
        <v>0</v>
      </c>
      <c r="T463" s="5"/>
      <c r="U463" s="5">
        <v>260000</v>
      </c>
      <c r="V463" s="5" t="s">
        <v>2498</v>
      </c>
      <c r="W463" s="5" t="s">
        <v>36</v>
      </c>
      <c r="X463" s="5" t="s">
        <v>67</v>
      </c>
      <c r="Y463" s="5" t="s">
        <v>24</v>
      </c>
      <c r="Z463" s="5" t="s">
        <v>2499</v>
      </c>
      <c r="AA463" s="5" t="s">
        <v>44</v>
      </c>
      <c r="AC463" s="8" t="str">
        <f>HYPERLINK("https://drive.google.com/file/d/1uuIjyY903Fw2VkfI5PylBFOVjQxQXK8Q/view?usp=drivesdk","Abrir_Factura")</f>
        <v>Abrir_Factura</v>
      </c>
      <c r="AD463" s="9">
        <v>46003.394305555557</v>
      </c>
    </row>
    <row r="464" spans="1:30" ht="12.5">
      <c r="A464" s="4">
        <v>46002.876181157408</v>
      </c>
      <c r="B464" s="5">
        <v>90197</v>
      </c>
      <c r="C464" s="5">
        <v>1140837600</v>
      </c>
      <c r="D464" s="5" t="s">
        <v>2500</v>
      </c>
      <c r="F464" s="5" t="s">
        <v>2501</v>
      </c>
      <c r="H464" s="5">
        <v>573005778957</v>
      </c>
      <c r="J464" s="5" t="s">
        <v>2502</v>
      </c>
      <c r="K464" s="5" t="s">
        <v>103</v>
      </c>
      <c r="L464" s="5" t="s">
        <v>2503</v>
      </c>
      <c r="M464" s="5">
        <v>30178600900</v>
      </c>
      <c r="N464" s="6">
        <v>46003</v>
      </c>
      <c r="O464" s="7">
        <v>0.5</v>
      </c>
      <c r="P464" s="5">
        <v>1</v>
      </c>
      <c r="Q464" s="5" t="s">
        <v>309</v>
      </c>
      <c r="R464" s="5">
        <v>80000</v>
      </c>
      <c r="S464" s="5">
        <v>0</v>
      </c>
      <c r="T464" s="5">
        <v>10000</v>
      </c>
      <c r="U464" s="5">
        <v>90000</v>
      </c>
      <c r="V464" s="5" t="s">
        <v>2504</v>
      </c>
      <c r="W464" s="5" t="s">
        <v>36</v>
      </c>
      <c r="X464" s="5" t="s">
        <v>1937</v>
      </c>
      <c r="Y464" s="5" t="s">
        <v>24</v>
      </c>
      <c r="Z464" s="5" t="s">
        <v>2505</v>
      </c>
      <c r="AA464" s="5" t="s">
        <v>69</v>
      </c>
      <c r="AC464" s="8" t="str">
        <f>HYPERLINK("https://drive.google.com/file/d/1fYvB3VYq7L7BqfIMZJN1T9PqlgbLHD09/view?usp=drivesdk","Abrir_Factura")</f>
        <v>Abrir_Factura</v>
      </c>
      <c r="AD464" s="9">
        <v>46003.397835648146</v>
      </c>
    </row>
    <row r="465" spans="1:30" ht="12.5">
      <c r="A465" s="4">
        <v>46003.391598784721</v>
      </c>
      <c r="B465" s="5">
        <v>90198</v>
      </c>
      <c r="C465" s="5">
        <v>1</v>
      </c>
      <c r="D465" s="5" t="s">
        <v>2506</v>
      </c>
      <c r="F465" s="5" t="s">
        <v>2507</v>
      </c>
      <c r="H465" s="5">
        <v>19148884045</v>
      </c>
      <c r="J465" s="5" t="s">
        <v>2508</v>
      </c>
      <c r="K465" s="5" t="s">
        <v>2509</v>
      </c>
      <c r="L465" s="5" t="s">
        <v>2510</v>
      </c>
      <c r="M465" s="5" t="s">
        <v>25421</v>
      </c>
      <c r="N465" s="6">
        <v>46003</v>
      </c>
      <c r="O465" s="7">
        <v>0.46875</v>
      </c>
      <c r="P465" s="5">
        <v>1</v>
      </c>
      <c r="Q465" s="5" t="s">
        <v>1696</v>
      </c>
      <c r="R465" s="5">
        <v>700000</v>
      </c>
      <c r="S465" s="5">
        <v>0</v>
      </c>
      <c r="T465" s="5">
        <v>10000</v>
      </c>
      <c r="U465" s="5">
        <v>710000</v>
      </c>
      <c r="V465" s="5" t="s">
        <v>2511</v>
      </c>
      <c r="W465" s="5" t="s">
        <v>36</v>
      </c>
      <c r="X465" s="5" t="s">
        <v>1937</v>
      </c>
      <c r="Y465" s="5" t="s">
        <v>24</v>
      </c>
      <c r="Z465" s="5" t="s">
        <v>2512</v>
      </c>
      <c r="AA465" s="5" t="s">
        <v>44</v>
      </c>
      <c r="AC465" s="8" t="str">
        <f>HYPERLINK("https://drive.google.com/file/d/1WSpANEdhUFFBnlcngWQOiJqW7c-pvXz0/view?usp=drivesdk","Abrir_Factura")</f>
        <v>Abrir_Factura</v>
      </c>
      <c r="AD465" s="9">
        <v>46003.402719907404</v>
      </c>
    </row>
    <row r="466" spans="1:30" ht="12.5">
      <c r="A466" s="4">
        <v>46003.387073692131</v>
      </c>
      <c r="B466" s="5">
        <v>90199</v>
      </c>
      <c r="C466" s="5">
        <v>1129575427</v>
      </c>
      <c r="D466" s="5" t="s">
        <v>296</v>
      </c>
      <c r="F466" s="5" t="s">
        <v>2513</v>
      </c>
      <c r="H466" s="5">
        <v>573006009556</v>
      </c>
      <c r="J466" s="5" t="s">
        <v>2514</v>
      </c>
      <c r="K466" s="5" t="s">
        <v>33</v>
      </c>
      <c r="L466" s="5" t="s">
        <v>34</v>
      </c>
      <c r="M466" s="5">
        <v>3006009556</v>
      </c>
      <c r="N466" s="6">
        <v>46003</v>
      </c>
      <c r="O466" s="7">
        <v>0.47222222222222221</v>
      </c>
      <c r="P466" s="5">
        <v>1</v>
      </c>
      <c r="Q466" s="5" t="s">
        <v>309</v>
      </c>
      <c r="R466" s="5">
        <v>80000</v>
      </c>
      <c r="S466" s="5">
        <v>0</v>
      </c>
      <c r="T466" s="5">
        <v>0</v>
      </c>
      <c r="U466" s="5">
        <v>80000</v>
      </c>
      <c r="V466" s="5" t="s">
        <v>2515</v>
      </c>
      <c r="W466" s="5" t="s">
        <v>36</v>
      </c>
      <c r="X466" s="5" t="s">
        <v>67</v>
      </c>
      <c r="Y466" s="5" t="s">
        <v>24</v>
      </c>
      <c r="Z466" s="5" t="s">
        <v>2516</v>
      </c>
      <c r="AA466" s="5" t="s">
        <v>69</v>
      </c>
      <c r="AC466" s="8" t="str">
        <f>HYPERLINK("https://drive.google.com/file/d/1Ta0vmwQ2ksfJMhPKbsRdCNB-MHwmM5qL/view?usp=drivesdk", "Abrir_Factura")</f>
        <v>Abrir_Factura</v>
      </c>
      <c r="AD466" s="9">
        <v>46003.403263888889</v>
      </c>
    </row>
    <row r="467" spans="1:30" ht="12.5">
      <c r="A467" s="4">
        <v>46003.408536157411</v>
      </c>
      <c r="B467" s="5">
        <v>90200</v>
      </c>
      <c r="C467" s="5">
        <v>1002207850</v>
      </c>
      <c r="D467" s="5" t="s">
        <v>182</v>
      </c>
      <c r="F467" s="5" t="s">
        <v>2517</v>
      </c>
      <c r="H467" s="5">
        <v>573024221600</v>
      </c>
      <c r="J467" s="5" t="s">
        <v>2518</v>
      </c>
      <c r="K467" s="5" t="s">
        <v>1352</v>
      </c>
      <c r="L467" s="5" t="s">
        <v>2519</v>
      </c>
      <c r="M467" s="5">
        <v>3205647066</v>
      </c>
      <c r="N467" s="6">
        <v>46003</v>
      </c>
      <c r="O467" s="7">
        <v>0.48958333333333331</v>
      </c>
      <c r="P467" s="5">
        <v>1</v>
      </c>
      <c r="Q467" s="5" t="s">
        <v>380</v>
      </c>
      <c r="R467" s="5">
        <v>300000</v>
      </c>
      <c r="S467" s="5">
        <v>0</v>
      </c>
      <c r="T467" s="5">
        <v>10000</v>
      </c>
      <c r="U467" s="5">
        <v>310000</v>
      </c>
      <c r="V467" s="5" t="s">
        <v>2520</v>
      </c>
      <c r="W467" s="5" t="s">
        <v>36</v>
      </c>
      <c r="X467" s="5" t="s">
        <v>67</v>
      </c>
      <c r="Y467" s="5" t="s">
        <v>24</v>
      </c>
      <c r="Z467" s="5" t="s">
        <v>2521</v>
      </c>
      <c r="AA467" s="5" t="s">
        <v>69</v>
      </c>
      <c r="AC467" s="8" t="str">
        <f>HYPERLINK("https://drive.google.com/file/d/1Of4WKXFHy0O7f1bkgB2Xlkzp_BraUzDM/view?usp=drivesdk", "Abrir_Factura")</f>
        <v>Abrir_Factura</v>
      </c>
      <c r="AD467" s="9">
        <v>46003.412037037036</v>
      </c>
    </row>
    <row r="468" spans="1:30" ht="12.5">
      <c r="A468" s="4">
        <v>46003.408800983801</v>
      </c>
      <c r="B468" s="5">
        <v>90201</v>
      </c>
      <c r="C468" s="5">
        <v>32740632</v>
      </c>
      <c r="D468" s="5" t="s">
        <v>2522</v>
      </c>
      <c r="F468" s="5" t="s">
        <v>2523</v>
      </c>
      <c r="H468" s="5">
        <v>573215418318</v>
      </c>
      <c r="J468" s="5" t="s">
        <v>2524</v>
      </c>
      <c r="K468" s="5" t="s">
        <v>516</v>
      </c>
      <c r="L468" s="5" t="s">
        <v>2525</v>
      </c>
      <c r="M468" s="5">
        <v>3215418318</v>
      </c>
      <c r="N468" s="6">
        <v>46004</v>
      </c>
      <c r="O468" s="7">
        <v>0.34375</v>
      </c>
      <c r="P468" s="5">
        <v>1</v>
      </c>
      <c r="Q468" s="5" t="s">
        <v>576</v>
      </c>
      <c r="R468" s="5">
        <v>120000</v>
      </c>
      <c r="S468" s="5">
        <v>0</v>
      </c>
      <c r="T468" s="5">
        <v>10000</v>
      </c>
      <c r="U468" s="5">
        <v>130000</v>
      </c>
      <c r="V468" s="5" t="s">
        <v>2526</v>
      </c>
      <c r="W468" s="5" t="s">
        <v>36</v>
      </c>
      <c r="X468" s="5" t="s">
        <v>83</v>
      </c>
      <c r="Y468" s="5" t="s">
        <v>24</v>
      </c>
      <c r="Z468" s="5" t="s">
        <v>2527</v>
      </c>
      <c r="AA468" s="5" t="s">
        <v>69</v>
      </c>
      <c r="AC468" s="8" t="str">
        <f>HYPERLINK("https://drive.google.com/file/d/1rOT-rFrS3JTRa0pLhOJxWZ8rUkJgIH_3/view?usp=drivesdk","Abrir_Factura")</f>
        <v>Abrir_Factura</v>
      </c>
      <c r="AD468" s="9">
        <v>46003.421527777777</v>
      </c>
    </row>
    <row r="469" spans="1:30" ht="12.5">
      <c r="A469" s="4">
        <v>46003.399189502314</v>
      </c>
      <c r="B469" s="5">
        <v>90202</v>
      </c>
      <c r="C469" s="5">
        <v>72292061</v>
      </c>
      <c r="D469" s="5" t="s">
        <v>2528</v>
      </c>
      <c r="F469" s="5" t="s">
        <v>2529</v>
      </c>
      <c r="H469" s="5">
        <v>573152500267</v>
      </c>
      <c r="J469" s="5" t="s">
        <v>2530</v>
      </c>
      <c r="K469" s="5" t="s">
        <v>185</v>
      </c>
      <c r="L469" s="5" t="s">
        <v>2531</v>
      </c>
      <c r="M469" s="5">
        <v>3152500267</v>
      </c>
      <c r="N469" s="6">
        <v>46003</v>
      </c>
      <c r="O469" s="7">
        <v>0.48333333333333334</v>
      </c>
      <c r="P469" s="5">
        <v>1</v>
      </c>
      <c r="Q469" s="5" t="s">
        <v>178</v>
      </c>
      <c r="R469" s="5">
        <v>100000</v>
      </c>
      <c r="S469" s="5">
        <v>0</v>
      </c>
      <c r="T469" s="5">
        <v>8000</v>
      </c>
      <c r="U469" s="5">
        <v>108000</v>
      </c>
      <c r="V469" s="5" t="s">
        <v>2532</v>
      </c>
      <c r="W469" s="5" t="s">
        <v>36</v>
      </c>
      <c r="X469" s="5" t="s">
        <v>67</v>
      </c>
      <c r="Y469" s="5" t="s">
        <v>24</v>
      </c>
      <c r="AA469" s="5" t="s">
        <v>44</v>
      </c>
      <c r="AC469" s="8" t="str">
        <f>HYPERLINK("https://drive.google.com/file/d/1nf0XB5_6pSjWubTAsNFDbZsL16q94WkO/view?usp=drivesdk","Abrir_Factura")</f>
        <v>Abrir_Factura</v>
      </c>
      <c r="AD469" s="9">
        <v>46003.427071759259</v>
      </c>
    </row>
    <row r="470" spans="1:30" ht="12.5">
      <c r="A470" s="4">
        <v>46003.419148009256</v>
      </c>
      <c r="B470" s="5">
        <v>90203</v>
      </c>
      <c r="C470" s="5">
        <v>1044614111</v>
      </c>
      <c r="D470" s="5" t="s">
        <v>2533</v>
      </c>
      <c r="F470" s="5" t="s">
        <v>2534</v>
      </c>
      <c r="H470" s="5">
        <v>573185104956</v>
      </c>
      <c r="J470" s="5" t="s">
        <v>2535</v>
      </c>
      <c r="K470" s="5" t="s">
        <v>813</v>
      </c>
      <c r="L470" s="5" t="s">
        <v>2536</v>
      </c>
      <c r="M470" s="5">
        <v>3134847295</v>
      </c>
      <c r="N470" s="6">
        <v>46003</v>
      </c>
      <c r="O470" s="7">
        <v>0.49930555555555556</v>
      </c>
      <c r="P470" s="5">
        <v>1</v>
      </c>
      <c r="Q470" s="5" t="s">
        <v>42</v>
      </c>
      <c r="R470" s="5">
        <v>75000</v>
      </c>
      <c r="S470" s="5">
        <v>0</v>
      </c>
      <c r="T470" s="5">
        <v>15000</v>
      </c>
      <c r="U470" s="5">
        <v>90000</v>
      </c>
      <c r="V470" s="5" t="s">
        <v>2537</v>
      </c>
      <c r="W470" s="5" t="s">
        <v>36</v>
      </c>
      <c r="X470" s="5" t="s">
        <v>83</v>
      </c>
      <c r="Y470" s="5" t="s">
        <v>24</v>
      </c>
      <c r="Z470" s="5" t="s">
        <v>2538</v>
      </c>
      <c r="AA470" s="5" t="s">
        <v>69</v>
      </c>
      <c r="AB470" s="5" t="s">
        <v>2539</v>
      </c>
      <c r="AC470" s="8" t="str">
        <f>HYPERLINK("https://drive.google.com/file/d/14b_hBt2e9rFlpQ-hDybgLS86qM8QtIbX/view?usp=drivesdk", "Abrir_Factura")</f>
        <v>Abrir_Factura</v>
      </c>
      <c r="AD470" s="9">
        <v>46003.443449074075</v>
      </c>
    </row>
    <row r="471" spans="1:30" ht="12.5">
      <c r="A471" s="4">
        <v>46003.410821678241</v>
      </c>
      <c r="B471" s="5">
        <v>90204</v>
      </c>
      <c r="C471" s="5">
        <v>1045752911</v>
      </c>
      <c r="D471" s="5" t="s">
        <v>2540</v>
      </c>
      <c r="F471" s="5" t="s">
        <v>2541</v>
      </c>
      <c r="H471" s="5">
        <v>573002242392</v>
      </c>
      <c r="J471" s="5" t="s">
        <v>2542</v>
      </c>
      <c r="K471" s="5" t="s">
        <v>307</v>
      </c>
      <c r="L471" s="5" t="s">
        <v>2543</v>
      </c>
      <c r="N471" s="6">
        <v>46003</v>
      </c>
      <c r="O471" s="7">
        <v>0.5</v>
      </c>
      <c r="P471" s="5">
        <v>1</v>
      </c>
      <c r="Q471" s="5" t="s">
        <v>375</v>
      </c>
      <c r="R471" s="5">
        <v>70000</v>
      </c>
      <c r="S471" s="5">
        <v>0</v>
      </c>
      <c r="T471" s="5">
        <v>10000</v>
      </c>
      <c r="U471" s="5">
        <v>80000</v>
      </c>
      <c r="V471" s="5" t="s">
        <v>2544</v>
      </c>
      <c r="W471" s="5" t="s">
        <v>36</v>
      </c>
      <c r="X471" s="5" t="s">
        <v>83</v>
      </c>
      <c r="Y471" s="5" t="s">
        <v>24</v>
      </c>
      <c r="Z471" s="5" t="s">
        <v>2545</v>
      </c>
      <c r="AA471" s="5" t="s">
        <v>44</v>
      </c>
      <c r="AC471" s="8" t="str">
        <f>HYPERLINK("https://drive.google.com/file/d/1PnozyS5_XkBA7mlwoqUpk7DxLZr5Bais/view?usp=drivesdk", "Abrir_Factura")</f>
        <v>Abrir_Factura</v>
      </c>
      <c r="AD471" s="9">
        <v>46003.435277777775</v>
      </c>
    </row>
    <row r="472" spans="1:30" ht="12.5">
      <c r="A472" s="4">
        <v>46003.441797870371</v>
      </c>
      <c r="B472" s="5">
        <v>90205</v>
      </c>
      <c r="C472" s="5">
        <v>1143430016</v>
      </c>
      <c r="D472" s="5" t="s">
        <v>1798</v>
      </c>
      <c r="F472" s="5" t="s">
        <v>1827</v>
      </c>
      <c r="H472" s="5">
        <v>573046688627</v>
      </c>
      <c r="J472" s="5" t="s">
        <v>2546</v>
      </c>
      <c r="L472" s="5" t="s">
        <v>2086</v>
      </c>
      <c r="M472" s="5" t="s">
        <v>2547</v>
      </c>
      <c r="N472" s="6">
        <v>46003</v>
      </c>
      <c r="O472" s="7">
        <v>0.52222222222222225</v>
      </c>
      <c r="P472" s="5">
        <v>1</v>
      </c>
      <c r="Q472" s="5" t="s">
        <v>2548</v>
      </c>
      <c r="R472" s="5">
        <v>700000</v>
      </c>
      <c r="S472" s="5">
        <v>0</v>
      </c>
      <c r="T472" s="5"/>
      <c r="U472" s="5">
        <v>700000</v>
      </c>
      <c r="W472" s="5" t="s">
        <v>36</v>
      </c>
      <c r="X472" s="5" t="s">
        <v>83</v>
      </c>
      <c r="Y472" s="5" t="s">
        <v>24</v>
      </c>
      <c r="AA472" s="5" t="s">
        <v>44</v>
      </c>
      <c r="AC472" s="8" t="str">
        <f>HYPERLINK("https://drive.google.com/file/d/1aqk1YiR9Q6xveoP1Emx2qcfJVV7Wt6-T/view?usp=drivesdk","Abrir_Factura")</f>
        <v>Abrir_Factura</v>
      </c>
      <c r="AD472" s="9">
        <v>46003.44253472222</v>
      </c>
    </row>
    <row r="473" spans="1:30" ht="12.5">
      <c r="A473" s="4">
        <v>46003.457079212967</v>
      </c>
      <c r="B473" s="5">
        <v>90206</v>
      </c>
      <c r="C473" s="5">
        <v>1148434782</v>
      </c>
      <c r="D473" s="5" t="s">
        <v>1773</v>
      </c>
      <c r="F473" s="5" t="s">
        <v>591</v>
      </c>
      <c r="H473" s="5">
        <v>573187428672</v>
      </c>
      <c r="J473" s="5" t="s">
        <v>2549</v>
      </c>
      <c r="K473" s="5" t="s">
        <v>33</v>
      </c>
      <c r="L473" s="5" t="s">
        <v>34</v>
      </c>
      <c r="M473" s="5">
        <v>3187428672</v>
      </c>
      <c r="N473" s="6">
        <v>46003</v>
      </c>
      <c r="O473" s="7">
        <v>0.54236111111111107</v>
      </c>
      <c r="P473" s="5">
        <v>1</v>
      </c>
      <c r="Q473" s="5" t="s">
        <v>42</v>
      </c>
      <c r="R473" s="5">
        <v>0</v>
      </c>
      <c r="S473" s="5">
        <v>0</v>
      </c>
      <c r="T473" s="5">
        <v>0</v>
      </c>
      <c r="U473" s="5">
        <v>0</v>
      </c>
      <c r="W473" s="5" t="s">
        <v>36</v>
      </c>
      <c r="X473" s="5" t="s">
        <v>196</v>
      </c>
      <c r="Y473" s="5" t="s">
        <v>24</v>
      </c>
      <c r="AA473" s="5" t="s">
        <v>1717</v>
      </c>
      <c r="AB473" s="5" t="s">
        <v>2550</v>
      </c>
      <c r="AC473" s="8" t="str">
        <f>HYPERLINK("https://drive.google.com/file/d/1oHGV0jtOrpQVxiMLfS_DxEQiC3UCB09a/view?usp=drivesdk", "Abrir_Factura")</f>
        <v>Abrir_Factura</v>
      </c>
      <c r="AD473" s="9">
        <v>46003.458391203705</v>
      </c>
    </row>
    <row r="474" spans="1:30" ht="12.5">
      <c r="A474" s="4">
        <v>46003.466596354163</v>
      </c>
      <c r="B474" s="5">
        <v>90207</v>
      </c>
      <c r="C474" s="5">
        <v>72173661</v>
      </c>
      <c r="D474" s="5" t="s">
        <v>2551</v>
      </c>
      <c r="F474" s="5" t="s">
        <v>2552</v>
      </c>
      <c r="H474" s="5">
        <v>573045355509</v>
      </c>
      <c r="J474" s="5" t="s">
        <v>2553</v>
      </c>
      <c r="K474" s="5" t="s">
        <v>2554</v>
      </c>
      <c r="L474" s="5" t="s">
        <v>2555</v>
      </c>
      <c r="N474" s="6">
        <v>46003</v>
      </c>
      <c r="O474" s="7">
        <v>0.55069444444444449</v>
      </c>
      <c r="P474" s="5">
        <v>1</v>
      </c>
      <c r="Q474" s="5" t="s">
        <v>2556</v>
      </c>
      <c r="R474" s="5">
        <v>400000</v>
      </c>
      <c r="S474" s="5">
        <v>0</v>
      </c>
      <c r="T474" s="5">
        <v>12000</v>
      </c>
      <c r="U474" s="5">
        <v>412000</v>
      </c>
      <c r="V474" s="5" t="s">
        <v>2557</v>
      </c>
      <c r="W474" s="5" t="s">
        <v>36</v>
      </c>
      <c r="X474" s="5" t="s">
        <v>67</v>
      </c>
      <c r="Y474" s="5" t="s">
        <v>24</v>
      </c>
      <c r="AA474" s="5" t="s">
        <v>69</v>
      </c>
      <c r="AB474" s="5" t="s">
        <v>2558</v>
      </c>
      <c r="AC474" s="8" t="str">
        <f>HYPERLINK("https://drive.google.com/file/d/14pbuuf4rnnmekyBbRgUDr_-PgpGkZJ_n/view?usp=drivesdk", "Abrir_Factura")</f>
        <v>Abrir_Factura</v>
      </c>
      <c r="AD474" s="9">
        <v>46003.468506944446</v>
      </c>
    </row>
    <row r="475" spans="1:30" ht="12.5">
      <c r="A475" s="4">
        <v>46003.449536689819</v>
      </c>
      <c r="B475" s="5">
        <v>90208</v>
      </c>
      <c r="C475" s="5">
        <v>1140824039</v>
      </c>
      <c r="D475" s="5" t="s">
        <v>2559</v>
      </c>
      <c r="F475" s="5" t="s">
        <v>2560</v>
      </c>
      <c r="H475" s="5">
        <v>573004073572</v>
      </c>
      <c r="J475" s="5" t="s">
        <v>2561</v>
      </c>
      <c r="K475" s="5" t="s">
        <v>103</v>
      </c>
      <c r="L475" s="5" t="s">
        <v>2562</v>
      </c>
      <c r="M475" s="5">
        <v>3205417473</v>
      </c>
      <c r="N475" s="6">
        <v>46003</v>
      </c>
      <c r="O475" s="7">
        <v>0.58333333333333337</v>
      </c>
      <c r="P475" s="5">
        <v>1</v>
      </c>
      <c r="Q475" s="5" t="s">
        <v>75</v>
      </c>
      <c r="R475" s="5">
        <v>70000</v>
      </c>
      <c r="S475" s="5">
        <v>0</v>
      </c>
      <c r="T475" s="5">
        <v>10000</v>
      </c>
      <c r="U475" s="5">
        <v>80000</v>
      </c>
      <c r="V475" s="5" t="s">
        <v>2563</v>
      </c>
      <c r="W475" s="5" t="s">
        <v>36</v>
      </c>
      <c r="X475" s="5" t="s">
        <v>83</v>
      </c>
      <c r="Y475" s="5" t="s">
        <v>24</v>
      </c>
      <c r="Z475" s="5" t="s">
        <v>2564</v>
      </c>
      <c r="AA475" s="5" t="s">
        <v>44</v>
      </c>
      <c r="AC475" s="8" t="str">
        <f>HYPERLINK("https://drive.google.com/file/d/1ZuOn2ozQexqSJC0k2kLIl9xOgJvuuOjE/view?usp=drivesdk","Abrir_Factura")</f>
        <v>Abrir_Factura</v>
      </c>
      <c r="AD475" s="9">
        <v>46003.472650462965</v>
      </c>
    </row>
    <row r="476" spans="1:30" ht="12.5">
      <c r="A476" s="4">
        <v>46003.473004756946</v>
      </c>
      <c r="B476" s="5">
        <v>90209</v>
      </c>
      <c r="C476" s="5">
        <v>1124031694</v>
      </c>
      <c r="D476" s="5" t="s">
        <v>2565</v>
      </c>
      <c r="F476" s="5" t="s">
        <v>2566</v>
      </c>
      <c r="H476" s="5">
        <v>573235841924</v>
      </c>
      <c r="J476" s="5" t="s">
        <v>2567</v>
      </c>
      <c r="K476" s="5" t="s">
        <v>103</v>
      </c>
      <c r="L476" s="5" t="s">
        <v>2568</v>
      </c>
      <c r="M476" s="5">
        <v>3235841924</v>
      </c>
      <c r="N476" s="6">
        <v>46003</v>
      </c>
      <c r="O476" s="7">
        <v>0.55763888888888891</v>
      </c>
      <c r="P476" s="5">
        <v>1</v>
      </c>
      <c r="Q476" s="5" t="s">
        <v>1203</v>
      </c>
      <c r="R476" s="5">
        <v>300000</v>
      </c>
      <c r="S476" s="5">
        <v>0</v>
      </c>
      <c r="T476" s="5">
        <v>10000</v>
      </c>
      <c r="U476" s="5">
        <v>310000</v>
      </c>
      <c r="V476" s="5" t="s">
        <v>2569</v>
      </c>
      <c r="W476" s="5" t="s">
        <v>36</v>
      </c>
      <c r="X476" s="5" t="s">
        <v>83</v>
      </c>
      <c r="Y476" s="5" t="s">
        <v>24</v>
      </c>
      <c r="Z476" s="5" t="s">
        <v>2570</v>
      </c>
      <c r="AA476" s="5" t="s">
        <v>69</v>
      </c>
      <c r="AC476" s="8" t="str">
        <f>HYPERLINK("https://drive.google.com/file/d/1sGiiImjjKUvgYigx0BNRS1N0ZXbthUKa/view?usp=drivesdk","Abrir_Factura")</f>
        <v>Abrir_Factura</v>
      </c>
      <c r="AD476" s="9">
        <v>46003.47724537037</v>
      </c>
    </row>
    <row r="477" spans="1:30" ht="12.5">
      <c r="A477" s="4">
        <v>46003.47438363426</v>
      </c>
      <c r="B477" s="5">
        <v>90210</v>
      </c>
      <c r="C477" s="5">
        <v>1082975028</v>
      </c>
      <c r="D477" s="5" t="s">
        <v>2571</v>
      </c>
      <c r="F477" s="5" t="s">
        <v>2572</v>
      </c>
      <c r="H477" s="5">
        <v>573005502759</v>
      </c>
      <c r="J477" s="5" t="s">
        <v>2573</v>
      </c>
      <c r="K477" s="5" t="s">
        <v>33</v>
      </c>
      <c r="L477" s="5" t="s">
        <v>34</v>
      </c>
      <c r="M477" s="5">
        <v>3005502759</v>
      </c>
      <c r="N477" s="6">
        <v>46003</v>
      </c>
      <c r="O477" s="7">
        <v>0.55902777777777779</v>
      </c>
      <c r="P477" s="5">
        <v>1</v>
      </c>
      <c r="Q477" s="5" t="s">
        <v>210</v>
      </c>
      <c r="R477" s="5">
        <v>150000</v>
      </c>
      <c r="S477" s="5">
        <v>0</v>
      </c>
      <c r="T477" s="5">
        <v>0</v>
      </c>
      <c r="U477" s="5">
        <v>150000</v>
      </c>
      <c r="V477" s="5" t="s">
        <v>2574</v>
      </c>
      <c r="W477" s="5" t="s">
        <v>36</v>
      </c>
      <c r="X477" s="5" t="s">
        <v>83</v>
      </c>
      <c r="Y477" s="5" t="s">
        <v>24</v>
      </c>
      <c r="AA477" s="5" t="s">
        <v>69</v>
      </c>
      <c r="AC477" s="8" t="str">
        <f>HYPERLINK("https://drive.google.com/file/d/1oPDYKpS20noCWqveBmiaPPRcEQ1EXjVP/view?usp=drivesdk","Abrir_Factura")</f>
        <v>Abrir_Factura</v>
      </c>
      <c r="AD477" s="9">
        <v>46003.478750000002</v>
      </c>
    </row>
    <row r="478" spans="1:30" ht="12.5">
      <c r="A478" s="4">
        <v>46003.482333958338</v>
      </c>
      <c r="B478" s="5">
        <v>90211</v>
      </c>
      <c r="C478" s="5">
        <v>72015286</v>
      </c>
      <c r="D478" s="5" t="s">
        <v>2575</v>
      </c>
      <c r="F478" s="5" t="s">
        <v>2368</v>
      </c>
      <c r="H478" s="5">
        <v>573114248694</v>
      </c>
      <c r="J478" s="5" t="s">
        <v>2576</v>
      </c>
      <c r="K478" s="5" t="s">
        <v>401</v>
      </c>
      <c r="L478" s="5" t="s">
        <v>2577</v>
      </c>
      <c r="M478" s="5">
        <v>3114248694</v>
      </c>
      <c r="N478" s="6">
        <v>46003</v>
      </c>
      <c r="O478" s="7">
        <v>0.56736111111111109</v>
      </c>
      <c r="P478" s="5">
        <v>1</v>
      </c>
      <c r="Q478" s="5" t="s">
        <v>422</v>
      </c>
      <c r="R478" s="5">
        <v>130000</v>
      </c>
      <c r="S478" s="5">
        <v>0</v>
      </c>
      <c r="T478" s="5">
        <v>12000</v>
      </c>
      <c r="U478" s="5">
        <v>142000</v>
      </c>
      <c r="V478" s="5" t="s">
        <v>2578</v>
      </c>
      <c r="W478" s="5" t="s">
        <v>36</v>
      </c>
      <c r="X478" s="5" t="s">
        <v>196</v>
      </c>
      <c r="Y478" s="5" t="s">
        <v>24</v>
      </c>
      <c r="AA478" s="5" t="s">
        <v>1717</v>
      </c>
      <c r="AC478" s="8" t="str">
        <f>HYPERLINK("https://drive.google.com/file/d/1-x3xhYqOuUDIl4V1li0gHgj7zFkBlyJa/view?usp=drivesdk","Abrir_Factura")</f>
        <v>Abrir_Factura</v>
      </c>
      <c r="AD478" s="9">
        <v>46003.483287037037</v>
      </c>
    </row>
    <row r="479" spans="1:30" ht="12.5">
      <c r="A479" s="4">
        <v>46003.472595543979</v>
      </c>
      <c r="B479" s="5">
        <v>90212</v>
      </c>
      <c r="C479" s="5">
        <v>1042351150</v>
      </c>
      <c r="D479" s="5" t="s">
        <v>386</v>
      </c>
      <c r="F479" s="5" t="s">
        <v>387</v>
      </c>
      <c r="H479" s="5">
        <v>573159282463</v>
      </c>
      <c r="J479" s="5" t="s">
        <v>2579</v>
      </c>
      <c r="K479" s="5" t="s">
        <v>33</v>
      </c>
      <c r="L479" s="5" t="s">
        <v>34</v>
      </c>
      <c r="M479" s="5">
        <v>3159282463</v>
      </c>
      <c r="N479" s="6">
        <v>46003</v>
      </c>
      <c r="O479" s="7">
        <v>0.55763888888888891</v>
      </c>
      <c r="P479" s="5">
        <v>1</v>
      </c>
      <c r="Q479" s="5" t="s">
        <v>375</v>
      </c>
      <c r="R479" s="5">
        <v>70000</v>
      </c>
      <c r="S479" s="5">
        <v>0</v>
      </c>
      <c r="T479" s="5">
        <v>0</v>
      </c>
      <c r="U479" s="5">
        <v>70000</v>
      </c>
      <c r="V479" s="5" t="s">
        <v>2580</v>
      </c>
      <c r="W479" s="5" t="s">
        <v>36</v>
      </c>
      <c r="X479" s="5" t="s">
        <v>83</v>
      </c>
      <c r="Y479" s="5" t="s">
        <v>24</v>
      </c>
      <c r="Z479" s="5" t="s">
        <v>2581</v>
      </c>
      <c r="AA479" s="5" t="s">
        <v>44</v>
      </c>
      <c r="AC479" s="8" t="str">
        <f>HYPERLINK("https://drive.google.com/file/d/1p5S787zxAhgi49d300C9Kyn3WOPbzCd0/view?usp=drivesdk", "Abrir_Factura")</f>
        <v>Abrir_Factura</v>
      </c>
      <c r="AD479" s="9">
        <v>46003.489606481482</v>
      </c>
    </row>
    <row r="480" spans="1:30" ht="12.5">
      <c r="A480" s="4">
        <v>46003.511172488426</v>
      </c>
      <c r="B480" s="5">
        <v>90213</v>
      </c>
      <c r="C480" s="5">
        <v>22667303</v>
      </c>
      <c r="D480" s="5" t="s">
        <v>2582</v>
      </c>
      <c r="F480" s="5" t="s">
        <v>2583</v>
      </c>
      <c r="H480" s="5">
        <v>573004511916</v>
      </c>
      <c r="J480" s="5" t="s">
        <v>2584</v>
      </c>
      <c r="K480" s="5" t="s">
        <v>110</v>
      </c>
      <c r="L480" s="5" t="s">
        <v>2585</v>
      </c>
      <c r="M480" s="5">
        <v>3004511916</v>
      </c>
      <c r="N480" s="6">
        <v>46003</v>
      </c>
      <c r="O480" s="7">
        <v>0.59513888888888888</v>
      </c>
      <c r="P480" s="5">
        <v>1</v>
      </c>
      <c r="Q480" s="5" t="s">
        <v>2586</v>
      </c>
      <c r="R480" s="5">
        <v>180000</v>
      </c>
      <c r="S480" s="5">
        <v>0</v>
      </c>
      <c r="T480" s="5">
        <v>6000</v>
      </c>
      <c r="U480" s="5">
        <v>186000</v>
      </c>
      <c r="V480" s="5" t="s">
        <v>2587</v>
      </c>
      <c r="W480" s="5" t="s">
        <v>36</v>
      </c>
      <c r="X480" s="5" t="s">
        <v>196</v>
      </c>
      <c r="Y480" s="5" t="s">
        <v>24</v>
      </c>
      <c r="Z480" s="5" t="s">
        <v>2584</v>
      </c>
      <c r="AA480" s="5" t="s">
        <v>44</v>
      </c>
      <c r="AC480" s="8" t="str">
        <f>HYPERLINK("https://drive.google.com/file/d/1Tyhk7LeU510OQaO7tqrQys94vp_BIfsM/view?usp=drivesdk", "Abrir_Factura")</f>
        <v>Abrir_Factura</v>
      </c>
      <c r="AD480" s="9">
        <v>46003.650520833333</v>
      </c>
    </row>
    <row r="481" spans="1:30" ht="12.5">
      <c r="A481" s="4">
        <v>46003.5202187963</v>
      </c>
      <c r="B481" s="5">
        <v>90214</v>
      </c>
      <c r="C481" s="5">
        <v>32727702</v>
      </c>
      <c r="D481" s="5" t="s">
        <v>2588</v>
      </c>
      <c r="F481" s="5" t="s">
        <v>441</v>
      </c>
      <c r="H481" s="5">
        <v>573205215995</v>
      </c>
      <c r="J481" s="5" t="s">
        <v>2589</v>
      </c>
      <c r="K481" s="5" t="s">
        <v>307</v>
      </c>
      <c r="L481" s="5" t="s">
        <v>2590</v>
      </c>
      <c r="M481" s="5">
        <v>3205215995</v>
      </c>
      <c r="N481" s="6">
        <v>46003</v>
      </c>
      <c r="O481" s="7">
        <v>0.60069444444444442</v>
      </c>
      <c r="P481" s="5">
        <v>1</v>
      </c>
      <c r="Q481" s="5" t="s">
        <v>2591</v>
      </c>
      <c r="R481" s="5">
        <v>119000</v>
      </c>
      <c r="S481" s="5">
        <v>0</v>
      </c>
      <c r="T481" s="5">
        <v>10000</v>
      </c>
      <c r="U481" s="5">
        <v>129000</v>
      </c>
      <c r="V481" s="5" t="s">
        <v>2592</v>
      </c>
      <c r="W481" s="5" t="s">
        <v>36</v>
      </c>
      <c r="X481" s="5" t="s">
        <v>83</v>
      </c>
      <c r="Y481" s="5" t="s">
        <v>24</v>
      </c>
      <c r="AA481" s="5" t="s">
        <v>44</v>
      </c>
      <c r="AB481" s="5" t="s">
        <v>2593</v>
      </c>
      <c r="AC481" s="8" t="str">
        <f>HYPERLINK("https://drive.google.com/file/d/1JXTQR7QXCqFHp03JgwviwWsksfk3KcHA/view?usp=drivesdk", "Abrir_Factura")</f>
        <v>Abrir_Factura</v>
      </c>
      <c r="AD481" s="9">
        <v>46003.529699074075</v>
      </c>
    </row>
    <row r="482" spans="1:30" ht="12.5">
      <c r="A482" s="4">
        <v>46003.532550601856</v>
      </c>
      <c r="B482" s="5">
        <v>90215</v>
      </c>
      <c r="C482" s="5">
        <v>32719120</v>
      </c>
      <c r="D482" s="5" t="s">
        <v>2594</v>
      </c>
      <c r="F482" s="5" t="s">
        <v>2595</v>
      </c>
      <c r="H482" s="5">
        <v>573157183766</v>
      </c>
      <c r="J482" s="5" t="s">
        <v>2596</v>
      </c>
      <c r="K482" s="5" t="s">
        <v>33</v>
      </c>
      <c r="L482" s="5" t="s">
        <v>34</v>
      </c>
      <c r="M482" s="5">
        <v>3157183766</v>
      </c>
      <c r="N482" s="6">
        <v>46003</v>
      </c>
      <c r="O482" s="7">
        <v>0.61875000000000002</v>
      </c>
      <c r="P482" s="5">
        <v>1</v>
      </c>
      <c r="Q482" s="5" t="s">
        <v>42</v>
      </c>
      <c r="R482" s="5">
        <v>25000</v>
      </c>
      <c r="S482" s="5">
        <v>0</v>
      </c>
      <c r="T482" s="5">
        <v>0</v>
      </c>
      <c r="U482" s="5">
        <v>25000</v>
      </c>
      <c r="W482" s="5" t="s">
        <v>36</v>
      </c>
      <c r="X482" s="5" t="s">
        <v>1705</v>
      </c>
      <c r="Y482" s="5" t="s">
        <v>24</v>
      </c>
      <c r="AA482" s="5" t="s">
        <v>1717</v>
      </c>
      <c r="AB482" s="5" t="s">
        <v>2597</v>
      </c>
      <c r="AC482" s="8" t="str">
        <f>HYPERLINK("https://drive.google.com/file/d/1UnkE4WSyWN_Ov6XIeIKr5jnAVJtevTOy/view?usp=drivesdk", "Abrir_Factura")</f>
        <v>Abrir_Factura</v>
      </c>
      <c r="AD482" s="9">
        <v>46003.760104166664</v>
      </c>
    </row>
    <row r="483" spans="1:30" ht="12.5">
      <c r="A483" s="4">
        <v>46003.539455185186</v>
      </c>
      <c r="B483" s="5">
        <v>90216</v>
      </c>
      <c r="C483" s="5">
        <v>1118871630</v>
      </c>
      <c r="D483" s="5" t="s">
        <v>1918</v>
      </c>
      <c r="F483" s="5" t="s">
        <v>2598</v>
      </c>
      <c r="H483" s="5">
        <v>573168664030</v>
      </c>
      <c r="J483" s="5" t="s">
        <v>2599</v>
      </c>
      <c r="K483" s="5" t="s">
        <v>33</v>
      </c>
      <c r="L483" s="5" t="s">
        <v>34</v>
      </c>
      <c r="M483" s="5">
        <v>3168664030</v>
      </c>
      <c r="N483" s="6">
        <v>46003</v>
      </c>
      <c r="O483" s="7">
        <v>0.625</v>
      </c>
      <c r="P483" s="5">
        <v>1</v>
      </c>
      <c r="Q483" s="5" t="s">
        <v>375</v>
      </c>
      <c r="R483" s="5">
        <v>70000</v>
      </c>
      <c r="S483" s="5">
        <v>0</v>
      </c>
      <c r="T483" s="5">
        <v>0</v>
      </c>
      <c r="U483" s="5">
        <v>70000</v>
      </c>
      <c r="W483" s="5" t="s">
        <v>36</v>
      </c>
      <c r="X483" s="5" t="s">
        <v>1705</v>
      </c>
      <c r="Y483" s="5" t="s">
        <v>24</v>
      </c>
      <c r="AA483" s="5" t="s">
        <v>1717</v>
      </c>
      <c r="AC483" s="8" t="str">
        <f>HYPERLINK("https://drive.google.com/file/d/1yAZA6SiRPLoZD9ygCsv7p1ZnoqWu5w7X/view?usp=drivesdk", "Abrir_Factura")</f>
        <v>Abrir_Factura</v>
      </c>
      <c r="AD483" s="9">
        <v>46003.768090277779</v>
      </c>
    </row>
    <row r="484" spans="1:30" ht="12.5">
      <c r="A484" s="4">
        <v>46003.542279421294</v>
      </c>
      <c r="B484" s="5">
        <v>90217</v>
      </c>
      <c r="C484" s="5">
        <v>1140890171</v>
      </c>
      <c r="D484" s="5" t="s">
        <v>2600</v>
      </c>
      <c r="F484" s="5" t="s">
        <v>1344</v>
      </c>
      <c r="H484" s="5">
        <v>573046526056</v>
      </c>
      <c r="J484" s="5" t="s">
        <v>2601</v>
      </c>
      <c r="K484" s="5" t="s">
        <v>813</v>
      </c>
      <c r="L484" s="5" t="s">
        <v>2602</v>
      </c>
      <c r="M484" s="5">
        <v>3046526056</v>
      </c>
      <c r="N484" s="6">
        <v>46003</v>
      </c>
      <c r="O484" s="7">
        <v>0.62777777777777777</v>
      </c>
      <c r="P484" s="5">
        <v>1</v>
      </c>
      <c r="Q484" s="5" t="s">
        <v>322</v>
      </c>
      <c r="R484" s="5">
        <v>120000</v>
      </c>
      <c r="S484" s="5">
        <v>0</v>
      </c>
      <c r="T484" s="5">
        <v>15000</v>
      </c>
      <c r="U484" s="5">
        <v>135000</v>
      </c>
      <c r="V484" s="5" t="s">
        <v>2603</v>
      </c>
      <c r="W484" s="5" t="s">
        <v>36</v>
      </c>
      <c r="X484" s="5" t="s">
        <v>83</v>
      </c>
      <c r="Y484" s="5" t="s">
        <v>24</v>
      </c>
      <c r="Z484" s="5" t="s">
        <v>2604</v>
      </c>
      <c r="AA484" s="5" t="s">
        <v>44</v>
      </c>
      <c r="AC484" s="8" t="str">
        <f>HYPERLINK("https://drive.google.com/file/d/1fXEpqZd3XuVl0i3HQlKBRhPdBH4lxJ-S/view?usp=drivesdk", "Abrir_Factura")</f>
        <v>Abrir_Factura</v>
      </c>
      <c r="AD484" s="9">
        <v>46003.549409722225</v>
      </c>
    </row>
    <row r="485" spans="1:30" ht="12.5">
      <c r="A485" s="4">
        <v>46003.544228460647</v>
      </c>
      <c r="B485" s="5">
        <v>90218</v>
      </c>
      <c r="C485" s="5">
        <v>45507418</v>
      </c>
      <c r="D485" s="5" t="s">
        <v>2605</v>
      </c>
      <c r="F485" s="5" t="s">
        <v>2606</v>
      </c>
      <c r="H485" s="5">
        <v>573019085103</v>
      </c>
      <c r="J485" s="5" t="s">
        <v>2607</v>
      </c>
      <c r="K485" s="5" t="s">
        <v>307</v>
      </c>
      <c r="L485" s="5" t="s">
        <v>2608</v>
      </c>
      <c r="M485" s="5">
        <v>3019085103</v>
      </c>
      <c r="N485" s="6">
        <v>46003</v>
      </c>
      <c r="O485" s="7">
        <v>0.62708333333333333</v>
      </c>
      <c r="P485" s="5">
        <v>1</v>
      </c>
      <c r="Q485" s="5" t="s">
        <v>2609</v>
      </c>
      <c r="R485" s="5">
        <v>340000</v>
      </c>
      <c r="S485" s="5">
        <v>0</v>
      </c>
      <c r="T485" s="5">
        <v>10000</v>
      </c>
      <c r="U485" s="5">
        <v>350000</v>
      </c>
      <c r="V485" s="5" t="s">
        <v>2610</v>
      </c>
      <c r="W485" s="5" t="s">
        <v>36</v>
      </c>
      <c r="X485" s="5" t="s">
        <v>83</v>
      </c>
      <c r="Y485" s="5" t="s">
        <v>24</v>
      </c>
      <c r="Z485" s="5" t="s">
        <v>2611</v>
      </c>
      <c r="AA485" s="5" t="s">
        <v>44</v>
      </c>
      <c r="AB485" s="5" t="s">
        <v>2612</v>
      </c>
      <c r="AC485" s="8" t="str">
        <f>HYPERLINK("https://drive.google.com/file/d/10UaJ6UKCAdmHl2qv-kKKgCIR2a03e_MK/view?usp=drivesdk","Abrir_Factura")</f>
        <v>Abrir_Factura</v>
      </c>
      <c r="AD485" s="9">
        <v>46003.556620370371</v>
      </c>
    </row>
    <row r="486" spans="1:30" ht="12.5">
      <c r="A486" s="4">
        <v>46003.511751168982</v>
      </c>
      <c r="B486" s="5">
        <v>90219</v>
      </c>
      <c r="C486" s="5">
        <v>1140861045</v>
      </c>
      <c r="D486" s="5" t="s">
        <v>2613</v>
      </c>
      <c r="F486" s="5" t="s">
        <v>2614</v>
      </c>
      <c r="H486" s="5">
        <v>573008198792</v>
      </c>
      <c r="J486" s="5" t="s">
        <v>2615</v>
      </c>
      <c r="K486" s="5" t="s">
        <v>124</v>
      </c>
      <c r="L486" s="5" t="s">
        <v>2616</v>
      </c>
      <c r="M486" s="5" t="s">
        <v>2617</v>
      </c>
      <c r="N486" s="6">
        <v>46003</v>
      </c>
      <c r="O486" s="7">
        <v>0.59652777777777777</v>
      </c>
      <c r="P486" s="5">
        <v>1</v>
      </c>
      <c r="Q486" s="5" t="s">
        <v>375</v>
      </c>
      <c r="R486" s="5">
        <v>70000</v>
      </c>
      <c r="S486" s="5">
        <v>0</v>
      </c>
      <c r="T486" s="5">
        <v>12000</v>
      </c>
      <c r="U486" s="5">
        <v>82000</v>
      </c>
      <c r="V486" s="5" t="s">
        <v>2618</v>
      </c>
      <c r="W486" s="5" t="s">
        <v>36</v>
      </c>
      <c r="X486" s="5" t="s">
        <v>1937</v>
      </c>
      <c r="Y486" s="5" t="s">
        <v>24</v>
      </c>
      <c r="Z486" s="5" t="s">
        <v>2619</v>
      </c>
      <c r="AA486" s="5" t="s">
        <v>69</v>
      </c>
      <c r="AC486" s="8" t="str">
        <f>HYPERLINK("https://drive.google.com/file/d/1cptJgviLdRhtJP2tqhqf5mkTy1PHmpTi/view?usp=drivesdk","Abrir_Factura")</f>
        <v>Abrir_Factura</v>
      </c>
      <c r="AD486" s="9">
        <v>46003.573263888888</v>
      </c>
    </row>
    <row r="487" spans="1:30" ht="12.5">
      <c r="A487" s="4">
        <v>46003.578844328702</v>
      </c>
      <c r="B487" s="5">
        <v>90220</v>
      </c>
      <c r="C487" s="5">
        <v>1193470238</v>
      </c>
      <c r="D487" s="5" t="s">
        <v>1935</v>
      </c>
      <c r="F487" s="5" t="s">
        <v>2620</v>
      </c>
      <c r="H487" s="5">
        <v>573146663091</v>
      </c>
      <c r="J487" s="5" t="s">
        <v>2621</v>
      </c>
      <c r="K487" s="5" t="s">
        <v>33</v>
      </c>
      <c r="L487" s="5" t="s">
        <v>34</v>
      </c>
      <c r="M487" s="5">
        <v>3146663091</v>
      </c>
      <c r="N487" s="6">
        <v>46003</v>
      </c>
      <c r="O487" s="7">
        <v>0.6645833333333333</v>
      </c>
      <c r="P487" s="5">
        <v>1</v>
      </c>
      <c r="Q487" s="5" t="s">
        <v>375</v>
      </c>
      <c r="R487" s="5">
        <v>70000</v>
      </c>
      <c r="S487" s="5">
        <v>0</v>
      </c>
      <c r="T487" s="5">
        <v>0</v>
      </c>
      <c r="U487" s="5">
        <v>70000</v>
      </c>
      <c r="W487" s="5" t="s">
        <v>36</v>
      </c>
      <c r="X487" s="5" t="s">
        <v>1705</v>
      </c>
      <c r="Y487" s="5" t="s">
        <v>24</v>
      </c>
      <c r="AA487" s="5" t="s">
        <v>1717</v>
      </c>
      <c r="AC487" s="8" t="str">
        <f>HYPERLINK("https://drive.google.com/file/d/1umoiBrsDI2u5N8ELl-XYNoYPZ6CSu3DM/view?usp=drivesdk","Abrir_Factura")</f>
        <v>Abrir_Factura</v>
      </c>
      <c r="AD487" s="9">
        <v>46003.579363425924</v>
      </c>
    </row>
    <row r="488" spans="1:30" ht="12.5">
      <c r="A488" s="4">
        <v>46003.582840057876</v>
      </c>
      <c r="B488" s="5">
        <v>90221</v>
      </c>
      <c r="C488" s="5">
        <v>1044428111</v>
      </c>
      <c r="D488" s="5" t="s">
        <v>297</v>
      </c>
      <c r="F488" s="5" t="s">
        <v>2622</v>
      </c>
      <c r="H488" s="5">
        <v>573002912259</v>
      </c>
      <c r="J488" s="5" t="s">
        <v>2623</v>
      </c>
      <c r="K488" s="5" t="s">
        <v>33</v>
      </c>
      <c r="L488" s="5" t="s">
        <v>34</v>
      </c>
      <c r="M488" s="5">
        <v>3002912259</v>
      </c>
      <c r="N488" s="6">
        <v>46003</v>
      </c>
      <c r="O488" s="7">
        <v>0.66805555555555551</v>
      </c>
      <c r="P488" s="5">
        <v>2</v>
      </c>
      <c r="Q488" s="5" t="s">
        <v>1139</v>
      </c>
      <c r="R488" s="5">
        <v>140000</v>
      </c>
      <c r="S488" s="5">
        <v>0</v>
      </c>
      <c r="T488" s="5">
        <v>0</v>
      </c>
      <c r="U488" s="5">
        <v>140000</v>
      </c>
      <c r="W488" s="5" t="s">
        <v>36</v>
      </c>
      <c r="X488" s="5" t="s">
        <v>37</v>
      </c>
      <c r="Y488" s="5" t="s">
        <v>24</v>
      </c>
      <c r="AA488" s="5" t="s">
        <v>37</v>
      </c>
      <c r="AC488" s="8" t="str">
        <f>HYPERLINK("https://drive.google.com/file/d/1dEDrPYgo4idNKWpqXAoZQT6AAI41o0R0/view?usp=drivesdk","Abrir_Factura")</f>
        <v>Abrir_Factura</v>
      </c>
      <c r="AD488" s="9">
        <v>46003.583240740743</v>
      </c>
    </row>
    <row r="489" spans="1:30" ht="12.5">
      <c r="A489" s="4">
        <v>46003.590797916666</v>
      </c>
      <c r="B489" s="5">
        <v>90222</v>
      </c>
      <c r="C489" s="5">
        <v>1003433653</v>
      </c>
      <c r="D489" s="5" t="s">
        <v>595</v>
      </c>
      <c r="F489" s="5" t="s">
        <v>2624</v>
      </c>
      <c r="H489" s="5">
        <v>573003902287</v>
      </c>
      <c r="J489" s="5" t="s">
        <v>2625</v>
      </c>
      <c r="K489" s="5" t="s">
        <v>33</v>
      </c>
      <c r="L489" s="5" t="s">
        <v>34</v>
      </c>
      <c r="M489" s="5">
        <v>3003902287</v>
      </c>
      <c r="N489" s="6">
        <v>46003</v>
      </c>
      <c r="O489" s="7">
        <v>0.67222222222222228</v>
      </c>
      <c r="P489" s="5">
        <v>1</v>
      </c>
      <c r="Q489" s="5" t="s">
        <v>42</v>
      </c>
      <c r="R489" s="5">
        <v>0</v>
      </c>
      <c r="S489" s="5">
        <v>0</v>
      </c>
      <c r="T489" s="5">
        <v>0</v>
      </c>
      <c r="U489" s="5">
        <v>0</v>
      </c>
      <c r="W489" s="5" t="s">
        <v>36</v>
      </c>
      <c r="X489" s="5" t="s">
        <v>1705</v>
      </c>
      <c r="Y489" s="5" t="s">
        <v>24</v>
      </c>
      <c r="AA489" s="5" t="s">
        <v>1717</v>
      </c>
      <c r="AB489" s="5" t="s">
        <v>2626</v>
      </c>
      <c r="AC489" s="8" t="str">
        <f>HYPERLINK("https://drive.google.com/file/d/1qDHy2U1BLj1LmvY_fTPOgDpNm7UOdy68/view?usp=drivesdk","Abrir_Factura")</f>
        <v>Abrir_Factura</v>
      </c>
      <c r="AD489" s="9">
        <v>46003.591412037036</v>
      </c>
    </row>
    <row r="490" spans="1:30" ht="12.5">
      <c r="A490" s="4">
        <v>46003.48054631945</v>
      </c>
      <c r="B490" s="5">
        <v>90223</v>
      </c>
      <c r="C490" s="5">
        <v>3272853</v>
      </c>
      <c r="D490" s="5" t="s">
        <v>2627</v>
      </c>
      <c r="F490" s="5" t="s">
        <v>2628</v>
      </c>
      <c r="H490" s="5">
        <v>573013755838</v>
      </c>
      <c r="J490" s="5" t="s">
        <v>2629</v>
      </c>
      <c r="K490" s="5" t="s">
        <v>33</v>
      </c>
      <c r="L490" s="5" t="s">
        <v>34</v>
      </c>
      <c r="N490" s="6">
        <v>46003</v>
      </c>
      <c r="O490" s="7">
        <v>0.56319444444444444</v>
      </c>
      <c r="P490" s="5">
        <v>1</v>
      </c>
      <c r="Q490" s="5" t="s">
        <v>42</v>
      </c>
      <c r="R490" s="5">
        <v>75000</v>
      </c>
      <c r="S490" s="5">
        <v>0</v>
      </c>
      <c r="T490" s="5">
        <v>0</v>
      </c>
      <c r="U490" s="5">
        <v>75000</v>
      </c>
      <c r="W490" s="5" t="s">
        <v>36</v>
      </c>
      <c r="X490" s="5" t="s">
        <v>196</v>
      </c>
      <c r="Y490" s="5" t="s">
        <v>24</v>
      </c>
      <c r="AA490" s="5" t="s">
        <v>1717</v>
      </c>
      <c r="AB490" s="5" t="s">
        <v>2630</v>
      </c>
      <c r="AC490" s="8" t="str">
        <f>HYPERLINK("https://drive.google.com/file/d/1Yia0xOUtZxQnK29oao_uFdiKQcITWfM_/view?usp=drivesdk","Abrir_Factura")</f>
        <v>Abrir_Factura</v>
      </c>
      <c r="AD490" s="9">
        <v>46003.599409722221</v>
      </c>
    </row>
    <row r="491" spans="1:30" ht="12.5">
      <c r="A491" s="4">
        <v>46003.553536157408</v>
      </c>
      <c r="B491" s="5">
        <v>90224</v>
      </c>
      <c r="C491" s="5">
        <v>1002159627</v>
      </c>
      <c r="D491" s="5" t="s">
        <v>1719</v>
      </c>
      <c r="F491" s="5" t="s">
        <v>2368</v>
      </c>
      <c r="H491" s="5">
        <v>573024031066</v>
      </c>
      <c r="J491" s="5" t="s">
        <v>2288</v>
      </c>
      <c r="K491" s="5" t="s">
        <v>2631</v>
      </c>
      <c r="L491" s="5" t="s">
        <v>2632</v>
      </c>
      <c r="M491" s="5">
        <v>3024031066</v>
      </c>
      <c r="N491" s="6">
        <v>46003</v>
      </c>
      <c r="O491" s="7">
        <v>0.79166666666666663</v>
      </c>
      <c r="P491" s="5">
        <v>3</v>
      </c>
      <c r="Q491" s="5" t="s">
        <v>2633</v>
      </c>
      <c r="R491" s="5">
        <v>210000</v>
      </c>
      <c r="S491" s="5">
        <v>0</v>
      </c>
      <c r="T491" s="5">
        <v>12000</v>
      </c>
      <c r="U491" s="5">
        <v>222000</v>
      </c>
      <c r="W491" s="5" t="s">
        <v>36</v>
      </c>
      <c r="X491" s="5" t="s">
        <v>83</v>
      </c>
      <c r="Y491" s="5" t="s">
        <v>24</v>
      </c>
      <c r="AA491" s="5" t="s">
        <v>44</v>
      </c>
      <c r="AC491" s="8" t="str">
        <f>HYPERLINK("https://drive.google.com/file/d/1W4DjQWvBz4MIsoLd6KkI9H8ZB1VDUpgl/view?usp=drivesdk","Abrir_Factura")</f>
        <v>Abrir_Factura</v>
      </c>
      <c r="AD491" s="9">
        <v>46003.604745370372</v>
      </c>
    </row>
    <row r="492" spans="1:30" ht="12.5">
      <c r="A492" s="4">
        <v>46003.607072314815</v>
      </c>
      <c r="B492" s="5">
        <v>90225</v>
      </c>
      <c r="C492" s="5">
        <v>9015860218</v>
      </c>
      <c r="D492" s="5" t="s">
        <v>2634</v>
      </c>
      <c r="F492" s="5" t="s">
        <v>2635</v>
      </c>
      <c r="H492" s="5">
        <v>573015744289</v>
      </c>
      <c r="J492" s="5" t="s">
        <v>2634</v>
      </c>
      <c r="K492" s="5" t="s">
        <v>33</v>
      </c>
      <c r="L492" s="5" t="s">
        <v>34</v>
      </c>
      <c r="M492" s="5">
        <v>3015744289</v>
      </c>
      <c r="N492" s="6">
        <v>46003</v>
      </c>
      <c r="O492" s="7">
        <v>0.69305555555555554</v>
      </c>
      <c r="P492" s="5">
        <v>1</v>
      </c>
      <c r="Q492" s="5" t="s">
        <v>422</v>
      </c>
      <c r="R492" s="5">
        <v>130000</v>
      </c>
      <c r="S492" s="5">
        <v>24700</v>
      </c>
      <c r="T492" s="5">
        <v>0</v>
      </c>
      <c r="U492" s="5">
        <v>154700</v>
      </c>
      <c r="W492" s="5" t="s">
        <v>36</v>
      </c>
      <c r="X492" s="5" t="s">
        <v>2636</v>
      </c>
      <c r="Y492" s="5" t="s">
        <v>24</v>
      </c>
      <c r="AA492" s="5" t="s">
        <v>1717</v>
      </c>
      <c r="AB492" s="5" t="s">
        <v>2637</v>
      </c>
      <c r="AC492" s="8" t="str">
        <f>HYPERLINK("https://drive.google.com/file/d/1bUQ8XxmRVE6S5XYJ8Xf49g1HJHYxq734/view?usp=drivesdk", "Abrir_Factura")</f>
        <v>Abrir_Factura</v>
      </c>
      <c r="AD492" s="9">
        <v>46003.608807870369</v>
      </c>
    </row>
    <row r="493" spans="1:30" ht="12.5">
      <c r="A493" s="4">
        <v>46003.604968136569</v>
      </c>
      <c r="B493" s="5">
        <v>90226</v>
      </c>
      <c r="C493" s="5">
        <v>32773466</v>
      </c>
      <c r="D493" s="5" t="s">
        <v>1870</v>
      </c>
      <c r="F493" s="5" t="s">
        <v>399</v>
      </c>
      <c r="H493" s="5">
        <v>573126522722</v>
      </c>
      <c r="J493" s="5" t="s">
        <v>2638</v>
      </c>
      <c r="K493" s="5" t="s">
        <v>124</v>
      </c>
      <c r="L493" s="5" t="s">
        <v>2639</v>
      </c>
      <c r="M493" s="5">
        <v>3126522722</v>
      </c>
      <c r="N493" s="6">
        <v>46003</v>
      </c>
      <c r="O493" s="7">
        <v>0.68958333333333333</v>
      </c>
      <c r="P493" s="5">
        <v>1</v>
      </c>
      <c r="Q493" s="5" t="s">
        <v>335</v>
      </c>
      <c r="R493" s="5">
        <v>120000</v>
      </c>
      <c r="S493" s="5">
        <v>0</v>
      </c>
      <c r="T493" s="5">
        <v>12000</v>
      </c>
      <c r="U493" s="5">
        <v>132000</v>
      </c>
      <c r="V493" s="5" t="s">
        <v>2640</v>
      </c>
      <c r="W493" s="5" t="s">
        <v>36</v>
      </c>
      <c r="X493" s="5" t="s">
        <v>204</v>
      </c>
      <c r="Y493" s="5" t="s">
        <v>24</v>
      </c>
      <c r="Z493" s="5" t="s">
        <v>2641</v>
      </c>
      <c r="AA493" s="5" t="s">
        <v>44</v>
      </c>
      <c r="AC493" s="8" t="str">
        <f>HYPERLINK("https://drive.google.com/file/d/1KZGKNg5wvDYZBH6y70jQXlCI158OGJQ1/view?usp=drivesdk","Abrir_Factura")</f>
        <v>Abrir_Factura</v>
      </c>
      <c r="AD493" s="9">
        <v>46003.624027777776</v>
      </c>
    </row>
    <row r="494" spans="1:30" ht="12.5">
      <c r="A494" s="4">
        <v>46003.607316365742</v>
      </c>
      <c r="B494" s="5">
        <v>90227</v>
      </c>
      <c r="C494" s="5">
        <v>1043668071</v>
      </c>
      <c r="D494" s="5" t="s">
        <v>2451</v>
      </c>
      <c r="F494" s="5" t="s">
        <v>2642</v>
      </c>
      <c r="H494" s="5">
        <v>573006547347</v>
      </c>
      <c r="J494" s="5" t="s">
        <v>2643</v>
      </c>
      <c r="K494" s="5" t="s">
        <v>87</v>
      </c>
      <c r="L494" s="5" t="s">
        <v>2644</v>
      </c>
      <c r="M494" s="5">
        <v>3006547347</v>
      </c>
      <c r="N494" s="6">
        <v>46003</v>
      </c>
      <c r="O494" s="7">
        <v>0.69305555555555554</v>
      </c>
      <c r="P494" s="5">
        <v>1</v>
      </c>
      <c r="Q494" s="5" t="s">
        <v>294</v>
      </c>
      <c r="R494" s="5">
        <v>160000</v>
      </c>
      <c r="S494" s="5">
        <v>0</v>
      </c>
      <c r="T494" s="5">
        <v>13000</v>
      </c>
      <c r="U494" s="5">
        <v>173000</v>
      </c>
      <c r="V494" s="5" t="s">
        <v>2645</v>
      </c>
      <c r="W494" s="5" t="s">
        <v>36</v>
      </c>
      <c r="X494" s="5" t="s">
        <v>83</v>
      </c>
      <c r="Y494" s="5" t="s">
        <v>24</v>
      </c>
      <c r="Z494" s="5" t="s">
        <v>2646</v>
      </c>
      <c r="AA494" s="5" t="s">
        <v>69</v>
      </c>
      <c r="AC494" s="8" t="str">
        <f>HYPERLINK("https://drive.google.com/file/d/1QyBlTVjrFhkkpuPBHcZSu_BZog13-Fx7/view?usp=drivesdk","Abrir_Factura")</f>
        <v>Abrir_Factura</v>
      </c>
      <c r="AD494" s="9">
        <v>46003.628101851849</v>
      </c>
    </row>
    <row r="495" spans="1:30" ht="12.5">
      <c r="A495" s="4">
        <v>46003.602807731484</v>
      </c>
      <c r="B495" s="5">
        <v>90228</v>
      </c>
      <c r="C495" s="5">
        <v>1001780373</v>
      </c>
      <c r="D495" s="5" t="s">
        <v>2647</v>
      </c>
      <c r="F495" s="5" t="s">
        <v>1688</v>
      </c>
      <c r="H495" s="5">
        <v>573146418058</v>
      </c>
      <c r="J495" s="5" t="s">
        <v>2648</v>
      </c>
      <c r="K495" s="5" t="s">
        <v>1497</v>
      </c>
      <c r="L495" s="5" t="s">
        <v>2649</v>
      </c>
      <c r="M495" s="5">
        <v>3146418058</v>
      </c>
      <c r="N495" s="6">
        <v>46003</v>
      </c>
      <c r="O495" s="7">
        <v>0.6875</v>
      </c>
      <c r="P495" s="5">
        <v>1</v>
      </c>
      <c r="Q495" s="5" t="s">
        <v>210</v>
      </c>
      <c r="R495" s="5">
        <v>150000</v>
      </c>
      <c r="S495" s="5">
        <v>0</v>
      </c>
      <c r="T495" s="5">
        <v>12000</v>
      </c>
      <c r="U495" s="5">
        <v>162000</v>
      </c>
      <c r="V495" s="5" t="s">
        <v>2650</v>
      </c>
      <c r="W495" s="5" t="s">
        <v>36</v>
      </c>
      <c r="X495" s="5" t="s">
        <v>83</v>
      </c>
      <c r="Y495" s="5" t="s">
        <v>24</v>
      </c>
      <c r="Z495" s="5" t="s">
        <v>2651</v>
      </c>
      <c r="AA495" s="5" t="s">
        <v>69</v>
      </c>
      <c r="AC495" s="8" t="str">
        <f>HYPERLINK("https://drive.google.com/file/d/1bxr4nUY_17R-an313pfxXDSG3l6v5-y4/view?usp=drivesdk", "Abrir_Factura")</f>
        <v>Abrir_Factura</v>
      </c>
      <c r="AD495" s="9">
        <v>46003.630555555559</v>
      </c>
    </row>
    <row r="496" spans="1:30" ht="12.5">
      <c r="A496" s="4">
        <v>46003.572643067135</v>
      </c>
      <c r="B496" s="5">
        <v>90229</v>
      </c>
      <c r="C496" s="5">
        <v>56136975</v>
      </c>
      <c r="D496" s="5" t="s">
        <v>2652</v>
      </c>
      <c r="F496" s="5" t="s">
        <v>2653</v>
      </c>
      <c r="H496" s="5">
        <v>17066167216</v>
      </c>
      <c r="J496" s="5" t="s">
        <v>2654</v>
      </c>
      <c r="K496" s="5" t="s">
        <v>103</v>
      </c>
      <c r="L496" s="5" t="s">
        <v>2655</v>
      </c>
      <c r="N496" s="6">
        <v>46003</v>
      </c>
      <c r="O496" s="7">
        <v>0.60972222222222228</v>
      </c>
      <c r="P496" s="5">
        <v>1</v>
      </c>
      <c r="Q496" s="5" t="s">
        <v>170</v>
      </c>
      <c r="R496" s="5">
        <v>300000</v>
      </c>
      <c r="S496" s="5">
        <v>0</v>
      </c>
      <c r="T496" s="5">
        <v>10000</v>
      </c>
      <c r="U496" s="5">
        <v>310000</v>
      </c>
      <c r="V496" s="5" t="s">
        <v>2656</v>
      </c>
      <c r="W496" s="5" t="s">
        <v>36</v>
      </c>
      <c r="X496" s="5" t="s">
        <v>83</v>
      </c>
      <c r="Y496" s="5" t="s">
        <v>24</v>
      </c>
      <c r="Z496" s="5" t="s">
        <v>2657</v>
      </c>
      <c r="AA496" s="5" t="s">
        <v>69</v>
      </c>
      <c r="AC496" s="8" t="str">
        <f>HYPERLINK("https://drive.google.com/file/d/1oiTk7C6BoFuPh2TL0zUgEN-ldyNBrriH/view?usp=drivesdk","Abrir_Factura")</f>
        <v>Abrir_Factura</v>
      </c>
      <c r="AD496" s="9">
        <v>46003.647488425922</v>
      </c>
    </row>
    <row r="497" spans="1:30" ht="12.5">
      <c r="A497" s="4">
        <v>46003.001634375003</v>
      </c>
      <c r="B497" s="5">
        <v>90230</v>
      </c>
      <c r="C497" s="5">
        <v>1002207750</v>
      </c>
      <c r="D497" s="5" t="s">
        <v>1719</v>
      </c>
      <c r="F497" s="5" t="s">
        <v>2658</v>
      </c>
      <c r="H497" s="5">
        <v>573043765061</v>
      </c>
      <c r="J497" s="5" t="s">
        <v>2659</v>
      </c>
      <c r="K497" s="5" t="s">
        <v>154</v>
      </c>
      <c r="L497" s="5" t="s">
        <v>2660</v>
      </c>
      <c r="M497" s="5">
        <v>3218298675</v>
      </c>
      <c r="N497" s="6">
        <v>46011</v>
      </c>
      <c r="O497" s="7">
        <v>0.375</v>
      </c>
      <c r="P497" s="5">
        <v>1</v>
      </c>
      <c r="Q497" s="5" t="s">
        <v>335</v>
      </c>
      <c r="R497" s="5">
        <v>120000</v>
      </c>
      <c r="S497" s="5">
        <v>0</v>
      </c>
      <c r="T497" s="5">
        <v>8000</v>
      </c>
      <c r="U497" s="5">
        <v>128000</v>
      </c>
      <c r="V497" s="5" t="s">
        <v>2661</v>
      </c>
      <c r="W497" s="5" t="s">
        <v>36</v>
      </c>
      <c r="X497" s="5" t="s">
        <v>67</v>
      </c>
      <c r="Y497" s="5" t="s">
        <v>24</v>
      </c>
      <c r="Z497" s="5" t="s">
        <v>2662</v>
      </c>
      <c r="AA497" s="5" t="s">
        <v>69</v>
      </c>
      <c r="AC497" s="8" t="str">
        <f>HYPERLINK("https://drive.google.com/file/d/1feSLmJ72paaITSkYVd3_qSzkl_jbLXZQ/view?usp=drivesdk","Abrir_Factura")</f>
        <v>Abrir_Factura</v>
      </c>
      <c r="AD497" s="9">
        <v>46003.657731481479</v>
      </c>
    </row>
    <row r="498" spans="1:30" ht="12.5">
      <c r="A498" s="4">
        <v>46003.530977685186</v>
      </c>
      <c r="B498" s="5">
        <v>90231</v>
      </c>
      <c r="C498" s="5">
        <v>1002158632</v>
      </c>
      <c r="D498" s="5" t="s">
        <v>2663</v>
      </c>
      <c r="F498" s="5" t="s">
        <v>2664</v>
      </c>
      <c r="H498" s="5">
        <v>573178934604</v>
      </c>
      <c r="J498" s="5" t="s">
        <v>2665</v>
      </c>
      <c r="K498" s="5" t="s">
        <v>33</v>
      </c>
      <c r="L498" s="5" t="s">
        <v>34</v>
      </c>
      <c r="N498" s="6">
        <v>46004</v>
      </c>
      <c r="O498" s="7">
        <v>0.70833333333333337</v>
      </c>
      <c r="P498" s="5">
        <v>1</v>
      </c>
      <c r="Q498" s="5" t="s">
        <v>178</v>
      </c>
      <c r="R498" s="5">
        <v>100000</v>
      </c>
      <c r="S498" s="5">
        <v>0</v>
      </c>
      <c r="T498" s="5">
        <v>0</v>
      </c>
      <c r="U498" s="5">
        <v>100000</v>
      </c>
      <c r="V498" s="5" t="s">
        <v>2666</v>
      </c>
      <c r="W498" s="5" t="s">
        <v>36</v>
      </c>
      <c r="X498" s="5" t="s">
        <v>83</v>
      </c>
      <c r="Y498" s="5" t="s">
        <v>24</v>
      </c>
      <c r="Z498" s="5" t="s">
        <v>2667</v>
      </c>
      <c r="AA498" s="5" t="s">
        <v>44</v>
      </c>
      <c r="AC498" s="8" t="str">
        <f>HYPERLINK("https://drive.google.com/file/d/1aHXgSR874_rlRgZaDE4zDVoRq7z1TLE8/view?usp=drivesdk","Abrir_Factura")</f>
        <v>Abrir_Factura</v>
      </c>
      <c r="AD498" s="9">
        <v>46003.675497685188</v>
      </c>
    </row>
    <row r="499" spans="1:30" ht="12.5">
      <c r="A499" s="4">
        <v>46003.693476643515</v>
      </c>
      <c r="B499" s="5">
        <v>90232</v>
      </c>
      <c r="C499" s="5">
        <v>1002207750</v>
      </c>
      <c r="D499" s="5" t="s">
        <v>1719</v>
      </c>
      <c r="F499" s="5" t="s">
        <v>2658</v>
      </c>
      <c r="H499" s="5">
        <v>573043765061</v>
      </c>
      <c r="J499" s="5" t="s">
        <v>2668</v>
      </c>
      <c r="K499" s="5" t="s">
        <v>63</v>
      </c>
      <c r="L499" s="5" t="s">
        <v>2669</v>
      </c>
      <c r="N499" s="6">
        <v>46003</v>
      </c>
      <c r="O499" s="7">
        <v>0.77500000000000002</v>
      </c>
      <c r="P499" s="5">
        <v>1</v>
      </c>
      <c r="Q499" s="5" t="s">
        <v>2670</v>
      </c>
      <c r="R499" s="5">
        <v>150000</v>
      </c>
      <c r="S499" s="5">
        <v>0</v>
      </c>
      <c r="T499" s="5">
        <v>17000</v>
      </c>
      <c r="U499" s="5">
        <v>167000</v>
      </c>
      <c r="V499" s="5" t="s">
        <v>2671</v>
      </c>
      <c r="W499" s="5" t="s">
        <v>36</v>
      </c>
      <c r="X499" s="5" t="s">
        <v>67</v>
      </c>
      <c r="Y499" s="5" t="s">
        <v>24</v>
      </c>
      <c r="Z499" s="5" t="s">
        <v>2672</v>
      </c>
      <c r="AA499" s="5" t="s">
        <v>69</v>
      </c>
      <c r="AC499" s="8" t="str">
        <f>HYPERLINK("https://drive.google.com/file/d/1vC8eMHYqtF4VuGNUU6_dsy3rerh3-b3I/view?usp=drivesdk","Abrir_Factura")</f>
        <v>Abrir_Factura</v>
      </c>
      <c r="AD499" s="9">
        <v>46003.695879629631</v>
      </c>
    </row>
    <row r="500" spans="1:30" ht="12.5">
      <c r="A500" s="4">
        <v>46003.681267326392</v>
      </c>
      <c r="B500" s="5">
        <v>90233</v>
      </c>
      <c r="C500" s="5">
        <v>1062955759</v>
      </c>
      <c r="D500" s="5" t="s">
        <v>968</v>
      </c>
      <c r="F500" s="5" t="s">
        <v>2673</v>
      </c>
      <c r="H500" s="5">
        <v>573219670367</v>
      </c>
      <c r="J500" s="5" t="s">
        <v>2674</v>
      </c>
      <c r="K500" s="5" t="s">
        <v>103</v>
      </c>
      <c r="L500" s="5" t="s">
        <v>2675</v>
      </c>
      <c r="M500" s="5">
        <v>3007814789</v>
      </c>
      <c r="N500" s="6">
        <v>46003</v>
      </c>
      <c r="O500" s="7">
        <v>0.76249999999999996</v>
      </c>
      <c r="P500" s="5">
        <v>1</v>
      </c>
      <c r="Q500" s="5" t="s">
        <v>1111</v>
      </c>
      <c r="R500" s="5">
        <v>120000</v>
      </c>
      <c r="S500" s="5">
        <v>0</v>
      </c>
      <c r="T500" s="5">
        <v>10000</v>
      </c>
      <c r="U500" s="5">
        <v>130000</v>
      </c>
      <c r="W500" s="5" t="s">
        <v>36</v>
      </c>
      <c r="X500" s="5" t="s">
        <v>83</v>
      </c>
      <c r="Y500" s="5" t="s">
        <v>24</v>
      </c>
      <c r="AA500" s="5" t="s">
        <v>69</v>
      </c>
      <c r="AC500" s="8" t="str">
        <f>HYPERLINK("https://drive.google.com/file/d/1C74SpQ9zj1K-x064DUApRh_ZKQ3Aqs8M/view?usp=drivesdk","Abrir_Factura")</f>
        <v>Abrir_Factura</v>
      </c>
      <c r="AD500" s="9">
        <v>46003.699062500003</v>
      </c>
    </row>
    <row r="501" spans="1:30" ht="12.5">
      <c r="A501" s="4">
        <v>46003.730060671296</v>
      </c>
      <c r="B501" s="5">
        <v>90234</v>
      </c>
      <c r="C501" s="5">
        <v>1001945648</v>
      </c>
      <c r="D501" s="5" t="s">
        <v>2676</v>
      </c>
      <c r="F501" s="5" t="s">
        <v>2677</v>
      </c>
      <c r="H501" s="5">
        <v>573012527757</v>
      </c>
      <c r="J501" s="5" t="s">
        <v>2678</v>
      </c>
      <c r="K501" s="5" t="s">
        <v>33</v>
      </c>
      <c r="L501" s="5" t="s">
        <v>34</v>
      </c>
      <c r="M501" s="5">
        <v>3012527757</v>
      </c>
      <c r="N501" s="6">
        <v>46003</v>
      </c>
      <c r="O501" s="7">
        <v>0.81597222222222221</v>
      </c>
      <c r="P501" s="5">
        <v>1</v>
      </c>
      <c r="Q501" s="5" t="s">
        <v>178</v>
      </c>
      <c r="R501" s="5">
        <v>100000</v>
      </c>
      <c r="S501" s="5">
        <v>0</v>
      </c>
      <c r="T501" s="5">
        <v>0</v>
      </c>
      <c r="U501" s="5">
        <v>100000</v>
      </c>
      <c r="W501" s="5" t="s">
        <v>36</v>
      </c>
      <c r="X501" s="5" t="s">
        <v>196</v>
      </c>
      <c r="Y501" s="5" t="s">
        <v>24</v>
      </c>
      <c r="AA501" s="5" t="s">
        <v>1717</v>
      </c>
      <c r="AC501" s="8" t="str">
        <f>HYPERLINK("https://drive.google.com/file/d/17Awy_b8Iy7qOxearTiv8l2aqK1rG5ECu/view?usp=drivesdk","Abrir_Factura")</f>
        <v>Abrir_Factura</v>
      </c>
      <c r="AD501" s="9">
        <v>46003.731481481482</v>
      </c>
    </row>
    <row r="502" spans="1:30" ht="12.5">
      <c r="A502" s="4">
        <v>46003.734911770836</v>
      </c>
      <c r="B502" s="5">
        <v>90235</v>
      </c>
      <c r="C502" s="5">
        <v>22462773</v>
      </c>
      <c r="D502" s="5" t="s">
        <v>521</v>
      </c>
      <c r="F502" s="5" t="s">
        <v>561</v>
      </c>
      <c r="H502" s="5">
        <v>573174986262</v>
      </c>
      <c r="J502" s="5" t="s">
        <v>2679</v>
      </c>
      <c r="K502" s="5" t="s">
        <v>33</v>
      </c>
      <c r="L502" s="5" t="s">
        <v>34</v>
      </c>
      <c r="M502" s="5">
        <v>3174986262</v>
      </c>
      <c r="N502" s="6">
        <v>46003</v>
      </c>
      <c r="O502" s="7">
        <v>0.8208333333333333</v>
      </c>
      <c r="P502" s="5">
        <v>1</v>
      </c>
      <c r="Q502" s="5" t="s">
        <v>42</v>
      </c>
      <c r="R502" s="5">
        <v>24000</v>
      </c>
      <c r="S502" s="5">
        <v>0</v>
      </c>
      <c r="T502" s="5">
        <v>0</v>
      </c>
      <c r="U502" s="5">
        <v>24000</v>
      </c>
      <c r="W502" s="5" t="s">
        <v>36</v>
      </c>
      <c r="X502" s="5" t="s">
        <v>196</v>
      </c>
      <c r="Y502" s="5" t="s">
        <v>24</v>
      </c>
      <c r="AA502" s="5" t="s">
        <v>1717</v>
      </c>
      <c r="AB502" s="5" t="s">
        <v>525</v>
      </c>
      <c r="AC502" s="8" t="str">
        <f>HYPERLINK("https://drive.google.com/file/d/1Wy8J9PAIJCd_iXMLomEATOVT1Es1_wf4/view?usp=drivesdk","Abrir_Factura")</f>
        <v>Abrir_Factura</v>
      </c>
      <c r="AD502" s="9">
        <v>46003.736018518517</v>
      </c>
    </row>
    <row r="503" spans="1:30" ht="12.5">
      <c r="A503" s="4">
        <v>46003.739650057869</v>
      </c>
      <c r="B503" s="5">
        <v>90236</v>
      </c>
      <c r="C503" s="5">
        <v>1129583677</v>
      </c>
      <c r="D503" s="5" t="s">
        <v>2680</v>
      </c>
      <c r="F503" s="5" t="s">
        <v>2681</v>
      </c>
      <c r="H503" s="5">
        <v>573205950605</v>
      </c>
      <c r="J503" s="5" t="s">
        <v>2682</v>
      </c>
      <c r="K503" s="5" t="s">
        <v>154</v>
      </c>
      <c r="L503" s="5" t="s">
        <v>2683</v>
      </c>
      <c r="M503" s="5">
        <v>3205950605</v>
      </c>
      <c r="N503" s="6">
        <v>46003</v>
      </c>
      <c r="O503" s="7">
        <v>0.82361111111111107</v>
      </c>
      <c r="P503" s="5">
        <v>1</v>
      </c>
      <c r="Q503" s="5" t="s">
        <v>707</v>
      </c>
      <c r="R503" s="5">
        <v>320000</v>
      </c>
      <c r="S503" s="5">
        <v>0</v>
      </c>
      <c r="T503" s="5">
        <v>8000</v>
      </c>
      <c r="U503" s="5">
        <v>328000</v>
      </c>
      <c r="W503" s="5" t="s">
        <v>36</v>
      </c>
      <c r="X503" s="5" t="s">
        <v>83</v>
      </c>
      <c r="Y503" s="5" t="s">
        <v>24</v>
      </c>
      <c r="AA503" s="5" t="s">
        <v>44</v>
      </c>
      <c r="AB503" s="5" t="s">
        <v>2684</v>
      </c>
      <c r="AC503" s="8" t="str">
        <f>HYPERLINK("https://drive.google.com/file/d/1Tvdwzs-SWJ26wi4rnmWjRw1E6CTK8M1H/view?usp=drivesdk","Abrir_Factura")</f>
        <v>Abrir_Factura</v>
      </c>
      <c r="AD503" s="9">
        <v>46003.740370370368</v>
      </c>
    </row>
    <row r="504" spans="1:30" ht="12.5">
      <c r="A504" s="4">
        <v>46003.754197708331</v>
      </c>
      <c r="B504" s="5">
        <v>90237</v>
      </c>
      <c r="C504" s="5">
        <v>9014496837</v>
      </c>
      <c r="D504" s="5" t="s">
        <v>2685</v>
      </c>
      <c r="F504" s="10" t="s">
        <v>2686</v>
      </c>
      <c r="H504" s="5">
        <v>573045565785</v>
      </c>
      <c r="J504" s="5" t="s">
        <v>2687</v>
      </c>
      <c r="L504" s="5" t="s">
        <v>2688</v>
      </c>
      <c r="M504" s="5" t="s">
        <v>2689</v>
      </c>
      <c r="N504" s="6">
        <v>46005</v>
      </c>
      <c r="O504" s="7">
        <v>0.67013888888888884</v>
      </c>
      <c r="P504" s="5">
        <v>1</v>
      </c>
      <c r="Q504" s="5" t="s">
        <v>2690</v>
      </c>
      <c r="R504" s="5">
        <v>1500000</v>
      </c>
      <c r="S504" s="5">
        <v>0</v>
      </c>
      <c r="T504" s="5"/>
      <c r="U504" s="5">
        <v>1500000</v>
      </c>
      <c r="W504" s="5" t="s">
        <v>36</v>
      </c>
      <c r="X504" s="5" t="s">
        <v>67</v>
      </c>
      <c r="Y504" s="5" t="s">
        <v>24</v>
      </c>
      <c r="AA504" s="5" t="s">
        <v>44</v>
      </c>
      <c r="AB504" s="5" t="s">
        <v>2691</v>
      </c>
      <c r="AC504" s="8" t="str">
        <f>HYPERLINK("https://drive.google.com/file/d/1eX6GL9ufmKzcIFawYry2hK5U7hWsTmXo/view?usp=drivesdk","Abrir_Factura")</f>
        <v>Abrir_Factura</v>
      </c>
      <c r="AD504" s="9">
        <v>46003.757164351853</v>
      </c>
    </row>
    <row r="505" spans="1:30" ht="12.5">
      <c r="A505" s="4">
        <v>46003.762242337965</v>
      </c>
      <c r="B505" s="5">
        <v>90238</v>
      </c>
      <c r="C505" s="5">
        <v>1121526487</v>
      </c>
      <c r="D505" s="5" t="s">
        <v>2692</v>
      </c>
      <c r="F505" s="5" t="s">
        <v>2693</v>
      </c>
      <c r="H505" s="5">
        <v>573005546610</v>
      </c>
      <c r="J505" s="5" t="s">
        <v>2694</v>
      </c>
      <c r="K505" s="5" t="s">
        <v>103</v>
      </c>
      <c r="L505" s="5" t="s">
        <v>2695</v>
      </c>
      <c r="M505" s="5">
        <v>3005546610</v>
      </c>
      <c r="N505" s="6">
        <v>46010</v>
      </c>
      <c r="O505" s="7">
        <v>0.28472222222222221</v>
      </c>
      <c r="P505" s="5">
        <v>1</v>
      </c>
      <c r="Q505" s="5" t="s">
        <v>210</v>
      </c>
      <c r="R505" s="5">
        <v>150000</v>
      </c>
      <c r="S505" s="5">
        <v>0</v>
      </c>
      <c r="T505" s="5">
        <v>10000</v>
      </c>
      <c r="U505" s="5">
        <v>160000</v>
      </c>
      <c r="V505" s="5" t="s">
        <v>2696</v>
      </c>
      <c r="W505" s="5" t="s">
        <v>36</v>
      </c>
      <c r="X505" s="5" t="s">
        <v>83</v>
      </c>
      <c r="Y505" s="5" t="s">
        <v>24</v>
      </c>
      <c r="Z505" s="5" t="s">
        <v>2697</v>
      </c>
      <c r="AA505" s="5" t="s">
        <v>44</v>
      </c>
      <c r="AC505" s="8" t="str">
        <f>HYPERLINK("https://drive.google.com/file/d/1XeC-t3KOSWw6WnuGzbXNVxlWaUMBLZzh/view?usp=drivesdk","Abrir_Factura")</f>
        <v>Abrir_Factura</v>
      </c>
      <c r="AD505" s="9">
        <v>46003.773518518516</v>
      </c>
    </row>
    <row r="506" spans="1:30" ht="12.5">
      <c r="A506" s="4">
        <v>46003.778829999996</v>
      </c>
      <c r="B506" s="5">
        <v>90239</v>
      </c>
      <c r="C506" s="5">
        <v>1042247402</v>
      </c>
      <c r="D506" s="5" t="s">
        <v>2698</v>
      </c>
      <c r="F506" s="5" t="s">
        <v>2699</v>
      </c>
      <c r="H506" s="5">
        <v>573046114194</v>
      </c>
      <c r="J506" s="5" t="s">
        <v>2700</v>
      </c>
      <c r="K506" s="5" t="s">
        <v>33</v>
      </c>
      <c r="L506" s="5" t="s">
        <v>34</v>
      </c>
      <c r="M506" s="5">
        <v>3046114194</v>
      </c>
      <c r="N506" s="6">
        <v>46003</v>
      </c>
      <c r="O506" s="7">
        <v>0.86458333333333337</v>
      </c>
      <c r="P506" s="5">
        <v>1</v>
      </c>
      <c r="Q506" s="5" t="s">
        <v>384</v>
      </c>
      <c r="R506" s="5">
        <v>180000</v>
      </c>
      <c r="S506" s="5">
        <v>0</v>
      </c>
      <c r="T506" s="5">
        <v>0</v>
      </c>
      <c r="U506" s="5">
        <v>180000</v>
      </c>
      <c r="W506" s="5" t="s">
        <v>36</v>
      </c>
      <c r="X506" s="5" t="s">
        <v>1705</v>
      </c>
      <c r="Y506" s="5" t="s">
        <v>24</v>
      </c>
      <c r="AA506" s="5" t="s">
        <v>1717</v>
      </c>
      <c r="AC506" s="8" t="str">
        <f>HYPERLINK("https://drive.google.com/file/d/1_6kjqhhiA33GH8LzclhUECoei7Pvgevq/view?usp=drivesdk","Abrir_Factura")</f>
        <v>Abrir_Factura</v>
      </c>
      <c r="AD506" s="9">
        <v>46003.779282407406</v>
      </c>
    </row>
    <row r="507" spans="1:30" ht="12.5">
      <c r="A507" s="4">
        <v>46003.891883344906</v>
      </c>
      <c r="B507" s="5">
        <v>90240</v>
      </c>
      <c r="C507" s="5">
        <v>1140884194</v>
      </c>
      <c r="D507" s="5" t="s">
        <v>2701</v>
      </c>
      <c r="F507" s="5" t="s">
        <v>2702</v>
      </c>
      <c r="H507" s="5">
        <v>573004149204</v>
      </c>
      <c r="J507" s="5" t="s">
        <v>2703</v>
      </c>
      <c r="K507" s="5"/>
      <c r="L507" s="5" t="s">
        <v>2704</v>
      </c>
      <c r="M507" s="5">
        <v>3004149204</v>
      </c>
      <c r="N507" s="6">
        <v>46004</v>
      </c>
      <c r="O507" s="7">
        <v>0.39583333333333331</v>
      </c>
      <c r="P507" s="5">
        <v>1</v>
      </c>
      <c r="Q507" s="5" t="s">
        <v>422</v>
      </c>
      <c r="R507" s="5">
        <v>130000</v>
      </c>
      <c r="S507" s="5">
        <v>0</v>
      </c>
      <c r="T507" s="5"/>
      <c r="U507" s="5">
        <v>130000</v>
      </c>
      <c r="V507" s="5" t="s">
        <v>2705</v>
      </c>
      <c r="W507" s="5" t="s">
        <v>36</v>
      </c>
      <c r="X507" s="5" t="s">
        <v>1705</v>
      </c>
      <c r="Y507" s="5" t="s">
        <v>24</v>
      </c>
      <c r="Z507" s="5" t="s">
        <v>2706</v>
      </c>
      <c r="AA507" s="5" t="s">
        <v>44</v>
      </c>
      <c r="AC507" s="8" t="str">
        <f>HYPERLINK("https://drive.google.com/file/d/1btMNvqrPxfYRh4eOflVfZlA8M0gF3hUa/view?usp=drivesdk", "Abrir_Factura")</f>
        <v>Abrir_Factura</v>
      </c>
      <c r="AD507" s="9">
        <v>46004.550081018519</v>
      </c>
    </row>
    <row r="508" spans="1:30" ht="12.5">
      <c r="A508" s="4">
        <v>46004.408567048609</v>
      </c>
      <c r="B508" s="5">
        <v>90241</v>
      </c>
      <c r="C508" s="5">
        <v>1025062734</v>
      </c>
      <c r="D508" s="5" t="s">
        <v>2707</v>
      </c>
      <c r="F508" s="5" t="s">
        <v>2708</v>
      </c>
      <c r="H508" s="5">
        <v>573107725720</v>
      </c>
      <c r="J508" s="5" t="s">
        <v>2709</v>
      </c>
      <c r="K508" s="5" t="s">
        <v>33</v>
      </c>
      <c r="L508" s="5" t="s">
        <v>34</v>
      </c>
      <c r="M508" s="5">
        <v>3107725720</v>
      </c>
      <c r="N508" s="6">
        <v>46004</v>
      </c>
      <c r="O508" s="7">
        <v>0.49444444444444446</v>
      </c>
      <c r="P508" s="5">
        <v>1</v>
      </c>
      <c r="Q508" s="5" t="s">
        <v>42</v>
      </c>
      <c r="R508" s="5">
        <v>80000</v>
      </c>
      <c r="S508" s="5">
        <v>0</v>
      </c>
      <c r="T508" s="5">
        <v>0</v>
      </c>
      <c r="U508" s="5">
        <v>80000</v>
      </c>
      <c r="W508" s="5" t="s">
        <v>36</v>
      </c>
      <c r="X508" s="5" t="s">
        <v>1705</v>
      </c>
      <c r="Y508" s="5" t="s">
        <v>24</v>
      </c>
      <c r="AA508" s="5" t="s">
        <v>1717</v>
      </c>
      <c r="AB508" s="5" t="s">
        <v>120</v>
      </c>
      <c r="AC508" s="8" t="str">
        <f>HYPERLINK("https://drive.google.com/file/d/1II7YdGuZQyjdLAJ4XcbmJgvzFVyRd-tK/view?usp=drivesdk","Abrir_Factura")</f>
        <v>Abrir_Factura</v>
      </c>
      <c r="AD508" s="9">
        <v>46004.409120370372</v>
      </c>
    </row>
    <row r="509" spans="1:30" ht="12.5">
      <c r="A509" s="4">
        <v>46004.403975069443</v>
      </c>
      <c r="B509" s="5">
        <v>90242</v>
      </c>
      <c r="C509" s="5">
        <v>32747797</v>
      </c>
      <c r="D509" s="5" t="s">
        <v>2710</v>
      </c>
      <c r="F509" s="5" t="s">
        <v>2711</v>
      </c>
      <c r="H509" s="5">
        <v>573157076259</v>
      </c>
      <c r="J509" s="5" t="s">
        <v>2712</v>
      </c>
      <c r="K509" s="5"/>
      <c r="L509" s="5" t="s">
        <v>34</v>
      </c>
      <c r="N509" s="6">
        <v>46004</v>
      </c>
      <c r="O509" s="7">
        <v>0.48888888888888887</v>
      </c>
      <c r="P509" s="5">
        <v>1</v>
      </c>
      <c r="Q509" s="5" t="s">
        <v>65</v>
      </c>
      <c r="R509" s="5">
        <v>70000</v>
      </c>
      <c r="S509" s="5">
        <v>0</v>
      </c>
      <c r="T509" s="5"/>
      <c r="U509" s="5">
        <v>70000</v>
      </c>
      <c r="V509" s="5" t="s">
        <v>2713</v>
      </c>
      <c r="W509" s="5" t="s">
        <v>36</v>
      </c>
      <c r="X509" s="5" t="s">
        <v>196</v>
      </c>
      <c r="Y509" s="5" t="s">
        <v>24</v>
      </c>
      <c r="Z509" s="5" t="s">
        <v>2714</v>
      </c>
      <c r="AA509" s="5" t="s">
        <v>44</v>
      </c>
      <c r="AC509" s="8" t="str">
        <f>HYPERLINK("https://drive.google.com/file/d/101Ouukcym5kfBuyYNVTn9yUKhyJYLNYR/view?usp=drivesdk", "Abrir_Factura")</f>
        <v>Abrir_Factura</v>
      </c>
      <c r="AD509" s="9">
        <v>46004.552118055559</v>
      </c>
    </row>
    <row r="510" spans="1:30" ht="12.5">
      <c r="A510" s="4">
        <v>46004.407615474542</v>
      </c>
      <c r="B510" s="5">
        <v>90243</v>
      </c>
      <c r="C510" s="5">
        <v>1047214820</v>
      </c>
      <c r="D510" s="5" t="s">
        <v>2037</v>
      </c>
      <c r="F510" s="5" t="s">
        <v>2715</v>
      </c>
      <c r="H510" s="5">
        <v>573052776142</v>
      </c>
      <c r="J510" s="5" t="s">
        <v>2716</v>
      </c>
      <c r="K510" s="5" t="s">
        <v>229</v>
      </c>
      <c r="L510" s="5" t="s">
        <v>2717</v>
      </c>
      <c r="M510" s="5">
        <v>3103608148</v>
      </c>
      <c r="N510" s="6">
        <v>46004</v>
      </c>
      <c r="O510" s="7">
        <v>0.5</v>
      </c>
      <c r="P510" s="5">
        <v>1</v>
      </c>
      <c r="Q510" s="5" t="s">
        <v>2718</v>
      </c>
      <c r="R510" s="5">
        <v>150000</v>
      </c>
      <c r="S510" s="5">
        <v>0</v>
      </c>
      <c r="T510" s="5">
        <v>11000</v>
      </c>
      <c r="U510" s="5">
        <v>161000</v>
      </c>
      <c r="V510" s="5" t="s">
        <v>2719</v>
      </c>
      <c r="W510" s="5" t="s">
        <v>36</v>
      </c>
      <c r="X510" s="5" t="s">
        <v>83</v>
      </c>
      <c r="Y510" s="5" t="s">
        <v>24</v>
      </c>
      <c r="Z510" s="5" t="s">
        <v>2720</v>
      </c>
      <c r="AA510" s="5" t="s">
        <v>69</v>
      </c>
      <c r="AC510" s="8" t="str">
        <f>HYPERLINK("https://drive.google.com/file/d/1wtUDT5rv9kBbQEHeyHVNwi-UUZ0ASsl6/view?usp=drivesdk","Abrir_Factura")</f>
        <v>Abrir_Factura</v>
      </c>
      <c r="AD510" s="9">
        <v>46004.421886574077</v>
      </c>
    </row>
    <row r="511" spans="1:30" ht="12.5">
      <c r="A511" s="4">
        <v>46004.428225706019</v>
      </c>
      <c r="B511" s="5">
        <v>90244</v>
      </c>
      <c r="C511" s="5">
        <v>1140839996</v>
      </c>
      <c r="D511" s="5" t="s">
        <v>2721</v>
      </c>
      <c r="F511" s="5" t="s">
        <v>2722</v>
      </c>
      <c r="H511" s="5">
        <v>573145783942</v>
      </c>
      <c r="J511" s="5" t="s">
        <v>2723</v>
      </c>
      <c r="L511" s="5" t="s">
        <v>2724</v>
      </c>
      <c r="M511" s="5" t="s">
        <v>2725</v>
      </c>
      <c r="N511" s="6">
        <v>46004</v>
      </c>
      <c r="O511" s="7">
        <v>0.5131944444444444</v>
      </c>
      <c r="P511" s="5">
        <v>1</v>
      </c>
      <c r="Q511" s="5" t="s">
        <v>458</v>
      </c>
      <c r="R511" s="5">
        <v>320000</v>
      </c>
      <c r="S511" s="5">
        <v>0</v>
      </c>
      <c r="T511" s="5"/>
      <c r="U511" s="5">
        <v>320000</v>
      </c>
      <c r="W511" s="5" t="s">
        <v>36</v>
      </c>
      <c r="X511" s="5" t="s">
        <v>83</v>
      </c>
      <c r="Y511" s="5" t="s">
        <v>24</v>
      </c>
      <c r="AA511" s="5" t="s">
        <v>44</v>
      </c>
      <c r="AC511" s="8" t="str">
        <f>HYPERLINK("https://drive.google.com/file/d/1RCarL0vkhcMtNKuuYLLC_JfBBa0JDvyd/view?usp=drivesdk","Abrir_Factura")</f>
        <v>Abrir_Factura</v>
      </c>
      <c r="AD511" s="9">
        <v>46004.42864583333</v>
      </c>
    </row>
    <row r="512" spans="1:30" ht="12.5">
      <c r="A512" s="4">
        <v>46004.428484837961</v>
      </c>
      <c r="B512" s="5">
        <v>90245</v>
      </c>
      <c r="C512" s="5">
        <v>3738233</v>
      </c>
      <c r="D512" s="5" t="s">
        <v>825</v>
      </c>
      <c r="F512" s="5" t="s">
        <v>2726</v>
      </c>
      <c r="H512" s="5">
        <v>573114272219</v>
      </c>
      <c r="J512" s="5" t="s">
        <v>2727</v>
      </c>
      <c r="K512" s="5" t="s">
        <v>124</v>
      </c>
      <c r="L512" s="5" t="s">
        <v>2728</v>
      </c>
      <c r="M512" s="5">
        <v>3114272219</v>
      </c>
      <c r="N512" s="6">
        <v>46004</v>
      </c>
      <c r="O512" s="7">
        <v>0.51458333333333328</v>
      </c>
      <c r="P512" s="5">
        <v>1</v>
      </c>
      <c r="Q512" s="5" t="s">
        <v>422</v>
      </c>
      <c r="R512" s="5">
        <v>130000</v>
      </c>
      <c r="S512" s="5">
        <v>0</v>
      </c>
      <c r="T512" s="5">
        <v>12000</v>
      </c>
      <c r="U512" s="5">
        <v>142000</v>
      </c>
      <c r="W512" s="5" t="s">
        <v>36</v>
      </c>
      <c r="X512" s="5" t="s">
        <v>83</v>
      </c>
      <c r="Y512" s="5" t="s">
        <v>24</v>
      </c>
      <c r="AA512" s="5" t="s">
        <v>69</v>
      </c>
      <c r="AC512" s="8" t="str">
        <f>HYPERLINK("https://drive.google.com/file/d/1R24XEzacfyCXZq6UNR3dTrHiDPmq_VtH/view?usp=drivesdk","Abrir_Factura")</f>
        <v>Abrir_Factura</v>
      </c>
      <c r="AD512" s="9">
        <v>46004.429351851853</v>
      </c>
    </row>
    <row r="513" spans="1:30" ht="12.5">
      <c r="A513" s="4">
        <v>46004.421516967588</v>
      </c>
      <c r="B513" s="5">
        <v>90246</v>
      </c>
      <c r="C513" s="5">
        <v>1002211102</v>
      </c>
      <c r="D513" s="5" t="s">
        <v>246</v>
      </c>
      <c r="F513" s="5" t="s">
        <v>2729</v>
      </c>
      <c r="H513" s="5">
        <v>573144870628</v>
      </c>
      <c r="J513" s="5" t="s">
        <v>2730</v>
      </c>
      <c r="K513" s="5" t="s">
        <v>249</v>
      </c>
      <c r="L513" s="5" t="s">
        <v>2731</v>
      </c>
      <c r="M513" s="5">
        <v>3246155465</v>
      </c>
      <c r="N513" s="6">
        <v>46004</v>
      </c>
      <c r="O513" s="7">
        <v>0.70833333333333337</v>
      </c>
      <c r="P513" s="5">
        <v>1</v>
      </c>
      <c r="Q513" s="5" t="s">
        <v>170</v>
      </c>
      <c r="R513" s="5">
        <v>300000</v>
      </c>
      <c r="S513" s="5">
        <v>0</v>
      </c>
      <c r="T513" s="5">
        <v>10000</v>
      </c>
      <c r="U513" s="5">
        <v>310000</v>
      </c>
      <c r="V513" s="5" t="s">
        <v>2732</v>
      </c>
      <c r="W513" s="5" t="s">
        <v>36</v>
      </c>
      <c r="X513" s="5" t="s">
        <v>83</v>
      </c>
      <c r="Y513" s="5" t="s">
        <v>24</v>
      </c>
      <c r="Z513" s="5" t="s">
        <v>1798</v>
      </c>
      <c r="AA513" s="5" t="s">
        <v>44</v>
      </c>
      <c r="AC513" s="8" t="str">
        <f>HYPERLINK("https://drive.google.com/file/d/1ZNw-Ea8z1wClQ2xAgGIa__szfTPKriqj/view?usp=drivesdk","Abrir_Factura")</f>
        <v>Abrir_Factura</v>
      </c>
      <c r="AD513" s="9">
        <v>46004.447430555556</v>
      </c>
    </row>
    <row r="514" spans="1:30" ht="12.5">
      <c r="A514" s="4">
        <v>46004.411447199076</v>
      </c>
      <c r="B514" s="5">
        <v>90247</v>
      </c>
      <c r="C514" s="5">
        <v>1124006160</v>
      </c>
      <c r="D514" s="5" t="s">
        <v>2733</v>
      </c>
      <c r="F514" s="5" t="s">
        <v>2734</v>
      </c>
      <c r="H514" s="5">
        <v>573046718600</v>
      </c>
      <c r="J514" s="5" t="s">
        <v>2735</v>
      </c>
      <c r="K514" s="5" t="s">
        <v>103</v>
      </c>
      <c r="L514" s="5" t="s">
        <v>2736</v>
      </c>
      <c r="M514" s="5">
        <v>3046718600</v>
      </c>
      <c r="N514" s="6">
        <v>46004</v>
      </c>
      <c r="O514" s="7">
        <v>0.49583333333333335</v>
      </c>
      <c r="P514" s="5">
        <v>2</v>
      </c>
      <c r="Q514" s="5" t="s">
        <v>1605</v>
      </c>
      <c r="R514" s="5">
        <v>160000</v>
      </c>
      <c r="S514" s="5">
        <v>0</v>
      </c>
      <c r="T514" s="5">
        <v>10000</v>
      </c>
      <c r="U514" s="5">
        <v>170000</v>
      </c>
      <c r="V514" s="5" t="s">
        <v>2737</v>
      </c>
      <c r="W514" s="5" t="s">
        <v>36</v>
      </c>
      <c r="X514" s="5" t="s">
        <v>83</v>
      </c>
      <c r="Y514" s="5" t="s">
        <v>24</v>
      </c>
      <c r="Z514" s="5" t="s">
        <v>2738</v>
      </c>
      <c r="AA514" s="5" t="s">
        <v>69</v>
      </c>
      <c r="AC514" s="8" t="str">
        <f>HYPERLINK("https://drive.google.com/file/d/1TRavWSMkTFXnd8rVO1-_QYkKNOq5iChP/view?usp=drivesdk","Abrir_Factura")</f>
        <v>Abrir_Factura</v>
      </c>
      <c r="AD514" s="9">
        <v>46004.448414351849</v>
      </c>
    </row>
    <row r="515" spans="1:30" ht="12.5">
      <c r="A515" s="4">
        <v>46004.454938958334</v>
      </c>
      <c r="B515" s="5">
        <v>90248</v>
      </c>
      <c r="C515" s="5">
        <v>1140875286</v>
      </c>
      <c r="D515" s="5" t="s">
        <v>2533</v>
      </c>
      <c r="F515" s="5" t="s">
        <v>2739</v>
      </c>
      <c r="H515" s="5">
        <v>573008437440</v>
      </c>
      <c r="J515" s="5" t="s">
        <v>2740</v>
      </c>
      <c r="K515" s="5" t="s">
        <v>33</v>
      </c>
      <c r="L515" s="5" t="s">
        <v>34</v>
      </c>
      <c r="M515" s="5">
        <v>3008437440</v>
      </c>
      <c r="N515" s="6">
        <v>46004</v>
      </c>
      <c r="O515" s="7">
        <v>0.54097222222222219</v>
      </c>
      <c r="P515" s="5">
        <v>1</v>
      </c>
      <c r="Q515" s="5" t="s">
        <v>50</v>
      </c>
      <c r="R515" s="5">
        <v>200000</v>
      </c>
      <c r="S515" s="5">
        <v>0</v>
      </c>
      <c r="T515" s="5">
        <v>0</v>
      </c>
      <c r="U515" s="5">
        <v>200000</v>
      </c>
      <c r="W515" s="5" t="s">
        <v>36</v>
      </c>
      <c r="X515" s="5" t="s">
        <v>196</v>
      </c>
      <c r="Y515" s="5" t="s">
        <v>24</v>
      </c>
      <c r="AA515" s="5" t="s">
        <v>1717</v>
      </c>
      <c r="AB515" s="5" t="s">
        <v>2741</v>
      </c>
      <c r="AC515" s="8" t="str">
        <f>HYPERLINK("https://drive.google.com/file/d/1iIxDXuGjl84PUelx6Q-AuLEVHujqx70q/view?usp=drivesdk","Abrir_Factura")</f>
        <v>Abrir_Factura</v>
      </c>
      <c r="AD515" s="9">
        <v>46004.456145833334</v>
      </c>
    </row>
    <row r="516" spans="1:30" ht="12.5">
      <c r="A516" s="4">
        <v>46004.464281689812</v>
      </c>
      <c r="B516" s="5">
        <v>90249</v>
      </c>
      <c r="C516" s="5">
        <v>82013749</v>
      </c>
      <c r="D516" s="5" t="s">
        <v>2742</v>
      </c>
      <c r="F516" s="5" t="s">
        <v>2477</v>
      </c>
      <c r="H516" s="5">
        <v>570000</v>
      </c>
      <c r="J516" s="5" t="s">
        <v>2742</v>
      </c>
      <c r="K516" s="5" t="s">
        <v>33</v>
      </c>
      <c r="L516" s="5" t="s">
        <v>34</v>
      </c>
      <c r="N516" s="6">
        <v>46004</v>
      </c>
      <c r="O516" s="7">
        <v>0.54861111111111116</v>
      </c>
      <c r="P516" s="5">
        <v>1</v>
      </c>
      <c r="Q516" s="5" t="s">
        <v>42</v>
      </c>
      <c r="R516" s="5">
        <v>64000</v>
      </c>
      <c r="S516" s="5">
        <v>0</v>
      </c>
      <c r="T516" s="5">
        <v>0</v>
      </c>
      <c r="U516" s="5">
        <v>64000</v>
      </c>
      <c r="W516" s="5" t="s">
        <v>36</v>
      </c>
      <c r="X516" s="5" t="s">
        <v>196</v>
      </c>
      <c r="Y516" s="5" t="s">
        <v>24</v>
      </c>
      <c r="AA516" s="5" t="s">
        <v>1717</v>
      </c>
      <c r="AB516" s="5" t="s">
        <v>2743</v>
      </c>
      <c r="AC516" s="8" t="str">
        <f>HYPERLINK("https://drive.google.com/file/d/1N1A9XM1KzxhbhQe61mzA2OzHPVgWI1Qb/view?usp=drivesdk","Abrir_Factura")</f>
        <v>Abrir_Factura</v>
      </c>
      <c r="AD516" s="9">
        <v>46004.465057870373</v>
      </c>
    </row>
    <row r="517" spans="1:30" ht="12.5">
      <c r="A517" s="4">
        <v>46004.467787534726</v>
      </c>
      <c r="B517" s="5">
        <v>90250</v>
      </c>
      <c r="C517" s="5">
        <v>1140884194</v>
      </c>
      <c r="D517" s="5" t="s">
        <v>2744</v>
      </c>
      <c r="F517" s="5" t="s">
        <v>2745</v>
      </c>
      <c r="H517" s="5">
        <v>573004149204</v>
      </c>
      <c r="J517" s="5" t="s">
        <v>2746</v>
      </c>
      <c r="K517" s="5" t="s">
        <v>33</v>
      </c>
      <c r="L517" s="5" t="s">
        <v>34</v>
      </c>
      <c r="M517" s="5">
        <v>1140884194</v>
      </c>
      <c r="N517" s="6">
        <v>46004</v>
      </c>
      <c r="O517" s="7">
        <v>0.55277777777777781</v>
      </c>
      <c r="P517" s="5">
        <v>1</v>
      </c>
      <c r="Q517" s="5" t="s">
        <v>42</v>
      </c>
      <c r="R517" s="5">
        <v>60000</v>
      </c>
      <c r="S517" s="5">
        <v>0</v>
      </c>
      <c r="T517" s="5">
        <v>0</v>
      </c>
      <c r="U517" s="5">
        <v>60000</v>
      </c>
      <c r="W517" s="5" t="s">
        <v>36</v>
      </c>
      <c r="X517" s="5" t="s">
        <v>83</v>
      </c>
      <c r="Y517" s="5" t="s">
        <v>24</v>
      </c>
      <c r="AA517" s="5" t="s">
        <v>1717</v>
      </c>
      <c r="AB517" s="5" t="s">
        <v>2747</v>
      </c>
      <c r="AC517" s="8" t="str">
        <f>HYPERLINK("https://drive.google.com/file/d/11A74dGylkRVfZT6JeQrkLW35PlXNbG8P/view?usp=drivesdk", "Abrir_Factura")</f>
        <v>Abrir_Factura</v>
      </c>
      <c r="AD517" s="9">
        <v>46004.70653935185</v>
      </c>
    </row>
    <row r="518" spans="1:30" ht="12.5">
      <c r="A518" s="4">
        <v>46004.516318136579</v>
      </c>
      <c r="B518" s="5">
        <v>90251</v>
      </c>
      <c r="C518" s="5">
        <v>1143443126</v>
      </c>
      <c r="D518" s="5" t="s">
        <v>2748</v>
      </c>
      <c r="F518" s="5" t="s">
        <v>2749</v>
      </c>
      <c r="H518" s="5">
        <v>57232882849</v>
      </c>
      <c r="J518" s="5" t="s">
        <v>2750</v>
      </c>
      <c r="K518" s="5" t="s">
        <v>33</v>
      </c>
      <c r="L518" s="5" t="s">
        <v>34</v>
      </c>
      <c r="M518" s="5">
        <v>232882849</v>
      </c>
      <c r="N518" s="6">
        <v>46004</v>
      </c>
      <c r="O518" s="7">
        <v>0.6020833333333333</v>
      </c>
      <c r="P518" s="5">
        <v>1</v>
      </c>
      <c r="Q518" s="5" t="s">
        <v>42</v>
      </c>
      <c r="R518" s="5">
        <v>75000</v>
      </c>
      <c r="S518" s="5">
        <v>0</v>
      </c>
      <c r="T518" s="5">
        <v>0</v>
      </c>
      <c r="U518" s="5">
        <v>75000</v>
      </c>
      <c r="W518" s="5" t="s">
        <v>36</v>
      </c>
      <c r="X518" s="5" t="s">
        <v>83</v>
      </c>
      <c r="Y518" s="5" t="s">
        <v>24</v>
      </c>
      <c r="AA518" s="5" t="s">
        <v>1717</v>
      </c>
      <c r="AB518" s="5" t="s">
        <v>2275</v>
      </c>
      <c r="AC518" s="8" t="str">
        <f>HYPERLINK("https://drive.google.com/file/d/1_a78k4XuGL-3zTzq5m7zyAfBjswOmTh7/view?usp=drivesdk","Abrir_Factura")</f>
        <v>Abrir_Factura</v>
      </c>
      <c r="AD518" s="9">
        <v>46004.517523148148</v>
      </c>
    </row>
    <row r="519" spans="1:30" ht="12.5">
      <c r="A519" s="4">
        <v>46004.514942546295</v>
      </c>
      <c r="B519" s="5">
        <v>90252</v>
      </c>
      <c r="C519" s="5">
        <v>1134159063</v>
      </c>
      <c r="D519" s="5" t="s">
        <v>2095</v>
      </c>
      <c r="F519" s="5" t="s">
        <v>247</v>
      </c>
      <c r="H519" s="5">
        <v>573023523898</v>
      </c>
      <c r="J519" s="5" t="s">
        <v>226</v>
      </c>
      <c r="K519" s="5" t="s">
        <v>892</v>
      </c>
      <c r="L519" s="5" t="s">
        <v>2751</v>
      </c>
      <c r="M519" s="5">
        <v>3023533898</v>
      </c>
      <c r="N519" s="6">
        <v>46005</v>
      </c>
      <c r="O519" s="7">
        <v>0.59791666666666665</v>
      </c>
      <c r="P519" s="5">
        <v>1</v>
      </c>
      <c r="Q519" s="5" t="s">
        <v>178</v>
      </c>
      <c r="R519" s="5">
        <v>100000</v>
      </c>
      <c r="S519" s="5">
        <v>0</v>
      </c>
      <c r="T519" s="5">
        <v>10000</v>
      </c>
      <c r="U519" s="5">
        <v>110000</v>
      </c>
      <c r="V519" s="5" t="s">
        <v>2752</v>
      </c>
      <c r="W519" s="5" t="s">
        <v>36</v>
      </c>
      <c r="X519" s="5" t="s">
        <v>83</v>
      </c>
      <c r="Y519" s="5" t="s">
        <v>24</v>
      </c>
      <c r="Z519" s="5" t="s">
        <v>2753</v>
      </c>
      <c r="AA519" s="5" t="s">
        <v>44</v>
      </c>
      <c r="AC519" s="8" t="str">
        <f>HYPERLINK("https://drive.google.com/file/d/1uEFosb2dA55QfsWe5yLIAWUoUIOTrFcW/view?usp=drivesdk","Abrir_Factura")</f>
        <v>Abrir_Factura</v>
      </c>
      <c r="AD519" s="9">
        <v>46004.523090277777</v>
      </c>
    </row>
    <row r="520" spans="1:30" ht="12.5">
      <c r="A520" s="4">
        <v>46004.529044710653</v>
      </c>
      <c r="B520" s="5">
        <v>90253</v>
      </c>
      <c r="C520" s="5">
        <v>1002208874</v>
      </c>
      <c r="D520" s="5" t="s">
        <v>84</v>
      </c>
      <c r="F520" s="5" t="s">
        <v>2754</v>
      </c>
      <c r="H520" s="5">
        <v>573014466175</v>
      </c>
      <c r="J520" s="5" t="s">
        <v>2755</v>
      </c>
      <c r="K520" s="5" t="s">
        <v>307</v>
      </c>
      <c r="L520" s="5" t="s">
        <v>2756</v>
      </c>
      <c r="N520" s="6">
        <v>46004</v>
      </c>
      <c r="O520" s="7">
        <v>0.61319444444444449</v>
      </c>
      <c r="P520" s="5">
        <v>1</v>
      </c>
      <c r="Q520" s="5" t="s">
        <v>42</v>
      </c>
      <c r="R520" s="5">
        <v>150000</v>
      </c>
      <c r="S520" s="5">
        <v>0</v>
      </c>
      <c r="T520" s="5">
        <v>10000</v>
      </c>
      <c r="U520" s="5">
        <v>160000</v>
      </c>
      <c r="V520" s="5" t="s">
        <v>2757</v>
      </c>
      <c r="W520" s="5" t="s">
        <v>36</v>
      </c>
      <c r="X520" s="5" t="s">
        <v>83</v>
      </c>
      <c r="Y520" s="5" t="s">
        <v>24</v>
      </c>
      <c r="AA520" s="5" t="s">
        <v>69</v>
      </c>
      <c r="AB520" s="5" t="s">
        <v>2758</v>
      </c>
      <c r="AC520" s="8" t="str">
        <f>HYPERLINK("https://drive.google.com/file/d/1Bz32nk2_TR6ifwvyRTmzkWaS8ShHmME7/view?usp=drivesdk", "Abrir_Factura")</f>
        <v>Abrir_Factura</v>
      </c>
      <c r="AD520" s="9">
        <v>46004.530138888891</v>
      </c>
    </row>
    <row r="521" spans="1:30" ht="12.5">
      <c r="A521" s="4">
        <v>46004.537784560191</v>
      </c>
      <c r="B521" s="5">
        <v>90254</v>
      </c>
      <c r="C521" s="5">
        <v>32729501</v>
      </c>
      <c r="D521" s="5" t="s">
        <v>2759</v>
      </c>
      <c r="F521" s="5" t="s">
        <v>2760</v>
      </c>
      <c r="H521" s="5">
        <v>573157163109</v>
      </c>
      <c r="J521" s="5" t="s">
        <v>2761</v>
      </c>
      <c r="K521" s="5" t="s">
        <v>1187</v>
      </c>
      <c r="L521" s="5" t="s">
        <v>2762</v>
      </c>
      <c r="M521" s="5">
        <v>3157212121</v>
      </c>
      <c r="N521" s="6">
        <v>46006</v>
      </c>
      <c r="O521" s="7">
        <v>2.4305555555555556E-2</v>
      </c>
      <c r="P521" s="5">
        <v>1</v>
      </c>
      <c r="Q521" s="5" t="s">
        <v>322</v>
      </c>
      <c r="R521" s="5">
        <v>105000</v>
      </c>
      <c r="S521" s="5">
        <v>0</v>
      </c>
      <c r="T521" s="5">
        <v>25000</v>
      </c>
      <c r="U521" s="5">
        <v>130000</v>
      </c>
      <c r="V521" s="5" t="s">
        <v>2763</v>
      </c>
      <c r="W521" s="5" t="s">
        <v>36</v>
      </c>
      <c r="X521" s="5" t="s">
        <v>1481</v>
      </c>
      <c r="Y521" s="5" t="s">
        <v>24</v>
      </c>
      <c r="AA521" s="5" t="s">
        <v>44</v>
      </c>
      <c r="AC521" s="8" t="str">
        <f>HYPERLINK("https://drive.google.com/file/d/1D9FZY51sqpwQaWewkAbiENPbcxq_Qucs/view?usp=drivesdk","Abrir_Factura")</f>
        <v>Abrir_Factura</v>
      </c>
      <c r="AD521" s="9">
        <v>46004.539467592593</v>
      </c>
    </row>
    <row r="522" spans="1:30" ht="12.5">
      <c r="A522" s="4">
        <v>46004.519733263893</v>
      </c>
      <c r="B522" s="5">
        <v>90255</v>
      </c>
      <c r="C522" s="5">
        <v>49782096</v>
      </c>
      <c r="D522" s="5" t="s">
        <v>2764</v>
      </c>
      <c r="F522" s="5" t="s">
        <v>2765</v>
      </c>
      <c r="H522" s="5">
        <v>573113800288</v>
      </c>
      <c r="J522" s="5" t="s">
        <v>2766</v>
      </c>
      <c r="K522" s="5" t="s">
        <v>33</v>
      </c>
      <c r="L522" s="5" t="s">
        <v>34</v>
      </c>
      <c r="M522" s="5">
        <v>3113800288</v>
      </c>
      <c r="N522" s="6">
        <v>46004</v>
      </c>
      <c r="O522" s="7">
        <v>0.60069444444444442</v>
      </c>
      <c r="P522" s="5">
        <v>1</v>
      </c>
      <c r="Q522" s="5" t="s">
        <v>42</v>
      </c>
      <c r="R522" s="5">
        <v>140000</v>
      </c>
      <c r="S522" s="5">
        <v>0</v>
      </c>
      <c r="T522" s="5">
        <v>0</v>
      </c>
      <c r="U522" s="5">
        <v>140000</v>
      </c>
      <c r="V522" s="5" t="s">
        <v>2767</v>
      </c>
      <c r="W522" s="5" t="s">
        <v>36</v>
      </c>
      <c r="X522" s="5" t="s">
        <v>83</v>
      </c>
      <c r="Y522" s="5" t="s">
        <v>24</v>
      </c>
      <c r="Z522" s="5" t="s">
        <v>2768</v>
      </c>
      <c r="AA522" s="5" t="s">
        <v>44</v>
      </c>
      <c r="AB522" s="5" t="s">
        <v>2769</v>
      </c>
      <c r="AC522" s="8" t="str">
        <f>HYPERLINK("https://drive.google.com/file/d/1ba_fgOxwOqABSdK2eU4ymT8Fg-8fUsG5/view?usp=drivesdk","Abrir_Factura")</f>
        <v>Abrir_Factura</v>
      </c>
      <c r="AD522" s="9">
        <v>46004.541400462964</v>
      </c>
    </row>
    <row r="523" spans="1:30" ht="12.5">
      <c r="A523" s="4">
        <v>46004.564598634257</v>
      </c>
      <c r="B523" s="5">
        <v>90256</v>
      </c>
      <c r="C523" s="5">
        <v>0</v>
      </c>
      <c r="D523" s="5" t="s">
        <v>2770</v>
      </c>
      <c r="F523" s="5" t="s">
        <v>2277</v>
      </c>
      <c r="H523" s="5">
        <v>570000</v>
      </c>
      <c r="J523" s="5" t="s">
        <v>2770</v>
      </c>
      <c r="K523" s="5" t="s">
        <v>33</v>
      </c>
      <c r="L523" s="5" t="s">
        <v>34</v>
      </c>
      <c r="M523" s="5">
        <v>0</v>
      </c>
      <c r="N523" s="6">
        <v>46004</v>
      </c>
      <c r="O523" s="7">
        <v>0.64722222222222225</v>
      </c>
      <c r="P523" s="5">
        <v>1</v>
      </c>
      <c r="Q523" s="5" t="s">
        <v>42</v>
      </c>
      <c r="R523" s="5">
        <v>168000</v>
      </c>
      <c r="S523" s="5">
        <v>0</v>
      </c>
      <c r="T523" s="5">
        <v>0</v>
      </c>
      <c r="U523" s="5">
        <v>168000</v>
      </c>
      <c r="W523" s="5" t="s">
        <v>36</v>
      </c>
      <c r="X523" s="5" t="s">
        <v>2438</v>
      </c>
      <c r="Y523" s="5" t="s">
        <v>24</v>
      </c>
      <c r="AA523" s="5" t="s">
        <v>1717</v>
      </c>
      <c r="AB523" s="5" t="s">
        <v>2771</v>
      </c>
      <c r="AC523" s="8" t="str">
        <f>HYPERLINK("https://drive.google.com/file/d/1rfYvPy8pDHoGNWBbflFxAbba2lhay1Ph/view?usp=drivesdk","Abrir_Factura")</f>
        <v>Abrir_Factura</v>
      </c>
      <c r="AD523" s="9">
        <v>46004.565960648149</v>
      </c>
    </row>
    <row r="524" spans="1:30" ht="12.5">
      <c r="A524" s="4">
        <v>46004.569998194449</v>
      </c>
      <c r="B524" s="5">
        <v>90257</v>
      </c>
      <c r="C524" s="5">
        <v>32878754</v>
      </c>
      <c r="D524" s="5" t="s">
        <v>2772</v>
      </c>
      <c r="F524" s="5" t="s">
        <v>1167</v>
      </c>
      <c r="H524" s="5">
        <v>573106331825</v>
      </c>
      <c r="J524" s="5" t="s">
        <v>2773</v>
      </c>
      <c r="K524" s="5" t="s">
        <v>249</v>
      </c>
      <c r="L524" s="5" t="s">
        <v>2774</v>
      </c>
      <c r="M524" s="5">
        <v>3128640780</v>
      </c>
      <c r="N524" s="6">
        <v>46004</v>
      </c>
      <c r="O524" s="7">
        <v>0.65555555555555556</v>
      </c>
      <c r="P524" s="5">
        <v>1</v>
      </c>
      <c r="Q524" s="5" t="s">
        <v>370</v>
      </c>
      <c r="R524" s="5">
        <v>260000</v>
      </c>
      <c r="S524" s="5">
        <v>0</v>
      </c>
      <c r="T524" s="5">
        <v>10000</v>
      </c>
      <c r="U524" s="5">
        <v>270000</v>
      </c>
      <c r="V524" s="5" t="s">
        <v>2775</v>
      </c>
      <c r="W524" s="5" t="s">
        <v>36</v>
      </c>
      <c r="X524" s="5" t="s">
        <v>83</v>
      </c>
      <c r="Y524" s="5" t="s">
        <v>24</v>
      </c>
      <c r="Z524" s="5" t="s">
        <v>2776</v>
      </c>
      <c r="AA524" s="5" t="s">
        <v>44</v>
      </c>
      <c r="AC524" s="8" t="str">
        <f>HYPERLINK("https://drive.google.com/file/d/1UWfnueZs_ySAGkkQWv9JX7ENhPpTdtjh/view?usp=drivesdk", "Abrir_Factura")</f>
        <v>Abrir_Factura</v>
      </c>
      <c r="AD524" s="9">
        <v>46004.582268518519</v>
      </c>
    </row>
    <row r="525" spans="1:30" ht="12.5">
      <c r="A525" s="4">
        <v>46004.590518541663</v>
      </c>
      <c r="B525" s="5">
        <v>90258</v>
      </c>
      <c r="C525" s="5">
        <v>1140821823</v>
      </c>
      <c r="D525" s="5" t="s">
        <v>2777</v>
      </c>
      <c r="F525" s="5" t="s">
        <v>2778</v>
      </c>
      <c r="H525" s="5">
        <v>573003443855</v>
      </c>
      <c r="J525" s="5" t="s">
        <v>2779</v>
      </c>
      <c r="K525" s="5" t="s">
        <v>63</v>
      </c>
      <c r="L525" s="5" t="s">
        <v>2780</v>
      </c>
      <c r="M525" s="5">
        <v>3003443855</v>
      </c>
      <c r="N525" s="6">
        <v>46004</v>
      </c>
      <c r="O525" s="7">
        <v>0.67500000000000004</v>
      </c>
      <c r="P525" s="5">
        <v>1</v>
      </c>
      <c r="Q525" s="5" t="s">
        <v>42</v>
      </c>
      <c r="R525" s="5">
        <v>200000</v>
      </c>
      <c r="S525" s="5">
        <v>0</v>
      </c>
      <c r="T525" s="5">
        <v>17000</v>
      </c>
      <c r="U525" s="5">
        <v>217000</v>
      </c>
      <c r="V525" s="5" t="s">
        <v>2781</v>
      </c>
      <c r="W525" s="5" t="s">
        <v>36</v>
      </c>
      <c r="X525" s="5" t="s">
        <v>83</v>
      </c>
      <c r="Y525" s="5" t="s">
        <v>24</v>
      </c>
      <c r="AA525" s="5" t="s">
        <v>44</v>
      </c>
      <c r="AB525" s="5" t="s">
        <v>2782</v>
      </c>
      <c r="AC525" s="8" t="str">
        <f>HYPERLINK("https://drive.google.com/file/d/1DdwvpYzi6nc4BkGz91cuvqbtEePzUHZv/view?usp=drivesdk","Abrir_Factura")</f>
        <v>Abrir_Factura</v>
      </c>
      <c r="AD525" s="9">
        <v>46004.591423611113</v>
      </c>
    </row>
    <row r="526" spans="1:30" ht="12.5">
      <c r="A526" s="4">
        <v>46004.571905601857</v>
      </c>
      <c r="B526" s="5">
        <v>90259</v>
      </c>
      <c r="C526" s="5">
        <v>1001854258</v>
      </c>
      <c r="D526" s="5" t="s">
        <v>2783</v>
      </c>
      <c r="F526" s="5" t="s">
        <v>2760</v>
      </c>
      <c r="H526" s="5">
        <v>14694036902</v>
      </c>
      <c r="J526" s="5" t="s">
        <v>2784</v>
      </c>
      <c r="K526" s="5" t="s">
        <v>1677</v>
      </c>
      <c r="L526" s="5" t="s">
        <v>2785</v>
      </c>
      <c r="M526" s="5">
        <v>3145949474</v>
      </c>
      <c r="N526" s="6">
        <v>46004</v>
      </c>
      <c r="O526" s="7">
        <v>0.6875</v>
      </c>
      <c r="P526" s="5">
        <v>1</v>
      </c>
      <c r="Q526" s="5" t="s">
        <v>2786</v>
      </c>
      <c r="R526" s="5">
        <v>360000</v>
      </c>
      <c r="S526" s="5">
        <v>0</v>
      </c>
      <c r="T526" s="5">
        <v>17000</v>
      </c>
      <c r="U526" s="5">
        <v>377000</v>
      </c>
      <c r="V526" s="5" t="s">
        <v>2787</v>
      </c>
      <c r="W526" s="5" t="s">
        <v>36</v>
      </c>
      <c r="X526" s="5" t="s">
        <v>1937</v>
      </c>
      <c r="Y526" s="5" t="s">
        <v>24</v>
      </c>
      <c r="Z526" s="5" t="s">
        <v>2788</v>
      </c>
      <c r="AA526" s="5" t="s">
        <v>44</v>
      </c>
      <c r="AC526" s="8" t="str">
        <f>HYPERLINK("https://drive.google.com/file/d/1wXDbmFxX0abspOCHYSHX8LGNnasGvrfO/view?usp=drivesdk","Abrir_Factura")</f>
        <v>Abrir_Factura</v>
      </c>
      <c r="AD526" s="9">
        <v>46004.59269675926</v>
      </c>
    </row>
    <row r="527" spans="1:30" ht="12.5">
      <c r="A527" s="4">
        <v>46004.568631469912</v>
      </c>
      <c r="B527" s="5">
        <v>90260</v>
      </c>
      <c r="C527" s="5">
        <v>1001818385</v>
      </c>
      <c r="D527" s="5" t="s">
        <v>617</v>
      </c>
      <c r="F527" s="5" t="s">
        <v>2789</v>
      </c>
      <c r="H527" s="5">
        <v>573023445920</v>
      </c>
      <c r="J527" s="5" t="s">
        <v>2790</v>
      </c>
      <c r="K527" s="5" t="s">
        <v>33</v>
      </c>
      <c r="L527" s="5" t="s">
        <v>34</v>
      </c>
      <c r="M527" s="5">
        <v>3023445920</v>
      </c>
      <c r="N527" s="6">
        <v>46006</v>
      </c>
      <c r="O527" s="7">
        <v>0.45833333333333331</v>
      </c>
      <c r="P527" s="5">
        <v>1</v>
      </c>
      <c r="Q527" s="5" t="s">
        <v>335</v>
      </c>
      <c r="R527" s="5">
        <v>120000</v>
      </c>
      <c r="S527" s="5">
        <v>0</v>
      </c>
      <c r="T527" s="5">
        <v>0</v>
      </c>
      <c r="U527" s="5">
        <v>120000</v>
      </c>
      <c r="V527" s="5" t="s">
        <v>2791</v>
      </c>
      <c r="W527" s="5" t="s">
        <v>36</v>
      </c>
      <c r="X527" s="5" t="s">
        <v>204</v>
      </c>
      <c r="Y527" s="5" t="s">
        <v>24</v>
      </c>
      <c r="Z527" s="5" t="s">
        <v>2792</v>
      </c>
      <c r="AA527" s="5" t="s">
        <v>69</v>
      </c>
      <c r="AC527" s="8" t="str">
        <f>HYPERLINK("https://drive.google.com/file/d/1oruvXan8o33VkBJk76-zxuCQ5xWfLvMQ/view?usp=drivesdk","Abrir_Factura")</f>
        <v>Abrir_Factura</v>
      </c>
      <c r="AD527" s="9">
        <v>46004.593726851854</v>
      </c>
    </row>
    <row r="528" spans="1:30" ht="12.5">
      <c r="A528" s="4">
        <v>46004.588702916662</v>
      </c>
      <c r="B528" s="5">
        <v>90261</v>
      </c>
      <c r="C528" s="5">
        <v>1043004598</v>
      </c>
      <c r="D528" s="5" t="s">
        <v>129</v>
      </c>
      <c r="F528" s="5" t="s">
        <v>2793</v>
      </c>
      <c r="H528" s="5">
        <v>573502615998</v>
      </c>
      <c r="J528" s="5" t="s">
        <v>2794</v>
      </c>
      <c r="K528" s="5" t="s">
        <v>110</v>
      </c>
      <c r="L528" s="5" t="s">
        <v>2795</v>
      </c>
      <c r="M528" s="5">
        <v>3013700760</v>
      </c>
      <c r="N528" s="6">
        <v>46004</v>
      </c>
      <c r="O528" s="7">
        <v>0.67152777777777772</v>
      </c>
      <c r="P528" s="5">
        <v>1</v>
      </c>
      <c r="Q528" s="5" t="s">
        <v>2796</v>
      </c>
      <c r="R528" s="5">
        <v>350000</v>
      </c>
      <c r="S528" s="5">
        <v>0</v>
      </c>
      <c r="T528" s="5">
        <v>6000</v>
      </c>
      <c r="U528" s="5">
        <v>356000</v>
      </c>
      <c r="V528" s="5" t="s">
        <v>2797</v>
      </c>
      <c r="W528" s="5" t="s">
        <v>36</v>
      </c>
      <c r="X528" s="5" t="s">
        <v>83</v>
      </c>
      <c r="Y528" s="5" t="s">
        <v>24</v>
      </c>
      <c r="Z528" s="5" t="s">
        <v>2798</v>
      </c>
      <c r="AA528" s="5" t="s">
        <v>69</v>
      </c>
      <c r="AC528" s="8" t="str">
        <f>HYPERLINK("https://drive.google.com/file/d/11qOwxLeaWaTBc9B1DAV3t6PAb_liigEi/view?usp=drivesdk","Abrir_Factura")</f>
        <v>Abrir_Factura</v>
      </c>
      <c r="AD528" s="9">
        <v>46004.59814814815</v>
      </c>
    </row>
    <row r="529" spans="1:30" ht="12.5">
      <c r="A529" s="4">
        <v>46004.607859837968</v>
      </c>
      <c r="B529" s="5">
        <v>90262</v>
      </c>
      <c r="C529" s="5">
        <v>1045671674</v>
      </c>
      <c r="D529" s="5" t="s">
        <v>2799</v>
      </c>
      <c r="F529" s="5" t="s">
        <v>2800</v>
      </c>
      <c r="H529" s="5">
        <v>573013589068</v>
      </c>
      <c r="J529" s="5" t="s">
        <v>2801</v>
      </c>
      <c r="L529" s="5" t="s">
        <v>2802</v>
      </c>
      <c r="N529" s="6">
        <v>46004</v>
      </c>
      <c r="O529" s="7">
        <v>0.69166666666666665</v>
      </c>
      <c r="P529" s="5">
        <v>1</v>
      </c>
      <c r="Q529" s="5" t="s">
        <v>251</v>
      </c>
      <c r="R529" s="5">
        <v>170000</v>
      </c>
      <c r="S529" s="5">
        <v>0</v>
      </c>
      <c r="T529" s="5"/>
      <c r="U529" s="5">
        <v>170000</v>
      </c>
      <c r="V529" s="5" t="s">
        <v>2803</v>
      </c>
      <c r="W529" s="5" t="s">
        <v>36</v>
      </c>
      <c r="X529" s="5" t="s">
        <v>1705</v>
      </c>
      <c r="Y529" s="5" t="s">
        <v>24</v>
      </c>
      <c r="AA529" s="5" t="s">
        <v>1717</v>
      </c>
      <c r="AC529" s="8" t="str">
        <f>HYPERLINK("https://drive.google.com/file/d/1l6y2J3pS9uYRAi7UoXxH8afZU1cAnxTR/view?usp=drivesdk","Abrir_Factura")</f>
        <v>Abrir_Factura</v>
      </c>
      <c r="AD529" s="9">
        <v>46004.608344907407</v>
      </c>
    </row>
    <row r="530" spans="1:30" ht="12.5">
      <c r="A530" s="4">
        <v>46004.61122554398</v>
      </c>
      <c r="B530" s="5">
        <v>90263</v>
      </c>
      <c r="C530" s="5">
        <v>72279489</v>
      </c>
      <c r="D530" s="5" t="s">
        <v>2804</v>
      </c>
      <c r="F530" s="5" t="s">
        <v>2805</v>
      </c>
      <c r="H530" s="5">
        <v>573053300085</v>
      </c>
      <c r="J530" s="5" t="s">
        <v>2806</v>
      </c>
      <c r="K530" s="5" t="s">
        <v>33</v>
      </c>
      <c r="L530" s="5" t="s">
        <v>34</v>
      </c>
      <c r="M530" s="5">
        <v>3053300085</v>
      </c>
      <c r="N530" s="6">
        <v>46004</v>
      </c>
      <c r="O530" s="7">
        <v>0.69722222222222219</v>
      </c>
      <c r="P530" s="5">
        <v>1</v>
      </c>
      <c r="Q530" s="5" t="s">
        <v>50</v>
      </c>
      <c r="R530" s="5">
        <v>200000</v>
      </c>
      <c r="S530" s="5">
        <v>0</v>
      </c>
      <c r="T530" s="5">
        <v>0</v>
      </c>
      <c r="U530" s="5">
        <v>200000</v>
      </c>
      <c r="W530" s="5" t="s">
        <v>36</v>
      </c>
      <c r="X530" s="5" t="s">
        <v>196</v>
      </c>
      <c r="Y530" s="5" t="s">
        <v>24</v>
      </c>
      <c r="AA530" s="5" t="s">
        <v>1717</v>
      </c>
      <c r="AC530" s="8" t="str">
        <f>HYPERLINK("https://drive.google.com/file/d/1dS--kcA0ywUOsPQI4VoRJSU_OJstWrq2/view?usp=drivesdk","Abrir_Factura")</f>
        <v>Abrir_Factura</v>
      </c>
      <c r="AD530" s="9">
        <v>46004.611724537041</v>
      </c>
    </row>
    <row r="531" spans="1:30" ht="12.5">
      <c r="A531" s="4">
        <v>46004.613528483795</v>
      </c>
      <c r="B531" s="5">
        <v>90264</v>
      </c>
      <c r="C531" s="5">
        <v>1140886181</v>
      </c>
      <c r="D531" s="5" t="s">
        <v>532</v>
      </c>
      <c r="F531" s="5" t="s">
        <v>2807</v>
      </c>
      <c r="H531" s="5">
        <v>573054210033</v>
      </c>
      <c r="J531" s="5" t="s">
        <v>2808</v>
      </c>
      <c r="K531" s="5" t="s">
        <v>146</v>
      </c>
      <c r="L531" s="5" t="s">
        <v>2809</v>
      </c>
      <c r="M531" s="5">
        <v>3054210033</v>
      </c>
      <c r="N531" s="6">
        <v>46004</v>
      </c>
      <c r="O531" s="7">
        <v>0.6875</v>
      </c>
      <c r="P531" s="5">
        <v>1</v>
      </c>
      <c r="Q531" s="5" t="s">
        <v>679</v>
      </c>
      <c r="R531" s="5">
        <v>180000</v>
      </c>
      <c r="S531" s="5">
        <v>0</v>
      </c>
      <c r="T531" s="5">
        <v>12000</v>
      </c>
      <c r="U531" s="5">
        <v>192000</v>
      </c>
      <c r="V531" s="5" t="s">
        <v>2810</v>
      </c>
      <c r="W531" s="5" t="s">
        <v>36</v>
      </c>
      <c r="X531" s="5" t="s">
        <v>1937</v>
      </c>
      <c r="Y531" s="5" t="s">
        <v>24</v>
      </c>
      <c r="Z531" s="5" t="s">
        <v>2811</v>
      </c>
      <c r="AA531" s="5" t="s">
        <v>69</v>
      </c>
      <c r="AC531" s="8" t="str">
        <f>HYPERLINK("https://drive.google.com/file/d/1IHkyjPZ3L6E1IXVU8kusiKqnAWovvs9O/view?usp=drivesdk","Abrir_Factura")</f>
        <v>Abrir_Factura</v>
      </c>
      <c r="AD531" s="9">
        <v>46004.638645833336</v>
      </c>
    </row>
    <row r="532" spans="1:30" ht="12.5">
      <c r="A532" s="4">
        <v>46004.630936608795</v>
      </c>
      <c r="B532" s="5">
        <v>90265</v>
      </c>
      <c r="C532" s="5">
        <v>1045667823</v>
      </c>
      <c r="D532" s="5" t="s">
        <v>2812</v>
      </c>
      <c r="F532" s="5" t="s">
        <v>1871</v>
      </c>
      <c r="H532" s="5">
        <v>573017576558</v>
      </c>
      <c r="J532" s="5" t="s">
        <v>2813</v>
      </c>
      <c r="K532" s="5" t="s">
        <v>1057</v>
      </c>
      <c r="L532" s="5" t="s">
        <v>2814</v>
      </c>
      <c r="M532" s="5" t="s">
        <v>2815</v>
      </c>
      <c r="N532" s="6">
        <v>46004</v>
      </c>
      <c r="O532" s="7">
        <v>0.71250000000000002</v>
      </c>
      <c r="P532" s="5">
        <v>1</v>
      </c>
      <c r="Q532" s="5" t="s">
        <v>65</v>
      </c>
      <c r="R532" s="5">
        <v>70000</v>
      </c>
      <c r="S532" s="5">
        <v>0</v>
      </c>
      <c r="T532" s="5">
        <v>14000</v>
      </c>
      <c r="U532" s="5">
        <v>84000</v>
      </c>
      <c r="V532" s="5" t="s">
        <v>2816</v>
      </c>
      <c r="W532" s="5" t="s">
        <v>36</v>
      </c>
      <c r="X532" s="5" t="s">
        <v>83</v>
      </c>
      <c r="Y532" s="5" t="s">
        <v>24</v>
      </c>
      <c r="Z532" s="5" t="s">
        <v>2817</v>
      </c>
      <c r="AA532" s="5" t="s">
        <v>44</v>
      </c>
      <c r="AC532" s="8" t="str">
        <f>HYPERLINK("https://drive.google.com/file/d/1Bh7DkaN_GzVjaUElDNCXkF3_wVtpK0N6/view?usp=drivesdk","Abrir_Factura")</f>
        <v>Abrir_Factura</v>
      </c>
      <c r="AD532" s="9">
        <v>46004.645312499997</v>
      </c>
    </row>
    <row r="533" spans="1:30" ht="12.5">
      <c r="A533" s="4">
        <v>46004.64949974537</v>
      </c>
      <c r="B533" s="5">
        <v>90266</v>
      </c>
      <c r="C533" s="5">
        <v>1045734045</v>
      </c>
      <c r="D533" s="5" t="s">
        <v>2818</v>
      </c>
      <c r="F533" s="5" t="s">
        <v>2819</v>
      </c>
      <c r="H533" s="5">
        <v>573162844144</v>
      </c>
      <c r="J533" s="5" t="s">
        <v>2820</v>
      </c>
      <c r="K533" s="5" t="s">
        <v>33</v>
      </c>
      <c r="L533" s="5" t="s">
        <v>34</v>
      </c>
      <c r="M533" s="5">
        <v>3162844144</v>
      </c>
      <c r="N533" s="6">
        <v>46004</v>
      </c>
      <c r="O533" s="7">
        <v>0.73402777777777772</v>
      </c>
      <c r="P533" s="5">
        <v>1</v>
      </c>
      <c r="Q533" s="5" t="s">
        <v>42</v>
      </c>
      <c r="R533" s="5">
        <v>0</v>
      </c>
      <c r="S533" s="5">
        <v>0</v>
      </c>
      <c r="T533" s="5">
        <v>0</v>
      </c>
      <c r="U533" s="5">
        <v>0</v>
      </c>
      <c r="W533" s="5" t="s">
        <v>36</v>
      </c>
      <c r="X533" s="5" t="s">
        <v>83</v>
      </c>
      <c r="Y533" s="5" t="s">
        <v>24</v>
      </c>
      <c r="AA533" s="5" t="s">
        <v>44</v>
      </c>
      <c r="AB533" s="5" t="s">
        <v>2821</v>
      </c>
      <c r="AC533" s="8" t="str">
        <f>HYPERLINK("https://drive.google.com/file/d/1g-NqtlfSPVcfraMH-e7Fph16QKWBfaeU/view?usp=drivesdk", "Abrir_Factura")</f>
        <v>Abrir_Factura</v>
      </c>
      <c r="AD533" s="9">
        <v>46004.659583333334</v>
      </c>
    </row>
    <row r="534" spans="1:30" ht="12.5">
      <c r="A534" s="4">
        <v>46004.656612986109</v>
      </c>
      <c r="B534" s="5">
        <v>90267</v>
      </c>
      <c r="C534" s="5">
        <v>8631645</v>
      </c>
      <c r="D534" s="5" t="s">
        <v>46</v>
      </c>
      <c r="F534" s="5" t="s">
        <v>1585</v>
      </c>
      <c r="H534" s="5">
        <v>573107305057</v>
      </c>
      <c r="J534" s="5" t="s">
        <v>2822</v>
      </c>
      <c r="K534" s="5" t="s">
        <v>33</v>
      </c>
      <c r="L534" s="5" t="s">
        <v>34</v>
      </c>
      <c r="M534" s="5">
        <v>3107305057</v>
      </c>
      <c r="N534" s="6">
        <v>46004</v>
      </c>
      <c r="O534" s="7">
        <v>0.74305555555555558</v>
      </c>
      <c r="P534" s="5">
        <v>1</v>
      </c>
      <c r="Q534" s="5" t="s">
        <v>435</v>
      </c>
      <c r="R534" s="5">
        <v>60000</v>
      </c>
      <c r="S534" s="5">
        <v>0</v>
      </c>
      <c r="T534" s="5">
        <v>0</v>
      </c>
      <c r="U534" s="5">
        <v>60000</v>
      </c>
      <c r="W534" s="5" t="s">
        <v>36</v>
      </c>
      <c r="X534" s="5" t="s">
        <v>1705</v>
      </c>
      <c r="Y534" s="5" t="s">
        <v>24</v>
      </c>
      <c r="AA534" s="5" t="s">
        <v>1717</v>
      </c>
      <c r="AC534" s="8" t="str">
        <f>HYPERLINK("https://drive.google.com/file/d/18eLGzFyE2QSUWz2Drn6bcCWXsKyb187D/view?usp=drivesdk","Abrir_Factura")</f>
        <v>Abrir_Factura</v>
      </c>
      <c r="AD534" s="9">
        <v>46004.656990740739</v>
      </c>
    </row>
    <row r="535" spans="1:30" ht="12.5">
      <c r="A535" s="4">
        <v>46004.653230254626</v>
      </c>
      <c r="B535" s="5">
        <v>90268</v>
      </c>
      <c r="C535" s="5">
        <v>1007924379</v>
      </c>
      <c r="D535" s="5" t="s">
        <v>1719</v>
      </c>
      <c r="F535" s="5" t="s">
        <v>2823</v>
      </c>
      <c r="H535" s="5">
        <v>573105407812</v>
      </c>
      <c r="J535" s="5" t="s">
        <v>2824</v>
      </c>
      <c r="K535" s="5" t="s">
        <v>161</v>
      </c>
      <c r="L535" s="5" t="s">
        <v>2825</v>
      </c>
      <c r="M535" s="5">
        <v>3105407812</v>
      </c>
      <c r="N535" s="6">
        <v>46004</v>
      </c>
      <c r="O535" s="7">
        <v>0.73611111111111116</v>
      </c>
      <c r="P535" s="5">
        <v>1</v>
      </c>
      <c r="Q535" s="5" t="s">
        <v>50</v>
      </c>
      <c r="R535" s="5">
        <v>200000</v>
      </c>
      <c r="S535" s="5">
        <v>0</v>
      </c>
      <c r="T535" s="5">
        <v>8000</v>
      </c>
      <c r="U535" s="5">
        <v>208000</v>
      </c>
      <c r="V535" s="5" t="s">
        <v>2826</v>
      </c>
      <c r="W535" s="5" t="s">
        <v>36</v>
      </c>
      <c r="X535" s="5" t="s">
        <v>83</v>
      </c>
      <c r="Y535" s="5" t="s">
        <v>24</v>
      </c>
      <c r="Z535" s="5" t="s">
        <v>2827</v>
      </c>
      <c r="AA535" s="5" t="s">
        <v>44</v>
      </c>
      <c r="AC535" s="8" t="str">
        <f>HYPERLINK("https://drive.google.com/file/d/1GhgtMWQwf95N4ZyRoXTo6ZEi8Uiya490/view?usp=drivesdk","Abrir_Factura")</f>
        <v>Abrir_Factura</v>
      </c>
      <c r="AD535" s="9">
        <v>46004.661192129628</v>
      </c>
    </row>
    <row r="536" spans="1:30" ht="12.5">
      <c r="A536" s="4">
        <v>46004.663082754632</v>
      </c>
      <c r="B536" s="5">
        <v>90269</v>
      </c>
      <c r="C536" s="5">
        <v>22466269</v>
      </c>
      <c r="D536" s="5" t="s">
        <v>1204</v>
      </c>
      <c r="F536" s="5" t="s">
        <v>2362</v>
      </c>
      <c r="H536" s="5">
        <v>573107243152</v>
      </c>
      <c r="J536" s="5" t="s">
        <v>2828</v>
      </c>
      <c r="K536" s="5" t="s">
        <v>161</v>
      </c>
      <c r="L536" s="5" t="s">
        <v>2829</v>
      </c>
      <c r="M536" s="5" t="s">
        <v>2830</v>
      </c>
      <c r="N536" s="6">
        <v>46004</v>
      </c>
      <c r="O536" s="7">
        <v>0.74722222222222223</v>
      </c>
      <c r="P536" s="5">
        <v>1</v>
      </c>
      <c r="Q536" s="5" t="s">
        <v>2120</v>
      </c>
      <c r="R536" s="5">
        <v>200000</v>
      </c>
      <c r="S536" s="5">
        <v>0</v>
      </c>
      <c r="T536" s="5">
        <v>8000</v>
      </c>
      <c r="U536" s="5">
        <v>208000</v>
      </c>
      <c r="V536" s="5" t="s">
        <v>2831</v>
      </c>
      <c r="W536" s="5" t="s">
        <v>36</v>
      </c>
      <c r="X536" s="5" t="s">
        <v>83</v>
      </c>
      <c r="Y536" s="5" t="s">
        <v>24</v>
      </c>
      <c r="Z536" s="5" t="s">
        <v>2832</v>
      </c>
      <c r="AA536" s="5" t="s">
        <v>44</v>
      </c>
      <c r="AC536" s="8" t="str">
        <f>HYPERLINK("https://drive.google.com/file/d/1KrRSTQcDY7wGXgHoEUTY0z3TBRL_AYub/view?usp=drivesdk","Abrir_Factura")</f>
        <v>Abrir_Factura</v>
      </c>
      <c r="AD536" s="9">
        <v>46004.667916666665</v>
      </c>
    </row>
    <row r="537" spans="1:30" ht="12.5">
      <c r="A537" s="4">
        <v>46004.68197096065</v>
      </c>
      <c r="B537" s="5">
        <v>90270</v>
      </c>
      <c r="C537" s="5">
        <v>22580647</v>
      </c>
      <c r="D537" s="5" t="s">
        <v>1154</v>
      </c>
      <c r="F537" s="5" t="s">
        <v>1155</v>
      </c>
      <c r="H537" s="5">
        <v>573116881567</v>
      </c>
      <c r="J537" s="5" t="s">
        <v>2833</v>
      </c>
      <c r="L537" s="5" t="s">
        <v>2834</v>
      </c>
      <c r="N537" s="6">
        <v>46004</v>
      </c>
      <c r="O537" s="7">
        <v>0.76458333333333328</v>
      </c>
      <c r="P537" s="5">
        <v>1</v>
      </c>
      <c r="Q537" s="5" t="s">
        <v>42</v>
      </c>
      <c r="R537" s="5">
        <v>0</v>
      </c>
      <c r="S537" s="5">
        <v>0</v>
      </c>
      <c r="T537" s="5"/>
      <c r="U537" s="5">
        <v>0</v>
      </c>
      <c r="W537" s="5" t="s">
        <v>36</v>
      </c>
      <c r="X537" s="5" t="s">
        <v>83</v>
      </c>
      <c r="Y537" s="5" t="s">
        <v>24</v>
      </c>
      <c r="AA537" s="5" t="s">
        <v>44</v>
      </c>
      <c r="AB537" s="5" t="s">
        <v>2835</v>
      </c>
      <c r="AC537" s="8" t="str">
        <f>HYPERLINK("https://drive.google.com/file/d/1p43kcogLjyvlNPG6FlojgRLTzf7ve3rA/view?usp=drivesdk", "Abrir_Factura")</f>
        <v>Abrir_Factura</v>
      </c>
      <c r="AD537" s="9">
        <v>46004.690891203703</v>
      </c>
    </row>
    <row r="538" spans="1:30" ht="12.5">
      <c r="A538" s="4">
        <v>46004.701770891203</v>
      </c>
      <c r="B538" s="5">
        <v>90271</v>
      </c>
      <c r="C538" s="5">
        <v>1143466472</v>
      </c>
      <c r="D538" s="5" t="s">
        <v>2836</v>
      </c>
      <c r="F538" s="5" t="s">
        <v>2837</v>
      </c>
      <c r="H538" s="5">
        <v>573205148301</v>
      </c>
      <c r="J538" s="5" t="s">
        <v>2836</v>
      </c>
      <c r="K538" s="5" t="s">
        <v>161</v>
      </c>
      <c r="L538" s="5" t="s">
        <v>2838</v>
      </c>
      <c r="M538" s="5" t="s">
        <v>2839</v>
      </c>
      <c r="N538" s="6">
        <v>46004</v>
      </c>
      <c r="O538" s="7">
        <v>0.77430555555555558</v>
      </c>
      <c r="P538" s="5">
        <v>1</v>
      </c>
      <c r="Q538" s="5" t="s">
        <v>259</v>
      </c>
      <c r="R538" s="5">
        <v>240000</v>
      </c>
      <c r="S538" s="5">
        <v>0</v>
      </c>
      <c r="T538" s="5">
        <v>8000</v>
      </c>
      <c r="U538" s="5">
        <v>248000</v>
      </c>
      <c r="W538" s="5" t="s">
        <v>36</v>
      </c>
      <c r="X538" s="5" t="s">
        <v>83</v>
      </c>
      <c r="Y538" s="5" t="s">
        <v>24</v>
      </c>
      <c r="AA538" s="5" t="s">
        <v>44</v>
      </c>
      <c r="AC538" s="8" t="str">
        <f>HYPERLINK("https://drive.google.com/file/d/1uus3pCgqQhX0Y3ynybjS4fxwF3MMQnM5/view?usp=drivesdk", "Abrir_Factura")</f>
        <v>Abrir_Factura</v>
      </c>
      <c r="AD538" s="9">
        <v>46004.745370370372</v>
      </c>
    </row>
    <row r="539" spans="1:30" ht="12.5">
      <c r="A539" s="4">
        <v>46004.712562824076</v>
      </c>
      <c r="B539" s="5">
        <v>90272</v>
      </c>
      <c r="C539" s="5">
        <v>1143430016</v>
      </c>
      <c r="D539" s="5" t="s">
        <v>1798</v>
      </c>
      <c r="F539" s="5" t="s">
        <v>1827</v>
      </c>
      <c r="H539" s="5">
        <v>573046688627</v>
      </c>
      <c r="J539" s="5" t="s">
        <v>2828</v>
      </c>
      <c r="L539" s="5" t="s">
        <v>2840</v>
      </c>
      <c r="M539" s="5">
        <v>3046688627</v>
      </c>
      <c r="N539" s="6">
        <v>46004</v>
      </c>
      <c r="O539" s="7">
        <v>0.79652777777777772</v>
      </c>
      <c r="P539" s="5">
        <v>1</v>
      </c>
      <c r="Q539" s="5" t="s">
        <v>1251</v>
      </c>
      <c r="R539" s="5">
        <v>500000</v>
      </c>
      <c r="S539" s="5">
        <v>0</v>
      </c>
      <c r="T539" s="5"/>
      <c r="U539" s="5">
        <v>500000</v>
      </c>
      <c r="W539" s="5" t="s">
        <v>36</v>
      </c>
      <c r="X539" s="5" t="s">
        <v>83</v>
      </c>
      <c r="Y539" s="5" t="s">
        <v>24</v>
      </c>
      <c r="AA539" s="5" t="s">
        <v>44</v>
      </c>
      <c r="AC539" s="8" t="str">
        <f>HYPERLINK("https://drive.google.com/file/d/1sGJTsHrWPzD79FOELvXK_AUw0H4wdtG0/view?usp=drivesdk", "Abrir_Factura")</f>
        <v>Abrir_Factura</v>
      </c>
      <c r="AD539" s="9">
        <v>46004.716249999998</v>
      </c>
    </row>
    <row r="540" spans="1:30" ht="12.5">
      <c r="A540" s="4">
        <v>46004.718656354162</v>
      </c>
      <c r="B540" s="5">
        <v>90273</v>
      </c>
      <c r="C540" s="5">
        <v>55247243</v>
      </c>
      <c r="D540" s="5" t="s">
        <v>2841</v>
      </c>
      <c r="F540" s="5" t="s">
        <v>2842</v>
      </c>
      <c r="H540" s="5">
        <v>573017386594</v>
      </c>
      <c r="J540" s="5" t="s">
        <v>2843</v>
      </c>
      <c r="K540" s="5" t="s">
        <v>33</v>
      </c>
      <c r="L540" s="5" t="s">
        <v>34</v>
      </c>
      <c r="M540" s="5">
        <v>3017386594</v>
      </c>
      <c r="N540" s="6">
        <v>46004</v>
      </c>
      <c r="O540" s="7">
        <v>0.80486111111111114</v>
      </c>
      <c r="P540" s="5">
        <v>1</v>
      </c>
      <c r="Q540" s="5" t="s">
        <v>178</v>
      </c>
      <c r="R540" s="5">
        <v>100000</v>
      </c>
      <c r="S540" s="5">
        <v>0</v>
      </c>
      <c r="T540" s="5">
        <v>0</v>
      </c>
      <c r="U540" s="5">
        <v>100000</v>
      </c>
      <c r="W540" s="5" t="s">
        <v>36</v>
      </c>
      <c r="X540" s="5" t="s">
        <v>196</v>
      </c>
      <c r="Y540" s="5" t="s">
        <v>24</v>
      </c>
      <c r="AA540" s="5" t="s">
        <v>1717</v>
      </c>
      <c r="AC540" s="8" t="str">
        <f>HYPERLINK("https://drive.google.com/file/d/1GMVXiKIsrwuczsZqP8BpXd9Cw1FDiL0Y/view?usp=drivesdk","Abrir_Factura")</f>
        <v>Abrir_Factura</v>
      </c>
      <c r="AD540" s="9">
        <v>46004.7190162037</v>
      </c>
    </row>
    <row r="541" spans="1:30" ht="12.5">
      <c r="A541" s="4">
        <v>46004.723861990744</v>
      </c>
      <c r="B541" s="5">
        <v>90274</v>
      </c>
      <c r="C541" s="5">
        <v>1045738295</v>
      </c>
      <c r="D541" s="5" t="s">
        <v>318</v>
      </c>
      <c r="F541" s="5" t="s">
        <v>1566</v>
      </c>
      <c r="H541" s="5">
        <v>573013505936</v>
      </c>
      <c r="J541" s="5" t="s">
        <v>2844</v>
      </c>
      <c r="K541" s="5" t="s">
        <v>161</v>
      </c>
      <c r="L541" s="5" t="s">
        <v>2845</v>
      </c>
      <c r="N541" s="6">
        <v>46004</v>
      </c>
      <c r="O541" s="7">
        <v>0.80694444444444446</v>
      </c>
      <c r="P541" s="5">
        <v>1</v>
      </c>
      <c r="Q541" s="5" t="s">
        <v>42</v>
      </c>
      <c r="R541" s="5">
        <v>43000</v>
      </c>
      <c r="S541" s="5">
        <v>0</v>
      </c>
      <c r="T541" s="5">
        <v>8000</v>
      </c>
      <c r="U541" s="5">
        <v>51000</v>
      </c>
      <c r="W541" s="5" t="s">
        <v>36</v>
      </c>
      <c r="X541" s="5" t="s">
        <v>83</v>
      </c>
      <c r="Y541" s="5" t="s">
        <v>24</v>
      </c>
      <c r="AA541" s="5" t="s">
        <v>69</v>
      </c>
      <c r="AB541" s="5" t="s">
        <v>2846</v>
      </c>
      <c r="AC541" s="8" t="str">
        <f>HYPERLINK("https://drive.google.com/file/d/1oCeRdQtUrBRfHFDKICX84Q-g5HfE_7TO/view?usp=drivesdk", "Abrir_Factura")</f>
        <v>Abrir_Factura</v>
      </c>
      <c r="AD541" s="9">
        <v>46004.726365740738</v>
      </c>
    </row>
    <row r="542" spans="1:30" ht="12.5">
      <c r="A542" s="4">
        <v>46004.73608609954</v>
      </c>
      <c r="B542" s="5">
        <v>90275</v>
      </c>
      <c r="C542" s="5">
        <v>1140881203</v>
      </c>
      <c r="D542" s="5" t="s">
        <v>698</v>
      </c>
      <c r="F542" s="5" t="s">
        <v>2847</v>
      </c>
      <c r="H542" s="5">
        <v>573246852204</v>
      </c>
      <c r="J542" s="5" t="s">
        <v>2848</v>
      </c>
      <c r="K542" s="5" t="s">
        <v>249</v>
      </c>
      <c r="L542" s="5" t="s">
        <v>2849</v>
      </c>
      <c r="M542" s="5" t="s">
        <v>2850</v>
      </c>
      <c r="N542" s="6">
        <v>46004</v>
      </c>
      <c r="O542" s="7">
        <v>0.8208333333333333</v>
      </c>
      <c r="P542" s="5">
        <v>1</v>
      </c>
      <c r="Q542" s="5" t="s">
        <v>42</v>
      </c>
      <c r="R542" s="5">
        <v>0</v>
      </c>
      <c r="S542" s="5">
        <v>0</v>
      </c>
      <c r="T542" s="5">
        <v>10000</v>
      </c>
      <c r="U542" s="5">
        <v>10000</v>
      </c>
      <c r="V542" s="5" t="s">
        <v>2851</v>
      </c>
      <c r="W542" s="5" t="s">
        <v>36</v>
      </c>
      <c r="X542" s="5" t="s">
        <v>83</v>
      </c>
      <c r="Y542" s="5" t="s">
        <v>24</v>
      </c>
      <c r="AA542" s="5" t="s">
        <v>44</v>
      </c>
      <c r="AB542" s="5" t="s">
        <v>2852</v>
      </c>
      <c r="AC542" s="8" t="str">
        <f>HYPERLINK("https://drive.google.com/file/d/1U_TNNeUdUDGXwsSrAtSY-26EfF116fpU/view?usp=drivesdk", "Abrir_Factura")</f>
        <v>Abrir_Factura</v>
      </c>
      <c r="AD542" s="9">
        <v>46004.73982638889</v>
      </c>
    </row>
    <row r="543" spans="1:30" ht="12.5">
      <c r="A543" s="4">
        <v>46004.749464780092</v>
      </c>
      <c r="B543" s="5">
        <v>90276</v>
      </c>
      <c r="C543" s="5">
        <v>1003952613</v>
      </c>
      <c r="D543" s="5" t="s">
        <v>698</v>
      </c>
      <c r="F543" s="5" t="s">
        <v>699</v>
      </c>
      <c r="H543" s="5">
        <v>573007285223</v>
      </c>
      <c r="J543" s="5" t="s">
        <v>2853</v>
      </c>
      <c r="K543" s="5" t="s">
        <v>63</v>
      </c>
      <c r="L543" s="5" t="s">
        <v>2854</v>
      </c>
      <c r="M543" s="5">
        <v>3007285223</v>
      </c>
      <c r="N543" s="6">
        <v>46004</v>
      </c>
      <c r="O543" s="7">
        <v>0.82986111111111116</v>
      </c>
      <c r="P543" s="5">
        <v>1</v>
      </c>
      <c r="Q543" s="5" t="s">
        <v>178</v>
      </c>
      <c r="R543" s="5">
        <v>100000</v>
      </c>
      <c r="S543" s="5">
        <v>0</v>
      </c>
      <c r="T543" s="5">
        <v>17000</v>
      </c>
      <c r="U543" s="5">
        <v>117000</v>
      </c>
      <c r="V543" s="5" t="s">
        <v>2855</v>
      </c>
      <c r="W543" s="5" t="s">
        <v>36</v>
      </c>
      <c r="X543" s="5" t="s">
        <v>1937</v>
      </c>
      <c r="Y543" s="5" t="s">
        <v>24</v>
      </c>
      <c r="AA543" s="5" t="s">
        <v>44</v>
      </c>
      <c r="AC543" s="8" t="str">
        <f>HYPERLINK("https://drive.google.com/file/d/1GAW7OhfI47a8HaZydpvPlI0Gpc4J-6dE/view?usp=drivesdk","Abrir_Factura")</f>
        <v>Abrir_Factura</v>
      </c>
      <c r="AD543" s="9">
        <v>46004.750324074077</v>
      </c>
    </row>
    <row r="544" spans="1:30" ht="12.5">
      <c r="A544" s="4">
        <v>46004.747658657405</v>
      </c>
      <c r="B544" s="5">
        <v>90277</v>
      </c>
      <c r="C544" s="5">
        <v>1045742992</v>
      </c>
      <c r="D544" s="5" t="s">
        <v>2856</v>
      </c>
      <c r="F544" s="5" t="s">
        <v>2857</v>
      </c>
      <c r="H544" s="5">
        <v>573002204810</v>
      </c>
      <c r="J544" s="5" t="s">
        <v>2858</v>
      </c>
      <c r="K544" s="5" t="s">
        <v>464</v>
      </c>
      <c r="L544" s="5" t="s">
        <v>2859</v>
      </c>
      <c r="M544" s="5">
        <v>3135713386</v>
      </c>
      <c r="N544" s="6">
        <v>46004</v>
      </c>
      <c r="O544" s="7">
        <v>0.83333333333333337</v>
      </c>
      <c r="P544" s="5">
        <v>1</v>
      </c>
      <c r="Q544" s="5" t="s">
        <v>210</v>
      </c>
      <c r="R544" s="5">
        <v>150000</v>
      </c>
      <c r="S544" s="5">
        <v>0</v>
      </c>
      <c r="T544" s="5">
        <v>20000</v>
      </c>
      <c r="U544" s="5">
        <v>170000</v>
      </c>
      <c r="V544" s="5" t="s">
        <v>2860</v>
      </c>
      <c r="W544" s="5" t="s">
        <v>36</v>
      </c>
      <c r="X544" s="5" t="s">
        <v>83</v>
      </c>
      <c r="Y544" s="5" t="s">
        <v>24</v>
      </c>
      <c r="Z544" s="5" t="s">
        <v>2861</v>
      </c>
      <c r="AA544" s="5" t="s">
        <v>69</v>
      </c>
      <c r="AC544" s="8" t="str">
        <f>HYPERLINK("https://drive.google.com/file/d/1HLohfF1juhLxtjwSwQyP8czhuEUvgFqw/view?usp=drivesdk","Abrir_Factura")</f>
        <v>Abrir_Factura</v>
      </c>
      <c r="AD544" s="9">
        <v>46004.750578703701</v>
      </c>
    </row>
    <row r="545" spans="1:30" ht="12.5">
      <c r="A545" s="4">
        <v>46004.757602187499</v>
      </c>
      <c r="B545" s="5">
        <v>90278</v>
      </c>
      <c r="C545" s="5">
        <v>1002000181</v>
      </c>
      <c r="D545" s="5" t="s">
        <v>2862</v>
      </c>
      <c r="F545" s="5" t="s">
        <v>2863</v>
      </c>
      <c r="H545" s="5">
        <v>573168297608</v>
      </c>
      <c r="J545" s="5" t="s">
        <v>2864</v>
      </c>
      <c r="K545" s="5" t="s">
        <v>2865</v>
      </c>
      <c r="L545" s="5" t="s">
        <v>2866</v>
      </c>
      <c r="N545" s="6">
        <v>46004</v>
      </c>
      <c r="O545" s="7">
        <v>0.84236111111111112</v>
      </c>
      <c r="P545" s="5">
        <v>1</v>
      </c>
      <c r="Q545" s="5" t="s">
        <v>239</v>
      </c>
      <c r="R545" s="5">
        <v>380000</v>
      </c>
      <c r="S545" s="5">
        <v>0</v>
      </c>
      <c r="T545" s="5">
        <v>12000</v>
      </c>
      <c r="U545" s="5">
        <v>392000</v>
      </c>
      <c r="W545" s="5" t="s">
        <v>36</v>
      </c>
      <c r="X545" s="5" t="s">
        <v>83</v>
      </c>
      <c r="Y545" s="5" t="s">
        <v>24</v>
      </c>
      <c r="AA545" s="5" t="s">
        <v>44</v>
      </c>
      <c r="AC545" s="8" t="str">
        <f>HYPERLINK("https://drive.google.com/file/d/1q6CG-8CywVeMowjQufS-qVt6IxhUGtDU/view?usp=drivesdk","Abrir_Factura")</f>
        <v>Abrir_Factura</v>
      </c>
      <c r="AD545" s="9">
        <v>46004.760115740741</v>
      </c>
    </row>
    <row r="546" spans="1:30" ht="12.5">
      <c r="A546" s="4">
        <v>46004.761536307866</v>
      </c>
      <c r="B546" s="5">
        <v>90279</v>
      </c>
      <c r="C546" s="5">
        <v>1140900297</v>
      </c>
      <c r="D546" s="5" t="s">
        <v>2867</v>
      </c>
      <c r="F546" s="5" t="s">
        <v>2868</v>
      </c>
      <c r="H546" s="5">
        <v>573157253912</v>
      </c>
      <c r="J546" s="5" t="s">
        <v>2869</v>
      </c>
      <c r="K546" s="5" t="s">
        <v>33</v>
      </c>
      <c r="L546" s="5" t="s">
        <v>34</v>
      </c>
      <c r="M546" s="5">
        <v>3157253912</v>
      </c>
      <c r="N546" s="6">
        <v>46004</v>
      </c>
      <c r="O546" s="7">
        <v>0.84722222222222221</v>
      </c>
      <c r="P546" s="5">
        <v>1</v>
      </c>
      <c r="Q546" s="5" t="s">
        <v>330</v>
      </c>
      <c r="R546" s="5">
        <v>180000</v>
      </c>
      <c r="S546" s="5">
        <v>0</v>
      </c>
      <c r="T546" s="5">
        <v>0</v>
      </c>
      <c r="U546" s="5">
        <v>180000</v>
      </c>
      <c r="V546" s="5" t="s">
        <v>2870</v>
      </c>
      <c r="W546" s="5" t="s">
        <v>36</v>
      </c>
      <c r="X546" s="5" t="s">
        <v>2438</v>
      </c>
      <c r="Y546" s="5" t="s">
        <v>24</v>
      </c>
      <c r="AA546" s="5" t="s">
        <v>44</v>
      </c>
      <c r="AB546" s="5"/>
      <c r="AC546" s="8" t="str">
        <f>HYPERLINK("https://drive.google.com/file/d/1uIM25adVuT4NMmiJMZRWR4P8bE0x7LKI/view?usp=drivesdk", "Abrir_Factura")</f>
        <v>Abrir_Factura</v>
      </c>
      <c r="AD546" s="9">
        <v>46005.997337962966</v>
      </c>
    </row>
    <row r="547" spans="1:30" ht="12.5">
      <c r="A547" s="4">
        <v>46005.692829131949</v>
      </c>
      <c r="B547" s="5">
        <v>90280</v>
      </c>
      <c r="C547" s="5">
        <v>29805528</v>
      </c>
      <c r="D547" s="5" t="s">
        <v>2871</v>
      </c>
      <c r="F547" s="5" t="s">
        <v>1683</v>
      </c>
      <c r="H547" s="5">
        <v>17868793604</v>
      </c>
      <c r="J547" s="5" t="s">
        <v>2872</v>
      </c>
      <c r="K547" s="5" t="s">
        <v>185</v>
      </c>
      <c r="L547" s="5" t="s">
        <v>2873</v>
      </c>
      <c r="M547" s="5" t="s">
        <v>25421</v>
      </c>
      <c r="N547" s="6">
        <v>46006</v>
      </c>
      <c r="O547" s="7">
        <v>0.47916666666666669</v>
      </c>
      <c r="P547" s="5">
        <v>1</v>
      </c>
      <c r="Q547" s="5" t="s">
        <v>2874</v>
      </c>
      <c r="R547" s="5">
        <v>220000</v>
      </c>
      <c r="S547" s="5">
        <v>0</v>
      </c>
      <c r="T547" s="5">
        <v>8000</v>
      </c>
      <c r="U547" s="5">
        <v>228000</v>
      </c>
      <c r="V547" s="5" t="s">
        <v>2875</v>
      </c>
      <c r="W547" s="5" t="s">
        <v>36</v>
      </c>
      <c r="X547" s="5" t="s">
        <v>1937</v>
      </c>
      <c r="Y547" s="5" t="s">
        <v>24</v>
      </c>
      <c r="Z547" s="5" t="s">
        <v>2876</v>
      </c>
      <c r="AA547" s="5" t="s">
        <v>69</v>
      </c>
      <c r="AC547" s="8" t="str">
        <f>HYPERLINK("https://drive.google.com/file/d/1OxNiyj-9mJk4mNoKWpo-L1qSibSTgRka/view?usp=drivesdk","Abrir_Factura")</f>
        <v>Abrir_Factura</v>
      </c>
      <c r="AD547" s="9">
        <v>46006.299583333333</v>
      </c>
    </row>
    <row r="548" spans="1:30" ht="12.5">
      <c r="A548" s="4">
        <v>46005.795550740746</v>
      </c>
      <c r="B548" s="5">
        <v>90281</v>
      </c>
      <c r="C548" s="5">
        <v>1001867585</v>
      </c>
      <c r="D548" s="5" t="s">
        <v>2877</v>
      </c>
      <c r="F548" s="5" t="s">
        <v>2878</v>
      </c>
      <c r="H548" s="5">
        <v>573046298857</v>
      </c>
      <c r="J548" s="5" t="s">
        <v>2879</v>
      </c>
      <c r="K548" s="5" t="s">
        <v>2880</v>
      </c>
      <c r="L548" s="5" t="s">
        <v>2881</v>
      </c>
      <c r="M548" s="5">
        <v>3046298857</v>
      </c>
      <c r="N548" s="6">
        <v>46006</v>
      </c>
      <c r="O548" s="7">
        <v>0.37777777777777777</v>
      </c>
      <c r="P548" s="5">
        <v>1</v>
      </c>
      <c r="Q548" s="5" t="s">
        <v>576</v>
      </c>
      <c r="R548" s="5">
        <v>120000</v>
      </c>
      <c r="S548" s="5">
        <v>0</v>
      </c>
      <c r="T548" s="5">
        <v>25000</v>
      </c>
      <c r="U548" s="5">
        <v>145000</v>
      </c>
      <c r="V548" s="5" t="s">
        <v>2882</v>
      </c>
      <c r="W548" s="5" t="s">
        <v>36</v>
      </c>
      <c r="X548" s="5" t="s">
        <v>83</v>
      </c>
      <c r="Y548" s="5" t="s">
        <v>24</v>
      </c>
      <c r="Z548" s="5" t="s">
        <v>2883</v>
      </c>
      <c r="AA548" s="5" t="s">
        <v>69</v>
      </c>
      <c r="AC548" s="8" t="str">
        <f>HYPERLINK("https://drive.google.com/file/d/1YtP3fMSi_ay_c5aRhMots9OVxL4dKQsD/view?usp=drivesdk","Abrir_Factura")</f>
        <v>Abrir_Factura</v>
      </c>
      <c r="AD548" s="9">
        <v>46006.335266203707</v>
      </c>
    </row>
    <row r="549" spans="1:30" ht="12.5">
      <c r="A549" s="4">
        <v>46006.335943587968</v>
      </c>
      <c r="B549" s="5">
        <v>90282</v>
      </c>
      <c r="C549" s="5">
        <v>1124828029</v>
      </c>
      <c r="D549" s="5" t="s">
        <v>107</v>
      </c>
      <c r="F549" s="5" t="s">
        <v>2884</v>
      </c>
      <c r="H549" s="5">
        <v>573227117619</v>
      </c>
      <c r="J549" s="5" t="s">
        <v>2885</v>
      </c>
      <c r="K549" s="5" t="s">
        <v>124</v>
      </c>
      <c r="L549" s="5" t="s">
        <v>2886</v>
      </c>
      <c r="M549" s="5">
        <v>3042115469</v>
      </c>
      <c r="N549" s="6">
        <v>46006</v>
      </c>
      <c r="O549" s="7">
        <v>0</v>
      </c>
      <c r="P549" s="5">
        <v>1</v>
      </c>
      <c r="Q549" s="5" t="s">
        <v>2887</v>
      </c>
      <c r="R549" s="5">
        <v>250000</v>
      </c>
      <c r="S549" s="5">
        <v>0</v>
      </c>
      <c r="T549" s="5">
        <v>12000</v>
      </c>
      <c r="U549" s="5">
        <v>262000</v>
      </c>
      <c r="V549" s="5" t="s">
        <v>2888</v>
      </c>
      <c r="W549" s="5" t="s">
        <v>36</v>
      </c>
      <c r="X549" s="5" t="s">
        <v>83</v>
      </c>
      <c r="AA549" s="5" t="s">
        <v>69</v>
      </c>
      <c r="AC549" s="8" t="str">
        <f>HYPERLINK("https://drive.google.com/file/d/1oGmfSnuslMCGqgYNnyClSyeuKTflxVjy/view?usp=drivesdk", "Abrir_Factura")</f>
        <v>Abrir_Factura</v>
      </c>
      <c r="AD549" s="9">
        <v>46006.344409722224</v>
      </c>
    </row>
    <row r="550" spans="1:30" ht="12.5">
      <c r="A550" s="4">
        <v>46006.324616979167</v>
      </c>
      <c r="B550" s="5">
        <v>90283</v>
      </c>
      <c r="C550" s="5">
        <v>72251403</v>
      </c>
      <c r="D550" s="5" t="s">
        <v>2889</v>
      </c>
      <c r="F550" s="5" t="s">
        <v>2890</v>
      </c>
      <c r="H550" s="5">
        <v>573008100866</v>
      </c>
      <c r="J550" s="5" t="s">
        <v>2891</v>
      </c>
      <c r="K550" s="5" t="s">
        <v>975</v>
      </c>
      <c r="L550" s="5" t="s">
        <v>2892</v>
      </c>
      <c r="M550" s="5">
        <v>3007274584</v>
      </c>
      <c r="N550" s="6">
        <v>46006</v>
      </c>
      <c r="O550" s="7">
        <v>0</v>
      </c>
      <c r="P550" s="5">
        <v>1</v>
      </c>
      <c r="Q550" s="5" t="s">
        <v>422</v>
      </c>
      <c r="R550" s="5">
        <v>130000</v>
      </c>
      <c r="S550" s="5">
        <v>0</v>
      </c>
      <c r="T550" s="5">
        <v>10000</v>
      </c>
      <c r="U550" s="5">
        <v>140000</v>
      </c>
      <c r="V550" s="5" t="s">
        <v>2893</v>
      </c>
      <c r="W550" s="5" t="s">
        <v>36</v>
      </c>
      <c r="X550" s="5" t="s">
        <v>1937</v>
      </c>
      <c r="AA550" s="5" t="s">
        <v>44</v>
      </c>
      <c r="AC550" s="8" t="str">
        <f>HYPERLINK("https://drive.google.com/file/d/170nceoYhqGwNR6Aek5-YVBDkUzmH9jGO/view?usp=drivesdk", "Abrir_Factura")</f>
        <v>Abrir_Factura</v>
      </c>
      <c r="AD550" s="9">
        <v>46006.382372685184</v>
      </c>
    </row>
    <row r="551" spans="1:30" ht="12.5">
      <c r="A551" s="4">
        <v>46006.368652500001</v>
      </c>
      <c r="B551" s="5">
        <v>90284</v>
      </c>
      <c r="C551" s="5">
        <v>8674924</v>
      </c>
      <c r="D551" s="5" t="s">
        <v>2894</v>
      </c>
      <c r="F551" s="5" t="s">
        <v>2895</v>
      </c>
      <c r="H551" s="5">
        <v>573106390033</v>
      </c>
      <c r="J551" s="5" t="s">
        <v>2896</v>
      </c>
      <c r="K551" s="5" t="s">
        <v>1352</v>
      </c>
      <c r="L551" s="5" t="s">
        <v>2897</v>
      </c>
      <c r="M551" s="5">
        <v>3008164797</v>
      </c>
      <c r="N551" s="6">
        <v>46007</v>
      </c>
      <c r="O551" s="7">
        <v>0</v>
      </c>
      <c r="P551" s="5">
        <v>1</v>
      </c>
      <c r="Q551" s="5" t="s">
        <v>96</v>
      </c>
      <c r="R551" s="5">
        <v>220000</v>
      </c>
      <c r="S551" s="5">
        <v>0</v>
      </c>
      <c r="T551" s="5">
        <v>10000</v>
      </c>
      <c r="U551" s="5">
        <v>230000</v>
      </c>
      <c r="V551" s="5" t="s">
        <v>2898</v>
      </c>
      <c r="W551" s="5" t="s">
        <v>36</v>
      </c>
      <c r="X551" s="5" t="s">
        <v>83</v>
      </c>
      <c r="AA551" s="5" t="s">
        <v>69</v>
      </c>
      <c r="AC551" s="8" t="str">
        <f>HYPERLINK("https://drive.google.com/file/d/1e2xmGrDwqeh6oAK04iyvjc_zapQD4Mlz/view?usp=drivesdk","Abrir_Factura")</f>
        <v>Abrir_Factura</v>
      </c>
      <c r="AD551" s="9">
        <v>46006.380520833336</v>
      </c>
    </row>
    <row r="552" spans="1:30" ht="12.5">
      <c r="A552" s="4">
        <v>46006.40080935185</v>
      </c>
      <c r="B552" s="5">
        <v>90285</v>
      </c>
      <c r="C552" s="5">
        <v>1045669038</v>
      </c>
      <c r="D552" s="5" t="s">
        <v>2899</v>
      </c>
      <c r="F552" s="5" t="s">
        <v>2900</v>
      </c>
      <c r="H552" s="5">
        <v>573215509226</v>
      </c>
      <c r="J552" s="5" t="s">
        <v>2901</v>
      </c>
      <c r="K552" s="5" t="s">
        <v>33</v>
      </c>
      <c r="L552" s="5" t="s">
        <v>34</v>
      </c>
      <c r="M552" s="5" t="s">
        <v>2902</v>
      </c>
      <c r="N552" s="6">
        <v>46006</v>
      </c>
      <c r="O552" s="7">
        <v>0</v>
      </c>
      <c r="P552" s="5">
        <v>1</v>
      </c>
      <c r="Q552" s="5" t="s">
        <v>42</v>
      </c>
      <c r="R552" s="5">
        <v>320000</v>
      </c>
      <c r="S552" s="5">
        <v>0</v>
      </c>
      <c r="T552" s="5">
        <v>0</v>
      </c>
      <c r="U552" s="5">
        <v>320000</v>
      </c>
      <c r="W552" s="5" t="s">
        <v>36</v>
      </c>
      <c r="X552" s="5" t="s">
        <v>43</v>
      </c>
      <c r="AA552" s="5" t="s">
        <v>44</v>
      </c>
      <c r="AC552" s="8" t="str">
        <f>HYPERLINK("https://drive.google.com/file/d/19CZNHWirDSVXXSSP2IowhM4mlj8wi5Oi/view?usp=drivesdk", "Abrir_Factura")</f>
        <v>Abrir_Factura</v>
      </c>
      <c r="AD552" s="9">
        <v>46006.401354166665</v>
      </c>
    </row>
    <row r="553" spans="1:30" ht="12.5">
      <c r="A553" s="4">
        <v>46006.380788831018</v>
      </c>
      <c r="B553" s="5">
        <v>90286</v>
      </c>
      <c r="C553" s="5">
        <v>1003115922</v>
      </c>
      <c r="D553" s="5" t="s">
        <v>2903</v>
      </c>
      <c r="F553" s="5" t="s">
        <v>2904</v>
      </c>
      <c r="H553" s="5">
        <v>573135055211</v>
      </c>
      <c r="J553" s="5" t="s">
        <v>2905</v>
      </c>
      <c r="K553" s="5" t="s">
        <v>1317</v>
      </c>
      <c r="L553" s="5" t="s">
        <v>2906</v>
      </c>
      <c r="M553" s="5" t="s">
        <v>2907</v>
      </c>
      <c r="N553" s="6">
        <v>46007</v>
      </c>
      <c r="O553" s="7">
        <v>0</v>
      </c>
      <c r="P553" s="5">
        <v>1</v>
      </c>
      <c r="Q553" s="5" t="s">
        <v>375</v>
      </c>
      <c r="R553" s="5">
        <v>70000</v>
      </c>
      <c r="S553" s="5">
        <v>0</v>
      </c>
      <c r="T553" s="5">
        <v>12000</v>
      </c>
      <c r="U553" s="5">
        <v>82000</v>
      </c>
      <c r="V553" s="5" t="s">
        <v>2908</v>
      </c>
      <c r="W553" s="5" t="s">
        <v>36</v>
      </c>
      <c r="X553" s="5" t="s">
        <v>83</v>
      </c>
      <c r="AA553" s="5" t="s">
        <v>69</v>
      </c>
      <c r="AB553" s="5" t="s">
        <v>2909</v>
      </c>
      <c r="AC553" s="8" t="str">
        <f>HYPERLINK("https://drive.google.com/file/d/1if-9o4fvx2-mhJG52M31ZpbRbu_3dM5I/view?usp=drivesdk","Abrir_Factura")</f>
        <v>Abrir_Factura</v>
      </c>
      <c r="AD553" s="9">
        <v>46006.404074074075</v>
      </c>
    </row>
    <row r="554" spans="1:30" ht="12.5">
      <c r="A554" s="4">
        <v>46006.367625381943</v>
      </c>
      <c r="B554" s="5">
        <v>90287</v>
      </c>
      <c r="C554" s="5">
        <v>1140903517</v>
      </c>
      <c r="D554" s="5" t="s">
        <v>2910</v>
      </c>
      <c r="F554" s="5" t="s">
        <v>2911</v>
      </c>
      <c r="H554" s="5">
        <v>573004084769</v>
      </c>
      <c r="J554" s="5" t="s">
        <v>2912</v>
      </c>
      <c r="K554" s="5" t="s">
        <v>124</v>
      </c>
      <c r="L554" s="5" t="s">
        <v>2913</v>
      </c>
      <c r="M554" s="5">
        <v>3004084769</v>
      </c>
      <c r="N554" s="6">
        <v>46006</v>
      </c>
      <c r="O554" s="7">
        <v>0.5180555555555556</v>
      </c>
      <c r="P554" s="5">
        <v>1</v>
      </c>
      <c r="Q554" s="5" t="s">
        <v>375</v>
      </c>
      <c r="R554" s="5">
        <v>70000</v>
      </c>
      <c r="S554" s="5">
        <v>0</v>
      </c>
      <c r="T554" s="5">
        <v>12000</v>
      </c>
      <c r="U554" s="5">
        <v>82000</v>
      </c>
      <c r="V554" s="5" t="s">
        <v>2914</v>
      </c>
      <c r="W554" s="5" t="s">
        <v>36</v>
      </c>
      <c r="X554" s="5" t="s">
        <v>83</v>
      </c>
      <c r="AA554" s="5" t="s">
        <v>69</v>
      </c>
      <c r="AC554" s="8" t="str">
        <f>HYPERLINK("https://drive.google.com/file/d/1fB60DqnLdLtJr9qFdCLMk3emPYWu-emr/view?usp=drivesdk", "Abrir_Factura")</f>
        <v>Abrir_Factura</v>
      </c>
      <c r="AD554" s="9">
        <v>46006.437939814816</v>
      </c>
    </row>
    <row r="555" spans="1:30" ht="12.5">
      <c r="A555" s="4">
        <v>46006.418716099535</v>
      </c>
      <c r="B555" s="5">
        <v>90288</v>
      </c>
      <c r="C555" s="5">
        <v>1002421537</v>
      </c>
      <c r="D555" s="5" t="s">
        <v>2915</v>
      </c>
      <c r="F555" s="5" t="s">
        <v>2916</v>
      </c>
      <c r="H555" s="5">
        <v>573126654774</v>
      </c>
      <c r="J555" s="5" t="s">
        <v>2917</v>
      </c>
      <c r="K555" s="5" t="s">
        <v>103</v>
      </c>
      <c r="L555" s="5" t="s">
        <v>2918</v>
      </c>
      <c r="M555" s="5">
        <v>3004939162</v>
      </c>
      <c r="N555" s="6">
        <v>46006</v>
      </c>
      <c r="O555" s="7">
        <v>0</v>
      </c>
      <c r="P555" s="5">
        <v>1</v>
      </c>
      <c r="Q555" s="5" t="s">
        <v>422</v>
      </c>
      <c r="R555" s="5">
        <v>130000</v>
      </c>
      <c r="S555" s="5">
        <v>0</v>
      </c>
      <c r="T555" s="5">
        <v>10000</v>
      </c>
      <c r="U555" s="5">
        <v>140000</v>
      </c>
      <c r="V555" s="5" t="s">
        <v>2919</v>
      </c>
      <c r="W555" s="5" t="s">
        <v>36</v>
      </c>
      <c r="X555" s="5" t="s">
        <v>83</v>
      </c>
      <c r="AA555" s="5" t="s">
        <v>69</v>
      </c>
      <c r="AC555" s="8" t="str">
        <f>HYPERLINK("https://drive.google.com/file/d/14DDXGHg-n2Wdcl3PogIJqrr479r7Wcfc/view?usp=drivesdk", "Abrir_Factura")</f>
        <v>Abrir_Factura</v>
      </c>
      <c r="AD555" s="9">
        <v>46006.450891203705</v>
      </c>
    </row>
    <row r="556" spans="1:30" ht="12.5">
      <c r="A556" s="4">
        <v>46006.450951736115</v>
      </c>
      <c r="B556" s="5">
        <v>90289</v>
      </c>
      <c r="C556" s="5">
        <v>1001999947</v>
      </c>
      <c r="D556" s="5" t="s">
        <v>2920</v>
      </c>
      <c r="F556" s="5" t="s">
        <v>2921</v>
      </c>
      <c r="H556" s="5">
        <v>573246837959</v>
      </c>
      <c r="J556" s="5" t="s">
        <v>2922</v>
      </c>
      <c r="K556" s="5" t="s">
        <v>1047</v>
      </c>
      <c r="L556" s="5" t="s">
        <v>2923</v>
      </c>
      <c r="M556" s="5">
        <v>3007778997</v>
      </c>
      <c r="N556" s="6">
        <v>46006</v>
      </c>
      <c r="O556" s="7">
        <v>0</v>
      </c>
      <c r="P556" s="5">
        <v>1</v>
      </c>
      <c r="Q556" s="5" t="s">
        <v>178</v>
      </c>
      <c r="R556" s="5">
        <v>100000</v>
      </c>
      <c r="S556" s="5">
        <v>0</v>
      </c>
      <c r="T556" s="5">
        <v>15000</v>
      </c>
      <c r="U556" s="5">
        <v>115000</v>
      </c>
      <c r="V556" s="5" t="s">
        <v>2924</v>
      </c>
      <c r="W556" s="5" t="s">
        <v>36</v>
      </c>
      <c r="X556" s="5" t="s">
        <v>1481</v>
      </c>
      <c r="AA556" s="5" t="s">
        <v>69</v>
      </c>
      <c r="AB556" s="5" t="s">
        <v>2925</v>
      </c>
      <c r="AC556" s="8" t="str">
        <f>HYPERLINK("https://drive.google.com/file/d/1BY-vAFzcUYbZnj7ZflXIKbruCr8QDj1B/view?usp=drivesdk", "Abrir_Factura")</f>
        <v>Abrir_Factura</v>
      </c>
      <c r="AD556" s="9">
        <v>46006.457986111112</v>
      </c>
    </row>
    <row r="557" spans="1:30" ht="12.5">
      <c r="A557" s="4">
        <v>46006.46511704861</v>
      </c>
      <c r="B557" s="5">
        <v>90290</v>
      </c>
      <c r="C557" s="5">
        <v>8720019</v>
      </c>
      <c r="D557" s="5" t="s">
        <v>2926</v>
      </c>
      <c r="F557" s="5" t="s">
        <v>2927</v>
      </c>
      <c r="H557" s="5">
        <v>573205709843</v>
      </c>
      <c r="J557" s="5" t="s">
        <v>2928</v>
      </c>
      <c r="K557" s="5" t="s">
        <v>103</v>
      </c>
      <c r="L557" s="5" t="s">
        <v>2929</v>
      </c>
      <c r="M557" s="5">
        <v>0</v>
      </c>
      <c r="N557" s="6">
        <v>46007</v>
      </c>
      <c r="O557" s="7">
        <v>0.70833333333333337</v>
      </c>
      <c r="P557" s="5">
        <v>1</v>
      </c>
      <c r="Q557" s="5" t="s">
        <v>42</v>
      </c>
      <c r="R557" s="5">
        <v>600000</v>
      </c>
      <c r="S557" s="5">
        <v>0</v>
      </c>
      <c r="T557" s="5">
        <v>10000</v>
      </c>
      <c r="U557" s="5">
        <v>610000</v>
      </c>
      <c r="V557" s="5" t="s">
        <v>2930</v>
      </c>
      <c r="W557" s="5" t="s">
        <v>36</v>
      </c>
      <c r="X557" s="5" t="s">
        <v>83</v>
      </c>
      <c r="AA557" s="5" t="s">
        <v>44</v>
      </c>
      <c r="AC557" s="8" t="str">
        <f>HYPERLINK("https://drive.google.com/file/d/1An3UAbiXZrWq0IdmyuUitA41T7NlsvKG/view?usp=drivesdk", "Abrir_Factura")</f>
        <v>Abrir_Factura</v>
      </c>
      <c r="AD557" s="9">
        <v>46007.329872685186</v>
      </c>
    </row>
    <row r="558" spans="1:30" ht="12.5">
      <c r="A558" s="4">
        <v>46006.46710490741</v>
      </c>
      <c r="B558" s="5">
        <v>90291</v>
      </c>
      <c r="C558" s="5">
        <v>72297019</v>
      </c>
      <c r="D558" s="5" t="s">
        <v>1051</v>
      </c>
      <c r="F558" s="5" t="s">
        <v>2931</v>
      </c>
      <c r="H558" s="5">
        <v>573002024266</v>
      </c>
      <c r="J558" s="5" t="s">
        <v>2932</v>
      </c>
      <c r="K558" s="5" t="s">
        <v>33</v>
      </c>
      <c r="L558" s="5" t="s">
        <v>34</v>
      </c>
      <c r="M558" s="5">
        <v>3002024266</v>
      </c>
      <c r="N558" s="6">
        <v>46006</v>
      </c>
      <c r="O558" s="7">
        <v>0</v>
      </c>
      <c r="P558" s="5">
        <v>1</v>
      </c>
      <c r="Q558" s="5" t="s">
        <v>1102</v>
      </c>
      <c r="R558" s="5">
        <v>220000</v>
      </c>
      <c r="S558" s="5">
        <v>0</v>
      </c>
      <c r="T558" s="5">
        <v>0</v>
      </c>
      <c r="U558" s="5">
        <v>220000</v>
      </c>
      <c r="W558" s="5" t="s">
        <v>36</v>
      </c>
      <c r="X558" s="5" t="s">
        <v>1705</v>
      </c>
      <c r="AA558" s="5" t="s">
        <v>1717</v>
      </c>
      <c r="AB558" s="5" t="s">
        <v>2933</v>
      </c>
      <c r="AC558" s="8" t="str">
        <f>HYPERLINK("https://drive.google.com/file/d/1nSO_G-mhEKB90kEvf7dBYI7mXCL4AUJe/view?usp=drivesdk","Abrir_Factura")</f>
        <v>Abrir_Factura</v>
      </c>
      <c r="AD558" s="9">
        <v>46006.467615740738</v>
      </c>
    </row>
    <row r="559" spans="1:30" ht="12.5">
      <c r="A559" s="4">
        <v>46006.452435509258</v>
      </c>
      <c r="B559" s="5">
        <v>90292</v>
      </c>
      <c r="C559" s="5">
        <v>1103948907</v>
      </c>
      <c r="D559" s="5" t="s">
        <v>1051</v>
      </c>
      <c r="F559" s="5" t="s">
        <v>2934</v>
      </c>
      <c r="H559" s="5">
        <v>573014368193</v>
      </c>
      <c r="J559" s="5" t="s">
        <v>2935</v>
      </c>
      <c r="K559" s="5" t="s">
        <v>154</v>
      </c>
      <c r="L559" s="5" t="s">
        <v>2936</v>
      </c>
      <c r="M559" s="5">
        <v>3158540828</v>
      </c>
      <c r="N559" s="6">
        <v>46006</v>
      </c>
      <c r="O559" s="7">
        <v>0</v>
      </c>
      <c r="P559" s="5">
        <v>1</v>
      </c>
      <c r="Q559" s="5" t="s">
        <v>81</v>
      </c>
      <c r="R559" s="5">
        <v>350000</v>
      </c>
      <c r="S559" s="5">
        <v>0</v>
      </c>
      <c r="T559" s="5">
        <v>8000</v>
      </c>
      <c r="U559" s="5">
        <v>358000</v>
      </c>
      <c r="V559" s="5" t="s">
        <v>2937</v>
      </c>
      <c r="W559" s="5" t="s">
        <v>36</v>
      </c>
      <c r="X559" s="5" t="s">
        <v>83</v>
      </c>
      <c r="AA559" s="5" t="s">
        <v>44</v>
      </c>
      <c r="AC559" s="8" t="str">
        <f>HYPERLINK("https://drive.google.com/file/d/1qQgy1edqW5m8gMzdA2flTJ80XrCFEyB1/view?usp=drivesdk", "Abrir_Factura")</f>
        <v>Abrir_Factura</v>
      </c>
      <c r="AD559" s="9">
        <v>46006.471168981479</v>
      </c>
    </row>
    <row r="560" spans="1:30" ht="12.5">
      <c r="A560" s="4">
        <v>46006.482264710648</v>
      </c>
      <c r="B560" s="5">
        <v>90293</v>
      </c>
      <c r="C560" s="5">
        <v>1002210872</v>
      </c>
      <c r="D560" s="5" t="s">
        <v>2938</v>
      </c>
      <c r="F560" s="5" t="s">
        <v>2939</v>
      </c>
      <c r="H560" s="5">
        <v>573158063644</v>
      </c>
      <c r="J560" s="5" t="s">
        <v>2940</v>
      </c>
      <c r="K560" s="5" t="s">
        <v>33</v>
      </c>
      <c r="L560" s="5" t="s">
        <v>34</v>
      </c>
      <c r="M560" s="5">
        <v>3158063644</v>
      </c>
      <c r="N560" s="6">
        <v>46006</v>
      </c>
      <c r="O560" s="7">
        <v>0</v>
      </c>
      <c r="P560" s="5">
        <v>1</v>
      </c>
      <c r="Q560" s="5" t="s">
        <v>1111</v>
      </c>
      <c r="R560" s="5">
        <v>120000</v>
      </c>
      <c r="S560" s="5">
        <v>0</v>
      </c>
      <c r="T560" s="5">
        <v>0</v>
      </c>
      <c r="U560" s="5">
        <v>120000</v>
      </c>
      <c r="W560" s="5" t="s">
        <v>36</v>
      </c>
      <c r="X560" s="5" t="s">
        <v>83</v>
      </c>
      <c r="AA560" s="5" t="s">
        <v>44</v>
      </c>
      <c r="AC560" s="8" t="str">
        <f>HYPERLINK("https://drive.google.com/file/d/1Go2uPhuAKDUe8xko4-gZAwvzzmwDk6Dc/view?usp=drivesdk","Abrir_Factura")</f>
        <v>Abrir_Factura</v>
      </c>
      <c r="AD560" s="9">
        <v>46006.482812499999</v>
      </c>
    </row>
    <row r="561" spans="1:30" ht="12.5">
      <c r="A561" s="4">
        <v>46006.4681365625</v>
      </c>
      <c r="B561" s="5">
        <v>90294</v>
      </c>
      <c r="C561" s="5">
        <v>1044422192</v>
      </c>
      <c r="D561" s="5" t="s">
        <v>2941</v>
      </c>
      <c r="F561" s="5" t="s">
        <v>2942</v>
      </c>
      <c r="H561" s="5">
        <v>573106163907</v>
      </c>
      <c r="J561" s="5" t="s">
        <v>2943</v>
      </c>
      <c r="K561" s="5" t="s">
        <v>2944</v>
      </c>
      <c r="L561" s="5" t="s">
        <v>2945</v>
      </c>
      <c r="M561" s="5">
        <v>3225498336</v>
      </c>
      <c r="N561" s="6">
        <v>46006</v>
      </c>
      <c r="O561" s="7">
        <v>0</v>
      </c>
      <c r="P561" s="5">
        <v>1</v>
      </c>
      <c r="Q561" s="5" t="s">
        <v>96</v>
      </c>
      <c r="R561" s="5">
        <v>220000</v>
      </c>
      <c r="S561" s="5">
        <v>0</v>
      </c>
      <c r="T561" s="5">
        <v>10000</v>
      </c>
      <c r="U561" s="5">
        <v>230000</v>
      </c>
      <c r="V561" s="5" t="s">
        <v>2946</v>
      </c>
      <c r="W561" s="5" t="s">
        <v>36</v>
      </c>
      <c r="X561" s="5" t="s">
        <v>1937</v>
      </c>
      <c r="AA561" s="5" t="s">
        <v>69</v>
      </c>
      <c r="AC561" s="8" t="str">
        <f>HYPERLINK("https://drive.google.com/file/d/1m4ikcBu1DoZvtiHmqWpxP2gHnSXdItzP/view?usp=drivesdk","Abrir_Factura")</f>
        <v>Abrir_Factura</v>
      </c>
      <c r="AD561" s="9">
        <v>46006.489953703705</v>
      </c>
    </row>
    <row r="562" spans="1:30" ht="12.5">
      <c r="A562" s="4">
        <v>46006.493386168979</v>
      </c>
      <c r="B562" s="5">
        <v>90295</v>
      </c>
      <c r="C562" s="5">
        <v>153351791</v>
      </c>
      <c r="D562" s="5" t="s">
        <v>2947</v>
      </c>
      <c r="F562" s="5" t="s">
        <v>2948</v>
      </c>
      <c r="H562" s="5">
        <v>56998261075</v>
      </c>
      <c r="J562" s="5" t="s">
        <v>2949</v>
      </c>
      <c r="K562" s="5" t="s">
        <v>892</v>
      </c>
      <c r="L562" s="5" t="s">
        <v>2950</v>
      </c>
      <c r="M562" s="5" t="s">
        <v>2951</v>
      </c>
      <c r="N562" s="6">
        <v>46006</v>
      </c>
      <c r="O562" s="7">
        <v>0</v>
      </c>
      <c r="P562" s="5">
        <v>1</v>
      </c>
      <c r="Q562" s="5" t="s">
        <v>210</v>
      </c>
      <c r="R562" s="5">
        <v>150000</v>
      </c>
      <c r="S562" s="5">
        <v>0</v>
      </c>
      <c r="T562" s="5">
        <v>10000</v>
      </c>
      <c r="U562" s="5">
        <v>160000</v>
      </c>
      <c r="V562" s="5" t="s">
        <v>2952</v>
      </c>
      <c r="W562" s="5" t="s">
        <v>36</v>
      </c>
      <c r="X562" s="5" t="s">
        <v>1937</v>
      </c>
      <c r="AA562" s="5" t="s">
        <v>69</v>
      </c>
      <c r="AC562" s="8" t="str">
        <f>HYPERLINK("https://drive.google.com/file/d/1ml0uN5y9mE6k-4NQGcd0W0rR_UVLPWTn/view?usp=drivesdk", "Abrir_Factura")</f>
        <v>Abrir_Factura</v>
      </c>
      <c r="AD562" s="9">
        <v>46006.513865740744</v>
      </c>
    </row>
    <row r="563" spans="1:30" ht="12.5">
      <c r="A563" s="4">
        <v>46006.512096423612</v>
      </c>
      <c r="B563" s="5">
        <v>90296</v>
      </c>
      <c r="C563" s="5">
        <v>1047223407</v>
      </c>
      <c r="D563" s="5" t="s">
        <v>2953</v>
      </c>
      <c r="F563" s="5" t="s">
        <v>2954</v>
      </c>
      <c r="H563" s="5">
        <v>573104426028</v>
      </c>
      <c r="J563" s="5" t="s">
        <v>2955</v>
      </c>
      <c r="K563" s="5" t="s">
        <v>79</v>
      </c>
      <c r="L563" s="5" t="s">
        <v>2956</v>
      </c>
      <c r="M563" s="5" t="s">
        <v>25421</v>
      </c>
      <c r="N563" s="6">
        <v>46006</v>
      </c>
      <c r="O563" s="7">
        <v>0</v>
      </c>
      <c r="P563" s="5">
        <v>1</v>
      </c>
      <c r="Q563" s="5" t="s">
        <v>1102</v>
      </c>
      <c r="R563" s="5">
        <v>220000</v>
      </c>
      <c r="S563" s="5">
        <v>0</v>
      </c>
      <c r="T563" s="5">
        <v>10000</v>
      </c>
      <c r="U563" s="5">
        <v>230000</v>
      </c>
      <c r="V563" s="5" t="s">
        <v>2957</v>
      </c>
      <c r="W563" s="5" t="s">
        <v>36</v>
      </c>
      <c r="X563" s="5" t="s">
        <v>83</v>
      </c>
      <c r="AA563" s="5" t="s">
        <v>69</v>
      </c>
      <c r="AC563" s="8" t="str">
        <f>HYPERLINK("https://drive.google.com/file/d/1rWjJX8xnER-FUUHgcuffexzGyXdssZWC/view?usp=drivesdk","Abrir_Factura")</f>
        <v>Abrir_Factura</v>
      </c>
      <c r="AD563" s="9">
        <v>46006.519953703704</v>
      </c>
    </row>
    <row r="564" spans="1:30" ht="12.5">
      <c r="A564" s="4">
        <v>46006.525776712966</v>
      </c>
      <c r="B564" s="5">
        <v>90297</v>
      </c>
      <c r="C564" s="5">
        <v>72357686</v>
      </c>
      <c r="D564" s="5" t="s">
        <v>2958</v>
      </c>
      <c r="F564" s="5" t="s">
        <v>1490</v>
      </c>
      <c r="H564" s="5">
        <v>5776465214</v>
      </c>
      <c r="J564" s="5" t="s">
        <v>2959</v>
      </c>
      <c r="K564" s="5" t="s">
        <v>154</v>
      </c>
      <c r="L564" s="5" t="s">
        <v>2960</v>
      </c>
      <c r="N564" s="6">
        <v>46006</v>
      </c>
      <c r="O564" s="7">
        <v>0</v>
      </c>
      <c r="P564" s="5">
        <v>1</v>
      </c>
      <c r="Q564" s="5" t="s">
        <v>42</v>
      </c>
      <c r="R564" s="5">
        <v>130000</v>
      </c>
      <c r="S564" s="5">
        <v>0</v>
      </c>
      <c r="T564" s="5">
        <v>8000</v>
      </c>
      <c r="U564" s="5">
        <v>138000</v>
      </c>
      <c r="W564" s="5" t="s">
        <v>36</v>
      </c>
      <c r="X564" s="5" t="s">
        <v>2317</v>
      </c>
      <c r="AA564" s="5" t="s">
        <v>1717</v>
      </c>
      <c r="AC564" s="8" t="str">
        <f>HYPERLINK("https://drive.google.com/file/d/1mdBJW6VU2miVdmSvz6KvZGtdiDxsPn5C/view?usp=drivesdk","Abrir_Factura")</f>
        <v>Abrir_Factura</v>
      </c>
      <c r="AD564" s="9">
        <v>46006.526388888888</v>
      </c>
    </row>
    <row r="565" spans="1:30" ht="12.5">
      <c r="A565" s="4">
        <v>46006.50352017361</v>
      </c>
      <c r="B565" s="5">
        <v>90298</v>
      </c>
      <c r="C565" s="5">
        <v>315032</v>
      </c>
      <c r="D565" s="5" t="s">
        <v>2961</v>
      </c>
      <c r="F565" s="5" t="s">
        <v>2962</v>
      </c>
      <c r="H565" s="5">
        <v>573007105186</v>
      </c>
      <c r="J565" s="5" t="s">
        <v>2963</v>
      </c>
      <c r="K565" s="5" t="s">
        <v>73</v>
      </c>
      <c r="L565" s="5" t="s">
        <v>2964</v>
      </c>
      <c r="M565" s="5">
        <v>3007105186</v>
      </c>
      <c r="N565" s="6">
        <v>46007</v>
      </c>
      <c r="O565" s="7">
        <v>0.375</v>
      </c>
      <c r="P565" s="5">
        <v>1</v>
      </c>
      <c r="Q565" s="5" t="s">
        <v>42</v>
      </c>
      <c r="R565" s="5">
        <v>230000</v>
      </c>
      <c r="S565" s="5">
        <v>0</v>
      </c>
      <c r="T565" s="5">
        <v>8000</v>
      </c>
      <c r="U565" s="5">
        <v>238000</v>
      </c>
      <c r="V565" s="5" t="s">
        <v>2965</v>
      </c>
      <c r="W565" s="5" t="s">
        <v>36</v>
      </c>
      <c r="X565" s="5" t="s">
        <v>83</v>
      </c>
      <c r="AA565" s="5" t="s">
        <v>69</v>
      </c>
      <c r="AB565" s="5" t="s">
        <v>2966</v>
      </c>
      <c r="AC565" s="8" t="str">
        <f>HYPERLINK("https://drive.google.com/file/d/1Y0JqFRqThtTRtrJoUp4MLrF1TVkrZbYp/view?usp=drivesdk", "Abrir_Factura")</f>
        <v>Abrir_Factura</v>
      </c>
      <c r="AD565" s="9">
        <v>46007.323912037034</v>
      </c>
    </row>
    <row r="566" spans="1:30" ht="12.5">
      <c r="A566" s="4">
        <v>46006.538520393515</v>
      </c>
      <c r="B566" s="5">
        <v>90299</v>
      </c>
      <c r="C566" s="5">
        <v>55223981</v>
      </c>
      <c r="D566" s="5" t="s">
        <v>1602</v>
      </c>
      <c r="F566" s="5" t="s">
        <v>1924</v>
      </c>
      <c r="H566" s="5">
        <v>573153539732</v>
      </c>
      <c r="J566" s="5" t="s">
        <v>1925</v>
      </c>
      <c r="K566" s="5" t="s">
        <v>33</v>
      </c>
      <c r="L566" s="5" t="s">
        <v>34</v>
      </c>
      <c r="M566" s="5">
        <v>3153539732</v>
      </c>
      <c r="N566" s="6">
        <v>46006</v>
      </c>
      <c r="O566" s="7">
        <v>0</v>
      </c>
      <c r="P566" s="5">
        <v>1</v>
      </c>
      <c r="Q566" s="5" t="s">
        <v>42</v>
      </c>
      <c r="R566" s="5">
        <v>80000</v>
      </c>
      <c r="S566" s="5">
        <v>0</v>
      </c>
      <c r="T566" s="5">
        <v>0</v>
      </c>
      <c r="U566" s="5">
        <v>80000</v>
      </c>
      <c r="W566" s="5" t="s">
        <v>36</v>
      </c>
      <c r="X566" s="5" t="s">
        <v>43</v>
      </c>
      <c r="AA566" s="5" t="s">
        <v>44</v>
      </c>
      <c r="AB566" s="5" t="s">
        <v>525</v>
      </c>
      <c r="AC566" s="8" t="str">
        <f>HYPERLINK("https://drive.google.com/file/d/17VSxf7rmrMvAinUhh6gdFz6djJNfsDsA/view?usp=drivesdk","Abrir_Factura")</f>
        <v>Abrir_Factura</v>
      </c>
      <c r="AD566" s="9">
        <v>46006.541238425925</v>
      </c>
    </row>
    <row r="567" spans="1:30" ht="12.5">
      <c r="A567" s="4">
        <v>46006.459220914352</v>
      </c>
      <c r="B567" s="5">
        <v>90300</v>
      </c>
      <c r="C567" s="5">
        <v>1020735711</v>
      </c>
      <c r="D567" s="5" t="s">
        <v>2967</v>
      </c>
      <c r="F567" s="5" t="s">
        <v>2968</v>
      </c>
      <c r="H567" s="5">
        <v>573017263131</v>
      </c>
      <c r="J567" s="5" t="s">
        <v>2969</v>
      </c>
      <c r="K567" s="5" t="s">
        <v>103</v>
      </c>
      <c r="L567" s="5" t="s">
        <v>2970</v>
      </c>
      <c r="M567" s="5">
        <v>3222561582</v>
      </c>
      <c r="N567" s="6">
        <v>46007</v>
      </c>
      <c r="O567" s="7">
        <v>0</v>
      </c>
      <c r="P567" s="5">
        <v>1</v>
      </c>
      <c r="Q567" s="5" t="s">
        <v>133</v>
      </c>
      <c r="R567" s="5">
        <v>140000</v>
      </c>
      <c r="S567" s="5">
        <v>0</v>
      </c>
      <c r="T567" s="5">
        <v>10000</v>
      </c>
      <c r="U567" s="5">
        <v>150000</v>
      </c>
      <c r="V567" s="5" t="s">
        <v>2971</v>
      </c>
      <c r="W567" s="5" t="s">
        <v>36</v>
      </c>
      <c r="X567" s="5" t="s">
        <v>1937</v>
      </c>
      <c r="AA567" s="5" t="s">
        <v>69</v>
      </c>
      <c r="AB567" s="5" t="s">
        <v>2972</v>
      </c>
      <c r="AC567" s="8" t="str">
        <f>HYPERLINK("https://drive.google.com/file/d/1gFPmIs4wQG037pJQKjLtlerUL5vcx42d/view?usp=drivesdk", "Abrir_Factura")</f>
        <v>Abrir_Factura</v>
      </c>
      <c r="AD567" s="9">
        <v>46006.556145833332</v>
      </c>
    </row>
    <row r="568" spans="1:30" ht="12.5">
      <c r="A568" s="4">
        <v>46006.564636435185</v>
      </c>
      <c r="B568" s="5">
        <v>90301</v>
      </c>
      <c r="C568" s="5">
        <v>22461884</v>
      </c>
      <c r="D568" s="5" t="s">
        <v>2973</v>
      </c>
      <c r="F568" s="5" t="s">
        <v>2974</v>
      </c>
      <c r="H568" s="5">
        <v>573150699091</v>
      </c>
      <c r="J568" s="5" t="s">
        <v>2975</v>
      </c>
      <c r="K568" s="5" t="s">
        <v>110</v>
      </c>
      <c r="L568" s="5" t="s">
        <v>2976</v>
      </c>
      <c r="M568" s="5">
        <v>3150699091</v>
      </c>
      <c r="N568" s="6">
        <v>46006</v>
      </c>
      <c r="O568" s="7">
        <v>0</v>
      </c>
      <c r="P568" s="5">
        <v>1</v>
      </c>
      <c r="Q568" s="5" t="s">
        <v>2977</v>
      </c>
      <c r="R568" s="5">
        <v>320000</v>
      </c>
      <c r="S568" s="5">
        <v>0</v>
      </c>
      <c r="T568" s="5">
        <v>6000</v>
      </c>
      <c r="U568" s="5">
        <v>326000</v>
      </c>
      <c r="V568" s="5" t="s">
        <v>2978</v>
      </c>
      <c r="W568" s="5" t="s">
        <v>36</v>
      </c>
      <c r="X568" s="5" t="s">
        <v>1705</v>
      </c>
      <c r="AA568" s="5" t="s">
        <v>1717</v>
      </c>
      <c r="AC568" s="8" t="str">
        <f>HYPERLINK("https://drive.google.com/file/d/1zY40SUJD9Vi_hNQdda-U_dzpIjBYwmbf/view?usp=drivesdk","Abrir_Factura")</f>
        <v>Abrir_Factura</v>
      </c>
      <c r="AD568" s="9">
        <v>46006.565254629626</v>
      </c>
    </row>
    <row r="569" spans="1:30" ht="12.5">
      <c r="A569" s="4">
        <v>46006.536532500002</v>
      </c>
      <c r="B569" s="5">
        <v>90302</v>
      </c>
      <c r="C569" s="5">
        <v>1129528814</v>
      </c>
      <c r="D569" s="5" t="s">
        <v>2979</v>
      </c>
      <c r="F569" s="5" t="s">
        <v>2980</v>
      </c>
      <c r="H569" s="5">
        <v>573016583357</v>
      </c>
      <c r="J569" s="5" t="s">
        <v>2981</v>
      </c>
      <c r="K569" s="5" t="s">
        <v>146</v>
      </c>
      <c r="L569" s="5" t="s">
        <v>2982</v>
      </c>
      <c r="M569" s="5">
        <v>3016583357</v>
      </c>
      <c r="N569" s="6">
        <v>46006</v>
      </c>
      <c r="O569" s="7">
        <v>0</v>
      </c>
      <c r="P569" s="5">
        <v>1</v>
      </c>
      <c r="Q569" s="5" t="s">
        <v>2983</v>
      </c>
      <c r="R569" s="5">
        <v>220000</v>
      </c>
      <c r="S569" s="5">
        <v>0</v>
      </c>
      <c r="T569" s="5">
        <v>12000</v>
      </c>
      <c r="U569" s="5">
        <v>232000</v>
      </c>
      <c r="V569" s="5" t="s">
        <v>2984</v>
      </c>
      <c r="W569" s="5" t="s">
        <v>36</v>
      </c>
      <c r="X569" s="5" t="s">
        <v>180</v>
      </c>
      <c r="AA569" s="5" t="s">
        <v>69</v>
      </c>
      <c r="AC569" s="8" t="str">
        <f>HYPERLINK("https://drive.google.com/file/d/1YPULHLvawIXlbmHTb6J3fC-p5IASaVCM/view?usp=drivesdk","Abrir_Factura")</f>
        <v>Abrir_Factura</v>
      </c>
      <c r="AD569" s="9">
        <v>46006.570069444446</v>
      </c>
    </row>
    <row r="570" spans="1:30" ht="12.5">
      <c r="A570" s="4">
        <v>46006.573426006944</v>
      </c>
      <c r="B570" s="5">
        <v>90303</v>
      </c>
      <c r="C570" s="5">
        <v>1044423138</v>
      </c>
      <c r="D570" s="5" t="s">
        <v>2985</v>
      </c>
      <c r="F570" s="5" t="s">
        <v>2986</v>
      </c>
      <c r="H570" s="5">
        <v>573015018927</v>
      </c>
      <c r="J570" s="5" t="s">
        <v>2987</v>
      </c>
      <c r="K570" s="5" t="s">
        <v>103</v>
      </c>
      <c r="L570" s="5" t="s">
        <v>2988</v>
      </c>
      <c r="M570" s="5">
        <v>3015018927</v>
      </c>
      <c r="N570" s="6">
        <v>46006</v>
      </c>
      <c r="O570" s="7">
        <v>0</v>
      </c>
      <c r="P570" s="5">
        <v>1</v>
      </c>
      <c r="Q570" s="5" t="s">
        <v>42</v>
      </c>
      <c r="R570" s="5">
        <v>100000</v>
      </c>
      <c r="S570" s="5">
        <v>0</v>
      </c>
      <c r="T570" s="5">
        <v>10000</v>
      </c>
      <c r="U570" s="5">
        <v>110000</v>
      </c>
      <c r="V570" s="5" t="s">
        <v>2989</v>
      </c>
      <c r="W570" s="5" t="s">
        <v>36</v>
      </c>
      <c r="X570" s="5" t="s">
        <v>67</v>
      </c>
      <c r="AA570" s="5" t="s">
        <v>44</v>
      </c>
      <c r="AB570" s="5" t="s">
        <v>2990</v>
      </c>
      <c r="AC570" s="8" t="str">
        <f>HYPERLINK("https://drive.google.com/file/d/19rHd0Hl2MX0SAJBNaS2KRKI4vP6FNQH0/view?usp=drivesdk", "Abrir_Factura")</f>
        <v>Abrir_Factura</v>
      </c>
      <c r="AD570" s="9">
        <v>46006.587164351855</v>
      </c>
    </row>
    <row r="571" spans="1:30" ht="12.5">
      <c r="A571" s="4">
        <v>46006.595594803242</v>
      </c>
      <c r="B571" s="5">
        <v>90304</v>
      </c>
      <c r="C571" s="5">
        <v>1129572834</v>
      </c>
      <c r="D571" s="5" t="s">
        <v>2991</v>
      </c>
      <c r="F571" s="5" t="s">
        <v>2992</v>
      </c>
      <c r="H571" s="5">
        <v>573008450000</v>
      </c>
      <c r="J571" s="5" t="s">
        <v>2993</v>
      </c>
      <c r="L571" s="5" t="s">
        <v>2994</v>
      </c>
      <c r="M571" s="5" t="s">
        <v>2995</v>
      </c>
      <c r="N571" s="6">
        <v>46006</v>
      </c>
      <c r="O571" s="7">
        <v>0</v>
      </c>
      <c r="P571" s="5">
        <v>1</v>
      </c>
      <c r="Q571" s="5" t="s">
        <v>42</v>
      </c>
      <c r="R571" s="5">
        <v>131000</v>
      </c>
      <c r="S571" s="5">
        <v>0</v>
      </c>
      <c r="T571" s="5"/>
      <c r="U571" s="5">
        <v>131000</v>
      </c>
      <c r="W571" s="5" t="s">
        <v>36</v>
      </c>
      <c r="X571" s="5" t="s">
        <v>67</v>
      </c>
      <c r="AA571" s="5" t="s">
        <v>44</v>
      </c>
      <c r="AB571" s="5" t="s">
        <v>1286</v>
      </c>
      <c r="AC571" s="8" t="str">
        <f>HYPERLINK("https://drive.google.com/file/d/1xH48_T-JcS-9ViWWdVMTyHkHXXSdit1n/view?usp=drivesdk", "Abrir_Factura")</f>
        <v>Abrir_Factura</v>
      </c>
      <c r="AD571" s="9">
        <v>46006.609178240738</v>
      </c>
    </row>
    <row r="572" spans="1:30" ht="12.5">
      <c r="A572" s="4">
        <v>46006.58212324074</v>
      </c>
      <c r="B572" s="5">
        <v>90305</v>
      </c>
      <c r="C572" s="5">
        <v>1140899938</v>
      </c>
      <c r="D572" s="5" t="s">
        <v>2996</v>
      </c>
      <c r="F572" s="5" t="s">
        <v>601</v>
      </c>
      <c r="H572" s="5">
        <v>573006227861</v>
      </c>
      <c r="J572" s="5" t="s">
        <v>2997</v>
      </c>
      <c r="K572" s="5" t="s">
        <v>185</v>
      </c>
      <c r="L572" s="5" t="s">
        <v>2998</v>
      </c>
      <c r="M572" s="5">
        <v>3006227861</v>
      </c>
      <c r="N572" s="6">
        <v>46006</v>
      </c>
      <c r="O572" s="7">
        <v>0</v>
      </c>
      <c r="P572" s="5">
        <v>1</v>
      </c>
      <c r="Q572" s="5" t="s">
        <v>375</v>
      </c>
      <c r="R572" s="5">
        <v>70000</v>
      </c>
      <c r="S572" s="5">
        <v>0</v>
      </c>
      <c r="T572" s="5">
        <v>8000</v>
      </c>
      <c r="U572" s="5">
        <v>78000</v>
      </c>
      <c r="V572" s="5" t="s">
        <v>2999</v>
      </c>
      <c r="W572" s="5" t="s">
        <v>36</v>
      </c>
      <c r="X572" s="5" t="s">
        <v>67</v>
      </c>
      <c r="AA572" s="5" t="s">
        <v>69</v>
      </c>
      <c r="AC572" s="8" t="str">
        <f>HYPERLINK("https://drive.google.com/file/d/1093639AXIp3UscgeqInjdOOBNvf3zK_J/view?usp=drivesdk","Abrir_Factura")</f>
        <v>Abrir_Factura</v>
      </c>
      <c r="AD572" s="9">
        <v>46006.607534722221</v>
      </c>
    </row>
    <row r="573" spans="1:30" ht="12.5">
      <c r="A573" s="4">
        <v>46006.625079930556</v>
      </c>
      <c r="B573" s="5">
        <v>90306</v>
      </c>
      <c r="C573" s="5">
        <v>9010724862</v>
      </c>
      <c r="D573" s="5" t="s">
        <v>3000</v>
      </c>
      <c r="F573" s="10" t="s">
        <v>3001</v>
      </c>
      <c r="H573" s="5">
        <v>573135460642</v>
      </c>
      <c r="J573" s="5" t="s">
        <v>3000</v>
      </c>
      <c r="K573" s="5" t="s">
        <v>33</v>
      </c>
      <c r="L573" s="5" t="s">
        <v>34</v>
      </c>
      <c r="M573" s="5">
        <v>135460642</v>
      </c>
      <c r="N573" s="6">
        <v>46006</v>
      </c>
      <c r="O573" s="7">
        <v>0</v>
      </c>
      <c r="P573" s="5">
        <v>1</v>
      </c>
      <c r="Q573" s="5" t="s">
        <v>42</v>
      </c>
      <c r="R573" s="5">
        <v>35700</v>
      </c>
      <c r="S573" s="5">
        <v>0</v>
      </c>
      <c r="T573" s="5">
        <v>0</v>
      </c>
      <c r="U573" s="5">
        <v>35700</v>
      </c>
      <c r="W573" s="5" t="s">
        <v>36</v>
      </c>
      <c r="X573" s="5" t="s">
        <v>1705</v>
      </c>
      <c r="AA573" s="5" t="s">
        <v>1717</v>
      </c>
      <c r="AC573" s="8" t="str">
        <f>HYPERLINK("https://drive.google.com/file/d/1gw7l1BFvnCDCIPDmLOki0B8E1ICXsbRC/view?usp=drivesdk","Abrir_Factura")</f>
        <v>Abrir_Factura</v>
      </c>
      <c r="AD573" s="9">
        <v>46006.626377314817</v>
      </c>
    </row>
    <row r="574" spans="1:30" ht="12.5">
      <c r="A574" s="4">
        <v>46006.648105335647</v>
      </c>
      <c r="B574" s="5">
        <v>90307</v>
      </c>
      <c r="C574" s="5">
        <v>1140814874</v>
      </c>
      <c r="D574" s="5" t="s">
        <v>3002</v>
      </c>
      <c r="F574" s="5" t="s">
        <v>3003</v>
      </c>
      <c r="H574" s="5">
        <v>57000</v>
      </c>
      <c r="J574" s="5" t="s">
        <v>3004</v>
      </c>
      <c r="K574" s="5" t="s">
        <v>33</v>
      </c>
      <c r="L574" s="5" t="s">
        <v>34</v>
      </c>
      <c r="N574" s="6">
        <v>46006</v>
      </c>
      <c r="O574" s="7">
        <v>0</v>
      </c>
      <c r="P574" s="5">
        <v>1</v>
      </c>
      <c r="Q574" s="5" t="s">
        <v>42</v>
      </c>
      <c r="R574" s="5">
        <v>25000</v>
      </c>
      <c r="S574" s="5">
        <v>0</v>
      </c>
      <c r="T574" s="5">
        <v>0</v>
      </c>
      <c r="U574" s="5">
        <v>25000</v>
      </c>
      <c r="W574" s="5" t="s">
        <v>36</v>
      </c>
      <c r="X574" s="5" t="s">
        <v>1705</v>
      </c>
      <c r="AA574" s="5" t="s">
        <v>1717</v>
      </c>
      <c r="AC574" s="8" t="str">
        <f>HYPERLINK("https://drive.google.com/file/d/10YVUDqFimRIx7-7jCH1a5cQLK-vp-cml/view?usp=drivesdk","Abrir_Factura")</f>
        <v>Abrir_Factura</v>
      </c>
      <c r="AD574" s="9">
        <v>46006.649004629631</v>
      </c>
    </row>
    <row r="575" spans="1:30" ht="12.5">
      <c r="A575" s="4">
        <v>46006.668304768522</v>
      </c>
      <c r="B575" s="5">
        <v>90308</v>
      </c>
      <c r="C575" s="5">
        <v>1047471462</v>
      </c>
      <c r="D575" s="5" t="s">
        <v>3005</v>
      </c>
      <c r="F575" s="5" t="s">
        <v>3006</v>
      </c>
      <c r="H575" s="5">
        <v>573157132910</v>
      </c>
      <c r="J575" s="5" t="s">
        <v>3007</v>
      </c>
      <c r="K575" s="5" t="s">
        <v>33</v>
      </c>
      <c r="L575" s="5" t="s">
        <v>34</v>
      </c>
      <c r="M575" s="5" t="s">
        <v>3008</v>
      </c>
      <c r="N575" s="6">
        <v>46009</v>
      </c>
      <c r="O575" s="7">
        <v>0</v>
      </c>
      <c r="P575" s="5">
        <v>1</v>
      </c>
      <c r="Q575" s="5" t="s">
        <v>42</v>
      </c>
      <c r="R575" s="5">
        <v>115000</v>
      </c>
      <c r="S575" s="5">
        <v>0</v>
      </c>
      <c r="T575" s="5">
        <v>0</v>
      </c>
      <c r="U575" s="5">
        <v>115000</v>
      </c>
      <c r="W575" s="5" t="s">
        <v>36</v>
      </c>
      <c r="X575" s="5" t="s">
        <v>180</v>
      </c>
      <c r="AA575" s="5" t="s">
        <v>44</v>
      </c>
      <c r="AB575" s="5" t="s">
        <v>3009</v>
      </c>
      <c r="AC575" s="8" t="str">
        <f>HYPERLINK("https://drive.google.com/file/d/16q_784ZGoCT0uJTZoUbmoi-zNo1fBlSE/view?usp=drivesdk","Abrir_Factura")</f>
        <v>Abrir_Factura</v>
      </c>
      <c r="AD575" s="9">
        <v>46006.66983796296</v>
      </c>
    </row>
    <row r="576" spans="1:30" ht="12.5">
      <c r="A576" s="4">
        <v>46006.671484583334</v>
      </c>
      <c r="B576" s="5">
        <v>90309</v>
      </c>
      <c r="C576" s="5">
        <v>1143122142</v>
      </c>
      <c r="D576" s="5" t="s">
        <v>3010</v>
      </c>
      <c r="F576" s="5" t="s">
        <v>3011</v>
      </c>
      <c r="H576" s="5">
        <v>573145922884</v>
      </c>
      <c r="J576" s="5" t="s">
        <v>3012</v>
      </c>
      <c r="K576" s="5" t="s">
        <v>33</v>
      </c>
      <c r="L576" s="5" t="s">
        <v>34</v>
      </c>
      <c r="M576" s="5">
        <v>3145922884</v>
      </c>
      <c r="N576" s="6">
        <v>46006</v>
      </c>
      <c r="O576" s="7">
        <v>0</v>
      </c>
      <c r="P576" s="5">
        <v>1</v>
      </c>
      <c r="Q576" s="5" t="s">
        <v>3013</v>
      </c>
      <c r="R576" s="5">
        <v>390000</v>
      </c>
      <c r="S576" s="5">
        <v>0</v>
      </c>
      <c r="T576" s="5">
        <v>0</v>
      </c>
      <c r="U576" s="5">
        <v>390000</v>
      </c>
      <c r="W576" s="5" t="s">
        <v>36</v>
      </c>
      <c r="X576" s="5" t="s">
        <v>67</v>
      </c>
      <c r="AA576" s="5" t="s">
        <v>1717</v>
      </c>
      <c r="AC576" s="8" t="str">
        <f>HYPERLINK("https://drive.google.com/file/d/1kuykmmOv4Sxoj40q49tJxOmEjGb8HvYN/view?usp=drivesdk", "Abrir_Factura")</f>
        <v>Abrir_Factura</v>
      </c>
      <c r="AD576" s="9">
        <v>46006.674907407411</v>
      </c>
    </row>
    <row r="577" spans="1:30" ht="12.5">
      <c r="A577" s="4">
        <v>46006.635726354165</v>
      </c>
      <c r="B577" s="5">
        <v>90310</v>
      </c>
      <c r="C577" s="5">
        <v>1002159627</v>
      </c>
      <c r="D577" s="5" t="s">
        <v>2287</v>
      </c>
      <c r="F577" s="5" t="s">
        <v>877</v>
      </c>
      <c r="H577" s="5">
        <v>573024031066</v>
      </c>
      <c r="J577" s="5" t="s">
        <v>2288</v>
      </c>
      <c r="K577" s="5" t="s">
        <v>2631</v>
      </c>
      <c r="L577" s="5" t="s">
        <v>648</v>
      </c>
      <c r="M577" s="5">
        <v>3024031066</v>
      </c>
      <c r="N577" s="6">
        <v>46006</v>
      </c>
      <c r="O577" s="7">
        <v>0</v>
      </c>
      <c r="P577" s="5">
        <v>1</v>
      </c>
      <c r="Q577" s="5" t="s">
        <v>3014</v>
      </c>
      <c r="R577" s="5">
        <v>660000</v>
      </c>
      <c r="S577" s="5">
        <v>0</v>
      </c>
      <c r="T577" s="5">
        <v>12000</v>
      </c>
      <c r="U577" s="5">
        <v>672000</v>
      </c>
      <c r="V577" s="5" t="s">
        <v>3015</v>
      </c>
      <c r="W577" s="5" t="s">
        <v>36</v>
      </c>
      <c r="X577" s="5" t="s">
        <v>83</v>
      </c>
      <c r="AA577" s="5" t="s">
        <v>44</v>
      </c>
      <c r="AC577" s="8" t="str">
        <f>HYPERLINK("https://drive.google.com/file/d/1s1Zxsz-AZ3GjN9ph9cwhRXaEEaK6i49A/view?usp=drivesdk", "Abrir_Factura")</f>
        <v>Abrir_Factura</v>
      </c>
      <c r="AD577" s="9">
        <v>46006.676655092589</v>
      </c>
    </row>
    <row r="578" spans="1:30" ht="12.5">
      <c r="A578" s="4">
        <v>46006.693140173607</v>
      </c>
      <c r="B578" s="5">
        <v>90311</v>
      </c>
      <c r="C578" s="5">
        <v>74438715</v>
      </c>
      <c r="D578" s="5" t="s">
        <v>270</v>
      </c>
      <c r="F578" s="5" t="s">
        <v>3016</v>
      </c>
      <c r="H578" s="5">
        <v>33767967255</v>
      </c>
      <c r="J578" s="5" t="s">
        <v>3017</v>
      </c>
      <c r="K578" s="5" t="s">
        <v>886</v>
      </c>
      <c r="L578" s="5" t="s">
        <v>3018</v>
      </c>
      <c r="M578" s="5" t="s">
        <v>25421</v>
      </c>
      <c r="N578" s="6">
        <v>46007</v>
      </c>
      <c r="O578" s="7">
        <v>0</v>
      </c>
      <c r="P578" s="5">
        <v>1</v>
      </c>
      <c r="Q578" s="5" t="s">
        <v>1085</v>
      </c>
      <c r="R578" s="5">
        <v>130000</v>
      </c>
      <c r="S578" s="5">
        <v>0</v>
      </c>
      <c r="T578" s="5">
        <v>10000</v>
      </c>
      <c r="U578" s="5">
        <v>140000</v>
      </c>
      <c r="V578" s="5" t="s">
        <v>3019</v>
      </c>
      <c r="W578" s="5" t="s">
        <v>36</v>
      </c>
      <c r="X578" s="5" t="s">
        <v>1937</v>
      </c>
      <c r="AA578" s="5" t="s">
        <v>44</v>
      </c>
      <c r="AC578" s="8" t="str">
        <f>HYPERLINK("https://drive.google.com/file/d/1MteQNL6VjVefgtoR8_7hVKNLFnm0bt4g/view?usp=drivesdk","Abrir_Factura")</f>
        <v>Abrir_Factura</v>
      </c>
      <c r="AD578" s="9">
        <v>46006.714247685188</v>
      </c>
    </row>
    <row r="579" spans="1:30" ht="12.5">
      <c r="A579" s="4">
        <v>46006.608997372685</v>
      </c>
      <c r="B579" s="5">
        <v>90312</v>
      </c>
      <c r="C579" s="5">
        <v>1140857774</v>
      </c>
      <c r="D579" s="5" t="s">
        <v>1241</v>
      </c>
      <c r="F579" s="5" t="s">
        <v>3020</v>
      </c>
      <c r="H579" s="5">
        <v>573017824366</v>
      </c>
      <c r="J579" s="5" t="s">
        <v>3021</v>
      </c>
      <c r="K579" s="5" t="s">
        <v>33</v>
      </c>
      <c r="L579" s="5" t="s">
        <v>34</v>
      </c>
      <c r="M579" s="5">
        <v>3017724366</v>
      </c>
      <c r="N579" s="6">
        <v>46007</v>
      </c>
      <c r="O579" s="7">
        <v>0.33541666666666664</v>
      </c>
      <c r="P579" s="5">
        <v>1</v>
      </c>
      <c r="Q579" s="5" t="s">
        <v>613</v>
      </c>
      <c r="R579" s="5">
        <v>550000</v>
      </c>
      <c r="S579" s="5">
        <v>0</v>
      </c>
      <c r="T579" s="5">
        <v>0</v>
      </c>
      <c r="U579" s="5">
        <v>550000</v>
      </c>
      <c r="W579" s="5" t="s">
        <v>36</v>
      </c>
      <c r="X579" s="5" t="s">
        <v>67</v>
      </c>
      <c r="AA579" s="5" t="s">
        <v>69</v>
      </c>
      <c r="AC579" s="8" t="str">
        <f>HYPERLINK("https://drive.google.com/file/d/1iqlaQW71vu0y3HeRABX9p1yKPbfNKE-9/view?usp=drivesdk", "Abrir_Factura")</f>
        <v>Abrir_Factura</v>
      </c>
      <c r="AD579" s="9">
        <v>46007.321932870371</v>
      </c>
    </row>
    <row r="580" spans="1:30" ht="12.5">
      <c r="A580" s="4">
        <v>46006.722800405092</v>
      </c>
      <c r="B580" s="5">
        <v>90313</v>
      </c>
      <c r="C580" s="5">
        <v>1066269806</v>
      </c>
      <c r="D580" s="5" t="s">
        <v>338</v>
      </c>
      <c r="F580" s="5" t="s">
        <v>3022</v>
      </c>
      <c r="H580" s="5">
        <v>573219173591</v>
      </c>
      <c r="J580" s="5" t="s">
        <v>3023</v>
      </c>
      <c r="K580" s="5" t="s">
        <v>33</v>
      </c>
      <c r="L580" s="5" t="s">
        <v>34</v>
      </c>
      <c r="M580" s="5">
        <v>3219173591</v>
      </c>
      <c r="N580" s="6">
        <v>46006</v>
      </c>
      <c r="O580" s="7">
        <v>0</v>
      </c>
      <c r="P580" s="5">
        <v>1</v>
      </c>
      <c r="Q580" s="5" t="s">
        <v>50</v>
      </c>
      <c r="R580" s="5">
        <v>200000</v>
      </c>
      <c r="S580" s="5">
        <v>0</v>
      </c>
      <c r="T580" s="5">
        <v>0</v>
      </c>
      <c r="U580" s="5">
        <v>200000</v>
      </c>
      <c r="V580" s="5" t="s">
        <v>3024</v>
      </c>
      <c r="W580" s="5" t="s">
        <v>36</v>
      </c>
      <c r="X580" s="5" t="s">
        <v>196</v>
      </c>
      <c r="AA580" s="5" t="s">
        <v>69</v>
      </c>
      <c r="AC580" s="8" t="str">
        <f>HYPERLINK("https://drive.google.com/file/d/1M29ToiXYGZc6wQmZRsdymNRYOUZQ0yad/view?usp=drivesdk", "Abrir_Factura")</f>
        <v>Abrir_Factura</v>
      </c>
      <c r="AD580" s="9">
        <v>46006.767384259256</v>
      </c>
    </row>
    <row r="581" spans="1:30" ht="12.5">
      <c r="A581" s="4">
        <v>46006.740230729163</v>
      </c>
      <c r="B581" s="5">
        <v>90315</v>
      </c>
      <c r="C581" s="5">
        <v>55223445</v>
      </c>
      <c r="D581" s="5" t="s">
        <v>3025</v>
      </c>
      <c r="F581" s="5" t="s">
        <v>2708</v>
      </c>
      <c r="H581" s="5">
        <v>572719457</v>
      </c>
      <c r="J581" s="5" t="s">
        <v>2935</v>
      </c>
      <c r="K581" s="5" t="s">
        <v>161</v>
      </c>
      <c r="L581" s="5" t="s">
        <v>3026</v>
      </c>
      <c r="M581" s="5">
        <v>3042719457</v>
      </c>
      <c r="N581" s="6">
        <v>46006</v>
      </c>
      <c r="O581" s="7">
        <v>0</v>
      </c>
      <c r="P581" s="5">
        <v>1</v>
      </c>
      <c r="Q581" s="5" t="s">
        <v>294</v>
      </c>
      <c r="R581" s="5">
        <v>160000</v>
      </c>
      <c r="S581" s="5">
        <v>0</v>
      </c>
      <c r="T581" s="5">
        <v>8000</v>
      </c>
      <c r="U581" s="5">
        <v>168000</v>
      </c>
      <c r="V581" s="5" t="s">
        <v>3027</v>
      </c>
      <c r="W581" s="5" t="s">
        <v>36</v>
      </c>
      <c r="X581" s="5" t="s">
        <v>83</v>
      </c>
      <c r="AA581" s="5" t="s">
        <v>69</v>
      </c>
      <c r="AC581" s="8" t="str">
        <f>HYPERLINK("https://drive.google.com/file/d/12xGiBt622LgI1ZCCS7P5CrshXqEsVbOW/view?usp=drivesdk","Abrir_Factura")</f>
        <v>Abrir_Factura</v>
      </c>
      <c r="AD581" s="9">
        <v>46006.760821759257</v>
      </c>
    </row>
    <row r="582" spans="1:30" ht="12.5">
      <c r="A582" s="4">
        <v>46006.721004212959</v>
      </c>
      <c r="B582" s="5">
        <v>90316</v>
      </c>
      <c r="C582" s="5">
        <v>1140881330</v>
      </c>
      <c r="D582" s="5" t="s">
        <v>3028</v>
      </c>
      <c r="F582" s="5" t="s">
        <v>441</v>
      </c>
      <c r="H582" s="5">
        <v>573108922071</v>
      </c>
      <c r="J582" s="5" t="s">
        <v>3029</v>
      </c>
      <c r="K582" s="5" t="s">
        <v>168</v>
      </c>
      <c r="L582" s="5" t="s">
        <v>3030</v>
      </c>
      <c r="M582" s="5">
        <v>3108922071</v>
      </c>
      <c r="N582" s="6">
        <v>46014</v>
      </c>
      <c r="O582" s="7">
        <v>0.75</v>
      </c>
      <c r="P582" s="5">
        <v>1</v>
      </c>
      <c r="Q582" s="5" t="s">
        <v>89</v>
      </c>
      <c r="R582" s="5">
        <v>150000</v>
      </c>
      <c r="S582" s="5">
        <v>0</v>
      </c>
      <c r="T582" s="5">
        <v>13000</v>
      </c>
      <c r="U582" s="5">
        <v>163000</v>
      </c>
      <c r="V582" s="5" t="s">
        <v>3031</v>
      </c>
      <c r="W582" s="5" t="s">
        <v>36</v>
      </c>
      <c r="X582" s="5" t="s">
        <v>1937</v>
      </c>
      <c r="AA582" s="5" t="s">
        <v>69</v>
      </c>
      <c r="AB582" s="5" t="s">
        <v>3032</v>
      </c>
      <c r="AC582" s="8" t="str">
        <f>HYPERLINK("https://drive.google.com/file/d/16dB2A0T-Av5E_zb6oSjvOweAbak6f6_1/view?usp=drivesdk", "Abrir_Factura")</f>
        <v>Abrir_Factura</v>
      </c>
      <c r="AD582" s="9">
        <v>46007.403483796297</v>
      </c>
    </row>
    <row r="583" spans="1:30" ht="12.5">
      <c r="A583" s="4">
        <v>46007.296110543983</v>
      </c>
      <c r="B583" s="5">
        <v>90317</v>
      </c>
      <c r="C583" s="5">
        <v>8744892</v>
      </c>
      <c r="D583" s="5" t="s">
        <v>3033</v>
      </c>
      <c r="F583" s="5" t="s">
        <v>3034</v>
      </c>
      <c r="H583" s="5">
        <v>573145957488</v>
      </c>
      <c r="J583" s="5" t="s">
        <v>3035</v>
      </c>
      <c r="K583" s="5" t="s">
        <v>1187</v>
      </c>
      <c r="L583" s="5" t="s">
        <v>3036</v>
      </c>
      <c r="M583" s="5">
        <v>573145957488</v>
      </c>
      <c r="N583" s="6">
        <v>46008</v>
      </c>
      <c r="O583" s="7">
        <v>0.375</v>
      </c>
      <c r="P583" s="5">
        <v>1</v>
      </c>
      <c r="Q583" s="5" t="s">
        <v>3037</v>
      </c>
      <c r="R583" s="5">
        <v>310000</v>
      </c>
      <c r="S583" s="5">
        <v>0</v>
      </c>
      <c r="T583" s="5">
        <v>25000</v>
      </c>
      <c r="U583" s="5">
        <v>335000</v>
      </c>
      <c r="V583" s="5" t="s">
        <v>3038</v>
      </c>
      <c r="W583" s="5" t="s">
        <v>36</v>
      </c>
      <c r="X583" s="5" t="s">
        <v>83</v>
      </c>
      <c r="AA583" s="5" t="s">
        <v>44</v>
      </c>
      <c r="AB583" s="5" t="s">
        <v>3039</v>
      </c>
      <c r="AC583" s="8" t="str">
        <f>HYPERLINK("https://drive.google.com/file/d/1nPs7tLgrQxKdw2m6jVCbZWicvVnIjX4C/view?usp=drivesdk", "Abrir_Factura")</f>
        <v>Abrir_Factura</v>
      </c>
      <c r="AD583" s="9">
        <v>46007.332245370373</v>
      </c>
    </row>
    <row r="584" spans="1:30" ht="12.5">
      <c r="A584" s="4">
        <v>46007.337988217594</v>
      </c>
      <c r="B584" s="5">
        <v>90318</v>
      </c>
      <c r="C584" s="5">
        <v>0</v>
      </c>
      <c r="D584" s="5" t="s">
        <v>1231</v>
      </c>
      <c r="F584" s="5" t="s">
        <v>2477</v>
      </c>
      <c r="H584" s="5">
        <v>5700</v>
      </c>
      <c r="J584" s="5" t="s">
        <v>3040</v>
      </c>
      <c r="L584" s="5" t="s">
        <v>3041</v>
      </c>
      <c r="N584" s="6">
        <v>46007</v>
      </c>
      <c r="O584" s="7">
        <v>0</v>
      </c>
      <c r="P584" s="5">
        <v>1</v>
      </c>
      <c r="Q584" s="5" t="s">
        <v>42</v>
      </c>
      <c r="R584" s="5">
        <v>0</v>
      </c>
      <c r="S584" s="5">
        <v>0</v>
      </c>
      <c r="T584" s="5"/>
      <c r="U584" s="5">
        <v>0</v>
      </c>
      <c r="W584" s="5" t="s">
        <v>36</v>
      </c>
      <c r="X584" s="5" t="s">
        <v>43</v>
      </c>
      <c r="AA584" s="5" t="s">
        <v>44</v>
      </c>
      <c r="AB584" s="5" t="s">
        <v>3042</v>
      </c>
      <c r="AC584" s="8" t="str">
        <f>HYPERLINK("https://drive.google.com/file/d/1JMQOlhwEcyTN_qx5XhS0parwwwAb345O/view?usp=drivesdk", "Abrir_Factura")</f>
        <v>Abrir_Factura</v>
      </c>
      <c r="AD584" s="9">
        <v>46007.338935185187</v>
      </c>
    </row>
    <row r="585" spans="1:30" ht="12.5">
      <c r="A585" s="4">
        <v>46007.299636574069</v>
      </c>
      <c r="B585" s="5">
        <v>90319</v>
      </c>
      <c r="C585" s="5">
        <v>1192768337</v>
      </c>
      <c r="D585" s="5" t="s">
        <v>3043</v>
      </c>
      <c r="F585" s="5" t="s">
        <v>3044</v>
      </c>
      <c r="H585" s="5">
        <v>573046511169</v>
      </c>
      <c r="J585" s="5" t="s">
        <v>3045</v>
      </c>
      <c r="K585" s="5" t="s">
        <v>265</v>
      </c>
      <c r="L585" s="5" t="s">
        <v>3046</v>
      </c>
      <c r="M585" s="5">
        <v>3015601169</v>
      </c>
      <c r="N585" s="6">
        <v>46007</v>
      </c>
      <c r="O585" s="7">
        <v>0</v>
      </c>
      <c r="P585" s="5">
        <v>1</v>
      </c>
      <c r="Q585" s="5" t="s">
        <v>75</v>
      </c>
      <c r="R585" s="5">
        <v>70000</v>
      </c>
      <c r="S585" s="5">
        <v>0</v>
      </c>
      <c r="T585" s="5">
        <v>17000</v>
      </c>
      <c r="U585" s="5">
        <v>87000</v>
      </c>
      <c r="V585" s="5" t="s">
        <v>3047</v>
      </c>
      <c r="W585" s="5" t="s">
        <v>36</v>
      </c>
      <c r="X585" s="5" t="s">
        <v>83</v>
      </c>
      <c r="AA585" s="5" t="s">
        <v>69</v>
      </c>
      <c r="AC585" s="8" t="str">
        <f>HYPERLINK("https://drive.google.com/file/d/16U3petiaxcbdjBp3v8Hj-Tq4yM-pyEjd/view?usp=drivesdk", "Abrir_Factura")</f>
        <v>Abrir_Factura</v>
      </c>
      <c r="AD585" s="9">
        <v>46007.351481481484</v>
      </c>
    </row>
    <row r="586" spans="1:30" ht="12.5">
      <c r="A586" s="4">
        <v>46006.758221828699</v>
      </c>
      <c r="B586" s="5">
        <v>90320</v>
      </c>
      <c r="C586" s="5">
        <v>1143250739</v>
      </c>
      <c r="D586" s="5" t="s">
        <v>595</v>
      </c>
      <c r="F586" s="5" t="s">
        <v>3048</v>
      </c>
      <c r="H586" s="5">
        <v>573007838951</v>
      </c>
      <c r="J586" s="5" t="s">
        <v>3049</v>
      </c>
      <c r="K586" s="5" t="s">
        <v>2554</v>
      </c>
      <c r="L586" s="5" t="s">
        <v>3050</v>
      </c>
      <c r="M586" s="5">
        <v>3186998149</v>
      </c>
      <c r="N586" s="6">
        <v>46006</v>
      </c>
      <c r="O586" s="7">
        <v>0</v>
      </c>
      <c r="P586" s="5">
        <v>1</v>
      </c>
      <c r="Q586" s="5" t="s">
        <v>42</v>
      </c>
      <c r="R586" s="5">
        <v>80000</v>
      </c>
      <c r="S586" s="5">
        <v>0</v>
      </c>
      <c r="T586" s="5">
        <v>12000</v>
      </c>
      <c r="U586" s="5">
        <v>92000</v>
      </c>
      <c r="V586" s="5" t="s">
        <v>3051</v>
      </c>
      <c r="W586" s="5" t="s">
        <v>36</v>
      </c>
      <c r="X586" s="5" t="s">
        <v>43</v>
      </c>
      <c r="AA586" s="5" t="s">
        <v>44</v>
      </c>
      <c r="AB586" s="5" t="s">
        <v>3052</v>
      </c>
      <c r="AC586" s="8" t="str">
        <f>HYPERLINK("https://drive.google.com/file/d/1P2oS1lqepiVAc52fKLHuKZmhDriBxokX/view?usp=drivesdk", "Abrir_Factura")</f>
        <v>Abrir_Factura</v>
      </c>
      <c r="AD586" s="9">
        <v>46007.35565972222</v>
      </c>
    </row>
    <row r="587" spans="1:30" ht="12.5">
      <c r="A587" s="4">
        <v>46007.374541006946</v>
      </c>
      <c r="B587" s="5">
        <v>90321</v>
      </c>
      <c r="C587" s="5">
        <v>72137555</v>
      </c>
      <c r="D587" s="5" t="s">
        <v>226</v>
      </c>
      <c r="F587" s="5" t="s">
        <v>3053</v>
      </c>
      <c r="H587" s="5">
        <v>573157740283</v>
      </c>
      <c r="J587" s="5" t="s">
        <v>3054</v>
      </c>
      <c r="K587" s="5" t="s">
        <v>33</v>
      </c>
      <c r="L587" s="5" t="s">
        <v>34</v>
      </c>
      <c r="M587" s="5">
        <v>3157740283</v>
      </c>
      <c r="N587" s="6">
        <v>46007</v>
      </c>
      <c r="O587" s="7">
        <v>0.375</v>
      </c>
      <c r="P587" s="5">
        <v>1</v>
      </c>
      <c r="Q587" s="5" t="s">
        <v>42</v>
      </c>
      <c r="R587" s="5">
        <v>100000</v>
      </c>
      <c r="S587" s="5">
        <v>0</v>
      </c>
      <c r="T587" s="5">
        <v>0</v>
      </c>
      <c r="U587" s="5">
        <v>100000</v>
      </c>
      <c r="W587" s="5" t="s">
        <v>36</v>
      </c>
      <c r="X587" s="5" t="s">
        <v>1705</v>
      </c>
      <c r="AA587" s="5" t="s">
        <v>1717</v>
      </c>
      <c r="AB587" s="5" t="s">
        <v>3055</v>
      </c>
      <c r="AC587" s="8" t="str">
        <f>HYPERLINK("https://drive.google.com/file/d/19_0eaXFqkV9z9WvFiHLEoPVue3orFJpN/view?usp=drivesdk", "Abrir_Factura")</f>
        <v>Abrir_Factura</v>
      </c>
      <c r="AD587" s="9">
        <v>46007.375960648147</v>
      </c>
    </row>
    <row r="588" spans="1:30" ht="12.5">
      <c r="A588" s="4">
        <v>46007.369756840279</v>
      </c>
      <c r="B588" s="5">
        <v>90322</v>
      </c>
      <c r="C588" s="5">
        <v>1017926006</v>
      </c>
      <c r="D588" s="5" t="s">
        <v>3056</v>
      </c>
      <c r="F588" s="5" t="s">
        <v>3057</v>
      </c>
      <c r="H588" s="5">
        <v>573175266147</v>
      </c>
      <c r="J588" s="5" t="s">
        <v>3058</v>
      </c>
      <c r="K588" s="5" t="s">
        <v>886</v>
      </c>
      <c r="L588" s="5" t="s">
        <v>3059</v>
      </c>
      <c r="M588" s="5">
        <v>3017962917</v>
      </c>
      <c r="N588" s="6">
        <v>46008</v>
      </c>
      <c r="O588" s="7">
        <v>0.45833333333333331</v>
      </c>
      <c r="P588" s="5">
        <v>1</v>
      </c>
      <c r="Q588" s="5" t="s">
        <v>178</v>
      </c>
      <c r="R588" s="5">
        <v>100000</v>
      </c>
      <c r="S588" s="5">
        <v>0</v>
      </c>
      <c r="T588" s="5">
        <v>10000</v>
      </c>
      <c r="U588" s="5">
        <v>110000</v>
      </c>
      <c r="V588" s="5" t="s">
        <v>3060</v>
      </c>
      <c r="W588" s="5" t="s">
        <v>36</v>
      </c>
      <c r="X588" s="5" t="s">
        <v>180</v>
      </c>
      <c r="AA588" s="5" t="s">
        <v>44</v>
      </c>
      <c r="AB588" s="5" t="s">
        <v>3061</v>
      </c>
      <c r="AC588" s="8" t="str">
        <f>HYPERLINK("https://drive.google.com/file/d/16IXlUGONUjiHym2Hkt0MEBpoG7MizrcM/view?usp=drivesdk", "Abrir_Factura")</f>
        <v>Abrir_Factura</v>
      </c>
      <c r="AD588" s="9">
        <v>46007.380104166667</v>
      </c>
    </row>
    <row r="589" spans="1:30" ht="12.5">
      <c r="A589" s="4">
        <v>46007.389624513889</v>
      </c>
      <c r="B589" s="5">
        <v>90323</v>
      </c>
      <c r="C589" s="5">
        <v>22588705</v>
      </c>
      <c r="D589" s="5" t="s">
        <v>3062</v>
      </c>
      <c r="F589" s="5" t="s">
        <v>3063</v>
      </c>
      <c r="H589" s="5">
        <v>573006951254</v>
      </c>
      <c r="J589" s="5" t="s">
        <v>3064</v>
      </c>
      <c r="K589" s="5" t="s">
        <v>33</v>
      </c>
      <c r="L589" s="5" t="s">
        <v>3065</v>
      </c>
      <c r="M589" s="5">
        <v>3043641806</v>
      </c>
      <c r="N589" s="6">
        <v>46007</v>
      </c>
      <c r="O589" s="7">
        <v>0.4375</v>
      </c>
      <c r="P589" s="5">
        <v>1</v>
      </c>
      <c r="Q589" s="5" t="s">
        <v>375</v>
      </c>
      <c r="R589" s="5">
        <v>70000</v>
      </c>
      <c r="S589" s="5">
        <v>0</v>
      </c>
      <c r="T589" s="5">
        <v>0</v>
      </c>
      <c r="U589" s="5">
        <v>70000</v>
      </c>
      <c r="V589" s="5" t="s">
        <v>3066</v>
      </c>
      <c r="W589" s="5" t="s">
        <v>36</v>
      </c>
      <c r="X589" s="5" t="s">
        <v>83</v>
      </c>
      <c r="AA589" s="5" t="s">
        <v>44</v>
      </c>
      <c r="AC589" s="8" t="str">
        <f>HYPERLINK("https://drive.google.com/file/d/1jXk6JiIYSK6ocKBq5AiY7b4jKtp7qBNt/view?usp=drivesdk", "Abrir_Factura")</f>
        <v>Abrir_Factura</v>
      </c>
      <c r="AD589" s="9">
        <v>46007.400856481479</v>
      </c>
    </row>
    <row r="590" spans="1:30" ht="12.5">
      <c r="A590" s="4">
        <v>46007.399160416666</v>
      </c>
      <c r="B590" s="5">
        <v>90324</v>
      </c>
      <c r="C590" s="5">
        <v>52151759</v>
      </c>
      <c r="D590" s="5" t="s">
        <v>3067</v>
      </c>
      <c r="F590" s="5" t="s">
        <v>3068</v>
      </c>
      <c r="H590" s="5">
        <v>573134880446</v>
      </c>
      <c r="J590" s="5" t="s">
        <v>3069</v>
      </c>
      <c r="K590" s="5" t="s">
        <v>33</v>
      </c>
      <c r="L590" s="5" t="s">
        <v>34</v>
      </c>
      <c r="M590" s="5">
        <v>3004177433</v>
      </c>
      <c r="N590" s="6">
        <v>46007</v>
      </c>
      <c r="O590" s="7">
        <v>0.45833333333333331</v>
      </c>
      <c r="P590" s="5">
        <v>1</v>
      </c>
      <c r="Q590" s="5" t="s">
        <v>422</v>
      </c>
      <c r="R590" s="5">
        <v>130000</v>
      </c>
      <c r="S590" s="5">
        <v>0</v>
      </c>
      <c r="T590" s="5">
        <v>0</v>
      </c>
      <c r="U590" s="5">
        <v>130000</v>
      </c>
      <c r="V590" s="5" t="s">
        <v>3070</v>
      </c>
      <c r="W590" s="5" t="s">
        <v>36</v>
      </c>
      <c r="X590" s="5" t="s">
        <v>83</v>
      </c>
      <c r="AA590" s="5" t="s">
        <v>44</v>
      </c>
      <c r="AB590" s="5" t="s">
        <v>3071</v>
      </c>
      <c r="AC590" s="8" t="str">
        <f>HYPERLINK("https://drive.google.com/file/d/1iqIiry7qLcRAYBvzd6Hpoyxmd7Tn13Sl/view?usp=drivesdk","Abrir_Factura")</f>
        <v>Abrir_Factura</v>
      </c>
      <c r="AD590" s="9">
        <v>46007.404236111113</v>
      </c>
    </row>
    <row r="591" spans="1:30" ht="12.5">
      <c r="A591" s="4">
        <v>46007.396214513894</v>
      </c>
      <c r="B591" s="5">
        <v>90325</v>
      </c>
      <c r="C591" s="5">
        <v>1140866238</v>
      </c>
      <c r="D591" s="5" t="s">
        <v>1051</v>
      </c>
      <c r="F591" s="5" t="s">
        <v>116</v>
      </c>
      <c r="H591" s="5">
        <v>17866092370</v>
      </c>
      <c r="J591" s="5" t="s">
        <v>3072</v>
      </c>
      <c r="K591" s="5" t="s">
        <v>73</v>
      </c>
      <c r="L591" s="5" t="s">
        <v>3073</v>
      </c>
      <c r="M591" s="5">
        <v>3017417604</v>
      </c>
      <c r="N591" s="6">
        <v>46008</v>
      </c>
      <c r="O591" s="7">
        <v>0.41666666666666669</v>
      </c>
      <c r="P591" s="5">
        <v>1</v>
      </c>
      <c r="Q591" s="5" t="s">
        <v>2120</v>
      </c>
      <c r="R591" s="5">
        <v>200000</v>
      </c>
      <c r="S591" s="5">
        <v>0</v>
      </c>
      <c r="T591" s="5">
        <v>8000</v>
      </c>
      <c r="U591" s="5">
        <v>208000</v>
      </c>
      <c r="V591" s="5" t="s">
        <v>3074</v>
      </c>
      <c r="W591" s="5" t="s">
        <v>36</v>
      </c>
      <c r="X591" s="5" t="s">
        <v>83</v>
      </c>
      <c r="AA591" s="5" t="s">
        <v>44</v>
      </c>
      <c r="AC591" s="8" t="str">
        <f>HYPERLINK("https://drive.google.com/file/d/1wyqEBRH8CjQjZFMNoCT-u2OKYhNPFkW-/view?usp=drivesdk", "Abrir_Factura")</f>
        <v>Abrir_Factura</v>
      </c>
      <c r="AD591" s="9">
        <v>46007.41265046296</v>
      </c>
    </row>
    <row r="592" spans="1:30" ht="12.5">
      <c r="A592" s="4">
        <v>46007.415026388888</v>
      </c>
      <c r="B592" s="5">
        <v>90326</v>
      </c>
      <c r="C592" s="5">
        <v>1102835514</v>
      </c>
      <c r="D592" s="5" t="s">
        <v>3075</v>
      </c>
      <c r="F592" s="5" t="s">
        <v>344</v>
      </c>
      <c r="H592" s="5">
        <v>573013708451</v>
      </c>
      <c r="J592" s="5" t="s">
        <v>3076</v>
      </c>
      <c r="K592" s="5" t="s">
        <v>33</v>
      </c>
      <c r="L592" s="5" t="s">
        <v>34</v>
      </c>
      <c r="M592" s="5">
        <v>3013708451</v>
      </c>
      <c r="N592" s="6">
        <v>46007</v>
      </c>
      <c r="O592" s="7">
        <v>0.41666666666666669</v>
      </c>
      <c r="P592" s="5">
        <v>1</v>
      </c>
      <c r="Q592" s="5" t="s">
        <v>309</v>
      </c>
      <c r="R592" s="5">
        <v>80000</v>
      </c>
      <c r="S592" s="5">
        <v>0</v>
      </c>
      <c r="T592" s="5">
        <v>0</v>
      </c>
      <c r="U592" s="5">
        <v>80000</v>
      </c>
      <c r="W592" s="5" t="s">
        <v>36</v>
      </c>
      <c r="X592" s="5" t="s">
        <v>1705</v>
      </c>
      <c r="AA592" s="5" t="s">
        <v>1717</v>
      </c>
      <c r="AC592" s="8" t="str">
        <f>HYPERLINK("https://drive.google.com/file/d/1DSqfQJGb8KURzv7zNroAPTCqf4R5CR1W/view?usp=drivesdk", "Abrir_Factura")</f>
        <v>Abrir_Factura</v>
      </c>
      <c r="AD592" s="9">
        <v>46007.417060185187</v>
      </c>
    </row>
    <row r="593" spans="1:30" ht="12.5">
      <c r="A593" s="4">
        <v>46007.436400624996</v>
      </c>
      <c r="B593" s="5">
        <v>90327</v>
      </c>
      <c r="C593" s="5">
        <v>22735060</v>
      </c>
      <c r="D593" s="5" t="s">
        <v>2385</v>
      </c>
      <c r="F593" s="5" t="s">
        <v>2386</v>
      </c>
      <c r="H593" s="5">
        <v>573042145559</v>
      </c>
      <c r="J593" s="5" t="s">
        <v>2387</v>
      </c>
      <c r="K593" s="5" t="s">
        <v>33</v>
      </c>
      <c r="L593" s="5" t="s">
        <v>34</v>
      </c>
      <c r="M593" s="5">
        <v>3042145559</v>
      </c>
      <c r="N593" s="6">
        <v>46007</v>
      </c>
      <c r="O593" s="7">
        <v>0.44097222222222221</v>
      </c>
      <c r="P593" s="5">
        <v>1</v>
      </c>
      <c r="Q593" s="5" t="s">
        <v>42</v>
      </c>
      <c r="R593" s="5">
        <v>4000</v>
      </c>
      <c r="S593" s="5">
        <v>0</v>
      </c>
      <c r="T593" s="5">
        <v>0</v>
      </c>
      <c r="U593" s="5">
        <v>4000</v>
      </c>
      <c r="W593" s="5" t="s">
        <v>36</v>
      </c>
      <c r="X593" s="5" t="s">
        <v>196</v>
      </c>
      <c r="AA593" s="5" t="s">
        <v>1717</v>
      </c>
      <c r="AB593" s="5" t="s">
        <v>525</v>
      </c>
      <c r="AC593" s="8" t="str">
        <f>HYPERLINK("https://drive.google.com/file/d/1l8d2pLjAnIG5Sgwwp2bmK70XxWhzRKCi/view?usp=drivesdk", "Abrir_Factura")</f>
        <v>Abrir_Factura</v>
      </c>
      <c r="AD593" s="9">
        <v>46007.438379629632</v>
      </c>
    </row>
    <row r="594" spans="1:30" ht="12.5">
      <c r="A594" s="4">
        <v>46007.412389560181</v>
      </c>
      <c r="B594" s="5">
        <v>90328</v>
      </c>
      <c r="C594" s="5">
        <v>1001888981</v>
      </c>
      <c r="D594" s="5" t="s">
        <v>967</v>
      </c>
      <c r="F594" s="5" t="s">
        <v>3077</v>
      </c>
      <c r="H594" s="5">
        <v>573226471069</v>
      </c>
      <c r="J594" s="5" t="s">
        <v>3078</v>
      </c>
      <c r="K594" s="5" t="s">
        <v>229</v>
      </c>
      <c r="L594" s="5" t="s">
        <v>3079</v>
      </c>
      <c r="M594" s="5">
        <v>3022453560</v>
      </c>
      <c r="N594" s="6">
        <v>46007</v>
      </c>
      <c r="O594" s="7">
        <v>0</v>
      </c>
      <c r="P594" s="5">
        <v>1</v>
      </c>
      <c r="Q594" s="5" t="s">
        <v>42</v>
      </c>
      <c r="R594" s="5">
        <v>80000</v>
      </c>
      <c r="S594" s="5">
        <v>0</v>
      </c>
      <c r="T594" s="5">
        <v>11000</v>
      </c>
      <c r="U594" s="5">
        <v>91000</v>
      </c>
      <c r="V594" s="5" t="s">
        <v>3080</v>
      </c>
      <c r="W594" s="5" t="s">
        <v>36</v>
      </c>
      <c r="X594" s="5" t="s">
        <v>83</v>
      </c>
      <c r="AA594" s="5" t="s">
        <v>69</v>
      </c>
      <c r="AB594" s="5" t="s">
        <v>3081</v>
      </c>
      <c r="AC594" s="8" t="str">
        <f>HYPERLINK("https://drive.google.com/file/d/1j-MjSxa65y8KgbPgL7SaaXDpdQPl_i_K/view?usp=drivesdk","Abrir_Factura")</f>
        <v>Abrir_Factura</v>
      </c>
      <c r="AD594" s="9">
        <v>46007.438368055555</v>
      </c>
    </row>
    <row r="595" spans="1:30" ht="12.5">
      <c r="A595" s="4">
        <v>46007.458333923612</v>
      </c>
      <c r="B595" s="5">
        <v>90329</v>
      </c>
      <c r="C595" s="5">
        <v>1002157575</v>
      </c>
      <c r="D595" s="5" t="s">
        <v>3082</v>
      </c>
      <c r="F595" s="5" t="s">
        <v>3083</v>
      </c>
      <c r="H595" s="5">
        <v>573145625519</v>
      </c>
      <c r="J595" s="5" t="s">
        <v>3084</v>
      </c>
      <c r="K595" s="5" t="s">
        <v>405</v>
      </c>
      <c r="L595" s="5" t="s">
        <v>3085</v>
      </c>
      <c r="M595" s="5">
        <v>3145625519</v>
      </c>
      <c r="N595" s="6">
        <v>46007</v>
      </c>
      <c r="O595" s="7">
        <v>0.64583333333333337</v>
      </c>
      <c r="P595" s="5">
        <v>1</v>
      </c>
      <c r="Q595" s="5" t="s">
        <v>178</v>
      </c>
      <c r="R595" s="5">
        <v>100000</v>
      </c>
      <c r="S595" s="5">
        <v>0</v>
      </c>
      <c r="T595" s="5">
        <v>30000</v>
      </c>
      <c r="U595" s="5">
        <v>130000</v>
      </c>
      <c r="V595" s="5" t="s">
        <v>3086</v>
      </c>
      <c r="W595" s="5" t="s">
        <v>36</v>
      </c>
      <c r="X595" s="5" t="s">
        <v>1937</v>
      </c>
      <c r="AA595" s="5" t="s">
        <v>69</v>
      </c>
      <c r="AB595" s="5" t="s">
        <v>3087</v>
      </c>
      <c r="AC595" s="8" t="str">
        <f>HYPERLINK("https://drive.google.com/file/d/1OcIo_lO9Q6FO_PM79lqC1UuynLyty9ig/view?usp=drivesdk", "Abrir_Factura")</f>
        <v>Abrir_Factura</v>
      </c>
      <c r="AD595" s="9">
        <v>46007.461608796293</v>
      </c>
    </row>
    <row r="596" spans="1:30" ht="12.5">
      <c r="A596" s="4">
        <v>46007.465580300923</v>
      </c>
      <c r="B596" s="5">
        <v>90330</v>
      </c>
      <c r="C596" s="5">
        <v>1140901833</v>
      </c>
      <c r="D596" s="5" t="s">
        <v>3088</v>
      </c>
      <c r="F596" s="5" t="s">
        <v>3089</v>
      </c>
      <c r="H596" s="5">
        <v>573022752923</v>
      </c>
      <c r="J596" s="5" t="s">
        <v>3090</v>
      </c>
      <c r="K596" s="5" t="s">
        <v>3091</v>
      </c>
      <c r="L596" s="5" t="s">
        <v>3092</v>
      </c>
      <c r="M596" s="5">
        <v>3007571378</v>
      </c>
      <c r="N596" s="6">
        <v>46007</v>
      </c>
      <c r="O596" s="7">
        <v>0.54166666666666663</v>
      </c>
      <c r="P596" s="5">
        <v>1</v>
      </c>
      <c r="Q596" s="5" t="s">
        <v>375</v>
      </c>
      <c r="R596" s="5">
        <v>70000</v>
      </c>
      <c r="S596" s="5">
        <v>0</v>
      </c>
      <c r="T596" s="5">
        <v>20000</v>
      </c>
      <c r="U596" s="5">
        <v>90000</v>
      </c>
      <c r="V596" s="5" t="s">
        <v>3093</v>
      </c>
      <c r="W596" s="5" t="s">
        <v>36</v>
      </c>
      <c r="X596" s="5" t="s">
        <v>83</v>
      </c>
      <c r="AA596" s="5" t="s">
        <v>69</v>
      </c>
      <c r="AB596" s="5" t="s">
        <v>3094</v>
      </c>
      <c r="AC596" s="8" t="str">
        <f>HYPERLINK("https://drive.google.com/file/d/1ndgFDosGJX8xDosIf_Ub_MduGILeHOoZ/view?usp=drivesdk", "Abrir_Factura")</f>
        <v>Abrir_Factura</v>
      </c>
      <c r="AD596" s="9">
        <v>46007.468993055554</v>
      </c>
    </row>
    <row r="597" spans="1:30" ht="12.5">
      <c r="A597" s="4">
        <v>46007.467252951392</v>
      </c>
      <c r="B597" s="5">
        <v>90331</v>
      </c>
      <c r="C597" s="5">
        <v>1055918691</v>
      </c>
      <c r="D597" s="5" t="s">
        <v>3095</v>
      </c>
      <c r="F597" s="5" t="s">
        <v>3096</v>
      </c>
      <c r="H597" s="5">
        <v>573008606738</v>
      </c>
      <c r="J597" s="5" t="s">
        <v>698</v>
      </c>
      <c r="K597" s="5"/>
      <c r="L597" s="5" t="s">
        <v>3097</v>
      </c>
      <c r="M597" s="5">
        <v>3008606738</v>
      </c>
      <c r="N597" s="6">
        <v>46007</v>
      </c>
      <c r="O597" s="7">
        <v>0</v>
      </c>
      <c r="P597" s="5">
        <v>1</v>
      </c>
      <c r="Q597" s="5" t="s">
        <v>1203</v>
      </c>
      <c r="R597" s="5">
        <v>300000</v>
      </c>
      <c r="S597" s="5">
        <v>0</v>
      </c>
      <c r="T597" s="5"/>
      <c r="U597" s="5">
        <v>300000</v>
      </c>
      <c r="V597" s="5" t="s">
        <v>3098</v>
      </c>
      <c r="W597" s="5" t="s">
        <v>36</v>
      </c>
      <c r="X597" s="5" t="s">
        <v>83</v>
      </c>
      <c r="AA597" s="5" t="s">
        <v>69</v>
      </c>
      <c r="AB597" s="5" t="s">
        <v>3099</v>
      </c>
      <c r="AC597" s="8" t="str">
        <f>HYPERLINK("https://drive.google.com/file/d/1DchiKm3jy4T47949AIW1p3t29H0XUfPN/view?usp=drivesdk", "Abrir_Factura")</f>
        <v>Abrir_Factura</v>
      </c>
      <c r="AD597" s="9">
        <v>46007.472870370373</v>
      </c>
    </row>
    <row r="598" spans="1:30" ht="12.5">
      <c r="A598" s="4">
        <v>46007.476450659728</v>
      </c>
      <c r="B598" s="5">
        <v>90332</v>
      </c>
      <c r="C598" s="5">
        <v>32634018</v>
      </c>
      <c r="D598" s="5" t="s">
        <v>3100</v>
      </c>
      <c r="F598" s="5" t="s">
        <v>3101</v>
      </c>
      <c r="H598" s="5">
        <v>573008160858</v>
      </c>
      <c r="J598" s="5" t="s">
        <v>3102</v>
      </c>
      <c r="K598" s="5" t="s">
        <v>33</v>
      </c>
      <c r="L598" s="5" t="s">
        <v>34</v>
      </c>
      <c r="M598" s="5" t="s">
        <v>3103</v>
      </c>
      <c r="N598" s="6">
        <v>46013</v>
      </c>
      <c r="O598" s="7">
        <v>0.45833333333333331</v>
      </c>
      <c r="P598" s="5">
        <v>1</v>
      </c>
      <c r="Q598" s="5" t="s">
        <v>42</v>
      </c>
      <c r="R598" s="5">
        <v>350000</v>
      </c>
      <c r="S598" s="5">
        <v>0</v>
      </c>
      <c r="T598" s="5">
        <v>0</v>
      </c>
      <c r="U598" s="5">
        <v>350000</v>
      </c>
      <c r="W598" s="5" t="s">
        <v>36</v>
      </c>
      <c r="X598" s="5" t="s">
        <v>1705</v>
      </c>
      <c r="AA598" s="5" t="s">
        <v>1717</v>
      </c>
      <c r="AB598" s="5" t="s">
        <v>3104</v>
      </c>
      <c r="AC598" s="8" t="str">
        <f>HYPERLINK("https://drive.google.com/file/d/180FMbR0ExjadjPdYVWqkZnwd4ioRJKCI/view?usp=drivesdk", "Abrir_Factura")</f>
        <v>Abrir_Factura</v>
      </c>
      <c r="AD598" s="9">
        <v>46007.477881944447</v>
      </c>
    </row>
    <row r="599" spans="1:30" ht="12.5">
      <c r="A599" s="4">
        <v>46007.483341504631</v>
      </c>
      <c r="B599" s="5">
        <v>90333</v>
      </c>
      <c r="C599" s="5">
        <v>72261127</v>
      </c>
      <c r="D599" s="5" t="s">
        <v>3105</v>
      </c>
      <c r="F599" s="5" t="s">
        <v>3106</v>
      </c>
      <c r="H599" s="5">
        <v>573145160746</v>
      </c>
      <c r="J599" s="5" t="s">
        <v>3107</v>
      </c>
      <c r="K599" s="5" t="s">
        <v>33</v>
      </c>
      <c r="L599" s="5" t="s">
        <v>34</v>
      </c>
      <c r="M599" s="5">
        <v>3145160746</v>
      </c>
      <c r="N599" s="6">
        <v>46007</v>
      </c>
      <c r="O599" s="7">
        <v>0</v>
      </c>
      <c r="P599" s="5">
        <v>1</v>
      </c>
      <c r="Q599" s="5" t="s">
        <v>133</v>
      </c>
      <c r="R599" s="5">
        <v>140000</v>
      </c>
      <c r="S599" s="5">
        <v>0</v>
      </c>
      <c r="T599" s="5">
        <v>0</v>
      </c>
      <c r="U599" s="5">
        <v>140000</v>
      </c>
      <c r="W599" s="5" t="s">
        <v>36</v>
      </c>
      <c r="X599" s="5" t="s">
        <v>43</v>
      </c>
      <c r="AA599" s="5" t="s">
        <v>37</v>
      </c>
      <c r="AB599" s="5" t="s">
        <v>225</v>
      </c>
      <c r="AC599" s="8" t="str">
        <f>HYPERLINK("https://drive.google.com/file/d/17_5R0LS7TUqLhFn0dT65SKO5UFs92ht5/view?usp=drivesdk", "Abrir_Factura")</f>
        <v>Abrir_Factura</v>
      </c>
      <c r="AD599" s="9">
        <v>46007.484085648146</v>
      </c>
    </row>
    <row r="600" spans="1:30" ht="12.5">
      <c r="A600" s="4">
        <v>46007.478228067128</v>
      </c>
      <c r="B600" s="5">
        <v>90334</v>
      </c>
      <c r="C600" s="5">
        <v>1045673669</v>
      </c>
      <c r="D600" s="5" t="s">
        <v>3108</v>
      </c>
      <c r="F600" s="5" t="s">
        <v>1299</v>
      </c>
      <c r="H600" s="5">
        <v>573242364443</v>
      </c>
      <c r="J600" s="5" t="s">
        <v>3109</v>
      </c>
      <c r="K600" s="5" t="s">
        <v>886</v>
      </c>
      <c r="L600" s="5" t="s">
        <v>3110</v>
      </c>
      <c r="M600" s="5">
        <v>3004552663</v>
      </c>
      <c r="N600" s="6">
        <v>46007</v>
      </c>
      <c r="O600" s="7">
        <v>0.5625</v>
      </c>
      <c r="P600" s="5">
        <v>1</v>
      </c>
      <c r="Q600" s="5" t="s">
        <v>3111</v>
      </c>
      <c r="R600" s="5">
        <v>190000</v>
      </c>
      <c r="S600" s="5">
        <v>0</v>
      </c>
      <c r="T600" s="5">
        <v>12000</v>
      </c>
      <c r="U600" s="5">
        <v>202000</v>
      </c>
      <c r="V600" s="5" t="s">
        <v>3112</v>
      </c>
      <c r="W600" s="5" t="s">
        <v>36</v>
      </c>
      <c r="X600" s="5" t="s">
        <v>83</v>
      </c>
      <c r="AA600" s="5" t="s">
        <v>69</v>
      </c>
      <c r="AC600" s="8" t="str">
        <f>HYPERLINK("https://drive.google.com/file/d/1q1_oVeX5IQ3tVCJxRxKl10I5R2GyTBvh/view?usp=drivesdk", "Abrir_Factura")</f>
        <v>Abrir_Factura</v>
      </c>
      <c r="AD600" s="9">
        <v>46007.485127314816</v>
      </c>
    </row>
    <row r="601" spans="1:30" ht="12.5">
      <c r="A601" s="4">
        <v>46007.496729687497</v>
      </c>
      <c r="B601" s="5">
        <v>90335</v>
      </c>
      <c r="C601" s="5">
        <v>55313403</v>
      </c>
      <c r="D601" s="5" t="s">
        <v>3113</v>
      </c>
      <c r="F601" s="5" t="s">
        <v>3114</v>
      </c>
      <c r="H601" s="5">
        <v>573004705682</v>
      </c>
      <c r="J601" s="5" t="s">
        <v>3115</v>
      </c>
      <c r="K601" s="5" t="s">
        <v>124</v>
      </c>
      <c r="L601" s="5" t="s">
        <v>3116</v>
      </c>
      <c r="M601" s="5">
        <v>3004705682</v>
      </c>
      <c r="N601" s="6">
        <v>46011</v>
      </c>
      <c r="O601" s="7">
        <v>0</v>
      </c>
      <c r="P601" s="5">
        <v>1</v>
      </c>
      <c r="Q601" s="5" t="s">
        <v>3117</v>
      </c>
      <c r="R601" s="5">
        <v>155000</v>
      </c>
      <c r="S601" s="5">
        <v>0</v>
      </c>
      <c r="T601" s="5">
        <v>12000</v>
      </c>
      <c r="U601" s="5">
        <v>167000</v>
      </c>
      <c r="W601" s="5" t="s">
        <v>36</v>
      </c>
      <c r="X601" s="5" t="s">
        <v>1705</v>
      </c>
      <c r="AA601" s="5" t="s">
        <v>1717</v>
      </c>
      <c r="AC601" s="8" t="str">
        <f>HYPERLINK("https://drive.google.com/file/d/1YYW9wbF6TLIubzJuBdASzn7Ir08LzMcr/view?usp=drivesdk", "Abrir_Factura")</f>
        <v>Abrir_Factura</v>
      </c>
      <c r="AD601" s="9">
        <v>46007.497974537036</v>
      </c>
    </row>
    <row r="602" spans="1:30" ht="12.5">
      <c r="A602" s="4">
        <v>46007.483350798611</v>
      </c>
      <c r="B602" s="5">
        <v>90336</v>
      </c>
      <c r="C602" s="5">
        <v>1045682627</v>
      </c>
      <c r="D602" s="5" t="s">
        <v>3118</v>
      </c>
      <c r="F602" s="5" t="s">
        <v>3119</v>
      </c>
      <c r="H602" s="5">
        <v>573508072070</v>
      </c>
      <c r="J602" s="5" t="s">
        <v>3120</v>
      </c>
      <c r="K602" s="5" t="s">
        <v>351</v>
      </c>
      <c r="L602" s="5" t="s">
        <v>3121</v>
      </c>
      <c r="M602" s="5">
        <v>3246834404</v>
      </c>
      <c r="N602" s="6">
        <v>46007</v>
      </c>
      <c r="O602" s="7">
        <v>0.6020833333333333</v>
      </c>
      <c r="P602" s="5">
        <v>1</v>
      </c>
      <c r="Q602" s="5" t="s">
        <v>3122</v>
      </c>
      <c r="R602" s="5">
        <v>355000</v>
      </c>
      <c r="S602" s="5">
        <v>0</v>
      </c>
      <c r="T602" s="5">
        <v>12000</v>
      </c>
      <c r="U602" s="5">
        <v>367000</v>
      </c>
      <c r="V602" s="5" t="s">
        <v>3123</v>
      </c>
      <c r="W602" s="5" t="s">
        <v>36</v>
      </c>
      <c r="X602" s="5" t="s">
        <v>83</v>
      </c>
      <c r="AA602" s="5" t="s">
        <v>69</v>
      </c>
      <c r="AB602" s="5" t="s">
        <v>3124</v>
      </c>
      <c r="AC602" s="8" t="str">
        <f>HYPERLINK("https://drive.google.com/file/d/1fgkm9roNTk7sgx15QlOi858940XmHccY/view?usp=drivesdk", "Abrir_Factura")</f>
        <v>Abrir_Factura</v>
      </c>
      <c r="AD602" s="9">
        <v>46007.504560185182</v>
      </c>
    </row>
    <row r="603" spans="1:30" ht="12.5">
      <c r="A603" s="4">
        <v>46007.525195891205</v>
      </c>
      <c r="B603" s="5">
        <v>90337</v>
      </c>
      <c r="C603" s="5">
        <v>379152</v>
      </c>
      <c r="D603" s="5" t="s">
        <v>3125</v>
      </c>
      <c r="F603" s="5" t="s">
        <v>3126</v>
      </c>
      <c r="H603" s="5">
        <v>573015439803</v>
      </c>
      <c r="J603" s="5" t="s">
        <v>3127</v>
      </c>
      <c r="K603" s="5" t="s">
        <v>103</v>
      </c>
      <c r="L603" s="5" t="s">
        <v>3128</v>
      </c>
      <c r="M603" s="5">
        <v>3003386126</v>
      </c>
      <c r="N603" s="6">
        <v>46007</v>
      </c>
      <c r="O603" s="7">
        <v>0.58333333333333337</v>
      </c>
      <c r="P603" s="5">
        <v>1</v>
      </c>
      <c r="Q603" s="5" t="s">
        <v>322</v>
      </c>
      <c r="R603" s="5">
        <v>120000</v>
      </c>
      <c r="S603" s="5">
        <v>0</v>
      </c>
      <c r="T603" s="5">
        <v>10000</v>
      </c>
      <c r="U603" s="5">
        <v>130000</v>
      </c>
      <c r="W603" s="5" t="s">
        <v>36</v>
      </c>
      <c r="X603" s="5" t="s">
        <v>2636</v>
      </c>
      <c r="AA603" s="5" t="s">
        <v>1717</v>
      </c>
      <c r="AB603" s="5" t="s">
        <v>3129</v>
      </c>
      <c r="AC603" s="8" t="str">
        <f>HYPERLINK("https://drive.google.com/file/d/1SkkCosIkf6QB5odWRQ2fOIv19UV-eXdw/view?usp=drivesdk","Abrir_Factura")</f>
        <v>Abrir_Factura</v>
      </c>
      <c r="AD603" s="9">
        <v>46007.529039351852</v>
      </c>
    </row>
    <row r="604" spans="1:30" ht="12.5">
      <c r="A604" s="4">
        <v>46007.467451446762</v>
      </c>
      <c r="B604" s="5">
        <v>90338</v>
      </c>
      <c r="C604" s="5">
        <v>1001996129</v>
      </c>
      <c r="D604" s="5" t="s">
        <v>3130</v>
      </c>
      <c r="F604" s="5" t="s">
        <v>3131</v>
      </c>
      <c r="H604" s="5">
        <v>573226169444</v>
      </c>
      <c r="J604" s="5" t="s">
        <v>3132</v>
      </c>
      <c r="K604" s="5" t="s">
        <v>33</v>
      </c>
      <c r="L604" s="5" t="s">
        <v>34</v>
      </c>
      <c r="M604" s="5">
        <v>3226169444</v>
      </c>
      <c r="N604" s="6">
        <v>46007</v>
      </c>
      <c r="O604" s="7">
        <v>0.6875</v>
      </c>
      <c r="P604" s="5">
        <v>1</v>
      </c>
      <c r="Q604" s="5" t="s">
        <v>57</v>
      </c>
      <c r="R604" s="5">
        <v>120000</v>
      </c>
      <c r="S604" s="5">
        <v>0</v>
      </c>
      <c r="T604" s="5">
        <v>0</v>
      </c>
      <c r="U604" s="5">
        <v>120000</v>
      </c>
      <c r="V604" s="5" t="s">
        <v>3133</v>
      </c>
      <c r="W604" s="5" t="s">
        <v>36</v>
      </c>
      <c r="X604" s="5" t="s">
        <v>83</v>
      </c>
      <c r="AA604" s="5" t="s">
        <v>69</v>
      </c>
      <c r="AC604" s="8" t="str">
        <f>HYPERLINK("https://drive.google.com/file/d/1MamRVf6j1QalebmHQQuI_sc9sNWuDh81/view?usp=drivesdk", "Abrir_Factura")</f>
        <v>Abrir_Factura</v>
      </c>
      <c r="AD604" s="9">
        <v>46007.540416666663</v>
      </c>
    </row>
    <row r="605" spans="1:30" ht="12.5">
      <c r="A605" s="4">
        <v>46007.53360362268</v>
      </c>
      <c r="B605" s="5">
        <v>90339</v>
      </c>
      <c r="C605" s="5">
        <v>1045723678</v>
      </c>
      <c r="D605" s="5" t="s">
        <v>3134</v>
      </c>
      <c r="F605" s="5" t="s">
        <v>3135</v>
      </c>
      <c r="H605" s="5">
        <v>573043765552</v>
      </c>
      <c r="J605" s="5" t="s">
        <v>3136</v>
      </c>
      <c r="K605" s="5" t="s">
        <v>73</v>
      </c>
      <c r="L605" s="5" t="s">
        <v>3137</v>
      </c>
      <c r="M605" s="5">
        <v>3043765552</v>
      </c>
      <c r="N605" s="6">
        <v>46009</v>
      </c>
      <c r="O605" s="7">
        <v>0.70833333333333337</v>
      </c>
      <c r="P605" s="5">
        <v>1</v>
      </c>
      <c r="Q605" s="5" t="s">
        <v>187</v>
      </c>
      <c r="R605" s="5">
        <v>200000</v>
      </c>
      <c r="S605" s="5">
        <v>0</v>
      </c>
      <c r="T605" s="5">
        <v>8000</v>
      </c>
      <c r="U605" s="5">
        <v>208000</v>
      </c>
      <c r="W605" s="5" t="s">
        <v>36</v>
      </c>
      <c r="X605" s="5" t="s">
        <v>83</v>
      </c>
      <c r="AA605" s="5" t="s">
        <v>69</v>
      </c>
      <c r="AB605" s="5" t="s">
        <v>3138</v>
      </c>
      <c r="AC605" s="8" t="str">
        <f>HYPERLINK("https://drive.google.com/file/d/18DxsuewmNkb9JDaLxaIDcQivG9S-5WZ8/view?usp=drivesdk", "Abrir_Factura")</f>
        <v>Abrir_Factura</v>
      </c>
      <c r="AD605" s="9">
        <v>46007.552916666667</v>
      </c>
    </row>
    <row r="606" spans="1:30" ht="12.5">
      <c r="A606" s="4">
        <v>46007.519777962967</v>
      </c>
      <c r="B606" s="5">
        <v>90340</v>
      </c>
      <c r="C606" s="5">
        <v>72224984</v>
      </c>
      <c r="D606" s="5" t="s">
        <v>3139</v>
      </c>
      <c r="F606" s="5" t="s">
        <v>1831</v>
      </c>
      <c r="H606" s="5">
        <v>573012008566</v>
      </c>
      <c r="J606" s="5" t="s">
        <v>3140</v>
      </c>
      <c r="K606" s="5" t="s">
        <v>79</v>
      </c>
      <c r="L606" s="5" t="s">
        <v>3141</v>
      </c>
      <c r="M606" s="5">
        <v>3012008566</v>
      </c>
      <c r="N606" s="6">
        <v>46008</v>
      </c>
      <c r="O606" s="7">
        <v>0.16666666666666666</v>
      </c>
      <c r="P606" s="5">
        <v>1</v>
      </c>
      <c r="Q606" s="5" t="s">
        <v>3142</v>
      </c>
      <c r="R606" s="5">
        <v>260000</v>
      </c>
      <c r="S606" s="5">
        <v>0</v>
      </c>
      <c r="T606" s="5">
        <v>10000</v>
      </c>
      <c r="U606" s="5">
        <v>270000</v>
      </c>
      <c r="V606" s="5" t="s">
        <v>3143</v>
      </c>
      <c r="W606" s="5" t="s">
        <v>36</v>
      </c>
      <c r="X606" s="5" t="s">
        <v>83</v>
      </c>
      <c r="AA606" s="5" t="s">
        <v>44</v>
      </c>
      <c r="AC606" s="8" t="str">
        <f>HYPERLINK("https://drive.google.com/file/d/1sRMPX4ylZAV_KdyuKsl17st8dfFjAB9b/view?usp=drivesdk","Abrir_Factura")</f>
        <v>Abrir_Factura</v>
      </c>
      <c r="AD606" s="9">
        <v>46007.555208333331</v>
      </c>
    </row>
    <row r="607" spans="1:30" ht="12.5">
      <c r="A607" s="4">
        <v>46007.553848923606</v>
      </c>
      <c r="B607" s="5">
        <v>90341</v>
      </c>
      <c r="C607" s="5">
        <v>1001817962</v>
      </c>
      <c r="D607" s="5" t="s">
        <v>1651</v>
      </c>
      <c r="F607" s="5" t="s">
        <v>3144</v>
      </c>
      <c r="H607" s="5">
        <v>573162752516</v>
      </c>
      <c r="J607" s="5" t="s">
        <v>3145</v>
      </c>
      <c r="K607" s="5" t="s">
        <v>328</v>
      </c>
      <c r="L607" s="5" t="s">
        <v>3146</v>
      </c>
      <c r="M607" s="5">
        <v>3162752516</v>
      </c>
      <c r="N607" s="6">
        <v>46011</v>
      </c>
      <c r="O607" s="7">
        <v>0.375</v>
      </c>
      <c r="P607" s="5">
        <v>1</v>
      </c>
      <c r="Q607" s="5" t="s">
        <v>375</v>
      </c>
      <c r="R607" s="5">
        <v>70000</v>
      </c>
      <c r="S607" s="5">
        <v>0</v>
      </c>
      <c r="T607" s="5">
        <v>12000</v>
      </c>
      <c r="U607" s="5">
        <v>82000</v>
      </c>
      <c r="V607" s="5" t="s">
        <v>3147</v>
      </c>
      <c r="W607" s="5" t="s">
        <v>36</v>
      </c>
      <c r="X607" s="5" t="s">
        <v>83</v>
      </c>
      <c r="AA607" s="5" t="s">
        <v>44</v>
      </c>
      <c r="AB607" s="5" t="s">
        <v>3148</v>
      </c>
      <c r="AC607" s="8" t="str">
        <f>HYPERLINK("https://drive.google.com/file/d/1RTpq3rUcA39zZP2tnnUUIL_A0i8ph5O2/view?usp=drivesdk", "Abrir_Factura")</f>
        <v>Abrir_Factura</v>
      </c>
      <c r="AD607" s="9">
        <v>46007.558287037034</v>
      </c>
    </row>
    <row r="608" spans="1:30" ht="12.5">
      <c r="A608" s="4">
        <v>46007.548709236115</v>
      </c>
      <c r="B608" s="5">
        <v>90342</v>
      </c>
      <c r="C608" s="5">
        <v>1044431061</v>
      </c>
      <c r="D608" s="5" t="s">
        <v>1687</v>
      </c>
      <c r="F608" s="5" t="s">
        <v>699</v>
      </c>
      <c r="H608" s="5">
        <v>573234582934</v>
      </c>
      <c r="J608" s="5" t="s">
        <v>3149</v>
      </c>
      <c r="K608" s="5" t="s">
        <v>103</v>
      </c>
      <c r="L608" s="5" t="s">
        <v>3150</v>
      </c>
      <c r="M608" s="5">
        <v>3217942660</v>
      </c>
      <c r="N608" s="6">
        <v>46007</v>
      </c>
      <c r="O608" s="7">
        <v>0.60416666666666663</v>
      </c>
      <c r="P608" s="5">
        <v>1</v>
      </c>
      <c r="Q608" s="5" t="s">
        <v>375</v>
      </c>
      <c r="R608" s="5">
        <v>70000</v>
      </c>
      <c r="S608" s="5">
        <v>0</v>
      </c>
      <c r="T608" s="5">
        <v>10000</v>
      </c>
      <c r="U608" s="5">
        <v>80000</v>
      </c>
      <c r="V608" s="5" t="s">
        <v>3151</v>
      </c>
      <c r="W608" s="5" t="s">
        <v>36</v>
      </c>
      <c r="X608" s="5" t="s">
        <v>83</v>
      </c>
      <c r="AA608" s="5" t="s">
        <v>44</v>
      </c>
      <c r="AC608" s="8" t="str">
        <f>HYPERLINK("https://drive.google.com/file/d/1M-TbQGz6lO00QI3Q3GiCMUH6Weawb1yM/view?usp=drivesdk", "Abrir_Factura")</f>
        <v>Abrir_Factura</v>
      </c>
      <c r="AD608" s="9">
        <v>46007.559386574074</v>
      </c>
    </row>
    <row r="609" spans="1:30" ht="12.5">
      <c r="A609" s="4">
        <v>46007.539645567129</v>
      </c>
      <c r="B609" s="5">
        <v>90343</v>
      </c>
      <c r="C609" s="5">
        <v>1045705610</v>
      </c>
      <c r="D609" s="5" t="s">
        <v>3152</v>
      </c>
      <c r="F609" s="5" t="s">
        <v>3153</v>
      </c>
      <c r="H609" s="5">
        <v>16469223690</v>
      </c>
      <c r="J609" s="5" t="s">
        <v>3154</v>
      </c>
      <c r="K609" s="5" t="s">
        <v>964</v>
      </c>
      <c r="L609" s="5" t="s">
        <v>3155</v>
      </c>
      <c r="M609" s="5" t="s">
        <v>25421</v>
      </c>
      <c r="N609" s="6">
        <v>46015</v>
      </c>
      <c r="O609" s="7">
        <v>0.375</v>
      </c>
      <c r="P609" s="5">
        <v>1</v>
      </c>
      <c r="Q609" s="5" t="s">
        <v>3156</v>
      </c>
      <c r="R609" s="5">
        <v>170000</v>
      </c>
      <c r="S609" s="5">
        <v>0</v>
      </c>
      <c r="T609" s="5">
        <v>12000</v>
      </c>
      <c r="U609" s="5">
        <v>182000</v>
      </c>
      <c r="V609" s="5" t="s">
        <v>3157</v>
      </c>
      <c r="W609" s="5" t="s">
        <v>36</v>
      </c>
      <c r="X609" s="5" t="s">
        <v>1937</v>
      </c>
      <c r="AA609" s="5" t="s">
        <v>69</v>
      </c>
      <c r="AC609" s="8" t="str">
        <f>HYPERLINK("https://drive.google.com/file/d/1QrJ20sNG72Jlwt8baX4m1Xb37YrnhoUd/view?usp=drivesdk","Abrir_Factura")</f>
        <v>Abrir_Factura</v>
      </c>
      <c r="AD609" s="9">
        <v>46007.568425925929</v>
      </c>
    </row>
    <row r="610" spans="1:30" ht="12.5">
      <c r="A610" s="4">
        <v>46007.551971990746</v>
      </c>
      <c r="B610" s="5">
        <v>90344</v>
      </c>
      <c r="C610" s="5">
        <v>1045705710</v>
      </c>
      <c r="D610" s="5" t="s">
        <v>3152</v>
      </c>
      <c r="F610" s="5" t="s">
        <v>3153</v>
      </c>
      <c r="H610" s="5">
        <v>16469223690</v>
      </c>
      <c r="J610" s="5" t="s">
        <v>3158</v>
      </c>
      <c r="K610" s="5" t="s">
        <v>964</v>
      </c>
      <c r="L610" s="5" t="s">
        <v>3155</v>
      </c>
      <c r="M610" s="5">
        <v>573007594821</v>
      </c>
      <c r="N610" s="6">
        <v>46017</v>
      </c>
      <c r="O610" s="7">
        <v>0.33333333333333331</v>
      </c>
      <c r="P610" s="5">
        <v>1</v>
      </c>
      <c r="Q610" s="5" t="s">
        <v>3159</v>
      </c>
      <c r="R610" s="5">
        <v>200000</v>
      </c>
      <c r="S610" s="5">
        <v>0</v>
      </c>
      <c r="T610" s="5">
        <v>12000</v>
      </c>
      <c r="U610" s="5">
        <v>212000</v>
      </c>
      <c r="V610" s="5" t="s">
        <v>3160</v>
      </c>
      <c r="W610" s="5" t="s">
        <v>36</v>
      </c>
      <c r="X610" s="5" t="s">
        <v>1937</v>
      </c>
      <c r="AA610" s="5" t="s">
        <v>69</v>
      </c>
      <c r="AC610" s="8" t="str">
        <f>HYPERLINK("https://drive.google.com/file/d/1BdxS7TvrapODNwceRWV7McYpD-J5PT6A/view?usp=drivesdk", "Abrir_Factura")</f>
        <v>Abrir_Factura</v>
      </c>
      <c r="AD610" s="9">
        <v>46007.569409722222</v>
      </c>
    </row>
    <row r="611" spans="1:30" ht="12.5">
      <c r="A611" s="4">
        <v>46007.479514317129</v>
      </c>
      <c r="B611" s="5">
        <v>90345</v>
      </c>
      <c r="C611" s="5">
        <v>72261775</v>
      </c>
      <c r="D611" s="5" t="s">
        <v>3161</v>
      </c>
      <c r="F611" s="5" t="s">
        <v>3162</v>
      </c>
      <c r="H611" s="5">
        <v>573126864634</v>
      </c>
      <c r="J611" s="5" t="s">
        <v>3163</v>
      </c>
      <c r="K611" s="5" t="s">
        <v>73</v>
      </c>
      <c r="L611" s="5" t="s">
        <v>3164</v>
      </c>
      <c r="M611" s="5">
        <v>3126864634</v>
      </c>
      <c r="N611" s="6">
        <v>46009</v>
      </c>
      <c r="O611" s="7">
        <v>0</v>
      </c>
      <c r="P611" s="5">
        <v>1</v>
      </c>
      <c r="Q611" s="5" t="s">
        <v>178</v>
      </c>
      <c r="R611" s="5">
        <v>100000</v>
      </c>
      <c r="S611" s="5">
        <v>0</v>
      </c>
      <c r="T611" s="5">
        <v>8000</v>
      </c>
      <c r="U611" s="5">
        <v>108000</v>
      </c>
      <c r="V611" s="5" t="s">
        <v>3165</v>
      </c>
      <c r="W611" s="5" t="s">
        <v>36</v>
      </c>
      <c r="X611" s="5" t="s">
        <v>83</v>
      </c>
      <c r="AA611" s="5" t="s">
        <v>44</v>
      </c>
      <c r="AC611" s="8" t="str">
        <f>HYPERLINK("https://drive.google.com/file/d/1x_nk9H4DIOLaaM11A6blxdHMYUhG7qVN/view?usp=drivesdk", "Abrir_Factura")</f>
        <v>Abrir_Factura</v>
      </c>
      <c r="AD611" s="9">
        <v>46007.577245370368</v>
      </c>
    </row>
    <row r="612" spans="1:30" ht="12.5">
      <c r="A612" s="4">
        <v>46007.577608993059</v>
      </c>
      <c r="B612" s="5">
        <v>90346</v>
      </c>
      <c r="C612" s="5">
        <v>1005411005</v>
      </c>
      <c r="D612" s="5" t="s">
        <v>3166</v>
      </c>
      <c r="F612" s="5" t="s">
        <v>3167</v>
      </c>
      <c r="H612" s="5">
        <v>573146884534</v>
      </c>
      <c r="J612" s="5" t="s">
        <v>3168</v>
      </c>
      <c r="K612" s="5" t="s">
        <v>33</v>
      </c>
      <c r="L612" s="5" t="s">
        <v>34</v>
      </c>
      <c r="M612" s="5">
        <v>3146884534</v>
      </c>
      <c r="N612" s="6">
        <v>46007</v>
      </c>
      <c r="O612" s="7">
        <v>0.66666666666666663</v>
      </c>
      <c r="P612" s="5">
        <v>1</v>
      </c>
      <c r="Q612" s="5" t="s">
        <v>309</v>
      </c>
      <c r="R612" s="5">
        <v>80000</v>
      </c>
      <c r="S612" s="5">
        <v>0</v>
      </c>
      <c r="T612" s="5">
        <v>0</v>
      </c>
      <c r="U612" s="5">
        <v>80000</v>
      </c>
      <c r="V612" s="5" t="s">
        <v>3169</v>
      </c>
      <c r="W612" s="5" t="s">
        <v>36</v>
      </c>
      <c r="X612" s="5" t="s">
        <v>2636</v>
      </c>
      <c r="AA612" s="5" t="s">
        <v>69</v>
      </c>
      <c r="AC612" s="8" t="str">
        <f>HYPERLINK("https://drive.google.com/file/d/1QHYSM9V1v3cbXFIHpdjMcMIMme3x_58b/view?usp=drivesdk", "Abrir_Factura")</f>
        <v>Abrir_Factura</v>
      </c>
      <c r="AD612" s="9">
        <v>46007.723263888889</v>
      </c>
    </row>
    <row r="613" spans="1:30" ht="12.5">
      <c r="A613" s="4">
        <v>46007.592490057868</v>
      </c>
      <c r="B613" s="5">
        <v>90347</v>
      </c>
      <c r="C613" s="5">
        <v>1001817863</v>
      </c>
      <c r="D613" s="5" t="s">
        <v>2293</v>
      </c>
      <c r="F613" s="5" t="s">
        <v>3170</v>
      </c>
      <c r="H613" s="5">
        <v>573173688002</v>
      </c>
      <c r="J613" s="5" t="s">
        <v>3171</v>
      </c>
      <c r="K613" s="5" t="s">
        <v>185</v>
      </c>
      <c r="L613" s="5" t="s">
        <v>3172</v>
      </c>
      <c r="M613" s="5">
        <v>3173688002</v>
      </c>
      <c r="N613" s="6">
        <v>46007</v>
      </c>
      <c r="O613" s="7">
        <v>0.66666666666666663</v>
      </c>
      <c r="P613" s="5">
        <v>1</v>
      </c>
      <c r="Q613" s="5" t="s">
        <v>384</v>
      </c>
      <c r="R613" s="5">
        <v>180000</v>
      </c>
      <c r="S613" s="5">
        <v>0</v>
      </c>
      <c r="T613" s="5">
        <v>8000</v>
      </c>
      <c r="U613" s="5">
        <v>188000</v>
      </c>
      <c r="V613" s="5" t="s">
        <v>3173</v>
      </c>
      <c r="W613" s="5" t="s">
        <v>36</v>
      </c>
      <c r="X613" s="5" t="s">
        <v>83</v>
      </c>
      <c r="AA613" s="5" t="s">
        <v>69</v>
      </c>
      <c r="AC613" s="8" t="str">
        <f>HYPERLINK("https://drive.google.com/file/d/1KHlXndyjZfVRCwMZo7AObhB2ZbOj_YR5/view?usp=drivesdk", "Abrir_Factura")</f>
        <v>Abrir_Factura</v>
      </c>
      <c r="AD613" s="9">
        <v>46007.596817129626</v>
      </c>
    </row>
    <row r="614" spans="1:30" ht="12.5">
      <c r="A614" s="4">
        <v>46007.593280775458</v>
      </c>
      <c r="B614" s="5">
        <v>90348</v>
      </c>
      <c r="C614" s="5">
        <v>1001825854</v>
      </c>
      <c r="D614" s="5" t="s">
        <v>3174</v>
      </c>
      <c r="F614" s="5" t="s">
        <v>1855</v>
      </c>
      <c r="H614" s="5">
        <v>573008058839</v>
      </c>
      <c r="J614" s="5" t="s">
        <v>3175</v>
      </c>
      <c r="K614" s="5" t="s">
        <v>185</v>
      </c>
      <c r="L614" s="5" t="s">
        <v>3176</v>
      </c>
      <c r="M614" s="5">
        <v>3103544961</v>
      </c>
      <c r="N614" s="6">
        <v>46007</v>
      </c>
      <c r="O614" s="7">
        <v>0.66666666666666663</v>
      </c>
      <c r="P614" s="5">
        <v>1</v>
      </c>
      <c r="Q614" s="5" t="s">
        <v>50</v>
      </c>
      <c r="R614" s="5">
        <v>200000</v>
      </c>
      <c r="S614" s="5">
        <v>0</v>
      </c>
      <c r="T614" s="5">
        <v>8000</v>
      </c>
      <c r="U614" s="5">
        <v>208000</v>
      </c>
      <c r="V614" s="5" t="s">
        <v>3177</v>
      </c>
      <c r="W614" s="5" t="s">
        <v>36</v>
      </c>
      <c r="X614" s="5" t="s">
        <v>83</v>
      </c>
      <c r="AA614" s="5" t="s">
        <v>69</v>
      </c>
      <c r="AC614" s="8" t="str">
        <f>HYPERLINK("https://drive.google.com/file/d/1OV2VyIOvvCH9yqat_O-IoBk0RrtEGLFm/view?usp=drivesdk", "Abrir_Factura")</f>
        <v>Abrir_Factura</v>
      </c>
      <c r="AD614" s="9">
        <v>46007.598101851851</v>
      </c>
    </row>
    <row r="615" spans="1:30" ht="12.5">
      <c r="A615" s="4">
        <v>46007.572628981477</v>
      </c>
      <c r="B615" s="5">
        <v>90349</v>
      </c>
      <c r="C615" s="5">
        <v>1001779096</v>
      </c>
      <c r="D615" s="5" t="s">
        <v>3178</v>
      </c>
      <c r="F615" s="5" t="s">
        <v>3179</v>
      </c>
      <c r="H615" s="5">
        <v>573007823133</v>
      </c>
      <c r="J615" s="5" t="s">
        <v>3180</v>
      </c>
      <c r="K615" s="5" t="s">
        <v>124</v>
      </c>
      <c r="L615" s="5" t="s">
        <v>3181</v>
      </c>
      <c r="M615" s="5">
        <v>3225132334</v>
      </c>
      <c r="N615" s="6">
        <v>46008</v>
      </c>
      <c r="O615" s="7">
        <v>0.375</v>
      </c>
      <c r="P615" s="5">
        <v>1</v>
      </c>
      <c r="Q615" s="5" t="s">
        <v>178</v>
      </c>
      <c r="R615" s="5">
        <v>100000</v>
      </c>
      <c r="S615" s="5">
        <v>0</v>
      </c>
      <c r="T615" s="5">
        <v>12000</v>
      </c>
      <c r="U615" s="5">
        <v>112000</v>
      </c>
      <c r="V615" s="5" t="s">
        <v>3182</v>
      </c>
      <c r="W615" s="5" t="s">
        <v>36</v>
      </c>
      <c r="X615" s="5" t="s">
        <v>180</v>
      </c>
      <c r="AA615" s="5" t="s">
        <v>69</v>
      </c>
      <c r="AC615" s="8" t="str">
        <f>HYPERLINK("https://drive.google.com/file/d/1s5KOtdHeLuSeAHVRwP8CBNYvv0LJ7KyX/view?usp=drivesdk", "Abrir_Factura")</f>
        <v>Abrir_Factura</v>
      </c>
      <c r="AD615" s="9">
        <v>46007.605532407404</v>
      </c>
    </row>
    <row r="616" spans="1:30" ht="12.5">
      <c r="A616" s="4">
        <v>46007.623447453705</v>
      </c>
      <c r="B616" s="5">
        <v>90350</v>
      </c>
      <c r="C616" s="5">
        <v>1143448994</v>
      </c>
      <c r="D616" s="5" t="s">
        <v>480</v>
      </c>
      <c r="F616" s="5" t="s">
        <v>455</v>
      </c>
      <c r="H616" s="5">
        <v>573043190657</v>
      </c>
      <c r="J616" s="5" t="s">
        <v>3183</v>
      </c>
      <c r="K616" s="5" t="s">
        <v>33</v>
      </c>
      <c r="L616" s="5" t="s">
        <v>34</v>
      </c>
      <c r="M616" s="5">
        <v>3043190657</v>
      </c>
      <c r="N616" s="6">
        <v>46007</v>
      </c>
      <c r="O616" s="7">
        <v>0</v>
      </c>
      <c r="P616" s="5">
        <v>1</v>
      </c>
      <c r="Q616" s="5" t="s">
        <v>42</v>
      </c>
      <c r="R616" s="5">
        <v>36000</v>
      </c>
      <c r="S616" s="5">
        <v>0</v>
      </c>
      <c r="T616" s="5">
        <v>0</v>
      </c>
      <c r="U616" s="5">
        <v>36000</v>
      </c>
      <c r="W616" s="5" t="s">
        <v>36</v>
      </c>
      <c r="X616" s="5" t="s">
        <v>83</v>
      </c>
      <c r="AA616" s="5" t="s">
        <v>1717</v>
      </c>
      <c r="AC616" s="8" t="str">
        <f>HYPERLINK("https://drive.google.com/file/d/1dm1btrZ0b0w04nSnMwlwcrzM4gIgcLQR/view?usp=drivesdk", "Abrir_Factura")</f>
        <v>Abrir_Factura</v>
      </c>
      <c r="AD616" s="9">
        <v>46007.623854166668</v>
      </c>
    </row>
    <row r="617" spans="1:30" ht="12.5">
      <c r="A617" s="4">
        <v>46007.641653298611</v>
      </c>
      <c r="B617" s="5">
        <v>90351</v>
      </c>
      <c r="C617" s="5">
        <v>22507710</v>
      </c>
      <c r="D617" s="5" t="s">
        <v>3184</v>
      </c>
      <c r="F617" s="5" t="s">
        <v>3185</v>
      </c>
      <c r="H617" s="5">
        <v>573103905134</v>
      </c>
      <c r="J617" s="5" t="s">
        <v>3186</v>
      </c>
      <c r="K617" s="5" t="s">
        <v>33</v>
      </c>
      <c r="L617" s="5" t="s">
        <v>34</v>
      </c>
      <c r="M617" s="5">
        <v>3103905134</v>
      </c>
      <c r="N617" s="6">
        <v>46007</v>
      </c>
      <c r="O617" s="7">
        <v>0</v>
      </c>
      <c r="P617" s="5">
        <v>1</v>
      </c>
      <c r="Q617" s="5" t="s">
        <v>330</v>
      </c>
      <c r="R617" s="5">
        <v>180000</v>
      </c>
      <c r="S617" s="5">
        <v>0</v>
      </c>
      <c r="T617" s="5">
        <v>0</v>
      </c>
      <c r="U617" s="5">
        <v>180000</v>
      </c>
      <c r="W617" s="5" t="s">
        <v>36</v>
      </c>
      <c r="X617" s="5" t="s">
        <v>1705</v>
      </c>
      <c r="AA617" s="5" t="s">
        <v>1717</v>
      </c>
      <c r="AB617" s="10" t="s">
        <v>3187</v>
      </c>
      <c r="AC617" s="8" t="str">
        <f>HYPERLINK("https://drive.google.com/file/d/1yACqyebni28c__9h8GVxwroPR3ZV2VlU/view?usp=drivesdk", "Abrir_Factura")</f>
        <v>Abrir_Factura</v>
      </c>
      <c r="AD617" s="9">
        <v>46008.516053240739</v>
      </c>
    </row>
    <row r="618" spans="1:30" ht="12.5">
      <c r="A618" s="4">
        <v>46007.657693379631</v>
      </c>
      <c r="B618" s="5">
        <v>90352</v>
      </c>
      <c r="C618" s="5">
        <v>1043435727</v>
      </c>
      <c r="D618" s="5" t="s">
        <v>217</v>
      </c>
      <c r="F618" s="5" t="s">
        <v>3188</v>
      </c>
      <c r="H618" s="5">
        <v>5723900082</v>
      </c>
      <c r="J618" s="5" t="s">
        <v>3189</v>
      </c>
      <c r="K618" s="5" t="s">
        <v>33</v>
      </c>
      <c r="L618" s="5" t="s">
        <v>34</v>
      </c>
      <c r="M618" s="5">
        <v>23900082</v>
      </c>
      <c r="N618" s="6">
        <v>46007</v>
      </c>
      <c r="O618" s="7">
        <v>0</v>
      </c>
      <c r="P618" s="5">
        <v>1</v>
      </c>
      <c r="Q618" s="5" t="s">
        <v>178</v>
      </c>
      <c r="R618" s="5">
        <v>100000</v>
      </c>
      <c r="S618" s="5">
        <v>0</v>
      </c>
      <c r="T618" s="5">
        <v>0</v>
      </c>
      <c r="U618" s="5">
        <v>100000</v>
      </c>
      <c r="W618" s="5" t="s">
        <v>36</v>
      </c>
      <c r="X618" s="5" t="s">
        <v>2636</v>
      </c>
      <c r="AA618" s="5" t="s">
        <v>1717</v>
      </c>
      <c r="AC618" s="8" t="str">
        <f>HYPERLINK("https://drive.google.com/file/d/1WXj-Cge5gfTdFYplCs63zDCjyxtXjpwt/view?usp=drivesdk", "Abrir_Factura")</f>
        <v>Abrir_Factura</v>
      </c>
      <c r="AD618" s="9">
        <v>46007.660868055558</v>
      </c>
    </row>
    <row r="619" spans="1:30" ht="12.5">
      <c r="A619" s="4">
        <v>46007.654344421295</v>
      </c>
      <c r="B619" s="5">
        <v>90353</v>
      </c>
      <c r="C619" s="5">
        <v>1001886677</v>
      </c>
      <c r="D619" s="5" t="s">
        <v>3190</v>
      </c>
      <c r="F619" s="5" t="s">
        <v>3191</v>
      </c>
      <c r="H619" s="5">
        <v>573232203402</v>
      </c>
      <c r="J619" s="5" t="s">
        <v>3192</v>
      </c>
      <c r="K619" s="5" t="s">
        <v>265</v>
      </c>
      <c r="L619" s="5" t="s">
        <v>3193</v>
      </c>
      <c r="M619" s="5">
        <v>3046019990</v>
      </c>
      <c r="N619" s="6">
        <v>46007</v>
      </c>
      <c r="O619" s="7">
        <v>0</v>
      </c>
      <c r="P619" s="5">
        <v>1</v>
      </c>
      <c r="Q619" s="5" t="s">
        <v>309</v>
      </c>
      <c r="R619" s="5">
        <v>80000</v>
      </c>
      <c r="S619" s="5">
        <v>0</v>
      </c>
      <c r="T619" s="5">
        <v>17000</v>
      </c>
      <c r="U619" s="5">
        <v>97000</v>
      </c>
      <c r="V619" s="5" t="s">
        <v>3194</v>
      </c>
      <c r="W619" s="5" t="s">
        <v>36</v>
      </c>
      <c r="X619" s="5" t="s">
        <v>83</v>
      </c>
      <c r="AA619" s="5" t="s">
        <v>69</v>
      </c>
      <c r="AC619" s="8" t="str">
        <f>HYPERLINK("https://drive.google.com/file/d/1rSySAjoo9gSk0xs-6j0s4SuX2sj9pqZ_/view?usp=drivesdk", "Abrir_Factura")</f>
        <v>Abrir_Factura</v>
      </c>
      <c r="AD619" s="9">
        <v>46007.66746527778</v>
      </c>
    </row>
    <row r="620" spans="1:30" ht="12.5">
      <c r="A620" s="4">
        <v>46007.583902650462</v>
      </c>
      <c r="B620" s="5">
        <v>90354</v>
      </c>
      <c r="C620" s="5">
        <v>1129571250</v>
      </c>
      <c r="D620" s="5" t="s">
        <v>638</v>
      </c>
      <c r="F620" s="5" t="s">
        <v>2642</v>
      </c>
      <c r="H620" s="5">
        <v>573014886277</v>
      </c>
      <c r="J620" s="5" t="s">
        <v>115</v>
      </c>
      <c r="K620" s="5" t="s">
        <v>249</v>
      </c>
      <c r="L620" s="5" t="s">
        <v>3195</v>
      </c>
      <c r="M620" s="5">
        <v>3014886277</v>
      </c>
      <c r="N620" s="6">
        <v>46008</v>
      </c>
      <c r="O620" s="7">
        <v>0</v>
      </c>
      <c r="P620" s="5">
        <v>1</v>
      </c>
      <c r="Q620" s="5" t="s">
        <v>384</v>
      </c>
      <c r="R620" s="5">
        <v>180000</v>
      </c>
      <c r="S620" s="5">
        <v>0</v>
      </c>
      <c r="T620" s="5">
        <v>10000</v>
      </c>
      <c r="U620" s="5">
        <v>190000</v>
      </c>
      <c r="V620" s="5" t="s">
        <v>3196</v>
      </c>
      <c r="W620" s="5" t="s">
        <v>36</v>
      </c>
      <c r="X620" s="5" t="s">
        <v>83</v>
      </c>
      <c r="AA620" s="5" t="s">
        <v>44</v>
      </c>
      <c r="AB620" s="5"/>
      <c r="AC620" s="8" t="str">
        <f>HYPERLINK("https://drive.google.com/file/d/1TqQLCw5vDLAu0gdOhEO7at4IxSXNDMQV/view?usp=drivesdk", "Abrir_Factura")</f>
        <v>Abrir_Factura</v>
      </c>
      <c r="AD620" s="9">
        <v>46007.692847222221</v>
      </c>
    </row>
    <row r="621" spans="1:30" ht="12.5">
      <c r="A621" s="4">
        <v>46007.676361157406</v>
      </c>
      <c r="B621" s="5">
        <v>90355</v>
      </c>
      <c r="C621" s="5">
        <v>1010143625</v>
      </c>
      <c r="D621" s="5" t="s">
        <v>1369</v>
      </c>
      <c r="F621" s="5" t="s">
        <v>3197</v>
      </c>
      <c r="H621" s="5">
        <v>573014169863</v>
      </c>
      <c r="J621" s="5" t="s">
        <v>3198</v>
      </c>
      <c r="K621" s="5" t="s">
        <v>124</v>
      </c>
      <c r="L621" s="5" t="s">
        <v>3199</v>
      </c>
      <c r="M621" s="5">
        <v>3014169863</v>
      </c>
      <c r="N621" s="6">
        <v>46008</v>
      </c>
      <c r="O621" s="7">
        <v>0</v>
      </c>
      <c r="P621" s="5">
        <v>1</v>
      </c>
      <c r="Q621" s="5" t="s">
        <v>96</v>
      </c>
      <c r="R621" s="5">
        <v>220000</v>
      </c>
      <c r="S621" s="5">
        <v>0</v>
      </c>
      <c r="T621" s="5">
        <v>12000</v>
      </c>
      <c r="U621" s="5">
        <v>232000</v>
      </c>
      <c r="V621" s="5" t="s">
        <v>3200</v>
      </c>
      <c r="W621" s="5" t="s">
        <v>36</v>
      </c>
      <c r="X621" s="5" t="s">
        <v>83</v>
      </c>
      <c r="AA621" s="5" t="s">
        <v>44</v>
      </c>
      <c r="AB621" s="5" t="s">
        <v>3201</v>
      </c>
      <c r="AC621" s="8" t="str">
        <f>HYPERLINK("https://drive.google.com/file/d/1AxcnF1Q-zXpLxToqzlHFwKK6o-g6r-6G/view?usp=drivesdk","Abrir_Factura")</f>
        <v>Abrir_Factura</v>
      </c>
      <c r="AD621" s="9">
        <v>46007.680405092593</v>
      </c>
    </row>
    <row r="622" spans="1:30" ht="12.5">
      <c r="A622" s="4">
        <v>46007.682506076388</v>
      </c>
      <c r="B622" s="5">
        <v>90356</v>
      </c>
      <c r="C622" s="5">
        <v>72277652</v>
      </c>
      <c r="D622" s="5" t="s">
        <v>3202</v>
      </c>
      <c r="F622" s="5" t="s">
        <v>3203</v>
      </c>
      <c r="H622" s="5">
        <v>573007549322</v>
      </c>
      <c r="J622" s="5" t="s">
        <v>3204</v>
      </c>
      <c r="K622" s="5" t="s">
        <v>73</v>
      </c>
      <c r="L622" s="5" t="s">
        <v>3205</v>
      </c>
      <c r="M622" s="5">
        <v>3166923642</v>
      </c>
      <c r="N622" s="6">
        <v>46009</v>
      </c>
      <c r="O622" s="7">
        <v>0.375</v>
      </c>
      <c r="P622" s="5">
        <v>1</v>
      </c>
      <c r="Q622" s="5" t="s">
        <v>576</v>
      </c>
      <c r="R622" s="5">
        <v>120000</v>
      </c>
      <c r="S622" s="5">
        <v>0</v>
      </c>
      <c r="T622" s="5">
        <v>8000</v>
      </c>
      <c r="U622" s="5">
        <v>128000</v>
      </c>
      <c r="V622" s="5" t="s">
        <v>3206</v>
      </c>
      <c r="W622" s="5" t="s">
        <v>36</v>
      </c>
      <c r="X622" s="5" t="s">
        <v>83</v>
      </c>
      <c r="Z622" s="5"/>
      <c r="AA622" s="5" t="s">
        <v>44</v>
      </c>
      <c r="AB622" s="5" t="s">
        <v>3207</v>
      </c>
      <c r="AC622" s="8" t="str">
        <f>HYPERLINK("https://drive.google.com/file/d/1EZJ9yoY5byf29bGH4jYqTQtg1toe_u-y/view?usp=drivesdk", "Abrir_Factura")</f>
        <v>Abrir_Factura</v>
      </c>
      <c r="AD622" s="9">
        <v>46007.703321759262</v>
      </c>
    </row>
    <row r="623" spans="1:30" ht="12.5">
      <c r="A623" s="4">
        <v>46007.700407407407</v>
      </c>
      <c r="B623" s="5">
        <v>90357</v>
      </c>
      <c r="C623" s="5">
        <v>1143117163</v>
      </c>
      <c r="D623" s="5" t="s">
        <v>3208</v>
      </c>
      <c r="F623" s="5" t="s">
        <v>3209</v>
      </c>
      <c r="H623" s="5">
        <v>573155420020</v>
      </c>
      <c r="J623" s="5" t="s">
        <v>3210</v>
      </c>
      <c r="K623" s="5" t="s">
        <v>2007</v>
      </c>
      <c r="L623" s="5" t="s">
        <v>3211</v>
      </c>
      <c r="M623" s="10" t="s">
        <v>1285</v>
      </c>
      <c r="N623" s="6">
        <v>46007</v>
      </c>
      <c r="O623" s="7">
        <v>0.75</v>
      </c>
      <c r="P623" s="5">
        <v>1</v>
      </c>
      <c r="Q623" s="5" t="s">
        <v>50</v>
      </c>
      <c r="R623" s="5">
        <v>200000</v>
      </c>
      <c r="S623" s="5">
        <v>0</v>
      </c>
      <c r="T623" s="5">
        <v>12000</v>
      </c>
      <c r="U623" s="5">
        <v>212000</v>
      </c>
      <c r="V623" s="5" t="s">
        <v>3212</v>
      </c>
      <c r="W623" s="5" t="s">
        <v>36</v>
      </c>
      <c r="X623" s="5" t="s">
        <v>1937</v>
      </c>
      <c r="AA623" s="5" t="s">
        <v>44</v>
      </c>
      <c r="AC623" s="8" t="str">
        <f>HYPERLINK("https://drive.google.com/file/d/1uWhUB8_r6QxX5EZJs8VqS1jbMQ-2vokU/view?usp=drivesdk", "Abrir_Factura")</f>
        <v>Abrir_Factura</v>
      </c>
      <c r="AD623" s="9">
        <v>46007.701655092591</v>
      </c>
    </row>
    <row r="624" spans="1:30" ht="12.5">
      <c r="A624" s="4">
        <v>46007.738513391203</v>
      </c>
      <c r="B624" s="5">
        <v>90358</v>
      </c>
      <c r="C624" s="5">
        <v>1140879632</v>
      </c>
      <c r="D624" s="5" t="s">
        <v>3213</v>
      </c>
      <c r="F624" s="5" t="s">
        <v>3214</v>
      </c>
      <c r="H624" s="5">
        <v>573212170032</v>
      </c>
      <c r="J624" s="5" t="s">
        <v>3215</v>
      </c>
      <c r="K624" s="5" t="s">
        <v>33</v>
      </c>
      <c r="L624" s="5" t="s">
        <v>34</v>
      </c>
      <c r="M624" s="5">
        <v>3212170032</v>
      </c>
      <c r="N624" s="6">
        <v>46060</v>
      </c>
      <c r="O624" s="7">
        <v>0</v>
      </c>
      <c r="P624" s="5">
        <v>1</v>
      </c>
      <c r="Q624" s="5" t="s">
        <v>42</v>
      </c>
      <c r="R624" s="5">
        <v>120000</v>
      </c>
      <c r="S624" s="5">
        <v>0</v>
      </c>
      <c r="T624" s="5">
        <v>0</v>
      </c>
      <c r="U624" s="5">
        <v>120000</v>
      </c>
      <c r="W624" s="5" t="s">
        <v>36</v>
      </c>
      <c r="X624" s="5" t="s">
        <v>83</v>
      </c>
      <c r="AA624" s="5" t="s">
        <v>69</v>
      </c>
      <c r="AB624" s="5" t="s">
        <v>3216</v>
      </c>
      <c r="AC624" s="8" t="str">
        <f>HYPERLINK("https://drive.google.com/file/d/1T-dTHkpWa4TevskRICNCb8h4V_OebXsv/view?usp=drivesdk", "Abrir_Factura")</f>
        <v>Abrir_Factura</v>
      </c>
      <c r="AD624" s="9">
        <v>46007.741365740738</v>
      </c>
    </row>
    <row r="625" spans="1:30" ht="12.5">
      <c r="A625" s="4">
        <v>46007.747827812505</v>
      </c>
      <c r="B625" s="5">
        <v>90359</v>
      </c>
      <c r="C625" s="5">
        <v>72358365</v>
      </c>
      <c r="D625" s="5" t="s">
        <v>3217</v>
      </c>
      <c r="F625" s="5" t="s">
        <v>1563</v>
      </c>
      <c r="H625" s="5">
        <v>573017795556</v>
      </c>
      <c r="J625" s="5" t="s">
        <v>3218</v>
      </c>
      <c r="K625" s="5" t="s">
        <v>33</v>
      </c>
      <c r="L625" s="5" t="s">
        <v>34</v>
      </c>
      <c r="M625" s="5" t="s">
        <v>3219</v>
      </c>
      <c r="N625" s="6">
        <v>46007</v>
      </c>
      <c r="O625" s="7">
        <v>0</v>
      </c>
      <c r="P625" s="5">
        <v>1</v>
      </c>
      <c r="Q625" s="5" t="s">
        <v>251</v>
      </c>
      <c r="R625" s="5">
        <v>170000</v>
      </c>
      <c r="S625" s="5">
        <v>0</v>
      </c>
      <c r="T625" s="5">
        <v>0</v>
      </c>
      <c r="U625" s="5">
        <v>170000</v>
      </c>
      <c r="W625" s="5" t="s">
        <v>36</v>
      </c>
      <c r="X625" s="5" t="s">
        <v>2438</v>
      </c>
      <c r="AA625" s="5" t="s">
        <v>44</v>
      </c>
      <c r="AC625" s="8" t="str">
        <f>HYPERLINK("https://drive.google.com/file/d/14FWfwBJJP57Wf8r08gMKqL8Cpb19dc9V/view?usp=drivesdk", "Abrir_Factura")</f>
        <v>Abrir_Factura</v>
      </c>
      <c r="AD625" s="9">
        <v>46007.748356481483</v>
      </c>
    </row>
    <row r="626" spans="1:30" ht="12.5">
      <c r="A626" s="4">
        <v>46008.299862430555</v>
      </c>
      <c r="B626" s="5">
        <v>90360</v>
      </c>
      <c r="C626" s="5">
        <v>0</v>
      </c>
      <c r="D626" s="5" t="s">
        <v>1231</v>
      </c>
      <c r="F626" s="5" t="s">
        <v>2407</v>
      </c>
      <c r="H626" s="5">
        <v>57000</v>
      </c>
      <c r="J626" s="5" t="s">
        <v>1231</v>
      </c>
      <c r="K626" s="5" t="s">
        <v>33</v>
      </c>
      <c r="L626" s="5" t="s">
        <v>34</v>
      </c>
      <c r="N626" s="6">
        <v>46022</v>
      </c>
      <c r="O626" s="7">
        <v>0.58333333333333337</v>
      </c>
      <c r="P626" s="5">
        <v>1</v>
      </c>
      <c r="Q626" s="5" t="s">
        <v>3220</v>
      </c>
      <c r="R626" s="5">
        <v>0</v>
      </c>
      <c r="S626" s="5">
        <v>0</v>
      </c>
      <c r="T626" s="5">
        <v>0</v>
      </c>
      <c r="U626" s="5">
        <v>0</v>
      </c>
      <c r="W626" s="5" t="s">
        <v>36</v>
      </c>
      <c r="X626" s="5" t="s">
        <v>43</v>
      </c>
      <c r="AA626" s="5" t="s">
        <v>44</v>
      </c>
      <c r="AC626" s="8" t="str">
        <f>HYPERLINK("https://drive.google.com/file/d/1q9RM-vuscoDjUuW1ty3La9LycI8Xvj5i/view?usp=drivesdk", "Abrir_Factura")</f>
        <v>Abrir_Factura</v>
      </c>
      <c r="AD626" s="9">
        <v>46008.301608796297</v>
      </c>
    </row>
    <row r="627" spans="1:30" ht="12.5">
      <c r="A627" s="4">
        <v>46008.30322021991</v>
      </c>
      <c r="B627" s="5">
        <v>90361</v>
      </c>
      <c r="C627" s="5">
        <v>0</v>
      </c>
      <c r="D627" s="5" t="s">
        <v>1231</v>
      </c>
      <c r="F627" s="5" t="s">
        <v>3221</v>
      </c>
      <c r="H627" s="5" t="s">
        <v>25421</v>
      </c>
      <c r="J627" s="5" t="s">
        <v>1231</v>
      </c>
      <c r="K627" s="5" t="s">
        <v>33</v>
      </c>
      <c r="L627" s="5" t="s">
        <v>34</v>
      </c>
      <c r="N627" s="6">
        <v>46009</v>
      </c>
      <c r="O627" s="7">
        <v>0.35416666666666669</v>
      </c>
      <c r="P627" s="5">
        <v>1</v>
      </c>
      <c r="Q627" s="5" t="s">
        <v>3222</v>
      </c>
      <c r="R627" s="5">
        <v>0</v>
      </c>
      <c r="S627" s="5">
        <v>0</v>
      </c>
      <c r="T627" s="5">
        <v>0</v>
      </c>
      <c r="U627" s="5">
        <v>0</v>
      </c>
      <c r="W627" s="5" t="s">
        <v>36</v>
      </c>
      <c r="X627" s="5" t="s">
        <v>43</v>
      </c>
      <c r="AA627" s="5" t="s">
        <v>44</v>
      </c>
      <c r="AC627" s="8" t="str">
        <f>HYPERLINK("https://drive.google.com/file/d/1JyPLJ1NAnFPzYPEBROlVxRqKLXfB99Z4/view?usp=drivesdk", "Abrir_Factura")</f>
        <v>Abrir_Factura</v>
      </c>
      <c r="AD627" s="9">
        <v>46008.304097222222</v>
      </c>
    </row>
    <row r="628" spans="1:30" ht="12.5">
      <c r="A628" s="4">
        <v>46008.309726215273</v>
      </c>
      <c r="B628" s="5">
        <v>90362</v>
      </c>
      <c r="C628" s="5">
        <v>1007781170</v>
      </c>
      <c r="D628" s="5" t="s">
        <v>3223</v>
      </c>
      <c r="F628" s="5" t="s">
        <v>3223</v>
      </c>
      <c r="H628" s="5">
        <v>573104168887</v>
      </c>
      <c r="J628" s="5" t="s">
        <v>3224</v>
      </c>
      <c r="K628" s="5" t="s">
        <v>103</v>
      </c>
      <c r="L628" s="5" t="s">
        <v>3225</v>
      </c>
      <c r="N628" s="6">
        <v>46008</v>
      </c>
      <c r="O628" s="7">
        <v>0.41666666666666669</v>
      </c>
      <c r="P628" s="5">
        <v>1</v>
      </c>
      <c r="Q628" s="5" t="s">
        <v>380</v>
      </c>
      <c r="R628" s="5">
        <v>300000</v>
      </c>
      <c r="S628" s="5">
        <v>0</v>
      </c>
      <c r="T628" s="5">
        <v>10000</v>
      </c>
      <c r="U628" s="5">
        <v>310000</v>
      </c>
      <c r="V628" s="5" t="s">
        <v>3226</v>
      </c>
      <c r="W628" s="5" t="s">
        <v>36</v>
      </c>
      <c r="X628" s="5" t="s">
        <v>83</v>
      </c>
      <c r="AA628" s="5" t="s">
        <v>69</v>
      </c>
      <c r="AC628" s="8" t="str">
        <f>HYPERLINK("https://drive.google.com/file/d/1nOuSh8dVgcTSxABXpapVtzpcOXOXGofT/view?usp=drivesdk", "Abrir_Factura")</f>
        <v>Abrir_Factura</v>
      </c>
      <c r="AD628" s="9">
        <v>46008.310324074075</v>
      </c>
    </row>
    <row r="629" spans="1:30" ht="12.5">
      <c r="A629" s="4">
        <v>46008.315180659723</v>
      </c>
      <c r="B629" s="5">
        <v>90363</v>
      </c>
      <c r="C629" s="5">
        <v>8837040</v>
      </c>
      <c r="D629" s="5" t="s">
        <v>3227</v>
      </c>
      <c r="F629" s="5" t="s">
        <v>3228</v>
      </c>
      <c r="H629" s="5">
        <v>17542692153</v>
      </c>
      <c r="J629" s="5" t="s">
        <v>3229</v>
      </c>
      <c r="K629" s="5" t="s">
        <v>33</v>
      </c>
      <c r="L629" s="5" t="s">
        <v>34</v>
      </c>
      <c r="M629" s="5" t="s">
        <v>25421</v>
      </c>
      <c r="N629" s="6">
        <v>46008</v>
      </c>
      <c r="O629" s="7">
        <v>0.45833333333333331</v>
      </c>
      <c r="P629" s="5">
        <v>1</v>
      </c>
      <c r="Q629" s="5" t="s">
        <v>50</v>
      </c>
      <c r="R629" s="5">
        <v>200000</v>
      </c>
      <c r="S629" s="5">
        <v>0</v>
      </c>
      <c r="T629" s="5">
        <v>0</v>
      </c>
      <c r="U629" s="5">
        <v>200000</v>
      </c>
      <c r="W629" s="5" t="s">
        <v>36</v>
      </c>
      <c r="X629" s="5" t="s">
        <v>2636</v>
      </c>
      <c r="AA629" s="5" t="s">
        <v>44</v>
      </c>
      <c r="AC629" s="8" t="str">
        <f>HYPERLINK("https://drive.google.com/file/d/1OfWrTLJk7AMCpNHIXUbBMXlmKdK6n4Rn/view?usp=drivesdk", "Abrir_Factura")</f>
        <v>Abrir_Factura</v>
      </c>
      <c r="AD629" s="9">
        <v>46008.752766203703</v>
      </c>
    </row>
    <row r="630" spans="1:30" ht="12.5">
      <c r="A630" s="4">
        <v>46007.584663113426</v>
      </c>
      <c r="B630" s="5">
        <v>90364</v>
      </c>
      <c r="C630" s="5">
        <v>1140873771</v>
      </c>
      <c r="D630" s="5" t="s">
        <v>3230</v>
      </c>
      <c r="F630" s="5" t="s">
        <v>3231</v>
      </c>
      <c r="H630" s="5">
        <v>574113</v>
      </c>
      <c r="J630" s="5" t="s">
        <v>3232</v>
      </c>
      <c r="K630" s="5" t="s">
        <v>103</v>
      </c>
      <c r="L630" s="5" t="s">
        <v>3233</v>
      </c>
      <c r="M630" s="5">
        <v>3006388115</v>
      </c>
      <c r="N630" s="6">
        <v>46008</v>
      </c>
      <c r="O630" s="7">
        <v>0.75</v>
      </c>
      <c r="P630" s="5">
        <v>1</v>
      </c>
      <c r="Q630" s="5" t="s">
        <v>3234</v>
      </c>
      <c r="R630" s="5">
        <v>150000</v>
      </c>
      <c r="S630" s="5">
        <v>0</v>
      </c>
      <c r="T630" s="5">
        <v>10000</v>
      </c>
      <c r="U630" s="5">
        <v>160000</v>
      </c>
      <c r="V630" s="5" t="s">
        <v>3235</v>
      </c>
      <c r="W630" s="5" t="s">
        <v>36</v>
      </c>
      <c r="X630" s="5" t="s">
        <v>83</v>
      </c>
      <c r="AA630" s="5" t="s">
        <v>69</v>
      </c>
      <c r="AB630" s="5" t="s">
        <v>3236</v>
      </c>
      <c r="AC630" s="8" t="str">
        <f>HYPERLINK("https://drive.google.com/file/d/1khQ9GFcL1puIw5IsE_egf10cYTvFTwZh/view?usp=drivesdk", "Abrir_Factura")</f>
        <v>Abrir_Factura</v>
      </c>
      <c r="AD630" s="9">
        <v>46008.359247685185</v>
      </c>
    </row>
    <row r="631" spans="1:30" ht="12.5">
      <c r="A631" s="4">
        <v>46008.35427708333</v>
      </c>
      <c r="B631" s="5">
        <v>90365</v>
      </c>
      <c r="C631" s="5">
        <v>1004110016</v>
      </c>
      <c r="D631" s="5" t="s">
        <v>70</v>
      </c>
      <c r="F631" s="5" t="s">
        <v>3237</v>
      </c>
      <c r="H631" s="5">
        <v>573016816328</v>
      </c>
      <c r="J631" s="5" t="s">
        <v>3238</v>
      </c>
      <c r="K631" s="5" t="s">
        <v>103</v>
      </c>
      <c r="L631" s="5" t="s">
        <v>3239</v>
      </c>
      <c r="M631" s="5">
        <v>3012219835</v>
      </c>
      <c r="N631" s="6">
        <v>46008</v>
      </c>
      <c r="O631" s="7">
        <v>0.41666666666666669</v>
      </c>
      <c r="P631" s="5">
        <v>1</v>
      </c>
      <c r="Q631" s="5" t="s">
        <v>75</v>
      </c>
      <c r="R631" s="5">
        <v>70000</v>
      </c>
      <c r="S631" s="5">
        <v>0</v>
      </c>
      <c r="T631" s="5">
        <v>10000</v>
      </c>
      <c r="U631" s="5">
        <v>80000</v>
      </c>
      <c r="V631" s="5" t="s">
        <v>3240</v>
      </c>
      <c r="W631" s="5" t="s">
        <v>36</v>
      </c>
      <c r="X631" s="5" t="s">
        <v>83</v>
      </c>
      <c r="AA631" s="5" t="s">
        <v>44</v>
      </c>
      <c r="AC631" s="8" t="str">
        <f>HYPERLINK("https://drive.google.com/file/d/1zL1udsWqTKbJADEYOtto1Dj4nhDZu0Yg/view?usp=drivesdk","Abrir_Factura")</f>
        <v>Abrir_Factura</v>
      </c>
      <c r="AD631" s="9">
        <v>46008.360462962963</v>
      </c>
    </row>
    <row r="632" spans="1:30" ht="12.5">
      <c r="A632" s="4">
        <v>46008.360556828702</v>
      </c>
      <c r="B632" s="5">
        <v>90366</v>
      </c>
      <c r="C632" s="5">
        <v>1045747165</v>
      </c>
      <c r="D632" s="5" t="s">
        <v>480</v>
      </c>
      <c r="F632" s="5" t="s">
        <v>3241</v>
      </c>
      <c r="H632" s="5">
        <v>19549809669</v>
      </c>
      <c r="J632" s="5" t="s">
        <v>3242</v>
      </c>
      <c r="K632" s="5" t="s">
        <v>161</v>
      </c>
      <c r="L632" s="5" t="s">
        <v>3243</v>
      </c>
      <c r="M632" s="5" t="s">
        <v>25421</v>
      </c>
      <c r="N632" s="6">
        <v>46010</v>
      </c>
      <c r="O632" s="7">
        <v>0.33333333333333331</v>
      </c>
      <c r="P632" s="5">
        <v>1</v>
      </c>
      <c r="Q632" s="5" t="s">
        <v>187</v>
      </c>
      <c r="R632" s="5">
        <v>200000</v>
      </c>
      <c r="S632" s="5">
        <v>0</v>
      </c>
      <c r="T632" s="5">
        <v>8000</v>
      </c>
      <c r="U632" s="5">
        <v>208000</v>
      </c>
      <c r="V632" s="5" t="s">
        <v>3244</v>
      </c>
      <c r="W632" s="5" t="s">
        <v>36</v>
      </c>
      <c r="X632" s="5" t="s">
        <v>83</v>
      </c>
      <c r="AA632" s="5" t="s">
        <v>44</v>
      </c>
      <c r="AC632" s="8" t="str">
        <f>HYPERLINK("https://drive.google.com/file/d/1pOqH_F5HLVFM3zyLXOqmC5zzP0mX4MRj/view?usp=drivesdk", "Abrir_Factura")</f>
        <v>Abrir_Factura</v>
      </c>
      <c r="AD632" s="9">
        <v>46008.366284722222</v>
      </c>
    </row>
    <row r="633" spans="1:30" ht="12.5">
      <c r="A633" s="4">
        <v>46008.383770775465</v>
      </c>
      <c r="B633" s="5">
        <v>90367</v>
      </c>
      <c r="C633" s="5">
        <v>84091291</v>
      </c>
      <c r="D633" s="5" t="s">
        <v>3245</v>
      </c>
      <c r="F633" s="5" t="s">
        <v>455</v>
      </c>
      <c r="H633" s="5">
        <v>573002004812</v>
      </c>
      <c r="J633" s="5" t="s">
        <v>3246</v>
      </c>
      <c r="K633" s="5" t="s">
        <v>1317</v>
      </c>
      <c r="L633" s="5" t="s">
        <v>3247</v>
      </c>
      <c r="M633" s="5">
        <v>3016502385</v>
      </c>
      <c r="N633" s="6">
        <v>46008</v>
      </c>
      <c r="O633" s="7">
        <v>0.45833333333333331</v>
      </c>
      <c r="P633" s="5">
        <v>1</v>
      </c>
      <c r="Q633" s="5" t="s">
        <v>3248</v>
      </c>
      <c r="R633" s="5">
        <v>350000</v>
      </c>
      <c r="S633" s="5">
        <v>0</v>
      </c>
      <c r="T633" s="5">
        <v>12000</v>
      </c>
      <c r="U633" s="5">
        <v>362000</v>
      </c>
      <c r="V633" s="5" t="s">
        <v>3249</v>
      </c>
      <c r="W633" s="5" t="s">
        <v>36</v>
      </c>
      <c r="X633" s="5" t="s">
        <v>83</v>
      </c>
      <c r="AA633" s="5" t="s">
        <v>44</v>
      </c>
      <c r="AB633" s="5" t="s">
        <v>3250</v>
      </c>
      <c r="AC633" s="8" t="str">
        <f>HYPERLINK("https://drive.google.com/file/d/1H86FdWvObs4itSXDm80W91FHPREsv15q/view?usp=drivesdk", "Abrir_Factura")</f>
        <v>Abrir_Factura</v>
      </c>
      <c r="AD633" s="9">
        <v>46008.390416666669</v>
      </c>
    </row>
    <row r="634" spans="1:30" ht="12.5">
      <c r="A634" s="4">
        <v>46008.408131863427</v>
      </c>
      <c r="B634" s="5">
        <v>90368</v>
      </c>
      <c r="C634" s="5">
        <v>1234097133</v>
      </c>
      <c r="D634" s="5" t="s">
        <v>165</v>
      </c>
      <c r="F634" s="5" t="s">
        <v>166</v>
      </c>
      <c r="H634" s="5">
        <v>573209485304</v>
      </c>
      <c r="J634" s="5" t="s">
        <v>167</v>
      </c>
      <c r="K634" s="5" t="s">
        <v>33</v>
      </c>
      <c r="L634" s="5" t="s">
        <v>34</v>
      </c>
      <c r="M634" s="5">
        <v>3209485304</v>
      </c>
      <c r="N634" s="6">
        <v>46009</v>
      </c>
      <c r="O634" s="7">
        <v>0.45833333333333331</v>
      </c>
      <c r="P634" s="5">
        <v>1</v>
      </c>
      <c r="Q634" s="5" t="s">
        <v>1610</v>
      </c>
      <c r="R634" s="5">
        <v>250000</v>
      </c>
      <c r="S634" s="5">
        <v>0</v>
      </c>
      <c r="T634" s="5">
        <v>0</v>
      </c>
      <c r="U634" s="5">
        <v>250000</v>
      </c>
      <c r="W634" s="5" t="s">
        <v>36</v>
      </c>
      <c r="X634" s="5" t="s">
        <v>83</v>
      </c>
      <c r="AA634" s="5" t="s">
        <v>44</v>
      </c>
      <c r="AB634" s="5" t="s">
        <v>3251</v>
      </c>
      <c r="AC634" s="8" t="str">
        <f>HYPERLINK("https://drive.google.com/file/d/1eWvRAj1rir6OYE0So9vMdT8xkkC4ymcS/view?usp=drivesdk", "Abrir_Factura")</f>
        <v>Abrir_Factura</v>
      </c>
      <c r="AD634" s="9">
        <v>46008.412418981483</v>
      </c>
    </row>
    <row r="635" spans="1:30" ht="12.5">
      <c r="A635" s="4">
        <v>46008.404003344913</v>
      </c>
      <c r="B635" s="5">
        <v>90369</v>
      </c>
      <c r="C635" s="5">
        <v>1140834384</v>
      </c>
      <c r="D635" s="5" t="s">
        <v>3252</v>
      </c>
      <c r="F635" s="5" t="s">
        <v>1683</v>
      </c>
      <c r="H635" s="5">
        <v>573005073158</v>
      </c>
      <c r="J635" s="5" t="s">
        <v>3253</v>
      </c>
      <c r="K635" s="5" t="s">
        <v>73</v>
      </c>
      <c r="L635" s="5" t="s">
        <v>3254</v>
      </c>
      <c r="M635" s="5">
        <v>3013416625</v>
      </c>
      <c r="N635" s="6">
        <v>46008</v>
      </c>
      <c r="O635" s="7">
        <v>0.47916666666666669</v>
      </c>
      <c r="P635" s="5">
        <v>1</v>
      </c>
      <c r="Q635" s="5" t="s">
        <v>75</v>
      </c>
      <c r="R635" s="5">
        <v>70000</v>
      </c>
      <c r="S635" s="5">
        <v>0</v>
      </c>
      <c r="T635" s="5">
        <v>8000</v>
      </c>
      <c r="U635" s="5">
        <v>78000</v>
      </c>
      <c r="V635" s="5" t="s">
        <v>3255</v>
      </c>
      <c r="W635" s="5" t="s">
        <v>36</v>
      </c>
      <c r="X635" s="5" t="s">
        <v>83</v>
      </c>
      <c r="AA635" s="5" t="s">
        <v>44</v>
      </c>
      <c r="AB635" s="5" t="s">
        <v>3256</v>
      </c>
      <c r="AC635" s="8" t="str">
        <f>HYPERLINK("https://drive.google.com/file/d/1cu-OGapcrxVALS8t9IH0P52VV2-0iZJR/view?usp=drivesdk","Abrir_Factura")</f>
        <v>Abrir_Factura</v>
      </c>
      <c r="AD635" s="9">
        <v>46008.4140162037</v>
      </c>
    </row>
    <row r="636" spans="1:30" ht="12.5">
      <c r="A636" s="4">
        <v>46008.413958749996</v>
      </c>
      <c r="B636" s="5">
        <v>90370</v>
      </c>
      <c r="C636" s="5">
        <v>55223981</v>
      </c>
      <c r="D636" s="5" t="s">
        <v>1602</v>
      </c>
      <c r="F636" s="5" t="s">
        <v>1924</v>
      </c>
      <c r="H636" s="5">
        <v>573153539732</v>
      </c>
      <c r="J636" s="5" t="s">
        <v>3257</v>
      </c>
      <c r="L636" s="5" t="s">
        <v>3258</v>
      </c>
      <c r="M636" s="5">
        <v>3153539732</v>
      </c>
      <c r="N636" s="6">
        <v>46008</v>
      </c>
      <c r="O636" s="7">
        <v>0</v>
      </c>
      <c r="P636" s="5">
        <v>1</v>
      </c>
      <c r="Q636" s="5" t="s">
        <v>42</v>
      </c>
      <c r="R636" s="5">
        <v>150000</v>
      </c>
      <c r="S636" s="5">
        <v>0</v>
      </c>
      <c r="T636" s="5"/>
      <c r="U636" s="5">
        <v>150000</v>
      </c>
      <c r="W636" s="5" t="s">
        <v>36</v>
      </c>
      <c r="X636" s="5" t="s">
        <v>2636</v>
      </c>
      <c r="AA636" s="5" t="s">
        <v>44</v>
      </c>
      <c r="AC636" s="8" t="str">
        <f>HYPERLINK("https://drive.google.com/file/d/1akhpSV0dvrMIwWZ19KST3XGk3EWX0Lqx/view?usp=drivesdk", "Abrir_Factura")</f>
        <v>Abrir_Factura</v>
      </c>
      <c r="AD636" s="9">
        <v>46008.415312500001</v>
      </c>
    </row>
    <row r="637" spans="1:30" ht="12.5">
      <c r="A637" s="4">
        <v>46008.320283472218</v>
      </c>
      <c r="B637" s="5">
        <v>90371</v>
      </c>
      <c r="C637" s="5">
        <v>1119840584</v>
      </c>
      <c r="D637" s="5" t="s">
        <v>3259</v>
      </c>
      <c r="F637" s="5" t="s">
        <v>3260</v>
      </c>
      <c r="H637" s="5">
        <v>573182969868</v>
      </c>
      <c r="J637" s="5" t="s">
        <v>3261</v>
      </c>
      <c r="K637" s="5" t="s">
        <v>401</v>
      </c>
      <c r="L637" s="5" t="s">
        <v>3262</v>
      </c>
      <c r="M637" s="5">
        <v>3182969868</v>
      </c>
      <c r="N637" s="6">
        <v>46010</v>
      </c>
      <c r="O637" s="7">
        <v>0.35416666666666669</v>
      </c>
      <c r="P637" s="5">
        <v>1</v>
      </c>
      <c r="Q637" s="5" t="s">
        <v>42</v>
      </c>
      <c r="R637" s="5">
        <v>120000</v>
      </c>
      <c r="S637" s="5">
        <v>0</v>
      </c>
      <c r="T637" s="5">
        <v>12000</v>
      </c>
      <c r="U637" s="5">
        <v>132000</v>
      </c>
      <c r="V637" s="5" t="s">
        <v>3263</v>
      </c>
      <c r="W637" s="5" t="s">
        <v>36</v>
      </c>
      <c r="X637" s="5" t="s">
        <v>83</v>
      </c>
      <c r="AA637" s="5" t="s">
        <v>69</v>
      </c>
      <c r="AC637" s="8" t="str">
        <f>HYPERLINK("https://drive.google.com/file/d/1V700GDxjKvcBlINVCumUlhTaqOaeox_h/view?usp=drivesdk","Abrir_Factura")</f>
        <v>Abrir_Factura</v>
      </c>
      <c r="AD637" s="9">
        <v>46008.438032407408</v>
      </c>
    </row>
    <row r="638" spans="1:30" ht="12.5">
      <c r="A638" s="4">
        <v>46008.433990405094</v>
      </c>
      <c r="B638" s="5">
        <v>90372</v>
      </c>
      <c r="C638" s="5">
        <v>1082965084</v>
      </c>
      <c r="D638" s="5" t="s">
        <v>3264</v>
      </c>
      <c r="F638" s="5" t="s">
        <v>3265</v>
      </c>
      <c r="H638" s="5">
        <v>573007241820</v>
      </c>
      <c r="J638" s="5" t="s">
        <v>3266</v>
      </c>
      <c r="K638" s="5" t="s">
        <v>3267</v>
      </c>
      <c r="L638" s="5" t="s">
        <v>3268</v>
      </c>
      <c r="M638" s="5">
        <v>3007241820</v>
      </c>
      <c r="N638" s="6">
        <v>46008</v>
      </c>
      <c r="O638" s="7">
        <v>0</v>
      </c>
      <c r="P638" s="5">
        <v>1</v>
      </c>
      <c r="Q638" s="5" t="s">
        <v>65</v>
      </c>
      <c r="R638" s="5">
        <v>70000</v>
      </c>
      <c r="S638" s="5">
        <v>0</v>
      </c>
      <c r="T638" s="5">
        <v>16000</v>
      </c>
      <c r="U638" s="5">
        <v>86000</v>
      </c>
      <c r="V638" s="5" t="s">
        <v>3269</v>
      </c>
      <c r="W638" s="5" t="s">
        <v>36</v>
      </c>
      <c r="X638" s="5" t="s">
        <v>83</v>
      </c>
      <c r="AA638" s="5" t="s">
        <v>69</v>
      </c>
      <c r="AB638" s="5" t="s">
        <v>3270</v>
      </c>
      <c r="AC638" s="8" t="str">
        <f>HYPERLINK("https://drive.google.com/file/d/1me4Wv0hfR0mswK5rkCikDNGPQARNwOF3/view?usp=drivesdk", "Abrir_Factura")</f>
        <v>Abrir_Factura</v>
      </c>
      <c r="AD638" s="9">
        <v>46008.442604166667</v>
      </c>
    </row>
    <row r="639" spans="1:30" ht="12.5">
      <c r="A639" s="4">
        <v>46008.431353402775</v>
      </c>
      <c r="B639" s="5">
        <v>90373</v>
      </c>
      <c r="C639" s="5">
        <v>1045736536</v>
      </c>
      <c r="D639" s="5" t="s">
        <v>1369</v>
      </c>
      <c r="F639" s="5" t="s">
        <v>3271</v>
      </c>
      <c r="H639" s="5">
        <v>573013499354</v>
      </c>
      <c r="J639" s="5" t="s">
        <v>3272</v>
      </c>
      <c r="K639" s="5" t="s">
        <v>405</v>
      </c>
      <c r="L639" s="5" t="s">
        <v>3273</v>
      </c>
      <c r="M639" s="5">
        <v>3014794374</v>
      </c>
      <c r="N639" s="6">
        <v>46008</v>
      </c>
      <c r="O639" s="7">
        <v>0.58333333333333337</v>
      </c>
      <c r="P639" s="5">
        <v>1</v>
      </c>
      <c r="Q639" s="5" t="s">
        <v>1126</v>
      </c>
      <c r="R639" s="5">
        <v>300000</v>
      </c>
      <c r="S639" s="5">
        <v>0</v>
      </c>
      <c r="T639" s="5">
        <v>30000</v>
      </c>
      <c r="U639" s="5">
        <v>330000</v>
      </c>
      <c r="V639" s="5" t="s">
        <v>3274</v>
      </c>
      <c r="W639" s="5" t="s">
        <v>36</v>
      </c>
      <c r="X639" s="5" t="s">
        <v>83</v>
      </c>
      <c r="AA639" s="5" t="s">
        <v>44</v>
      </c>
      <c r="AC639" s="8" t="str">
        <f>HYPERLINK("https://drive.google.com/file/d/1cbpaGL5ZMyMIrjaoNEzcvdvTGZBF0QCs/view?usp=drivesdk", "Abrir_Factura")</f>
        <v>Abrir_Factura</v>
      </c>
      <c r="AD639" s="9">
        <v>46008.445219907408</v>
      </c>
    </row>
    <row r="640" spans="1:30" ht="12.5">
      <c r="A640" s="4">
        <v>46008.435342835648</v>
      </c>
      <c r="B640" s="5">
        <v>90374</v>
      </c>
      <c r="C640" s="5">
        <v>1079940128</v>
      </c>
      <c r="D640" s="5" t="s">
        <v>2361</v>
      </c>
      <c r="F640" s="5" t="s">
        <v>1752</v>
      </c>
      <c r="H640" s="5">
        <v>573137769819</v>
      </c>
      <c r="J640" s="5" t="s">
        <v>3275</v>
      </c>
      <c r="K640" s="5" t="s">
        <v>3276</v>
      </c>
      <c r="L640" s="5" t="s">
        <v>3277</v>
      </c>
      <c r="M640" s="5">
        <v>3137769819</v>
      </c>
      <c r="N640" s="6">
        <v>46008</v>
      </c>
      <c r="O640" s="7">
        <v>0.625</v>
      </c>
      <c r="P640" s="5">
        <v>1</v>
      </c>
      <c r="Q640" s="5" t="s">
        <v>422</v>
      </c>
      <c r="R640" s="5">
        <v>130000</v>
      </c>
      <c r="S640" s="5">
        <v>0</v>
      </c>
      <c r="T640" s="5">
        <v>30000</v>
      </c>
      <c r="U640" s="5">
        <v>160000</v>
      </c>
      <c r="W640" s="5" t="s">
        <v>36</v>
      </c>
      <c r="X640" s="5" t="s">
        <v>83</v>
      </c>
      <c r="AA640" s="5" t="s">
        <v>69</v>
      </c>
      <c r="AB640" s="5" t="s">
        <v>3278</v>
      </c>
      <c r="AC640" s="8" t="str">
        <f>HYPERLINK("https://drive.google.com/file/d/1aV1uX4FPKscuq21r8hlam0JYnTsO1Ilu/view?usp=drivesdk", "Abrir_Factura")</f>
        <v>Abrir_Factura</v>
      </c>
      <c r="AD640" s="9">
        <v>46008.453298611108</v>
      </c>
    </row>
    <row r="641" spans="1:30" ht="12.5">
      <c r="A641" s="4">
        <v>46008.456267824076</v>
      </c>
      <c r="B641" s="5">
        <v>90375</v>
      </c>
      <c r="C641" s="5">
        <v>32729501</v>
      </c>
      <c r="D641" s="5" t="s">
        <v>3279</v>
      </c>
      <c r="F641" s="5" t="s">
        <v>3280</v>
      </c>
      <c r="H641" s="5">
        <v>573157163109</v>
      </c>
      <c r="J641" s="5" t="s">
        <v>3281</v>
      </c>
      <c r="K641" s="5" t="s">
        <v>229</v>
      </c>
      <c r="L641" s="5" t="s">
        <v>3282</v>
      </c>
      <c r="M641" s="5">
        <v>3003416355</v>
      </c>
      <c r="N641" s="6">
        <v>46008</v>
      </c>
      <c r="O641" s="7">
        <v>0.60416666666666663</v>
      </c>
      <c r="P641" s="5">
        <v>1</v>
      </c>
      <c r="Q641" s="5" t="s">
        <v>187</v>
      </c>
      <c r="R641" s="5">
        <v>200000</v>
      </c>
      <c r="S641" s="5">
        <v>0</v>
      </c>
      <c r="T641" s="5">
        <v>11000</v>
      </c>
      <c r="U641" s="5">
        <v>211000</v>
      </c>
      <c r="V641" s="5" t="s">
        <v>3283</v>
      </c>
      <c r="W641" s="5" t="s">
        <v>36</v>
      </c>
      <c r="X641" s="5" t="s">
        <v>1481</v>
      </c>
      <c r="AA641" s="5" t="s">
        <v>44</v>
      </c>
      <c r="AC641" s="8" t="str">
        <f>HYPERLINK("https://drive.google.com/file/d/1cQw9_GwTomtMCfA9bSHQnx4f_7y8byiV/view?usp=drivesdk", "Abrir_Factura")</f>
        <v>Abrir_Factura</v>
      </c>
      <c r="AD641" s="9">
        <v>46008.471365740741</v>
      </c>
    </row>
    <row r="642" spans="1:30" ht="12.5">
      <c r="A642" s="4">
        <v>46008.469521979168</v>
      </c>
      <c r="B642" s="5">
        <v>90376</v>
      </c>
      <c r="C642" s="5">
        <v>1129579584</v>
      </c>
      <c r="D642" s="5" t="s">
        <v>3284</v>
      </c>
      <c r="F642" s="5" t="s">
        <v>3285</v>
      </c>
      <c r="H642" s="5">
        <v>573008109691</v>
      </c>
      <c r="J642" s="5" t="s">
        <v>3286</v>
      </c>
      <c r="K642" s="5" t="s">
        <v>886</v>
      </c>
      <c r="L642" s="5" t="s">
        <v>3287</v>
      </c>
      <c r="M642" s="5">
        <v>3008152137</v>
      </c>
      <c r="N642" s="6">
        <v>46010</v>
      </c>
      <c r="O642" s="7">
        <v>0.375</v>
      </c>
      <c r="P642" s="5">
        <v>1</v>
      </c>
      <c r="Q642" s="5" t="s">
        <v>178</v>
      </c>
      <c r="R642" s="5">
        <v>100000</v>
      </c>
      <c r="S642" s="5">
        <v>0</v>
      </c>
      <c r="T642" s="5">
        <v>12000</v>
      </c>
      <c r="U642" s="5">
        <v>112000</v>
      </c>
      <c r="V642" s="5" t="s">
        <v>3288</v>
      </c>
      <c r="W642" s="5" t="s">
        <v>36</v>
      </c>
      <c r="X642" s="5" t="s">
        <v>83</v>
      </c>
      <c r="AA642" s="5" t="s">
        <v>69</v>
      </c>
      <c r="AB642" s="5" t="s">
        <v>3289</v>
      </c>
      <c r="AC642" s="8" t="str">
        <f>HYPERLINK("https://drive.google.com/file/d/1IkfjLQTKdnlnfgc80iJDIbmjtlraSJuc/view?usp=drivesdk", "Abrir_Factura")</f>
        <v>Abrir_Factura</v>
      </c>
      <c r="AD642" s="9">
        <v>46008.484525462962</v>
      </c>
    </row>
    <row r="643" spans="1:30" ht="12.5">
      <c r="A643" s="4">
        <v>46008.482278055555</v>
      </c>
      <c r="B643" s="5">
        <v>90377</v>
      </c>
      <c r="C643" s="5">
        <v>1193137751</v>
      </c>
      <c r="D643" s="5" t="s">
        <v>3290</v>
      </c>
      <c r="F643" s="5" t="s">
        <v>3291</v>
      </c>
      <c r="H643" s="5">
        <v>573225906968</v>
      </c>
      <c r="J643" s="5" t="s">
        <v>3292</v>
      </c>
      <c r="K643" s="5" t="s">
        <v>2218</v>
      </c>
      <c r="L643" s="5" t="s">
        <v>3293</v>
      </c>
      <c r="M643" s="5">
        <v>3013996008</v>
      </c>
      <c r="N643" s="6">
        <v>46008</v>
      </c>
      <c r="O643" s="7">
        <v>0.625</v>
      </c>
      <c r="P643" s="5">
        <v>1</v>
      </c>
      <c r="Q643" s="5" t="s">
        <v>330</v>
      </c>
      <c r="R643" s="5">
        <v>180000</v>
      </c>
      <c r="S643" s="5">
        <v>0</v>
      </c>
      <c r="T643" s="5">
        <v>40000</v>
      </c>
      <c r="U643" s="5">
        <v>220000</v>
      </c>
      <c r="V643" s="5" t="s">
        <v>3294</v>
      </c>
      <c r="W643" s="5" t="s">
        <v>36</v>
      </c>
      <c r="X643" s="5" t="s">
        <v>83</v>
      </c>
      <c r="AA643" s="5" t="s">
        <v>69</v>
      </c>
      <c r="AC643" s="8" t="str">
        <f>HYPERLINK("https://drive.google.com/file/d/1OfCcBCfFwFa1hxK7No7xap8BMC1PWLtR/view?usp=drivesdk", "Abrir_Factura")</f>
        <v>Abrir_Factura</v>
      </c>
      <c r="AD643" s="9">
        <v>46008.496539351851</v>
      </c>
    </row>
    <row r="644" spans="1:30" ht="12.5">
      <c r="A644" s="4">
        <v>46008.400703784719</v>
      </c>
      <c r="B644" s="5">
        <v>90378</v>
      </c>
      <c r="C644" s="5">
        <v>1140816778</v>
      </c>
      <c r="D644" s="5" t="s">
        <v>3295</v>
      </c>
      <c r="F644" s="5" t="s">
        <v>3296</v>
      </c>
      <c r="H644" s="5">
        <v>573113970616</v>
      </c>
      <c r="J644" s="5" t="s">
        <v>3297</v>
      </c>
      <c r="K644" s="5" t="s">
        <v>563</v>
      </c>
      <c r="L644" s="5" t="s">
        <v>3298</v>
      </c>
      <c r="N644" s="6">
        <v>46009</v>
      </c>
      <c r="O644" s="7">
        <v>0.375</v>
      </c>
      <c r="P644" s="5">
        <v>1</v>
      </c>
      <c r="Q644" s="5" t="s">
        <v>1126</v>
      </c>
      <c r="R644" s="5">
        <v>300000</v>
      </c>
      <c r="S644" s="5">
        <v>0</v>
      </c>
      <c r="T644" s="5">
        <v>12000</v>
      </c>
      <c r="U644" s="5">
        <v>312000</v>
      </c>
      <c r="V644" s="5" t="s">
        <v>3299</v>
      </c>
      <c r="W644" s="5" t="s">
        <v>36</v>
      </c>
      <c r="X644" s="5" t="s">
        <v>83</v>
      </c>
      <c r="AA644" s="5" t="s">
        <v>44</v>
      </c>
      <c r="AC644" s="8" t="str">
        <f>HYPERLINK("https://drive.google.com/file/d/1iztipw8Y07wMjATldIh_MRDOedYWTQRZ/view?usp=drivesdk","Abrir_Factura")</f>
        <v>Abrir_Factura</v>
      </c>
      <c r="AD644" s="9">
        <v>46008.513113425928</v>
      </c>
    </row>
    <row r="645" spans="1:30" ht="12.5">
      <c r="A645" s="4">
        <v>46008.527636689818</v>
      </c>
      <c r="B645" s="5">
        <v>90379</v>
      </c>
      <c r="C645" s="5">
        <v>8512209</v>
      </c>
      <c r="D645" s="5" t="s">
        <v>1935</v>
      </c>
      <c r="F645" s="5" t="s">
        <v>1624</v>
      </c>
      <c r="H645" s="5">
        <v>573174010049</v>
      </c>
      <c r="J645" s="5" t="s">
        <v>1936</v>
      </c>
      <c r="K645" s="5" t="s">
        <v>33</v>
      </c>
      <c r="L645" s="5" t="s">
        <v>34</v>
      </c>
      <c r="M645" s="5">
        <v>3174010049</v>
      </c>
      <c r="N645" s="6">
        <v>46009</v>
      </c>
      <c r="O645" s="7">
        <v>0.375</v>
      </c>
      <c r="P645" s="5">
        <v>1</v>
      </c>
      <c r="Q645" s="5" t="s">
        <v>3300</v>
      </c>
      <c r="R645" s="5">
        <v>82000</v>
      </c>
      <c r="S645" s="5">
        <v>0</v>
      </c>
      <c r="T645" s="5">
        <v>0</v>
      </c>
      <c r="U645" s="5">
        <v>82000</v>
      </c>
      <c r="W645" s="5" t="s">
        <v>36</v>
      </c>
      <c r="X645" s="5" t="s">
        <v>83</v>
      </c>
      <c r="AA645" s="5" t="s">
        <v>44</v>
      </c>
      <c r="AC645" s="8" t="str">
        <f>HYPERLINK("https://drive.google.com/file/d/1t_aJIym9WA1V45PYRvw07CXL15OzCdNA/view?usp=drivesdk", "Abrir_Factura")</f>
        <v>Abrir_Factura</v>
      </c>
      <c r="AD645" s="9">
        <v>46009.365960648145</v>
      </c>
    </row>
    <row r="646" spans="1:30" ht="12.5">
      <c r="A646" s="4">
        <v>46008.535541782403</v>
      </c>
      <c r="B646" s="5">
        <v>90380</v>
      </c>
      <c r="C646" s="5">
        <v>1082963964</v>
      </c>
      <c r="D646" s="5" t="s">
        <v>3301</v>
      </c>
      <c r="F646" s="5" t="s">
        <v>3302</v>
      </c>
      <c r="H646" s="5">
        <v>573022899545</v>
      </c>
      <c r="J646" s="5" t="s">
        <v>3303</v>
      </c>
      <c r="K646" s="5" t="s">
        <v>33</v>
      </c>
      <c r="L646" s="5" t="s">
        <v>34</v>
      </c>
      <c r="M646" s="5">
        <v>3022899545</v>
      </c>
      <c r="N646" s="6">
        <v>46008</v>
      </c>
      <c r="O646" s="7">
        <v>0</v>
      </c>
      <c r="P646" s="5">
        <v>1</v>
      </c>
      <c r="Q646" s="5" t="s">
        <v>3304</v>
      </c>
      <c r="R646" s="5">
        <v>200000</v>
      </c>
      <c r="S646" s="5">
        <v>0</v>
      </c>
      <c r="T646" s="5">
        <v>0</v>
      </c>
      <c r="U646" s="5">
        <v>200000</v>
      </c>
      <c r="W646" s="5" t="s">
        <v>36</v>
      </c>
      <c r="X646" s="5" t="s">
        <v>2636</v>
      </c>
      <c r="AA646" s="5" t="s">
        <v>1717</v>
      </c>
      <c r="AC646" s="8" t="str">
        <f>HYPERLINK("https://drive.google.com/file/d/1usw5KL8Zdt2nZ8RpBRUk5tZ3jz8h5y5K/view?usp=drivesdk","Abrir_Factura")</f>
        <v>Abrir_Factura</v>
      </c>
      <c r="AD646" s="9">
        <v>46008.53638888889</v>
      </c>
    </row>
    <row r="647" spans="1:30" ht="12.5">
      <c r="A647" s="4">
        <v>46008.535813495371</v>
      </c>
      <c r="B647" s="5">
        <v>90381</v>
      </c>
      <c r="C647" s="5">
        <v>1140837107</v>
      </c>
      <c r="D647" s="5" t="s">
        <v>3305</v>
      </c>
      <c r="F647" s="5" t="s">
        <v>3306</v>
      </c>
      <c r="H647" s="5">
        <v>57502620286</v>
      </c>
      <c r="J647" s="5" t="s">
        <v>3307</v>
      </c>
      <c r="K647" s="5" t="s">
        <v>892</v>
      </c>
      <c r="L647" s="5" t="s">
        <v>3308</v>
      </c>
      <c r="M647" s="5">
        <v>3003754705</v>
      </c>
      <c r="N647" s="6">
        <v>46008</v>
      </c>
      <c r="O647" s="7">
        <v>0.58333333333333337</v>
      </c>
      <c r="P647" s="5">
        <v>1</v>
      </c>
      <c r="Q647" s="5" t="s">
        <v>3309</v>
      </c>
      <c r="R647" s="5">
        <v>100000</v>
      </c>
      <c r="S647" s="5">
        <v>0</v>
      </c>
      <c r="T647" s="5">
        <v>10000</v>
      </c>
      <c r="U647" s="5">
        <v>110000</v>
      </c>
      <c r="V647" s="5" t="s">
        <v>3310</v>
      </c>
      <c r="W647" s="5" t="s">
        <v>36</v>
      </c>
      <c r="X647" s="5" t="s">
        <v>1937</v>
      </c>
      <c r="AA647" s="5" t="s">
        <v>69</v>
      </c>
      <c r="AC647" s="8" t="str">
        <f>HYPERLINK("https://drive.google.com/file/d/1dSflbd39IyS9T_t9o-xFCpN58sXPA6sk/view?usp=drivesdk","Abrir_Factura")</f>
        <v>Abrir_Factura</v>
      </c>
      <c r="AD647" s="9">
        <v>46008.543888888889</v>
      </c>
    </row>
    <row r="648" spans="1:30" ht="12.5">
      <c r="A648" s="4">
        <v>46008.565619618057</v>
      </c>
      <c r="B648" s="5">
        <v>90382</v>
      </c>
      <c r="C648" s="5">
        <v>73167180</v>
      </c>
      <c r="D648" s="5" t="s">
        <v>3311</v>
      </c>
      <c r="F648" s="5" t="s">
        <v>3312</v>
      </c>
      <c r="H648" s="5">
        <v>573206988245</v>
      </c>
      <c r="J648" s="5" t="s">
        <v>3313</v>
      </c>
      <c r="K648" s="5" t="s">
        <v>161</v>
      </c>
      <c r="L648" s="5" t="s">
        <v>3314</v>
      </c>
      <c r="M648" s="5" t="s">
        <v>3315</v>
      </c>
      <c r="N648" s="6">
        <v>46010</v>
      </c>
      <c r="O648" s="7">
        <v>0.375</v>
      </c>
      <c r="P648" s="5">
        <v>1</v>
      </c>
      <c r="Q648" s="5" t="s">
        <v>3316</v>
      </c>
      <c r="R648" s="5">
        <v>430000</v>
      </c>
      <c r="S648" s="5">
        <v>0</v>
      </c>
      <c r="T648" s="5">
        <v>8000</v>
      </c>
      <c r="U648" s="5">
        <v>438000</v>
      </c>
      <c r="W648" s="5" t="s">
        <v>36</v>
      </c>
      <c r="X648" s="5" t="s">
        <v>83</v>
      </c>
      <c r="AA648" s="5" t="s">
        <v>44</v>
      </c>
      <c r="AB648" s="5" t="s">
        <v>3317</v>
      </c>
      <c r="AC648" s="8" t="str">
        <f>HYPERLINK("https://drive.google.com/file/d/1OUuOAcMKM4t-w878CR1RqO8EnMx7UpZM/view?usp=drivesdk","Abrir_Factura")</f>
        <v>Abrir_Factura</v>
      </c>
      <c r="AD648" s="9">
        <v>46008.578344907408</v>
      </c>
    </row>
    <row r="649" spans="1:30" ht="12.5">
      <c r="A649" s="4">
        <v>46008.570517141205</v>
      </c>
      <c r="B649" s="5">
        <v>90383</v>
      </c>
      <c r="C649" s="5">
        <v>1010129203</v>
      </c>
      <c r="D649" s="5" t="s">
        <v>3088</v>
      </c>
      <c r="F649" s="5" t="s">
        <v>498</v>
      </c>
      <c r="H649" s="5">
        <v>573028046689</v>
      </c>
      <c r="J649" s="5" t="s">
        <v>3318</v>
      </c>
      <c r="K649" s="5" t="s">
        <v>154</v>
      </c>
      <c r="L649" s="5" t="s">
        <v>3319</v>
      </c>
      <c r="M649" s="5" t="s">
        <v>3320</v>
      </c>
      <c r="N649" s="6">
        <v>46008</v>
      </c>
      <c r="O649" s="7">
        <v>0.625</v>
      </c>
      <c r="P649" s="5">
        <v>1</v>
      </c>
      <c r="Q649" s="5" t="s">
        <v>3321</v>
      </c>
      <c r="R649" s="5">
        <v>130000</v>
      </c>
      <c r="S649" s="5">
        <v>0</v>
      </c>
      <c r="T649" s="5">
        <v>8000</v>
      </c>
      <c r="U649" s="5">
        <v>138000</v>
      </c>
      <c r="V649" s="5" t="s">
        <v>3322</v>
      </c>
      <c r="W649" s="5" t="s">
        <v>36</v>
      </c>
      <c r="X649" s="5" t="s">
        <v>83</v>
      </c>
      <c r="AA649" s="5" t="s">
        <v>69</v>
      </c>
      <c r="AB649" s="5" t="s">
        <v>3323</v>
      </c>
      <c r="AC649" s="8" t="str">
        <f>HYPERLINK("https://drive.google.com/file/d/1ZixZLg2kP6RDn3QYwCIUpvjo2oWnEd5i/view?usp=drivesdk", "Abrir_Factura")</f>
        <v>Abrir_Factura</v>
      </c>
      <c r="AD649" s="9">
        <v>46008.589259259257</v>
      </c>
    </row>
    <row r="650" spans="1:30" ht="12.5">
      <c r="A650" s="4">
        <v>46008.569909375001</v>
      </c>
      <c r="B650" s="5">
        <v>90384</v>
      </c>
      <c r="C650" s="5">
        <v>1002152872</v>
      </c>
      <c r="D650" s="5" t="s">
        <v>1736</v>
      </c>
      <c r="F650" s="5" t="s">
        <v>3324</v>
      </c>
      <c r="H650" s="5">
        <v>573153839590</v>
      </c>
      <c r="J650" s="5" t="s">
        <v>3325</v>
      </c>
      <c r="K650" s="5" t="s">
        <v>103</v>
      </c>
      <c r="L650" s="5" t="s">
        <v>3326</v>
      </c>
      <c r="M650" s="5" t="s">
        <v>3327</v>
      </c>
      <c r="N650" s="6">
        <v>46008</v>
      </c>
      <c r="O650" s="7">
        <v>0.75</v>
      </c>
      <c r="P650" s="5">
        <v>1</v>
      </c>
      <c r="Q650" s="5" t="s">
        <v>3328</v>
      </c>
      <c r="R650" s="5">
        <v>320000</v>
      </c>
      <c r="S650" s="5">
        <v>0</v>
      </c>
      <c r="T650" s="5">
        <v>10000</v>
      </c>
      <c r="U650" s="5">
        <v>330000</v>
      </c>
      <c r="V650" s="5" t="s">
        <v>3329</v>
      </c>
      <c r="W650" s="5" t="s">
        <v>36</v>
      </c>
      <c r="X650" s="5" t="s">
        <v>1937</v>
      </c>
      <c r="AA650" s="5" t="s">
        <v>44</v>
      </c>
      <c r="AB650" s="10" t="s">
        <v>3330</v>
      </c>
      <c r="AC650" s="8" t="str">
        <f>HYPERLINK("https://drive.google.com/file/d/1ldv4ZWasGzHF1G0brcTuRqBxs8IaaiXL/view?usp=drivesdk", "Abrir_Factura")</f>
        <v>Abrir_Factura</v>
      </c>
      <c r="AD650" s="9">
        <v>46008.627240868052</v>
      </c>
    </row>
    <row r="651" spans="1:30" ht="12.5">
      <c r="A651" s="4">
        <v>46008.609824699073</v>
      </c>
      <c r="B651" s="5">
        <v>90385</v>
      </c>
      <c r="C651" s="5">
        <v>1045667823</v>
      </c>
      <c r="D651" s="5" t="s">
        <v>3331</v>
      </c>
      <c r="F651" s="5" t="s">
        <v>1871</v>
      </c>
      <c r="H651" s="5">
        <v>573017576558</v>
      </c>
      <c r="J651" s="5" t="s">
        <v>3332</v>
      </c>
      <c r="K651" s="5" t="s">
        <v>185</v>
      </c>
      <c r="L651" s="5" t="s">
        <v>3333</v>
      </c>
      <c r="M651" s="5">
        <v>3017576558</v>
      </c>
      <c r="N651" s="6">
        <v>46008</v>
      </c>
      <c r="O651" s="7">
        <v>0</v>
      </c>
      <c r="P651" s="5">
        <v>1</v>
      </c>
      <c r="Q651" s="5" t="s">
        <v>375</v>
      </c>
      <c r="R651" s="5">
        <v>70000</v>
      </c>
      <c r="S651" s="5">
        <v>0</v>
      </c>
      <c r="T651" s="5">
        <v>8000</v>
      </c>
      <c r="U651" s="5">
        <v>78000</v>
      </c>
      <c r="V651" s="5" t="s">
        <v>3334</v>
      </c>
      <c r="W651" s="5" t="s">
        <v>36</v>
      </c>
      <c r="X651" s="5" t="s">
        <v>83</v>
      </c>
      <c r="AA651" s="5" t="s">
        <v>44</v>
      </c>
      <c r="AB651" s="5" t="s">
        <v>3335</v>
      </c>
      <c r="AC651" s="8" t="str">
        <f>HYPERLINK("https://drive.google.com/file/d/18WDqRQ49RCJadTqrTaQyDya8M8mCB5qQ/view?usp=drivesdk","Abrir_Factura")</f>
        <v>Abrir_Factura</v>
      </c>
      <c r="AD651" s="9">
        <v>46008.633101851854</v>
      </c>
    </row>
    <row r="652" spans="1:30" ht="12.5">
      <c r="A652" s="4">
        <v>46008.639162002313</v>
      </c>
      <c r="B652" s="5">
        <v>90386</v>
      </c>
      <c r="C652" s="5">
        <v>22645270</v>
      </c>
      <c r="D652" s="5" t="s">
        <v>1489</v>
      </c>
      <c r="F652" s="5" t="s">
        <v>3336</v>
      </c>
      <c r="H652" s="5">
        <v>573215509481</v>
      </c>
      <c r="J652" s="5" t="s">
        <v>3337</v>
      </c>
      <c r="K652" s="5" t="s">
        <v>63</v>
      </c>
      <c r="L652" s="5" t="s">
        <v>3338</v>
      </c>
      <c r="M652" s="5">
        <v>3215509481</v>
      </c>
      <c r="N652" s="6">
        <v>46008</v>
      </c>
      <c r="O652" s="7">
        <v>0.6875</v>
      </c>
      <c r="P652" s="5">
        <v>1</v>
      </c>
      <c r="Q652" s="5" t="s">
        <v>3339</v>
      </c>
      <c r="R652" s="5">
        <v>180000</v>
      </c>
      <c r="S652" s="5">
        <v>0</v>
      </c>
      <c r="T652" s="5">
        <v>17000</v>
      </c>
      <c r="U652" s="5">
        <v>197000</v>
      </c>
      <c r="V652" s="5" t="s">
        <v>3340</v>
      </c>
      <c r="W652" s="5" t="s">
        <v>36</v>
      </c>
      <c r="X652" s="5" t="s">
        <v>180</v>
      </c>
      <c r="AA652" s="5" t="s">
        <v>69</v>
      </c>
      <c r="AC652" s="8" t="str">
        <f>HYPERLINK("https://drive.google.com/file/d/11nt6k2kyliGFgVNdeNS1_-K6r8_vl-ag/view?usp=drivesdk","Abrir_Factura")</f>
        <v>Abrir_Factura</v>
      </c>
      <c r="AD652" s="9">
        <v>46008.639976851853</v>
      </c>
    </row>
    <row r="653" spans="1:30" ht="12.5">
      <c r="A653" s="4">
        <v>46008.659287824077</v>
      </c>
      <c r="B653" s="5">
        <v>90387</v>
      </c>
      <c r="C653" s="5">
        <v>1048071986</v>
      </c>
      <c r="D653" s="5" t="s">
        <v>3341</v>
      </c>
      <c r="F653" s="5" t="s">
        <v>3342</v>
      </c>
      <c r="H653" s="5">
        <v>5707757433</v>
      </c>
      <c r="J653" s="5" t="s">
        <v>3343</v>
      </c>
      <c r="K653" s="5" t="s">
        <v>33</v>
      </c>
      <c r="L653" s="5" t="s">
        <v>34</v>
      </c>
      <c r="M653" s="5">
        <v>7757433</v>
      </c>
      <c r="N653" s="6">
        <v>46008</v>
      </c>
      <c r="O653" s="7">
        <v>0</v>
      </c>
      <c r="P653" s="5">
        <v>1</v>
      </c>
      <c r="Q653" s="5" t="s">
        <v>178</v>
      </c>
      <c r="R653" s="5">
        <v>100000</v>
      </c>
      <c r="S653" s="5">
        <v>0</v>
      </c>
      <c r="T653" s="5">
        <v>0</v>
      </c>
      <c r="U653" s="5">
        <v>100000</v>
      </c>
      <c r="W653" s="5" t="s">
        <v>36</v>
      </c>
      <c r="X653" s="5" t="s">
        <v>2636</v>
      </c>
      <c r="AA653" s="5" t="s">
        <v>1717</v>
      </c>
      <c r="AC653" s="8" t="str">
        <f>HYPERLINK("https://drive.google.com/file/d/1jo3uDIl98isQGK6FvA6_uY4Hnc1mpsbI/view?usp=drivesdk","Abrir_Factura")</f>
        <v>Abrir_Factura</v>
      </c>
      <c r="AD653" s="9">
        <v>46008.659745370373</v>
      </c>
    </row>
    <row r="654" spans="1:30" ht="12.5">
      <c r="A654" s="4">
        <v>46008.705226828708</v>
      </c>
      <c r="B654" s="5">
        <v>90388</v>
      </c>
      <c r="C654" s="5">
        <v>7570680</v>
      </c>
      <c r="D654" s="5" t="s">
        <v>3344</v>
      </c>
      <c r="F654" s="5" t="s">
        <v>3345</v>
      </c>
      <c r="H654" s="5">
        <v>573008170074</v>
      </c>
      <c r="J654" s="5" t="s">
        <v>3346</v>
      </c>
      <c r="K654" s="5" t="s">
        <v>33</v>
      </c>
      <c r="L654" s="5" t="s">
        <v>34</v>
      </c>
      <c r="M654" s="5">
        <v>3008170074</v>
      </c>
      <c r="N654" s="6">
        <v>46008</v>
      </c>
      <c r="O654" s="7">
        <v>0</v>
      </c>
      <c r="P654" s="5">
        <v>1</v>
      </c>
      <c r="Q654" s="5" t="s">
        <v>707</v>
      </c>
      <c r="R654" s="5">
        <v>320000</v>
      </c>
      <c r="S654" s="5">
        <v>0</v>
      </c>
      <c r="T654" s="5">
        <v>0</v>
      </c>
      <c r="U654" s="5">
        <v>320000</v>
      </c>
      <c r="W654" s="5" t="s">
        <v>36</v>
      </c>
      <c r="X654" s="5" t="s">
        <v>2636</v>
      </c>
      <c r="AA654" s="5" t="s">
        <v>1717</v>
      </c>
      <c r="AC654" s="8" t="str">
        <f>HYPERLINK("https://drive.google.com/file/d/1dirvpy_gd1iX5YO3umNhPXiKxf5xPL_y/view?usp=drivesdk","Abrir_Factura")</f>
        <v>Abrir_Factura</v>
      </c>
      <c r="AD654" s="9">
        <v>46008.705752314818</v>
      </c>
    </row>
    <row r="655" spans="1:30" ht="12.5">
      <c r="A655" s="4">
        <v>46008.693362280093</v>
      </c>
      <c r="B655" s="5">
        <v>90389</v>
      </c>
      <c r="C655" s="5">
        <v>1002011458</v>
      </c>
      <c r="D655" s="5" t="s">
        <v>3347</v>
      </c>
      <c r="F655" s="5" t="s">
        <v>3348</v>
      </c>
      <c r="H655" s="5">
        <v>573004730221</v>
      </c>
      <c r="J655" s="5" t="s">
        <v>3349</v>
      </c>
      <c r="K655" s="5" t="s">
        <v>103</v>
      </c>
      <c r="L655" s="5" t="s">
        <v>3350</v>
      </c>
      <c r="N655" s="6">
        <v>46008</v>
      </c>
      <c r="O655" s="7">
        <v>0</v>
      </c>
      <c r="P655" s="5">
        <v>1</v>
      </c>
      <c r="Q655" s="5" t="s">
        <v>380</v>
      </c>
      <c r="R655" s="5">
        <v>300000</v>
      </c>
      <c r="S655" s="5">
        <v>0</v>
      </c>
      <c r="T655" s="5">
        <v>10000</v>
      </c>
      <c r="U655" s="5">
        <v>310000</v>
      </c>
      <c r="V655" s="5" t="s">
        <v>3351</v>
      </c>
      <c r="W655" s="5" t="s">
        <v>36</v>
      </c>
      <c r="X655" s="5" t="s">
        <v>83</v>
      </c>
      <c r="AA655" s="5" t="s">
        <v>69</v>
      </c>
      <c r="AC655" s="8" t="str">
        <f>HYPERLINK("https://drive.google.com/file/d/1EKnEVgHbN6SpmxhIpGwZSM8veUiw47_s/view?usp=drivesdk","Abrir_Factura")</f>
        <v>Abrir_Factura</v>
      </c>
      <c r="AD655" s="9">
        <v>46008.708877314813</v>
      </c>
    </row>
    <row r="656" spans="1:30" ht="12.5">
      <c r="A656" s="4">
        <v>46008.717015439819</v>
      </c>
      <c r="B656" s="5">
        <v>90390</v>
      </c>
      <c r="C656" s="5">
        <v>1001873847</v>
      </c>
      <c r="D656" s="5" t="s">
        <v>3352</v>
      </c>
      <c r="F656" s="5" t="s">
        <v>3353</v>
      </c>
      <c r="H656" s="5">
        <v>575955030</v>
      </c>
      <c r="J656" s="5" t="s">
        <v>659</v>
      </c>
      <c r="K656" s="5" t="s">
        <v>154</v>
      </c>
      <c r="L656" s="5" t="s">
        <v>3354</v>
      </c>
      <c r="M656" s="5">
        <v>3005955030</v>
      </c>
      <c r="N656" s="6">
        <v>46008</v>
      </c>
      <c r="O656" s="7">
        <v>0</v>
      </c>
      <c r="P656" s="5">
        <v>1</v>
      </c>
      <c r="Q656" s="5" t="s">
        <v>42</v>
      </c>
      <c r="R656" s="5">
        <v>180000</v>
      </c>
      <c r="S656" s="5">
        <v>0</v>
      </c>
      <c r="T656" s="5">
        <v>8000</v>
      </c>
      <c r="U656" s="5">
        <v>188000</v>
      </c>
      <c r="V656" s="5" t="s">
        <v>3355</v>
      </c>
      <c r="W656" s="5" t="s">
        <v>36</v>
      </c>
      <c r="X656" s="5" t="s">
        <v>180</v>
      </c>
      <c r="AA656" s="5" t="s">
        <v>69</v>
      </c>
      <c r="AB656" s="5" t="s">
        <v>3356</v>
      </c>
      <c r="AC656" s="8" t="str">
        <f>HYPERLINK("https://drive.google.com/file/d/1gRohBRSiSvUjvZnwtkypXr7W_e_xSkrp/view?usp=drivesdk","Abrir_Factura")</f>
        <v>Abrir_Factura</v>
      </c>
      <c r="AD656" s="9">
        <v>46008.718275462961</v>
      </c>
    </row>
    <row r="657" spans="1:30" ht="12.5">
      <c r="A657" s="4">
        <v>46008.722913310186</v>
      </c>
      <c r="B657" s="5">
        <v>90391</v>
      </c>
      <c r="C657" s="5">
        <v>32873283</v>
      </c>
      <c r="D657" s="5" t="s">
        <v>3357</v>
      </c>
      <c r="F657" s="5" t="s">
        <v>3358</v>
      </c>
      <c r="H657" s="5">
        <v>573008108213</v>
      </c>
      <c r="J657" s="5" t="s">
        <v>3359</v>
      </c>
      <c r="K657" s="5" t="s">
        <v>79</v>
      </c>
      <c r="L657" s="5" t="s">
        <v>3360</v>
      </c>
      <c r="M657" s="5">
        <v>573008108213</v>
      </c>
      <c r="N657" s="6">
        <v>46009</v>
      </c>
      <c r="O657" s="7">
        <v>0.45833333333333331</v>
      </c>
      <c r="P657" s="5">
        <v>1</v>
      </c>
      <c r="Q657" s="5" t="s">
        <v>3361</v>
      </c>
      <c r="R657" s="5">
        <v>420000</v>
      </c>
      <c r="S657" s="5">
        <v>0</v>
      </c>
      <c r="T657" s="5">
        <v>10000</v>
      </c>
      <c r="U657" s="5">
        <v>430000</v>
      </c>
      <c r="V657" s="5" t="s">
        <v>3362</v>
      </c>
      <c r="W657" s="5" t="s">
        <v>36</v>
      </c>
      <c r="X657" s="5" t="s">
        <v>83</v>
      </c>
      <c r="AA657" s="5" t="s">
        <v>44</v>
      </c>
      <c r="AC657" s="8" t="str">
        <f>HYPERLINK("https://drive.google.com/file/d/1QZEoj9ZETMPGh7V8MjFIR6dHpQNNYumc/view?usp=drivesdk","Abrir_Factura")</f>
        <v>Abrir_Factura</v>
      </c>
      <c r="AD657" s="9">
        <v>46008.737569444442</v>
      </c>
    </row>
    <row r="658" spans="1:30" ht="12.5">
      <c r="A658" s="4">
        <v>46008.730211678238</v>
      </c>
      <c r="B658" s="5">
        <v>90392</v>
      </c>
      <c r="C658" s="5">
        <v>1002034144</v>
      </c>
      <c r="D658" s="5" t="s">
        <v>3363</v>
      </c>
      <c r="F658" s="5" t="s">
        <v>3364</v>
      </c>
      <c r="H658" s="5">
        <v>573008784451</v>
      </c>
      <c r="J658" s="5" t="s">
        <v>3365</v>
      </c>
      <c r="K658" s="5" t="s">
        <v>154</v>
      </c>
      <c r="L658" s="5" t="s">
        <v>3366</v>
      </c>
      <c r="M658" s="5">
        <v>3008784451</v>
      </c>
      <c r="N658" s="6">
        <v>46010</v>
      </c>
      <c r="O658" s="7">
        <v>0.375</v>
      </c>
      <c r="P658" s="5">
        <v>1</v>
      </c>
      <c r="Q658" s="5" t="s">
        <v>1126</v>
      </c>
      <c r="R658" s="5">
        <v>300000</v>
      </c>
      <c r="S658" s="5">
        <v>0</v>
      </c>
      <c r="T658" s="5">
        <v>8000</v>
      </c>
      <c r="U658" s="5">
        <v>308000</v>
      </c>
      <c r="V658" s="5" t="s">
        <v>3367</v>
      </c>
      <c r="W658" s="5" t="s">
        <v>36</v>
      </c>
      <c r="X658" s="5" t="s">
        <v>83</v>
      </c>
      <c r="AA658" s="5" t="s">
        <v>69</v>
      </c>
      <c r="AB658" s="5" t="s">
        <v>3367</v>
      </c>
      <c r="AC658" s="8" t="str">
        <f>HYPERLINK("https://drive.google.com/file/d/1zy8xDmwY8-CMcjfQULEJPd_aszmiUIyd/view?usp=drivesdk","Abrir_Factura")</f>
        <v>Abrir_Factura</v>
      </c>
      <c r="AD658" s="9">
        <v>46008.743414351855</v>
      </c>
    </row>
    <row r="659" spans="1:30" ht="12.5">
      <c r="A659" s="4">
        <v>46008.758244756944</v>
      </c>
      <c r="B659" s="5">
        <v>90393</v>
      </c>
      <c r="C659" s="5">
        <v>1026551702</v>
      </c>
      <c r="D659" s="5" t="s">
        <v>3368</v>
      </c>
      <c r="F659" s="5" t="s">
        <v>3369</v>
      </c>
      <c r="H659" s="5">
        <v>573216782120</v>
      </c>
      <c r="J659" s="5" t="s">
        <v>3370</v>
      </c>
      <c r="K659" s="5" t="s">
        <v>401</v>
      </c>
      <c r="L659" s="5" t="s">
        <v>3371</v>
      </c>
      <c r="M659" s="5">
        <v>3016782120</v>
      </c>
      <c r="N659" s="6">
        <v>46009</v>
      </c>
      <c r="O659" s="7">
        <v>0.375</v>
      </c>
      <c r="P659" s="5">
        <v>1</v>
      </c>
      <c r="Q659" s="5" t="s">
        <v>3372</v>
      </c>
      <c r="R659" s="5">
        <v>80000</v>
      </c>
      <c r="S659" s="5">
        <v>0</v>
      </c>
      <c r="T659" s="5">
        <v>12000</v>
      </c>
      <c r="U659" s="5">
        <v>92000</v>
      </c>
      <c r="V659" s="5" t="s">
        <v>3373</v>
      </c>
      <c r="W659" s="5" t="s">
        <v>36</v>
      </c>
      <c r="X659" s="5" t="s">
        <v>1937</v>
      </c>
      <c r="AA659" s="5" t="s">
        <v>69</v>
      </c>
      <c r="AC659" s="8" t="str">
        <f>HYPERLINK("https://drive.google.com/file/d/1Aa-urKGjdVArcs3dVksQ5kIuoVrjbcYw/view?usp=drivesdk","Abrir_Factura")</f>
        <v>Abrir_Factura</v>
      </c>
      <c r="AD659" s="9">
        <v>46008.766192129631</v>
      </c>
    </row>
    <row r="660" spans="1:30" ht="12.5">
      <c r="A660" s="4">
        <v>46008.600105000005</v>
      </c>
      <c r="B660" s="5">
        <v>90394</v>
      </c>
      <c r="C660" s="5">
        <v>55313403</v>
      </c>
      <c r="D660" s="5" t="s">
        <v>3113</v>
      </c>
      <c r="F660" s="5" t="s">
        <v>3114</v>
      </c>
      <c r="H660" s="5">
        <v>573004705682</v>
      </c>
      <c r="J660" s="5" t="s">
        <v>445</v>
      </c>
      <c r="K660" s="5" t="s">
        <v>185</v>
      </c>
      <c r="L660" s="5" t="s">
        <v>3374</v>
      </c>
      <c r="M660" s="5">
        <v>3004705682</v>
      </c>
      <c r="N660" s="6">
        <v>46011</v>
      </c>
      <c r="O660" s="7">
        <v>0</v>
      </c>
      <c r="P660" s="5">
        <v>1</v>
      </c>
      <c r="Q660" s="5" t="s">
        <v>65</v>
      </c>
      <c r="R660" s="5">
        <v>70000</v>
      </c>
      <c r="S660" s="5">
        <v>0</v>
      </c>
      <c r="T660" s="5">
        <v>8000</v>
      </c>
      <c r="U660" s="5">
        <v>78000</v>
      </c>
      <c r="V660" s="5" t="s">
        <v>3375</v>
      </c>
      <c r="W660" s="5" t="s">
        <v>36</v>
      </c>
      <c r="X660" s="5" t="s">
        <v>83</v>
      </c>
      <c r="AA660" s="5" t="s">
        <v>69</v>
      </c>
      <c r="AB660" s="5" t="s">
        <v>3376</v>
      </c>
      <c r="AC660" s="8" t="str">
        <f>HYPERLINK("https://drive.google.com/file/d/1zGiGZlDxbCwrS7FrbvGGs0dJz05GApwj/view?usp=drivesdk","Abrir_Factura")</f>
        <v>Abrir_Factura</v>
      </c>
      <c r="AD660" s="9">
        <v>46009.293969907405</v>
      </c>
    </row>
    <row r="661" spans="1:30" ht="12.5">
      <c r="A661" s="4">
        <v>46009.296449780093</v>
      </c>
      <c r="B661" s="5">
        <v>90395</v>
      </c>
      <c r="C661" s="5">
        <v>22462773</v>
      </c>
      <c r="D661" s="5" t="s">
        <v>521</v>
      </c>
      <c r="F661" s="5" t="s">
        <v>561</v>
      </c>
      <c r="H661" s="5">
        <v>5731749862627</v>
      </c>
      <c r="J661" s="5" t="s">
        <v>2679</v>
      </c>
      <c r="K661" s="5" t="s">
        <v>33</v>
      </c>
      <c r="L661" s="5" t="s">
        <v>34</v>
      </c>
      <c r="M661" s="5">
        <v>31749862627</v>
      </c>
      <c r="N661" s="6">
        <v>46009</v>
      </c>
      <c r="O661" s="7">
        <v>0</v>
      </c>
      <c r="P661" s="5">
        <v>1</v>
      </c>
      <c r="Q661" s="5" t="s">
        <v>42</v>
      </c>
      <c r="R661" s="5">
        <v>65000</v>
      </c>
      <c r="S661" s="5">
        <v>0</v>
      </c>
      <c r="T661" s="5">
        <v>0</v>
      </c>
      <c r="U661" s="5">
        <v>65000</v>
      </c>
      <c r="W661" s="5" t="s">
        <v>36</v>
      </c>
      <c r="X661" s="5" t="s">
        <v>196</v>
      </c>
      <c r="AA661" s="5" t="s">
        <v>1717</v>
      </c>
      <c r="AB661" s="5" t="s">
        <v>525</v>
      </c>
      <c r="AC661" s="8" t="str">
        <f>HYPERLINK("https://drive.google.com/file/d/1FxGpOkeDoYWL4vxPX6ReAAf7LOAE2TDm/view?usp=drivesdk","Abrir_Factura")</f>
        <v>Abrir_Factura</v>
      </c>
      <c r="AD661" s="9">
        <v>46009.296944444446</v>
      </c>
    </row>
    <row r="662" spans="1:30" ht="12.5">
      <c r="A662" s="4">
        <v>46008.75599528935</v>
      </c>
      <c r="B662" s="5">
        <v>90396</v>
      </c>
      <c r="C662" s="5">
        <v>381559</v>
      </c>
      <c r="D662" s="5" t="s">
        <v>3377</v>
      </c>
      <c r="F662" s="5" t="s">
        <v>3378</v>
      </c>
      <c r="H662" s="5">
        <v>573023208311</v>
      </c>
      <c r="J662" s="5" t="s">
        <v>3379</v>
      </c>
      <c r="K662" s="5" t="s">
        <v>1352</v>
      </c>
      <c r="L662" s="5" t="s">
        <v>3380</v>
      </c>
      <c r="M662" s="5">
        <v>3023208311</v>
      </c>
      <c r="N662" s="6">
        <v>46009</v>
      </c>
      <c r="O662" s="7">
        <v>0.375</v>
      </c>
      <c r="P662" s="5">
        <v>1</v>
      </c>
      <c r="Q662" s="5" t="s">
        <v>178</v>
      </c>
      <c r="R662" s="5">
        <v>100000</v>
      </c>
      <c r="S662" s="5">
        <v>0</v>
      </c>
      <c r="T662" s="5">
        <v>10000</v>
      </c>
      <c r="U662" s="5">
        <v>110000</v>
      </c>
      <c r="V662" s="5" t="s">
        <v>3381</v>
      </c>
      <c r="W662" s="5" t="s">
        <v>36</v>
      </c>
      <c r="X662" s="5" t="s">
        <v>83</v>
      </c>
      <c r="AA662" s="5" t="s">
        <v>44</v>
      </c>
      <c r="AB662" s="5" t="s">
        <v>3382</v>
      </c>
      <c r="AC662" s="8" t="str">
        <f>HYPERLINK("https://drive.google.com/file/d/1rXY58XVKosNgoG0cNPqJA6UIcF-BCUoz/view?usp=drivesdk","Abrir_Factura")</f>
        <v>Abrir_Factura</v>
      </c>
      <c r="AD662" s="9">
        <v>46009.306018518517</v>
      </c>
    </row>
    <row r="663" spans="1:30" ht="12.5">
      <c r="A663" s="4">
        <v>46009.360009444441</v>
      </c>
      <c r="B663" s="5">
        <v>90397</v>
      </c>
      <c r="C663" s="5">
        <v>1045740577</v>
      </c>
      <c r="D663" s="5" t="s">
        <v>3383</v>
      </c>
      <c r="F663" s="5" t="s">
        <v>3384</v>
      </c>
      <c r="H663" s="5">
        <v>573145783087</v>
      </c>
      <c r="J663" s="5" t="s">
        <v>3385</v>
      </c>
      <c r="K663" s="5" t="s">
        <v>249</v>
      </c>
      <c r="L663" s="5" t="s">
        <v>3386</v>
      </c>
      <c r="M663" s="5" t="s">
        <v>3387</v>
      </c>
      <c r="N663" s="6">
        <v>46009</v>
      </c>
      <c r="O663" s="7">
        <v>0.4375</v>
      </c>
      <c r="P663" s="5">
        <v>1</v>
      </c>
      <c r="Q663" s="5" t="s">
        <v>3372</v>
      </c>
      <c r="R663" s="5">
        <v>80000</v>
      </c>
      <c r="S663" s="5">
        <v>0</v>
      </c>
      <c r="T663" s="5">
        <v>10000</v>
      </c>
      <c r="U663" s="5">
        <v>90000</v>
      </c>
      <c r="V663" s="5" t="s">
        <v>3388</v>
      </c>
      <c r="W663" s="5" t="s">
        <v>36</v>
      </c>
      <c r="X663" s="5" t="s">
        <v>83</v>
      </c>
      <c r="AA663" s="5" t="s">
        <v>69</v>
      </c>
      <c r="AC663" s="8" t="str">
        <f>HYPERLINK("https://drive.google.com/file/d/16ACIuFuye5e2H70JvdxUdrnN2NYg33Y4/view?usp=drivesdk","Abrir_Factura")</f>
        <v>Abrir_Factura</v>
      </c>
      <c r="AD663" s="9">
        <v>46009.364884259259</v>
      </c>
    </row>
    <row r="664" spans="1:30" ht="12.5">
      <c r="A664" s="4">
        <v>46009.357070312501</v>
      </c>
      <c r="B664" s="5">
        <v>90398</v>
      </c>
      <c r="C664" s="5">
        <v>1143263331</v>
      </c>
      <c r="D664" s="5" t="s">
        <v>3389</v>
      </c>
      <c r="F664" s="5" t="s">
        <v>3390</v>
      </c>
      <c r="H664" s="5">
        <v>573247140358</v>
      </c>
      <c r="J664" s="5" t="s">
        <v>3391</v>
      </c>
      <c r="K664" s="5" t="s">
        <v>1047</v>
      </c>
      <c r="L664" s="5" t="s">
        <v>3392</v>
      </c>
      <c r="M664" s="5">
        <v>3005442004</v>
      </c>
      <c r="N664" s="6">
        <v>46009</v>
      </c>
      <c r="O664" s="7">
        <v>0.45833333333333331</v>
      </c>
      <c r="P664" s="5">
        <v>1</v>
      </c>
      <c r="Q664" s="5" t="s">
        <v>375</v>
      </c>
      <c r="R664" s="5">
        <v>70000</v>
      </c>
      <c r="S664" s="5">
        <v>0</v>
      </c>
      <c r="T664" s="5">
        <v>12000</v>
      </c>
      <c r="U664" s="5">
        <v>82000</v>
      </c>
      <c r="V664" s="5" t="s">
        <v>3393</v>
      </c>
      <c r="W664" s="5" t="s">
        <v>36</v>
      </c>
      <c r="X664" s="5" t="s">
        <v>83</v>
      </c>
      <c r="AA664" s="5" t="s">
        <v>69</v>
      </c>
      <c r="AC664" s="8" t="str">
        <f>HYPERLINK("https://drive.google.com/file/d/1mrZmKDjchIkge6RZ2VJpDMS1QOIc4tnF/view?usp=drivesdk","Abrir_Factura")</f>
        <v>Abrir_Factura</v>
      </c>
      <c r="AD664" s="9">
        <v>46009.375625000001</v>
      </c>
    </row>
    <row r="665" spans="1:30" ht="12.5">
      <c r="A665" s="4">
        <v>46009.355475983801</v>
      </c>
      <c r="B665" s="5">
        <v>90399</v>
      </c>
      <c r="C665" s="5">
        <v>1140875365</v>
      </c>
      <c r="D665" s="5" t="s">
        <v>698</v>
      </c>
      <c r="F665" s="5" t="s">
        <v>3394</v>
      </c>
      <c r="H665" s="5">
        <v>573173708729</v>
      </c>
      <c r="J665" s="5" t="s">
        <v>3395</v>
      </c>
      <c r="K665" s="5" t="s">
        <v>892</v>
      </c>
      <c r="L665" s="5" t="s">
        <v>3396</v>
      </c>
      <c r="M665" s="5">
        <v>3186298460</v>
      </c>
      <c r="N665" s="6">
        <v>46009</v>
      </c>
      <c r="O665" s="7">
        <v>0.43125000000000002</v>
      </c>
      <c r="P665" s="5">
        <v>1</v>
      </c>
      <c r="Q665" s="5" t="s">
        <v>3248</v>
      </c>
      <c r="R665" s="5">
        <v>350000</v>
      </c>
      <c r="S665" s="5">
        <v>0</v>
      </c>
      <c r="T665" s="5">
        <v>10000</v>
      </c>
      <c r="U665" s="5">
        <v>360000</v>
      </c>
      <c r="V665" s="5" t="s">
        <v>3397</v>
      </c>
      <c r="W665" s="5" t="s">
        <v>36</v>
      </c>
      <c r="X665" s="5" t="s">
        <v>1937</v>
      </c>
      <c r="AA665" s="5" t="s">
        <v>69</v>
      </c>
      <c r="AC665" s="8" t="str">
        <f>HYPERLINK("https://drive.google.com/file/d/1yKJe5z24p9P3m1LbchUFmdO8pyWAGlEI/view?usp=drivesdk","Abrir_Factura")</f>
        <v>Abrir_Factura</v>
      </c>
      <c r="AD665" s="9">
        <v>46009.377256944441</v>
      </c>
    </row>
    <row r="666" spans="1:30" ht="12.5">
      <c r="A666" s="4">
        <v>46009.381772337962</v>
      </c>
      <c r="B666" s="5">
        <v>90400</v>
      </c>
      <c r="C666" s="5">
        <v>1193591396</v>
      </c>
      <c r="D666" s="5" t="s">
        <v>3398</v>
      </c>
      <c r="F666" s="5" t="s">
        <v>3399</v>
      </c>
      <c r="H666" s="5">
        <v>573014499535</v>
      </c>
      <c r="J666" s="5" t="s">
        <v>3400</v>
      </c>
      <c r="K666" s="5" t="s">
        <v>103</v>
      </c>
      <c r="L666" s="5" t="s">
        <v>3401</v>
      </c>
      <c r="M666" s="5">
        <v>3225721015</v>
      </c>
      <c r="N666" s="6">
        <v>46009</v>
      </c>
      <c r="O666" s="7">
        <v>0.41666666666666669</v>
      </c>
      <c r="P666" s="5">
        <v>1</v>
      </c>
      <c r="Q666" s="5" t="s">
        <v>156</v>
      </c>
      <c r="R666" s="5">
        <v>70000</v>
      </c>
      <c r="S666" s="5">
        <v>0</v>
      </c>
      <c r="T666" s="5">
        <v>10000</v>
      </c>
      <c r="U666" s="5">
        <v>80000</v>
      </c>
      <c r="V666" s="5" t="s">
        <v>3402</v>
      </c>
      <c r="W666" s="5" t="s">
        <v>36</v>
      </c>
      <c r="X666" s="5" t="s">
        <v>83</v>
      </c>
      <c r="AA666" s="5" t="s">
        <v>69</v>
      </c>
      <c r="AC666" s="8" t="str">
        <f>HYPERLINK("https://drive.google.com/file/d/1YSy5B2d6cSa1Ybqw_6b-g8psCilUVo_0/view?usp=drivesdk","Abrir_Factura")</f>
        <v>Abrir_Factura</v>
      </c>
      <c r="AD666" s="9">
        <v>46009.388321759259</v>
      </c>
    </row>
    <row r="667" spans="1:30" ht="12.5">
      <c r="A667" s="4">
        <v>46009.397008773143</v>
      </c>
      <c r="B667" s="5">
        <v>90401</v>
      </c>
      <c r="C667" s="5">
        <v>2410276838</v>
      </c>
      <c r="D667" s="5" t="s">
        <v>3403</v>
      </c>
      <c r="F667" s="5" t="s">
        <v>31</v>
      </c>
      <c r="H667" s="5">
        <v>573006021235</v>
      </c>
      <c r="J667" s="5" t="s">
        <v>3404</v>
      </c>
      <c r="K667" s="5" t="s">
        <v>33</v>
      </c>
      <c r="L667" s="5" t="s">
        <v>34</v>
      </c>
      <c r="M667" s="5">
        <v>3006021235</v>
      </c>
      <c r="N667" s="6">
        <v>46009</v>
      </c>
      <c r="O667" s="7">
        <v>0.3923611111111111</v>
      </c>
      <c r="P667" s="5">
        <v>1</v>
      </c>
      <c r="Q667" s="5" t="s">
        <v>309</v>
      </c>
      <c r="R667" s="5">
        <v>80000</v>
      </c>
      <c r="S667" s="5">
        <v>0</v>
      </c>
      <c r="T667" s="5">
        <v>0</v>
      </c>
      <c r="U667" s="5">
        <v>80000</v>
      </c>
      <c r="W667" s="5" t="s">
        <v>36</v>
      </c>
      <c r="X667" s="5" t="s">
        <v>43</v>
      </c>
      <c r="AA667" s="5" t="s">
        <v>37</v>
      </c>
      <c r="AB667" s="5" t="s">
        <v>31</v>
      </c>
      <c r="AC667" s="8" t="str">
        <f>HYPERLINK("https://drive.google.com/file/d/1VL_YFnJFvpks-OOQz5z3zLJshaScfCbz/view?usp=drivesdk","Abrir_Factura")</f>
        <v>Abrir_Factura</v>
      </c>
      <c r="AD667" s="9">
        <v>46009.397662037038</v>
      </c>
    </row>
    <row r="668" spans="1:30" ht="12.5">
      <c r="A668" s="4">
        <v>46009.404037870372</v>
      </c>
      <c r="B668" s="5">
        <v>90402</v>
      </c>
      <c r="C668" s="5">
        <v>72303526</v>
      </c>
      <c r="D668" s="5" t="s">
        <v>3405</v>
      </c>
      <c r="F668" s="5" t="s">
        <v>116</v>
      </c>
      <c r="H668" s="5">
        <v>573157555579</v>
      </c>
      <c r="J668" s="5" t="s">
        <v>3406</v>
      </c>
      <c r="K668" s="5" t="s">
        <v>33</v>
      </c>
      <c r="L668" s="5" t="s">
        <v>34</v>
      </c>
      <c r="N668" s="6">
        <v>46009</v>
      </c>
      <c r="O668" s="7">
        <v>0.41666666666666669</v>
      </c>
      <c r="P668" s="5">
        <v>1</v>
      </c>
      <c r="Q668" s="5" t="s">
        <v>178</v>
      </c>
      <c r="R668" s="5">
        <v>100000</v>
      </c>
      <c r="S668" s="5">
        <v>0</v>
      </c>
      <c r="T668" s="5">
        <v>0</v>
      </c>
      <c r="U668" s="5">
        <v>100000</v>
      </c>
      <c r="W668" s="5" t="s">
        <v>36</v>
      </c>
      <c r="X668" s="5" t="s">
        <v>83</v>
      </c>
      <c r="AA668" s="5" t="s">
        <v>44</v>
      </c>
      <c r="AB668" s="5" t="s">
        <v>3407</v>
      </c>
      <c r="AC668" s="8" t="str">
        <f>HYPERLINK("https://drive.google.com/file/d/1Cn1nZf1TOqWcNDn-ZRcpyTDvk2WQaXGw/view?usp=drivesdk","Abrir_Factura")</f>
        <v>Abrir_Factura</v>
      </c>
      <c r="AD668" s="9">
        <v>46009.404768518521</v>
      </c>
    </row>
    <row r="669" spans="1:30" ht="12.5">
      <c r="A669" s="4">
        <v>46009.411268819444</v>
      </c>
      <c r="B669" s="5">
        <v>90403</v>
      </c>
      <c r="C669" s="5">
        <v>1065635561</v>
      </c>
      <c r="D669" s="5" t="s">
        <v>3408</v>
      </c>
      <c r="F669" s="5" t="s">
        <v>3409</v>
      </c>
      <c r="H669" s="5" t="s">
        <v>25421</v>
      </c>
      <c r="J669" s="5" t="s">
        <v>3410</v>
      </c>
      <c r="K669" s="5" t="s">
        <v>33</v>
      </c>
      <c r="L669" s="5" t="s">
        <v>34</v>
      </c>
      <c r="M669" s="5" t="s">
        <v>3411</v>
      </c>
      <c r="N669" s="6">
        <v>46009</v>
      </c>
      <c r="O669" s="7">
        <v>0</v>
      </c>
      <c r="P669" s="5">
        <v>1</v>
      </c>
      <c r="Q669" s="5" t="s">
        <v>3412</v>
      </c>
      <c r="R669" s="5">
        <v>80000</v>
      </c>
      <c r="S669" s="5">
        <v>0</v>
      </c>
      <c r="T669" s="5">
        <v>0</v>
      </c>
      <c r="U669" s="5">
        <v>80000</v>
      </c>
      <c r="W669" s="5" t="s">
        <v>36</v>
      </c>
      <c r="X669" s="5" t="s">
        <v>43</v>
      </c>
      <c r="AA669" s="5" t="s">
        <v>37</v>
      </c>
      <c r="AB669" s="5" t="s">
        <v>225</v>
      </c>
      <c r="AC669" s="8" t="str">
        <f>HYPERLINK("https://drive.google.com/file/d/1SyXf20U4ey5CsWEEjKFaaitRaR6UHyzj/view?usp=drivesdk", "Abrir_Factura")</f>
        <v>Abrir_Factura</v>
      </c>
      <c r="AD669" s="9">
        <v>46009.413657407407</v>
      </c>
    </row>
    <row r="670" spans="1:30" ht="12.5">
      <c r="A670" s="4">
        <v>46009.416479131949</v>
      </c>
      <c r="B670" s="5">
        <v>90404</v>
      </c>
      <c r="C670" s="5">
        <v>22519735</v>
      </c>
      <c r="D670" s="5" t="s">
        <v>3413</v>
      </c>
      <c r="F670" s="5" t="s">
        <v>3414</v>
      </c>
      <c r="H670" s="5">
        <v>57205420111</v>
      </c>
      <c r="J670" s="5" t="s">
        <v>3415</v>
      </c>
      <c r="K670" s="5" t="s">
        <v>33</v>
      </c>
      <c r="L670" s="5" t="s">
        <v>34</v>
      </c>
      <c r="M670" s="5">
        <v>205420111</v>
      </c>
      <c r="N670" s="6">
        <v>46009</v>
      </c>
      <c r="O670" s="7">
        <v>0.625</v>
      </c>
      <c r="P670" s="5">
        <v>1</v>
      </c>
      <c r="Q670" s="5" t="s">
        <v>42</v>
      </c>
      <c r="R670" s="5">
        <v>146000</v>
      </c>
      <c r="S670" s="5">
        <v>0</v>
      </c>
      <c r="T670" s="5">
        <v>0</v>
      </c>
      <c r="U670" s="5">
        <v>146000</v>
      </c>
      <c r="W670" s="5" t="s">
        <v>36</v>
      </c>
      <c r="X670" s="5" t="s">
        <v>196</v>
      </c>
      <c r="AA670" s="5" t="s">
        <v>1717</v>
      </c>
      <c r="AB670" s="5" t="s">
        <v>3416</v>
      </c>
      <c r="AC670" s="8" t="str">
        <f>HYPERLINK("https://drive.google.com/file/d/11L_yMAtokzyd57t4Vytc_1Rd8fywpCfI/view?usp=drivesdk", "Abrir_Factura")</f>
        <v>Abrir_Factura</v>
      </c>
      <c r="AD670" s="9">
        <v>46009.714699074073</v>
      </c>
    </row>
    <row r="671" spans="1:30" ht="12.5">
      <c r="A671" s="4">
        <v>46009.402802800927</v>
      </c>
      <c r="B671" s="5">
        <v>90405</v>
      </c>
      <c r="C671" s="5">
        <v>1001945555</v>
      </c>
      <c r="D671" s="5" t="s">
        <v>3417</v>
      </c>
      <c r="F671" s="5" t="s">
        <v>3418</v>
      </c>
      <c r="H671" s="5">
        <v>573167262441</v>
      </c>
      <c r="J671" s="5" t="s">
        <v>3419</v>
      </c>
      <c r="K671" s="5" t="s">
        <v>314</v>
      </c>
      <c r="L671" s="5" t="s">
        <v>3420</v>
      </c>
      <c r="M671" s="5">
        <v>3167262441</v>
      </c>
      <c r="N671" s="6">
        <v>46009</v>
      </c>
      <c r="O671" s="7">
        <v>0.45416666666666666</v>
      </c>
      <c r="P671" s="5">
        <v>1</v>
      </c>
      <c r="Q671" s="5" t="s">
        <v>178</v>
      </c>
      <c r="R671" s="5">
        <v>100000</v>
      </c>
      <c r="S671" s="5">
        <v>0</v>
      </c>
      <c r="T671" s="5">
        <v>15000</v>
      </c>
      <c r="U671" s="5">
        <v>115000</v>
      </c>
      <c r="V671" s="5" t="s">
        <v>3421</v>
      </c>
      <c r="W671" s="5" t="s">
        <v>36</v>
      </c>
      <c r="X671" s="5" t="s">
        <v>83</v>
      </c>
      <c r="AA671" s="5" t="s">
        <v>69</v>
      </c>
      <c r="AB671" s="5" t="s">
        <v>3407</v>
      </c>
      <c r="AC671" s="8" t="str">
        <f>HYPERLINK("https://drive.google.com/file/d/1Am8gVQ56dqvEmYLUW8v6nu074CxlU_tX/view?usp=drivesdk","Abrir_Factura")</f>
        <v>Abrir_Factura</v>
      </c>
      <c r="AD671" s="9">
        <v>46009.427025462966</v>
      </c>
    </row>
    <row r="672" spans="1:30" ht="12.5">
      <c r="A672" s="4">
        <v>46009.432639664352</v>
      </c>
      <c r="B672" s="5">
        <v>90406</v>
      </c>
      <c r="C672" s="5">
        <v>72148947</v>
      </c>
      <c r="D672" s="5" t="s">
        <v>362</v>
      </c>
      <c r="F672" s="5" t="s">
        <v>1070</v>
      </c>
      <c r="H672" s="5">
        <v>573126600430</v>
      </c>
      <c r="J672" s="5" t="s">
        <v>3422</v>
      </c>
      <c r="L672" s="5" t="s">
        <v>3423</v>
      </c>
      <c r="M672" s="5" t="s">
        <v>3424</v>
      </c>
      <c r="N672" s="6">
        <v>46009</v>
      </c>
      <c r="O672" s="7">
        <v>0.45833333333333331</v>
      </c>
      <c r="P672" s="5">
        <v>1</v>
      </c>
      <c r="Q672" s="5" t="s">
        <v>42</v>
      </c>
      <c r="R672" s="5">
        <v>150000</v>
      </c>
      <c r="S672" s="5">
        <v>0</v>
      </c>
      <c r="T672" s="5"/>
      <c r="U672" s="5">
        <v>150000</v>
      </c>
      <c r="W672" s="5" t="s">
        <v>36</v>
      </c>
      <c r="X672" s="5" t="s">
        <v>43</v>
      </c>
      <c r="AA672" s="5" t="s">
        <v>44</v>
      </c>
      <c r="AB672" s="5" t="s">
        <v>3425</v>
      </c>
      <c r="AC672" s="8" t="str">
        <f>HYPERLINK("https://drive.google.com/file/d/1SVTH9ta9dRiCO3CuiP8SVYha0Nq2eOhm/view?usp=drivesdk","Abrir_Factura")</f>
        <v>Abrir_Factura</v>
      </c>
      <c r="AD672" s="9">
        <v>46009.43310185185</v>
      </c>
    </row>
    <row r="673" spans="1:30" ht="12.5">
      <c r="A673" s="4">
        <v>46009.436981296298</v>
      </c>
      <c r="B673" s="5">
        <v>90407</v>
      </c>
      <c r="C673" s="5">
        <v>22478611</v>
      </c>
      <c r="D673" s="5" t="s">
        <v>3426</v>
      </c>
      <c r="F673" s="5" t="s">
        <v>319</v>
      </c>
      <c r="H673" s="5">
        <v>573007335753</v>
      </c>
      <c r="J673" s="5" t="s">
        <v>3427</v>
      </c>
      <c r="K673" s="5" t="s">
        <v>33</v>
      </c>
      <c r="L673" s="5" t="s">
        <v>34</v>
      </c>
      <c r="M673" s="5">
        <v>3007335753</v>
      </c>
      <c r="N673" s="6">
        <v>46009</v>
      </c>
      <c r="O673" s="7">
        <v>0</v>
      </c>
      <c r="P673" s="5">
        <v>1</v>
      </c>
      <c r="Q673" s="5" t="s">
        <v>375</v>
      </c>
      <c r="R673" s="5">
        <v>70000</v>
      </c>
      <c r="S673" s="5">
        <v>0</v>
      </c>
      <c r="T673" s="5">
        <v>0</v>
      </c>
      <c r="U673" s="5">
        <v>70000</v>
      </c>
      <c r="V673" s="5" t="s">
        <v>3428</v>
      </c>
      <c r="W673" s="5" t="s">
        <v>36</v>
      </c>
      <c r="X673" s="5" t="s">
        <v>83</v>
      </c>
      <c r="AA673" s="5" t="s">
        <v>44</v>
      </c>
      <c r="AC673" s="8" t="str">
        <f>HYPERLINK("https://drive.google.com/file/d/1MCtWnmIeHWRU0xD15p2MzfJEgrQDcJxN/view?usp=drivesdk", "Abrir_Factura")</f>
        <v>Abrir_Factura</v>
      </c>
      <c r="AD673" s="9">
        <v>46009.454859594909</v>
      </c>
    </row>
    <row r="674" spans="1:30" ht="12.5">
      <c r="A674" s="4">
        <v>46009.436031458332</v>
      </c>
      <c r="B674" s="5">
        <v>90408</v>
      </c>
      <c r="C674" s="5">
        <v>1047038579</v>
      </c>
      <c r="D674" s="5" t="s">
        <v>3429</v>
      </c>
      <c r="F674" s="5" t="s">
        <v>3430</v>
      </c>
      <c r="H674" s="5">
        <v>573245840057</v>
      </c>
      <c r="J674" s="5" t="s">
        <v>3431</v>
      </c>
      <c r="K674" s="5" t="s">
        <v>401</v>
      </c>
      <c r="L674" s="5" t="s">
        <v>3432</v>
      </c>
      <c r="M674" s="5">
        <v>3001438797</v>
      </c>
      <c r="N674" s="6">
        <v>46009</v>
      </c>
      <c r="O674" s="7">
        <v>0.58333333333333337</v>
      </c>
      <c r="P674" s="5">
        <v>1</v>
      </c>
      <c r="Q674" s="5" t="s">
        <v>42</v>
      </c>
      <c r="R674" s="5">
        <v>100000</v>
      </c>
      <c r="S674" s="5">
        <v>0</v>
      </c>
      <c r="T674" s="5">
        <v>12000</v>
      </c>
      <c r="U674" s="5">
        <v>112000</v>
      </c>
      <c r="V674" s="5" t="s">
        <v>3433</v>
      </c>
      <c r="W674" s="5" t="s">
        <v>36</v>
      </c>
      <c r="X674" s="5" t="s">
        <v>83</v>
      </c>
      <c r="AA674" s="5" t="s">
        <v>44</v>
      </c>
      <c r="AB674" s="5" t="s">
        <v>3434</v>
      </c>
      <c r="AC674" s="8" t="str">
        <f>HYPERLINK("https://drive.google.com/file/d/1WtRv_prGJW3sJgW647Pzj4-dnSx9hwEc/view?usp=drivesdk","Abrir_Factura")</f>
        <v>Abrir_Factura</v>
      </c>
      <c r="AD674" s="9">
        <v>46009.448368055557</v>
      </c>
    </row>
    <row r="675" spans="1:30" ht="12.5">
      <c r="A675" s="4">
        <v>46009.44644240741</v>
      </c>
      <c r="B675" s="5">
        <v>90409</v>
      </c>
      <c r="C675" s="5">
        <v>1140860616</v>
      </c>
      <c r="D675" s="5" t="s">
        <v>3435</v>
      </c>
      <c r="F675" s="5" t="s">
        <v>3436</v>
      </c>
      <c r="H675" s="5">
        <v>573042045457</v>
      </c>
      <c r="J675" s="5" t="s">
        <v>3437</v>
      </c>
      <c r="K675" s="5" t="s">
        <v>975</v>
      </c>
      <c r="L675" s="5" t="s">
        <v>3438</v>
      </c>
      <c r="N675" s="6">
        <v>46009</v>
      </c>
      <c r="O675" s="7">
        <v>0.58333333333333337</v>
      </c>
      <c r="P675" s="5">
        <v>1</v>
      </c>
      <c r="Q675" s="5" t="s">
        <v>2120</v>
      </c>
      <c r="R675" s="5">
        <v>200000</v>
      </c>
      <c r="S675" s="5">
        <v>0</v>
      </c>
      <c r="T675" s="5">
        <v>10000</v>
      </c>
      <c r="U675" s="5">
        <v>210000</v>
      </c>
      <c r="V675" s="5" t="s">
        <v>3439</v>
      </c>
      <c r="W675" s="5" t="s">
        <v>36</v>
      </c>
      <c r="X675" s="5" t="s">
        <v>83</v>
      </c>
      <c r="AA675" s="5" t="s">
        <v>44</v>
      </c>
      <c r="AC675" s="8" t="str">
        <f>HYPERLINK("https://drive.google.com/file/d/1qM1MS8iJSKUDx04lJglR-DlsT-uC8kES/view?usp=drivesdk","Abrir_Factura")</f>
        <v>Abrir_Factura</v>
      </c>
      <c r="AD675" s="9">
        <v>46009.461608796293</v>
      </c>
    </row>
    <row r="676" spans="1:30" ht="12.5">
      <c r="A676" s="4">
        <v>46009.477069652778</v>
      </c>
      <c r="B676" s="5">
        <v>90410</v>
      </c>
      <c r="C676" s="5">
        <v>1140838222</v>
      </c>
      <c r="D676" s="5" t="s">
        <v>1651</v>
      </c>
      <c r="F676" s="5" t="s">
        <v>2560</v>
      </c>
      <c r="H676" s="5">
        <v>573012780735</v>
      </c>
      <c r="J676" s="5" t="s">
        <v>3440</v>
      </c>
      <c r="K676" s="5" t="s">
        <v>33</v>
      </c>
      <c r="L676" s="5" t="s">
        <v>34</v>
      </c>
      <c r="M676" s="5">
        <v>3012780735</v>
      </c>
      <c r="N676" s="6">
        <v>46009</v>
      </c>
      <c r="O676" s="7">
        <v>0</v>
      </c>
      <c r="P676" s="5">
        <v>1</v>
      </c>
      <c r="Q676" s="5" t="s">
        <v>187</v>
      </c>
      <c r="R676" s="5">
        <v>200000</v>
      </c>
      <c r="S676" s="5">
        <v>0</v>
      </c>
      <c r="T676" s="5">
        <v>0</v>
      </c>
      <c r="U676" s="5">
        <v>200000</v>
      </c>
      <c r="W676" s="5" t="s">
        <v>36</v>
      </c>
      <c r="X676" s="5" t="s">
        <v>196</v>
      </c>
      <c r="AA676" s="5" t="s">
        <v>1717</v>
      </c>
      <c r="AC676" s="8" t="str">
        <f>HYPERLINK("https://drive.google.com/file/d/1wbh4ua9La4I0E9oxSdh4KXGbH5XpdMe_/view?usp=drivesdk","Abrir_Factura")</f>
        <v>Abrir_Factura</v>
      </c>
      <c r="AD676" s="9">
        <v>46009.478356481479</v>
      </c>
    </row>
    <row r="677" spans="1:30" ht="12.5">
      <c r="A677" s="4">
        <v>46009.463733657409</v>
      </c>
      <c r="B677" s="5">
        <v>90411</v>
      </c>
      <c r="C677" s="5">
        <v>1129571610</v>
      </c>
      <c r="D677" s="5" t="s">
        <v>3441</v>
      </c>
      <c r="F677" s="5" t="s">
        <v>3442</v>
      </c>
      <c r="H677" s="5">
        <v>573137958983</v>
      </c>
      <c r="J677" s="5" t="s">
        <v>3443</v>
      </c>
      <c r="K677" s="5" t="s">
        <v>813</v>
      </c>
      <c r="L677" s="5" t="s">
        <v>3444</v>
      </c>
      <c r="M677" s="5">
        <v>3137958983</v>
      </c>
      <c r="N677" s="6">
        <v>46009</v>
      </c>
      <c r="O677" s="7">
        <v>0</v>
      </c>
      <c r="P677" s="5">
        <v>1</v>
      </c>
      <c r="Q677" s="5" t="s">
        <v>330</v>
      </c>
      <c r="R677" s="5">
        <v>180000</v>
      </c>
      <c r="S677" s="5">
        <v>0</v>
      </c>
      <c r="T677" s="5">
        <v>15000</v>
      </c>
      <c r="U677" s="5">
        <v>195000</v>
      </c>
      <c r="V677" s="5" t="s">
        <v>3445</v>
      </c>
      <c r="W677" s="5" t="s">
        <v>36</v>
      </c>
      <c r="X677" s="5" t="s">
        <v>83</v>
      </c>
      <c r="Z677" s="5" t="s">
        <v>3446</v>
      </c>
      <c r="AA677" s="5" t="s">
        <v>69</v>
      </c>
      <c r="AC677" s="8" t="str">
        <f>HYPERLINK("https://drive.google.com/file/d/1nevce9UdCGJclx8qoSvnu5LiXIhqA0tc/view?usp=drivesdk","Abrir_Factura")</f>
        <v>Abrir_Factura</v>
      </c>
      <c r="AD677" s="9">
        <v>46009.489745370367</v>
      </c>
    </row>
    <row r="678" spans="1:30" ht="12.5">
      <c r="A678" s="4">
        <v>46009.495840844902</v>
      </c>
      <c r="B678" s="5">
        <v>90412</v>
      </c>
      <c r="C678" s="5">
        <v>1020792146</v>
      </c>
      <c r="D678" s="5" t="s">
        <v>3447</v>
      </c>
      <c r="F678" s="5" t="s">
        <v>3448</v>
      </c>
      <c r="H678" s="5">
        <v>573208500979</v>
      </c>
      <c r="J678" s="5" t="s">
        <v>3449</v>
      </c>
      <c r="K678" s="5" t="s">
        <v>33</v>
      </c>
      <c r="L678" s="5" t="s">
        <v>34</v>
      </c>
      <c r="M678" s="5">
        <v>2410302734</v>
      </c>
      <c r="N678" s="6">
        <v>46009</v>
      </c>
      <c r="O678" s="7">
        <v>0</v>
      </c>
      <c r="P678" s="5">
        <v>1</v>
      </c>
      <c r="Q678" s="5" t="s">
        <v>133</v>
      </c>
      <c r="R678" s="5">
        <v>140000</v>
      </c>
      <c r="S678" s="5">
        <v>0</v>
      </c>
      <c r="T678" s="5">
        <v>0</v>
      </c>
      <c r="U678" s="5">
        <v>140000</v>
      </c>
      <c r="W678" s="5" t="s">
        <v>36</v>
      </c>
      <c r="X678" s="5" t="s">
        <v>43</v>
      </c>
      <c r="AA678" s="5" t="s">
        <v>37</v>
      </c>
      <c r="AC678" s="8" t="str">
        <f>HYPERLINK("https://drive.google.com/file/d/1djCiGIIYbpRl9ITSDqkJ5R8PRzzdsypy/view?usp=drivesdk","Abrir_Factura")</f>
        <v>Abrir_Factura</v>
      </c>
      <c r="AD678" s="9">
        <v>46009.496307870373</v>
      </c>
    </row>
    <row r="679" spans="1:30" ht="12.5">
      <c r="A679" s="4">
        <v>46009.508515706024</v>
      </c>
      <c r="B679" s="5">
        <v>90413</v>
      </c>
      <c r="C679" s="5">
        <v>52417265</v>
      </c>
      <c r="D679" s="5" t="s">
        <v>3450</v>
      </c>
      <c r="F679" s="5" t="s">
        <v>1450</v>
      </c>
      <c r="H679" s="5">
        <v>573002627762</v>
      </c>
      <c r="J679" s="5" t="s">
        <v>3451</v>
      </c>
      <c r="K679" s="5" t="s">
        <v>33</v>
      </c>
      <c r="L679" s="5" t="s">
        <v>34</v>
      </c>
      <c r="M679" s="5">
        <v>3002627762</v>
      </c>
      <c r="N679" s="6">
        <v>46010</v>
      </c>
      <c r="O679" s="7">
        <v>0.375</v>
      </c>
      <c r="P679" s="5">
        <v>1</v>
      </c>
      <c r="Q679" s="5" t="s">
        <v>42</v>
      </c>
      <c r="R679" s="5">
        <v>128000</v>
      </c>
      <c r="S679" s="5">
        <v>0</v>
      </c>
      <c r="T679" s="5">
        <v>0</v>
      </c>
      <c r="U679" s="5">
        <v>128000</v>
      </c>
      <c r="W679" s="5" t="s">
        <v>36</v>
      </c>
      <c r="X679" s="5" t="s">
        <v>43</v>
      </c>
      <c r="AA679" s="5" t="s">
        <v>44</v>
      </c>
      <c r="AC679" s="8" t="str">
        <f>HYPERLINK("https://drive.google.com/file/d/1EoKUpC-_tag5L5NlDD48bq4LoIqLmqK3/view?usp=drivesdk", "Abrir_Factura")</f>
        <v>Abrir_Factura</v>
      </c>
      <c r="AD679" s="9">
        <v>46010.485451388886</v>
      </c>
    </row>
    <row r="680" spans="1:30" ht="12.5">
      <c r="A680" s="4">
        <v>46009.510338865744</v>
      </c>
      <c r="B680" s="5">
        <v>90414</v>
      </c>
      <c r="C680" s="5">
        <v>39779176</v>
      </c>
      <c r="D680" s="5" t="s">
        <v>3452</v>
      </c>
      <c r="F680" s="5" t="s">
        <v>498</v>
      </c>
      <c r="H680" s="5">
        <v>573185357533</v>
      </c>
      <c r="J680" s="5" t="s">
        <v>3453</v>
      </c>
      <c r="K680" s="5" t="s">
        <v>73</v>
      </c>
      <c r="L680" s="5" t="s">
        <v>3454</v>
      </c>
      <c r="M680" s="5">
        <v>3157221930</v>
      </c>
      <c r="N680" s="6">
        <v>46013</v>
      </c>
      <c r="O680" s="7">
        <v>0.33888888888888891</v>
      </c>
      <c r="P680" s="5">
        <v>1</v>
      </c>
      <c r="Q680" s="5" t="s">
        <v>734</v>
      </c>
      <c r="R680" s="5">
        <v>90000</v>
      </c>
      <c r="S680" s="5">
        <v>0</v>
      </c>
      <c r="T680" s="5">
        <v>8000</v>
      </c>
      <c r="U680" s="5">
        <v>98000</v>
      </c>
      <c r="V680" s="5" t="s">
        <v>3455</v>
      </c>
      <c r="W680" s="5" t="s">
        <v>36</v>
      </c>
      <c r="X680" s="5" t="s">
        <v>180</v>
      </c>
      <c r="AA680" s="5" t="s">
        <v>69</v>
      </c>
      <c r="AC680" s="8" t="str">
        <f>HYPERLINK("https://drive.google.com/file/d/13-WMx1Axc9yADCZM6rPYkq0jMOU-WbOt/view?usp=drivesdk", "Abrir_Factura")</f>
        <v>Abrir_Factura</v>
      </c>
      <c r="AD680" s="9">
        <v>46009.524201388886</v>
      </c>
    </row>
    <row r="681" spans="1:30" ht="12.5">
      <c r="A681" s="4">
        <v>46009.509817280094</v>
      </c>
      <c r="B681" s="5">
        <v>90415</v>
      </c>
      <c r="C681" s="5">
        <v>1020802657</v>
      </c>
      <c r="D681" s="5" t="s">
        <v>3450</v>
      </c>
      <c r="F681" s="5" t="s">
        <v>3456</v>
      </c>
      <c r="H681" s="5">
        <v>573162513611</v>
      </c>
      <c r="J681" s="5" t="s">
        <v>3457</v>
      </c>
      <c r="K681" s="5" t="s">
        <v>73</v>
      </c>
      <c r="L681" s="5" t="s">
        <v>3458</v>
      </c>
      <c r="M681" s="5">
        <v>3012513611</v>
      </c>
      <c r="N681" s="6">
        <v>46009</v>
      </c>
      <c r="O681" s="7">
        <v>0.58333333333333337</v>
      </c>
      <c r="P681" s="5">
        <v>1</v>
      </c>
      <c r="Q681" s="5" t="s">
        <v>3142</v>
      </c>
      <c r="R681" s="5">
        <v>260000</v>
      </c>
      <c r="S681" s="5">
        <v>0</v>
      </c>
      <c r="T681" s="5">
        <v>8000</v>
      </c>
      <c r="U681" s="5">
        <v>268000</v>
      </c>
      <c r="V681" s="5" t="s">
        <v>3459</v>
      </c>
      <c r="W681" s="5" t="s">
        <v>36</v>
      </c>
      <c r="X681" s="5" t="s">
        <v>1937</v>
      </c>
      <c r="AA681" s="5" t="s">
        <v>44</v>
      </c>
      <c r="AB681" s="5" t="s">
        <v>3460</v>
      </c>
      <c r="AC681" s="8" t="str">
        <f>HYPERLINK("https://drive.google.com/file/d/1P4qcGi5V0jjHMBqPChaKP1ZriOnTsxeA/view?usp=drivesdk","Abrir_Factura")</f>
        <v>Abrir_Factura</v>
      </c>
      <c r="AD681" s="9">
        <v>46009.53020833333</v>
      </c>
    </row>
    <row r="682" spans="1:30" ht="12.5">
      <c r="A682" s="4">
        <v>46009.520279178236</v>
      </c>
      <c r="B682" s="5">
        <v>90416</v>
      </c>
      <c r="C682" s="5">
        <v>1140893965</v>
      </c>
      <c r="D682" s="5" t="s">
        <v>3461</v>
      </c>
      <c r="F682" s="5" t="s">
        <v>3462</v>
      </c>
      <c r="H682" s="5">
        <v>573143998822</v>
      </c>
      <c r="J682" s="5" t="s">
        <v>3463</v>
      </c>
      <c r="K682" s="5" t="s">
        <v>79</v>
      </c>
      <c r="L682" s="5" t="s">
        <v>3464</v>
      </c>
      <c r="M682" s="5">
        <v>3014871264</v>
      </c>
      <c r="N682" s="6">
        <v>46009</v>
      </c>
      <c r="O682" s="7">
        <v>0.58333333333333337</v>
      </c>
      <c r="P682" s="5">
        <v>1</v>
      </c>
      <c r="Q682" s="5" t="s">
        <v>187</v>
      </c>
      <c r="R682" s="5">
        <v>200000</v>
      </c>
      <c r="S682" s="5">
        <v>0</v>
      </c>
      <c r="T682" s="5">
        <v>10000</v>
      </c>
      <c r="U682" s="5">
        <v>210000</v>
      </c>
      <c r="V682" s="5" t="s">
        <v>3465</v>
      </c>
      <c r="W682" s="5" t="s">
        <v>36</v>
      </c>
      <c r="X682" s="5" t="s">
        <v>83</v>
      </c>
      <c r="AA682" s="5" t="s">
        <v>69</v>
      </c>
      <c r="AC682" s="8" t="str">
        <f>HYPERLINK("https://drive.google.com/file/d/13cezCxFrkLgIHeK5RI5VhxiSUyh-LQ1f/view?usp=drivesdk","Abrir_Factura")</f>
        <v>Abrir_Factura</v>
      </c>
      <c r="AD682" s="9">
        <v>46009.532997685186</v>
      </c>
    </row>
    <row r="683" spans="1:30" ht="12.5">
      <c r="A683" s="4">
        <v>46009.544844652773</v>
      </c>
      <c r="B683" s="5">
        <v>90417</v>
      </c>
      <c r="C683" s="5">
        <v>1002208919</v>
      </c>
      <c r="D683" s="5" t="s">
        <v>3466</v>
      </c>
      <c r="F683" s="5" t="s">
        <v>3467</v>
      </c>
      <c r="H683" s="5">
        <v>573024009260</v>
      </c>
      <c r="J683" s="5" t="s">
        <v>3468</v>
      </c>
      <c r="K683" s="5" t="s">
        <v>33</v>
      </c>
      <c r="L683" s="5" t="s">
        <v>34</v>
      </c>
      <c r="N683" s="6">
        <v>46010</v>
      </c>
      <c r="O683" s="7">
        <v>0.33333333333333331</v>
      </c>
      <c r="P683" s="5">
        <v>1</v>
      </c>
      <c r="Q683" s="5" t="s">
        <v>42</v>
      </c>
      <c r="R683" s="5">
        <v>85000</v>
      </c>
      <c r="S683" s="5">
        <v>0</v>
      </c>
      <c r="T683" s="5">
        <v>0</v>
      </c>
      <c r="U683" s="5">
        <v>85000</v>
      </c>
      <c r="W683" s="5" t="s">
        <v>36</v>
      </c>
      <c r="X683" s="5" t="s">
        <v>1481</v>
      </c>
      <c r="AA683" s="5" t="s">
        <v>1717</v>
      </c>
      <c r="AB683" s="5" t="s">
        <v>3469</v>
      </c>
      <c r="AC683" s="8" t="str">
        <f>HYPERLINK("https://drive.google.com/file/d/1sdLZ_-qHoYmP6F2mU8MEXdLmsY2MQ5mq/view?usp=drivesdk","Abrir_Factura")</f>
        <v>Abrir_Factura</v>
      </c>
      <c r="AD683" s="9">
        <v>46009.546331018515</v>
      </c>
    </row>
    <row r="684" spans="1:30" ht="12.5">
      <c r="A684" s="4">
        <v>46009.453035092592</v>
      </c>
      <c r="B684" s="5">
        <v>90418</v>
      </c>
      <c r="C684" s="5">
        <v>1140828850</v>
      </c>
      <c r="D684" s="5" t="s">
        <v>3470</v>
      </c>
      <c r="F684" s="5" t="s">
        <v>3471</v>
      </c>
      <c r="H684" s="5">
        <v>573008014022</v>
      </c>
      <c r="J684" s="5" t="s">
        <v>3472</v>
      </c>
      <c r="K684" s="5" t="s">
        <v>79</v>
      </c>
      <c r="L684" s="5" t="s">
        <v>3473</v>
      </c>
      <c r="M684" s="5" t="s">
        <v>3474</v>
      </c>
      <c r="N684" s="6">
        <v>46009</v>
      </c>
      <c r="O684" s="7">
        <v>0.66666666666666663</v>
      </c>
      <c r="P684" s="5">
        <v>1</v>
      </c>
      <c r="Q684" s="5" t="s">
        <v>375</v>
      </c>
      <c r="R684" s="5">
        <v>70000</v>
      </c>
      <c r="S684" s="5">
        <v>0</v>
      </c>
      <c r="T684" s="5">
        <v>10000</v>
      </c>
      <c r="U684" s="5">
        <v>80000</v>
      </c>
      <c r="V684" s="5" t="s">
        <v>3475</v>
      </c>
      <c r="W684" s="5" t="s">
        <v>36</v>
      </c>
      <c r="X684" s="5" t="s">
        <v>83</v>
      </c>
      <c r="AA684" s="5" t="s">
        <v>44</v>
      </c>
      <c r="AB684" s="5" t="s">
        <v>3476</v>
      </c>
      <c r="AC684" s="8" t="str">
        <f>HYPERLINK("https://drive.google.com/file/d/1hoEM6RGJqq1saBY4fEwKzRJAVz8iud7y/view?usp=drivesdk","Abrir_Factura")</f>
        <v>Abrir_Factura</v>
      </c>
      <c r="AD684" s="9">
        <v>46009.596215277779</v>
      </c>
    </row>
    <row r="685" spans="1:30" ht="12.5">
      <c r="A685" s="4">
        <v>46009.525415532407</v>
      </c>
      <c r="B685" s="5">
        <v>90419</v>
      </c>
      <c r="C685" s="5">
        <v>1127913646</v>
      </c>
      <c r="D685" s="5" t="s">
        <v>3477</v>
      </c>
      <c r="F685" s="5" t="s">
        <v>3478</v>
      </c>
      <c r="H685" s="5">
        <v>573176802414</v>
      </c>
      <c r="J685" s="5" t="s">
        <v>3479</v>
      </c>
      <c r="K685" s="5" t="s">
        <v>3480</v>
      </c>
      <c r="L685" s="5" t="s">
        <v>3481</v>
      </c>
      <c r="M685" s="5" t="s">
        <v>3482</v>
      </c>
      <c r="N685" s="6">
        <v>46010</v>
      </c>
      <c r="O685" s="7">
        <v>0.375</v>
      </c>
      <c r="P685" s="5">
        <v>1</v>
      </c>
      <c r="Q685" s="5" t="s">
        <v>375</v>
      </c>
      <c r="R685" s="5">
        <v>70000</v>
      </c>
      <c r="S685" s="5">
        <v>0</v>
      </c>
      <c r="T685" s="5">
        <v>20000</v>
      </c>
      <c r="U685" s="5">
        <v>90000</v>
      </c>
      <c r="V685" s="5" t="s">
        <v>3483</v>
      </c>
      <c r="W685" s="5" t="s">
        <v>36</v>
      </c>
      <c r="X685" s="5" t="s">
        <v>180</v>
      </c>
      <c r="AA685" s="5" t="s">
        <v>44</v>
      </c>
      <c r="AB685" s="5" t="s">
        <v>3484</v>
      </c>
      <c r="AC685" s="8" t="str">
        <f>HYPERLINK("https://drive.google.com/file/d/14FbBqnTlzeGiEPMIbuKeQ-a4b3xC3FDv/view?usp=drivesdk","Abrir_Factura")</f>
        <v>Abrir_Factura</v>
      </c>
      <c r="AD685" s="9">
        <v>46009.604895833334</v>
      </c>
    </row>
    <row r="686" spans="1:30" ht="12.5">
      <c r="A686" s="4">
        <v>46009.612363912034</v>
      </c>
      <c r="B686" s="5">
        <v>90420</v>
      </c>
      <c r="C686" s="5">
        <v>32760959</v>
      </c>
      <c r="D686" s="5" t="s">
        <v>3485</v>
      </c>
      <c r="F686" s="5" t="s">
        <v>3486</v>
      </c>
      <c r="H686" s="5">
        <v>573008004475</v>
      </c>
      <c r="J686" s="5" t="s">
        <v>3487</v>
      </c>
      <c r="K686" s="5" t="s">
        <v>161</v>
      </c>
      <c r="L686" s="5" t="s">
        <v>3488</v>
      </c>
      <c r="M686" s="5">
        <v>3008004475</v>
      </c>
      <c r="N686" s="6">
        <v>46009</v>
      </c>
      <c r="O686" s="7">
        <v>0.66666666666666663</v>
      </c>
      <c r="P686" s="5">
        <v>1</v>
      </c>
      <c r="Q686" s="5" t="s">
        <v>3489</v>
      </c>
      <c r="R686" s="5">
        <v>150000</v>
      </c>
      <c r="S686" s="5">
        <v>0</v>
      </c>
      <c r="T686" s="5">
        <v>8000</v>
      </c>
      <c r="U686" s="5">
        <v>158000</v>
      </c>
      <c r="V686" s="5" t="s">
        <v>3490</v>
      </c>
      <c r="W686" s="5" t="s">
        <v>36</v>
      </c>
      <c r="X686" s="5" t="s">
        <v>83</v>
      </c>
      <c r="AA686" s="5" t="s">
        <v>69</v>
      </c>
      <c r="AB686" s="5" t="s">
        <v>3491</v>
      </c>
      <c r="AC686" s="8" t="str">
        <f>HYPERLINK("https://drive.google.com/file/d/1lxUAOB5Db78pIDB99MeDUdboqeppXHcK/view?usp=drivesdk","Abrir_Factura")</f>
        <v>Abrir_Factura</v>
      </c>
      <c r="AD686" s="9">
        <v>46009.614120370374</v>
      </c>
    </row>
    <row r="687" spans="1:30" ht="12.5">
      <c r="A687" s="4">
        <v>46009.64157068287</v>
      </c>
      <c r="B687" s="5">
        <v>90421</v>
      </c>
      <c r="C687" s="5">
        <v>900521807</v>
      </c>
      <c r="D687" s="5" t="s">
        <v>1231</v>
      </c>
      <c r="F687" s="5" t="s">
        <v>2477</v>
      </c>
      <c r="H687" s="5">
        <v>573007682024</v>
      </c>
      <c r="J687" s="5" t="s">
        <v>1231</v>
      </c>
      <c r="K687" s="5" t="s">
        <v>33</v>
      </c>
      <c r="L687" s="5" t="s">
        <v>34</v>
      </c>
      <c r="M687" s="5" t="s">
        <v>3492</v>
      </c>
      <c r="N687" s="6">
        <v>46018</v>
      </c>
      <c r="O687" s="7">
        <v>0.33333333333333331</v>
      </c>
      <c r="P687" s="5">
        <v>1</v>
      </c>
      <c r="Q687" s="5" t="s">
        <v>42</v>
      </c>
      <c r="R687" s="5">
        <v>0</v>
      </c>
      <c r="S687" s="5">
        <v>0</v>
      </c>
      <c r="T687" s="5">
        <v>0</v>
      </c>
      <c r="U687" s="5">
        <v>0</v>
      </c>
      <c r="W687" s="5" t="s">
        <v>36</v>
      </c>
      <c r="X687" s="5" t="s">
        <v>43</v>
      </c>
      <c r="AA687" s="5" t="s">
        <v>44</v>
      </c>
      <c r="AB687" s="5" t="s">
        <v>3493</v>
      </c>
      <c r="AC687" s="8" t="str">
        <f>HYPERLINK("https://drive.google.com/file/d/1D6FLxw22lV6IqKO9GaJb0nWHLQvt33-E/view?usp=drivesdk","Abrir_Factura")</f>
        <v>Abrir_Factura</v>
      </c>
      <c r="AD687" s="9">
        <v>46009.64403935185</v>
      </c>
    </row>
    <row r="688" spans="1:30" ht="12.5">
      <c r="A688" s="4">
        <v>46009.648112199073</v>
      </c>
      <c r="B688" s="5">
        <v>90422</v>
      </c>
      <c r="C688" s="5">
        <v>1143448994</v>
      </c>
      <c r="D688" s="5" t="s">
        <v>480</v>
      </c>
      <c r="F688" s="5" t="s">
        <v>455</v>
      </c>
      <c r="H688" s="5">
        <v>573043190657</v>
      </c>
      <c r="J688" s="5" t="s">
        <v>3183</v>
      </c>
      <c r="K688" s="5" t="s">
        <v>33</v>
      </c>
      <c r="L688" s="5" t="s">
        <v>34</v>
      </c>
      <c r="M688" s="5">
        <v>3043190657</v>
      </c>
      <c r="N688" s="6">
        <v>46009</v>
      </c>
      <c r="O688" s="7">
        <v>0</v>
      </c>
      <c r="P688" s="5">
        <v>1</v>
      </c>
      <c r="Q688" s="5" t="s">
        <v>42</v>
      </c>
      <c r="R688" s="5">
        <v>0</v>
      </c>
      <c r="S688" s="5">
        <v>0</v>
      </c>
      <c r="T688" s="5">
        <v>0</v>
      </c>
      <c r="U688" s="5">
        <v>0</v>
      </c>
      <c r="W688" s="5" t="s">
        <v>36</v>
      </c>
      <c r="X688" s="5" t="s">
        <v>83</v>
      </c>
      <c r="AA688" s="5" t="s">
        <v>1717</v>
      </c>
      <c r="AB688" s="5" t="s">
        <v>525</v>
      </c>
      <c r="AC688" s="8" t="str">
        <f>HYPERLINK("https://drive.google.com/file/d/1e1Ft1ULq9wQeZCpkG0ua_5lbZtml2YGB/view?usp=drivesdk","Abrir_Factura")</f>
        <v>Abrir_Factura</v>
      </c>
      <c r="AD688" s="9">
        <v>46009.649965277778</v>
      </c>
    </row>
    <row r="689" spans="1:30" ht="12.5">
      <c r="A689" s="4">
        <v>46009.638391168977</v>
      </c>
      <c r="B689" s="5">
        <v>90423</v>
      </c>
      <c r="C689" s="5">
        <v>1083009291</v>
      </c>
      <c r="D689" s="5" t="s">
        <v>3494</v>
      </c>
      <c r="F689" s="5" t="s">
        <v>3495</v>
      </c>
      <c r="H689" s="5">
        <v>573004377796</v>
      </c>
      <c r="J689" s="5" t="s">
        <v>3496</v>
      </c>
      <c r="K689" s="5" t="s">
        <v>249</v>
      </c>
      <c r="L689" s="5" t="s">
        <v>3497</v>
      </c>
      <c r="M689" s="5">
        <v>3004717537</v>
      </c>
      <c r="N689" s="6">
        <v>46009</v>
      </c>
      <c r="O689" s="7">
        <v>0.70833333333333337</v>
      </c>
      <c r="P689" s="5">
        <v>1</v>
      </c>
      <c r="Q689" s="5" t="s">
        <v>375</v>
      </c>
      <c r="R689" s="5">
        <v>70000</v>
      </c>
      <c r="S689" s="5">
        <v>0</v>
      </c>
      <c r="T689" s="5">
        <v>10000</v>
      </c>
      <c r="U689" s="5">
        <v>80000</v>
      </c>
      <c r="V689" s="5" t="s">
        <v>3498</v>
      </c>
      <c r="W689" s="5" t="s">
        <v>36</v>
      </c>
      <c r="X689" s="5" t="s">
        <v>83</v>
      </c>
      <c r="AA689" s="5" t="s">
        <v>44</v>
      </c>
      <c r="AC689" s="8" t="str">
        <f>HYPERLINK("https://drive.google.com/file/d/1EYl5Wnzg70ny2zlpB7b4q2SgHiz44rPC/view?usp=drivesdk","Abrir_Factura")</f>
        <v>Abrir_Factura</v>
      </c>
      <c r="AD689" s="9">
        <v>46009.658391203702</v>
      </c>
    </row>
    <row r="690" spans="1:30" ht="12.5">
      <c r="A690" s="4">
        <v>46009.676319340273</v>
      </c>
      <c r="B690" s="5">
        <v>90424</v>
      </c>
      <c r="C690" s="5">
        <v>1143465929</v>
      </c>
      <c r="D690" s="5" t="s">
        <v>3499</v>
      </c>
      <c r="F690" s="5" t="s">
        <v>3500</v>
      </c>
      <c r="H690" s="5">
        <v>573102167454</v>
      </c>
      <c r="J690" s="5" t="s">
        <v>1639</v>
      </c>
      <c r="K690" s="5" t="s">
        <v>783</v>
      </c>
      <c r="L690" s="5" t="s">
        <v>3501</v>
      </c>
      <c r="M690" s="5">
        <v>3007664799</v>
      </c>
      <c r="N690" s="6">
        <v>46010</v>
      </c>
      <c r="O690" s="7">
        <v>0.375</v>
      </c>
      <c r="P690" s="5">
        <v>1</v>
      </c>
      <c r="Q690" s="5" t="s">
        <v>370</v>
      </c>
      <c r="R690" s="5">
        <v>260000</v>
      </c>
      <c r="S690" s="5">
        <v>0</v>
      </c>
      <c r="T690" s="5">
        <v>17000</v>
      </c>
      <c r="U690" s="5">
        <v>277000</v>
      </c>
      <c r="V690" s="5" t="s">
        <v>3502</v>
      </c>
      <c r="W690" s="5" t="s">
        <v>36</v>
      </c>
      <c r="X690" s="5" t="s">
        <v>83</v>
      </c>
      <c r="AA690" s="5" t="s">
        <v>69</v>
      </c>
      <c r="AC690" s="8" t="str">
        <f>HYPERLINK("https://drive.google.com/file/d/1btKqxi4ltbTfEwFAUSag7jWyYXfvp9TX/view?usp=drivesdk","Abrir_Factura")</f>
        <v>Abrir_Factura</v>
      </c>
      <c r="AD690" s="9">
        <v>46009.676863425928</v>
      </c>
    </row>
    <row r="691" spans="1:30" ht="12.5">
      <c r="A691" s="4">
        <v>46009.666324490739</v>
      </c>
      <c r="B691" s="5">
        <v>90425</v>
      </c>
      <c r="C691" s="5">
        <v>1140877680</v>
      </c>
      <c r="D691" s="5" t="s">
        <v>3503</v>
      </c>
      <c r="F691" s="5" t="s">
        <v>3504</v>
      </c>
      <c r="H691" s="5">
        <v>573003855188</v>
      </c>
      <c r="J691" s="5" t="s">
        <v>3505</v>
      </c>
      <c r="K691" s="5" t="s">
        <v>124</v>
      </c>
      <c r="L691" s="5" t="s">
        <v>3506</v>
      </c>
      <c r="M691" s="5">
        <v>3135247330</v>
      </c>
      <c r="N691" s="6">
        <v>46010</v>
      </c>
      <c r="O691" s="7">
        <v>0.41666666666666669</v>
      </c>
      <c r="P691" s="5">
        <v>1</v>
      </c>
      <c r="Q691" s="5" t="s">
        <v>330</v>
      </c>
      <c r="R691" s="5">
        <v>180000</v>
      </c>
      <c r="S691" s="5">
        <v>0</v>
      </c>
      <c r="T691" s="5">
        <v>12000</v>
      </c>
      <c r="U691" s="5">
        <v>192000</v>
      </c>
      <c r="V691" s="5" t="s">
        <v>3507</v>
      </c>
      <c r="W691" s="5" t="s">
        <v>36</v>
      </c>
      <c r="X691" s="5" t="s">
        <v>180</v>
      </c>
      <c r="AA691" s="5" t="s">
        <v>44</v>
      </c>
      <c r="AC691" s="8" t="str">
        <f>HYPERLINK("https://drive.google.com/file/d/1lNT4Fgm2LQHS0Rbms1JHFoenJYYXD1Zf/view?usp=drivesdk", "Abrir_Factura")</f>
        <v>Abrir_Factura</v>
      </c>
      <c r="AD691" s="9">
        <v>46009.756886574076</v>
      </c>
    </row>
    <row r="692" spans="1:30" ht="12.5">
      <c r="A692" s="4">
        <v>46009.647054664354</v>
      </c>
      <c r="B692" s="5">
        <v>90426</v>
      </c>
      <c r="C692" s="5">
        <v>1234091712</v>
      </c>
      <c r="D692" s="5" t="s">
        <v>3508</v>
      </c>
      <c r="F692" s="5" t="s">
        <v>1855</v>
      </c>
      <c r="H692" s="5">
        <v>573057683063</v>
      </c>
      <c r="J692" s="5" t="s">
        <v>3509</v>
      </c>
      <c r="K692" s="5" t="s">
        <v>103</v>
      </c>
      <c r="L692" s="5" t="s">
        <v>3510</v>
      </c>
      <c r="M692" s="5">
        <v>3225721015</v>
      </c>
      <c r="N692" s="6">
        <v>46009</v>
      </c>
      <c r="O692" s="7">
        <v>0.75</v>
      </c>
      <c r="P692" s="5">
        <v>1</v>
      </c>
      <c r="Q692" s="5" t="s">
        <v>384</v>
      </c>
      <c r="R692" s="5">
        <v>180000</v>
      </c>
      <c r="S692" s="5">
        <v>0</v>
      </c>
      <c r="T692" s="5">
        <v>10000</v>
      </c>
      <c r="U692" s="5">
        <v>190000</v>
      </c>
      <c r="V692" s="5" t="s">
        <v>3511</v>
      </c>
      <c r="W692" s="5" t="s">
        <v>36</v>
      </c>
      <c r="X692" s="5" t="s">
        <v>83</v>
      </c>
      <c r="AA692" s="5" t="s">
        <v>44</v>
      </c>
      <c r="AC692" s="8" t="str">
        <f>HYPERLINK("https://drive.google.com/file/d/19L386_axNTCEK4YiJWkfUwLBz1aKh4y7/view?usp=drivesdk","Abrir_Factura")</f>
        <v>Abrir_Factura</v>
      </c>
      <c r="AD692" s="9">
        <v>46009.682488425926</v>
      </c>
    </row>
    <row r="693" spans="1:30" ht="12.5">
      <c r="A693" s="4">
        <v>46009.681167557872</v>
      </c>
      <c r="B693" s="5">
        <v>90427</v>
      </c>
      <c r="C693" s="5">
        <v>32776419</v>
      </c>
      <c r="D693" s="5" t="s">
        <v>2367</v>
      </c>
      <c r="F693" s="5" t="s">
        <v>3512</v>
      </c>
      <c r="H693" s="5">
        <v>573112205624</v>
      </c>
      <c r="J693" s="5" t="s">
        <v>3513</v>
      </c>
      <c r="K693" s="5" t="s">
        <v>103</v>
      </c>
      <c r="L693" s="5" t="s">
        <v>3514</v>
      </c>
      <c r="M693" s="5">
        <v>3106328976</v>
      </c>
      <c r="N693" s="6">
        <v>46009</v>
      </c>
      <c r="O693" s="7">
        <v>0</v>
      </c>
      <c r="P693" s="5">
        <v>1</v>
      </c>
      <c r="Q693" s="5" t="s">
        <v>3515</v>
      </c>
      <c r="R693" s="5">
        <v>110000</v>
      </c>
      <c r="S693" s="5">
        <v>0</v>
      </c>
      <c r="T693" s="5">
        <v>10000</v>
      </c>
      <c r="U693" s="5">
        <v>120000</v>
      </c>
      <c r="V693" s="5" t="s">
        <v>3516</v>
      </c>
      <c r="W693" s="5" t="s">
        <v>36</v>
      </c>
      <c r="X693" s="5" t="s">
        <v>83</v>
      </c>
      <c r="AA693" s="5" t="s">
        <v>69</v>
      </c>
      <c r="AB693" s="5" t="s">
        <v>3517</v>
      </c>
      <c r="AC693" s="8" t="str">
        <f>HYPERLINK("https://drive.google.com/file/d/1gCoYPqF2HnR1Isyte_n1j2YznNmdLayN/view?usp=drivesdk","Abrir_Factura")</f>
        <v>Abrir_Factura</v>
      </c>
      <c r="AD693" s="9">
        <v>46009.69295138889</v>
      </c>
    </row>
    <row r="694" spans="1:30" ht="12.5">
      <c r="A694" s="4">
        <v>46009.572762025462</v>
      </c>
      <c r="B694" s="5">
        <v>90428</v>
      </c>
      <c r="C694" s="5">
        <v>1002032948</v>
      </c>
      <c r="D694" s="5" t="s">
        <v>3518</v>
      </c>
      <c r="F694" s="5" t="s">
        <v>1968</v>
      </c>
      <c r="H694" s="5">
        <v>573012785841</v>
      </c>
      <c r="J694" s="5" t="s">
        <v>3519</v>
      </c>
      <c r="K694" s="5" t="s">
        <v>879</v>
      </c>
      <c r="L694" s="5" t="s">
        <v>3520</v>
      </c>
      <c r="M694" s="5">
        <v>3012785841</v>
      </c>
      <c r="N694" s="6">
        <v>46010</v>
      </c>
      <c r="O694" s="7">
        <v>0.375</v>
      </c>
      <c r="P694" s="5">
        <v>1</v>
      </c>
      <c r="Q694" s="5" t="s">
        <v>294</v>
      </c>
      <c r="R694" s="5">
        <v>160000</v>
      </c>
      <c r="S694" s="5">
        <v>0</v>
      </c>
      <c r="T694" s="5">
        <v>20000</v>
      </c>
      <c r="U694" s="5">
        <v>180000</v>
      </c>
      <c r="W694" s="5" t="s">
        <v>36</v>
      </c>
      <c r="X694" s="5" t="s">
        <v>1481</v>
      </c>
      <c r="AA694" s="5" t="s">
        <v>69</v>
      </c>
      <c r="AB694" s="5" t="s">
        <v>3521</v>
      </c>
      <c r="AC694" s="8" t="str">
        <f>HYPERLINK("https://drive.google.com/file/d/1Qm0MOcMLF1gtgKUJjQwivEj72V0mC-2j/view?usp=drivesdk","Abrir_Factura")</f>
        <v>Abrir_Factura</v>
      </c>
      <c r="AD694" s="9">
        <v>46009.708587962959</v>
      </c>
    </row>
    <row r="695" spans="1:30" ht="12.5">
      <c r="A695" s="4">
        <v>46009.716868356481</v>
      </c>
      <c r="B695" s="5">
        <v>90429</v>
      </c>
      <c r="C695" s="5">
        <v>1001915669</v>
      </c>
      <c r="D695" s="5" t="s">
        <v>3522</v>
      </c>
      <c r="F695" s="5" t="s">
        <v>3523</v>
      </c>
      <c r="H695" s="5" t="s">
        <v>25421</v>
      </c>
      <c r="J695" s="5" t="s">
        <v>3524</v>
      </c>
      <c r="K695" s="5" t="s">
        <v>33</v>
      </c>
      <c r="L695" s="5" t="s">
        <v>34</v>
      </c>
      <c r="N695" s="6">
        <v>46009</v>
      </c>
      <c r="O695" s="7">
        <v>0</v>
      </c>
      <c r="P695" s="5">
        <v>1</v>
      </c>
      <c r="Q695" s="5" t="s">
        <v>42</v>
      </c>
      <c r="R695" s="5">
        <v>20000</v>
      </c>
      <c r="S695" s="5">
        <v>0</v>
      </c>
      <c r="T695" s="5">
        <v>0</v>
      </c>
      <c r="U695" s="5">
        <v>20000</v>
      </c>
      <c r="W695" s="5" t="s">
        <v>36</v>
      </c>
      <c r="X695" s="5" t="s">
        <v>1481</v>
      </c>
      <c r="AA695" s="5" t="s">
        <v>1717</v>
      </c>
      <c r="AC695" s="8" t="str">
        <f>HYPERLINK("https://drive.google.com/file/d/1Sdebp5JYVzR5vxL7Iqhs_pmGuktuUN6I/view?usp=drivesdk","Abrir_Factura")</f>
        <v>Abrir_Factura</v>
      </c>
      <c r="AD695" s="9">
        <v>46009.717638888891</v>
      </c>
    </row>
    <row r="696" spans="1:30" ht="12.5">
      <c r="A696" s="4">
        <v>46009.719272754628</v>
      </c>
      <c r="B696" s="5">
        <v>90430</v>
      </c>
      <c r="C696" s="5">
        <v>32748863</v>
      </c>
      <c r="D696" s="5" t="s">
        <v>521</v>
      </c>
      <c r="F696" s="5" t="s">
        <v>3525</v>
      </c>
      <c r="H696" s="5">
        <v>573174289182</v>
      </c>
      <c r="J696" s="5" t="s">
        <v>3526</v>
      </c>
      <c r="K696" s="5" t="s">
        <v>33</v>
      </c>
      <c r="L696" s="5" t="s">
        <v>34</v>
      </c>
      <c r="M696" s="5" t="s">
        <v>523</v>
      </c>
      <c r="N696" s="6">
        <v>46009</v>
      </c>
      <c r="O696" s="7">
        <v>0</v>
      </c>
      <c r="P696" s="5">
        <v>1</v>
      </c>
      <c r="Q696" s="5" t="s">
        <v>42</v>
      </c>
      <c r="R696" s="5">
        <v>23000</v>
      </c>
      <c r="S696" s="5">
        <v>0</v>
      </c>
      <c r="T696" s="5">
        <v>0</v>
      </c>
      <c r="U696" s="5">
        <v>23000</v>
      </c>
      <c r="W696" s="5" t="s">
        <v>36</v>
      </c>
      <c r="X696" s="5" t="s">
        <v>2636</v>
      </c>
      <c r="AA696" s="5" t="s">
        <v>1717</v>
      </c>
      <c r="AC696" s="8" t="str">
        <f>HYPERLINK("https://drive.google.com/file/d/1YN-NWPR2li-NyyhP1oXbHspeASfgUSKv/view?usp=drivesdk","Abrir_Factura")</f>
        <v>Abrir_Factura</v>
      </c>
      <c r="AD696" s="9">
        <v>46009.720868055556</v>
      </c>
    </row>
    <row r="697" spans="1:30" ht="12.5">
      <c r="A697" s="4">
        <v>46009.722570057871</v>
      </c>
      <c r="B697" s="5">
        <v>90431</v>
      </c>
      <c r="C697" s="5">
        <v>72217547</v>
      </c>
      <c r="D697" s="5" t="s">
        <v>1496</v>
      </c>
      <c r="F697" s="5" t="s">
        <v>3527</v>
      </c>
      <c r="H697" s="5">
        <v>573215396160</v>
      </c>
      <c r="J697" s="5" t="s">
        <v>1173</v>
      </c>
      <c r="L697" s="5" t="s">
        <v>3528</v>
      </c>
      <c r="N697" s="6">
        <v>46010</v>
      </c>
      <c r="O697" s="7">
        <v>0.45833333333333331</v>
      </c>
      <c r="P697" s="5">
        <v>1</v>
      </c>
      <c r="Q697" s="5" t="s">
        <v>50</v>
      </c>
      <c r="R697" s="5">
        <v>200000</v>
      </c>
      <c r="S697" s="5">
        <v>0</v>
      </c>
      <c r="T697" s="5"/>
      <c r="U697" s="5">
        <v>200000</v>
      </c>
      <c r="V697" s="5" t="s">
        <v>3529</v>
      </c>
      <c r="W697" s="5" t="s">
        <v>36</v>
      </c>
      <c r="X697" s="5" t="s">
        <v>196</v>
      </c>
      <c r="AA697" s="5" t="s">
        <v>1717</v>
      </c>
      <c r="AC697" s="8" t="str">
        <f>HYPERLINK("https://drive.google.com/file/d/1NCYbCYc4tflR2Mzt6huoqeU1Tuldw5C0/view?usp=drivesdk","Abrir_Factura")</f>
        <v>Abrir_Factura</v>
      </c>
      <c r="AD697" s="9">
        <v>46009.723171296297</v>
      </c>
    </row>
    <row r="698" spans="1:30" ht="12.5">
      <c r="A698" s="4">
        <v>46009.727636724536</v>
      </c>
      <c r="B698" s="5">
        <v>90432</v>
      </c>
      <c r="C698" s="5">
        <v>852847</v>
      </c>
      <c r="D698" s="5" t="s">
        <v>3530</v>
      </c>
      <c r="F698" s="5" t="s">
        <v>3531</v>
      </c>
      <c r="H698" s="5">
        <v>573103505380</v>
      </c>
      <c r="J698" s="5" t="s">
        <v>3532</v>
      </c>
      <c r="K698" s="5" t="s">
        <v>185</v>
      </c>
      <c r="L698" s="5" t="s">
        <v>3533</v>
      </c>
      <c r="M698" s="5">
        <v>3103505380</v>
      </c>
      <c r="N698" s="6">
        <v>46010</v>
      </c>
      <c r="O698" s="7">
        <v>0.375</v>
      </c>
      <c r="P698" s="5">
        <v>1</v>
      </c>
      <c r="Q698" s="5" t="s">
        <v>458</v>
      </c>
      <c r="R698" s="5">
        <v>320000</v>
      </c>
      <c r="S698" s="5">
        <v>0</v>
      </c>
      <c r="T698" s="5">
        <v>8000</v>
      </c>
      <c r="U698" s="5">
        <v>328000</v>
      </c>
      <c r="V698" s="5" t="s">
        <v>3534</v>
      </c>
      <c r="W698" s="5" t="s">
        <v>36</v>
      </c>
      <c r="X698" s="5" t="s">
        <v>83</v>
      </c>
      <c r="AA698" s="5" t="s">
        <v>44</v>
      </c>
      <c r="AB698" s="5" t="s">
        <v>3535</v>
      </c>
      <c r="AC698" s="8" t="str">
        <f>HYPERLINK("https://drive.google.com/file/d/1ZR7iBdj6Fd-szlkCkVMovGEebMZROjSC/view?usp=drivesdk","Abrir_Factura")</f>
        <v>Abrir_Factura</v>
      </c>
      <c r="AD698" s="9">
        <v>46009.747048611112</v>
      </c>
    </row>
    <row r="699" spans="1:30" ht="12.5">
      <c r="A699" s="4">
        <v>46010.303780717593</v>
      </c>
      <c r="B699" s="5">
        <v>90433</v>
      </c>
      <c r="C699" s="5">
        <v>1129572857</v>
      </c>
      <c r="D699" s="5" t="s">
        <v>3536</v>
      </c>
      <c r="F699" s="5" t="s">
        <v>3537</v>
      </c>
      <c r="H699" s="5">
        <v>573016217150</v>
      </c>
      <c r="J699" s="5" t="s">
        <v>3538</v>
      </c>
      <c r="K699" s="5" t="s">
        <v>1497</v>
      </c>
      <c r="L699" s="5" t="s">
        <v>3539</v>
      </c>
      <c r="N699" s="6">
        <v>46010</v>
      </c>
      <c r="O699" s="7">
        <v>0.33333333333333331</v>
      </c>
      <c r="P699" s="5">
        <v>1</v>
      </c>
      <c r="Q699" s="5" t="s">
        <v>734</v>
      </c>
      <c r="R699" s="5">
        <v>70000</v>
      </c>
      <c r="S699" s="5">
        <v>0</v>
      </c>
      <c r="T699" s="5">
        <v>12000</v>
      </c>
      <c r="U699" s="5">
        <v>82000</v>
      </c>
      <c r="V699" s="5" t="s">
        <v>3540</v>
      </c>
      <c r="W699" s="5" t="s">
        <v>36</v>
      </c>
      <c r="X699" s="5" t="s">
        <v>83</v>
      </c>
      <c r="AA699" s="5" t="s">
        <v>44</v>
      </c>
      <c r="AB699" s="5" t="s">
        <v>3541</v>
      </c>
      <c r="AC699" s="8" t="str">
        <f>HYPERLINK("https://drive.google.com/file/d/19RqSN1v1CdX32E-7PFRQl-xwKoL-Zk47/view?usp=drivesdk","Abrir_Factura")</f>
        <v>Abrir_Factura</v>
      </c>
      <c r="AD699" s="9">
        <v>46010.304710648146</v>
      </c>
    </row>
    <row r="700" spans="1:30" ht="12.5">
      <c r="A700" s="4">
        <v>46010.328680370367</v>
      </c>
      <c r="B700" s="5">
        <v>90434</v>
      </c>
      <c r="C700" s="5">
        <v>1140898078</v>
      </c>
      <c r="D700" s="5" t="s">
        <v>3542</v>
      </c>
      <c r="F700" s="5" t="s">
        <v>3543</v>
      </c>
      <c r="H700" s="5">
        <v>573046631211</v>
      </c>
      <c r="J700" s="5" t="s">
        <v>3544</v>
      </c>
      <c r="K700" s="5" t="s">
        <v>2509</v>
      </c>
      <c r="L700" s="5" t="s">
        <v>3545</v>
      </c>
      <c r="N700" s="6">
        <v>46010</v>
      </c>
      <c r="O700" s="7">
        <v>0.41666666666666669</v>
      </c>
      <c r="P700" s="5">
        <v>1</v>
      </c>
      <c r="Q700" s="5" t="s">
        <v>148</v>
      </c>
      <c r="R700" s="5">
        <v>200000</v>
      </c>
      <c r="S700" s="5">
        <v>0</v>
      </c>
      <c r="T700" s="5">
        <v>10000</v>
      </c>
      <c r="U700" s="5">
        <v>210000</v>
      </c>
      <c r="V700" s="5" t="s">
        <v>3546</v>
      </c>
      <c r="W700" s="5" t="s">
        <v>36</v>
      </c>
      <c r="X700" s="5" t="s">
        <v>83</v>
      </c>
      <c r="AA700" s="5" t="s">
        <v>69</v>
      </c>
      <c r="AC700" s="8" t="str">
        <f>HYPERLINK("https://drive.google.com/file/d/1OKOArW2IEMFIY60f6kPk_hKVYBDBKsSy/view?usp=drivesdk","Abrir_Factura")</f>
        <v>Abrir_Factura</v>
      </c>
      <c r="AD700" s="9">
        <v>46010.329131944447</v>
      </c>
    </row>
    <row r="701" spans="1:30" ht="12.5">
      <c r="A701" s="4">
        <v>46010.352638090277</v>
      </c>
      <c r="B701" s="5">
        <v>90435</v>
      </c>
      <c r="C701" s="5">
        <v>1140893435</v>
      </c>
      <c r="D701" s="5" t="s">
        <v>3547</v>
      </c>
      <c r="F701" s="5" t="s">
        <v>31</v>
      </c>
      <c r="H701" s="5">
        <v>573168234898</v>
      </c>
      <c r="J701" s="5" t="s">
        <v>3548</v>
      </c>
      <c r="K701" s="5" t="s">
        <v>33</v>
      </c>
      <c r="L701" s="5" t="s">
        <v>34</v>
      </c>
      <c r="M701" s="5">
        <v>3168234898</v>
      </c>
      <c r="N701" s="6">
        <v>46010</v>
      </c>
      <c r="O701" s="7">
        <v>0</v>
      </c>
      <c r="P701" s="5">
        <v>1</v>
      </c>
      <c r="Q701" s="5" t="s">
        <v>309</v>
      </c>
      <c r="R701" s="5">
        <v>80000</v>
      </c>
      <c r="S701" s="5">
        <v>0</v>
      </c>
      <c r="T701" s="5">
        <v>0</v>
      </c>
      <c r="U701" s="5">
        <v>80000</v>
      </c>
      <c r="W701" s="5" t="s">
        <v>36</v>
      </c>
      <c r="X701" s="5" t="s">
        <v>43</v>
      </c>
      <c r="AA701" s="5" t="s">
        <v>37</v>
      </c>
      <c r="AB701" s="5" t="s">
        <v>31</v>
      </c>
      <c r="AC701" s="8" t="str">
        <f>HYPERLINK("https://drive.google.com/file/d/1oD3-sgwd1CxgcQ9DNRpYM9aMENZxid6U/view?usp=drivesdk","Abrir_Factura")</f>
        <v>Abrir_Factura</v>
      </c>
      <c r="AD701" s="9">
        <v>46010.353125000001</v>
      </c>
    </row>
    <row r="702" spans="1:30" ht="12.5">
      <c r="A702" s="4">
        <v>46010.326475902781</v>
      </c>
      <c r="B702" s="5">
        <v>90436</v>
      </c>
      <c r="C702" s="5">
        <v>1131064135</v>
      </c>
      <c r="D702" s="5" t="s">
        <v>3549</v>
      </c>
      <c r="F702" s="5" t="s">
        <v>3550</v>
      </c>
      <c r="H702" s="5">
        <v>573235129634</v>
      </c>
      <c r="J702" s="5" t="s">
        <v>3551</v>
      </c>
      <c r="K702" s="5" t="s">
        <v>33</v>
      </c>
      <c r="L702" s="5" t="s">
        <v>34</v>
      </c>
      <c r="M702" s="5">
        <v>3005876135</v>
      </c>
      <c r="N702" s="6">
        <v>46010</v>
      </c>
      <c r="O702" s="7">
        <v>0.39305555555555555</v>
      </c>
      <c r="P702" s="5">
        <v>1</v>
      </c>
      <c r="Q702" s="5" t="s">
        <v>422</v>
      </c>
      <c r="R702" s="5">
        <v>130000</v>
      </c>
      <c r="S702" s="5">
        <v>0</v>
      </c>
      <c r="T702" s="5">
        <v>0</v>
      </c>
      <c r="U702" s="5">
        <v>130000</v>
      </c>
      <c r="V702" s="5" t="s">
        <v>3552</v>
      </c>
      <c r="W702" s="5" t="s">
        <v>36</v>
      </c>
      <c r="X702" s="5" t="s">
        <v>83</v>
      </c>
      <c r="Y702" s="5" t="s">
        <v>3553</v>
      </c>
      <c r="AA702" s="5" t="s">
        <v>69</v>
      </c>
      <c r="AC702" s="8" t="str">
        <f>HYPERLINK("https://drive.google.com/file/d/1ddIaAacwHOdD5I99rITe0suwjLq36bn8/view?usp=drivesdk", "Abrir_Factura")</f>
        <v>Abrir_Factura</v>
      </c>
      <c r="AD702" s="9">
        <v>46010.378171296295</v>
      </c>
    </row>
    <row r="703" spans="1:30" ht="12.5">
      <c r="A703" s="4">
        <v>46010.346658541668</v>
      </c>
      <c r="B703" s="5">
        <v>90437</v>
      </c>
      <c r="C703" s="5">
        <v>32769928</v>
      </c>
      <c r="D703" s="5" t="s">
        <v>3554</v>
      </c>
      <c r="F703" s="5" t="s">
        <v>3555</v>
      </c>
      <c r="H703" s="5">
        <v>573133486214</v>
      </c>
      <c r="J703" s="5" t="s">
        <v>3556</v>
      </c>
      <c r="K703" s="5" t="s">
        <v>185</v>
      </c>
      <c r="L703" s="5" t="s">
        <v>3557</v>
      </c>
      <c r="M703" s="5">
        <v>3006610137</v>
      </c>
      <c r="N703" s="6">
        <v>46011</v>
      </c>
      <c r="O703" s="7">
        <v>0.40069444444444446</v>
      </c>
      <c r="P703" s="5">
        <v>1</v>
      </c>
      <c r="Q703" s="5" t="s">
        <v>2796</v>
      </c>
      <c r="R703" s="5">
        <v>350000</v>
      </c>
      <c r="S703" s="5">
        <v>0</v>
      </c>
      <c r="T703" s="5">
        <v>8000</v>
      </c>
      <c r="U703" s="5">
        <v>358000</v>
      </c>
      <c r="V703" s="5" t="s">
        <v>3558</v>
      </c>
      <c r="W703" s="5" t="s">
        <v>36</v>
      </c>
      <c r="X703" s="5" t="s">
        <v>83</v>
      </c>
      <c r="AA703" s="5" t="s">
        <v>69</v>
      </c>
      <c r="AC703" s="8" t="str">
        <f>HYPERLINK("https://drive.google.com/file/d/14A8dwxQyqf8DWxoglOpE_Yr7xXHrLgv0/view?usp=drivesdk","Abrir_Factura")</f>
        <v>Abrir_Factura</v>
      </c>
      <c r="AD703" s="9">
        <v>46010.363761574074</v>
      </c>
    </row>
    <row r="704" spans="1:30" ht="12.5">
      <c r="A704" s="4">
        <v>46010.345633344907</v>
      </c>
      <c r="B704" s="5">
        <v>90438</v>
      </c>
      <c r="C704" s="5">
        <v>1001780389</v>
      </c>
      <c r="D704" s="5" t="s">
        <v>3559</v>
      </c>
      <c r="F704" s="5" t="s">
        <v>3560</v>
      </c>
      <c r="H704" s="5">
        <v>573016888389</v>
      </c>
      <c r="J704" s="5" t="s">
        <v>3561</v>
      </c>
      <c r="K704" s="5" t="s">
        <v>1006</v>
      </c>
      <c r="L704" s="5" t="s">
        <v>3562</v>
      </c>
      <c r="M704" s="5" t="s">
        <v>25421</v>
      </c>
      <c r="N704" s="6">
        <v>46010</v>
      </c>
      <c r="O704" s="7">
        <v>0.42499999999999999</v>
      </c>
      <c r="P704" s="5">
        <v>1</v>
      </c>
      <c r="Q704" s="5" t="s">
        <v>375</v>
      </c>
      <c r="R704" s="5">
        <v>70000</v>
      </c>
      <c r="S704" s="5">
        <v>0</v>
      </c>
      <c r="T704" s="5">
        <v>18000</v>
      </c>
      <c r="U704" s="5">
        <v>88000</v>
      </c>
      <c r="V704" s="5" t="s">
        <v>3563</v>
      </c>
      <c r="W704" s="5" t="s">
        <v>36</v>
      </c>
      <c r="X704" s="5" t="s">
        <v>83</v>
      </c>
      <c r="AA704" s="5" t="s">
        <v>44</v>
      </c>
      <c r="AC704" s="8" t="str">
        <f>HYPERLINK("https://drive.google.com/file/d/14f7epOGCd7Kp5CjJU-9f5gTcQmEbDnpU/view?usp=drivesdk","Abrir_Factura")</f>
        <v>Abrir_Factura</v>
      </c>
      <c r="AD704" s="9">
        <v>46010.373831018522</v>
      </c>
    </row>
    <row r="705" spans="1:30" ht="12.5">
      <c r="A705" s="4">
        <v>46009.761765868054</v>
      </c>
      <c r="B705" s="5">
        <v>90439</v>
      </c>
      <c r="C705" s="5">
        <v>1010152196</v>
      </c>
      <c r="D705" s="5" t="s">
        <v>3564</v>
      </c>
      <c r="F705" s="5" t="s">
        <v>3565</v>
      </c>
      <c r="H705" s="5">
        <v>573153365871</v>
      </c>
      <c r="J705" s="5" t="s">
        <v>3566</v>
      </c>
      <c r="K705" s="5" t="s">
        <v>103</v>
      </c>
      <c r="L705" s="5" t="s">
        <v>3567</v>
      </c>
      <c r="M705" s="5" t="s">
        <v>3568</v>
      </c>
      <c r="N705" s="6">
        <v>46010</v>
      </c>
      <c r="O705" s="7">
        <v>0.45833333333333331</v>
      </c>
      <c r="P705" s="5">
        <v>1</v>
      </c>
      <c r="Q705" s="5" t="s">
        <v>112</v>
      </c>
      <c r="R705" s="5">
        <v>260000</v>
      </c>
      <c r="S705" s="5">
        <v>0</v>
      </c>
      <c r="T705" s="5">
        <v>10000</v>
      </c>
      <c r="U705" s="5">
        <v>270000</v>
      </c>
      <c r="V705" s="5" t="s">
        <v>3569</v>
      </c>
      <c r="W705" s="5" t="s">
        <v>36</v>
      </c>
      <c r="X705" s="5" t="s">
        <v>83</v>
      </c>
      <c r="AA705" s="5" t="s">
        <v>44</v>
      </c>
      <c r="AC705" s="8" t="str">
        <f>HYPERLINK("https://drive.google.com/file/d/1yjAXbSg26AX4i3YGVEiYVTNM6YWqYyl8/view?usp=drivesdk","Abrir_Factura")</f>
        <v>Abrir_Factura</v>
      </c>
      <c r="AD705" s="9">
        <v>46010.394942129627</v>
      </c>
    </row>
    <row r="706" spans="1:30" ht="12.5">
      <c r="A706" s="4">
        <v>46010.371920046295</v>
      </c>
      <c r="B706" s="5">
        <v>90440</v>
      </c>
      <c r="C706" s="5">
        <v>22468326</v>
      </c>
      <c r="D706" s="5" t="s">
        <v>3570</v>
      </c>
      <c r="F706" s="5" t="s">
        <v>3571</v>
      </c>
      <c r="H706" s="5">
        <v>573202117860</v>
      </c>
      <c r="J706" s="5" t="s">
        <v>3572</v>
      </c>
      <c r="K706" s="5" t="s">
        <v>33</v>
      </c>
      <c r="L706" s="5" t="s">
        <v>34</v>
      </c>
      <c r="M706" s="5">
        <v>3202117860</v>
      </c>
      <c r="N706" s="6">
        <v>46010</v>
      </c>
      <c r="O706" s="7">
        <v>0.45833333333333331</v>
      </c>
      <c r="P706" s="5">
        <v>1</v>
      </c>
      <c r="Q706" s="5" t="s">
        <v>42</v>
      </c>
      <c r="R706" s="5">
        <v>80000</v>
      </c>
      <c r="S706" s="5">
        <v>0</v>
      </c>
      <c r="T706" s="5">
        <v>0</v>
      </c>
      <c r="U706" s="5">
        <v>80000</v>
      </c>
      <c r="V706" s="5" t="s">
        <v>3573</v>
      </c>
      <c r="W706" s="5" t="s">
        <v>36</v>
      </c>
      <c r="X706" s="5" t="s">
        <v>1481</v>
      </c>
      <c r="AA706" s="5" t="s">
        <v>44</v>
      </c>
      <c r="AB706" s="5" t="s">
        <v>3574</v>
      </c>
      <c r="AC706" s="8" t="str">
        <f>HYPERLINK("https://drive.google.com/file/d/1nqhA17EqRPDA1yZ2LgQxv4dFSXVW_FR9/view?usp=drivesdk","Abrir_Factura")</f>
        <v>Abrir_Factura</v>
      </c>
      <c r="AD706" s="9">
        <v>46010.397129629629</v>
      </c>
    </row>
    <row r="707" spans="1:30" ht="12.5">
      <c r="A707" s="4">
        <v>46010.367867233799</v>
      </c>
      <c r="B707" s="5">
        <v>90441</v>
      </c>
      <c r="C707" s="5">
        <v>72283641</v>
      </c>
      <c r="D707" s="5" t="s">
        <v>3575</v>
      </c>
      <c r="F707" s="5" t="s">
        <v>3576</v>
      </c>
      <c r="H707" s="5">
        <v>573208608128</v>
      </c>
      <c r="J707" s="5" t="s">
        <v>3577</v>
      </c>
      <c r="K707" s="5" t="s">
        <v>146</v>
      </c>
      <c r="L707" s="5" t="s">
        <v>3578</v>
      </c>
      <c r="M707" s="5">
        <v>3002204810</v>
      </c>
      <c r="N707" s="6">
        <v>46010</v>
      </c>
      <c r="O707" s="7">
        <v>0.58333333333333337</v>
      </c>
      <c r="P707" s="5">
        <v>1</v>
      </c>
      <c r="Q707" s="5" t="s">
        <v>1126</v>
      </c>
      <c r="R707" s="5">
        <v>300000</v>
      </c>
      <c r="S707" s="5">
        <v>0</v>
      </c>
      <c r="T707" s="5">
        <v>12000</v>
      </c>
      <c r="U707" s="5">
        <v>312000</v>
      </c>
      <c r="V707" s="5" t="s">
        <v>3579</v>
      </c>
      <c r="W707" s="5" t="s">
        <v>36</v>
      </c>
      <c r="X707" s="5" t="s">
        <v>1937</v>
      </c>
      <c r="AA707" s="5" t="s">
        <v>69</v>
      </c>
      <c r="AC707" s="8" t="str">
        <f>HYPERLINK("https://drive.google.com/file/d/1p6DVimOXlPVCnA74EU32bBUBgFEJ2olb/view?usp=drivesdk", "Abrir_Factura")</f>
        <v>Abrir_Factura</v>
      </c>
      <c r="AD707" s="9">
        <v>46010.503287037034</v>
      </c>
    </row>
    <row r="708" spans="1:30" ht="12.5">
      <c r="A708" s="4">
        <v>46010.411186296296</v>
      </c>
      <c r="B708" s="5">
        <v>90442</v>
      </c>
      <c r="C708" s="5">
        <v>72178067</v>
      </c>
      <c r="D708" s="5" t="s">
        <v>1513</v>
      </c>
      <c r="F708" s="5" t="s">
        <v>1295</v>
      </c>
      <c r="H708" s="5">
        <v>573003182878</v>
      </c>
      <c r="J708" s="5" t="s">
        <v>3580</v>
      </c>
      <c r="K708" s="5" t="s">
        <v>33</v>
      </c>
      <c r="L708" s="5" t="s">
        <v>34</v>
      </c>
      <c r="M708" s="5">
        <v>3003182878</v>
      </c>
      <c r="N708" s="6">
        <v>46010</v>
      </c>
      <c r="O708" s="7">
        <v>0</v>
      </c>
      <c r="P708" s="5">
        <v>1</v>
      </c>
      <c r="Q708" s="5" t="s">
        <v>42</v>
      </c>
      <c r="R708" s="5">
        <v>150000</v>
      </c>
      <c r="S708" s="5">
        <v>0</v>
      </c>
      <c r="T708" s="5">
        <v>0</v>
      </c>
      <c r="U708" s="5">
        <v>150000</v>
      </c>
      <c r="W708" s="5" t="s">
        <v>36</v>
      </c>
      <c r="X708" s="5" t="s">
        <v>43</v>
      </c>
      <c r="AA708" s="5" t="s">
        <v>44</v>
      </c>
      <c r="AB708" s="5" t="s">
        <v>3581</v>
      </c>
      <c r="AC708" s="8" t="str">
        <f>HYPERLINK("https://drive.google.com/file/d/1tv3T1iynqsSXY5jDOIEIJj9jxhUdMMi0/view?usp=drivesdk","Abrir_Factura")</f>
        <v>Abrir_Factura</v>
      </c>
      <c r="AD708" s="9">
        <v>46010.412303240744</v>
      </c>
    </row>
    <row r="709" spans="1:30" ht="12.5">
      <c r="A709" s="4">
        <v>46010.416223113425</v>
      </c>
      <c r="B709" s="5">
        <v>90443</v>
      </c>
      <c r="C709" s="5">
        <v>1140880423</v>
      </c>
      <c r="D709" s="5" t="s">
        <v>1542</v>
      </c>
      <c r="F709" s="5" t="s">
        <v>451</v>
      </c>
      <c r="H709" s="5">
        <v>573006675662</v>
      </c>
      <c r="J709" s="5" t="s">
        <v>3582</v>
      </c>
      <c r="K709" s="5" t="s">
        <v>33</v>
      </c>
      <c r="L709" s="5" t="s">
        <v>34</v>
      </c>
      <c r="M709" s="5">
        <v>3006675662</v>
      </c>
      <c r="N709" s="6">
        <v>46010</v>
      </c>
      <c r="O709" s="7">
        <v>0</v>
      </c>
      <c r="P709" s="5">
        <v>1</v>
      </c>
      <c r="Q709" s="5" t="s">
        <v>1126</v>
      </c>
      <c r="R709" s="5">
        <v>300000</v>
      </c>
      <c r="S709" s="5">
        <v>0</v>
      </c>
      <c r="T709" s="5">
        <v>0</v>
      </c>
      <c r="U709" s="5">
        <v>300000</v>
      </c>
      <c r="V709" s="5" t="s">
        <v>3583</v>
      </c>
      <c r="W709" s="5" t="s">
        <v>36</v>
      </c>
      <c r="X709" s="5" t="s">
        <v>2636</v>
      </c>
      <c r="AA709" s="5" t="s">
        <v>1717</v>
      </c>
      <c r="AC709" s="8" t="str">
        <f>HYPERLINK("https://drive.google.com/file/d/1SioZirHmOFyKwvlNR-owX2vgt4zf5hhh/view?usp=drivesdk", "Abrir_Factura")</f>
        <v>Abrir_Factura</v>
      </c>
      <c r="AD709" s="9">
        <v>46010.420335648145</v>
      </c>
    </row>
    <row r="710" spans="1:30" ht="12.5">
      <c r="A710" s="4">
        <v>46010.430428877313</v>
      </c>
      <c r="B710" s="5">
        <v>90444</v>
      </c>
      <c r="C710" s="5">
        <v>468379</v>
      </c>
      <c r="D710" s="5" t="s">
        <v>3584</v>
      </c>
      <c r="F710" s="5" t="s">
        <v>93</v>
      </c>
      <c r="H710" s="5">
        <v>573014333190</v>
      </c>
      <c r="J710" s="5" t="s">
        <v>3585</v>
      </c>
      <c r="K710" s="5" t="s">
        <v>161</v>
      </c>
      <c r="L710" s="5" t="s">
        <v>3586</v>
      </c>
      <c r="N710" s="6">
        <v>46010</v>
      </c>
      <c r="O710" s="7">
        <v>0.45833333333333331</v>
      </c>
      <c r="P710" s="5">
        <v>1</v>
      </c>
      <c r="Q710" s="5" t="s">
        <v>42</v>
      </c>
      <c r="R710" s="5">
        <v>60000</v>
      </c>
      <c r="S710" s="5">
        <v>0</v>
      </c>
      <c r="T710" s="5">
        <v>8000</v>
      </c>
      <c r="U710" s="5">
        <v>68000</v>
      </c>
      <c r="W710" s="5" t="s">
        <v>36</v>
      </c>
      <c r="X710" s="5" t="s">
        <v>83</v>
      </c>
      <c r="AA710" s="5" t="s">
        <v>44</v>
      </c>
      <c r="AB710" s="5" t="s">
        <v>3587</v>
      </c>
      <c r="AC710" s="8" t="str">
        <f>HYPERLINK("https://drive.google.com/file/d/1rz4Sf2GwFfNlh4Wr4-JBaYwGWGBk5P97/view?usp=drivesdk", "Abrir_Factura")</f>
        <v>Abrir_Factura</v>
      </c>
      <c r="AD710" s="9">
        <v>46010.431944444441</v>
      </c>
    </row>
    <row r="711" spans="1:30" ht="12.5">
      <c r="A711" s="4">
        <v>46010.392677719909</v>
      </c>
      <c r="B711" s="5">
        <v>90445</v>
      </c>
      <c r="C711" s="5">
        <v>1029860780</v>
      </c>
      <c r="D711" s="5" t="s">
        <v>3588</v>
      </c>
      <c r="F711" s="5" t="s">
        <v>3589</v>
      </c>
      <c r="H711" s="5">
        <v>573005587285</v>
      </c>
      <c r="J711" s="5" t="s">
        <v>3590</v>
      </c>
      <c r="K711" s="5" t="s">
        <v>351</v>
      </c>
      <c r="L711" s="5" t="s">
        <v>3591</v>
      </c>
      <c r="M711" s="5">
        <v>3137816296</v>
      </c>
      <c r="N711" s="6">
        <v>46010</v>
      </c>
      <c r="O711" s="7">
        <v>0</v>
      </c>
      <c r="P711" s="5">
        <v>1</v>
      </c>
      <c r="Q711" s="5" t="s">
        <v>42</v>
      </c>
      <c r="R711" s="5">
        <v>20000</v>
      </c>
      <c r="S711" s="5">
        <v>0</v>
      </c>
      <c r="T711" s="5">
        <v>12000</v>
      </c>
      <c r="U711" s="5">
        <v>32000</v>
      </c>
      <c r="V711" s="5" t="s">
        <v>3592</v>
      </c>
      <c r="W711" s="5" t="s">
        <v>36</v>
      </c>
      <c r="X711" s="5" t="s">
        <v>83</v>
      </c>
      <c r="AA711" s="5" t="s">
        <v>44</v>
      </c>
      <c r="AB711" s="5" t="s">
        <v>3593</v>
      </c>
      <c r="AC711" s="8" t="str">
        <f>HYPERLINK("https://drive.google.com/file/d/1sWI6jIQ0vXQGm8y8cgRFVljvtIzdm9Y4/view?usp=drivesdk","Abrir_Factura")</f>
        <v>Abrir_Factura</v>
      </c>
      <c r="AD711" s="9">
        <v>46010.432384259257</v>
      </c>
    </row>
    <row r="712" spans="1:30" ht="12.5">
      <c r="A712" s="4">
        <v>46010.441530127311</v>
      </c>
      <c r="B712" s="5">
        <v>90446</v>
      </c>
      <c r="C712" s="5">
        <v>2410633004</v>
      </c>
      <c r="D712" s="5" t="s">
        <v>3594</v>
      </c>
      <c r="F712" s="5" t="s">
        <v>31</v>
      </c>
      <c r="H712" s="5">
        <v>573478458739</v>
      </c>
      <c r="J712" s="5" t="s">
        <v>3595</v>
      </c>
      <c r="K712" s="5" t="s">
        <v>33</v>
      </c>
      <c r="L712" s="5" t="s">
        <v>34</v>
      </c>
      <c r="M712" s="5">
        <v>3478458739</v>
      </c>
      <c r="N712" s="6">
        <v>46010</v>
      </c>
      <c r="O712" s="7">
        <v>0</v>
      </c>
      <c r="P712" s="5">
        <v>1</v>
      </c>
      <c r="Q712" s="5" t="s">
        <v>178</v>
      </c>
      <c r="R712" s="5">
        <v>100000</v>
      </c>
      <c r="S712" s="5">
        <v>0</v>
      </c>
      <c r="T712" s="5">
        <v>0</v>
      </c>
      <c r="U712" s="5">
        <v>100000</v>
      </c>
      <c r="W712" s="5" t="s">
        <v>36</v>
      </c>
      <c r="X712" s="5" t="s">
        <v>43</v>
      </c>
      <c r="AA712" s="5" t="s">
        <v>37</v>
      </c>
      <c r="AC712" s="8" t="str">
        <f>HYPERLINK("https://drive.google.com/file/d/18JBp5j1NzQVnBwBzz2nwjtpLLoR4sfxK/view?usp=drivesdk","Abrir_Factura")</f>
        <v>Abrir_Factura</v>
      </c>
      <c r="AD712" s="9">
        <v>46010.449456018519</v>
      </c>
    </row>
    <row r="713" spans="1:30" ht="12.5">
      <c r="A713" s="4">
        <v>46010.449012581019</v>
      </c>
      <c r="B713" s="5">
        <v>90447</v>
      </c>
      <c r="C713" s="5">
        <v>45565072</v>
      </c>
      <c r="D713" s="5" t="s">
        <v>3596</v>
      </c>
      <c r="F713" s="5" t="s">
        <v>3597</v>
      </c>
      <c r="H713" s="5">
        <v>573143556216</v>
      </c>
      <c r="J713" s="5" t="s">
        <v>3598</v>
      </c>
      <c r="K713" s="5" t="s">
        <v>185</v>
      </c>
      <c r="L713" s="5" t="s">
        <v>3599</v>
      </c>
      <c r="N713" s="6">
        <v>46010</v>
      </c>
      <c r="O713" s="7">
        <v>0.48472222222222222</v>
      </c>
      <c r="P713" s="5">
        <v>1</v>
      </c>
      <c r="Q713" s="5" t="s">
        <v>309</v>
      </c>
      <c r="R713" s="5">
        <v>80000</v>
      </c>
      <c r="S713" s="5">
        <v>0</v>
      </c>
      <c r="T713" s="5">
        <v>8000</v>
      </c>
      <c r="U713" s="5">
        <v>88000</v>
      </c>
      <c r="V713" s="5" t="s">
        <v>3600</v>
      </c>
      <c r="W713" s="5" t="s">
        <v>36</v>
      </c>
      <c r="X713" s="5" t="s">
        <v>83</v>
      </c>
      <c r="AA713" s="5" t="s">
        <v>44</v>
      </c>
      <c r="AB713" s="5"/>
      <c r="AC713" s="8" t="str">
        <f>HYPERLINK("https://drive.google.com/file/d/1gSS-Ja6GX4WQyklr8oq8Cpon1JWzj025/view?usp=drivesdk","Abrir_Factura")</f>
        <v>Abrir_Factura</v>
      </c>
      <c r="AD713" s="9">
        <v>46010.450011574074</v>
      </c>
    </row>
    <row r="714" spans="1:30" ht="12.5">
      <c r="A714" s="4">
        <v>46010.458373483794</v>
      </c>
      <c r="B714" s="5">
        <v>90448</v>
      </c>
      <c r="C714" s="5">
        <v>1082912070</v>
      </c>
      <c r="D714" s="5" t="s">
        <v>2856</v>
      </c>
      <c r="F714" s="5" t="s">
        <v>3601</v>
      </c>
      <c r="H714" s="5">
        <v>57746370</v>
      </c>
      <c r="J714" s="5" t="s">
        <v>3602</v>
      </c>
      <c r="K714" s="5" t="s">
        <v>33</v>
      </c>
      <c r="L714" s="5" t="s">
        <v>34</v>
      </c>
      <c r="M714" s="5">
        <v>746370</v>
      </c>
      <c r="N714" s="6">
        <v>46010</v>
      </c>
      <c r="O714" s="7">
        <v>0.47430555555555554</v>
      </c>
      <c r="P714" s="5">
        <v>1</v>
      </c>
      <c r="Q714" s="5" t="s">
        <v>178</v>
      </c>
      <c r="R714" s="5">
        <v>100000</v>
      </c>
      <c r="S714" s="5">
        <v>0</v>
      </c>
      <c r="T714" s="5">
        <v>0</v>
      </c>
      <c r="U714" s="5">
        <v>100000</v>
      </c>
      <c r="W714" s="5" t="s">
        <v>36</v>
      </c>
      <c r="X714" s="5" t="s">
        <v>2636</v>
      </c>
      <c r="AA714" s="5" t="s">
        <v>1717</v>
      </c>
      <c r="AC714" s="8" t="str">
        <f>HYPERLINK("https://drive.google.com/file/d/1bTtrBiDIDGoTmNjPOz47Q5bXUb8jYJNM/view?usp=drivesdk", "Abrir_Factura")</f>
        <v>Abrir_Factura</v>
      </c>
      <c r="AD714" s="9">
        <v>46010.465636574074</v>
      </c>
    </row>
    <row r="715" spans="1:30" ht="12.5">
      <c r="A715" s="4">
        <v>46010.44516289352</v>
      </c>
      <c r="B715" s="5">
        <v>90449</v>
      </c>
      <c r="C715" s="5">
        <v>1140848171</v>
      </c>
      <c r="D715" s="5" t="s">
        <v>3603</v>
      </c>
      <c r="F715" s="5" t="s">
        <v>3604</v>
      </c>
      <c r="H715" s="5">
        <v>573004378731</v>
      </c>
      <c r="J715" s="5" t="s">
        <v>3605</v>
      </c>
      <c r="K715" s="5" t="s">
        <v>33</v>
      </c>
      <c r="L715" s="5" t="s">
        <v>34</v>
      </c>
      <c r="M715" s="5">
        <v>3004378731</v>
      </c>
      <c r="N715" s="6">
        <v>46010</v>
      </c>
      <c r="O715" s="7">
        <v>0.4777777777777778</v>
      </c>
      <c r="P715" s="5">
        <v>1</v>
      </c>
      <c r="Q715" s="5" t="s">
        <v>734</v>
      </c>
      <c r="R715" s="5">
        <v>90000</v>
      </c>
      <c r="S715" s="5">
        <v>0</v>
      </c>
      <c r="T715" s="5">
        <v>0</v>
      </c>
      <c r="U715" s="5">
        <v>90000</v>
      </c>
      <c r="V715" s="5" t="s">
        <v>3606</v>
      </c>
      <c r="W715" s="5" t="s">
        <v>36</v>
      </c>
      <c r="X715" s="5" t="s">
        <v>67</v>
      </c>
      <c r="AA715" s="5" t="s">
        <v>44</v>
      </c>
      <c r="AC715" s="8" t="str">
        <f>HYPERLINK("https://drive.google.com/file/d/1sJRA6gI-RIYaDeIUCrLFMW5HZh1UUMzA/view?usp=drivesdk","Abrir_Factura")</f>
        <v>Abrir_Factura</v>
      </c>
      <c r="AD715" s="9">
        <v>46010.463865740741</v>
      </c>
    </row>
    <row r="716" spans="1:30" ht="12.5">
      <c r="A716" s="4">
        <v>46010.439369270833</v>
      </c>
      <c r="B716" s="5">
        <v>90450</v>
      </c>
      <c r="C716" s="5">
        <v>1140825082</v>
      </c>
      <c r="D716" s="5" t="s">
        <v>1742</v>
      </c>
      <c r="F716" s="5" t="s">
        <v>3607</v>
      </c>
      <c r="H716" s="5">
        <v>573002733283</v>
      </c>
      <c r="J716" s="5" t="s">
        <v>3608</v>
      </c>
      <c r="K716" s="5" t="s">
        <v>229</v>
      </c>
      <c r="L716" s="5" t="s">
        <v>3609</v>
      </c>
      <c r="M716" s="5">
        <v>3214147307</v>
      </c>
      <c r="N716" s="6">
        <v>46010</v>
      </c>
      <c r="O716" s="7">
        <v>0.58333333333333337</v>
      </c>
      <c r="P716" s="5">
        <v>1</v>
      </c>
      <c r="Q716" s="5" t="s">
        <v>3610</v>
      </c>
      <c r="R716" s="5">
        <v>255000</v>
      </c>
      <c r="S716" s="5">
        <v>0</v>
      </c>
      <c r="T716" s="5">
        <v>11000</v>
      </c>
      <c r="U716" s="5">
        <v>266000</v>
      </c>
      <c r="V716" s="5" t="s">
        <v>3611</v>
      </c>
      <c r="W716" s="5" t="s">
        <v>36</v>
      </c>
      <c r="X716" s="5" t="s">
        <v>83</v>
      </c>
      <c r="AA716" s="5" t="s">
        <v>44</v>
      </c>
      <c r="AC716" s="8" t="str">
        <f>HYPERLINK("https://drive.google.com/file/d/1fRiSz8Ax0BuRPoOpWqDhCuMTcrZq0j0q/view?usp=drivesdk","Abrir_Factura")</f>
        <v>Abrir_Factura</v>
      </c>
      <c r="AD716" s="9">
        <v>46010.473599537036</v>
      </c>
    </row>
    <row r="717" spans="1:30" ht="12.5">
      <c r="A717" s="4">
        <v>46010.475993622684</v>
      </c>
      <c r="B717" s="5">
        <v>90451</v>
      </c>
      <c r="C717" s="5">
        <v>19322053</v>
      </c>
      <c r="D717" s="5" t="s">
        <v>3612</v>
      </c>
      <c r="F717" s="5" t="s">
        <v>3613</v>
      </c>
      <c r="H717" s="5">
        <v>570000</v>
      </c>
      <c r="J717" s="5" t="s">
        <v>3614</v>
      </c>
      <c r="K717" s="5" t="s">
        <v>33</v>
      </c>
      <c r="L717" s="5" t="s">
        <v>34</v>
      </c>
      <c r="N717" s="6">
        <v>46011</v>
      </c>
      <c r="O717" s="7">
        <v>0.33333333333333331</v>
      </c>
      <c r="P717" s="5">
        <v>1</v>
      </c>
      <c r="Q717" s="5" t="s">
        <v>112</v>
      </c>
      <c r="R717" s="5">
        <v>260000</v>
      </c>
      <c r="S717" s="5">
        <v>0</v>
      </c>
      <c r="T717" s="5">
        <v>0</v>
      </c>
      <c r="U717" s="5">
        <v>260000</v>
      </c>
      <c r="W717" s="5" t="s">
        <v>36</v>
      </c>
      <c r="X717" s="5" t="s">
        <v>43</v>
      </c>
      <c r="AA717" s="5" t="s">
        <v>332</v>
      </c>
      <c r="AB717" s="5" t="s">
        <v>3615</v>
      </c>
      <c r="AC717" s="8" t="str">
        <f>HYPERLINK("https://drive.google.com/file/d/1ITdaQ34rUFUdnfUrJ8RC8d5lNf6cmkq-/view?usp=drivesdk","Abrir_Factura")</f>
        <v>Abrir_Factura</v>
      </c>
      <c r="AD717" s="9">
        <v>46010.476979166669</v>
      </c>
    </row>
    <row r="718" spans="1:30" ht="12.5">
      <c r="A718" s="4">
        <v>46010.476787129628</v>
      </c>
      <c r="B718" s="5">
        <v>90452</v>
      </c>
      <c r="C718" s="5">
        <v>9011131263</v>
      </c>
      <c r="D718" s="5" t="s">
        <v>1024</v>
      </c>
      <c r="F718" s="5" t="s">
        <v>1771</v>
      </c>
      <c r="H718" s="5">
        <v>573106313348</v>
      </c>
      <c r="J718" s="5" t="s">
        <v>1772</v>
      </c>
      <c r="K718" s="5" t="s">
        <v>33</v>
      </c>
      <c r="L718" s="5" t="s">
        <v>34</v>
      </c>
      <c r="M718" s="5">
        <v>3106313348</v>
      </c>
      <c r="N718" s="6">
        <v>46010</v>
      </c>
      <c r="O718" s="7">
        <v>0</v>
      </c>
      <c r="P718" s="5">
        <v>1</v>
      </c>
      <c r="Q718" s="5" t="s">
        <v>42</v>
      </c>
      <c r="R718" s="5">
        <v>23000</v>
      </c>
      <c r="S718" s="5">
        <v>0</v>
      </c>
      <c r="T718" s="5">
        <v>0</v>
      </c>
      <c r="U718" s="5">
        <v>23000</v>
      </c>
      <c r="W718" s="5" t="s">
        <v>36</v>
      </c>
      <c r="X718" s="5" t="s">
        <v>2636</v>
      </c>
      <c r="AA718" s="5" t="s">
        <v>1717</v>
      </c>
      <c r="AB718" s="5" t="s">
        <v>525</v>
      </c>
      <c r="AC718" s="8" t="str">
        <f>HYPERLINK("https://drive.google.com/file/d/1wOQAqQnczneTAPExjFP8urLXdzV05yuE/view?usp=drivesdk","Abrir_Factura")</f>
        <v>Abrir_Factura</v>
      </c>
      <c r="AD718" s="9">
        <v>46010.477858796294</v>
      </c>
    </row>
    <row r="719" spans="1:30" ht="12.5">
      <c r="A719" s="4">
        <v>46010.474893981482</v>
      </c>
      <c r="B719" s="5">
        <v>90453</v>
      </c>
      <c r="C719" s="5">
        <v>1045722117</v>
      </c>
      <c r="D719" s="5" t="s">
        <v>825</v>
      </c>
      <c r="F719" s="5" t="s">
        <v>3616</v>
      </c>
      <c r="H719" s="5">
        <v>573024060581</v>
      </c>
      <c r="J719" s="5" t="s">
        <v>3617</v>
      </c>
      <c r="K719" s="5" t="s">
        <v>783</v>
      </c>
      <c r="L719" s="5" t="s">
        <v>3618</v>
      </c>
      <c r="M719" s="5">
        <v>3016055825</v>
      </c>
      <c r="N719" s="6">
        <v>46010</v>
      </c>
      <c r="O719" s="7">
        <v>0</v>
      </c>
      <c r="P719" s="5">
        <v>1</v>
      </c>
      <c r="Q719" s="5" t="s">
        <v>1393</v>
      </c>
      <c r="R719" s="5">
        <v>550000</v>
      </c>
      <c r="S719" s="5">
        <v>0</v>
      </c>
      <c r="T719" s="5">
        <v>17000</v>
      </c>
      <c r="U719" s="5">
        <v>567000</v>
      </c>
      <c r="V719" s="5" t="s">
        <v>3619</v>
      </c>
      <c r="W719" s="5" t="s">
        <v>36</v>
      </c>
      <c r="X719" s="5" t="s">
        <v>180</v>
      </c>
      <c r="AA719" s="5" t="s">
        <v>44</v>
      </c>
      <c r="AC719" s="8" t="str">
        <f>HYPERLINK("https://drive.google.com/file/d/1wlSlVXq4AAIbkq4uVHteJVeE4vqmb7Ad/view?usp=drivesdk","Abrir_Factura")</f>
        <v>Abrir_Factura</v>
      </c>
      <c r="AD719" s="9">
        <v>46010.48846064815</v>
      </c>
    </row>
    <row r="720" spans="1:30" ht="12.5">
      <c r="A720" s="4">
        <v>46010.505981504626</v>
      </c>
      <c r="B720" s="5">
        <v>90454</v>
      </c>
      <c r="C720" s="5">
        <v>1002210872</v>
      </c>
      <c r="D720" s="5" t="s">
        <v>2938</v>
      </c>
      <c r="F720" s="5" t="s">
        <v>3620</v>
      </c>
      <c r="H720" s="5">
        <v>573158063644</v>
      </c>
      <c r="J720" s="5" t="s">
        <v>2940</v>
      </c>
      <c r="K720" s="5" t="s">
        <v>33</v>
      </c>
      <c r="L720" s="5" t="s">
        <v>34</v>
      </c>
      <c r="M720" s="5">
        <v>3158063644</v>
      </c>
      <c r="N720" s="6">
        <v>46010</v>
      </c>
      <c r="O720" s="7">
        <v>0</v>
      </c>
      <c r="P720" s="5">
        <v>1</v>
      </c>
      <c r="Q720" s="5" t="s">
        <v>42</v>
      </c>
      <c r="R720" s="5">
        <v>16000</v>
      </c>
      <c r="S720" s="5">
        <v>0</v>
      </c>
      <c r="T720" s="5">
        <v>0</v>
      </c>
      <c r="U720" s="5">
        <v>16000</v>
      </c>
      <c r="W720" s="5" t="s">
        <v>36</v>
      </c>
      <c r="X720" s="5" t="s">
        <v>83</v>
      </c>
      <c r="AA720" s="5" t="s">
        <v>44</v>
      </c>
      <c r="AC720" s="8" t="str">
        <f>HYPERLINK("https://drive.google.com/file/d/1US_2FaLFYuKjpPT0OkgLkbX52ZB0nYyP/view?usp=drivesdk","Abrir_Factura")</f>
        <v>Abrir_Factura</v>
      </c>
      <c r="AD720" s="9">
        <v>46010.506458333337</v>
      </c>
    </row>
    <row r="721" spans="1:30" ht="12.5">
      <c r="A721" s="4">
        <v>46010.510910266203</v>
      </c>
      <c r="B721" s="5">
        <v>90455</v>
      </c>
      <c r="C721" s="5">
        <v>1140829406</v>
      </c>
      <c r="D721" s="5" t="s">
        <v>3621</v>
      </c>
      <c r="F721" s="5" t="s">
        <v>3622</v>
      </c>
      <c r="H721" s="5">
        <v>574188057</v>
      </c>
      <c r="J721" s="5" t="s">
        <v>3623</v>
      </c>
      <c r="K721" s="5" t="s">
        <v>33</v>
      </c>
      <c r="L721" s="5" t="s">
        <v>34</v>
      </c>
      <c r="M721" s="5">
        <v>4188057</v>
      </c>
      <c r="N721" s="6">
        <v>46010</v>
      </c>
      <c r="O721" s="7">
        <v>0</v>
      </c>
      <c r="P721" s="5">
        <v>1</v>
      </c>
      <c r="Q721" s="5" t="s">
        <v>42</v>
      </c>
      <c r="R721" s="5">
        <v>12000</v>
      </c>
      <c r="S721" s="5">
        <v>0</v>
      </c>
      <c r="T721" s="5">
        <v>0</v>
      </c>
      <c r="U721" s="5">
        <v>12000</v>
      </c>
      <c r="W721" s="5" t="s">
        <v>36</v>
      </c>
      <c r="X721" s="5" t="s">
        <v>2636</v>
      </c>
      <c r="AA721" s="5" t="s">
        <v>1717</v>
      </c>
      <c r="AB721" s="5" t="s">
        <v>525</v>
      </c>
      <c r="AC721" s="8" t="str">
        <f>HYPERLINK("https://drive.google.com/file/d/1otHQFliR3CynNeBF5U-huEzTH24BWw82/view?usp=drivesdk","Abrir_Factura")</f>
        <v>Abrir_Factura</v>
      </c>
      <c r="AD721" s="9">
        <v>46010.512361111112</v>
      </c>
    </row>
    <row r="722" spans="1:30" ht="12.5">
      <c r="A722" s="4">
        <v>46010.492305451393</v>
      </c>
      <c r="B722" s="5">
        <v>90456</v>
      </c>
      <c r="C722" s="5">
        <v>72302465</v>
      </c>
      <c r="D722" s="5" t="s">
        <v>1051</v>
      </c>
      <c r="F722" s="5" t="s">
        <v>3624</v>
      </c>
      <c r="H722" s="5">
        <v>573148143879</v>
      </c>
      <c r="J722" s="5" t="s">
        <v>3625</v>
      </c>
      <c r="K722" s="5" t="s">
        <v>208</v>
      </c>
      <c r="L722" s="5" t="s">
        <v>3626</v>
      </c>
      <c r="M722" s="5">
        <v>3148143879</v>
      </c>
      <c r="N722" s="6">
        <v>46015</v>
      </c>
      <c r="O722" s="7">
        <v>0.33333333333333331</v>
      </c>
      <c r="P722" s="5">
        <v>1</v>
      </c>
      <c r="Q722" s="5" t="s">
        <v>458</v>
      </c>
      <c r="R722" s="5">
        <v>320000</v>
      </c>
      <c r="S722" s="5">
        <v>0</v>
      </c>
      <c r="T722" s="5">
        <v>10000</v>
      </c>
      <c r="U722" s="5">
        <v>330000</v>
      </c>
      <c r="V722" s="5" t="s">
        <v>3627</v>
      </c>
      <c r="W722" s="5" t="s">
        <v>36</v>
      </c>
      <c r="X722" s="5" t="s">
        <v>83</v>
      </c>
      <c r="AA722" s="5" t="s">
        <v>69</v>
      </c>
      <c r="AC722" s="8" t="str">
        <f>HYPERLINK("https://drive.google.com/file/d/1cHfp2XhdCgDUFUyK_Ev3LMmNjpGunXtB/view?usp=drivesdk", "Abrir_Factura")</f>
        <v>Abrir_Factura</v>
      </c>
      <c r="AD722" s="9">
        <v>46010.520567129628</v>
      </c>
    </row>
    <row r="723" spans="1:30" ht="12.5">
      <c r="A723" s="4">
        <v>46010.523689212961</v>
      </c>
      <c r="B723" s="5">
        <v>90457</v>
      </c>
      <c r="C723" s="5">
        <v>22551560</v>
      </c>
      <c r="D723" s="5" t="s">
        <v>3628</v>
      </c>
      <c r="F723" s="5" t="s">
        <v>3629</v>
      </c>
      <c r="H723" s="5">
        <v>573135208717</v>
      </c>
      <c r="J723" s="5" t="s">
        <v>3630</v>
      </c>
      <c r="K723" s="5" t="s">
        <v>33</v>
      </c>
      <c r="L723" s="5" t="s">
        <v>34</v>
      </c>
      <c r="M723" s="5">
        <v>3135208717</v>
      </c>
      <c r="N723" s="6">
        <v>46011</v>
      </c>
      <c r="O723" s="7">
        <v>0.375</v>
      </c>
      <c r="P723" s="5">
        <v>1</v>
      </c>
      <c r="Q723" s="5" t="s">
        <v>3111</v>
      </c>
      <c r="R723" s="5">
        <v>190000</v>
      </c>
      <c r="S723" s="5">
        <v>0</v>
      </c>
      <c r="T723" s="5">
        <v>0</v>
      </c>
      <c r="U723" s="5">
        <v>190000</v>
      </c>
      <c r="W723" s="5" t="s">
        <v>36</v>
      </c>
      <c r="X723" s="5" t="s">
        <v>2636</v>
      </c>
      <c r="AA723" s="5" t="s">
        <v>1717</v>
      </c>
      <c r="AB723" s="5" t="s">
        <v>3631</v>
      </c>
      <c r="AC723" s="8" t="str">
        <f>HYPERLINK("https://drive.google.com/file/d/1PbyRzxNFuc1XfIJq5L7SpVLqpjwFZNdN/view?usp=drivesdk","Abrir_Factura")</f>
        <v>Abrir_Factura</v>
      </c>
      <c r="AD723" s="9">
        <v>46010.525081018517</v>
      </c>
    </row>
    <row r="724" spans="1:30" ht="12.5">
      <c r="A724" s="4">
        <v>46010.532150763887</v>
      </c>
      <c r="B724" s="5">
        <v>90458</v>
      </c>
      <c r="C724" s="5">
        <v>1043660133</v>
      </c>
      <c r="D724" s="5" t="s">
        <v>3632</v>
      </c>
      <c r="F724" s="5" t="s">
        <v>3633</v>
      </c>
      <c r="H724" s="5">
        <v>576053867230</v>
      </c>
      <c r="J724" s="5" t="s">
        <v>3634</v>
      </c>
      <c r="K724" s="5" t="s">
        <v>249</v>
      </c>
      <c r="L724" s="5" t="s">
        <v>3635</v>
      </c>
      <c r="M724" s="5">
        <v>3133206091</v>
      </c>
      <c r="N724" s="6">
        <v>46010</v>
      </c>
      <c r="O724" s="7">
        <v>0.60277777777777775</v>
      </c>
      <c r="P724" s="5">
        <v>1</v>
      </c>
      <c r="Q724" s="5" t="s">
        <v>422</v>
      </c>
      <c r="R724" s="5">
        <v>130000</v>
      </c>
      <c r="S724" s="5">
        <v>0</v>
      </c>
      <c r="T724" s="5">
        <v>10000</v>
      </c>
      <c r="U724" s="5">
        <v>140000</v>
      </c>
      <c r="V724" s="5" t="s">
        <v>3636</v>
      </c>
      <c r="W724" s="5" t="s">
        <v>36</v>
      </c>
      <c r="X724" s="5" t="s">
        <v>83</v>
      </c>
      <c r="AA724" s="5" t="s">
        <v>44</v>
      </c>
      <c r="AC724" s="8" t="str">
        <f>HYPERLINK("https://drive.google.com/file/d/18z2owcZ5Db_4NDP3sBC_mQAm9JXgUwTQ/view?usp=drivesdk","Abrir_Factura")</f>
        <v>Abrir_Factura</v>
      </c>
      <c r="AD724" s="9">
        <v>46010.544872685183</v>
      </c>
    </row>
    <row r="725" spans="1:30" ht="12.5">
      <c r="A725" s="4">
        <v>46010.533774629628</v>
      </c>
      <c r="B725" s="5">
        <v>90459</v>
      </c>
      <c r="C725" s="5">
        <v>43107714</v>
      </c>
      <c r="D725" s="5" t="s">
        <v>143</v>
      </c>
      <c r="F725" s="5" t="s">
        <v>2144</v>
      </c>
      <c r="H725" s="5">
        <v>573045460222</v>
      </c>
      <c r="J725" s="5" t="s">
        <v>3637</v>
      </c>
      <c r="K725" s="5" t="s">
        <v>73</v>
      </c>
      <c r="L725" s="5" t="s">
        <v>3638</v>
      </c>
      <c r="M725" s="5">
        <v>3045460222</v>
      </c>
      <c r="N725" s="6">
        <v>46011</v>
      </c>
      <c r="O725" s="7">
        <v>0.375</v>
      </c>
      <c r="P725" s="5">
        <v>1</v>
      </c>
      <c r="Q725" s="5" t="s">
        <v>156</v>
      </c>
      <c r="R725" s="5">
        <v>70000</v>
      </c>
      <c r="S725" s="5">
        <v>0</v>
      </c>
      <c r="T725" s="5">
        <v>8000</v>
      </c>
      <c r="U725" s="5">
        <v>78000</v>
      </c>
      <c r="V725" s="5" t="s">
        <v>3639</v>
      </c>
      <c r="W725" s="5" t="s">
        <v>36</v>
      </c>
      <c r="X725" s="5" t="s">
        <v>83</v>
      </c>
      <c r="AA725" s="5" t="s">
        <v>44</v>
      </c>
      <c r="AB725" s="5" t="s">
        <v>3640</v>
      </c>
      <c r="AC725" s="8" t="str">
        <f>HYPERLINK("https://drive.google.com/file/d/1DBCR5xOCLcClWMaAPkDhtA0xWtuy2pQf/view?usp=drivesdk","Abrir_Factura")</f>
        <v>Abrir_Factura</v>
      </c>
      <c r="AD725" s="9">
        <v>46010.551874999997</v>
      </c>
    </row>
    <row r="726" spans="1:30" ht="12.5">
      <c r="A726" s="4">
        <v>46010.559476585651</v>
      </c>
      <c r="B726" s="5">
        <v>90460</v>
      </c>
      <c r="C726" s="5">
        <v>1002241187</v>
      </c>
      <c r="D726" s="5" t="s">
        <v>3641</v>
      </c>
      <c r="F726" s="5" t="s">
        <v>3642</v>
      </c>
      <c r="H726" s="5">
        <v>573015245531</v>
      </c>
      <c r="J726" s="5" t="s">
        <v>3643</v>
      </c>
      <c r="K726" s="5" t="s">
        <v>103</v>
      </c>
      <c r="L726" s="5" t="s">
        <v>3644</v>
      </c>
      <c r="N726" s="6">
        <v>46017</v>
      </c>
      <c r="O726" s="7">
        <v>0.125</v>
      </c>
      <c r="P726" s="5">
        <v>1</v>
      </c>
      <c r="Q726" s="5" t="s">
        <v>112</v>
      </c>
      <c r="R726" s="5">
        <v>260000</v>
      </c>
      <c r="S726" s="5">
        <v>0</v>
      </c>
      <c r="T726" s="5">
        <v>10000</v>
      </c>
      <c r="U726" s="5">
        <v>270000</v>
      </c>
      <c r="V726" s="5" t="s">
        <v>3645</v>
      </c>
      <c r="W726" s="5" t="s">
        <v>36</v>
      </c>
      <c r="X726" s="5" t="s">
        <v>1937</v>
      </c>
      <c r="AA726" s="5" t="s">
        <v>44</v>
      </c>
      <c r="AB726" s="5" t="s">
        <v>3646</v>
      </c>
      <c r="AC726" s="8" t="str">
        <f>HYPERLINK("https://drive.google.com/file/d/18CW1x52zgl6-OOMnhq9345bjZEEkcaXl/view?usp=drivesdk","Abrir_Factura")</f>
        <v>Abrir_Factura</v>
      </c>
      <c r="AD726" s="9">
        <v>46010.568703703706</v>
      </c>
    </row>
    <row r="727" spans="1:30" ht="12.5">
      <c r="A727" s="4">
        <v>46010.577425127311</v>
      </c>
      <c r="B727" s="5">
        <v>90461</v>
      </c>
      <c r="C727" s="5">
        <v>1007124631</v>
      </c>
      <c r="D727" s="5" t="s">
        <v>3647</v>
      </c>
      <c r="F727" s="5" t="s">
        <v>3648</v>
      </c>
      <c r="H727" s="5">
        <v>573226247690</v>
      </c>
      <c r="J727" s="5" t="s">
        <v>3649</v>
      </c>
      <c r="K727" s="5" t="s">
        <v>33</v>
      </c>
      <c r="L727" s="5" t="s">
        <v>34</v>
      </c>
      <c r="M727" s="5">
        <v>3226247690</v>
      </c>
      <c r="N727" s="6">
        <v>46010</v>
      </c>
      <c r="O727" s="7">
        <v>0</v>
      </c>
      <c r="P727" s="5">
        <v>1</v>
      </c>
      <c r="Q727" s="5" t="s">
        <v>178</v>
      </c>
      <c r="R727" s="5">
        <v>100000</v>
      </c>
      <c r="S727" s="5">
        <v>0</v>
      </c>
      <c r="T727" s="5">
        <v>0</v>
      </c>
      <c r="U727" s="5">
        <v>100000</v>
      </c>
      <c r="W727" s="5" t="s">
        <v>36</v>
      </c>
      <c r="X727" s="5" t="s">
        <v>2636</v>
      </c>
      <c r="AA727" s="5" t="s">
        <v>1717</v>
      </c>
      <c r="AC727" s="8" t="str">
        <f>HYPERLINK("https://drive.google.com/file/d/1YnSRFNhhbNDhiPnL6KjE6Yi9PMdSMeyT/view?usp=drivesdk","Abrir_Factura")</f>
        <v>Abrir_Factura</v>
      </c>
      <c r="AD727" s="9">
        <v>46010.577916666669</v>
      </c>
    </row>
    <row r="728" spans="1:30" ht="12.5">
      <c r="A728" s="4">
        <v>46010.585550185184</v>
      </c>
      <c r="B728" s="5">
        <v>90462</v>
      </c>
      <c r="C728" s="5">
        <v>1045746938</v>
      </c>
      <c r="D728" s="5" t="s">
        <v>3650</v>
      </c>
      <c r="F728" s="5" t="s">
        <v>3651</v>
      </c>
      <c r="H728" s="5">
        <v>573016016376</v>
      </c>
      <c r="J728" s="5" t="s">
        <v>3652</v>
      </c>
      <c r="K728" s="5" t="s">
        <v>33</v>
      </c>
      <c r="L728" s="5" t="s">
        <v>34</v>
      </c>
      <c r="M728" s="5">
        <v>3016016376</v>
      </c>
      <c r="N728" s="6">
        <v>46010</v>
      </c>
      <c r="O728" s="7">
        <v>0</v>
      </c>
      <c r="P728" s="5">
        <v>1</v>
      </c>
      <c r="Q728" s="5" t="s">
        <v>178</v>
      </c>
      <c r="R728" s="5">
        <v>100000</v>
      </c>
      <c r="S728" s="5">
        <v>0</v>
      </c>
      <c r="T728" s="5">
        <v>0</v>
      </c>
      <c r="U728" s="5">
        <v>100000</v>
      </c>
      <c r="W728" s="5" t="s">
        <v>36</v>
      </c>
      <c r="X728" s="5" t="s">
        <v>2636</v>
      </c>
      <c r="AA728" s="5" t="s">
        <v>1717</v>
      </c>
      <c r="AC728" s="8" t="str">
        <f>HYPERLINK("https://drive.google.com/file/d/1C-9eoV_dS8AfwrwKzxrArEvxerIbqpZA/view?usp=drivesdk","Abrir_Factura")</f>
        <v>Abrir_Factura</v>
      </c>
      <c r="AD728" s="9">
        <v>46010.586076388892</v>
      </c>
    </row>
    <row r="729" spans="1:30" ht="12.5">
      <c r="A729" s="4">
        <v>46010.551503888884</v>
      </c>
      <c r="B729" s="5">
        <v>90463</v>
      </c>
      <c r="C729" s="5">
        <v>32748915</v>
      </c>
      <c r="D729" s="5" t="s">
        <v>3653</v>
      </c>
      <c r="F729" s="5" t="s">
        <v>116</v>
      </c>
      <c r="H729" s="5">
        <v>178717876156518</v>
      </c>
      <c r="J729" s="5" t="s">
        <v>3654</v>
      </c>
      <c r="K729" s="5" t="s">
        <v>110</v>
      </c>
      <c r="L729" s="5" t="s">
        <v>3655</v>
      </c>
      <c r="M729" s="5">
        <v>3142868762</v>
      </c>
      <c r="N729" s="6">
        <v>46010</v>
      </c>
      <c r="O729" s="7">
        <v>0.625</v>
      </c>
      <c r="P729" s="5">
        <v>1</v>
      </c>
      <c r="Q729" s="5" t="s">
        <v>3656</v>
      </c>
      <c r="R729" s="5">
        <v>150000</v>
      </c>
      <c r="S729" s="5">
        <v>0</v>
      </c>
      <c r="T729" s="5">
        <v>6000</v>
      </c>
      <c r="U729" s="5">
        <v>156000</v>
      </c>
      <c r="W729" s="5" t="s">
        <v>36</v>
      </c>
      <c r="X729" s="5" t="s">
        <v>1937</v>
      </c>
      <c r="AA729" s="5" t="s">
        <v>44</v>
      </c>
      <c r="AC729" s="8" t="str">
        <f>HYPERLINK("https://drive.google.com/file/d/1Dx_pXSkeKLuFpvRoaGVqczKaaDizR7ax/view?usp=drivesdk","Abrir_Factura")</f>
        <v>Abrir_Factura</v>
      </c>
      <c r="AD729" s="9">
        <v>46010.594826388886</v>
      </c>
    </row>
    <row r="730" spans="1:30" ht="12.5">
      <c r="A730" s="4">
        <v>46010.597743483799</v>
      </c>
      <c r="B730" s="5">
        <v>90464</v>
      </c>
      <c r="C730" s="5">
        <v>32686904</v>
      </c>
      <c r="D730" s="5" t="s">
        <v>3657</v>
      </c>
      <c r="F730" s="5" t="s">
        <v>3658</v>
      </c>
      <c r="H730" s="5">
        <v>573008103250</v>
      </c>
      <c r="J730" s="5" t="s">
        <v>3659</v>
      </c>
      <c r="K730" s="5" t="s">
        <v>103</v>
      </c>
      <c r="L730" s="5" t="s">
        <v>3660</v>
      </c>
      <c r="M730" s="5">
        <v>3202112054</v>
      </c>
      <c r="N730" s="6">
        <v>46010</v>
      </c>
      <c r="O730" s="7">
        <v>0.16666666666666666</v>
      </c>
      <c r="P730" s="5">
        <v>1</v>
      </c>
      <c r="Q730" s="5" t="s">
        <v>3661</v>
      </c>
      <c r="R730" s="5">
        <v>115000</v>
      </c>
      <c r="S730" s="5">
        <v>0</v>
      </c>
      <c r="T730" s="5">
        <v>10000</v>
      </c>
      <c r="U730" s="5">
        <v>125000</v>
      </c>
      <c r="V730" s="5" t="s">
        <v>3662</v>
      </c>
      <c r="W730" s="5" t="s">
        <v>36</v>
      </c>
      <c r="X730" s="5" t="s">
        <v>83</v>
      </c>
      <c r="AA730" s="5" t="s">
        <v>44</v>
      </c>
      <c r="AB730" s="5" t="s">
        <v>3663</v>
      </c>
      <c r="AC730" s="8" t="str">
        <f>HYPERLINK("https://drive.google.com/file/d/1nrP5HB6DaABH6Iv4F5a0mqUNSh2Y8pwO/view?usp=drivesdk","Abrir_Factura")</f>
        <v>Abrir_Factura</v>
      </c>
      <c r="AD730" s="9">
        <v>46010.606157407405</v>
      </c>
    </row>
    <row r="731" spans="1:30" ht="12.5">
      <c r="A731" s="4">
        <v>46010.576705949075</v>
      </c>
      <c r="B731" s="5">
        <v>90465</v>
      </c>
      <c r="C731" s="5">
        <v>1192748549</v>
      </c>
      <c r="D731" s="5" t="s">
        <v>3664</v>
      </c>
      <c r="F731" s="5" t="s">
        <v>3665</v>
      </c>
      <c r="H731" s="5">
        <v>573226141550</v>
      </c>
      <c r="J731" s="5" t="s">
        <v>3664</v>
      </c>
      <c r="K731" s="5" t="s">
        <v>1047</v>
      </c>
      <c r="L731" s="5" t="s">
        <v>3666</v>
      </c>
      <c r="M731" s="5">
        <v>3226141550</v>
      </c>
      <c r="N731" s="6">
        <v>46010</v>
      </c>
      <c r="O731" s="7">
        <v>0.66666666666666663</v>
      </c>
      <c r="P731" s="5">
        <v>1</v>
      </c>
      <c r="Q731" s="5" t="s">
        <v>178</v>
      </c>
      <c r="R731" s="5">
        <v>100000</v>
      </c>
      <c r="S731" s="5">
        <v>0</v>
      </c>
      <c r="T731" s="5">
        <v>15000</v>
      </c>
      <c r="U731" s="5">
        <v>115000</v>
      </c>
      <c r="V731" s="5" t="s">
        <v>3667</v>
      </c>
      <c r="W731" s="5" t="s">
        <v>36</v>
      </c>
      <c r="X731" s="5" t="s">
        <v>83</v>
      </c>
      <c r="AA731" s="5" t="s">
        <v>44</v>
      </c>
      <c r="AB731" s="5" t="s">
        <v>3668</v>
      </c>
      <c r="AC731" s="8" t="str">
        <f>HYPERLINK("https://drive.google.com/file/d/1I_dlFVs0zF7RmuPNEQVdq7hhm3ZBjKNB/view?usp=drivesdk","Abrir_Factura")</f>
        <v>Abrir_Factura</v>
      </c>
      <c r="AD731" s="9">
        <v>46010.606712962966</v>
      </c>
    </row>
    <row r="732" spans="1:30" ht="12.5">
      <c r="A732" s="4">
        <v>46010.605085937495</v>
      </c>
      <c r="B732" s="5">
        <v>90466</v>
      </c>
      <c r="C732" s="5">
        <v>1129505352</v>
      </c>
      <c r="D732" s="5" t="s">
        <v>3669</v>
      </c>
      <c r="F732" s="5" t="s">
        <v>3670</v>
      </c>
      <c r="H732" s="5">
        <v>573212746683</v>
      </c>
      <c r="J732" s="5" t="s">
        <v>3671</v>
      </c>
      <c r="K732" s="5" t="s">
        <v>351</v>
      </c>
      <c r="L732" s="5" t="s">
        <v>3672</v>
      </c>
      <c r="M732" s="5" t="s">
        <v>3673</v>
      </c>
      <c r="N732" s="6">
        <v>46010</v>
      </c>
      <c r="O732" s="7">
        <v>0.66666666666666663</v>
      </c>
      <c r="P732" s="5">
        <v>1</v>
      </c>
      <c r="Q732" s="5" t="s">
        <v>375</v>
      </c>
      <c r="R732" s="5">
        <v>70000</v>
      </c>
      <c r="S732" s="5">
        <v>0</v>
      </c>
      <c r="T732" s="5">
        <v>12000</v>
      </c>
      <c r="U732" s="5">
        <v>82000</v>
      </c>
      <c r="V732" s="5" t="s">
        <v>3674</v>
      </c>
      <c r="W732" s="5" t="s">
        <v>36</v>
      </c>
      <c r="X732" s="5" t="s">
        <v>83</v>
      </c>
      <c r="AA732" s="5" t="s">
        <v>69</v>
      </c>
      <c r="AB732" s="5" t="s">
        <v>3675</v>
      </c>
      <c r="AC732" s="8" t="str">
        <f>HYPERLINK("https://drive.google.com/file/d/1Qu9cfn3326E_a6YJR4qHzImJ0Y1IiNos/view?usp=drivesdk","Abrir_Factura")</f>
        <v>Abrir_Factura</v>
      </c>
      <c r="AD732" s="9">
        <v>46010.608078703706</v>
      </c>
    </row>
    <row r="733" spans="1:30" ht="12.5">
      <c r="A733" s="4">
        <v>46010.591993923612</v>
      </c>
      <c r="B733" s="5">
        <v>90467</v>
      </c>
      <c r="C733" s="5">
        <v>1016834193</v>
      </c>
      <c r="D733" s="5" t="s">
        <v>3676</v>
      </c>
      <c r="F733" s="5" t="s">
        <v>3677</v>
      </c>
      <c r="H733" s="5">
        <v>573004290540</v>
      </c>
      <c r="J733" s="5" t="s">
        <v>3678</v>
      </c>
      <c r="K733" s="5" t="s">
        <v>307</v>
      </c>
      <c r="L733" s="5" t="s">
        <v>3679</v>
      </c>
      <c r="M733" s="5" t="s">
        <v>3680</v>
      </c>
      <c r="N733" s="6">
        <v>46011</v>
      </c>
      <c r="O733" s="7">
        <v>0.375</v>
      </c>
      <c r="P733" s="5">
        <v>1</v>
      </c>
      <c r="Q733" s="5" t="s">
        <v>2264</v>
      </c>
      <c r="R733" s="5">
        <v>200000</v>
      </c>
      <c r="S733" s="5">
        <v>0</v>
      </c>
      <c r="T733" s="5">
        <v>10000</v>
      </c>
      <c r="U733" s="5">
        <v>210000</v>
      </c>
      <c r="V733" s="5" t="s">
        <v>3681</v>
      </c>
      <c r="W733" s="5" t="s">
        <v>36</v>
      </c>
      <c r="X733" s="5" t="s">
        <v>83</v>
      </c>
      <c r="AA733" s="5" t="s">
        <v>44</v>
      </c>
      <c r="AB733" s="5" t="s">
        <v>3682</v>
      </c>
      <c r="AC733" s="8" t="str">
        <f>HYPERLINK("https://drive.google.com/file/d/1hPLqb7xSUd2Dnh-ZafzZUCZKei1Hpebz/view?usp=drivesdk","Abrir_Factura")</f>
        <v>Abrir_Factura</v>
      </c>
      <c r="AD733" s="9">
        <v>46010.614710648151</v>
      </c>
    </row>
    <row r="734" spans="1:30" ht="12.5">
      <c r="A734" s="4">
        <v>46010.619068483793</v>
      </c>
      <c r="B734" s="5">
        <v>90468</v>
      </c>
      <c r="C734" s="5">
        <v>1043660133</v>
      </c>
      <c r="D734" s="5" t="s">
        <v>3632</v>
      </c>
      <c r="F734" s="5" t="s">
        <v>3633</v>
      </c>
      <c r="H734" s="5">
        <v>576053867230</v>
      </c>
      <c r="J734" s="5" t="s">
        <v>3683</v>
      </c>
      <c r="K734" s="5" t="s">
        <v>249</v>
      </c>
      <c r="L734" s="5" t="s">
        <v>3684</v>
      </c>
      <c r="N734" s="6">
        <v>46010</v>
      </c>
      <c r="O734" s="7">
        <v>0</v>
      </c>
      <c r="P734" s="5">
        <v>1</v>
      </c>
      <c r="Q734" s="5" t="s">
        <v>422</v>
      </c>
      <c r="R734" s="5">
        <v>130000</v>
      </c>
      <c r="S734" s="5">
        <v>0</v>
      </c>
      <c r="T734" s="5">
        <v>10000</v>
      </c>
      <c r="U734" s="5">
        <v>140000</v>
      </c>
      <c r="V734" s="5" t="s">
        <v>3685</v>
      </c>
      <c r="W734" s="5" t="s">
        <v>36</v>
      </c>
      <c r="X734" s="5" t="s">
        <v>83</v>
      </c>
      <c r="AA734" s="5" t="s">
        <v>44</v>
      </c>
      <c r="AC734" s="8" t="str">
        <f>HYPERLINK("https://drive.google.com/file/d/163wtopbiEWlyXmWSnSJckCdb78BwKplJ/view?usp=drivesdk","Abrir_Factura")</f>
        <v>Abrir_Factura</v>
      </c>
      <c r="AD734" s="9">
        <v>46010.619432870371</v>
      </c>
    </row>
    <row r="735" spans="1:30" ht="12.5">
      <c r="A735" s="4">
        <v>46010.626099918984</v>
      </c>
      <c r="B735" s="5">
        <v>90469</v>
      </c>
      <c r="C735" s="5">
        <v>22468401</v>
      </c>
      <c r="D735" s="5" t="s">
        <v>3686</v>
      </c>
      <c r="F735" s="5" t="s">
        <v>2517</v>
      </c>
      <c r="H735" s="5">
        <v>573104236051</v>
      </c>
      <c r="J735" s="5" t="s">
        <v>3687</v>
      </c>
      <c r="K735" s="5" t="s">
        <v>265</v>
      </c>
      <c r="L735" s="5" t="s">
        <v>3688</v>
      </c>
      <c r="M735" s="5">
        <v>3216565979</v>
      </c>
      <c r="N735" s="6">
        <v>46010</v>
      </c>
      <c r="O735" s="7">
        <v>0.66666666666666663</v>
      </c>
      <c r="P735" s="5">
        <v>1</v>
      </c>
      <c r="Q735" s="5" t="s">
        <v>375</v>
      </c>
      <c r="R735" s="5">
        <v>70000</v>
      </c>
      <c r="S735" s="5">
        <v>0</v>
      </c>
      <c r="T735" s="5">
        <v>17000</v>
      </c>
      <c r="U735" s="5">
        <v>87000</v>
      </c>
      <c r="V735" s="5" t="s">
        <v>3689</v>
      </c>
      <c r="W735" s="5" t="s">
        <v>36</v>
      </c>
      <c r="X735" s="5" t="s">
        <v>83</v>
      </c>
      <c r="AA735" s="5" t="s">
        <v>44</v>
      </c>
      <c r="AC735" s="8" t="str">
        <f>HYPERLINK("https://drive.google.com/file/d/1uLhcVQNyGnCM17EH_Th1ydsIrc1ztlTe/view?usp=drivesdk","Abrir_Factura")</f>
        <v>Abrir_Factura</v>
      </c>
      <c r="AD735" s="9">
        <v>46010.631701388891</v>
      </c>
    </row>
    <row r="736" spans="1:30" ht="12.5">
      <c r="A736" s="4">
        <v>46010.629490462961</v>
      </c>
      <c r="B736" s="5">
        <v>90470</v>
      </c>
      <c r="C736" s="5">
        <v>55313139</v>
      </c>
      <c r="D736" s="5" t="s">
        <v>3450</v>
      </c>
      <c r="F736" s="5" t="s">
        <v>3690</v>
      </c>
      <c r="H736" s="5">
        <v>573107067779</v>
      </c>
      <c r="J736" s="5" t="s">
        <v>3691</v>
      </c>
      <c r="K736" s="5" t="s">
        <v>185</v>
      </c>
      <c r="L736" s="5" t="s">
        <v>3692</v>
      </c>
      <c r="M736" s="5">
        <v>3107067773</v>
      </c>
      <c r="N736" s="6">
        <v>46010</v>
      </c>
      <c r="O736" s="7">
        <v>0.66666666666666663</v>
      </c>
      <c r="P736" s="5">
        <v>1</v>
      </c>
      <c r="Q736" s="5" t="s">
        <v>375</v>
      </c>
      <c r="R736" s="5">
        <v>70000</v>
      </c>
      <c r="S736" s="5">
        <v>0</v>
      </c>
      <c r="T736" s="5">
        <v>8000</v>
      </c>
      <c r="U736" s="5">
        <v>78000</v>
      </c>
      <c r="V736" s="5" t="s">
        <v>3693</v>
      </c>
      <c r="W736" s="5" t="s">
        <v>36</v>
      </c>
      <c r="X736" s="5" t="s">
        <v>83</v>
      </c>
      <c r="AA736" s="5" t="s">
        <v>44</v>
      </c>
      <c r="AC736" s="8" t="str">
        <f>HYPERLINK("https://drive.google.com/file/d/1j8FodANiEfQgPXizzN7TTBdSfpyF7Dzr/view?usp=drivesdk","Abrir_Factura")</f>
        <v>Abrir_Factura</v>
      </c>
      <c r="AD736" s="9">
        <v>46010.633425925924</v>
      </c>
    </row>
    <row r="737" spans="1:30" ht="12.5">
      <c r="A737" s="4">
        <v>46010.680523460644</v>
      </c>
      <c r="B737" s="5">
        <v>90471</v>
      </c>
      <c r="C737" s="5">
        <v>11408562229</v>
      </c>
      <c r="D737" s="5" t="s">
        <v>445</v>
      </c>
      <c r="F737" s="5" t="s">
        <v>3694</v>
      </c>
      <c r="H737" s="5">
        <v>570000</v>
      </c>
      <c r="J737" s="5" t="s">
        <v>3695</v>
      </c>
      <c r="K737" s="5" t="s">
        <v>33</v>
      </c>
      <c r="L737" s="5" t="s">
        <v>34</v>
      </c>
      <c r="M737" s="5">
        <v>0</v>
      </c>
      <c r="N737" s="6">
        <v>46010</v>
      </c>
      <c r="O737" s="7">
        <v>0</v>
      </c>
      <c r="P737" s="5">
        <v>1</v>
      </c>
      <c r="Q737" s="5" t="s">
        <v>42</v>
      </c>
      <c r="R737" s="5">
        <v>60000</v>
      </c>
      <c r="S737" s="5">
        <v>0</v>
      </c>
      <c r="T737" s="5">
        <v>0</v>
      </c>
      <c r="U737" s="5">
        <v>60000</v>
      </c>
      <c r="W737" s="5" t="s">
        <v>36</v>
      </c>
      <c r="X737" s="5" t="s">
        <v>2636</v>
      </c>
      <c r="AA737" s="5" t="s">
        <v>1717</v>
      </c>
      <c r="AB737" s="5" t="s">
        <v>525</v>
      </c>
      <c r="AC737" s="8" t="str">
        <f>HYPERLINK("https://drive.google.com/file/d/1dTfJ6COrB61_NAmOmD273KBVpOSqv6Tq/view?usp=drivesdk","Abrir_Factura")</f>
        <v>Abrir_Factura</v>
      </c>
      <c r="AD737" s="9">
        <v>46010.681203703702</v>
      </c>
    </row>
    <row r="738" spans="1:30" ht="12.5">
      <c r="A738" s="4">
        <v>46010.6874822338</v>
      </c>
      <c r="B738" s="5">
        <v>90472</v>
      </c>
      <c r="C738" s="5">
        <v>22462773</v>
      </c>
      <c r="D738" s="5" t="s">
        <v>521</v>
      </c>
      <c r="F738" s="5" t="s">
        <v>561</v>
      </c>
      <c r="H738" s="5">
        <v>5731749862627</v>
      </c>
      <c r="J738" s="5" t="s">
        <v>2679</v>
      </c>
      <c r="K738" s="5" t="s">
        <v>33</v>
      </c>
      <c r="L738" s="5" t="s">
        <v>34</v>
      </c>
      <c r="M738" s="5">
        <v>31749862627</v>
      </c>
      <c r="N738" s="6">
        <v>46010</v>
      </c>
      <c r="O738" s="7">
        <v>0</v>
      </c>
      <c r="P738" s="5">
        <v>1</v>
      </c>
      <c r="Q738" s="5" t="s">
        <v>42</v>
      </c>
      <c r="R738" s="5">
        <v>8000</v>
      </c>
      <c r="S738" s="5">
        <v>0</v>
      </c>
      <c r="T738" s="5">
        <v>0</v>
      </c>
      <c r="U738" s="5">
        <v>8000</v>
      </c>
      <c r="W738" s="5" t="s">
        <v>36</v>
      </c>
      <c r="X738" s="5" t="s">
        <v>196</v>
      </c>
      <c r="AA738" s="5" t="s">
        <v>1717</v>
      </c>
      <c r="AB738" s="5" t="s">
        <v>3696</v>
      </c>
      <c r="AC738" s="8" t="str">
        <f>HYPERLINK("https://drive.google.com/file/d/1Wb6nF5l5VC3ANoEiXqVLnWIbAvcAWmM8/view?usp=drivesdk","Abrir_Factura")</f>
        <v>Abrir_Factura</v>
      </c>
      <c r="AD738" s="9">
        <v>46010.688055555554</v>
      </c>
    </row>
    <row r="739" spans="1:30" ht="12.5">
      <c r="A739" s="4">
        <v>46010.698163148147</v>
      </c>
      <c r="B739" s="5">
        <v>90473</v>
      </c>
      <c r="C739" s="5">
        <v>72153558</v>
      </c>
      <c r="D739" s="5" t="s">
        <v>84</v>
      </c>
      <c r="F739" s="5" t="s">
        <v>3697</v>
      </c>
      <c r="H739" s="5">
        <v>573133333730</v>
      </c>
      <c r="J739" s="5" t="s">
        <v>3698</v>
      </c>
      <c r="K739" s="5" t="s">
        <v>73</v>
      </c>
      <c r="L739" s="5" t="s">
        <v>3699</v>
      </c>
      <c r="M739" s="5">
        <v>3133333730</v>
      </c>
      <c r="N739" s="6">
        <v>46013</v>
      </c>
      <c r="O739" s="7">
        <v>0</v>
      </c>
      <c r="P739" s="5">
        <v>1</v>
      </c>
      <c r="Q739" s="5" t="s">
        <v>42</v>
      </c>
      <c r="R739" s="5">
        <v>200000</v>
      </c>
      <c r="S739" s="5">
        <v>0</v>
      </c>
      <c r="T739" s="5">
        <v>8000</v>
      </c>
      <c r="U739" s="5">
        <v>208000</v>
      </c>
      <c r="V739" s="5" t="s">
        <v>3700</v>
      </c>
      <c r="W739" s="5" t="s">
        <v>36</v>
      </c>
      <c r="X739" s="5" t="s">
        <v>2636</v>
      </c>
      <c r="AA739" s="5" t="s">
        <v>1717</v>
      </c>
      <c r="AB739" s="5" t="s">
        <v>3701</v>
      </c>
      <c r="AC739" s="8" t="str">
        <f>HYPERLINK("https://drive.google.com/file/d/15l0RmxPy_eKK5a63sckDaMSoRkRf6DFj/view?usp=drivesdk", "Abrir_Factura")</f>
        <v>Abrir_Factura</v>
      </c>
      <c r="AD739" s="9">
        <v>46010.700590277775</v>
      </c>
    </row>
    <row r="740" spans="1:30" ht="12.5">
      <c r="A740" s="4">
        <v>46010.684875196763</v>
      </c>
      <c r="B740" s="5">
        <v>90474</v>
      </c>
      <c r="C740" s="5">
        <v>1001897437</v>
      </c>
      <c r="D740" s="5" t="s">
        <v>70</v>
      </c>
      <c r="F740" s="5" t="s">
        <v>3702</v>
      </c>
      <c r="H740" s="5">
        <v>573175769823</v>
      </c>
      <c r="J740" s="5" t="s">
        <v>3703</v>
      </c>
      <c r="K740" s="5" t="s">
        <v>103</v>
      </c>
      <c r="L740" s="5" t="s">
        <v>3704</v>
      </c>
      <c r="M740" s="5">
        <v>3175769823</v>
      </c>
      <c r="N740" s="6">
        <v>46010</v>
      </c>
      <c r="O740" s="7">
        <v>0</v>
      </c>
      <c r="P740" s="5">
        <v>1</v>
      </c>
      <c r="Q740" s="5" t="s">
        <v>309</v>
      </c>
      <c r="R740" s="5">
        <v>80000</v>
      </c>
      <c r="S740" s="5">
        <v>0</v>
      </c>
      <c r="T740" s="5">
        <v>10000</v>
      </c>
      <c r="U740" s="5">
        <v>90000</v>
      </c>
      <c r="V740" s="5" t="s">
        <v>3705</v>
      </c>
      <c r="W740" s="5" t="s">
        <v>36</v>
      </c>
      <c r="X740" s="5" t="s">
        <v>83</v>
      </c>
      <c r="AA740" s="5" t="s">
        <v>44</v>
      </c>
      <c r="AC740" s="8" t="str">
        <f>HYPERLINK("https://drive.google.com/file/d/11T7ZA8PcFEjdu6jdf0aMv6dwnLSJ41Zz/view?usp=drivesdk","Abrir_Factura")</f>
        <v>Abrir_Factura</v>
      </c>
      <c r="AD740" s="9">
        <v>46010.711111111108</v>
      </c>
    </row>
    <row r="741" spans="1:30" ht="12.5">
      <c r="A741" s="4">
        <v>46010.729142384254</v>
      </c>
      <c r="B741" s="5">
        <v>90475</v>
      </c>
      <c r="C741" s="5">
        <v>114085687</v>
      </c>
      <c r="D741" s="5" t="s">
        <v>3706</v>
      </c>
      <c r="F741" s="5" t="s">
        <v>3707</v>
      </c>
      <c r="H741" s="5">
        <v>573006316298</v>
      </c>
      <c r="J741" s="5" t="s">
        <v>3708</v>
      </c>
      <c r="K741" s="5" t="s">
        <v>124</v>
      </c>
      <c r="L741" s="5" t="s">
        <v>3709</v>
      </c>
      <c r="M741" s="5">
        <v>3245498517</v>
      </c>
      <c r="N741" s="6">
        <v>46010</v>
      </c>
      <c r="O741" s="7">
        <v>0.41666666666666669</v>
      </c>
      <c r="P741" s="5">
        <v>1</v>
      </c>
      <c r="Q741" s="5" t="s">
        <v>148</v>
      </c>
      <c r="R741" s="5">
        <v>200000</v>
      </c>
      <c r="S741" s="5">
        <v>0</v>
      </c>
      <c r="T741" s="5">
        <v>12000</v>
      </c>
      <c r="U741" s="5">
        <v>212000</v>
      </c>
      <c r="V741" s="5" t="s">
        <v>3710</v>
      </c>
      <c r="W741" s="5" t="s">
        <v>36</v>
      </c>
      <c r="X741" s="5" t="s">
        <v>2636</v>
      </c>
      <c r="AA741" s="5" t="s">
        <v>1717</v>
      </c>
      <c r="AB741" s="5" t="s">
        <v>3711</v>
      </c>
      <c r="AC741" s="8" t="str">
        <f>HYPERLINK("https://drive.google.com/file/d/1oUHvDFdku2_-rldIjhpeQ3ikxf7paE2v/view?usp=drivesdk","Abrir_Factura")</f>
        <v>Abrir_Factura</v>
      </c>
      <c r="AD741" s="9">
        <v>46010.731145833335</v>
      </c>
    </row>
    <row r="742" spans="1:30" ht="12.5">
      <c r="A742" s="4">
        <v>46010.754953240743</v>
      </c>
      <c r="B742" s="5">
        <v>90476</v>
      </c>
      <c r="C742" s="5">
        <v>1048068520</v>
      </c>
      <c r="D742" s="5" t="s">
        <v>3647</v>
      </c>
      <c r="F742" s="5" t="s">
        <v>40</v>
      </c>
      <c r="H742" s="5">
        <v>573163040373</v>
      </c>
      <c r="J742" s="5" t="s">
        <v>3712</v>
      </c>
      <c r="L742" s="5" t="s">
        <v>3713</v>
      </c>
      <c r="N742" s="6">
        <v>46010</v>
      </c>
      <c r="O742" s="7">
        <v>0</v>
      </c>
      <c r="P742" s="5">
        <v>1</v>
      </c>
      <c r="Q742" s="5" t="s">
        <v>384</v>
      </c>
      <c r="R742" s="5">
        <v>180000</v>
      </c>
      <c r="S742" s="5">
        <v>0</v>
      </c>
      <c r="T742" s="5"/>
      <c r="U742" s="5">
        <v>180000</v>
      </c>
      <c r="W742" s="5" t="s">
        <v>36</v>
      </c>
      <c r="X742" s="5" t="s">
        <v>83</v>
      </c>
      <c r="AA742" s="5" t="s">
        <v>44</v>
      </c>
      <c r="AC742" s="8" t="str">
        <f>HYPERLINK("https://drive.google.com/file/d/1Ro2o7deDOl57mytPPqDtN9vcW-I8zIpa/view?usp=drivesdk","Abrir_Factura")</f>
        <v>Abrir_Factura</v>
      </c>
      <c r="AD742" s="9">
        <v>46010.755358796298</v>
      </c>
    </row>
    <row r="743" spans="1:30" ht="12.5">
      <c r="A743" s="4">
        <v>46010.660494849537</v>
      </c>
      <c r="B743" s="5">
        <v>90477</v>
      </c>
      <c r="C743" s="5">
        <v>901891383</v>
      </c>
      <c r="D743" s="5" t="s">
        <v>3714</v>
      </c>
      <c r="F743" s="5" t="s">
        <v>3715</v>
      </c>
      <c r="H743" s="5">
        <v>573242656240</v>
      </c>
      <c r="J743" s="5" t="s">
        <v>3716</v>
      </c>
      <c r="K743" s="5" t="s">
        <v>1647</v>
      </c>
      <c r="L743" s="5" t="s">
        <v>3717</v>
      </c>
      <c r="N743" s="6">
        <v>46011</v>
      </c>
      <c r="O743" s="7">
        <v>0.41666666666666669</v>
      </c>
      <c r="P743" s="5">
        <v>1</v>
      </c>
      <c r="Q743" s="5" t="s">
        <v>422</v>
      </c>
      <c r="R743" s="5">
        <v>130000</v>
      </c>
      <c r="S743" s="5">
        <v>24700</v>
      </c>
      <c r="T743" s="5">
        <v>18000</v>
      </c>
      <c r="U743" s="5">
        <v>172700</v>
      </c>
      <c r="V743" s="5" t="s">
        <v>3718</v>
      </c>
      <c r="W743" s="5" t="s">
        <v>36</v>
      </c>
      <c r="X743" s="5" t="s">
        <v>67</v>
      </c>
      <c r="AA743" s="5" t="s">
        <v>44</v>
      </c>
      <c r="AB743" s="5" t="s">
        <v>3719</v>
      </c>
      <c r="AC743" s="8" t="str">
        <f>HYPERLINK("https://drive.google.com/file/d/1TWSquNgjwthE7ioL0J0NOxRCxt7t25PZ/view?usp=drivesdk", "Abrir_Factura")</f>
        <v>Abrir_Factura</v>
      </c>
      <c r="AD743" s="9">
        <v>46010.790613425925</v>
      </c>
    </row>
    <row r="744" spans="1:30" ht="12.5">
      <c r="A744" s="4">
        <v>46010.770617650458</v>
      </c>
      <c r="B744" s="5">
        <v>90478</v>
      </c>
      <c r="C744" s="5">
        <v>72156249</v>
      </c>
      <c r="D744" s="5" t="s">
        <v>3720</v>
      </c>
      <c r="F744" s="5" t="s">
        <v>2423</v>
      </c>
      <c r="H744" s="5">
        <v>57164745602</v>
      </c>
      <c r="J744" s="5" t="s">
        <v>3721</v>
      </c>
      <c r="K744" s="5" t="s">
        <v>33</v>
      </c>
      <c r="L744" s="5" t="s">
        <v>34</v>
      </c>
      <c r="M744" s="5">
        <v>164745602</v>
      </c>
      <c r="N744" s="6">
        <v>46010</v>
      </c>
      <c r="O744" s="7">
        <v>0</v>
      </c>
      <c r="P744" s="5">
        <v>1</v>
      </c>
      <c r="Q744" s="5" t="s">
        <v>384</v>
      </c>
      <c r="R744" s="5">
        <v>180000</v>
      </c>
      <c r="S744" s="5">
        <v>0</v>
      </c>
      <c r="T744" s="5">
        <v>0</v>
      </c>
      <c r="U744" s="5">
        <v>180000</v>
      </c>
      <c r="W744" s="5" t="s">
        <v>36</v>
      </c>
      <c r="X744" s="5" t="s">
        <v>2636</v>
      </c>
      <c r="AA744" s="5" t="s">
        <v>1717</v>
      </c>
      <c r="AC744" s="8" t="str">
        <f>HYPERLINK("https://drive.google.com/file/d/1EPvXHM7suwzGlFTvnn6U4QFIY9LQdZIT/view?usp=drivesdk","Abrir_Factura")</f>
        <v>Abrir_Factura</v>
      </c>
      <c r="AD744" s="9">
        <v>46010.771006944444</v>
      </c>
    </row>
    <row r="745" spans="1:30" ht="12.5">
      <c r="A745" s="4">
        <v>46010.739849571764</v>
      </c>
      <c r="B745" s="5">
        <v>90479</v>
      </c>
      <c r="C745" s="5">
        <v>1047229116</v>
      </c>
      <c r="D745" s="5" t="s">
        <v>3722</v>
      </c>
      <c r="F745" s="5" t="s">
        <v>3723</v>
      </c>
      <c r="H745" s="5">
        <v>573135966368</v>
      </c>
      <c r="J745" s="5" t="s">
        <v>3724</v>
      </c>
      <c r="K745" s="5" t="s">
        <v>33</v>
      </c>
      <c r="L745" s="5" t="s">
        <v>34</v>
      </c>
      <c r="N745" s="6">
        <v>46011</v>
      </c>
      <c r="O745" s="7">
        <v>0.45833333333333331</v>
      </c>
      <c r="P745" s="5">
        <v>5</v>
      </c>
      <c r="Q745" s="5" t="s">
        <v>3725</v>
      </c>
      <c r="R745" s="5">
        <v>500000</v>
      </c>
      <c r="S745" s="5">
        <v>0</v>
      </c>
      <c r="T745" s="5">
        <v>0</v>
      </c>
      <c r="U745" s="5">
        <v>500000</v>
      </c>
      <c r="V745" s="5" t="s">
        <v>3726</v>
      </c>
      <c r="W745" s="5" t="s">
        <v>36</v>
      </c>
      <c r="X745" s="5" t="s">
        <v>83</v>
      </c>
      <c r="AA745" s="5" t="s">
        <v>69</v>
      </c>
      <c r="AC745" s="8" t="str">
        <f>HYPERLINK("https://drive.google.com/file/d/1VFrUNecm8HoX8eZsr9kA6C9NQBTC2PxH/view?usp=drivesdk","Abrir_Factura")</f>
        <v>Abrir_Factura</v>
      </c>
      <c r="AD745" s="9">
        <v>46010.773252314815</v>
      </c>
    </row>
    <row r="746" spans="1:30" ht="12.5">
      <c r="A746" s="4">
        <v>46010.775778611111</v>
      </c>
      <c r="B746" s="5">
        <v>90480</v>
      </c>
      <c r="C746" s="5">
        <v>0</v>
      </c>
      <c r="D746" s="5" t="s">
        <v>3727</v>
      </c>
      <c r="F746" s="5" t="s">
        <v>3728</v>
      </c>
      <c r="H746" s="5">
        <v>5700000</v>
      </c>
      <c r="J746" s="5" t="s">
        <v>3729</v>
      </c>
      <c r="L746" s="5" t="s">
        <v>3730</v>
      </c>
      <c r="N746" s="6">
        <v>46011</v>
      </c>
      <c r="O746" s="7">
        <v>0.45833333333333331</v>
      </c>
      <c r="P746" s="5">
        <v>1</v>
      </c>
      <c r="Q746" s="5" t="s">
        <v>42</v>
      </c>
      <c r="R746" s="5">
        <v>500000</v>
      </c>
      <c r="S746" s="5">
        <v>0</v>
      </c>
      <c r="T746" s="5"/>
      <c r="U746" s="5">
        <v>500000</v>
      </c>
      <c r="W746" s="5" t="s">
        <v>36</v>
      </c>
      <c r="X746" s="5" t="s">
        <v>83</v>
      </c>
      <c r="AA746" s="5" t="s">
        <v>332</v>
      </c>
      <c r="AB746" s="5" t="s">
        <v>3731</v>
      </c>
      <c r="AC746" s="8" t="str">
        <f>HYPERLINK("https://drive.google.com/file/d/1I33C5Vx9IBTQxj52JqCB7q8PAKYXA6P7/view?usp=drivesdk","Abrir_Factura")</f>
        <v>Abrir_Factura</v>
      </c>
      <c r="AD746" s="9">
        <v>46010.776400462964</v>
      </c>
    </row>
    <row r="747" spans="1:30" ht="12.5">
      <c r="A747" s="4">
        <v>46010.779748333334</v>
      </c>
      <c r="B747" s="5">
        <v>90481</v>
      </c>
      <c r="C747" s="5">
        <v>79326014</v>
      </c>
      <c r="D747" s="5" t="s">
        <v>3732</v>
      </c>
      <c r="F747" s="5" t="s">
        <v>3733</v>
      </c>
      <c r="H747" s="5">
        <v>573205746096</v>
      </c>
      <c r="J747" s="5" t="s">
        <v>3734</v>
      </c>
      <c r="K747" s="5" t="s">
        <v>1272</v>
      </c>
      <c r="L747" s="5" t="s">
        <v>3735</v>
      </c>
      <c r="M747" s="5">
        <v>3015016575</v>
      </c>
      <c r="N747" s="6">
        <v>46011</v>
      </c>
      <c r="O747" s="7">
        <v>0.375</v>
      </c>
      <c r="P747" s="5">
        <v>1</v>
      </c>
      <c r="Q747" s="5" t="s">
        <v>3736</v>
      </c>
      <c r="R747" s="5">
        <v>200000</v>
      </c>
      <c r="S747" s="5">
        <v>0</v>
      </c>
      <c r="T747" s="5">
        <v>12000</v>
      </c>
      <c r="U747" s="5">
        <v>212000</v>
      </c>
      <c r="W747" s="5" t="s">
        <v>36</v>
      </c>
      <c r="X747" s="5" t="s">
        <v>180</v>
      </c>
      <c r="AA747" s="5" t="s">
        <v>44</v>
      </c>
      <c r="AC747" s="8" t="str">
        <f>HYPERLINK("https://drive.google.com/file/d/1IuUEDK9WZl7G2qM6CpCVARJZ9_5uVt5Z/view?usp=drivesdk","Abrir_Factura")</f>
        <v>Abrir_Factura</v>
      </c>
      <c r="AD747" s="9">
        <v>46010.780706018515</v>
      </c>
    </row>
    <row r="748" spans="1:30" ht="12.5">
      <c r="A748" s="4">
        <v>46010.782240740737</v>
      </c>
      <c r="B748" s="5">
        <v>90482</v>
      </c>
      <c r="C748" s="5">
        <v>55304262</v>
      </c>
      <c r="D748" s="5" t="s">
        <v>3737</v>
      </c>
      <c r="F748" s="5" t="s">
        <v>2419</v>
      </c>
      <c r="H748" s="5">
        <v>576956024</v>
      </c>
      <c r="J748" s="5" t="s">
        <v>3738</v>
      </c>
      <c r="K748" s="5" t="s">
        <v>33</v>
      </c>
      <c r="L748" s="5" t="s">
        <v>34</v>
      </c>
      <c r="M748" s="5">
        <v>6956024</v>
      </c>
      <c r="N748" s="6">
        <v>46010</v>
      </c>
      <c r="O748" s="7">
        <v>0</v>
      </c>
      <c r="P748" s="5">
        <v>1</v>
      </c>
      <c r="Q748" s="5" t="s">
        <v>42</v>
      </c>
      <c r="R748" s="5">
        <v>66000</v>
      </c>
      <c r="S748" s="5">
        <v>0</v>
      </c>
      <c r="T748" s="5">
        <v>0</v>
      </c>
      <c r="U748" s="5">
        <v>66000</v>
      </c>
      <c r="W748" s="5" t="s">
        <v>36</v>
      </c>
      <c r="X748" s="5" t="s">
        <v>2636</v>
      </c>
      <c r="AA748" s="5" t="s">
        <v>1717</v>
      </c>
      <c r="AB748" s="5" t="s">
        <v>1286</v>
      </c>
      <c r="AC748" s="8" t="str">
        <f>HYPERLINK("https://drive.google.com/file/d/1tPGKNJdyTdCAuD86KtYJgSx7B60mri1X/view?usp=drivesdk","Abrir_Factura")</f>
        <v>Abrir_Factura</v>
      </c>
      <c r="AD748" s="9">
        <v>46010.782650462963</v>
      </c>
    </row>
    <row r="749" spans="1:30" ht="12.5">
      <c r="A749" s="4">
        <v>46010.788876840277</v>
      </c>
      <c r="B749" s="5">
        <v>90483</v>
      </c>
      <c r="C749" s="5">
        <v>1129572844</v>
      </c>
      <c r="D749" s="5" t="s">
        <v>3739</v>
      </c>
      <c r="F749" s="5" t="s">
        <v>3740</v>
      </c>
      <c r="H749" s="5">
        <v>573107283662</v>
      </c>
      <c r="J749" s="5" t="s">
        <v>3741</v>
      </c>
      <c r="K749" s="5" t="s">
        <v>33</v>
      </c>
      <c r="L749" s="5" t="s">
        <v>34</v>
      </c>
      <c r="M749" s="5" t="s">
        <v>3742</v>
      </c>
      <c r="N749" s="6">
        <v>46011</v>
      </c>
      <c r="O749" s="7">
        <v>0.625</v>
      </c>
      <c r="P749" s="5">
        <v>1</v>
      </c>
      <c r="Q749" s="5" t="s">
        <v>42</v>
      </c>
      <c r="R749" s="5">
        <v>285000</v>
      </c>
      <c r="S749" s="5">
        <v>0</v>
      </c>
      <c r="T749" s="5">
        <v>0</v>
      </c>
      <c r="U749" s="5">
        <v>285000</v>
      </c>
      <c r="W749" s="5" t="s">
        <v>36</v>
      </c>
      <c r="X749" s="5" t="s">
        <v>43</v>
      </c>
      <c r="AA749" s="5" t="s">
        <v>1717</v>
      </c>
      <c r="AB749" s="5" t="s">
        <v>3743</v>
      </c>
      <c r="AC749" s="8" t="str">
        <f>HYPERLINK("https://drive.google.com/file/d/14cNRRJzkMikQQIefV6JQVaeO0NpR9_uY/view?usp=drivesdk","Abrir_Factura")</f>
        <v>Abrir_Factura</v>
      </c>
      <c r="AD749" s="9">
        <v>46010.79011574074</v>
      </c>
    </row>
    <row r="750" spans="1:30" ht="12.5">
      <c r="A750" s="4">
        <v>46010.79483481482</v>
      </c>
      <c r="B750" s="5">
        <v>90484</v>
      </c>
      <c r="C750" s="5">
        <v>22462773</v>
      </c>
      <c r="D750" s="5" t="s">
        <v>521</v>
      </c>
      <c r="F750" s="5" t="s">
        <v>561</v>
      </c>
      <c r="H750" s="5">
        <v>573174986262</v>
      </c>
      <c r="J750" s="5" t="s">
        <v>2679</v>
      </c>
      <c r="K750" s="5" t="s">
        <v>33</v>
      </c>
      <c r="L750" s="5" t="s">
        <v>34</v>
      </c>
      <c r="M750" s="5">
        <v>3174986262</v>
      </c>
      <c r="N750" s="6">
        <v>46011</v>
      </c>
      <c r="O750" s="7">
        <v>0</v>
      </c>
      <c r="P750" s="5">
        <v>1</v>
      </c>
      <c r="Q750" s="5" t="s">
        <v>42</v>
      </c>
      <c r="R750" s="5">
        <v>32000</v>
      </c>
      <c r="S750" s="5">
        <v>0</v>
      </c>
      <c r="T750" s="5">
        <v>0</v>
      </c>
      <c r="U750" s="5">
        <v>32000</v>
      </c>
      <c r="W750" s="5" t="s">
        <v>36</v>
      </c>
      <c r="X750" s="5" t="s">
        <v>196</v>
      </c>
      <c r="AA750" s="5" t="s">
        <v>1717</v>
      </c>
      <c r="AB750" s="5" t="s">
        <v>3744</v>
      </c>
      <c r="AC750" s="8" t="str">
        <f>HYPERLINK("https://drive.google.com/file/d/1ftmJO-lnnqsaqH15GI8_wAX6rPb4GPgD/view?usp=drivesdk", "Abrir_Factura")</f>
        <v>Abrir_Factura</v>
      </c>
      <c r="AD750" s="9">
        <v>46010.79991898148</v>
      </c>
    </row>
    <row r="751" spans="1:30" ht="12.5">
      <c r="A751" s="4">
        <v>46011.306942986106</v>
      </c>
      <c r="B751" s="5">
        <v>90485</v>
      </c>
      <c r="C751" s="5">
        <v>1140838766</v>
      </c>
      <c r="D751" s="5" t="s">
        <v>283</v>
      </c>
      <c r="F751" s="5" t="s">
        <v>284</v>
      </c>
      <c r="H751" s="5">
        <v>573007895738</v>
      </c>
      <c r="J751" s="5" t="s">
        <v>3745</v>
      </c>
      <c r="K751" s="5" t="s">
        <v>208</v>
      </c>
      <c r="L751" s="5" t="s">
        <v>3746</v>
      </c>
      <c r="M751" s="5">
        <v>3014305962</v>
      </c>
      <c r="N751" s="6">
        <v>46011</v>
      </c>
      <c r="O751" s="7">
        <v>0</v>
      </c>
      <c r="P751" s="5">
        <v>1</v>
      </c>
      <c r="Q751" s="5" t="s">
        <v>3747</v>
      </c>
      <c r="R751" s="5">
        <v>340000</v>
      </c>
      <c r="S751" s="5">
        <v>0</v>
      </c>
      <c r="T751" s="5">
        <v>10000</v>
      </c>
      <c r="U751" s="5">
        <v>350000</v>
      </c>
      <c r="V751" s="5" t="s">
        <v>3748</v>
      </c>
      <c r="W751" s="5" t="s">
        <v>36</v>
      </c>
      <c r="X751" s="5" t="s">
        <v>67</v>
      </c>
      <c r="AA751" s="5" t="s">
        <v>44</v>
      </c>
      <c r="AC751" s="8" t="str">
        <f>HYPERLINK("https://drive.google.com/file/d/1L7PbSNw5GPISzzdk17MinkRrXBOgfaNf/view?usp=drivesdk", "Abrir_Factura")</f>
        <v>Abrir_Factura</v>
      </c>
      <c r="AD751" s="9">
        <v>46011.407916666663</v>
      </c>
    </row>
    <row r="752" spans="1:30" ht="12.5">
      <c r="A752" s="4">
        <v>46011.399741782407</v>
      </c>
      <c r="B752" s="5">
        <v>90486</v>
      </c>
      <c r="C752" s="5">
        <v>72004348</v>
      </c>
      <c r="D752" s="5" t="s">
        <v>2889</v>
      </c>
      <c r="F752" s="5" t="s">
        <v>3749</v>
      </c>
      <c r="H752" s="5">
        <v>19546386150</v>
      </c>
      <c r="J752" s="5" t="s">
        <v>3750</v>
      </c>
      <c r="L752" s="5" t="s">
        <v>3751</v>
      </c>
      <c r="M752" s="5" t="s">
        <v>25421</v>
      </c>
      <c r="N752" s="6">
        <v>46011</v>
      </c>
      <c r="O752" s="7">
        <v>0</v>
      </c>
      <c r="P752" s="5">
        <v>1</v>
      </c>
      <c r="Q752" s="5" t="s">
        <v>3752</v>
      </c>
      <c r="R752" s="5">
        <v>300000</v>
      </c>
      <c r="S752" s="5">
        <v>0</v>
      </c>
      <c r="T752" s="5"/>
      <c r="U752" s="5">
        <v>300000</v>
      </c>
      <c r="V752" s="5" t="s">
        <v>3753</v>
      </c>
      <c r="W752" s="5" t="s">
        <v>36</v>
      </c>
      <c r="X752" s="5" t="s">
        <v>3754</v>
      </c>
      <c r="AA752" s="5" t="s">
        <v>44</v>
      </c>
      <c r="AB752" s="5" t="s">
        <v>3755</v>
      </c>
      <c r="AC752" s="8" t="str">
        <f>HYPERLINK("https://drive.google.com/file/d/1H7SZi753VGGtB_YgI9s9jSoem-xkDnSN/view?usp=drivesdk","Abrir_Factura")</f>
        <v>Abrir_Factura</v>
      </c>
      <c r="AD752" s="9">
        <v>46011.426898148151</v>
      </c>
    </row>
    <row r="753" spans="1:30" ht="12.5">
      <c r="A753" s="4">
        <v>46011.500746342594</v>
      </c>
      <c r="B753" s="5">
        <v>90487</v>
      </c>
      <c r="C753" s="5">
        <v>1129535382</v>
      </c>
      <c r="D753" s="5" t="s">
        <v>3756</v>
      </c>
      <c r="F753" s="5" t="s">
        <v>693</v>
      </c>
      <c r="H753" s="5">
        <v>573014441370</v>
      </c>
      <c r="J753" s="5" t="s">
        <v>3757</v>
      </c>
      <c r="K753" s="5" t="s">
        <v>598</v>
      </c>
      <c r="L753" s="5" t="s">
        <v>3758</v>
      </c>
      <c r="M753" s="5">
        <v>3022828557</v>
      </c>
      <c r="N753" s="6">
        <v>46011</v>
      </c>
      <c r="O753" s="7">
        <v>0.58333333333333337</v>
      </c>
      <c r="P753" s="5">
        <v>1</v>
      </c>
      <c r="Q753" s="5" t="s">
        <v>112</v>
      </c>
      <c r="R753" s="5">
        <v>260000</v>
      </c>
      <c r="S753" s="5">
        <v>0</v>
      </c>
      <c r="T753" s="5">
        <v>10000</v>
      </c>
      <c r="U753" s="5">
        <v>270000</v>
      </c>
      <c r="V753" s="5" t="s">
        <v>3759</v>
      </c>
      <c r="W753" s="5" t="s">
        <v>36</v>
      </c>
      <c r="X753" s="5" t="s">
        <v>67</v>
      </c>
      <c r="AA753" s="5" t="s">
        <v>69</v>
      </c>
      <c r="AB753" s="5" t="s">
        <v>3760</v>
      </c>
      <c r="AC753" s="8" t="str">
        <f>HYPERLINK("https://drive.google.com/file/d/1b0pIDXFLfSv6iXi04rgIzXaEZLWAjKAs/view?usp=drivesdk","Abrir_Factura")</f>
        <v>Abrir_Factura</v>
      </c>
      <c r="AD753" s="9">
        <v>46011.545648148145</v>
      </c>
    </row>
    <row r="754" spans="1:30" ht="12.5">
      <c r="A754" s="4">
        <v>46011.428559409724</v>
      </c>
      <c r="B754" s="5">
        <v>90488</v>
      </c>
      <c r="C754" s="5">
        <v>1140898846</v>
      </c>
      <c r="D754" s="5" t="s">
        <v>3761</v>
      </c>
      <c r="F754" s="5" t="s">
        <v>3762</v>
      </c>
      <c r="H754" s="5">
        <v>573154145966</v>
      </c>
      <c r="J754" s="5" t="s">
        <v>3763</v>
      </c>
      <c r="K754" s="5" t="s">
        <v>3764</v>
      </c>
      <c r="L754" s="5" t="s">
        <v>3765</v>
      </c>
      <c r="N754" s="6">
        <v>46011</v>
      </c>
      <c r="O754" s="7">
        <v>0</v>
      </c>
      <c r="P754" s="5">
        <v>1</v>
      </c>
      <c r="Q754" s="5" t="s">
        <v>375</v>
      </c>
      <c r="R754" s="5">
        <v>70000</v>
      </c>
      <c r="S754" s="5">
        <v>0</v>
      </c>
      <c r="T754" s="5">
        <v>9000</v>
      </c>
      <c r="U754" s="5">
        <v>79000</v>
      </c>
      <c r="V754" s="5" t="s">
        <v>3766</v>
      </c>
      <c r="W754" s="5" t="s">
        <v>36</v>
      </c>
      <c r="X754" s="5" t="s">
        <v>67</v>
      </c>
      <c r="AA754" s="5" t="s">
        <v>44</v>
      </c>
      <c r="AC754" s="8" t="str">
        <f>HYPERLINK("https://drive.google.com/file/d/1BkdpIUA_NZIneseHt9SbVlc1q-9iJ7pK/view?usp=drivesdk","Abrir_Factura")</f>
        <v>Abrir_Factura</v>
      </c>
      <c r="AD754" s="9">
        <v>46011.554525462961</v>
      </c>
    </row>
    <row r="755" spans="1:30" ht="12.5">
      <c r="A755" s="4">
        <v>46011.426369062501</v>
      </c>
      <c r="B755" s="5">
        <v>90489</v>
      </c>
      <c r="C755" s="5">
        <v>32870417</v>
      </c>
      <c r="D755" s="5" t="s">
        <v>3767</v>
      </c>
      <c r="F755" s="5" t="s">
        <v>3768</v>
      </c>
      <c r="H755" s="5">
        <v>573205579328</v>
      </c>
      <c r="J755" s="5" t="s">
        <v>3769</v>
      </c>
      <c r="K755" s="5" t="s">
        <v>563</v>
      </c>
      <c r="L755" s="5" t="s">
        <v>3770</v>
      </c>
      <c r="M755" s="5">
        <v>3127351567</v>
      </c>
      <c r="N755" s="6">
        <v>46011</v>
      </c>
      <c r="O755" s="7">
        <v>0</v>
      </c>
      <c r="P755" s="5">
        <v>1</v>
      </c>
      <c r="Q755" s="5" t="s">
        <v>89</v>
      </c>
      <c r="R755" s="5">
        <v>150000</v>
      </c>
      <c r="S755" s="5">
        <v>0</v>
      </c>
      <c r="T755" s="5">
        <v>12000</v>
      </c>
      <c r="U755" s="5">
        <v>162000</v>
      </c>
      <c r="V755" s="5" t="s">
        <v>3771</v>
      </c>
      <c r="W755" s="5" t="s">
        <v>36</v>
      </c>
      <c r="X755" s="5" t="s">
        <v>67</v>
      </c>
      <c r="AA755" s="5" t="s">
        <v>69</v>
      </c>
      <c r="AC755" s="8" t="str">
        <f>HYPERLINK("https://drive.google.com/file/d/1H3c5p7x6Hc_6u92CPxqhnk37SEPXFvzl/view?usp=drivesdk","Abrir_Factura")</f>
        <v>Abrir_Factura</v>
      </c>
      <c r="AD755" s="9">
        <v>46011.560277777775</v>
      </c>
    </row>
    <row r="756" spans="1:30" ht="12.5">
      <c r="A756" s="4">
        <v>46011.410572199078</v>
      </c>
      <c r="B756" s="5">
        <v>90490</v>
      </c>
      <c r="C756" s="5">
        <v>1043011339</v>
      </c>
      <c r="D756" s="5" t="s">
        <v>3772</v>
      </c>
      <c r="F756" s="5" t="s">
        <v>3773</v>
      </c>
      <c r="H756" s="5">
        <v>573012958428</v>
      </c>
      <c r="J756" s="5" t="s">
        <v>3774</v>
      </c>
      <c r="K756" s="5" t="s">
        <v>3775</v>
      </c>
      <c r="L756" s="5" t="s">
        <v>3776</v>
      </c>
      <c r="M756" s="5" t="s">
        <v>25421</v>
      </c>
      <c r="N756" s="6">
        <v>46011</v>
      </c>
      <c r="O756" s="7">
        <v>0</v>
      </c>
      <c r="P756" s="5">
        <v>1</v>
      </c>
      <c r="Q756" s="5" t="s">
        <v>96</v>
      </c>
      <c r="R756" s="5">
        <v>220000</v>
      </c>
      <c r="S756" s="5">
        <v>0</v>
      </c>
      <c r="T756" s="5">
        <v>20000</v>
      </c>
      <c r="U756" s="5">
        <v>240000</v>
      </c>
      <c r="V756" s="5" t="s">
        <v>3777</v>
      </c>
      <c r="W756" s="5" t="s">
        <v>36</v>
      </c>
      <c r="X756" s="5" t="s">
        <v>1937</v>
      </c>
      <c r="AA756" s="5" t="s">
        <v>69</v>
      </c>
      <c r="AB756" s="5" t="s">
        <v>3778</v>
      </c>
      <c r="AC756" s="8" t="str">
        <f>HYPERLINK("https://drive.google.com/file/d/160UhQpkSQAkLHDREOfo6oGcNBRsksWzC/view?usp=drivesdk","Abrir_Factura")</f>
        <v>Abrir_Factura</v>
      </c>
      <c r="AD756" s="9">
        <v>46011.562349537038</v>
      </c>
    </row>
    <row r="757" spans="1:30" ht="12.5">
      <c r="A757" s="4">
        <v>46010.894936099532</v>
      </c>
      <c r="B757" s="5">
        <v>90491</v>
      </c>
      <c r="C757" s="5">
        <v>1001999924</v>
      </c>
      <c r="D757" s="5" t="s">
        <v>2209</v>
      </c>
      <c r="F757" s="5" t="s">
        <v>3779</v>
      </c>
      <c r="H757" s="5">
        <v>573184088611</v>
      </c>
      <c r="J757" s="5" t="s">
        <v>3780</v>
      </c>
      <c r="K757" s="5" t="s">
        <v>3781</v>
      </c>
      <c r="L757" s="5" t="s">
        <v>3782</v>
      </c>
      <c r="M757" s="5">
        <v>3184088611</v>
      </c>
      <c r="N757" s="6">
        <v>46012</v>
      </c>
      <c r="O757" s="7">
        <v>0</v>
      </c>
      <c r="P757" s="5">
        <v>1</v>
      </c>
      <c r="Q757" s="5" t="s">
        <v>210</v>
      </c>
      <c r="R757" s="5">
        <v>150000</v>
      </c>
      <c r="S757" s="5">
        <v>0</v>
      </c>
      <c r="T757" s="5">
        <v>11000</v>
      </c>
      <c r="U757" s="5">
        <v>161000</v>
      </c>
      <c r="V757" s="5" t="s">
        <v>3783</v>
      </c>
      <c r="W757" s="5" t="s">
        <v>36</v>
      </c>
      <c r="X757" s="5" t="s">
        <v>83</v>
      </c>
      <c r="AA757" s="5" t="s">
        <v>69</v>
      </c>
      <c r="AC757" s="8" t="str">
        <f>HYPERLINK("https://drive.google.com/file/d/1IpG35ZkNQVJ3grMcUKD2bHKLPujygxGV/view?usp=drivesdk","Abrir_Factura")</f>
        <v>Abrir_Factura</v>
      </c>
      <c r="AD757" s="9">
        <v>46011.564317129632</v>
      </c>
    </row>
    <row r="758" spans="1:30" ht="12.5">
      <c r="A758" s="4">
        <v>46011.577616550931</v>
      </c>
      <c r="B758" s="5">
        <v>90492</v>
      </c>
      <c r="C758" s="5">
        <v>1073510272</v>
      </c>
      <c r="D758" s="5" t="s">
        <v>3784</v>
      </c>
      <c r="F758" s="5" t="s">
        <v>3785</v>
      </c>
      <c r="H758" s="5">
        <v>57104010588</v>
      </c>
      <c r="J758" s="5" t="s">
        <v>3786</v>
      </c>
      <c r="K758" s="5" t="s">
        <v>351</v>
      </c>
      <c r="L758" s="5" t="s">
        <v>3787</v>
      </c>
      <c r="M758" s="5">
        <v>3003789533</v>
      </c>
      <c r="N758" s="6">
        <v>46011</v>
      </c>
      <c r="O758" s="7">
        <v>0</v>
      </c>
      <c r="P758" s="5">
        <v>1</v>
      </c>
      <c r="Q758" s="5" t="s">
        <v>187</v>
      </c>
      <c r="R758" s="5">
        <v>200000</v>
      </c>
      <c r="S758" s="5">
        <v>0</v>
      </c>
      <c r="T758" s="5">
        <v>12000</v>
      </c>
      <c r="U758" s="5">
        <v>212000</v>
      </c>
      <c r="W758" s="5" t="s">
        <v>36</v>
      </c>
      <c r="X758" s="5" t="s">
        <v>67</v>
      </c>
      <c r="AA758" s="5" t="s">
        <v>44</v>
      </c>
      <c r="AC758" s="8" t="str">
        <f>HYPERLINK("https://drive.google.com/file/d/1mQ84sLhQUjjz2FQltWktEqDChmBr5lio/view?usp=drivesdk","Abrir_Factura")</f>
        <v>Abrir_Factura</v>
      </c>
      <c r="AD758" s="9">
        <v>46011.578020833331</v>
      </c>
    </row>
    <row r="759" spans="1:30" ht="12.5">
      <c r="A759" s="4">
        <v>46011.580226724538</v>
      </c>
      <c r="B759" s="5">
        <v>90493</v>
      </c>
      <c r="C759" s="5">
        <v>41354234</v>
      </c>
      <c r="D759" s="5" t="s">
        <v>3788</v>
      </c>
      <c r="F759" s="5" t="s">
        <v>3789</v>
      </c>
      <c r="H759" s="5">
        <v>57126922492</v>
      </c>
      <c r="J759" s="5" t="s">
        <v>3790</v>
      </c>
      <c r="K759" s="5" t="s">
        <v>351</v>
      </c>
      <c r="L759" s="5" t="s">
        <v>3791</v>
      </c>
      <c r="M759" s="5">
        <v>3126922492</v>
      </c>
      <c r="N759" s="6">
        <v>46011</v>
      </c>
      <c r="O759" s="7">
        <v>0</v>
      </c>
      <c r="P759" s="5">
        <v>1</v>
      </c>
      <c r="Q759" s="5" t="s">
        <v>576</v>
      </c>
      <c r="R759" s="5">
        <v>120000</v>
      </c>
      <c r="S759" s="5">
        <v>0</v>
      </c>
      <c r="T759" s="5">
        <v>12000</v>
      </c>
      <c r="U759" s="5">
        <v>132000</v>
      </c>
      <c r="W759" s="5" t="s">
        <v>36</v>
      </c>
      <c r="X759" s="5" t="s">
        <v>67</v>
      </c>
      <c r="AA759" s="5" t="s">
        <v>44</v>
      </c>
      <c r="AC759" s="8" t="str">
        <f>HYPERLINK("https://drive.google.com/file/d/1L_db6OPrzu561DIWF0T3x2AhQd0QsTT0/view?usp=drivesdk","Abrir_Factura")</f>
        <v>Abrir_Factura</v>
      </c>
      <c r="AD759" s="9">
        <v>46011.587824074071</v>
      </c>
    </row>
    <row r="760" spans="1:30" ht="12.5">
      <c r="A760" s="4">
        <v>46011.591196331021</v>
      </c>
      <c r="B760" s="5">
        <v>90494</v>
      </c>
      <c r="C760" s="5">
        <v>72262474</v>
      </c>
      <c r="D760" s="5" t="s">
        <v>3792</v>
      </c>
      <c r="F760" s="5" t="s">
        <v>3793</v>
      </c>
      <c r="H760" s="5">
        <v>573007077222</v>
      </c>
      <c r="J760" s="5" t="s">
        <v>3794</v>
      </c>
      <c r="K760" s="5" t="s">
        <v>307</v>
      </c>
      <c r="L760" s="5" t="s">
        <v>3795</v>
      </c>
      <c r="N760" s="6">
        <v>46011</v>
      </c>
      <c r="O760" s="7">
        <v>0</v>
      </c>
      <c r="P760" s="5">
        <v>1</v>
      </c>
      <c r="Q760" s="5" t="s">
        <v>112</v>
      </c>
      <c r="R760" s="5">
        <v>260000</v>
      </c>
      <c r="S760" s="5">
        <v>0</v>
      </c>
      <c r="T760" s="5">
        <v>10000</v>
      </c>
      <c r="U760" s="5">
        <v>270000</v>
      </c>
      <c r="V760" s="5" t="s">
        <v>3796</v>
      </c>
      <c r="W760" s="5" t="s">
        <v>36</v>
      </c>
      <c r="X760" s="5" t="s">
        <v>180</v>
      </c>
      <c r="AA760" s="5" t="s">
        <v>44</v>
      </c>
      <c r="AC760" s="8" t="str">
        <f>HYPERLINK("https://drive.google.com/file/d/1kzWW3q9J9CKKHeu4G8cysr5b1hB3o2Zk/view?usp=drivesdk","Abrir_Factura")</f>
        <v>Abrir_Factura</v>
      </c>
      <c r="AD760" s="9">
        <v>46011.591620370367</v>
      </c>
    </row>
    <row r="761" spans="1:30" ht="12.5">
      <c r="A761" s="4">
        <v>46011.59352678241</v>
      </c>
      <c r="B761" s="5">
        <v>90495</v>
      </c>
      <c r="C761" s="5">
        <v>1234095489</v>
      </c>
      <c r="D761" s="5" t="s">
        <v>3797</v>
      </c>
      <c r="F761" s="5" t="s">
        <v>3798</v>
      </c>
      <c r="H761" s="5">
        <v>573245502191</v>
      </c>
      <c r="J761" s="5" t="s">
        <v>3799</v>
      </c>
      <c r="K761" s="5" t="s">
        <v>33</v>
      </c>
      <c r="L761" s="5" t="s">
        <v>34</v>
      </c>
      <c r="M761" s="5">
        <v>3245502191</v>
      </c>
      <c r="N761" s="6">
        <v>46011</v>
      </c>
      <c r="O761" s="7">
        <v>0</v>
      </c>
      <c r="P761" s="5">
        <v>1</v>
      </c>
      <c r="Q761" s="5" t="s">
        <v>156</v>
      </c>
      <c r="R761" s="5">
        <v>70000</v>
      </c>
      <c r="S761" s="5">
        <v>0</v>
      </c>
      <c r="T761" s="5">
        <v>0</v>
      </c>
      <c r="U761" s="5">
        <v>70000</v>
      </c>
      <c r="W761" s="5" t="s">
        <v>36</v>
      </c>
      <c r="X761" s="5" t="s">
        <v>1481</v>
      </c>
      <c r="AA761" s="5" t="s">
        <v>1717</v>
      </c>
      <c r="AC761" s="8" t="str">
        <f>HYPERLINK("https://drive.google.com/file/d/1WAAkYfWzrVC1-cE5jEkJmxSSBR26KF-O/view?usp=drivesdk","Abrir_Factura")</f>
        <v>Abrir_Factura</v>
      </c>
      <c r="AD761" s="9">
        <v>46011.59447916667</v>
      </c>
    </row>
    <row r="762" spans="1:30" ht="12.5">
      <c r="A762" s="4">
        <v>46011.632691886574</v>
      </c>
      <c r="B762" s="5">
        <v>90496</v>
      </c>
      <c r="C762" s="5">
        <v>1001823231</v>
      </c>
      <c r="D762" s="5" t="s">
        <v>1173</v>
      </c>
      <c r="F762" s="5" t="s">
        <v>1141</v>
      </c>
      <c r="H762" s="5">
        <v>57017081709</v>
      </c>
      <c r="J762" s="5" t="s">
        <v>3800</v>
      </c>
      <c r="K762" s="5" t="s">
        <v>33</v>
      </c>
      <c r="L762" s="5" t="s">
        <v>34</v>
      </c>
      <c r="M762" s="5">
        <v>17081709</v>
      </c>
      <c r="N762" s="6">
        <v>46011</v>
      </c>
      <c r="O762" s="7">
        <v>0</v>
      </c>
      <c r="P762" s="5">
        <v>1</v>
      </c>
      <c r="Q762" s="5" t="s">
        <v>309</v>
      </c>
      <c r="R762" s="5">
        <v>80000</v>
      </c>
      <c r="S762" s="5">
        <v>0</v>
      </c>
      <c r="T762" s="5">
        <v>0</v>
      </c>
      <c r="U762" s="5">
        <v>80000</v>
      </c>
      <c r="W762" s="5" t="s">
        <v>36</v>
      </c>
      <c r="X762" s="5" t="s">
        <v>67</v>
      </c>
      <c r="AA762" s="5" t="s">
        <v>44</v>
      </c>
      <c r="AC762" s="8" t="str">
        <f>HYPERLINK("https://drive.google.com/file/d/15XVZLqwCUicQ1JLLJEyThF8A3kJCrlGr/view?usp=drivesdk","Abrir_Factura")</f>
        <v>Abrir_Factura</v>
      </c>
      <c r="AD762" s="9">
        <v>46011.633113425924</v>
      </c>
    </row>
    <row r="763" spans="1:30" ht="12.5">
      <c r="A763" s="4">
        <v>46011.587036597222</v>
      </c>
      <c r="B763" s="5">
        <v>90497</v>
      </c>
      <c r="C763" s="5">
        <v>1143470207</v>
      </c>
      <c r="D763" s="5" t="s">
        <v>2856</v>
      </c>
      <c r="F763" s="5" t="s">
        <v>3801</v>
      </c>
      <c r="H763" s="5">
        <v>573016257466</v>
      </c>
      <c r="J763" s="5" t="s">
        <v>3802</v>
      </c>
      <c r="K763" s="5" t="s">
        <v>229</v>
      </c>
      <c r="L763" s="5" t="s">
        <v>3803</v>
      </c>
      <c r="M763" s="5">
        <v>3016257466</v>
      </c>
      <c r="N763" s="6">
        <v>46022</v>
      </c>
      <c r="O763" s="7">
        <v>0</v>
      </c>
      <c r="P763" s="5">
        <v>1</v>
      </c>
      <c r="Q763" s="5" t="s">
        <v>65</v>
      </c>
      <c r="R763" s="5">
        <v>70000</v>
      </c>
      <c r="S763" s="5">
        <v>0</v>
      </c>
      <c r="T763" s="5">
        <v>11000</v>
      </c>
      <c r="U763" s="5">
        <v>81000</v>
      </c>
      <c r="V763" s="5" t="s">
        <v>3804</v>
      </c>
      <c r="W763" s="5" t="s">
        <v>36</v>
      </c>
      <c r="X763" s="5" t="s">
        <v>83</v>
      </c>
      <c r="AA763" s="5" t="s">
        <v>69</v>
      </c>
      <c r="AB763" s="5" t="s">
        <v>3805</v>
      </c>
      <c r="AC763" s="8" t="str">
        <f>HYPERLINK("https://drive.google.com/file/d/1tJ7dKlj90QatcV69RA9VyBAtVwxdKxKe/view?usp=drivesdk", "Abrir_Factura")</f>
        <v>Abrir_Factura</v>
      </c>
      <c r="AD763" s="9">
        <v>46021.605578703704</v>
      </c>
    </row>
    <row r="764" spans="1:30" ht="12.5">
      <c r="A764" s="4">
        <v>46011.63855625</v>
      </c>
      <c r="B764" s="5">
        <v>90498</v>
      </c>
      <c r="C764" s="5">
        <v>22462773</v>
      </c>
      <c r="D764" s="5" t="s">
        <v>521</v>
      </c>
      <c r="F764" s="5" t="s">
        <v>561</v>
      </c>
      <c r="H764" s="5">
        <v>573174986262</v>
      </c>
      <c r="J764" s="5" t="s">
        <v>2679</v>
      </c>
      <c r="K764" s="5" t="s">
        <v>33</v>
      </c>
      <c r="L764" s="5" t="s">
        <v>34</v>
      </c>
      <c r="M764" s="5">
        <v>3174986262</v>
      </c>
      <c r="N764" s="6">
        <v>46011</v>
      </c>
      <c r="O764" s="7">
        <v>0</v>
      </c>
      <c r="P764" s="5">
        <v>1</v>
      </c>
      <c r="Q764" s="5" t="s">
        <v>42</v>
      </c>
      <c r="R764" s="5">
        <v>60000</v>
      </c>
      <c r="S764" s="5">
        <v>0</v>
      </c>
      <c r="T764" s="5">
        <v>0</v>
      </c>
      <c r="U764" s="5">
        <v>60000</v>
      </c>
      <c r="W764" s="5" t="s">
        <v>36</v>
      </c>
      <c r="X764" s="5" t="s">
        <v>2636</v>
      </c>
      <c r="AA764" s="5" t="s">
        <v>1717</v>
      </c>
      <c r="AB764" s="5" t="s">
        <v>525</v>
      </c>
      <c r="AC764" s="8" t="str">
        <f>HYPERLINK("https://drive.google.com/file/d/1PMHRF3kUw1dj_rxngxWyBZAeYUSsUFxS/view?usp=drivesdk","Abrir_Factura")</f>
        <v>Abrir_Factura</v>
      </c>
      <c r="AD764" s="9">
        <v>46011.640173611115</v>
      </c>
    </row>
    <row r="765" spans="1:30" ht="12.5">
      <c r="A765" s="4">
        <v>46011.643238530094</v>
      </c>
      <c r="B765" s="5">
        <v>90499</v>
      </c>
      <c r="C765" s="5">
        <v>1007496356</v>
      </c>
      <c r="D765" s="5" t="s">
        <v>3806</v>
      </c>
      <c r="F765" s="5" t="s">
        <v>3807</v>
      </c>
      <c r="H765" s="5">
        <v>573026003941</v>
      </c>
      <c r="J765" s="5" t="s">
        <v>3808</v>
      </c>
      <c r="K765" s="5" t="s">
        <v>33</v>
      </c>
      <c r="L765" s="5" t="s">
        <v>34</v>
      </c>
      <c r="M765" s="5">
        <v>3026003941</v>
      </c>
      <c r="N765" s="6">
        <v>46011</v>
      </c>
      <c r="O765" s="7">
        <v>0</v>
      </c>
      <c r="P765" s="5">
        <v>1</v>
      </c>
      <c r="Q765" s="5" t="s">
        <v>156</v>
      </c>
      <c r="R765" s="5">
        <v>70000</v>
      </c>
      <c r="S765" s="5">
        <v>0</v>
      </c>
      <c r="T765" s="5">
        <v>0</v>
      </c>
      <c r="U765" s="5">
        <v>70000</v>
      </c>
      <c r="W765" s="5" t="s">
        <v>36</v>
      </c>
      <c r="X765" s="5" t="s">
        <v>2636</v>
      </c>
      <c r="AA765" s="5" t="s">
        <v>1717</v>
      </c>
      <c r="AC765" s="8" t="str">
        <f>HYPERLINK("https://drive.google.com/file/d/1XezuPRZ0-4pOeUFt_3hcm0Eo6GvoOIuQ/view?usp=drivesdk","Abrir_Factura")</f>
        <v>Abrir_Factura</v>
      </c>
      <c r="AD765" s="9">
        <v>46011.644189814811</v>
      </c>
    </row>
    <row r="766" spans="1:30" ht="12.5">
      <c r="A766" s="4">
        <v>46011.648118437501</v>
      </c>
      <c r="B766" s="5">
        <v>90500</v>
      </c>
      <c r="C766" s="5">
        <v>72126222</v>
      </c>
      <c r="D766" s="5" t="s">
        <v>3809</v>
      </c>
      <c r="F766" s="5" t="s">
        <v>3810</v>
      </c>
      <c r="H766" s="5">
        <v>573116813546</v>
      </c>
      <c r="J766" s="5" t="s">
        <v>3811</v>
      </c>
      <c r="K766" s="5" t="s">
        <v>33</v>
      </c>
      <c r="L766" s="5" t="s">
        <v>34</v>
      </c>
      <c r="M766" s="5">
        <v>3116813546</v>
      </c>
      <c r="N766" s="6">
        <v>46011</v>
      </c>
      <c r="O766" s="7">
        <v>0</v>
      </c>
      <c r="P766" s="5">
        <v>1</v>
      </c>
      <c r="Q766" s="5" t="s">
        <v>3812</v>
      </c>
      <c r="R766" s="5">
        <v>1135000</v>
      </c>
      <c r="S766" s="5">
        <v>0</v>
      </c>
      <c r="T766" s="5">
        <v>0</v>
      </c>
      <c r="U766" s="5">
        <v>1135000</v>
      </c>
      <c r="W766" s="5" t="s">
        <v>36</v>
      </c>
      <c r="X766" s="5" t="s">
        <v>83</v>
      </c>
      <c r="AA766" s="5" t="s">
        <v>69</v>
      </c>
      <c r="AC766" s="8" t="str">
        <f>HYPERLINK("https://drive.google.com/file/d/177umIaqNOyO1yRl-juFWJbtMF5yUC_2Y/view?usp=drivesdk","Abrir_Factura")</f>
        <v>Abrir_Factura</v>
      </c>
      <c r="AD766" s="9">
        <v>46011.648784722223</v>
      </c>
    </row>
    <row r="767" spans="1:30" ht="12.5">
      <c r="A767" s="4">
        <v>46011.652581782408</v>
      </c>
      <c r="B767" s="5">
        <v>90501</v>
      </c>
      <c r="C767" s="5">
        <v>80412148</v>
      </c>
      <c r="D767" s="5" t="s">
        <v>3813</v>
      </c>
      <c r="F767" s="5" t="s">
        <v>3814</v>
      </c>
      <c r="H767" s="5">
        <v>57205211102</v>
      </c>
      <c r="J767" s="5" t="s">
        <v>3815</v>
      </c>
      <c r="K767" s="5" t="s">
        <v>63</v>
      </c>
      <c r="L767" s="5" t="s">
        <v>3816</v>
      </c>
      <c r="N767" s="6">
        <v>46013</v>
      </c>
      <c r="O767" s="7">
        <v>0</v>
      </c>
      <c r="P767" s="5">
        <v>1</v>
      </c>
      <c r="Q767" s="5" t="s">
        <v>1251</v>
      </c>
      <c r="R767" s="5">
        <v>500000</v>
      </c>
      <c r="S767" s="5">
        <v>0</v>
      </c>
      <c r="T767" s="5">
        <v>17000</v>
      </c>
      <c r="U767" s="5">
        <v>517000</v>
      </c>
      <c r="V767" s="5" t="s">
        <v>3817</v>
      </c>
      <c r="W767" s="5" t="s">
        <v>36</v>
      </c>
      <c r="X767" s="5" t="s">
        <v>1937</v>
      </c>
      <c r="AA767" s="5" t="s">
        <v>44</v>
      </c>
      <c r="AC767" s="8" t="str">
        <f>HYPERLINK("https://drive.google.com/file/d/1Djf3-cpEUbN2TRSEfo7WoK2LbF05xJT0/view?usp=drivesdk","Abrir_Factura")</f>
        <v>Abrir_Factura</v>
      </c>
      <c r="AD767" s="9">
        <v>46011.653877314813</v>
      </c>
    </row>
    <row r="768" spans="1:30" ht="12.5">
      <c r="A768" s="4">
        <v>46011.627214953704</v>
      </c>
      <c r="B768" s="5">
        <v>90502</v>
      </c>
      <c r="C768" s="5">
        <v>1140864101</v>
      </c>
      <c r="D768" s="5" t="s">
        <v>3818</v>
      </c>
      <c r="F768" s="5" t="s">
        <v>3819</v>
      </c>
      <c r="H768" s="5">
        <v>573024246133</v>
      </c>
      <c r="J768" s="5" t="s">
        <v>3820</v>
      </c>
      <c r="K768" s="5" t="s">
        <v>1047</v>
      </c>
      <c r="L768" s="5" t="s">
        <v>3821</v>
      </c>
      <c r="M768" s="5">
        <v>3024246133</v>
      </c>
      <c r="N768" s="6">
        <v>46011</v>
      </c>
      <c r="O768" s="7">
        <v>0</v>
      </c>
      <c r="P768" s="5">
        <v>1</v>
      </c>
      <c r="Q768" s="5" t="s">
        <v>679</v>
      </c>
      <c r="R768" s="5">
        <v>180000</v>
      </c>
      <c r="S768" s="5">
        <v>0</v>
      </c>
      <c r="T768" s="5">
        <v>15000</v>
      </c>
      <c r="U768" s="5">
        <v>195000</v>
      </c>
      <c r="V768" s="5" t="s">
        <v>3822</v>
      </c>
      <c r="W768" s="5" t="s">
        <v>36</v>
      </c>
      <c r="X768" s="5" t="s">
        <v>83</v>
      </c>
      <c r="AA768" s="5" t="s">
        <v>44</v>
      </c>
      <c r="AB768" s="5" t="s">
        <v>3823</v>
      </c>
      <c r="AC768" s="8" t="str">
        <f>HYPERLINK("https://drive.google.com/file/d/1u4pnI07EgxxjcOogvi-rg0a32jRPkT0X/view?usp=drivesdk","Abrir_Factura")</f>
        <v>Abrir_Factura</v>
      </c>
      <c r="AD768" s="9">
        <v>46011.656053240738</v>
      </c>
    </row>
    <row r="769" spans="1:30" ht="12.5">
      <c r="A769" s="4">
        <v>46011.634635115741</v>
      </c>
      <c r="B769" s="5">
        <v>90503</v>
      </c>
      <c r="C769" s="5">
        <v>1047485741</v>
      </c>
      <c r="D769" s="5" t="s">
        <v>3824</v>
      </c>
      <c r="F769" s="5" t="s">
        <v>3825</v>
      </c>
      <c r="H769" s="5">
        <v>573106100361</v>
      </c>
      <c r="J769" s="5" t="s">
        <v>3826</v>
      </c>
      <c r="K769" s="5" t="s">
        <v>307</v>
      </c>
      <c r="L769" s="5" t="s">
        <v>3827</v>
      </c>
      <c r="M769" s="5">
        <v>3215827396</v>
      </c>
      <c r="N769" s="6">
        <v>46012</v>
      </c>
      <c r="O769" s="7">
        <v>0</v>
      </c>
      <c r="P769" s="5">
        <v>1</v>
      </c>
      <c r="Q769" s="5" t="s">
        <v>542</v>
      </c>
      <c r="R769" s="5">
        <v>140000</v>
      </c>
      <c r="S769" s="5">
        <v>0</v>
      </c>
      <c r="T769" s="5">
        <v>10000</v>
      </c>
      <c r="U769" s="5">
        <v>150000</v>
      </c>
      <c r="V769" s="5" t="s">
        <v>3828</v>
      </c>
      <c r="W769" s="5" t="s">
        <v>36</v>
      </c>
      <c r="X769" s="5" t="s">
        <v>83</v>
      </c>
      <c r="AA769" s="5" t="s">
        <v>44</v>
      </c>
      <c r="AB769" s="5" t="s">
        <v>3829</v>
      </c>
      <c r="AC769" s="8" t="str">
        <f>HYPERLINK("https://drive.google.com/file/d/19SFDJPg4Cdm9r1aQYEYKPFCFY8zZmfkZ/view?usp=drivesdk","Abrir_Factura")</f>
        <v>Abrir_Factura</v>
      </c>
      <c r="AD769" s="9">
        <v>46011.658113425925</v>
      </c>
    </row>
    <row r="770" spans="1:30" ht="12.5">
      <c r="A770" s="4">
        <v>46011.636621504629</v>
      </c>
      <c r="B770" s="5">
        <v>90504</v>
      </c>
      <c r="C770" s="5">
        <v>22463678</v>
      </c>
      <c r="D770" s="5" t="s">
        <v>2772</v>
      </c>
      <c r="F770" s="5" t="s">
        <v>3830</v>
      </c>
      <c r="H770" s="5">
        <v>573015426969</v>
      </c>
      <c r="J770" s="5" t="s">
        <v>3831</v>
      </c>
      <c r="K770" s="5" t="s">
        <v>1352</v>
      </c>
      <c r="L770" s="5" t="s">
        <v>3832</v>
      </c>
      <c r="M770" s="5">
        <v>3015426969</v>
      </c>
      <c r="N770" s="6">
        <v>46012</v>
      </c>
      <c r="O770" s="7">
        <v>0</v>
      </c>
      <c r="P770" s="5">
        <v>1</v>
      </c>
      <c r="Q770" s="5" t="s">
        <v>89</v>
      </c>
      <c r="R770" s="5">
        <v>150000</v>
      </c>
      <c r="S770" s="5">
        <v>0</v>
      </c>
      <c r="T770" s="5">
        <v>10000</v>
      </c>
      <c r="U770" s="5">
        <v>160000</v>
      </c>
      <c r="V770" s="5" t="s">
        <v>3833</v>
      </c>
      <c r="W770" s="5" t="s">
        <v>36</v>
      </c>
      <c r="X770" s="5" t="s">
        <v>83</v>
      </c>
      <c r="AA770" s="5" t="s">
        <v>44</v>
      </c>
      <c r="AC770" s="8" t="str">
        <f>HYPERLINK("https://drive.google.com/file/d/1zAJIa4blQsXW4zYNBbX8THoN-AREUwMu/view?usp=drivesdk","Abrir_Factura")</f>
        <v>Abrir_Factura</v>
      </c>
      <c r="AD770" s="9">
        <v>46011.681111111109</v>
      </c>
    </row>
    <row r="771" spans="1:30" ht="12.5">
      <c r="A771" s="4">
        <v>46011.665782164353</v>
      </c>
      <c r="B771" s="5">
        <v>90505</v>
      </c>
      <c r="C771" s="5">
        <v>1047414803</v>
      </c>
      <c r="D771" s="5" t="s">
        <v>1321</v>
      </c>
      <c r="F771" s="5" t="s">
        <v>3834</v>
      </c>
      <c r="H771" s="5">
        <v>13057915561</v>
      </c>
      <c r="J771" s="5" t="s">
        <v>3835</v>
      </c>
      <c r="K771" s="5" t="s">
        <v>103</v>
      </c>
      <c r="L771" s="5" t="s">
        <v>3836</v>
      </c>
      <c r="M771" s="5">
        <v>3002824377</v>
      </c>
      <c r="N771" s="6">
        <v>46012</v>
      </c>
      <c r="O771" s="7">
        <v>0</v>
      </c>
      <c r="P771" s="5">
        <v>1</v>
      </c>
      <c r="Q771" s="5" t="s">
        <v>384</v>
      </c>
      <c r="R771" s="5">
        <v>180000</v>
      </c>
      <c r="S771" s="5">
        <v>0</v>
      </c>
      <c r="T771" s="5">
        <v>10000</v>
      </c>
      <c r="U771" s="5">
        <v>190000</v>
      </c>
      <c r="V771" s="5" t="s">
        <v>3837</v>
      </c>
      <c r="W771" s="5" t="s">
        <v>36</v>
      </c>
      <c r="X771" s="5" t="s">
        <v>83</v>
      </c>
      <c r="AA771" s="5" t="s">
        <v>69</v>
      </c>
      <c r="AC771" s="8" t="str">
        <f>HYPERLINK("https://drive.google.com/file/d/1BjQR6f-VF3auaGolwbGmdAnpZdS36y2D/view?usp=drivesdk","Abrir_Factura")</f>
        <v>Abrir_Factura</v>
      </c>
      <c r="AD771" s="9">
        <v>46011.683148148149</v>
      </c>
    </row>
    <row r="772" spans="1:30" ht="12.5">
      <c r="A772" s="4">
        <v>46011.646647465277</v>
      </c>
      <c r="B772" s="5">
        <v>90506</v>
      </c>
      <c r="C772" s="5">
        <v>1140899395</v>
      </c>
      <c r="D772" s="5" t="s">
        <v>486</v>
      </c>
      <c r="F772" s="5" t="s">
        <v>3838</v>
      </c>
      <c r="H772" s="5">
        <v>573013952545</v>
      </c>
      <c r="J772" s="5" t="s">
        <v>3839</v>
      </c>
      <c r="K772" s="5" t="s">
        <v>63</v>
      </c>
      <c r="L772" s="5" t="s">
        <v>3840</v>
      </c>
      <c r="M772" s="5">
        <v>3012783886</v>
      </c>
      <c r="N772" s="6">
        <v>46014</v>
      </c>
      <c r="O772" s="7">
        <v>0</v>
      </c>
      <c r="P772" s="5">
        <v>1</v>
      </c>
      <c r="Q772" s="5" t="s">
        <v>3248</v>
      </c>
      <c r="R772" s="5">
        <v>350000</v>
      </c>
      <c r="S772" s="5">
        <v>0</v>
      </c>
      <c r="T772" s="5">
        <v>17000</v>
      </c>
      <c r="U772" s="5">
        <v>367000</v>
      </c>
      <c r="V772" s="5" t="s">
        <v>3841</v>
      </c>
      <c r="W772" s="5" t="s">
        <v>36</v>
      </c>
      <c r="X772" s="5" t="s">
        <v>83</v>
      </c>
      <c r="AA772" s="5" t="s">
        <v>69</v>
      </c>
      <c r="AB772" s="5" t="s">
        <v>3842</v>
      </c>
      <c r="AC772" s="8" t="str">
        <f>HYPERLINK("https://drive.google.com/file/d/1ZEp5GMQcNI7NrKDiJ9Kje8jsJtL8gN1q/view?usp=drivesdk","Abrir_Factura")</f>
        <v>Abrir_Factura</v>
      </c>
      <c r="AD772" s="9">
        <v>46011.685104166667</v>
      </c>
    </row>
    <row r="773" spans="1:30" ht="12.5">
      <c r="A773" s="4">
        <v>46011.704504004629</v>
      </c>
      <c r="B773" s="5">
        <v>90507</v>
      </c>
      <c r="C773" s="5">
        <v>0</v>
      </c>
      <c r="D773" s="5" t="s">
        <v>3522</v>
      </c>
      <c r="F773" s="5" t="s">
        <v>3843</v>
      </c>
      <c r="H773" s="5">
        <v>57000</v>
      </c>
      <c r="J773" s="5" t="s">
        <v>3844</v>
      </c>
      <c r="K773" s="5" t="s">
        <v>33</v>
      </c>
      <c r="L773" s="5" t="s">
        <v>34</v>
      </c>
      <c r="M773" s="5">
        <v>0</v>
      </c>
      <c r="N773" s="6">
        <v>46011</v>
      </c>
      <c r="O773" s="7">
        <v>0</v>
      </c>
      <c r="P773" s="5">
        <v>1</v>
      </c>
      <c r="Q773" s="5" t="s">
        <v>435</v>
      </c>
      <c r="R773" s="5">
        <v>70000</v>
      </c>
      <c r="S773" s="5">
        <v>0</v>
      </c>
      <c r="T773" s="5">
        <v>0</v>
      </c>
      <c r="U773" s="5">
        <v>70000</v>
      </c>
      <c r="W773" s="5" t="s">
        <v>36</v>
      </c>
      <c r="X773" s="5" t="s">
        <v>196</v>
      </c>
      <c r="AA773" s="5" t="s">
        <v>1717</v>
      </c>
      <c r="AC773" s="8" t="str">
        <f>HYPERLINK("https://drive.google.com/file/d/15LGzs2GS4YxXZ4egHNJRf_wIaUHrYH-l/view?usp=drivesdk","Abrir_Factura")</f>
        <v>Abrir_Factura</v>
      </c>
      <c r="AD773" s="9">
        <v>46011.705011574071</v>
      </c>
    </row>
    <row r="774" spans="1:30" ht="12.5">
      <c r="A774" s="4">
        <v>46011.729931493057</v>
      </c>
      <c r="B774" s="5">
        <v>90508</v>
      </c>
      <c r="C774" s="5">
        <v>1006957748</v>
      </c>
      <c r="D774" s="5" t="s">
        <v>2401</v>
      </c>
      <c r="F774" s="5" t="s">
        <v>2402</v>
      </c>
      <c r="H774" s="5">
        <v>573043833544</v>
      </c>
      <c r="J774" s="5" t="s">
        <v>3845</v>
      </c>
      <c r="K774" s="5" t="s">
        <v>33</v>
      </c>
      <c r="L774" s="5" t="s">
        <v>34</v>
      </c>
      <c r="M774" s="5">
        <v>3043833544</v>
      </c>
      <c r="N774" s="6">
        <v>46011</v>
      </c>
      <c r="O774" s="7">
        <v>0</v>
      </c>
      <c r="P774" s="5">
        <v>1</v>
      </c>
      <c r="Q774" s="5" t="s">
        <v>178</v>
      </c>
      <c r="R774" s="5">
        <v>100000</v>
      </c>
      <c r="S774" s="5">
        <v>0</v>
      </c>
      <c r="T774" s="5">
        <v>0</v>
      </c>
      <c r="U774" s="5">
        <v>100000</v>
      </c>
      <c r="W774" s="5" t="s">
        <v>36</v>
      </c>
      <c r="X774" s="5" t="s">
        <v>196</v>
      </c>
      <c r="AA774" s="5" t="s">
        <v>1717</v>
      </c>
      <c r="AC774" s="8" t="str">
        <f>HYPERLINK("https://drive.google.com/file/d/1H0b-nBT8v4_sB1qp411QL0Wtyv6Ndkcl/view?usp=drivesdk","Abrir_Factura")</f>
        <v>Abrir_Factura</v>
      </c>
      <c r="AD774" s="9">
        <v>46011.730219907404</v>
      </c>
    </row>
    <row r="775" spans="1:30" ht="12.5">
      <c r="A775" s="4">
        <v>46011.733976932868</v>
      </c>
      <c r="B775" s="5">
        <v>90509</v>
      </c>
      <c r="C775" s="5">
        <v>0</v>
      </c>
      <c r="D775" s="5" t="s">
        <v>3184</v>
      </c>
      <c r="F775" s="5" t="s">
        <v>2677</v>
      </c>
      <c r="H775" s="5">
        <v>5718098997974</v>
      </c>
      <c r="J775" s="5" t="s">
        <v>3846</v>
      </c>
      <c r="L775" s="5" t="s">
        <v>3847</v>
      </c>
      <c r="N775" s="6">
        <v>46011</v>
      </c>
      <c r="O775" s="7">
        <v>0</v>
      </c>
      <c r="P775" s="5">
        <v>1</v>
      </c>
      <c r="Q775" s="5" t="s">
        <v>3156</v>
      </c>
      <c r="R775" s="5">
        <v>170000</v>
      </c>
      <c r="S775" s="5">
        <v>0</v>
      </c>
      <c r="T775" s="5"/>
      <c r="U775" s="5">
        <v>170000</v>
      </c>
      <c r="W775" s="5" t="s">
        <v>36</v>
      </c>
      <c r="X775" s="5" t="s">
        <v>1937</v>
      </c>
      <c r="AA775" s="5" t="s">
        <v>44</v>
      </c>
      <c r="AC775" s="8" t="str">
        <f>HYPERLINK("https://drive.google.com/file/d/1MpmABBOb8mQmdAeAQY5uGub3ItPeH1Cm/view?usp=drivesdk","Abrir_Factura")</f>
        <v>Abrir_Factura</v>
      </c>
      <c r="AD775" s="9">
        <v>46011.734409722223</v>
      </c>
    </row>
    <row r="776" spans="1:30" ht="12.5">
      <c r="A776" s="4">
        <v>46011.736823506944</v>
      </c>
      <c r="B776" s="5">
        <v>90510</v>
      </c>
      <c r="C776" s="5">
        <v>1043303548</v>
      </c>
      <c r="D776" s="5" t="s">
        <v>3848</v>
      </c>
      <c r="F776" s="5" t="s">
        <v>3849</v>
      </c>
      <c r="H776" s="5">
        <v>573021247219</v>
      </c>
      <c r="J776" s="5" t="s">
        <v>3850</v>
      </c>
      <c r="K776" s="5" t="s">
        <v>516</v>
      </c>
      <c r="L776" s="5" t="s">
        <v>3851</v>
      </c>
      <c r="N776" s="6">
        <v>46011</v>
      </c>
      <c r="O776" s="7">
        <v>0</v>
      </c>
      <c r="P776" s="5">
        <v>1</v>
      </c>
      <c r="Q776" s="5" t="s">
        <v>3852</v>
      </c>
      <c r="R776" s="5">
        <v>270000</v>
      </c>
      <c r="S776" s="5">
        <v>0</v>
      </c>
      <c r="T776" s="5">
        <v>10000</v>
      </c>
      <c r="U776" s="5">
        <v>280000</v>
      </c>
      <c r="W776" s="5" t="s">
        <v>36</v>
      </c>
      <c r="X776" s="5" t="s">
        <v>67</v>
      </c>
      <c r="AA776" s="5" t="s">
        <v>44</v>
      </c>
      <c r="AC776" s="8" t="str">
        <f>HYPERLINK("https://drive.google.com/file/d/174VYV6X51ZHKylSwsHkf3TbjPa9VNAqK/view?usp=drivesdk","Abrir_Factura")</f>
        <v>Abrir_Factura</v>
      </c>
      <c r="AD776" s="9">
        <v>46011.737187500003</v>
      </c>
    </row>
    <row r="777" spans="1:30" ht="12.5">
      <c r="A777" s="4">
        <v>46011.745649942131</v>
      </c>
      <c r="B777" s="5">
        <v>90511</v>
      </c>
      <c r="C777" s="5">
        <v>22655551</v>
      </c>
      <c r="D777" s="5" t="s">
        <v>2191</v>
      </c>
      <c r="F777" s="5" t="s">
        <v>3853</v>
      </c>
      <c r="H777" s="5">
        <v>573188215977</v>
      </c>
      <c r="J777" s="5" t="s">
        <v>3854</v>
      </c>
      <c r="K777" s="5" t="s">
        <v>103</v>
      </c>
      <c r="L777" s="5" t="s">
        <v>3855</v>
      </c>
      <c r="N777" s="6">
        <v>46011</v>
      </c>
      <c r="O777" s="7">
        <v>0</v>
      </c>
      <c r="P777" s="5">
        <v>1</v>
      </c>
      <c r="Q777" s="5" t="s">
        <v>3856</v>
      </c>
      <c r="R777" s="5">
        <v>568000</v>
      </c>
      <c r="S777" s="5">
        <v>0</v>
      </c>
      <c r="T777" s="5">
        <v>10000</v>
      </c>
      <c r="U777" s="5">
        <v>578000</v>
      </c>
      <c r="W777" s="5" t="s">
        <v>36</v>
      </c>
      <c r="X777" s="5" t="s">
        <v>180</v>
      </c>
      <c r="AA777" s="5" t="s">
        <v>69</v>
      </c>
      <c r="AC777" s="8" t="str">
        <f>HYPERLINK("https://drive.google.com/file/d/1taCN4x499Jg5L86ys4ymsv2gk94Sbe4Z/view?usp=drivesdk","Abrir_Factura")</f>
        <v>Abrir_Factura</v>
      </c>
      <c r="AD777" s="9">
        <v>46011.746423611112</v>
      </c>
    </row>
    <row r="778" spans="1:30" ht="12.5">
      <c r="A778" s="4">
        <v>46011.749589699073</v>
      </c>
      <c r="B778" s="5">
        <v>90512</v>
      </c>
      <c r="C778" s="5">
        <v>1016834483</v>
      </c>
      <c r="D778" s="5" t="s">
        <v>3857</v>
      </c>
      <c r="F778" s="5" t="s">
        <v>3858</v>
      </c>
      <c r="H778" s="5">
        <v>573113098239</v>
      </c>
      <c r="J778" s="5" t="s">
        <v>3859</v>
      </c>
      <c r="K778" s="5" t="s">
        <v>73</v>
      </c>
      <c r="L778" s="5" t="s">
        <v>3860</v>
      </c>
      <c r="N778" s="6">
        <v>46011</v>
      </c>
      <c r="O778" s="7">
        <v>0</v>
      </c>
      <c r="P778" s="5">
        <v>1</v>
      </c>
      <c r="Q778" s="5" t="s">
        <v>375</v>
      </c>
      <c r="R778" s="5">
        <v>70000</v>
      </c>
      <c r="S778" s="5">
        <v>0</v>
      </c>
      <c r="T778" s="5">
        <v>8000</v>
      </c>
      <c r="U778" s="5">
        <v>78000</v>
      </c>
      <c r="W778" s="5" t="s">
        <v>36</v>
      </c>
      <c r="X778" s="5" t="s">
        <v>67</v>
      </c>
      <c r="AA778" s="5" t="s">
        <v>69</v>
      </c>
      <c r="AC778" s="8" t="str">
        <f>HYPERLINK("https://drive.google.com/file/d/1qTftJUPPQpgPifIFF5GREHhK8h3qI2Xz/view?usp=drivesdk","Abrir_Factura")</f>
        <v>Abrir_Factura</v>
      </c>
      <c r="AD778" s="9">
        <v>46011.749988425923</v>
      </c>
    </row>
    <row r="779" spans="1:30" ht="12.5">
      <c r="A779" s="4">
        <v>46011.75186881944</v>
      </c>
      <c r="B779" s="5">
        <v>90513</v>
      </c>
      <c r="C779" s="5">
        <v>8661112</v>
      </c>
      <c r="D779" s="5" t="s">
        <v>3861</v>
      </c>
      <c r="F779" s="5" t="s">
        <v>3862</v>
      </c>
      <c r="H779" s="5">
        <v>5753441399</v>
      </c>
      <c r="J779" s="5" t="s">
        <v>3863</v>
      </c>
      <c r="K779" s="5" t="s">
        <v>103</v>
      </c>
      <c r="L779" s="5" t="s">
        <v>3864</v>
      </c>
      <c r="N779" s="6">
        <v>46011</v>
      </c>
      <c r="O779" s="7">
        <v>0</v>
      </c>
      <c r="P779" s="5">
        <v>1</v>
      </c>
      <c r="Q779" s="5" t="s">
        <v>1102</v>
      </c>
      <c r="R779" s="5">
        <v>220000</v>
      </c>
      <c r="S779" s="5">
        <v>0</v>
      </c>
      <c r="T779" s="5">
        <v>10000</v>
      </c>
      <c r="U779" s="5">
        <v>230000</v>
      </c>
      <c r="W779" s="5" t="s">
        <v>36</v>
      </c>
      <c r="X779" s="5" t="s">
        <v>2636</v>
      </c>
      <c r="AA779" s="5" t="s">
        <v>44</v>
      </c>
      <c r="AC779" s="8" t="str">
        <f>HYPERLINK("https://drive.google.com/file/d/19nXMx03GXIMIZXQoalaSaLrllZcUObpr/view?usp=drivesdk","Abrir_Factura")</f>
        <v>Abrir_Factura</v>
      </c>
      <c r="AD779" s="9">
        <v>46011.752916666665</v>
      </c>
    </row>
    <row r="780" spans="1:30" ht="12.5">
      <c r="A780" s="4">
        <v>46011.758296712964</v>
      </c>
      <c r="B780" s="5">
        <v>90514</v>
      </c>
      <c r="C780" s="5">
        <v>0</v>
      </c>
      <c r="D780" s="5" t="s">
        <v>3865</v>
      </c>
      <c r="F780" s="5" t="s">
        <v>3866</v>
      </c>
      <c r="H780" s="5">
        <v>570000</v>
      </c>
      <c r="J780" s="5" t="s">
        <v>3867</v>
      </c>
      <c r="K780" s="5" t="s">
        <v>33</v>
      </c>
      <c r="L780" s="5" t="s">
        <v>34</v>
      </c>
      <c r="M780" s="5">
        <v>0</v>
      </c>
      <c r="N780" s="6">
        <v>46011</v>
      </c>
      <c r="O780" s="7">
        <v>0</v>
      </c>
      <c r="P780" s="5">
        <v>1</v>
      </c>
      <c r="Q780" s="5" t="s">
        <v>42</v>
      </c>
      <c r="R780" s="5">
        <v>40000</v>
      </c>
      <c r="S780" s="5">
        <v>0</v>
      </c>
      <c r="T780" s="5">
        <v>0</v>
      </c>
      <c r="U780" s="5">
        <v>40000</v>
      </c>
      <c r="W780" s="5" t="s">
        <v>36</v>
      </c>
      <c r="X780" s="5" t="s">
        <v>67</v>
      </c>
      <c r="AA780" s="5" t="s">
        <v>44</v>
      </c>
      <c r="AC780" s="8" t="str">
        <f>HYPERLINK("https://drive.google.com/file/d/1MmFcDUpVLP_4jsn6VhiumxCGIsAurSvW/view?usp=drivesdk", "Abrir_Factura")</f>
        <v>Abrir_Factura</v>
      </c>
      <c r="AD780" s="9">
        <v>46011.759560185186</v>
      </c>
    </row>
    <row r="781" spans="1:30" ht="12.5">
      <c r="A781" s="4">
        <v>46011.762071805555</v>
      </c>
      <c r="B781" s="5">
        <v>90515</v>
      </c>
      <c r="C781" s="5">
        <v>1143154490</v>
      </c>
      <c r="D781" s="5" t="s">
        <v>3868</v>
      </c>
      <c r="F781" s="5" t="s">
        <v>3869</v>
      </c>
      <c r="H781" s="5">
        <v>572411113224</v>
      </c>
      <c r="J781" s="5" t="s">
        <v>3870</v>
      </c>
      <c r="K781" s="5" t="s">
        <v>33</v>
      </c>
      <c r="L781" s="5" t="s">
        <v>34</v>
      </c>
      <c r="M781" s="5">
        <v>2411113224</v>
      </c>
      <c r="N781" s="6">
        <v>46011</v>
      </c>
      <c r="O781" s="7">
        <v>0</v>
      </c>
      <c r="P781" s="5">
        <v>1</v>
      </c>
      <c r="Q781" s="5" t="s">
        <v>309</v>
      </c>
      <c r="R781" s="5">
        <v>80000</v>
      </c>
      <c r="S781" s="5">
        <v>0</v>
      </c>
      <c r="T781" s="5">
        <v>0</v>
      </c>
      <c r="U781" s="5">
        <v>80000</v>
      </c>
      <c r="W781" s="5" t="s">
        <v>36</v>
      </c>
      <c r="X781" s="5" t="s">
        <v>43</v>
      </c>
      <c r="AA781" s="5" t="s">
        <v>44</v>
      </c>
      <c r="AB781" s="5" t="s">
        <v>225</v>
      </c>
      <c r="AC781" s="8" t="str">
        <f>HYPERLINK("https://drive.google.com/file/d/1siuB_6CBJnsZRKFpmp6LZNDdrgp1T41-/view?usp=drivesdk","Abrir_Factura")</f>
        <v>Abrir_Factura</v>
      </c>
      <c r="AD781" s="9">
        <v>46011.764270833337</v>
      </c>
    </row>
    <row r="782" spans="1:30" ht="12.5">
      <c r="A782" s="4">
        <v>46011.766476041666</v>
      </c>
      <c r="B782" s="5">
        <v>90516</v>
      </c>
      <c r="C782" s="5">
        <v>55239136</v>
      </c>
      <c r="D782" s="5" t="s">
        <v>3871</v>
      </c>
      <c r="F782" s="5" t="s">
        <v>3872</v>
      </c>
      <c r="H782" s="5">
        <v>573016852090</v>
      </c>
      <c r="J782" s="5" t="s">
        <v>3873</v>
      </c>
      <c r="K782" s="5" t="s">
        <v>3874</v>
      </c>
      <c r="L782" s="5" t="s">
        <v>3875</v>
      </c>
      <c r="M782" s="5">
        <v>3016852090</v>
      </c>
      <c r="N782" s="6">
        <v>46011</v>
      </c>
      <c r="O782" s="7">
        <v>0</v>
      </c>
      <c r="P782" s="5">
        <v>1</v>
      </c>
      <c r="Q782" s="5" t="s">
        <v>65</v>
      </c>
      <c r="R782" s="5">
        <v>70000</v>
      </c>
      <c r="S782" s="5">
        <v>0</v>
      </c>
      <c r="T782" s="5">
        <v>18000</v>
      </c>
      <c r="U782" s="5">
        <v>88000</v>
      </c>
      <c r="W782" s="5" t="s">
        <v>36</v>
      </c>
      <c r="X782" s="5" t="s">
        <v>67</v>
      </c>
      <c r="AA782" s="5" t="s">
        <v>69</v>
      </c>
      <c r="AC782" s="8" t="str">
        <f>HYPERLINK("https://drive.google.com/file/d/1KZoDaOYu1sEHDz7l5u6HgHlpNai-ebh6/view?usp=drivesdk","Abrir_Factura")</f>
        <v>Abrir_Factura</v>
      </c>
      <c r="AD782" s="9">
        <v>46011.766886574071</v>
      </c>
    </row>
    <row r="783" spans="1:30" ht="12.5">
      <c r="A783" s="4">
        <v>46011.783823807869</v>
      </c>
      <c r="B783" s="5">
        <v>90517</v>
      </c>
      <c r="C783" s="5">
        <v>1143448994</v>
      </c>
      <c r="D783" s="5" t="s">
        <v>480</v>
      </c>
      <c r="F783" s="5" t="s">
        <v>455</v>
      </c>
      <c r="H783" s="5">
        <v>573043190657</v>
      </c>
      <c r="J783" s="5" t="s">
        <v>1600</v>
      </c>
      <c r="K783" s="5" t="s">
        <v>33</v>
      </c>
      <c r="L783" s="5" t="s">
        <v>34</v>
      </c>
      <c r="N783" s="6">
        <v>46011</v>
      </c>
      <c r="O783" s="7">
        <v>0</v>
      </c>
      <c r="P783" s="5">
        <v>1</v>
      </c>
      <c r="Q783" s="5" t="s">
        <v>42</v>
      </c>
      <c r="R783" s="5">
        <v>26000</v>
      </c>
      <c r="S783" s="5">
        <v>0</v>
      </c>
      <c r="T783" s="5">
        <v>0</v>
      </c>
      <c r="U783" s="5">
        <v>26000</v>
      </c>
      <c r="W783" s="5" t="s">
        <v>36</v>
      </c>
      <c r="X783" s="5" t="s">
        <v>196</v>
      </c>
      <c r="AA783" s="5" t="s">
        <v>44</v>
      </c>
      <c r="AC783" s="8" t="str">
        <f>HYPERLINK("https://drive.google.com/file/d/1n274PSZm8Zy5oH0Fwvh8O7beRGXxQdrb/view?usp=drivesdk","Abrir_Factura")</f>
        <v>Abrir_Factura</v>
      </c>
      <c r="AD783" s="9">
        <v>46011.78465277778</v>
      </c>
    </row>
    <row r="784" spans="1:30" ht="12.5">
      <c r="A784" s="4">
        <v>46011.786766701392</v>
      </c>
      <c r="B784" s="5">
        <v>90518</v>
      </c>
      <c r="C784" s="5">
        <v>1140861989</v>
      </c>
      <c r="D784" s="5" t="s">
        <v>3876</v>
      </c>
      <c r="F784" s="5" t="s">
        <v>3877</v>
      </c>
      <c r="H784" s="5">
        <v>573014858503</v>
      </c>
      <c r="J784" s="5" t="s">
        <v>3878</v>
      </c>
      <c r="K784" s="5" t="s">
        <v>33</v>
      </c>
      <c r="L784" s="5" t="s">
        <v>34</v>
      </c>
      <c r="N784" s="6">
        <v>46011</v>
      </c>
      <c r="O784" s="7">
        <v>0</v>
      </c>
      <c r="P784" s="5">
        <v>1</v>
      </c>
      <c r="Q784" s="5" t="s">
        <v>42</v>
      </c>
      <c r="R784" s="5">
        <v>100000</v>
      </c>
      <c r="S784" s="5">
        <v>0</v>
      </c>
      <c r="T784" s="5">
        <v>0</v>
      </c>
      <c r="U784" s="5">
        <v>100000</v>
      </c>
      <c r="W784" s="5" t="s">
        <v>36</v>
      </c>
      <c r="X784" s="5" t="s">
        <v>196</v>
      </c>
      <c r="AA784" s="5" t="s">
        <v>1717</v>
      </c>
      <c r="AB784" s="5" t="s">
        <v>3879</v>
      </c>
      <c r="AC784" s="8" t="str">
        <f>HYPERLINK("https://drive.google.com/file/d/1a4wNJ4llqpRkcCg4jE1u_7paqu8A4fde/view?usp=drivesdk","Abrir_Factura")</f>
        <v>Abrir_Factura</v>
      </c>
      <c r="AD784" s="9">
        <v>46011.787708333337</v>
      </c>
    </row>
    <row r="785" spans="1:30" ht="12.5">
      <c r="A785" s="4">
        <v>46013.330490081018</v>
      </c>
      <c r="B785" s="5">
        <v>90522</v>
      </c>
      <c r="C785" s="5">
        <v>1025462280</v>
      </c>
      <c r="D785" s="5" t="s">
        <v>3880</v>
      </c>
      <c r="F785" s="5" t="s">
        <v>3881</v>
      </c>
      <c r="H785" s="5">
        <v>573176399886</v>
      </c>
      <c r="J785" s="5" t="s">
        <v>3882</v>
      </c>
      <c r="L785" s="5" t="s">
        <v>3883</v>
      </c>
      <c r="M785" s="5">
        <v>3176399886</v>
      </c>
      <c r="N785" s="6">
        <v>46014</v>
      </c>
      <c r="O785" s="7">
        <v>0.58333333333333337</v>
      </c>
      <c r="P785" s="5">
        <v>1</v>
      </c>
      <c r="Q785" s="5" t="s">
        <v>178</v>
      </c>
      <c r="R785" s="5">
        <v>100000</v>
      </c>
      <c r="S785" s="5">
        <v>0</v>
      </c>
      <c r="T785" s="5"/>
      <c r="U785" s="5">
        <v>100000</v>
      </c>
      <c r="V785" s="5" t="s">
        <v>3038</v>
      </c>
      <c r="W785" s="5" t="s">
        <v>36</v>
      </c>
      <c r="X785" s="5" t="s">
        <v>43</v>
      </c>
      <c r="AA785" s="5" t="s">
        <v>44</v>
      </c>
      <c r="AC785" s="8" t="str">
        <f>HYPERLINK("https://drive.google.com/file/d/1cjRlAZRf-xWaHV_v8-kT6QV0lJ1wCfO5/view?usp=drivesdk","Abrir_Factura")</f>
        <v>Abrir_Factura</v>
      </c>
      <c r="AD785" s="9">
        <v>46013.331203703703</v>
      </c>
    </row>
    <row r="786" spans="1:30" ht="12.5">
      <c r="A786" s="4">
        <v>46012.883869942132</v>
      </c>
      <c r="B786" s="5">
        <v>90523</v>
      </c>
      <c r="C786" s="5">
        <v>1140819466</v>
      </c>
      <c r="D786" s="5" t="s">
        <v>3884</v>
      </c>
      <c r="F786" s="5" t="s">
        <v>1968</v>
      </c>
      <c r="H786" s="5">
        <v>573106600947</v>
      </c>
      <c r="J786" s="5" t="s">
        <v>3885</v>
      </c>
      <c r="K786" s="5" t="s">
        <v>103</v>
      </c>
      <c r="L786" s="5" t="s">
        <v>3886</v>
      </c>
      <c r="M786" s="5">
        <v>3106600947</v>
      </c>
      <c r="N786" s="6">
        <v>46015</v>
      </c>
      <c r="O786" s="7">
        <v>0.33333333333333331</v>
      </c>
      <c r="P786" s="5">
        <v>1</v>
      </c>
      <c r="Q786" s="5" t="s">
        <v>1696</v>
      </c>
      <c r="R786" s="5">
        <v>700000</v>
      </c>
      <c r="S786" s="5">
        <v>0</v>
      </c>
      <c r="T786" s="5">
        <v>10000</v>
      </c>
      <c r="U786" s="5">
        <v>710000</v>
      </c>
      <c r="V786" s="5" t="s">
        <v>3887</v>
      </c>
      <c r="W786" s="5" t="s">
        <v>36</v>
      </c>
      <c r="X786" s="5" t="s">
        <v>1937</v>
      </c>
      <c r="AA786" s="5" t="s">
        <v>44</v>
      </c>
      <c r="AC786" s="8" t="str">
        <f>HYPERLINK("https://drive.google.com/file/d/1N32FoqPF_wOexTl2A0EZfCmE1QWo0MQG/view?usp=drivesdk","Abrir_Factura")</f>
        <v>Abrir_Factura</v>
      </c>
      <c r="AD786" s="9">
        <v>46013.341111111113</v>
      </c>
    </row>
    <row r="787" spans="1:30" ht="12.5">
      <c r="A787" s="4">
        <v>46013.350227453702</v>
      </c>
      <c r="B787" s="5">
        <v>90524</v>
      </c>
      <c r="C787" s="5">
        <v>51748609</v>
      </c>
      <c r="D787" s="5" t="s">
        <v>3888</v>
      </c>
      <c r="F787" s="5" t="s">
        <v>3889</v>
      </c>
      <c r="H787" s="5">
        <v>573013634381</v>
      </c>
      <c r="J787" s="5" t="s">
        <v>3890</v>
      </c>
      <c r="K787" s="5" t="s">
        <v>124</v>
      </c>
      <c r="L787" s="5" t="s">
        <v>3891</v>
      </c>
      <c r="N787" s="6">
        <v>46013</v>
      </c>
      <c r="O787" s="7">
        <v>0.41666666666666669</v>
      </c>
      <c r="P787" s="5">
        <v>1</v>
      </c>
      <c r="Q787" s="5" t="s">
        <v>3892</v>
      </c>
      <c r="R787" s="5">
        <v>250000</v>
      </c>
      <c r="S787" s="5">
        <v>0</v>
      </c>
      <c r="T787" s="5">
        <v>12000</v>
      </c>
      <c r="U787" s="5">
        <v>262000</v>
      </c>
      <c r="W787" s="5" t="s">
        <v>36</v>
      </c>
      <c r="X787" s="5" t="s">
        <v>83</v>
      </c>
      <c r="AA787" s="5" t="s">
        <v>44</v>
      </c>
      <c r="AC787" s="8" t="str">
        <f>HYPERLINK("https://drive.google.com/file/d/1or0orBIO-NVGFo_zGX7zTcYNh9XNHjiB/view?usp=drivesdk","Abrir_Factura")</f>
        <v>Abrir_Factura</v>
      </c>
      <c r="AD787" s="9">
        <v>46013.351203703707</v>
      </c>
    </row>
    <row r="788" spans="1:30" ht="12.5">
      <c r="A788" s="4">
        <v>46011.910926840283</v>
      </c>
      <c r="B788" s="5">
        <v>90525</v>
      </c>
      <c r="C788" s="5">
        <v>1143252028</v>
      </c>
      <c r="D788" s="5" t="s">
        <v>3893</v>
      </c>
      <c r="F788" s="5" t="s">
        <v>3894</v>
      </c>
      <c r="H788" s="5">
        <v>573167483308</v>
      </c>
      <c r="J788" s="5" t="s">
        <v>3895</v>
      </c>
      <c r="K788" s="5" t="s">
        <v>1124</v>
      </c>
      <c r="L788" s="5" t="s">
        <v>3896</v>
      </c>
      <c r="M788" s="5">
        <v>3053816242</v>
      </c>
      <c r="N788" s="6">
        <v>46013</v>
      </c>
      <c r="O788" s="7">
        <v>0.45833333333333331</v>
      </c>
      <c r="P788" s="5">
        <v>1</v>
      </c>
      <c r="Q788" s="5" t="s">
        <v>1049</v>
      </c>
      <c r="R788" s="5">
        <v>260000</v>
      </c>
      <c r="S788" s="5">
        <v>0</v>
      </c>
      <c r="T788" s="5">
        <v>20000</v>
      </c>
      <c r="U788" s="5">
        <v>280000</v>
      </c>
      <c r="V788" s="5" t="s">
        <v>3897</v>
      </c>
      <c r="W788" s="5" t="s">
        <v>36</v>
      </c>
      <c r="X788" s="5" t="s">
        <v>1937</v>
      </c>
      <c r="AA788" s="5" t="s">
        <v>44</v>
      </c>
      <c r="AC788" s="8" t="str">
        <f>HYPERLINK("https://drive.google.com/file/d/1q-Km6CSCqdk62x-BbxAGDkNZrUUSyyU4/view?usp=drivesdk","Abrir_Factura")</f>
        <v>Abrir_Factura</v>
      </c>
      <c r="AD788" s="9">
        <v>46013.367893518516</v>
      </c>
    </row>
    <row r="789" spans="1:30" ht="12.5">
      <c r="A789" s="4">
        <v>46011.913860439818</v>
      </c>
      <c r="B789" s="5">
        <v>90526</v>
      </c>
      <c r="C789" s="5">
        <v>1143252028</v>
      </c>
      <c r="D789" s="5" t="s">
        <v>3893</v>
      </c>
      <c r="F789" s="5" t="s">
        <v>3894</v>
      </c>
      <c r="H789" s="5">
        <v>573167483308</v>
      </c>
      <c r="J789" s="5" t="s">
        <v>3895</v>
      </c>
      <c r="K789" s="5" t="s">
        <v>1124</v>
      </c>
      <c r="L789" s="5" t="s">
        <v>3896</v>
      </c>
      <c r="M789" s="5">
        <v>3053816242</v>
      </c>
      <c r="N789" s="6">
        <v>46022</v>
      </c>
      <c r="O789" s="7">
        <v>0.41666666666666669</v>
      </c>
      <c r="P789" s="5">
        <v>1</v>
      </c>
      <c r="Q789" s="5" t="s">
        <v>1696</v>
      </c>
      <c r="R789" s="5">
        <v>700000</v>
      </c>
      <c r="S789" s="5">
        <v>0</v>
      </c>
      <c r="T789" s="5">
        <v>20000</v>
      </c>
      <c r="U789" s="5">
        <v>720000</v>
      </c>
      <c r="V789" s="5" t="s">
        <v>3898</v>
      </c>
      <c r="W789" s="5" t="s">
        <v>36</v>
      </c>
      <c r="X789" s="5" t="s">
        <v>1937</v>
      </c>
      <c r="AA789" s="5" t="s">
        <v>44</v>
      </c>
      <c r="AC789" s="8" t="str">
        <f>HYPERLINK("https://drive.google.com/file/d/1wLCOysN7zgVxeT0Z7FJbEuF-u403o18-/view?usp=drivesdk","Abrir_Factura")</f>
        <v>Abrir_Factura</v>
      </c>
      <c r="AD789" s="9">
        <v>46013.368321759262</v>
      </c>
    </row>
    <row r="790" spans="1:30" ht="12.5">
      <c r="A790" s="4">
        <v>46013.377627974536</v>
      </c>
      <c r="B790" s="5">
        <v>90527</v>
      </c>
      <c r="C790" s="5">
        <v>72344777</v>
      </c>
      <c r="D790" s="5" t="s">
        <v>84</v>
      </c>
      <c r="F790" s="5" t="s">
        <v>3899</v>
      </c>
      <c r="H790" s="5">
        <v>573006913351</v>
      </c>
      <c r="J790" s="5" t="s">
        <v>3900</v>
      </c>
      <c r="K790" s="5" t="s">
        <v>103</v>
      </c>
      <c r="L790" s="5" t="s">
        <v>3901</v>
      </c>
      <c r="M790" s="5">
        <v>3006913351</v>
      </c>
      <c r="N790" s="6">
        <v>46013</v>
      </c>
      <c r="O790" s="7">
        <v>0.45833333333333331</v>
      </c>
      <c r="P790" s="5">
        <v>1</v>
      </c>
      <c r="Q790" s="5" t="s">
        <v>3902</v>
      </c>
      <c r="R790" s="5">
        <v>310000</v>
      </c>
      <c r="S790" s="5">
        <v>0</v>
      </c>
      <c r="T790" s="5">
        <v>10000</v>
      </c>
      <c r="U790" s="5">
        <v>320000</v>
      </c>
      <c r="V790" s="5" t="s">
        <v>3903</v>
      </c>
      <c r="W790" s="5" t="s">
        <v>36</v>
      </c>
      <c r="X790" s="5" t="s">
        <v>83</v>
      </c>
      <c r="AA790" s="5" t="s">
        <v>44</v>
      </c>
      <c r="AB790" s="5" t="s">
        <v>3904</v>
      </c>
      <c r="AC790" s="8" t="str">
        <f>HYPERLINK("https://drive.google.com/file/d/15ViyeYFlgs3twagEJZ19w9n-4A0kZeQf/view?usp=drivesdk","Abrir_Factura")</f>
        <v>Abrir_Factura</v>
      </c>
      <c r="AD790" s="9">
        <v>46013.380335648151</v>
      </c>
    </row>
    <row r="791" spans="1:30" ht="12.5">
      <c r="A791" s="4">
        <v>46013.377960891201</v>
      </c>
      <c r="B791" s="5">
        <v>90528</v>
      </c>
      <c r="C791" s="5">
        <v>1083034276</v>
      </c>
      <c r="D791" s="5" t="s">
        <v>440</v>
      </c>
      <c r="F791" s="5" t="s">
        <v>1566</v>
      </c>
      <c r="H791" s="5">
        <v>573137655922</v>
      </c>
      <c r="J791" s="5" t="s">
        <v>3905</v>
      </c>
      <c r="K791" s="5" t="s">
        <v>33</v>
      </c>
      <c r="L791" s="5" t="s">
        <v>34</v>
      </c>
      <c r="M791" s="5">
        <v>3137655922</v>
      </c>
      <c r="N791" s="6">
        <v>46013</v>
      </c>
      <c r="O791" s="7">
        <v>0.41666666666666669</v>
      </c>
      <c r="P791" s="5">
        <v>1</v>
      </c>
      <c r="Q791" s="5" t="s">
        <v>178</v>
      </c>
      <c r="R791" s="5">
        <v>100000</v>
      </c>
      <c r="S791" s="5">
        <v>0</v>
      </c>
      <c r="T791" s="5">
        <v>0</v>
      </c>
      <c r="U791" s="5">
        <v>100000</v>
      </c>
      <c r="V791" s="5" t="s">
        <v>3906</v>
      </c>
      <c r="W791" s="5" t="s">
        <v>36</v>
      </c>
      <c r="X791" s="5" t="s">
        <v>1937</v>
      </c>
      <c r="AA791" s="5" t="s">
        <v>44</v>
      </c>
      <c r="AB791" s="5" t="s">
        <v>3907</v>
      </c>
      <c r="AC791" s="8" t="str">
        <f>HYPERLINK("https://drive.google.com/file/d/1dOa5NBfAyx9eFZG_qqaA6pDtgFVXFmu0/view?usp=drivesdk","Abrir_Factura")</f>
        <v>Abrir_Factura</v>
      </c>
      <c r="AD791" s="9">
        <v>46013.394247685188</v>
      </c>
    </row>
    <row r="792" spans="1:30" ht="12.5">
      <c r="A792" s="4">
        <v>46013.397441851848</v>
      </c>
      <c r="B792" s="5">
        <v>90529</v>
      </c>
      <c r="C792" s="5">
        <v>0</v>
      </c>
      <c r="D792" s="5" t="s">
        <v>3908</v>
      </c>
      <c r="F792" s="5" t="s">
        <v>3909</v>
      </c>
      <c r="H792" s="5">
        <v>573176438506</v>
      </c>
      <c r="J792" s="5" t="s">
        <v>3910</v>
      </c>
      <c r="K792" s="5" t="s">
        <v>33</v>
      </c>
      <c r="L792" s="5" t="s">
        <v>34</v>
      </c>
      <c r="M792" s="5">
        <v>3176438506</v>
      </c>
      <c r="N792" s="6">
        <v>46013</v>
      </c>
      <c r="O792" s="7">
        <v>0</v>
      </c>
      <c r="P792" s="5">
        <v>7</v>
      </c>
      <c r="Q792" s="5" t="s">
        <v>3911</v>
      </c>
      <c r="R792" s="5">
        <v>280000</v>
      </c>
      <c r="S792" s="5">
        <v>0</v>
      </c>
      <c r="T792" s="5">
        <v>0</v>
      </c>
      <c r="U792" s="5">
        <v>280000</v>
      </c>
      <c r="W792" s="5" t="s">
        <v>36</v>
      </c>
      <c r="X792" s="5" t="s">
        <v>43</v>
      </c>
      <c r="AA792" s="5" t="s">
        <v>332</v>
      </c>
      <c r="AC792" s="8" t="str">
        <f>HYPERLINK("https://drive.google.com/file/d/169P7fUvmAiZCQbZH8KQrz6Y9lcT0VSvN/view?usp=drivesdk","Abrir_Factura")</f>
        <v>Abrir_Factura</v>
      </c>
      <c r="AD792" s="9">
        <v>46013.397962962961</v>
      </c>
    </row>
    <row r="793" spans="1:30" ht="12.5">
      <c r="A793" s="4">
        <v>46013.427354988424</v>
      </c>
      <c r="B793" s="5">
        <v>90530</v>
      </c>
      <c r="C793" s="5">
        <v>1042242285</v>
      </c>
      <c r="D793" s="5" t="s">
        <v>3174</v>
      </c>
      <c r="F793" s="5" t="s">
        <v>3912</v>
      </c>
      <c r="H793" s="5">
        <v>573242219654</v>
      </c>
      <c r="J793" s="5" t="s">
        <v>3913</v>
      </c>
      <c r="K793" s="5" t="s">
        <v>1272</v>
      </c>
      <c r="L793" s="5" t="s">
        <v>3914</v>
      </c>
      <c r="M793" s="5">
        <v>3242219654</v>
      </c>
      <c r="N793" s="6">
        <v>46013</v>
      </c>
      <c r="O793" s="7">
        <v>0.46458333333333335</v>
      </c>
      <c r="P793" s="5">
        <v>1</v>
      </c>
      <c r="Q793" s="5" t="s">
        <v>375</v>
      </c>
      <c r="R793" s="5">
        <v>70000</v>
      </c>
      <c r="S793" s="5">
        <v>0</v>
      </c>
      <c r="T793" s="5">
        <v>12000</v>
      </c>
      <c r="U793" s="5">
        <v>82000</v>
      </c>
      <c r="V793" s="5" t="s">
        <v>3915</v>
      </c>
      <c r="W793" s="5" t="s">
        <v>36</v>
      </c>
      <c r="X793" s="5" t="s">
        <v>83</v>
      </c>
      <c r="Y793" s="5" t="s">
        <v>3916</v>
      </c>
      <c r="AA793" s="5" t="s">
        <v>69</v>
      </c>
      <c r="AC793" s="8" t="str">
        <f>HYPERLINK("https://drive.google.com/file/d/1qdDkY1qqsXIqNym9OFaOxJEjagzGonLz/view?usp=drivesdk","Abrir_Factura")</f>
        <v>Abrir_Factura</v>
      </c>
      <c r="AD793" s="9">
        <v>46013.435335648152</v>
      </c>
    </row>
    <row r="794" spans="1:30" ht="12.5">
      <c r="A794" s="4">
        <v>46013.43164166667</v>
      </c>
      <c r="B794" s="5">
        <v>90531</v>
      </c>
      <c r="C794" s="5">
        <v>1083553388</v>
      </c>
      <c r="D794" s="5" t="s">
        <v>2571</v>
      </c>
      <c r="F794" s="5" t="s">
        <v>3917</v>
      </c>
      <c r="H794" s="5">
        <v>573102506452</v>
      </c>
      <c r="J794" s="5" t="s">
        <v>3918</v>
      </c>
      <c r="K794" s="5" t="s">
        <v>1352</v>
      </c>
      <c r="L794" s="5" t="s">
        <v>3919</v>
      </c>
      <c r="M794" s="5">
        <v>3102506452</v>
      </c>
      <c r="N794" s="6">
        <v>46013</v>
      </c>
      <c r="O794" s="7">
        <v>0.45833333333333331</v>
      </c>
      <c r="P794" s="5">
        <v>1</v>
      </c>
      <c r="Q794" s="5" t="s">
        <v>148</v>
      </c>
      <c r="R794" s="5">
        <v>200000</v>
      </c>
      <c r="S794" s="5">
        <v>0</v>
      </c>
      <c r="T794" s="5">
        <v>10000</v>
      </c>
      <c r="U794" s="5">
        <v>210000</v>
      </c>
      <c r="V794" s="5" t="s">
        <v>3920</v>
      </c>
      <c r="W794" s="5" t="s">
        <v>36</v>
      </c>
      <c r="X794" s="5" t="s">
        <v>83</v>
      </c>
      <c r="AA794" s="5" t="s">
        <v>69</v>
      </c>
      <c r="AC794" s="8" t="str">
        <f>HYPERLINK("https://drive.google.com/file/d/18DPJeqyIhwO1WC7rfXYKDmP2KARENuh2/view?usp=drivesdk","Abrir_Factura")</f>
        <v>Abrir_Factura</v>
      </c>
      <c r="AD794" s="9">
        <v>46013.439074074071</v>
      </c>
    </row>
    <row r="795" spans="1:30" ht="12.5">
      <c r="A795" s="4">
        <v>46013.455625277777</v>
      </c>
      <c r="B795" s="5">
        <v>90532</v>
      </c>
      <c r="C795" s="5">
        <v>0</v>
      </c>
      <c r="D795" s="5" t="s">
        <v>3921</v>
      </c>
      <c r="F795" s="5" t="s">
        <v>3922</v>
      </c>
      <c r="H795" s="5">
        <v>576643683298</v>
      </c>
      <c r="J795" s="5" t="s">
        <v>3923</v>
      </c>
      <c r="K795" s="5" t="s">
        <v>265</v>
      </c>
      <c r="L795" s="5" t="s">
        <v>3924</v>
      </c>
      <c r="M795" s="5" t="s">
        <v>25421</v>
      </c>
      <c r="N795" s="6">
        <v>46013</v>
      </c>
      <c r="O795" s="7">
        <v>0.625</v>
      </c>
      <c r="P795" s="5">
        <v>1</v>
      </c>
      <c r="Q795" s="5" t="s">
        <v>2556</v>
      </c>
      <c r="R795" s="5">
        <v>400000</v>
      </c>
      <c r="S795" s="5">
        <v>0</v>
      </c>
      <c r="T795" s="5">
        <v>17000</v>
      </c>
      <c r="U795" s="5">
        <v>417000</v>
      </c>
      <c r="V795" s="5" t="s">
        <v>3925</v>
      </c>
      <c r="W795" s="5" t="s">
        <v>36</v>
      </c>
      <c r="X795" s="5" t="s">
        <v>1937</v>
      </c>
      <c r="AA795" s="5" t="s">
        <v>69</v>
      </c>
      <c r="AC795" s="8" t="str">
        <f>HYPERLINK("https://drive.google.com/file/d/1Bibu0GRl8FAu4ZxtmPO-UjrLEjOz4TeY/view?usp=drivesdk","Abrir_Factura")</f>
        <v>Abrir_Factura</v>
      </c>
      <c r="AD795" s="9">
        <v>46013.465289351851</v>
      </c>
    </row>
    <row r="796" spans="1:30" ht="12.5">
      <c r="A796" s="4">
        <v>46012.515334212963</v>
      </c>
      <c r="B796" s="5">
        <v>90533</v>
      </c>
      <c r="C796" s="5">
        <v>1034576238</v>
      </c>
      <c r="D796" s="5" t="s">
        <v>595</v>
      </c>
      <c r="F796" s="5" t="s">
        <v>3926</v>
      </c>
      <c r="H796" s="5">
        <v>573004575324</v>
      </c>
      <c r="J796" s="5" t="s">
        <v>3927</v>
      </c>
      <c r="K796" s="5" t="s">
        <v>63</v>
      </c>
      <c r="L796" s="5" t="s">
        <v>3928</v>
      </c>
      <c r="M796" s="5">
        <v>3225858990</v>
      </c>
      <c r="N796" s="6">
        <v>46015</v>
      </c>
      <c r="O796" s="7">
        <v>0.41666666666666669</v>
      </c>
      <c r="P796" s="5">
        <v>1</v>
      </c>
      <c r="Q796" s="5" t="s">
        <v>65</v>
      </c>
      <c r="R796" s="5">
        <v>70000</v>
      </c>
      <c r="S796" s="5">
        <v>0</v>
      </c>
      <c r="T796" s="5">
        <v>15000</v>
      </c>
      <c r="U796" s="5">
        <v>85000</v>
      </c>
      <c r="W796" s="5" t="s">
        <v>36</v>
      </c>
      <c r="X796" s="5" t="s">
        <v>83</v>
      </c>
      <c r="AA796" s="5" t="s">
        <v>69</v>
      </c>
      <c r="AC796" s="8" t="str">
        <f>HYPERLINK("https://drive.google.com/file/d/1EYB_mkaYbrQcqRxyPZw7ia9xl6K6LeDk/view?usp=drivesdk", "Abrir_Factura")</f>
        <v>Abrir_Factura</v>
      </c>
      <c r="AD796" s="9">
        <v>46015.376562500001</v>
      </c>
    </row>
    <row r="797" spans="1:30" ht="12.5">
      <c r="A797" s="4">
        <v>46013.490174062499</v>
      </c>
      <c r="B797" s="5">
        <v>90534</v>
      </c>
      <c r="C797" s="5">
        <v>1143147568</v>
      </c>
      <c r="D797" s="5" t="s">
        <v>392</v>
      </c>
      <c r="F797" s="5" t="s">
        <v>3442</v>
      </c>
      <c r="H797" s="5">
        <v>17734490049</v>
      </c>
      <c r="J797" s="5" t="s">
        <v>3929</v>
      </c>
      <c r="K797" s="5" t="s">
        <v>33</v>
      </c>
      <c r="L797" s="5" t="s">
        <v>34</v>
      </c>
      <c r="M797" s="5">
        <v>7734490049</v>
      </c>
      <c r="N797" s="6">
        <v>46013</v>
      </c>
      <c r="O797" s="7">
        <v>0</v>
      </c>
      <c r="P797" s="5">
        <v>1</v>
      </c>
      <c r="Q797" s="5" t="s">
        <v>3930</v>
      </c>
      <c r="R797" s="5">
        <v>290000</v>
      </c>
      <c r="S797" s="5">
        <v>0</v>
      </c>
      <c r="T797" s="5">
        <v>0</v>
      </c>
      <c r="U797" s="5">
        <v>290000</v>
      </c>
      <c r="V797" s="5" t="s">
        <v>3931</v>
      </c>
      <c r="W797" s="5" t="s">
        <v>36</v>
      </c>
      <c r="X797" s="5" t="s">
        <v>2636</v>
      </c>
      <c r="AA797" s="5" t="s">
        <v>1717</v>
      </c>
      <c r="AC797" s="8" t="str">
        <f>HYPERLINK("https://drive.google.com/file/d/1yJ5QScr0qOTNcVXwyaQqF9QD4VSbRLfA/view?usp=drivesdk","Abrir_Factura")</f>
        <v>Abrir_Factura</v>
      </c>
      <c r="AD797" s="9">
        <v>46013.495081018518</v>
      </c>
    </row>
    <row r="798" spans="1:30" ht="12.5">
      <c r="A798" s="4">
        <v>46013.462002465283</v>
      </c>
      <c r="B798" s="5">
        <v>90535</v>
      </c>
      <c r="C798" s="5">
        <v>1125290870</v>
      </c>
      <c r="D798" s="5" t="s">
        <v>3932</v>
      </c>
      <c r="F798" s="5" t="s">
        <v>3620</v>
      </c>
      <c r="H798" s="5">
        <v>573508629989</v>
      </c>
      <c r="J798" s="5" t="s">
        <v>3933</v>
      </c>
      <c r="K798" s="5" t="s">
        <v>33</v>
      </c>
      <c r="L798" s="5" t="s">
        <v>34</v>
      </c>
      <c r="N798" s="6">
        <v>46013</v>
      </c>
      <c r="O798" s="7">
        <v>0.58333333333333337</v>
      </c>
      <c r="P798" s="5">
        <v>1</v>
      </c>
      <c r="Q798" s="5" t="s">
        <v>559</v>
      </c>
      <c r="R798" s="5">
        <v>90000</v>
      </c>
      <c r="S798" s="5">
        <v>0</v>
      </c>
      <c r="T798" s="5">
        <v>0</v>
      </c>
      <c r="U798" s="5">
        <v>90000</v>
      </c>
      <c r="V798" s="5" t="s">
        <v>3934</v>
      </c>
      <c r="W798" s="5" t="s">
        <v>36</v>
      </c>
      <c r="X798" s="5" t="s">
        <v>1937</v>
      </c>
      <c r="AA798" s="5" t="s">
        <v>69</v>
      </c>
      <c r="AC798" s="8" t="str">
        <f>HYPERLINK("https://drive.google.com/file/d/1qmmKyxlLEZ7wv1JEAt3iNRHjygiZAe5U/view?usp=drivesdk","Abrir_Factura")</f>
        <v>Abrir_Factura</v>
      </c>
      <c r="AD798" s="9">
        <v>46013.504189814812</v>
      </c>
    </row>
    <row r="799" spans="1:30" ht="12.5">
      <c r="A799" s="4">
        <v>46013.466599479165</v>
      </c>
      <c r="B799" s="5">
        <v>90536</v>
      </c>
      <c r="C799" s="5">
        <v>55302603</v>
      </c>
      <c r="D799" s="5" t="s">
        <v>3935</v>
      </c>
      <c r="F799" s="5" t="s">
        <v>3936</v>
      </c>
      <c r="H799" s="5">
        <v>573157333955</v>
      </c>
      <c r="J799" s="5" t="s">
        <v>3937</v>
      </c>
      <c r="K799" s="5" t="s">
        <v>33</v>
      </c>
      <c r="L799" s="5" t="s">
        <v>34</v>
      </c>
      <c r="M799" s="5">
        <v>3157333955</v>
      </c>
      <c r="N799" s="6">
        <v>46013</v>
      </c>
      <c r="O799" s="7">
        <v>0.56319444444444444</v>
      </c>
      <c r="P799" s="5">
        <v>1</v>
      </c>
      <c r="Q799" s="5" t="s">
        <v>210</v>
      </c>
      <c r="R799" s="5">
        <v>150000</v>
      </c>
      <c r="S799" s="5">
        <v>0</v>
      </c>
      <c r="T799" s="5">
        <v>0</v>
      </c>
      <c r="U799" s="5">
        <v>150000</v>
      </c>
      <c r="V799" s="5" t="s">
        <v>3098</v>
      </c>
      <c r="W799" s="5" t="s">
        <v>36</v>
      </c>
      <c r="X799" s="5" t="s">
        <v>83</v>
      </c>
      <c r="AA799" s="5" t="s">
        <v>44</v>
      </c>
      <c r="AC799" s="8" t="str">
        <f>HYPERLINK("https://drive.google.com/file/d/1FC_89xLYYZAWO-nNLKYb8Wxk_LKwYtpi/view?usp=drivesdk","Abrir_Factura")</f>
        <v>Abrir_Factura</v>
      </c>
      <c r="AD799" s="9">
        <v>46013.517233796294</v>
      </c>
    </row>
    <row r="800" spans="1:30" ht="12.5">
      <c r="A800" s="4">
        <v>46013.522566388885</v>
      </c>
      <c r="B800" s="5">
        <v>90537</v>
      </c>
      <c r="C800" s="5">
        <v>900467904</v>
      </c>
      <c r="D800" s="5" t="s">
        <v>2178</v>
      </c>
      <c r="F800" s="5" t="s">
        <v>2477</v>
      </c>
      <c r="H800" s="5">
        <v>573015669546</v>
      </c>
      <c r="J800" s="5" t="s">
        <v>2178</v>
      </c>
      <c r="K800" s="5" t="s">
        <v>33</v>
      </c>
      <c r="L800" s="5" t="s">
        <v>34</v>
      </c>
      <c r="M800" s="5">
        <v>3015669546</v>
      </c>
      <c r="N800" s="6">
        <v>46013</v>
      </c>
      <c r="O800" s="7">
        <v>0</v>
      </c>
      <c r="P800" s="5">
        <v>1</v>
      </c>
      <c r="Q800" s="5" t="s">
        <v>525</v>
      </c>
      <c r="R800" s="5">
        <v>0</v>
      </c>
      <c r="S800" s="5">
        <v>0</v>
      </c>
      <c r="T800" s="5">
        <v>0</v>
      </c>
      <c r="U800" s="5">
        <v>0</v>
      </c>
      <c r="W800" s="5" t="s">
        <v>36</v>
      </c>
      <c r="X800" s="5" t="s">
        <v>43</v>
      </c>
      <c r="AA800" s="5" t="s">
        <v>44</v>
      </c>
      <c r="AB800" s="5" t="s">
        <v>525</v>
      </c>
      <c r="AC800" s="8" t="str">
        <f>HYPERLINK("https://drive.google.com/file/d/1Gd59f8PogSuTwEKVAtwn5vbHxmPvBwPv/view?usp=drivesdk","Abrir_Factura")</f>
        <v>Abrir_Factura</v>
      </c>
      <c r="AD800" s="9">
        <v>46013.524456018517</v>
      </c>
    </row>
    <row r="801" spans="1:30" ht="12.5">
      <c r="A801" s="4">
        <v>46013.538666574073</v>
      </c>
      <c r="B801" s="5">
        <v>90538</v>
      </c>
      <c r="C801" s="5">
        <v>9009686729</v>
      </c>
      <c r="D801" s="5" t="s">
        <v>3938</v>
      </c>
      <c r="F801" s="5" t="s">
        <v>3939</v>
      </c>
      <c r="H801" s="5">
        <v>573175181022</v>
      </c>
      <c r="J801" s="5" t="s">
        <v>3940</v>
      </c>
      <c r="K801" s="5" t="s">
        <v>110</v>
      </c>
      <c r="L801" s="5" t="s">
        <v>3941</v>
      </c>
      <c r="M801" s="5" t="s">
        <v>3942</v>
      </c>
      <c r="N801" s="6">
        <v>46013</v>
      </c>
      <c r="O801" s="7">
        <v>0.625</v>
      </c>
      <c r="P801" s="5">
        <v>1</v>
      </c>
      <c r="Q801" s="5" t="s">
        <v>96</v>
      </c>
      <c r="R801" s="5">
        <v>220000</v>
      </c>
      <c r="S801" s="5">
        <v>41800</v>
      </c>
      <c r="T801" s="5">
        <v>6000</v>
      </c>
      <c r="U801" s="5">
        <v>267800</v>
      </c>
      <c r="V801" s="5" t="s">
        <v>3943</v>
      </c>
      <c r="W801" s="5" t="s">
        <v>36</v>
      </c>
      <c r="X801" s="5" t="s">
        <v>180</v>
      </c>
      <c r="AA801" s="5" t="s">
        <v>44</v>
      </c>
      <c r="AB801" s="5" t="s">
        <v>3944</v>
      </c>
      <c r="AC801" s="8" t="str">
        <f>HYPERLINK("https://drive.google.com/file/d/1A1dnZbRZ5iHNIfcRmS-K4PjajHcYDLm8/view?usp=drivesdk","Abrir_Factura")</f>
        <v>Abrir_Factura</v>
      </c>
      <c r="AD801" s="9">
        <v>46013.545636574076</v>
      </c>
    </row>
    <row r="802" spans="1:30" ht="12.5">
      <c r="A802" s="4">
        <v>46013.488074236113</v>
      </c>
      <c r="B802" s="5">
        <v>90539</v>
      </c>
      <c r="C802" s="5">
        <v>1140884912</v>
      </c>
      <c r="D802" s="5" t="s">
        <v>3945</v>
      </c>
      <c r="F802" s="5" t="s">
        <v>3946</v>
      </c>
      <c r="H802" s="5">
        <v>573173669658</v>
      </c>
      <c r="J802" s="5" t="s">
        <v>3947</v>
      </c>
      <c r="K802" s="5" t="s">
        <v>103</v>
      </c>
      <c r="L802" s="5" t="s">
        <v>3948</v>
      </c>
      <c r="M802" s="5">
        <v>3173669658</v>
      </c>
      <c r="N802" s="6">
        <v>46013</v>
      </c>
      <c r="O802" s="7">
        <v>0.625</v>
      </c>
      <c r="P802" s="5">
        <v>1</v>
      </c>
      <c r="Q802" s="5" t="s">
        <v>210</v>
      </c>
      <c r="R802" s="5">
        <v>150000</v>
      </c>
      <c r="S802" s="5">
        <v>0</v>
      </c>
      <c r="T802" s="5">
        <v>10000</v>
      </c>
      <c r="U802" s="5">
        <v>160000</v>
      </c>
      <c r="V802" s="5" t="s">
        <v>3949</v>
      </c>
      <c r="W802" s="5" t="s">
        <v>36</v>
      </c>
      <c r="X802" s="5" t="s">
        <v>83</v>
      </c>
      <c r="AA802" s="5" t="s">
        <v>44</v>
      </c>
      <c r="AC802" s="8" t="str">
        <f>HYPERLINK("https://drive.google.com/file/d/17ui4ygcr5KMAf_OTGRZhJgQv-tM2MVwr/view?usp=drivesdk","Abrir_Factura")</f>
        <v>Abrir_Factura</v>
      </c>
      <c r="AD802" s="9">
        <v>46013.553738425922</v>
      </c>
    </row>
    <row r="803" spans="1:30" ht="12.5">
      <c r="A803" s="4">
        <v>46013.554162511573</v>
      </c>
      <c r="B803" s="5">
        <v>90540</v>
      </c>
      <c r="C803" s="5">
        <v>1003456754</v>
      </c>
      <c r="D803" s="5" t="s">
        <v>1051</v>
      </c>
      <c r="F803" s="5" t="s">
        <v>3950</v>
      </c>
      <c r="H803" s="5">
        <v>573008916925</v>
      </c>
      <c r="J803" s="5" t="s">
        <v>3951</v>
      </c>
      <c r="K803" s="5" t="s">
        <v>110</v>
      </c>
      <c r="L803" s="5" t="s">
        <v>3952</v>
      </c>
      <c r="M803" s="5">
        <v>3012667200</v>
      </c>
      <c r="N803" s="6">
        <v>46013</v>
      </c>
      <c r="O803" s="7">
        <v>0.63888888888888884</v>
      </c>
      <c r="P803" s="5">
        <v>1</v>
      </c>
      <c r="Q803" s="5" t="s">
        <v>50</v>
      </c>
      <c r="R803" s="5">
        <v>200000</v>
      </c>
      <c r="S803" s="5">
        <v>0</v>
      </c>
      <c r="T803" s="5">
        <v>6000</v>
      </c>
      <c r="U803" s="5">
        <v>206000</v>
      </c>
      <c r="V803" s="5" t="s">
        <v>3953</v>
      </c>
      <c r="W803" s="5" t="s">
        <v>36</v>
      </c>
      <c r="X803" s="5" t="s">
        <v>180</v>
      </c>
      <c r="AA803" s="5" t="s">
        <v>44</v>
      </c>
      <c r="AB803" s="5"/>
      <c r="AC803" s="8" t="str">
        <f>HYPERLINK("https://drive.google.com/file/d/1Ql6XshkBORuzAJpmt4frbmoD_Kr89kjW/view?usp=drivesdk","Abrir_Factura")</f>
        <v>Abrir_Factura</v>
      </c>
      <c r="AD803" s="9">
        <v>46013.562106481484</v>
      </c>
    </row>
    <row r="804" spans="1:30" ht="12.5">
      <c r="A804" s="4">
        <v>46013.501466967587</v>
      </c>
      <c r="B804" s="5">
        <v>90541</v>
      </c>
      <c r="C804" s="5">
        <v>31324552</v>
      </c>
      <c r="D804" s="5" t="s">
        <v>3954</v>
      </c>
      <c r="F804" s="5" t="s">
        <v>3955</v>
      </c>
      <c r="H804" s="5">
        <v>573046693945</v>
      </c>
      <c r="J804" s="5" t="s">
        <v>3956</v>
      </c>
      <c r="K804" s="5" t="s">
        <v>146</v>
      </c>
      <c r="L804" s="5" t="s">
        <v>3957</v>
      </c>
      <c r="M804" s="5">
        <v>3046693945</v>
      </c>
      <c r="N804" s="6">
        <v>46014</v>
      </c>
      <c r="O804" s="7">
        <v>0.33333333333333331</v>
      </c>
      <c r="P804" s="5">
        <v>1</v>
      </c>
      <c r="Q804" s="5" t="s">
        <v>361</v>
      </c>
      <c r="R804" s="5">
        <v>200000</v>
      </c>
      <c r="S804" s="5">
        <v>0</v>
      </c>
      <c r="T804" s="5">
        <v>12000</v>
      </c>
      <c r="U804" s="5">
        <v>212000</v>
      </c>
      <c r="W804" s="5" t="s">
        <v>36</v>
      </c>
      <c r="X804" s="5" t="s">
        <v>204</v>
      </c>
      <c r="AA804" s="5" t="s">
        <v>69</v>
      </c>
      <c r="AC804" s="8" t="str">
        <f>HYPERLINK("https://drive.google.com/file/d/1YvRmG0v3dg1ttGZcqPxx5mJlSi57XJLY/view?usp=drivesdk","Abrir_Factura")</f>
        <v>Abrir_Factura</v>
      </c>
      <c r="AD804" s="9">
        <v>46013.564236111109</v>
      </c>
    </row>
    <row r="805" spans="1:30" ht="12.5">
      <c r="A805" s="4">
        <v>46013.644467650462</v>
      </c>
      <c r="B805" s="5">
        <v>90542</v>
      </c>
      <c r="C805" s="5">
        <v>79788592</v>
      </c>
      <c r="D805" s="5" t="s">
        <v>3958</v>
      </c>
      <c r="F805" s="5" t="s">
        <v>3959</v>
      </c>
      <c r="H805" s="5">
        <v>573123065852</v>
      </c>
      <c r="J805" s="5" t="s">
        <v>3960</v>
      </c>
      <c r="K805" s="5" t="s">
        <v>33</v>
      </c>
      <c r="L805" s="5" t="s">
        <v>34</v>
      </c>
      <c r="M805" s="5">
        <v>3123065852</v>
      </c>
      <c r="N805" s="6">
        <v>46017</v>
      </c>
      <c r="O805" s="7">
        <v>0.33333333333333331</v>
      </c>
      <c r="P805" s="5">
        <v>1</v>
      </c>
      <c r="Q805" s="5" t="s">
        <v>42</v>
      </c>
      <c r="R805" s="5">
        <v>180000</v>
      </c>
      <c r="S805" s="5">
        <v>0</v>
      </c>
      <c r="T805" s="5">
        <v>0</v>
      </c>
      <c r="U805" s="5">
        <v>180000</v>
      </c>
      <c r="W805" s="5" t="s">
        <v>36</v>
      </c>
      <c r="X805" s="5" t="s">
        <v>2636</v>
      </c>
      <c r="AA805" s="5" t="s">
        <v>1717</v>
      </c>
      <c r="AB805" s="5" t="s">
        <v>3961</v>
      </c>
      <c r="AC805" s="8" t="str">
        <f>HYPERLINK("https://drive.google.com/file/d/1wkF9lk1NHafLuh2Tb4mhvyhG_tp4h8Ad/view?usp=drivesdk","Abrir_Factura")</f>
        <v>Abrir_Factura</v>
      </c>
      <c r="AD805" s="9">
        <v>46013.645162037035</v>
      </c>
    </row>
    <row r="806" spans="1:30" ht="12.5">
      <c r="A806" s="4">
        <v>46013.645587465275</v>
      </c>
      <c r="B806" s="5">
        <v>90543</v>
      </c>
      <c r="C806" s="5">
        <v>1216972352</v>
      </c>
      <c r="D806" s="5" t="s">
        <v>3962</v>
      </c>
      <c r="F806" s="5" t="s">
        <v>3963</v>
      </c>
      <c r="H806" s="5">
        <v>573126564463</v>
      </c>
      <c r="J806" s="5" t="s">
        <v>3964</v>
      </c>
      <c r="K806" s="5" t="s">
        <v>33</v>
      </c>
      <c r="L806" s="5" t="s">
        <v>34</v>
      </c>
      <c r="M806" s="5">
        <v>3126564463</v>
      </c>
      <c r="N806" s="6">
        <v>46013</v>
      </c>
      <c r="O806" s="7">
        <v>0.66666666666666663</v>
      </c>
      <c r="P806" s="5">
        <v>1</v>
      </c>
      <c r="Q806" s="5" t="s">
        <v>294</v>
      </c>
      <c r="R806" s="5">
        <v>160000</v>
      </c>
      <c r="S806" s="5">
        <v>0</v>
      </c>
      <c r="T806" s="5">
        <v>0</v>
      </c>
      <c r="U806" s="5">
        <v>160000</v>
      </c>
      <c r="W806" s="5" t="s">
        <v>36</v>
      </c>
      <c r="X806" s="5" t="s">
        <v>2636</v>
      </c>
      <c r="AA806" s="5" t="s">
        <v>1717</v>
      </c>
      <c r="AC806" s="8" t="str">
        <f>HYPERLINK("https://drive.google.com/file/d/1k5UZ0RdZL5c2Z9bzpA5h8DagHVD7Kid2/view?usp=drivesdk","Abrir_Factura")</f>
        <v>Abrir_Factura</v>
      </c>
      <c r="AD806" s="9">
        <v>46013.647303240738</v>
      </c>
    </row>
    <row r="807" spans="1:30" ht="12.5">
      <c r="A807" s="4">
        <v>46013.654302604162</v>
      </c>
      <c r="B807" s="5">
        <v>90544</v>
      </c>
      <c r="C807" s="5">
        <v>1140878065</v>
      </c>
      <c r="D807" s="5" t="s">
        <v>3965</v>
      </c>
      <c r="F807" s="5" t="s">
        <v>116</v>
      </c>
      <c r="H807" s="5">
        <v>573003972360</v>
      </c>
      <c r="J807" s="5" t="s">
        <v>3966</v>
      </c>
      <c r="K807" s="5" t="s">
        <v>110</v>
      </c>
      <c r="L807" s="5" t="s">
        <v>3041</v>
      </c>
      <c r="M807" s="5">
        <v>3006154073</v>
      </c>
      <c r="N807" s="6">
        <v>46018</v>
      </c>
      <c r="O807" s="7">
        <v>0.33333333333333331</v>
      </c>
      <c r="P807" s="5">
        <v>1</v>
      </c>
      <c r="Q807" s="5" t="s">
        <v>1102</v>
      </c>
      <c r="R807" s="5">
        <v>220000</v>
      </c>
      <c r="S807" s="5">
        <v>0</v>
      </c>
      <c r="T807" s="5">
        <v>6000</v>
      </c>
      <c r="U807" s="5">
        <v>226000</v>
      </c>
      <c r="W807" s="5" t="s">
        <v>36</v>
      </c>
      <c r="X807" s="5" t="s">
        <v>2636</v>
      </c>
      <c r="AA807" s="5" t="s">
        <v>1717</v>
      </c>
      <c r="AB807" s="5" t="s">
        <v>3967</v>
      </c>
      <c r="AC807" s="8" t="str">
        <f>HYPERLINK("https://drive.google.com/file/d/1lctqy3qDjLh6glNzwNc-4VlNlwAzHp6d/view?usp=drivesdk","Abrir_Factura")</f>
        <v>Abrir_Factura</v>
      </c>
      <c r="AD807" s="9">
        <v>46013.655381944445</v>
      </c>
    </row>
    <row r="808" spans="1:30" ht="12.5">
      <c r="A808" s="4">
        <v>46013.645040046293</v>
      </c>
      <c r="B808" s="5">
        <v>90545</v>
      </c>
      <c r="C808" s="5">
        <v>1140885936</v>
      </c>
      <c r="D808" s="5" t="s">
        <v>3450</v>
      </c>
      <c r="F808" s="5" t="s">
        <v>3968</v>
      </c>
      <c r="H808" s="5">
        <v>573145354220</v>
      </c>
      <c r="J808" s="5" t="s">
        <v>3969</v>
      </c>
      <c r="K808" s="5" t="s">
        <v>110</v>
      </c>
      <c r="L808" s="5" t="s">
        <v>3970</v>
      </c>
      <c r="N808" s="6">
        <v>46014</v>
      </c>
      <c r="O808" s="7">
        <v>0.33333333333333331</v>
      </c>
      <c r="P808" s="5">
        <v>1</v>
      </c>
      <c r="Q808" s="5" t="s">
        <v>50</v>
      </c>
      <c r="R808" s="5">
        <v>200000</v>
      </c>
      <c r="S808" s="5">
        <v>0</v>
      </c>
      <c r="T808" s="5">
        <v>6000</v>
      </c>
      <c r="U808" s="5">
        <v>206000</v>
      </c>
      <c r="V808" s="5" t="s">
        <v>3971</v>
      </c>
      <c r="W808" s="5" t="s">
        <v>36</v>
      </c>
      <c r="X808" s="5" t="s">
        <v>83</v>
      </c>
      <c r="AA808" s="5" t="s">
        <v>69</v>
      </c>
      <c r="AC808" s="8" t="str">
        <f>HYPERLINK("https://drive.google.com/file/d/1IECWlFZQyAUAAzcuDdSlO73EooVL0srM/view?usp=drivesdk","Abrir_Factura")</f>
        <v>Abrir_Factura</v>
      </c>
      <c r="AD808" s="9">
        <v>46013.659189814818</v>
      </c>
    </row>
    <row r="809" spans="1:30" ht="12.5">
      <c r="A809" s="4">
        <v>46013.654816631941</v>
      </c>
      <c r="B809" s="5">
        <v>90546</v>
      </c>
      <c r="C809" s="5">
        <v>1140857774</v>
      </c>
      <c r="D809" s="5" t="s">
        <v>1026</v>
      </c>
      <c r="F809" s="5" t="s">
        <v>382</v>
      </c>
      <c r="H809" s="5">
        <v>573017824366</v>
      </c>
      <c r="J809" s="5" t="s">
        <v>3021</v>
      </c>
      <c r="L809" s="5" t="s">
        <v>3972</v>
      </c>
      <c r="M809" s="5">
        <v>3017824366</v>
      </c>
      <c r="N809" s="6">
        <v>46014</v>
      </c>
      <c r="O809" s="7">
        <v>0.5444444444444444</v>
      </c>
      <c r="P809" s="5">
        <v>1</v>
      </c>
      <c r="Q809" s="5" t="s">
        <v>1126</v>
      </c>
      <c r="R809" s="5">
        <v>300000</v>
      </c>
      <c r="S809" s="5">
        <v>0</v>
      </c>
      <c r="T809" s="5"/>
      <c r="U809" s="5">
        <v>300000</v>
      </c>
      <c r="W809" s="5" t="s">
        <v>36</v>
      </c>
      <c r="X809" s="5" t="s">
        <v>67</v>
      </c>
      <c r="AA809" s="5" t="s">
        <v>69</v>
      </c>
      <c r="AC809" s="8" t="str">
        <f>HYPERLINK("https://drive.google.com/file/d/1NHhIjcyg0hJZdlF5q76wySgCQg6kY2Zs/view?usp=drivesdk", "Abrir_Factura")</f>
        <v>Abrir_Factura</v>
      </c>
      <c r="AD809" s="9">
        <v>46013.689212962963</v>
      </c>
    </row>
    <row r="810" spans="1:30" ht="12.5">
      <c r="A810" s="4">
        <v>46013.664652129628</v>
      </c>
      <c r="B810" s="5">
        <v>90547</v>
      </c>
      <c r="C810" s="5">
        <v>2411870977</v>
      </c>
      <c r="D810" s="5" t="s">
        <v>3973</v>
      </c>
      <c r="F810" s="5" t="s">
        <v>3974</v>
      </c>
      <c r="H810" s="5" t="s">
        <v>25421</v>
      </c>
      <c r="J810" s="5" t="s">
        <v>3975</v>
      </c>
      <c r="K810" s="5" t="s">
        <v>33</v>
      </c>
      <c r="L810" s="5" t="s">
        <v>34</v>
      </c>
      <c r="M810" s="5" t="s">
        <v>3976</v>
      </c>
      <c r="N810" s="6">
        <v>46013</v>
      </c>
      <c r="O810" s="7">
        <v>0</v>
      </c>
      <c r="P810" s="5">
        <v>1</v>
      </c>
      <c r="Q810" s="5" t="s">
        <v>178</v>
      </c>
      <c r="R810" s="5">
        <v>100000</v>
      </c>
      <c r="S810" s="5">
        <v>0</v>
      </c>
      <c r="T810" s="5">
        <v>0</v>
      </c>
      <c r="U810" s="5">
        <v>100000</v>
      </c>
      <c r="V810" s="5" t="s">
        <v>225</v>
      </c>
      <c r="W810" s="5" t="s">
        <v>36</v>
      </c>
      <c r="X810" s="5" t="s">
        <v>43</v>
      </c>
      <c r="AA810" s="5" t="s">
        <v>37</v>
      </c>
      <c r="AB810" s="5" t="s">
        <v>225</v>
      </c>
      <c r="AC810" s="8" t="str">
        <f>HYPERLINK("https://drive.google.com/file/d/1dPVgK46lIjV8oVwzNg3erccRNVlTPPOs/view?usp=drivesdk","Abrir_Factura")</f>
        <v>Abrir_Factura</v>
      </c>
      <c r="AD810" s="9">
        <v>46013.665196759262</v>
      </c>
    </row>
    <row r="811" spans="1:30" ht="12.5">
      <c r="A811" s="4">
        <v>46013.668336388888</v>
      </c>
      <c r="B811" s="5">
        <v>90548</v>
      </c>
      <c r="C811" s="5">
        <v>1045721993</v>
      </c>
      <c r="D811" s="5" t="s">
        <v>638</v>
      </c>
      <c r="F811" s="5" t="s">
        <v>3977</v>
      </c>
      <c r="H811" s="5" t="s">
        <v>25421</v>
      </c>
      <c r="J811" s="5" t="s">
        <v>3978</v>
      </c>
      <c r="K811" s="5" t="s">
        <v>33</v>
      </c>
      <c r="L811" s="5" t="s">
        <v>34</v>
      </c>
      <c r="M811" s="5" t="s">
        <v>3979</v>
      </c>
      <c r="N811" s="6">
        <v>46014</v>
      </c>
      <c r="O811" s="7">
        <v>0.39583333333333331</v>
      </c>
      <c r="P811" s="5">
        <v>1</v>
      </c>
      <c r="Q811" s="5" t="s">
        <v>178</v>
      </c>
      <c r="R811" s="5">
        <v>100000</v>
      </c>
      <c r="S811" s="5">
        <v>0</v>
      </c>
      <c r="T811" s="5">
        <v>0</v>
      </c>
      <c r="U811" s="5">
        <v>100000</v>
      </c>
      <c r="W811" s="5" t="s">
        <v>36</v>
      </c>
      <c r="X811" s="5" t="s">
        <v>43</v>
      </c>
      <c r="AA811" s="5" t="s">
        <v>37</v>
      </c>
      <c r="AB811" s="5" t="s">
        <v>225</v>
      </c>
      <c r="AC811" s="8" t="str">
        <f>HYPERLINK("https://drive.google.com/file/d/1PP3jEb3ai87OduKdo_P4zwhFHAaKs37Z/view?usp=drivesdk", "Abrir_Factura")</f>
        <v>Abrir_Factura</v>
      </c>
      <c r="AD811" s="9">
        <v>46013.702615740738</v>
      </c>
    </row>
    <row r="812" spans="1:30" ht="12.5">
      <c r="A812" s="4">
        <v>46012.793755081017</v>
      </c>
      <c r="B812" s="5">
        <v>90549</v>
      </c>
      <c r="C812" s="5">
        <v>22516756</v>
      </c>
      <c r="D812" s="5" t="s">
        <v>1892</v>
      </c>
      <c r="F812" s="5" t="s">
        <v>2890</v>
      </c>
      <c r="H812" s="5">
        <v>573015657857</v>
      </c>
      <c r="J812" s="5" t="s">
        <v>3980</v>
      </c>
      <c r="K812" s="5" t="s">
        <v>563</v>
      </c>
      <c r="L812" s="5" t="s">
        <v>3981</v>
      </c>
      <c r="M812" s="5">
        <v>3015657857</v>
      </c>
      <c r="N812" s="6">
        <v>46014</v>
      </c>
      <c r="O812" s="7">
        <v>0.35416666666666669</v>
      </c>
      <c r="P812" s="5">
        <v>1</v>
      </c>
      <c r="Q812" s="5" t="s">
        <v>50</v>
      </c>
      <c r="R812" s="5">
        <v>200000</v>
      </c>
      <c r="S812" s="5">
        <v>0</v>
      </c>
      <c r="T812" s="5">
        <v>12000</v>
      </c>
      <c r="U812" s="5">
        <v>212000</v>
      </c>
      <c r="W812" s="5" t="s">
        <v>36</v>
      </c>
      <c r="X812" s="5" t="s">
        <v>1937</v>
      </c>
      <c r="AA812" s="5" t="s">
        <v>69</v>
      </c>
      <c r="AC812" s="8" t="str">
        <f>HYPERLINK("https://drive.google.com/file/d/1dksKxkSmS1WpTVy-Uj5t5tXVUwzhbqWj/view?usp=drivesdk","Abrir_Factura")</f>
        <v>Abrir_Factura</v>
      </c>
      <c r="AD812" s="9">
        <v>46013.677407407406</v>
      </c>
    </row>
    <row r="813" spans="1:30" ht="12.5">
      <c r="A813" s="4">
        <v>46013.676340289356</v>
      </c>
      <c r="B813" s="5">
        <v>90550</v>
      </c>
      <c r="C813" s="5">
        <v>1143430016</v>
      </c>
      <c r="D813" s="5" t="s">
        <v>1798</v>
      </c>
      <c r="F813" s="5" t="s">
        <v>1827</v>
      </c>
      <c r="H813" s="5">
        <v>573046688627</v>
      </c>
      <c r="J813" s="5" t="s">
        <v>3982</v>
      </c>
      <c r="K813" s="5" t="s">
        <v>161</v>
      </c>
      <c r="L813" s="5" t="s">
        <v>3983</v>
      </c>
      <c r="N813" s="6">
        <v>46013</v>
      </c>
      <c r="O813" s="7">
        <v>0.66666666666666663</v>
      </c>
      <c r="P813" s="5">
        <v>1</v>
      </c>
      <c r="Q813" s="5" t="s">
        <v>187</v>
      </c>
      <c r="R813" s="5">
        <v>200000</v>
      </c>
      <c r="S813" s="5">
        <v>0</v>
      </c>
      <c r="T813" s="5">
        <v>8000</v>
      </c>
      <c r="U813" s="5">
        <v>208000</v>
      </c>
      <c r="W813" s="5" t="s">
        <v>36</v>
      </c>
      <c r="X813" s="5" t="s">
        <v>83</v>
      </c>
      <c r="AA813" s="5" t="s">
        <v>44</v>
      </c>
      <c r="AC813" s="8" t="str">
        <f>HYPERLINK("https://drive.google.com/file/d/1VZoMWH31vtAFGpwLqavxS127kdcwLdwq/view?usp=drivesdk","Abrir_Factura")</f>
        <v>Abrir_Factura</v>
      </c>
      <c r="AD813" s="9">
        <v>46013.678796296299</v>
      </c>
    </row>
    <row r="814" spans="1:30" ht="12.5">
      <c r="A814" s="4">
        <v>46013.681806608802</v>
      </c>
      <c r="B814" s="5">
        <v>90551</v>
      </c>
      <c r="C814" s="5">
        <v>100779388</v>
      </c>
      <c r="D814" s="5" t="s">
        <v>3984</v>
      </c>
      <c r="F814" s="5" t="s">
        <v>3985</v>
      </c>
      <c r="H814" s="5">
        <v>573136141840</v>
      </c>
      <c r="J814" s="5" t="s">
        <v>3986</v>
      </c>
      <c r="K814" s="5" t="s">
        <v>33</v>
      </c>
      <c r="L814" s="5" t="s">
        <v>34</v>
      </c>
      <c r="M814" s="5">
        <v>3136141840</v>
      </c>
      <c r="N814" s="6">
        <v>46013</v>
      </c>
      <c r="O814" s="7">
        <v>0.70833333333333337</v>
      </c>
      <c r="P814" s="5">
        <v>1</v>
      </c>
      <c r="Q814" s="5" t="s">
        <v>178</v>
      </c>
      <c r="R814" s="5">
        <v>100000</v>
      </c>
      <c r="S814" s="5">
        <v>0</v>
      </c>
      <c r="T814" s="5">
        <v>0</v>
      </c>
      <c r="U814" s="5">
        <v>100000</v>
      </c>
      <c r="W814" s="5" t="s">
        <v>36</v>
      </c>
      <c r="X814" s="5" t="s">
        <v>196</v>
      </c>
      <c r="AA814" s="5" t="s">
        <v>1717</v>
      </c>
      <c r="AC814" s="8" t="str">
        <f>HYPERLINK("https://drive.google.com/file/d/1qo2Diy6T409BACHwUqTytZMs5Bo63svA/view?usp=drivesdk","Abrir_Factura")</f>
        <v>Abrir_Factura</v>
      </c>
      <c r="AD814" s="9">
        <v>46013.68241898148</v>
      </c>
    </row>
    <row r="815" spans="1:30" ht="12.5">
      <c r="A815" s="4">
        <v>46013.682412870374</v>
      </c>
      <c r="B815" s="5">
        <v>90552</v>
      </c>
      <c r="C815" s="5">
        <v>1129571165</v>
      </c>
      <c r="D815" s="5" t="s">
        <v>3987</v>
      </c>
      <c r="F815" s="5" t="s">
        <v>3988</v>
      </c>
      <c r="H815" s="5">
        <v>573166946981</v>
      </c>
      <c r="J815" s="5" t="s">
        <v>3989</v>
      </c>
      <c r="L815" s="5" t="s">
        <v>3990</v>
      </c>
      <c r="N815" s="6">
        <v>46013</v>
      </c>
      <c r="O815" s="7">
        <v>0.70833333333333337</v>
      </c>
      <c r="P815" s="5">
        <v>2</v>
      </c>
      <c r="Q815" s="5" t="s">
        <v>3991</v>
      </c>
      <c r="R815" s="5">
        <v>200000</v>
      </c>
      <c r="S815" s="5">
        <v>0</v>
      </c>
      <c r="T815" s="5"/>
      <c r="U815" s="5">
        <v>200000</v>
      </c>
      <c r="W815" s="5" t="s">
        <v>36</v>
      </c>
      <c r="X815" s="5" t="s">
        <v>2636</v>
      </c>
      <c r="AA815" s="5" t="s">
        <v>1717</v>
      </c>
      <c r="AB815" s="5" t="s">
        <v>3992</v>
      </c>
      <c r="AC815" s="8" t="str">
        <f>HYPERLINK("https://drive.google.com/file/d/1nh5QZlpBdpM1XzUtoUMEpJsGcki7962x/view?usp=drivesdk","Abrir_Factura")</f>
        <v>Abrir_Factura</v>
      </c>
      <c r="AD815" s="9">
        <v>46013.684884259259</v>
      </c>
    </row>
    <row r="816" spans="1:30" ht="12.5">
      <c r="A816" s="4">
        <v>46013.684314918981</v>
      </c>
      <c r="B816" s="5">
        <v>90553</v>
      </c>
      <c r="C816" s="5">
        <v>1129571165</v>
      </c>
      <c r="D816" s="5" t="s">
        <v>3993</v>
      </c>
      <c r="F816" s="5" t="s">
        <v>3988</v>
      </c>
      <c r="H816" s="5">
        <v>573166946981</v>
      </c>
      <c r="J816" s="5" t="s">
        <v>3993</v>
      </c>
      <c r="L816" s="5" t="s">
        <v>3994</v>
      </c>
      <c r="M816" s="5">
        <v>3166946981</v>
      </c>
      <c r="N816" s="6">
        <v>46013</v>
      </c>
      <c r="O816" s="7">
        <v>0.70833333333333337</v>
      </c>
      <c r="P816" s="5">
        <v>1</v>
      </c>
      <c r="Q816" s="5" t="s">
        <v>42</v>
      </c>
      <c r="R816" s="5">
        <v>80000</v>
      </c>
      <c r="S816" s="5">
        <v>0</v>
      </c>
      <c r="T816" s="5"/>
      <c r="U816" s="5">
        <v>80000</v>
      </c>
      <c r="W816" s="5" t="s">
        <v>36</v>
      </c>
      <c r="X816" s="5" t="s">
        <v>2636</v>
      </c>
      <c r="AA816" s="5" t="s">
        <v>1717</v>
      </c>
      <c r="AB816" s="5" t="s">
        <v>3995</v>
      </c>
      <c r="AC816" s="8" t="str">
        <f>HYPERLINK("https://drive.google.com/file/d/15FyFD8DYlYQbWZ9uI_joKFHhVFqydBCt/view?usp=drivesdk","Abrir_Factura")</f>
        <v>Abrir_Factura</v>
      </c>
      <c r="AD816" s="9">
        <v>46013.685520833336</v>
      </c>
    </row>
    <row r="817" spans="1:30" ht="12.5">
      <c r="A817" s="4">
        <v>46013.671700347222</v>
      </c>
      <c r="B817" s="5">
        <v>90554</v>
      </c>
      <c r="C817" s="5">
        <v>1043661129</v>
      </c>
      <c r="D817" s="5" t="s">
        <v>1719</v>
      </c>
      <c r="F817" s="5" t="s">
        <v>3996</v>
      </c>
      <c r="H817" s="5">
        <v>573003484102</v>
      </c>
      <c r="J817" s="5" t="s">
        <v>2735</v>
      </c>
      <c r="K817" s="5" t="s">
        <v>265</v>
      </c>
      <c r="L817" s="5" t="s">
        <v>3997</v>
      </c>
      <c r="M817" s="5" t="s">
        <v>25421</v>
      </c>
      <c r="N817" s="6">
        <v>46013</v>
      </c>
      <c r="O817" s="7">
        <v>0.72916666666666663</v>
      </c>
      <c r="P817" s="5">
        <v>1</v>
      </c>
      <c r="Q817" s="5" t="s">
        <v>187</v>
      </c>
      <c r="R817" s="5">
        <v>200000</v>
      </c>
      <c r="S817" s="5">
        <v>0</v>
      </c>
      <c r="T817" s="5">
        <v>17000</v>
      </c>
      <c r="U817" s="5">
        <v>217000</v>
      </c>
      <c r="V817" s="5" t="s">
        <v>3998</v>
      </c>
      <c r="W817" s="5" t="s">
        <v>36</v>
      </c>
      <c r="X817" s="5" t="s">
        <v>83</v>
      </c>
      <c r="Z817" s="5" t="s">
        <v>3999</v>
      </c>
      <c r="AA817" s="5" t="s">
        <v>69</v>
      </c>
      <c r="AC817" s="8" t="str">
        <f>HYPERLINK("https://drive.google.com/file/d/1912KkJStCYgLRK02VJDXmmj3w1geA9O9/view?usp=drivesdk","Abrir_Factura")</f>
        <v>Abrir_Factura</v>
      </c>
      <c r="AD817" s="9">
        <v>46013.687094907407</v>
      </c>
    </row>
    <row r="818" spans="1:30" ht="12.5">
      <c r="A818" s="4">
        <v>46013.641327268517</v>
      </c>
      <c r="B818" s="5">
        <v>90555</v>
      </c>
      <c r="C818" s="5">
        <v>1129528968</v>
      </c>
      <c r="D818" s="5" t="s">
        <v>4000</v>
      </c>
      <c r="F818" s="5" t="s">
        <v>255</v>
      </c>
      <c r="H818" s="5">
        <v>573013684743</v>
      </c>
      <c r="J818" s="5" t="s">
        <v>4001</v>
      </c>
      <c r="K818" s="5" t="s">
        <v>265</v>
      </c>
      <c r="L818" s="5" t="s">
        <v>4002</v>
      </c>
      <c r="M818" s="5">
        <v>3002328616</v>
      </c>
      <c r="N818" s="6">
        <v>46013</v>
      </c>
      <c r="O818" s="7">
        <v>0.73263888888888884</v>
      </c>
      <c r="P818" s="5">
        <v>1</v>
      </c>
      <c r="Q818" s="5" t="s">
        <v>89</v>
      </c>
      <c r="R818" s="5">
        <v>150000</v>
      </c>
      <c r="S818" s="5">
        <v>0</v>
      </c>
      <c r="T818" s="5">
        <v>17000</v>
      </c>
      <c r="U818" s="5">
        <v>167000</v>
      </c>
      <c r="V818" s="5" t="s">
        <v>4003</v>
      </c>
      <c r="W818" s="5" t="s">
        <v>36</v>
      </c>
      <c r="X818" s="5" t="s">
        <v>180</v>
      </c>
      <c r="AA818" s="5" t="s">
        <v>69</v>
      </c>
      <c r="AC818" s="8" t="str">
        <f>HYPERLINK("https://drive.google.com/file/d/1C83W8qOudv-jTELmDaK0g-VyozG9BL_S/view?usp=drivesdk","Abrir_Factura")</f>
        <v>Abrir_Factura</v>
      </c>
      <c r="AD818" s="9">
        <v>46013.692303240743</v>
      </c>
    </row>
    <row r="819" spans="1:30" ht="12.5">
      <c r="A819" s="4">
        <v>46013.69607258102</v>
      </c>
      <c r="B819" s="5">
        <v>90556</v>
      </c>
      <c r="C819" s="5">
        <v>32688398</v>
      </c>
      <c r="D819" s="5" t="s">
        <v>4004</v>
      </c>
      <c r="F819" s="5" t="s">
        <v>1234</v>
      </c>
      <c r="H819" s="5">
        <v>5726230928</v>
      </c>
      <c r="J819" s="5" t="s">
        <v>4005</v>
      </c>
      <c r="K819" s="5" t="s">
        <v>33</v>
      </c>
      <c r="L819" s="5" t="s">
        <v>34</v>
      </c>
      <c r="M819" s="5">
        <v>26230928</v>
      </c>
      <c r="N819" s="6">
        <v>46013</v>
      </c>
      <c r="O819" s="7">
        <v>0</v>
      </c>
      <c r="P819" s="5">
        <v>1</v>
      </c>
      <c r="Q819" s="5" t="s">
        <v>42</v>
      </c>
      <c r="R819" s="5">
        <v>50000</v>
      </c>
      <c r="S819" s="5">
        <v>0</v>
      </c>
      <c r="T819" s="5">
        <v>0</v>
      </c>
      <c r="U819" s="5">
        <v>50000</v>
      </c>
      <c r="W819" s="5" t="s">
        <v>36</v>
      </c>
      <c r="X819" s="5" t="s">
        <v>2636</v>
      </c>
      <c r="AA819" s="5" t="s">
        <v>1717</v>
      </c>
      <c r="AB819" s="5" t="s">
        <v>525</v>
      </c>
      <c r="AC819" s="8" t="str">
        <f>HYPERLINK("https://drive.google.com/file/d/1QQOKLV0rdEn2GkeYc00PZCmQxzRqxQml/view?usp=drivesdk","Abrir_Factura")</f>
        <v>Abrir_Factura</v>
      </c>
      <c r="AD819" s="9">
        <v>46013.698344907411</v>
      </c>
    </row>
    <row r="820" spans="1:30" ht="12.5">
      <c r="A820" s="4">
        <v>46013.742046967593</v>
      </c>
      <c r="B820" s="5">
        <v>90557</v>
      </c>
      <c r="C820" s="5">
        <v>94495495</v>
      </c>
      <c r="D820" s="5" t="s">
        <v>4006</v>
      </c>
      <c r="F820" s="5" t="s">
        <v>4007</v>
      </c>
      <c r="H820" s="5">
        <v>573144430705</v>
      </c>
      <c r="J820" s="5" t="s">
        <v>4008</v>
      </c>
      <c r="K820" s="5" t="s">
        <v>33</v>
      </c>
      <c r="L820" s="5" t="s">
        <v>34</v>
      </c>
      <c r="M820" s="5">
        <v>3144430705</v>
      </c>
      <c r="N820" s="6">
        <v>46013</v>
      </c>
      <c r="O820" s="7">
        <v>0</v>
      </c>
      <c r="P820" s="5">
        <v>1</v>
      </c>
      <c r="Q820" s="5" t="s">
        <v>679</v>
      </c>
      <c r="R820" s="5">
        <v>180000</v>
      </c>
      <c r="S820" s="5">
        <v>0</v>
      </c>
      <c r="T820" s="5">
        <v>0</v>
      </c>
      <c r="U820" s="5">
        <v>180000</v>
      </c>
      <c r="W820" s="5" t="s">
        <v>36</v>
      </c>
      <c r="X820" s="5" t="s">
        <v>2636</v>
      </c>
      <c r="AA820" s="5" t="s">
        <v>1717</v>
      </c>
      <c r="AC820" s="8" t="str">
        <f>HYPERLINK("https://drive.google.com/file/d/1DQ0r17xK-05hr1ojdJPcXr5DO_ZqVChe/view?usp=drivesdk","Abrir_Factura")</f>
        <v>Abrir_Factura</v>
      </c>
      <c r="AD820" s="9">
        <v>46013.742777777778</v>
      </c>
    </row>
    <row r="821" spans="1:30" ht="12.5">
      <c r="A821" s="4">
        <v>46013.742114259258</v>
      </c>
      <c r="B821" s="5">
        <v>90558</v>
      </c>
      <c r="C821" s="5">
        <v>92640186</v>
      </c>
      <c r="D821" s="5" t="s">
        <v>2889</v>
      </c>
      <c r="F821" s="5" t="s">
        <v>4009</v>
      </c>
      <c r="H821" s="5">
        <v>573042744865</v>
      </c>
      <c r="J821" s="5" t="s">
        <v>4010</v>
      </c>
      <c r="K821" s="5" t="s">
        <v>1317</v>
      </c>
      <c r="L821" s="5" t="s">
        <v>4011</v>
      </c>
      <c r="M821" s="5" t="s">
        <v>4012</v>
      </c>
      <c r="N821" s="6">
        <v>46014</v>
      </c>
      <c r="O821" s="7">
        <v>0.375</v>
      </c>
      <c r="P821" s="5">
        <v>1</v>
      </c>
      <c r="Q821" s="5" t="s">
        <v>649</v>
      </c>
      <c r="R821" s="5">
        <v>180000</v>
      </c>
      <c r="S821" s="5">
        <v>0</v>
      </c>
      <c r="T821" s="5">
        <v>12000</v>
      </c>
      <c r="U821" s="5">
        <v>192000</v>
      </c>
      <c r="V821" s="5" t="s">
        <v>4013</v>
      </c>
      <c r="W821" s="5" t="s">
        <v>36</v>
      </c>
      <c r="X821" s="5" t="s">
        <v>83</v>
      </c>
      <c r="AA821" s="5" t="s">
        <v>44</v>
      </c>
      <c r="AC821" s="8" t="str">
        <f>HYPERLINK("https://drive.google.com/file/d/1jJmWzh4GFtD6HaaVruwQpdJJLLrefmZR/view?usp=drivesdk","Abrir_Factura")</f>
        <v>Abrir_Factura</v>
      </c>
      <c r="AD821" s="9">
        <v>46013.749409722222</v>
      </c>
    </row>
    <row r="822" spans="1:30" ht="12.5">
      <c r="A822" s="4">
        <v>46013.749577870374</v>
      </c>
      <c r="B822" s="5">
        <v>90559</v>
      </c>
      <c r="C822" s="5">
        <v>39087175</v>
      </c>
      <c r="D822" s="5" t="s">
        <v>4014</v>
      </c>
      <c r="F822" s="5" t="s">
        <v>4015</v>
      </c>
      <c r="H822" s="5">
        <v>573205310463</v>
      </c>
      <c r="J822" s="5" t="s">
        <v>4016</v>
      </c>
      <c r="K822" s="5" t="s">
        <v>124</v>
      </c>
      <c r="L822" s="5" t="s">
        <v>4017</v>
      </c>
      <c r="M822" s="5">
        <v>3205310463</v>
      </c>
      <c r="N822" s="6">
        <v>46017</v>
      </c>
      <c r="O822" s="7">
        <v>0.33333333333333331</v>
      </c>
      <c r="P822" s="5">
        <v>1</v>
      </c>
      <c r="Q822" s="5" t="s">
        <v>1792</v>
      </c>
      <c r="R822" s="5">
        <v>130000</v>
      </c>
      <c r="S822" s="5">
        <v>0</v>
      </c>
      <c r="T822" s="5">
        <v>12000</v>
      </c>
      <c r="U822" s="5">
        <v>142000</v>
      </c>
      <c r="V822" s="5" t="s">
        <v>4018</v>
      </c>
      <c r="W822" s="5" t="s">
        <v>36</v>
      </c>
      <c r="X822" s="5" t="s">
        <v>83</v>
      </c>
      <c r="AA822" s="5" t="s">
        <v>69</v>
      </c>
      <c r="AC822" s="8" t="str">
        <f>HYPERLINK("https://drive.google.com/file/d/1oxbprIeuSTIcqXQu-tcFU07WRGD0PbiY/view?usp=drivesdk","Abrir_Factura")</f>
        <v>Abrir_Factura</v>
      </c>
      <c r="AD822" s="9">
        <v>46013.750636574077</v>
      </c>
    </row>
    <row r="823" spans="1:30" ht="12.5">
      <c r="A823" s="4">
        <v>46013.72393680556</v>
      </c>
      <c r="B823" s="5">
        <v>90560</v>
      </c>
      <c r="C823" s="5">
        <v>1140867913</v>
      </c>
      <c r="D823" s="5" t="s">
        <v>2037</v>
      </c>
      <c r="F823" s="5" t="s">
        <v>1726</v>
      </c>
      <c r="H823" s="5">
        <v>573215929527</v>
      </c>
      <c r="J823" s="5" t="s">
        <v>4019</v>
      </c>
      <c r="K823" s="5" t="s">
        <v>103</v>
      </c>
      <c r="L823" s="5" t="s">
        <v>4020</v>
      </c>
      <c r="M823" s="5">
        <v>3215929527</v>
      </c>
      <c r="N823" s="6">
        <v>46014</v>
      </c>
      <c r="O823" s="7">
        <v>0.41666666666666669</v>
      </c>
      <c r="P823" s="5">
        <v>1</v>
      </c>
      <c r="Q823" s="5" t="s">
        <v>4021</v>
      </c>
      <c r="R823" s="5">
        <v>220000</v>
      </c>
      <c r="S823" s="5">
        <v>0</v>
      </c>
      <c r="T823" s="5">
        <v>10000</v>
      </c>
      <c r="U823" s="5">
        <v>230000</v>
      </c>
      <c r="V823" s="5" t="s">
        <v>4022</v>
      </c>
      <c r="W823" s="5" t="s">
        <v>36</v>
      </c>
      <c r="X823" s="5" t="s">
        <v>83</v>
      </c>
      <c r="AA823" s="5" t="s">
        <v>69</v>
      </c>
      <c r="AB823" s="5" t="s">
        <v>4023</v>
      </c>
      <c r="AC823" s="8" t="str">
        <f>HYPERLINK("https://drive.google.com/file/d/1YR15drup3EHWESRdryv2j3jPMAJK2IjQ/view?usp=drivesdk", "Abrir_Factura")</f>
        <v>Abrir_Factura</v>
      </c>
      <c r="AD823" s="9">
        <v>46014.304861111108</v>
      </c>
    </row>
    <row r="824" spans="1:30" ht="12.5">
      <c r="A824" s="4">
        <v>46013.774217812505</v>
      </c>
      <c r="B824" s="5">
        <v>90561</v>
      </c>
      <c r="C824" s="5">
        <v>45507418</v>
      </c>
      <c r="D824" s="5" t="s">
        <v>2605</v>
      </c>
      <c r="F824" s="5" t="s">
        <v>2606</v>
      </c>
      <c r="H824" s="5">
        <v>573019085103</v>
      </c>
      <c r="J824" s="5" t="s">
        <v>2607</v>
      </c>
      <c r="K824" s="5" t="s">
        <v>307</v>
      </c>
      <c r="L824" s="5" t="s">
        <v>4024</v>
      </c>
      <c r="N824" s="6">
        <v>46014</v>
      </c>
      <c r="O824" s="7">
        <v>0.375</v>
      </c>
      <c r="P824" s="5">
        <v>1</v>
      </c>
      <c r="Q824" s="5" t="s">
        <v>96</v>
      </c>
      <c r="R824" s="5">
        <v>220000</v>
      </c>
      <c r="S824" s="5">
        <v>0</v>
      </c>
      <c r="T824" s="5">
        <v>10000</v>
      </c>
      <c r="U824" s="5">
        <v>230000</v>
      </c>
      <c r="V824" s="5" t="s">
        <v>4025</v>
      </c>
      <c r="W824" s="5" t="s">
        <v>36</v>
      </c>
      <c r="X824" s="5" t="s">
        <v>83</v>
      </c>
      <c r="AA824" s="5" t="s">
        <v>44</v>
      </c>
      <c r="AB824" s="5"/>
      <c r="AC824" s="8" t="str">
        <f>HYPERLINK("https://drive.google.com/file/d/1CRwCe7sFAG1hWGwT6Rtfy8d4E6Rpec18/view?usp=drivesdk", "Abrir_Factura")</f>
        <v>Abrir_Factura</v>
      </c>
      <c r="AD824" s="9">
        <v>46014.320081018515</v>
      </c>
    </row>
    <row r="825" spans="1:30" ht="12.5">
      <c r="A825" s="4">
        <v>46014.337381597223</v>
      </c>
      <c r="B825" s="5">
        <v>90562</v>
      </c>
      <c r="C825" s="5">
        <v>77194999</v>
      </c>
      <c r="D825" s="5" t="s">
        <v>4026</v>
      </c>
      <c r="F825" s="5" t="s">
        <v>4027</v>
      </c>
      <c r="H825" s="5">
        <v>573205422250</v>
      </c>
      <c r="J825" s="5" t="s">
        <v>4028</v>
      </c>
      <c r="K825" s="5" t="s">
        <v>154</v>
      </c>
      <c r="L825" s="5" t="s">
        <v>4029</v>
      </c>
      <c r="N825" s="6">
        <v>46014</v>
      </c>
      <c r="O825" s="7">
        <v>0.41666666666666669</v>
      </c>
      <c r="P825" s="5">
        <v>1</v>
      </c>
      <c r="Q825" s="5" t="s">
        <v>2556</v>
      </c>
      <c r="R825" s="5">
        <v>400000</v>
      </c>
      <c r="S825" s="5">
        <v>0</v>
      </c>
      <c r="T825" s="5">
        <v>8000</v>
      </c>
      <c r="U825" s="5">
        <v>408000</v>
      </c>
      <c r="V825" s="5" t="s">
        <v>4030</v>
      </c>
      <c r="W825" s="5" t="s">
        <v>36</v>
      </c>
      <c r="X825" s="5" t="s">
        <v>83</v>
      </c>
      <c r="AA825" s="5" t="s">
        <v>69</v>
      </c>
      <c r="AB825" s="5" t="s">
        <v>4031</v>
      </c>
      <c r="AC825" s="8" t="str">
        <f>HYPERLINK("https://drive.google.com/file/d/1Z2Sz3r8yN-GDqVmuzsECPDtwl5M1T0DD/view?usp=drivesdk", "Abrir_Factura")</f>
        <v>Abrir_Factura</v>
      </c>
      <c r="AD825" s="9">
        <v>46014.341782407406</v>
      </c>
    </row>
    <row r="826" spans="1:30" ht="12.5">
      <c r="A826" s="4">
        <v>46014.337539456013</v>
      </c>
      <c r="B826" s="5">
        <v>90563</v>
      </c>
      <c r="C826" s="5">
        <v>74189254</v>
      </c>
      <c r="D826" s="5" t="s">
        <v>4032</v>
      </c>
      <c r="F826" s="5" t="s">
        <v>4033</v>
      </c>
      <c r="H826" s="5">
        <v>573107566363</v>
      </c>
      <c r="J826" s="5" t="s">
        <v>4034</v>
      </c>
      <c r="K826" s="5" t="s">
        <v>1647</v>
      </c>
      <c r="L826" s="5" t="s">
        <v>4035</v>
      </c>
      <c r="M826" s="5">
        <v>3105535913</v>
      </c>
      <c r="N826" s="6">
        <v>46017</v>
      </c>
      <c r="O826" s="7">
        <v>0.375</v>
      </c>
      <c r="P826" s="5">
        <v>1</v>
      </c>
      <c r="Q826" s="5" t="s">
        <v>239</v>
      </c>
      <c r="R826" s="5">
        <v>380000</v>
      </c>
      <c r="S826" s="5">
        <v>0</v>
      </c>
      <c r="T826" s="5">
        <v>18000</v>
      </c>
      <c r="U826" s="5">
        <v>398000</v>
      </c>
      <c r="V826" s="5" t="s">
        <v>4036</v>
      </c>
      <c r="W826" s="5" t="s">
        <v>36</v>
      </c>
      <c r="X826" s="5" t="s">
        <v>180</v>
      </c>
      <c r="AA826" s="5" t="s">
        <v>69</v>
      </c>
      <c r="AB826" s="5" t="s">
        <v>4037</v>
      </c>
      <c r="AC826" s="8" t="str">
        <f>HYPERLINK("https://drive.google.com/file/d/19VYynZ4yNgYX9ac4qAULEq5E-ZqCgf72/view?usp=drivesdk", "Abrir_Factura")</f>
        <v>Abrir_Factura</v>
      </c>
      <c r="AD826" s="9">
        <v>46014.359259259261</v>
      </c>
    </row>
    <row r="827" spans="1:30" ht="12.5">
      <c r="A827" s="4">
        <v>46014.360745798607</v>
      </c>
      <c r="B827" s="5">
        <v>90564</v>
      </c>
      <c r="C827" s="5">
        <v>72272487</v>
      </c>
      <c r="D827" s="5" t="s">
        <v>4038</v>
      </c>
      <c r="F827" s="5" t="s">
        <v>1859</v>
      </c>
      <c r="H827" s="5">
        <v>573172812799</v>
      </c>
      <c r="J827" s="5" t="s">
        <v>4039</v>
      </c>
      <c r="K827" s="5" t="s">
        <v>1057</v>
      </c>
      <c r="L827" s="5" t="s">
        <v>4040</v>
      </c>
      <c r="M827" s="5">
        <v>3171141883</v>
      </c>
      <c r="N827" s="6">
        <v>46014</v>
      </c>
      <c r="O827" s="7">
        <v>0.41666666666666669</v>
      </c>
      <c r="P827" s="5">
        <v>1</v>
      </c>
      <c r="Q827" s="5" t="s">
        <v>3111</v>
      </c>
      <c r="R827" s="5">
        <v>190000</v>
      </c>
      <c r="S827" s="5">
        <v>0</v>
      </c>
      <c r="T827" s="5">
        <v>14000</v>
      </c>
      <c r="U827" s="5">
        <v>204000</v>
      </c>
      <c r="V827" s="5" t="s">
        <v>4041</v>
      </c>
      <c r="W827" s="5" t="s">
        <v>36</v>
      </c>
      <c r="X827" s="5" t="s">
        <v>83</v>
      </c>
      <c r="AA827" s="5" t="s">
        <v>69</v>
      </c>
      <c r="AC827" s="8" t="str">
        <f>HYPERLINK("https://drive.google.com/file/d/1j8DHl8Gy10Yl6SqWdWZKajftjcG1lAzo/view?usp=drivesdk", "Abrir_Factura")</f>
        <v>Abrir_Factura</v>
      </c>
      <c r="AD827" s="9">
        <v>46014.367268518516</v>
      </c>
    </row>
    <row r="828" spans="1:30" ht="12.5">
      <c r="A828" s="4">
        <v>46014.375333344906</v>
      </c>
      <c r="B828" s="5">
        <v>90565</v>
      </c>
      <c r="C828" s="5">
        <v>1516391003</v>
      </c>
      <c r="D828" s="5" t="s">
        <v>4042</v>
      </c>
      <c r="F828" s="5" t="s">
        <v>4043</v>
      </c>
      <c r="H828" s="5">
        <v>5715196391003</v>
      </c>
      <c r="J828" s="5" t="s">
        <v>4044</v>
      </c>
      <c r="K828" s="5" t="s">
        <v>103</v>
      </c>
      <c r="L828" s="5" t="s">
        <v>4045</v>
      </c>
      <c r="N828" s="6">
        <v>46015</v>
      </c>
      <c r="O828" s="7">
        <v>0.41666666666666669</v>
      </c>
      <c r="P828" s="5">
        <v>1</v>
      </c>
      <c r="Q828" s="5" t="s">
        <v>133</v>
      </c>
      <c r="R828" s="5">
        <v>140000</v>
      </c>
      <c r="S828" s="5">
        <v>0</v>
      </c>
      <c r="T828" s="5">
        <v>10000</v>
      </c>
      <c r="U828" s="5">
        <v>150000</v>
      </c>
      <c r="V828" s="5" t="s">
        <v>4046</v>
      </c>
      <c r="W828" s="5" t="s">
        <v>36</v>
      </c>
      <c r="X828" s="5" t="s">
        <v>1937</v>
      </c>
      <c r="AA828" s="5" t="s">
        <v>69</v>
      </c>
      <c r="AC828" s="8" t="str">
        <f>HYPERLINK("https://drive.google.com/file/d/1bK0AvBC3THZS2Stq6DcnAafF4e1hniqJ/view?usp=drivesdk", "Abrir_Factura")</f>
        <v>Abrir_Factura</v>
      </c>
      <c r="AD828" s="9">
        <v>46014.377314814818</v>
      </c>
    </row>
    <row r="829" spans="1:30" ht="12.5">
      <c r="A829" s="4">
        <v>46014.389077928237</v>
      </c>
      <c r="B829" s="5">
        <v>90566</v>
      </c>
      <c r="C829" s="5">
        <v>72137555</v>
      </c>
      <c r="D829" s="5" t="s">
        <v>226</v>
      </c>
      <c r="F829" s="5" t="s">
        <v>3053</v>
      </c>
      <c r="H829" s="5">
        <v>573157740283</v>
      </c>
      <c r="J829" s="5" t="s">
        <v>3054</v>
      </c>
      <c r="K829" s="5" t="s">
        <v>33</v>
      </c>
      <c r="L829" s="5" t="s">
        <v>34</v>
      </c>
      <c r="M829" s="5">
        <v>3157740283</v>
      </c>
      <c r="N829" s="6">
        <v>46014</v>
      </c>
      <c r="O829" s="7">
        <v>0</v>
      </c>
      <c r="P829" s="5">
        <v>1</v>
      </c>
      <c r="Q829" s="5" t="s">
        <v>42</v>
      </c>
      <c r="R829" s="5">
        <v>100000</v>
      </c>
      <c r="S829" s="5">
        <v>0</v>
      </c>
      <c r="T829" s="5">
        <v>0</v>
      </c>
      <c r="U829" s="5">
        <v>100000</v>
      </c>
      <c r="W829" s="5" t="s">
        <v>36</v>
      </c>
      <c r="X829" s="5" t="s">
        <v>2636</v>
      </c>
      <c r="AA829" s="5" t="s">
        <v>1717</v>
      </c>
      <c r="AB829" s="5" t="s">
        <v>4047</v>
      </c>
      <c r="AC829" s="8" t="str">
        <f>HYPERLINK("https://drive.google.com/file/d/1ZLp0m1jS7m-V_9Rwh3qdoxMJWIZCfEMz/view?usp=drivesdk", "Abrir_Factura")</f>
        <v>Abrir_Factura</v>
      </c>
      <c r="AD829" s="9">
        <v>46014.389606481483</v>
      </c>
    </row>
    <row r="830" spans="1:30" ht="12.5">
      <c r="A830" s="4">
        <v>46014.363732210652</v>
      </c>
      <c r="B830" s="5">
        <v>90567</v>
      </c>
      <c r="C830" s="5">
        <v>32718063</v>
      </c>
      <c r="D830" s="5" t="s">
        <v>4048</v>
      </c>
      <c r="F830" s="5" t="s">
        <v>4049</v>
      </c>
      <c r="H830" s="5">
        <v>573016665783</v>
      </c>
      <c r="J830" s="5" t="s">
        <v>4050</v>
      </c>
      <c r="K830" s="5" t="s">
        <v>563</v>
      </c>
      <c r="L830" s="5" t="s">
        <v>4051</v>
      </c>
      <c r="M830" s="5">
        <v>3016665783</v>
      </c>
      <c r="N830" s="6">
        <v>46014</v>
      </c>
      <c r="O830" s="7">
        <v>0.41666666666666669</v>
      </c>
      <c r="P830" s="5">
        <v>1</v>
      </c>
      <c r="Q830" s="5" t="s">
        <v>42</v>
      </c>
      <c r="R830" s="5">
        <v>120000</v>
      </c>
      <c r="S830" s="5">
        <v>0</v>
      </c>
      <c r="T830" s="5">
        <v>12000</v>
      </c>
      <c r="U830" s="5">
        <v>132000</v>
      </c>
      <c r="W830" s="5" t="s">
        <v>36</v>
      </c>
      <c r="X830" s="5" t="s">
        <v>83</v>
      </c>
      <c r="AA830" s="5" t="s">
        <v>69</v>
      </c>
      <c r="AB830" s="5" t="s">
        <v>4052</v>
      </c>
      <c r="AC830" s="8" t="str">
        <f>HYPERLINK("https://drive.google.com/file/d/1kQakcpdRjXZY647Q_QHVal8FDWAS_IHW/view?usp=drivesdk","Abrir_Factura")</f>
        <v>Abrir_Factura</v>
      </c>
      <c r="AD830" s="9">
        <v>46014.394421296296</v>
      </c>
    </row>
    <row r="831" spans="1:30" ht="12.5">
      <c r="A831" s="4">
        <v>46014.390975972223</v>
      </c>
      <c r="B831" s="5">
        <v>90568</v>
      </c>
      <c r="C831" s="5">
        <v>1042245429</v>
      </c>
      <c r="D831" s="5" t="s">
        <v>4053</v>
      </c>
      <c r="F831" s="5" t="s">
        <v>4054</v>
      </c>
      <c r="H831" s="5">
        <v>573002789561</v>
      </c>
      <c r="J831" s="5" t="s">
        <v>4055</v>
      </c>
      <c r="K831" s="5" t="s">
        <v>73</v>
      </c>
      <c r="L831" s="5" t="s">
        <v>4056</v>
      </c>
      <c r="M831" s="5" t="s">
        <v>25421</v>
      </c>
      <c r="N831" s="6">
        <v>46014</v>
      </c>
      <c r="O831" s="7">
        <v>0.45833333333333331</v>
      </c>
      <c r="P831" s="5">
        <v>1</v>
      </c>
      <c r="Q831" s="5" t="s">
        <v>309</v>
      </c>
      <c r="R831" s="5">
        <v>80000</v>
      </c>
      <c r="S831" s="5">
        <v>0</v>
      </c>
      <c r="T831" s="5">
        <v>8000</v>
      </c>
      <c r="U831" s="5">
        <v>88000</v>
      </c>
      <c r="V831" s="5" t="s">
        <v>4057</v>
      </c>
      <c r="W831" s="5" t="s">
        <v>36</v>
      </c>
      <c r="X831" s="5" t="s">
        <v>83</v>
      </c>
      <c r="AA831" s="5" t="s">
        <v>44</v>
      </c>
      <c r="AC831" s="8" t="str">
        <f>HYPERLINK("https://drive.google.com/file/d/1DqU89cPwuhKwSPWwXC3l5mozZwiD-Loy/view?usp=drivesdk", "Abrir_Factura")</f>
        <v>Abrir_Factura</v>
      </c>
      <c r="AD831" s="9">
        <v>46014.399409722224</v>
      </c>
    </row>
    <row r="832" spans="1:30" ht="12.5">
      <c r="A832" s="4">
        <v>46014.407708773149</v>
      </c>
      <c r="B832" s="5">
        <v>90569</v>
      </c>
      <c r="C832" s="5">
        <v>79118117</v>
      </c>
      <c r="D832" s="5" t="s">
        <v>4058</v>
      </c>
      <c r="F832" s="5" t="s">
        <v>4059</v>
      </c>
      <c r="H832" s="5">
        <v>573157182330</v>
      </c>
      <c r="J832" s="5" t="s">
        <v>4060</v>
      </c>
      <c r="K832" s="5" t="s">
        <v>154</v>
      </c>
      <c r="L832" s="5" t="s">
        <v>4061</v>
      </c>
      <c r="M832" s="5" t="s">
        <v>25421</v>
      </c>
      <c r="N832" s="6">
        <v>46015</v>
      </c>
      <c r="O832" s="7">
        <v>0.375</v>
      </c>
      <c r="P832" s="5">
        <v>1</v>
      </c>
      <c r="Q832" s="5" t="s">
        <v>4062</v>
      </c>
      <c r="R832" s="5">
        <v>380000</v>
      </c>
      <c r="S832" s="5">
        <v>0</v>
      </c>
      <c r="T832" s="5">
        <v>8000</v>
      </c>
      <c r="U832" s="5">
        <v>388000</v>
      </c>
      <c r="V832" s="5" t="s">
        <v>4063</v>
      </c>
      <c r="W832" s="5" t="s">
        <v>36</v>
      </c>
      <c r="X832" s="5" t="s">
        <v>67</v>
      </c>
      <c r="AA832" s="5" t="s">
        <v>69</v>
      </c>
      <c r="AC832" s="8" t="str">
        <f>HYPERLINK("https://drive.google.com/file/d/1Bpq9K1L4n5Qy5DNXgCXpUb_on17XAnmu/view?usp=drivesdk", "Abrir_Factura")</f>
        <v>Abrir_Factura</v>
      </c>
      <c r="AD832" s="9">
        <v>46014.40892361111</v>
      </c>
    </row>
    <row r="833" spans="1:30" ht="12.5">
      <c r="A833" s="4">
        <v>46014.384456041662</v>
      </c>
      <c r="B833" s="5">
        <v>90570</v>
      </c>
      <c r="C833" s="5">
        <v>26813653</v>
      </c>
      <c r="D833" s="5" t="s">
        <v>4064</v>
      </c>
      <c r="F833" s="5" t="s">
        <v>4065</v>
      </c>
      <c r="H833" s="5">
        <v>573022601836</v>
      </c>
      <c r="J833" s="5" t="s">
        <v>4066</v>
      </c>
      <c r="K833" s="5" t="s">
        <v>879</v>
      </c>
      <c r="L833" s="5" t="s">
        <v>4067</v>
      </c>
      <c r="M833" s="5">
        <v>3022601836</v>
      </c>
      <c r="N833" s="6">
        <v>46015</v>
      </c>
      <c r="O833" s="7">
        <v>0.375</v>
      </c>
      <c r="P833" s="5">
        <v>1</v>
      </c>
      <c r="Q833" s="5" t="s">
        <v>4068</v>
      </c>
      <c r="R833" s="5">
        <v>310000</v>
      </c>
      <c r="S833" s="5">
        <v>0</v>
      </c>
      <c r="T833" s="5">
        <v>20000</v>
      </c>
      <c r="U833" s="5">
        <v>330000</v>
      </c>
      <c r="W833" s="5" t="s">
        <v>36</v>
      </c>
      <c r="X833" s="5" t="s">
        <v>83</v>
      </c>
      <c r="AA833" s="5" t="s">
        <v>44</v>
      </c>
      <c r="AB833" s="5" t="s">
        <v>4069</v>
      </c>
      <c r="AC833" s="8" t="str">
        <f>HYPERLINK("https://drive.google.com/file/d/19FR4D-CEKtyTTXCrQIY5fKA0yGMno_rr/view?usp=drivesdk", "Abrir_Factura")</f>
        <v>Abrir_Factura</v>
      </c>
      <c r="AD833" s="9">
        <v>46014.417037037034</v>
      </c>
    </row>
    <row r="834" spans="1:30" ht="12.5">
      <c r="A834" s="4">
        <v>46014.37929167824</v>
      </c>
      <c r="B834" s="5">
        <v>90571</v>
      </c>
      <c r="C834" s="5">
        <v>1010224863</v>
      </c>
      <c r="D834" s="5" t="s">
        <v>711</v>
      </c>
      <c r="F834" s="5" t="s">
        <v>4070</v>
      </c>
      <c r="H834" s="5">
        <v>573192835538</v>
      </c>
      <c r="J834" s="5" t="s">
        <v>4071</v>
      </c>
      <c r="K834" s="5" t="s">
        <v>1047</v>
      </c>
      <c r="L834" s="5" t="s">
        <v>4072</v>
      </c>
      <c r="M834" s="5">
        <v>3192835538</v>
      </c>
      <c r="N834" s="6">
        <v>46015</v>
      </c>
      <c r="O834" s="7">
        <v>0.375</v>
      </c>
      <c r="P834" s="5">
        <v>1</v>
      </c>
      <c r="Q834" s="5" t="s">
        <v>65</v>
      </c>
      <c r="R834" s="5">
        <v>70000</v>
      </c>
      <c r="S834" s="5">
        <v>0</v>
      </c>
      <c r="T834" s="5">
        <v>15000</v>
      </c>
      <c r="U834" s="5">
        <v>85000</v>
      </c>
      <c r="V834" s="5" t="s">
        <v>4073</v>
      </c>
      <c r="W834" s="5" t="s">
        <v>36</v>
      </c>
      <c r="X834" s="5" t="s">
        <v>1937</v>
      </c>
      <c r="AA834" s="5" t="s">
        <v>44</v>
      </c>
      <c r="AC834" s="8" t="str">
        <f>HYPERLINK("https://drive.google.com/file/d/1HvGAqdiTMXk9vMy1RCrFDGJy6h75B3sP/view?usp=drivesdk", "Abrir_Factura")</f>
        <v>Abrir_Factura</v>
      </c>
      <c r="AD834" s="9">
        <v>46014.683113425926</v>
      </c>
    </row>
    <row r="835" spans="1:30" ht="12.5">
      <c r="A835" s="4">
        <v>46014.41940831019</v>
      </c>
      <c r="B835" s="5">
        <v>90572</v>
      </c>
      <c r="C835" s="5">
        <v>1042242724</v>
      </c>
      <c r="D835" s="5" t="s">
        <v>4074</v>
      </c>
      <c r="F835" s="5" t="s">
        <v>4075</v>
      </c>
      <c r="H835" s="5">
        <v>573023021643</v>
      </c>
      <c r="J835" s="5" t="s">
        <v>4076</v>
      </c>
      <c r="K835" s="5" t="s">
        <v>351</v>
      </c>
      <c r="L835" s="5" t="s">
        <v>4077</v>
      </c>
      <c r="M835" s="5">
        <v>3246856148</v>
      </c>
      <c r="N835" s="6">
        <v>46015</v>
      </c>
      <c r="O835" s="7">
        <v>0.35</v>
      </c>
      <c r="P835" s="5">
        <v>1</v>
      </c>
      <c r="Q835" s="5" t="s">
        <v>42</v>
      </c>
      <c r="R835" s="5">
        <v>250000</v>
      </c>
      <c r="S835" s="5">
        <v>0</v>
      </c>
      <c r="T835" s="5">
        <v>12000</v>
      </c>
      <c r="U835" s="5">
        <v>262000</v>
      </c>
      <c r="V835" s="5" t="s">
        <v>4078</v>
      </c>
      <c r="W835" s="5" t="s">
        <v>36</v>
      </c>
      <c r="X835" s="5" t="s">
        <v>83</v>
      </c>
      <c r="AA835" s="5" t="s">
        <v>69</v>
      </c>
      <c r="AB835" s="5" t="s">
        <v>4079</v>
      </c>
      <c r="AC835" s="8" t="str">
        <f>HYPERLINK("https://drive.google.com/file/d/1x4Bmq0h6Xa6fEkK84EJ7MT_wKtrRi16u/view?usp=drivesdk", "Abrir_Factura")</f>
        <v>Abrir_Factura</v>
      </c>
      <c r="AD835" s="9">
        <v>46014.427916666667</v>
      </c>
    </row>
    <row r="836" spans="1:30" ht="12.5">
      <c r="A836" s="4">
        <v>46014.42751577546</v>
      </c>
      <c r="B836" s="5">
        <v>90573</v>
      </c>
      <c r="C836" s="5">
        <v>8901117938</v>
      </c>
      <c r="D836" s="5" t="s">
        <v>4080</v>
      </c>
      <c r="F836" s="5" t="s">
        <v>4081</v>
      </c>
      <c r="H836" s="5">
        <v>573185161408</v>
      </c>
      <c r="J836" s="5" t="s">
        <v>4082</v>
      </c>
      <c r="L836" s="5" t="s">
        <v>4083</v>
      </c>
      <c r="M836" s="5" t="s">
        <v>4084</v>
      </c>
      <c r="N836" s="6">
        <v>46015</v>
      </c>
      <c r="O836" s="7">
        <v>0</v>
      </c>
      <c r="P836" s="5">
        <v>1</v>
      </c>
      <c r="Q836" s="5" t="s">
        <v>42</v>
      </c>
      <c r="R836" s="5">
        <v>250000</v>
      </c>
      <c r="S836" s="5">
        <v>0</v>
      </c>
      <c r="T836" s="5"/>
      <c r="U836" s="5">
        <v>250000</v>
      </c>
      <c r="W836" s="5" t="s">
        <v>36</v>
      </c>
      <c r="X836" s="5" t="s">
        <v>43</v>
      </c>
      <c r="AA836" s="5" t="s">
        <v>44</v>
      </c>
      <c r="AB836" s="5" t="s">
        <v>4085</v>
      </c>
      <c r="AC836" s="8" t="str">
        <f>HYPERLINK("https://drive.google.com/file/d/1FA3diuN3AzThH1JQmLZ5aYXOnvZXTalg/view?usp=drivesdk", "Abrir_Factura")</f>
        <v>Abrir_Factura</v>
      </c>
      <c r="AD836" s="9">
        <v>46014.429212962961</v>
      </c>
    </row>
    <row r="837" spans="1:30" ht="12.5">
      <c r="A837" s="4">
        <v>46014.050878159724</v>
      </c>
      <c r="B837" s="5">
        <v>90574</v>
      </c>
      <c r="C837" s="5">
        <v>1042850730</v>
      </c>
      <c r="D837" s="5" t="s">
        <v>4086</v>
      </c>
      <c r="F837" s="5" t="s">
        <v>4087</v>
      </c>
      <c r="H837" s="5" t="s">
        <v>4088</v>
      </c>
      <c r="J837" s="5" t="s">
        <v>4089</v>
      </c>
      <c r="K837" s="5" t="s">
        <v>229</v>
      </c>
      <c r="L837" s="5" t="s">
        <v>4090</v>
      </c>
      <c r="M837" s="5">
        <v>3226073254</v>
      </c>
      <c r="N837" s="6">
        <v>46014</v>
      </c>
      <c r="O837" s="7">
        <v>0.45833333333333331</v>
      </c>
      <c r="P837" s="5">
        <v>1</v>
      </c>
      <c r="Q837" s="5" t="s">
        <v>422</v>
      </c>
      <c r="R837" s="5">
        <v>130000</v>
      </c>
      <c r="S837" s="5">
        <v>0</v>
      </c>
      <c r="T837" s="5">
        <v>11000</v>
      </c>
      <c r="U837" s="5">
        <v>141000</v>
      </c>
      <c r="V837" s="5" t="s">
        <v>4091</v>
      </c>
      <c r="W837" s="5" t="s">
        <v>36</v>
      </c>
      <c r="X837" s="5" t="s">
        <v>83</v>
      </c>
      <c r="AA837" s="5" t="s">
        <v>44</v>
      </c>
      <c r="AC837" s="8" t="str">
        <f>HYPERLINK("https://drive.google.com/file/d/1SVtFSWXrvEbXmROpZfgW31l6_E-mtYah/view?usp=drivesdk", "Abrir_Factura")</f>
        <v>Abrir_Factura</v>
      </c>
      <c r="AD837" s="9">
        <v>46014.444016203706</v>
      </c>
    </row>
    <row r="838" spans="1:30" ht="12.5">
      <c r="A838" s="4">
        <v>46014.453931377313</v>
      </c>
      <c r="B838" s="5">
        <v>90575</v>
      </c>
      <c r="C838" s="5">
        <v>1048224697</v>
      </c>
      <c r="D838" s="5" t="s">
        <v>4092</v>
      </c>
      <c r="F838" s="5" t="s">
        <v>4093</v>
      </c>
      <c r="H838" s="5">
        <v>573232219374</v>
      </c>
      <c r="J838" s="5" t="s">
        <v>4094</v>
      </c>
      <c r="K838" s="5" t="s">
        <v>185</v>
      </c>
      <c r="L838" s="5" t="s">
        <v>4095</v>
      </c>
      <c r="M838" s="5">
        <v>3146576008</v>
      </c>
      <c r="N838" s="6">
        <v>46014</v>
      </c>
      <c r="O838" s="7">
        <v>0.54166666666666663</v>
      </c>
      <c r="P838" s="5">
        <v>1</v>
      </c>
      <c r="Q838" s="5" t="s">
        <v>330</v>
      </c>
      <c r="R838" s="5">
        <v>180000</v>
      </c>
      <c r="S838" s="5">
        <v>0</v>
      </c>
      <c r="T838" s="5">
        <v>8000</v>
      </c>
      <c r="U838" s="5">
        <v>188000</v>
      </c>
      <c r="V838" s="5" t="s">
        <v>4096</v>
      </c>
      <c r="W838" s="5" t="s">
        <v>36</v>
      </c>
      <c r="X838" s="5" t="s">
        <v>83</v>
      </c>
      <c r="AA838" s="5" t="s">
        <v>69</v>
      </c>
      <c r="AB838" s="5" t="s">
        <v>4097</v>
      </c>
      <c r="AC838" s="8" t="str">
        <f>HYPERLINK("https://drive.google.com/file/d/1bQb_CGokrM6AWLh3Ixj8OCxpa0TJ_b6J/view?usp=drivesdk", "Abrir_Factura")</f>
        <v>Abrir_Factura</v>
      </c>
      <c r="AD838" s="9">
        <v>46014.492291666669</v>
      </c>
    </row>
    <row r="839" spans="1:30" ht="12.5">
      <c r="A839" s="4">
        <v>46014.45042173611</v>
      </c>
      <c r="B839" s="5">
        <v>90576</v>
      </c>
      <c r="C839" s="5">
        <v>1140895375</v>
      </c>
      <c r="D839" s="5" t="s">
        <v>158</v>
      </c>
      <c r="F839" s="5" t="s">
        <v>1683</v>
      </c>
      <c r="H839" s="5" t="s">
        <v>4098</v>
      </c>
      <c r="J839" s="5" t="s">
        <v>4099</v>
      </c>
      <c r="K839" s="5" t="s">
        <v>1504</v>
      </c>
      <c r="L839" s="5" t="s">
        <v>4100</v>
      </c>
      <c r="M839" s="5">
        <v>3005790118</v>
      </c>
      <c r="N839" s="6">
        <v>46015</v>
      </c>
      <c r="O839" s="7">
        <v>0.33333333333333331</v>
      </c>
      <c r="P839" s="5">
        <v>1</v>
      </c>
      <c r="Q839" s="5" t="s">
        <v>613</v>
      </c>
      <c r="R839" s="5">
        <v>550000</v>
      </c>
      <c r="S839" s="5">
        <v>0</v>
      </c>
      <c r="T839" s="5">
        <v>15000</v>
      </c>
      <c r="U839" s="5">
        <v>565000</v>
      </c>
      <c r="V839" s="5" t="s">
        <v>4101</v>
      </c>
      <c r="W839" s="5" t="s">
        <v>36</v>
      </c>
      <c r="X839" s="5" t="s">
        <v>83</v>
      </c>
      <c r="AA839" s="5" t="s">
        <v>44</v>
      </c>
      <c r="AB839" s="5"/>
      <c r="AC839" s="8" t="str">
        <f>HYPERLINK("https://drive.google.com/file/d/1kPzQNuNVEsjGfgpRD-tJdtGMszU5JXFc/view?usp=drivesdk", "Abrir_Factura")</f>
        <v>Abrir_Factura</v>
      </c>
      <c r="AD839" s="9">
        <v>46014.476261574076</v>
      </c>
    </row>
    <row r="840" spans="1:30" ht="12.5">
      <c r="A840" s="4">
        <v>46014.481852800927</v>
      </c>
      <c r="B840" s="5">
        <v>90577</v>
      </c>
      <c r="C840" s="5">
        <v>1045674390</v>
      </c>
      <c r="D840" s="5" t="s">
        <v>30</v>
      </c>
      <c r="F840" s="5" t="s">
        <v>31</v>
      </c>
      <c r="H840" s="5">
        <v>572412082838</v>
      </c>
      <c r="J840" s="5" t="s">
        <v>32</v>
      </c>
      <c r="K840" s="5" t="s">
        <v>33</v>
      </c>
      <c r="L840" s="5" t="s">
        <v>34</v>
      </c>
      <c r="M840" s="5">
        <v>2412082838</v>
      </c>
      <c r="N840" s="6">
        <v>46014</v>
      </c>
      <c r="O840" s="7">
        <v>0.4861111111111111</v>
      </c>
      <c r="P840" s="5">
        <v>1</v>
      </c>
      <c r="Q840" s="5" t="s">
        <v>178</v>
      </c>
      <c r="R840" s="5">
        <v>100000</v>
      </c>
      <c r="S840" s="5">
        <v>0</v>
      </c>
      <c r="T840" s="5">
        <v>0</v>
      </c>
      <c r="U840" s="5">
        <v>100000</v>
      </c>
      <c r="W840" s="5" t="s">
        <v>36</v>
      </c>
      <c r="X840" s="5" t="s">
        <v>43</v>
      </c>
      <c r="AA840" s="5" t="s">
        <v>37</v>
      </c>
      <c r="AC840" s="8" t="str">
        <f>HYPERLINK("https://drive.google.com/file/d/1nKUYxqxHlYU903GPXk8_X_VuMltSoty2/view?usp=drivesdk", "Abrir_Factura")</f>
        <v>Abrir_Factura</v>
      </c>
      <c r="AD840" s="9">
        <v>46014.482557870368</v>
      </c>
    </row>
    <row r="841" spans="1:30" ht="12.5">
      <c r="A841" s="4">
        <v>46014.463384259259</v>
      </c>
      <c r="B841" s="5">
        <v>90578</v>
      </c>
      <c r="C841" s="5">
        <v>1043434295</v>
      </c>
      <c r="D841" s="5" t="s">
        <v>4102</v>
      </c>
      <c r="F841" s="5" t="s">
        <v>4103</v>
      </c>
      <c r="H841" s="5">
        <v>573204928484</v>
      </c>
      <c r="J841" s="5" t="s">
        <v>4102</v>
      </c>
      <c r="K841" s="5" t="s">
        <v>964</v>
      </c>
      <c r="L841" s="5" t="s">
        <v>4104</v>
      </c>
      <c r="M841" s="5">
        <v>3204928484</v>
      </c>
      <c r="N841" s="6">
        <v>46014</v>
      </c>
      <c r="O841" s="7">
        <v>0.56458333333333333</v>
      </c>
      <c r="P841" s="5">
        <v>1</v>
      </c>
      <c r="Q841" s="5" t="s">
        <v>375</v>
      </c>
      <c r="R841" s="5">
        <v>70000</v>
      </c>
      <c r="S841" s="5">
        <v>0</v>
      </c>
      <c r="T841" s="5">
        <v>12000</v>
      </c>
      <c r="U841" s="5">
        <v>82000</v>
      </c>
      <c r="V841" s="5" t="s">
        <v>4105</v>
      </c>
      <c r="W841" s="5" t="s">
        <v>36</v>
      </c>
      <c r="X841" s="5" t="s">
        <v>1937</v>
      </c>
      <c r="AA841" s="5" t="s">
        <v>69</v>
      </c>
      <c r="AB841" s="5" t="s">
        <v>4106</v>
      </c>
      <c r="AC841" s="8" t="str">
        <f>HYPERLINK("https://drive.google.com/file/d/1ZNXtMMg9TGDI4Stkbk3DNvl58bRtcmSz/view?usp=drivesdk", "Abrir_Factura")</f>
        <v>Abrir_Factura</v>
      </c>
      <c r="AD841" s="9">
        <v>46014.487812500003</v>
      </c>
    </row>
    <row r="842" spans="1:30" ht="12.5">
      <c r="A842" s="4">
        <v>46014.449963865743</v>
      </c>
      <c r="B842" s="5">
        <v>90579</v>
      </c>
      <c r="C842" s="5">
        <v>55312303</v>
      </c>
      <c r="D842" s="5" t="s">
        <v>4107</v>
      </c>
      <c r="F842" s="5" t="s">
        <v>4108</v>
      </c>
      <c r="H842" s="5">
        <v>573166423792</v>
      </c>
      <c r="J842" s="5" t="s">
        <v>4109</v>
      </c>
      <c r="L842" s="5" t="s">
        <v>4110</v>
      </c>
      <c r="M842" s="5">
        <v>3166423792</v>
      </c>
      <c r="N842" s="6">
        <v>46014</v>
      </c>
      <c r="O842" s="7">
        <v>0</v>
      </c>
      <c r="P842" s="5">
        <v>1</v>
      </c>
      <c r="Q842" s="5" t="s">
        <v>42</v>
      </c>
      <c r="R842" s="5">
        <v>1500000</v>
      </c>
      <c r="S842" s="5">
        <v>0</v>
      </c>
      <c r="T842" s="5"/>
      <c r="U842" s="5">
        <v>1500000</v>
      </c>
      <c r="W842" s="5" t="s">
        <v>36</v>
      </c>
      <c r="X842" s="5" t="s">
        <v>83</v>
      </c>
      <c r="AA842" s="5" t="s">
        <v>44</v>
      </c>
      <c r="AB842" s="5" t="s">
        <v>4111</v>
      </c>
      <c r="AC842" s="8" t="str">
        <f>HYPERLINK("https://drive.google.com/file/d/1m7b3IAgEtgbLQOGTNY-EKzb2Ekn1UEOn/view?usp=drivesdk","Abrir_Factura")</f>
        <v>Abrir_Factura</v>
      </c>
      <c r="AD842" s="9">
        <v>46014.50408564815</v>
      </c>
    </row>
    <row r="843" spans="1:30" ht="12.5">
      <c r="A843" s="4">
        <v>46014.512013854168</v>
      </c>
      <c r="B843" s="5">
        <v>90580</v>
      </c>
      <c r="C843" s="5">
        <v>9016338942</v>
      </c>
      <c r="D843" s="5" t="s">
        <v>4112</v>
      </c>
      <c r="F843" s="5" t="s">
        <v>4113</v>
      </c>
      <c r="H843" s="5">
        <v>573017085272</v>
      </c>
      <c r="J843" s="5" t="s">
        <v>4114</v>
      </c>
      <c r="K843" s="5" t="s">
        <v>249</v>
      </c>
      <c r="L843" s="5" t="s">
        <v>4115</v>
      </c>
      <c r="M843" s="5">
        <v>3017085272</v>
      </c>
      <c r="N843" s="6">
        <v>46014</v>
      </c>
      <c r="O843" s="7">
        <v>0.625</v>
      </c>
      <c r="P843" s="5">
        <v>1</v>
      </c>
      <c r="Q843" s="5" t="s">
        <v>133</v>
      </c>
      <c r="R843" s="5">
        <v>142000</v>
      </c>
      <c r="S843" s="5">
        <v>26600</v>
      </c>
      <c r="T843" s="5">
        <v>10000</v>
      </c>
      <c r="U843" s="5">
        <v>178600</v>
      </c>
      <c r="V843" s="5" t="s">
        <v>1499</v>
      </c>
      <c r="W843" s="5" t="s">
        <v>36</v>
      </c>
      <c r="X843" s="5" t="s">
        <v>67</v>
      </c>
      <c r="AA843" s="5" t="s">
        <v>69</v>
      </c>
      <c r="AC843" s="8" t="str">
        <f>HYPERLINK("https://drive.google.com/file/d/1c3g9F0NhC6njB65HRU_Ih0k_edCjqHGP/view?usp=drivesdk","Abrir_Factura")</f>
        <v>Abrir_Factura</v>
      </c>
      <c r="AD843" s="9">
        <v>46014.513969907406</v>
      </c>
    </row>
    <row r="844" spans="1:30" ht="12.5">
      <c r="A844" s="4">
        <v>46014.330272858795</v>
      </c>
      <c r="B844" s="5">
        <v>90581</v>
      </c>
      <c r="C844" s="5">
        <v>1001918638</v>
      </c>
      <c r="D844" s="5" t="s">
        <v>4116</v>
      </c>
      <c r="F844" s="5" t="s">
        <v>4117</v>
      </c>
      <c r="H844" s="5">
        <v>573205692515</v>
      </c>
      <c r="J844" s="5" t="s">
        <v>4118</v>
      </c>
      <c r="K844" s="5" t="s">
        <v>1352</v>
      </c>
      <c r="L844" s="5" t="s">
        <v>4119</v>
      </c>
      <c r="M844" s="5" t="s">
        <v>25421</v>
      </c>
      <c r="N844" s="6">
        <v>46015</v>
      </c>
      <c r="O844" s="7">
        <v>0</v>
      </c>
      <c r="P844" s="5">
        <v>1</v>
      </c>
      <c r="Q844" s="5" t="s">
        <v>335</v>
      </c>
      <c r="R844" s="5">
        <v>120000</v>
      </c>
      <c r="S844" s="5">
        <v>0</v>
      </c>
      <c r="T844" s="5">
        <v>10000</v>
      </c>
      <c r="U844" s="5">
        <v>130000</v>
      </c>
      <c r="V844" s="5" t="s">
        <v>4120</v>
      </c>
      <c r="W844" s="5" t="s">
        <v>36</v>
      </c>
      <c r="X844" s="5" t="s">
        <v>204</v>
      </c>
      <c r="AA844" s="5" t="s">
        <v>44</v>
      </c>
      <c r="AC844" s="8" t="str">
        <f>HYPERLINK("https://drive.google.com/file/d/1Ks5FKeHEwsxcAU8HaejOkvfehrAyV9Hw/view?usp=drivesdk","Abrir_Factura")</f>
        <v>Abrir_Factura</v>
      </c>
      <c r="AD844" s="9">
        <v>46014.521296296298</v>
      </c>
    </row>
    <row r="845" spans="1:30" ht="12.5">
      <c r="A845" s="4">
        <v>46014.490640335644</v>
      </c>
      <c r="B845" s="5">
        <v>90582</v>
      </c>
      <c r="C845" s="5">
        <v>1065651554</v>
      </c>
      <c r="D845" s="5" t="s">
        <v>968</v>
      </c>
      <c r="F845" s="5" t="s">
        <v>1664</v>
      </c>
      <c r="H845" s="5">
        <v>13058483979</v>
      </c>
      <c r="J845" s="5" t="s">
        <v>4121</v>
      </c>
      <c r="K845" s="5" t="s">
        <v>307</v>
      </c>
      <c r="L845" s="5" t="s">
        <v>4122</v>
      </c>
      <c r="M845" s="5" t="s">
        <v>25421</v>
      </c>
      <c r="N845" s="6">
        <v>46014</v>
      </c>
      <c r="O845" s="7">
        <v>0.625</v>
      </c>
      <c r="P845" s="5">
        <v>1</v>
      </c>
      <c r="Q845" s="5" t="s">
        <v>42</v>
      </c>
      <c r="R845" s="5">
        <v>360000</v>
      </c>
      <c r="S845" s="5">
        <v>0</v>
      </c>
      <c r="T845" s="5">
        <v>10000</v>
      </c>
      <c r="U845" s="5">
        <v>370000</v>
      </c>
      <c r="V845" s="5" t="s">
        <v>4123</v>
      </c>
      <c r="W845" s="5" t="s">
        <v>36</v>
      </c>
      <c r="X845" s="5" t="s">
        <v>1937</v>
      </c>
      <c r="AA845" s="5" t="s">
        <v>44</v>
      </c>
      <c r="AB845" s="5" t="s">
        <v>4124</v>
      </c>
      <c r="AC845" s="8" t="str">
        <f>HYPERLINK("https://drive.google.com/file/d/1Mc6QrqVsHlv7YIoydhZLb-jyQECrZyAX/view?usp=drivesdk","Abrir_Factura")</f>
        <v>Abrir_Factura</v>
      </c>
      <c r="AD845" s="9">
        <v>46014.527222222219</v>
      </c>
    </row>
    <row r="846" spans="1:30" ht="12.5">
      <c r="A846" s="4">
        <v>46014.549564965273</v>
      </c>
      <c r="B846" s="5">
        <v>90583</v>
      </c>
      <c r="C846" s="5">
        <v>1140883360</v>
      </c>
      <c r="D846" s="5" t="s">
        <v>3341</v>
      </c>
      <c r="F846" s="5" t="s">
        <v>4125</v>
      </c>
      <c r="H846" s="5">
        <v>573135526811</v>
      </c>
      <c r="J846" s="5" t="s">
        <v>4126</v>
      </c>
      <c r="K846" s="5" t="s">
        <v>33</v>
      </c>
      <c r="L846" s="5" t="s">
        <v>34</v>
      </c>
      <c r="M846" s="5">
        <v>3135526811</v>
      </c>
      <c r="N846" s="6">
        <v>46014</v>
      </c>
      <c r="O846" s="7">
        <v>0</v>
      </c>
      <c r="P846" s="5">
        <v>1</v>
      </c>
      <c r="Q846" s="5" t="s">
        <v>1085</v>
      </c>
      <c r="R846" s="5">
        <v>130000</v>
      </c>
      <c r="S846" s="5">
        <v>0</v>
      </c>
      <c r="T846" s="5">
        <v>0</v>
      </c>
      <c r="U846" s="5">
        <v>130000</v>
      </c>
      <c r="W846" s="5" t="s">
        <v>36</v>
      </c>
      <c r="X846" s="5" t="s">
        <v>2636</v>
      </c>
      <c r="AA846" s="5" t="s">
        <v>1717</v>
      </c>
      <c r="AB846" s="5" t="s">
        <v>4127</v>
      </c>
      <c r="AC846" s="8" t="str">
        <f>HYPERLINK("https://drive.google.com/file/d/1k2wyoOhUB4FjgBWxGv6bzAwhKmnfsn-_/view?usp=drivesdk","Abrir_Factura")</f>
        <v>Abrir_Factura</v>
      </c>
      <c r="AD846" s="9">
        <v>46014.550486111111</v>
      </c>
    </row>
    <row r="847" spans="1:30" ht="12.5">
      <c r="A847" s="4">
        <v>46014.552491666662</v>
      </c>
      <c r="B847" s="5">
        <v>90584</v>
      </c>
      <c r="C847" s="5">
        <v>1121335805</v>
      </c>
      <c r="D847" s="5" t="s">
        <v>4128</v>
      </c>
      <c r="F847" s="5" t="s">
        <v>4129</v>
      </c>
      <c r="H847" s="5">
        <v>573162750854</v>
      </c>
      <c r="J847" s="5" t="s">
        <v>4130</v>
      </c>
      <c r="K847" s="5" t="s">
        <v>33</v>
      </c>
      <c r="L847" s="5" t="s">
        <v>34</v>
      </c>
      <c r="M847" s="5">
        <v>3162750854</v>
      </c>
      <c r="N847" s="6">
        <v>46014</v>
      </c>
      <c r="O847" s="7">
        <v>0</v>
      </c>
      <c r="P847" s="5">
        <v>1</v>
      </c>
      <c r="Q847" s="5" t="s">
        <v>309</v>
      </c>
      <c r="R847" s="5">
        <v>80000</v>
      </c>
      <c r="S847" s="5">
        <v>0</v>
      </c>
      <c r="T847" s="5">
        <v>0</v>
      </c>
      <c r="U847" s="5">
        <v>80000</v>
      </c>
      <c r="W847" s="5" t="s">
        <v>36</v>
      </c>
      <c r="X847" s="5" t="s">
        <v>37</v>
      </c>
      <c r="AA847" s="5" t="s">
        <v>37</v>
      </c>
      <c r="AB847" s="5" t="s">
        <v>37</v>
      </c>
      <c r="AC847" s="8" t="str">
        <f>HYPERLINK("https://drive.google.com/file/d/1kbTeSepSvZc1mCUbcckAK_rhvwDIQvaE/view?usp=drivesdk","Abrir_Factura")</f>
        <v>Abrir_Factura</v>
      </c>
      <c r="AD847" s="9">
        <v>46014.552881944444</v>
      </c>
    </row>
    <row r="848" spans="1:30" ht="12.5">
      <c r="A848" s="4">
        <v>46014.554374479165</v>
      </c>
      <c r="B848" s="5">
        <v>90585</v>
      </c>
      <c r="C848" s="5">
        <v>342820</v>
      </c>
      <c r="D848" s="5" t="s">
        <v>4131</v>
      </c>
      <c r="F848" s="5" t="s">
        <v>4132</v>
      </c>
      <c r="H848" s="5" t="s">
        <v>25421</v>
      </c>
      <c r="J848" s="5" t="s">
        <v>4133</v>
      </c>
      <c r="K848" s="5" t="s">
        <v>33</v>
      </c>
      <c r="L848" s="5" t="s">
        <v>34</v>
      </c>
      <c r="M848" s="5" t="s">
        <v>4134</v>
      </c>
      <c r="N848" s="6">
        <v>46014</v>
      </c>
      <c r="O848" s="7">
        <v>0</v>
      </c>
      <c r="P848" s="5">
        <v>1</v>
      </c>
      <c r="Q848" s="5" t="s">
        <v>133</v>
      </c>
      <c r="R848" s="5">
        <v>140000</v>
      </c>
      <c r="S848" s="5">
        <v>0</v>
      </c>
      <c r="T848" s="5">
        <v>0</v>
      </c>
      <c r="U848" s="5">
        <v>140000</v>
      </c>
      <c r="W848" s="5" t="s">
        <v>36</v>
      </c>
      <c r="X848" s="5" t="s">
        <v>43</v>
      </c>
      <c r="AA848" s="5" t="s">
        <v>37</v>
      </c>
      <c r="AB848" s="5" t="s">
        <v>225</v>
      </c>
      <c r="AC848" s="8" t="str">
        <f>HYPERLINK("https://drive.google.com/file/d/1y9WCXVQ7CkDbjT-BHRbT-Br7199st6Bw/view?usp=drivesdk","Abrir_Factura")</f>
        <v>Abrir_Factura</v>
      </c>
      <c r="AD848" s="9">
        <v>46014.554907407408</v>
      </c>
    </row>
    <row r="849" spans="1:30" ht="12.5">
      <c r="A849" s="4">
        <v>46014.537047361111</v>
      </c>
      <c r="B849" s="5">
        <v>90586</v>
      </c>
      <c r="C849" s="5">
        <v>1140848171</v>
      </c>
      <c r="D849" s="5" t="s">
        <v>3603</v>
      </c>
      <c r="F849" s="5" t="s">
        <v>3604</v>
      </c>
      <c r="H849" s="5">
        <v>573004378731</v>
      </c>
      <c r="J849" s="5" t="s">
        <v>3605</v>
      </c>
      <c r="K849" s="5" t="s">
        <v>1595</v>
      </c>
      <c r="L849" s="5" t="s">
        <v>4135</v>
      </c>
      <c r="M849" s="5">
        <v>3004378731</v>
      </c>
      <c r="N849" s="6">
        <v>46014</v>
      </c>
      <c r="O849" s="7">
        <v>0.66666666666666663</v>
      </c>
      <c r="P849" s="5">
        <v>1</v>
      </c>
      <c r="Q849" s="5" t="s">
        <v>734</v>
      </c>
      <c r="R849" s="5">
        <v>90000</v>
      </c>
      <c r="S849" s="5">
        <v>0</v>
      </c>
      <c r="T849" s="5">
        <v>20000</v>
      </c>
      <c r="U849" s="5">
        <v>110000</v>
      </c>
      <c r="V849" s="5" t="s">
        <v>4136</v>
      </c>
      <c r="W849" s="5" t="s">
        <v>36</v>
      </c>
      <c r="X849" s="5" t="s">
        <v>83</v>
      </c>
      <c r="AA849" s="5" t="s">
        <v>44</v>
      </c>
      <c r="AB849" s="5" t="s">
        <v>4137</v>
      </c>
      <c r="AC849" s="8" t="str">
        <f>HYPERLINK("https://drive.google.com/file/d/1zvBqKOX6Jor9Ilh9PhqZ7-ISJyMzmVQ6/view?usp=drivesdk","Abrir_Factura")</f>
        <v>Abrir_Factura</v>
      </c>
      <c r="AD849" s="9">
        <v>46014.564756944441</v>
      </c>
    </row>
    <row r="850" spans="1:30" ht="12.5">
      <c r="A850" s="4">
        <v>46014.565122256943</v>
      </c>
      <c r="B850" s="5">
        <v>90587</v>
      </c>
      <c r="C850" s="5">
        <v>1002158370</v>
      </c>
      <c r="D850" s="5" t="s">
        <v>4138</v>
      </c>
      <c r="F850" s="5" t="s">
        <v>4139</v>
      </c>
      <c r="H850" s="5">
        <v>573016851449</v>
      </c>
      <c r="J850" s="5" t="s">
        <v>4140</v>
      </c>
      <c r="K850" s="5" t="s">
        <v>307</v>
      </c>
      <c r="L850" s="5" t="s">
        <v>4141</v>
      </c>
      <c r="M850" s="5">
        <v>3016851449</v>
      </c>
      <c r="N850" s="6">
        <v>46015</v>
      </c>
      <c r="O850" s="7">
        <v>0.375</v>
      </c>
      <c r="P850" s="5">
        <v>1</v>
      </c>
      <c r="Q850" s="5" t="s">
        <v>4142</v>
      </c>
      <c r="R850" s="5">
        <v>190000</v>
      </c>
      <c r="S850" s="5">
        <v>0</v>
      </c>
      <c r="T850" s="5">
        <v>10000</v>
      </c>
      <c r="U850" s="5">
        <v>200000</v>
      </c>
      <c r="V850" s="5" t="s">
        <v>4143</v>
      </c>
      <c r="W850" s="5" t="s">
        <v>36</v>
      </c>
      <c r="X850" s="5" t="s">
        <v>83</v>
      </c>
      <c r="AA850" s="5" t="s">
        <v>44</v>
      </c>
      <c r="AB850" s="5" t="s">
        <v>4144</v>
      </c>
      <c r="AC850" s="8" t="str">
        <f>HYPERLINK("https://drive.google.com/file/d/1xIB7rRCwaRaGi7H2d_8P2kCE86u_NPI2/view?usp=drivesdk", "Abrir_Factura")</f>
        <v>Abrir_Factura</v>
      </c>
      <c r="AD850" s="9">
        <v>46014.566793981481</v>
      </c>
    </row>
    <row r="851" spans="1:30" ht="12.5">
      <c r="A851" s="4">
        <v>46014.541165671297</v>
      </c>
      <c r="B851" s="5">
        <v>90588</v>
      </c>
      <c r="C851" s="5">
        <v>1020739688</v>
      </c>
      <c r="D851" s="5" t="s">
        <v>4145</v>
      </c>
      <c r="F851" s="5" t="s">
        <v>583</v>
      </c>
      <c r="H851" s="5">
        <v>17865318201</v>
      </c>
      <c r="J851" s="5" t="s">
        <v>4146</v>
      </c>
      <c r="K851" s="5" t="s">
        <v>2880</v>
      </c>
      <c r="L851" s="5" t="s">
        <v>4147</v>
      </c>
      <c r="M851" s="5">
        <v>3008238921</v>
      </c>
      <c r="N851" s="6">
        <v>46014</v>
      </c>
      <c r="O851" s="7">
        <v>0.66666666666666663</v>
      </c>
      <c r="P851" s="5">
        <v>1</v>
      </c>
      <c r="Q851" s="5" t="s">
        <v>2556</v>
      </c>
      <c r="R851" s="5">
        <v>400000</v>
      </c>
      <c r="S851" s="5">
        <v>0</v>
      </c>
      <c r="T851" s="5">
        <v>25000</v>
      </c>
      <c r="U851" s="5">
        <v>425000</v>
      </c>
      <c r="V851" s="5" t="s">
        <v>4148</v>
      </c>
      <c r="W851" s="5" t="s">
        <v>36</v>
      </c>
      <c r="X851" s="5" t="s">
        <v>83</v>
      </c>
      <c r="AA851" s="5" t="s">
        <v>69</v>
      </c>
      <c r="AC851" s="8" t="str">
        <f>HYPERLINK("https://drive.google.com/file/d/1JX6_r6oKhK_3VExA5Wh2Zxn9b7M6yK59/view?usp=drivesdk", "Abrir_Factura")</f>
        <v>Abrir_Factura</v>
      </c>
      <c r="AD851" s="9">
        <v>46014.569525462961</v>
      </c>
    </row>
    <row r="852" spans="1:30" ht="12.5">
      <c r="A852" s="4">
        <v>46014.582281030089</v>
      </c>
      <c r="B852" s="5">
        <v>90589</v>
      </c>
      <c r="C852" s="5">
        <v>1042429785</v>
      </c>
      <c r="D852" s="5" t="s">
        <v>3025</v>
      </c>
      <c r="F852" s="5" t="s">
        <v>4149</v>
      </c>
      <c r="H852" s="5">
        <v>573005754818</v>
      </c>
      <c r="J852" s="5" t="s">
        <v>4150</v>
      </c>
      <c r="K852" s="5" t="s">
        <v>33</v>
      </c>
      <c r="L852" s="5" t="s">
        <v>34</v>
      </c>
      <c r="M852" s="5">
        <v>3005754818</v>
      </c>
      <c r="N852" s="6">
        <v>46014</v>
      </c>
      <c r="O852" s="7">
        <v>0</v>
      </c>
      <c r="P852" s="5">
        <v>1</v>
      </c>
      <c r="Q852" s="5" t="s">
        <v>4151</v>
      </c>
      <c r="R852" s="5">
        <v>200000</v>
      </c>
      <c r="S852" s="5">
        <v>0</v>
      </c>
      <c r="T852" s="5">
        <v>0</v>
      </c>
      <c r="U852" s="5">
        <v>200000</v>
      </c>
      <c r="W852" s="5" t="s">
        <v>36</v>
      </c>
      <c r="X852" s="5" t="s">
        <v>2636</v>
      </c>
      <c r="AA852" s="5" t="s">
        <v>1717</v>
      </c>
      <c r="AC852" s="8" t="str">
        <f>HYPERLINK("https://drive.google.com/file/d/1r_o7WeF-idRVMnWuBGa1oWhyir6NLo5M/view?usp=drivesdk","Abrir_Factura")</f>
        <v>Abrir_Factura</v>
      </c>
      <c r="AD852" s="9">
        <v>46014.58321759259</v>
      </c>
    </row>
    <row r="853" spans="1:30" ht="12.5">
      <c r="A853" s="4">
        <v>46014.566764340278</v>
      </c>
      <c r="B853" s="5">
        <v>90590</v>
      </c>
      <c r="C853" s="5">
        <v>1048064633</v>
      </c>
      <c r="D853" s="5" t="s">
        <v>1651</v>
      </c>
      <c r="F853" s="5" t="s">
        <v>4152</v>
      </c>
      <c r="H853" s="5">
        <v>34604218619</v>
      </c>
      <c r="J853" s="5" t="s">
        <v>4153</v>
      </c>
      <c r="K853" s="5" t="s">
        <v>103</v>
      </c>
      <c r="L853" s="5" t="s">
        <v>4154</v>
      </c>
      <c r="M853" s="5" t="s">
        <v>4155</v>
      </c>
      <c r="N853" s="6">
        <v>46014</v>
      </c>
      <c r="O853" s="7">
        <v>0.66666666666666663</v>
      </c>
      <c r="P853" s="5">
        <v>1</v>
      </c>
      <c r="Q853" s="5" t="s">
        <v>4156</v>
      </c>
      <c r="R853" s="5">
        <v>180000</v>
      </c>
      <c r="S853" s="5">
        <v>0</v>
      </c>
      <c r="T853" s="5">
        <v>10000</v>
      </c>
      <c r="U853" s="5">
        <v>190000</v>
      </c>
      <c r="V853" s="5" t="s">
        <v>4157</v>
      </c>
      <c r="W853" s="5" t="s">
        <v>36</v>
      </c>
      <c r="X853" s="5" t="s">
        <v>1937</v>
      </c>
      <c r="AA853" s="5" t="s">
        <v>69</v>
      </c>
      <c r="AC853" s="8" t="str">
        <f>HYPERLINK("https://drive.google.com/file/d/1h2rNUjRhIB8jSXLaRVYI7Qsw1BWDDpxt/view?usp=drivesdk", "Abrir_Factura")</f>
        <v>Abrir_Factura</v>
      </c>
      <c r="AD853" s="9">
        <v>46014.587361111109</v>
      </c>
    </row>
    <row r="854" spans="1:30" ht="12.5">
      <c r="A854" s="4">
        <v>46014.597822083335</v>
      </c>
      <c r="B854" s="5">
        <v>90591</v>
      </c>
      <c r="C854" s="5">
        <v>1044433624</v>
      </c>
      <c r="D854" s="5" t="s">
        <v>4158</v>
      </c>
      <c r="F854" s="5" t="s">
        <v>4159</v>
      </c>
      <c r="H854" s="5">
        <v>573127608327</v>
      </c>
      <c r="J854" s="5" t="s">
        <v>4160</v>
      </c>
      <c r="K854" s="5" t="s">
        <v>930</v>
      </c>
      <c r="L854" s="5" t="s">
        <v>4161</v>
      </c>
      <c r="N854" s="6">
        <v>46015</v>
      </c>
      <c r="O854" s="7">
        <v>0.41666666666666669</v>
      </c>
      <c r="P854" s="5">
        <v>1</v>
      </c>
      <c r="Q854" s="5" t="s">
        <v>42</v>
      </c>
      <c r="R854" s="5">
        <v>800000</v>
      </c>
      <c r="S854" s="5">
        <v>0</v>
      </c>
      <c r="T854" s="5">
        <v>30000</v>
      </c>
      <c r="U854" s="5">
        <v>830000</v>
      </c>
      <c r="W854" s="5" t="s">
        <v>36</v>
      </c>
      <c r="X854" s="5" t="s">
        <v>83</v>
      </c>
      <c r="AA854" s="5" t="s">
        <v>44</v>
      </c>
      <c r="AB854" s="5" t="s">
        <v>4162</v>
      </c>
      <c r="AC854" s="8" t="str">
        <f>HYPERLINK("https://drive.google.com/file/d/13wRegzmsbTqMPPFyQpwlYoeK2uDF8EwN/view?usp=drivesdk", "Abrir_Factura")</f>
        <v>Abrir_Factura</v>
      </c>
      <c r="AD854" s="9">
        <v>46014.598680555559</v>
      </c>
    </row>
    <row r="855" spans="1:30" ht="12.5">
      <c r="A855" s="4">
        <v>46014.610365856483</v>
      </c>
      <c r="B855" s="5">
        <v>90592</v>
      </c>
      <c r="C855" s="5">
        <v>32696701</v>
      </c>
      <c r="D855" s="5" t="s">
        <v>4163</v>
      </c>
      <c r="F855" s="5" t="s">
        <v>4164</v>
      </c>
      <c r="H855" s="5">
        <v>573005259249</v>
      </c>
      <c r="J855" s="5" t="s">
        <v>4165</v>
      </c>
      <c r="K855" s="5" t="s">
        <v>161</v>
      </c>
      <c r="L855" s="5" t="s">
        <v>4166</v>
      </c>
      <c r="M855" s="5">
        <v>3008048874</v>
      </c>
      <c r="N855" s="6">
        <v>46015</v>
      </c>
      <c r="O855" s="7">
        <v>0</v>
      </c>
      <c r="P855" s="5">
        <v>1</v>
      </c>
      <c r="Q855" s="5" t="s">
        <v>542</v>
      </c>
      <c r="R855" s="5">
        <v>140000</v>
      </c>
      <c r="S855" s="5">
        <v>0</v>
      </c>
      <c r="T855" s="5">
        <v>8000</v>
      </c>
      <c r="U855" s="5">
        <v>148000</v>
      </c>
      <c r="V855" s="5" t="s">
        <v>4167</v>
      </c>
      <c r="W855" s="5" t="s">
        <v>36</v>
      </c>
      <c r="X855" s="5" t="s">
        <v>83</v>
      </c>
      <c r="AA855" s="5" t="s">
        <v>44</v>
      </c>
      <c r="AC855" s="8" t="str">
        <f>HYPERLINK("https://drive.google.com/file/d/1tzK16CgzZulq3NJzL8EXt3in38HsnVso/view?usp=drivesdk","Abrir_Factura")</f>
        <v>Abrir_Factura</v>
      </c>
      <c r="AD855" s="9">
        <v>46014.622534722221</v>
      </c>
    </row>
    <row r="856" spans="1:30" ht="12.5">
      <c r="A856" s="4">
        <v>46014.598075127316</v>
      </c>
      <c r="B856" s="5">
        <v>90593</v>
      </c>
      <c r="C856" s="5">
        <v>1065849018</v>
      </c>
      <c r="D856" s="5" t="s">
        <v>4168</v>
      </c>
      <c r="F856" s="5" t="s">
        <v>4169</v>
      </c>
      <c r="H856" s="5">
        <v>573006894298</v>
      </c>
      <c r="J856" s="5" t="s">
        <v>4170</v>
      </c>
      <c r="K856" s="5" t="s">
        <v>4171</v>
      </c>
      <c r="L856" s="5" t="s">
        <v>4172</v>
      </c>
      <c r="M856" s="5">
        <v>3245942022</v>
      </c>
      <c r="N856" s="6">
        <v>46014</v>
      </c>
      <c r="O856" s="7">
        <v>0.70833333333333337</v>
      </c>
      <c r="P856" s="5">
        <v>1</v>
      </c>
      <c r="Q856" s="5" t="s">
        <v>375</v>
      </c>
      <c r="R856" s="5">
        <v>70000</v>
      </c>
      <c r="S856" s="5">
        <v>0</v>
      </c>
      <c r="T856" s="5">
        <v>18000</v>
      </c>
      <c r="U856" s="5">
        <v>88000</v>
      </c>
      <c r="V856" s="5" t="s">
        <v>4173</v>
      </c>
      <c r="W856" s="5" t="s">
        <v>36</v>
      </c>
      <c r="X856" s="5" t="s">
        <v>83</v>
      </c>
      <c r="AA856" s="5" t="s">
        <v>69</v>
      </c>
      <c r="AC856" s="8" t="str">
        <f>HYPERLINK("https://drive.google.com/file/d/1cqDexO1QV69lZFSZODZVRmffTeC8iOF4/view?usp=drivesdk", "Abrir_Factura")</f>
        <v>Abrir_Factura</v>
      </c>
      <c r="AD856" s="9">
        <v>46014.624074074076</v>
      </c>
    </row>
    <row r="857" spans="1:30" ht="12.5">
      <c r="A857" s="4">
        <v>46014.523011307872</v>
      </c>
      <c r="B857" s="5">
        <v>90594</v>
      </c>
      <c r="C857" s="5">
        <v>32609331</v>
      </c>
      <c r="D857" s="5" t="s">
        <v>4174</v>
      </c>
      <c r="F857" s="5" t="s">
        <v>4175</v>
      </c>
      <c r="H857" s="5">
        <v>573128213377</v>
      </c>
      <c r="J857" s="5" t="s">
        <v>4176</v>
      </c>
      <c r="K857" s="5" t="s">
        <v>351</v>
      </c>
      <c r="L857" s="5" t="s">
        <v>4177</v>
      </c>
      <c r="M857" s="5">
        <v>3128213377</v>
      </c>
      <c r="N857" s="6">
        <v>46015</v>
      </c>
      <c r="O857" s="7">
        <v>0.58333333333333337</v>
      </c>
      <c r="P857" s="5">
        <v>1</v>
      </c>
      <c r="Q857" s="5" t="s">
        <v>1251</v>
      </c>
      <c r="R857" s="5">
        <v>500000</v>
      </c>
      <c r="S857" s="5">
        <v>0</v>
      </c>
      <c r="T857" s="5">
        <v>12000</v>
      </c>
      <c r="U857" s="5">
        <v>512000</v>
      </c>
      <c r="V857" s="5" t="s">
        <v>4178</v>
      </c>
      <c r="W857" s="5" t="s">
        <v>36</v>
      </c>
      <c r="X857" s="5" t="s">
        <v>83</v>
      </c>
      <c r="AA857" s="5" t="s">
        <v>44</v>
      </c>
      <c r="AC857" s="8" t="str">
        <f>HYPERLINK("https://drive.google.com/file/d/18xmp9JxhLQpl9oNS4B80qMHal3CdtAKw/view?usp=drivesdk", "Abrir_Factura")</f>
        <v>Abrir_Factura</v>
      </c>
      <c r="AD857" s="9">
        <v>46014.625347222223</v>
      </c>
    </row>
    <row r="858" spans="1:30" ht="12.5">
      <c r="A858" s="4">
        <v>46014.649419664347</v>
      </c>
      <c r="B858" s="5">
        <v>90595</v>
      </c>
      <c r="C858" s="5">
        <v>22667907</v>
      </c>
      <c r="D858" s="5" t="s">
        <v>4179</v>
      </c>
      <c r="F858" s="5" t="s">
        <v>4180</v>
      </c>
      <c r="H858" s="5">
        <v>573006435027</v>
      </c>
      <c r="J858" s="5" t="s">
        <v>4181</v>
      </c>
      <c r="K858" s="5" t="s">
        <v>103</v>
      </c>
      <c r="L858" s="5" t="s">
        <v>4182</v>
      </c>
      <c r="M858" s="5">
        <v>3002059742</v>
      </c>
      <c r="N858" s="6">
        <v>46014</v>
      </c>
      <c r="O858" s="7">
        <v>0.70833333333333337</v>
      </c>
      <c r="P858" s="5">
        <v>1</v>
      </c>
      <c r="Q858" s="5" t="s">
        <v>309</v>
      </c>
      <c r="R858" s="5">
        <v>80000</v>
      </c>
      <c r="S858" s="5">
        <v>0</v>
      </c>
      <c r="T858" s="5">
        <v>10000</v>
      </c>
      <c r="U858" s="5">
        <v>90000</v>
      </c>
      <c r="V858" s="5" t="s">
        <v>4183</v>
      </c>
      <c r="W858" s="5" t="s">
        <v>36</v>
      </c>
      <c r="X858" s="5" t="s">
        <v>83</v>
      </c>
      <c r="AA858" s="5" t="s">
        <v>69</v>
      </c>
      <c r="AC858" s="8" t="str">
        <f>HYPERLINK("https://drive.google.com/file/d/1rD9H_ABvpKnz6i57Gz5--7JJ-qzsrcVK/view?usp=drivesdk","Abrir_Factura")</f>
        <v>Abrir_Factura</v>
      </c>
      <c r="AD858" s="9">
        <v>46014.656828703701</v>
      </c>
    </row>
    <row r="859" spans="1:30" ht="12.5">
      <c r="A859" s="4">
        <v>46014.661524583338</v>
      </c>
      <c r="B859" s="5">
        <v>90596</v>
      </c>
      <c r="C859" s="5">
        <v>1001914795</v>
      </c>
      <c r="D859" s="5" t="s">
        <v>1773</v>
      </c>
      <c r="F859" s="5" t="s">
        <v>4184</v>
      </c>
      <c r="H859" s="5">
        <v>573045733898</v>
      </c>
      <c r="J859" s="5" t="s">
        <v>4185</v>
      </c>
      <c r="K859" s="5" t="s">
        <v>1187</v>
      </c>
      <c r="L859" s="5" t="s">
        <v>4186</v>
      </c>
      <c r="M859" s="5">
        <v>3126435537</v>
      </c>
      <c r="N859" s="6">
        <v>46015</v>
      </c>
      <c r="O859" s="7">
        <v>0.45833333333333331</v>
      </c>
      <c r="P859" s="5">
        <v>1</v>
      </c>
      <c r="Q859" s="5" t="s">
        <v>239</v>
      </c>
      <c r="R859" s="5">
        <v>380000</v>
      </c>
      <c r="S859" s="5">
        <v>0</v>
      </c>
      <c r="T859" s="5">
        <v>25000</v>
      </c>
      <c r="U859" s="5">
        <v>405000</v>
      </c>
      <c r="W859" s="5" t="s">
        <v>36</v>
      </c>
      <c r="X859" s="5" t="s">
        <v>83</v>
      </c>
      <c r="AA859" s="5" t="s">
        <v>1717</v>
      </c>
      <c r="AC859" s="8" t="str">
        <f>HYPERLINK("https://drive.google.com/file/d/1Ur935IVVuYftvXSvYQRwe6o3ZcdWaolX/view?usp=drivesdk", "Abrir_Factura")</f>
        <v>Abrir_Factura</v>
      </c>
      <c r="AD859" s="9">
        <v>46014.662268518521</v>
      </c>
    </row>
    <row r="860" spans="1:30" ht="12.5">
      <c r="A860" s="4">
        <v>46014.663870115735</v>
      </c>
      <c r="B860" s="5">
        <v>90597</v>
      </c>
      <c r="C860" s="5">
        <v>1001941557</v>
      </c>
      <c r="D860" s="5" t="s">
        <v>283</v>
      </c>
      <c r="F860" s="5" t="s">
        <v>3899</v>
      </c>
      <c r="H860" s="5">
        <v>573126435537</v>
      </c>
      <c r="J860" s="5" t="s">
        <v>4187</v>
      </c>
      <c r="K860" s="5" t="s">
        <v>33</v>
      </c>
      <c r="L860" s="5" t="s">
        <v>34</v>
      </c>
      <c r="M860" s="5">
        <v>3126435537</v>
      </c>
      <c r="N860" s="6">
        <v>46014</v>
      </c>
      <c r="O860" s="7">
        <v>0.66666666666666663</v>
      </c>
      <c r="P860" s="5">
        <v>1</v>
      </c>
      <c r="Q860" s="5" t="s">
        <v>42</v>
      </c>
      <c r="R860" s="5">
        <v>8000</v>
      </c>
      <c r="S860" s="5">
        <v>0</v>
      </c>
      <c r="T860" s="5">
        <v>0</v>
      </c>
      <c r="U860" s="5">
        <v>8000</v>
      </c>
      <c r="W860" s="5" t="s">
        <v>36</v>
      </c>
      <c r="X860" s="5" t="s">
        <v>196</v>
      </c>
      <c r="AA860" s="5" t="s">
        <v>1717</v>
      </c>
      <c r="AB860" s="5" t="s">
        <v>4188</v>
      </c>
      <c r="AC860" s="8" t="str">
        <f>HYPERLINK("https://drive.google.com/file/d/13djU1jcYV8KY9A3KkJZgka93kPl2b7rP/view?usp=drivesdk", "Abrir_Factura")</f>
        <v>Abrir_Factura</v>
      </c>
      <c r="AD860" s="9">
        <v>46014.767754629633</v>
      </c>
    </row>
    <row r="861" spans="1:30" ht="12.5">
      <c r="A861" s="4">
        <v>46014.537783078704</v>
      </c>
      <c r="B861" s="5">
        <v>90598</v>
      </c>
      <c r="C861" s="5">
        <v>1042451604</v>
      </c>
      <c r="D861" s="5" t="s">
        <v>3398</v>
      </c>
      <c r="F861" s="5" t="s">
        <v>1344</v>
      </c>
      <c r="H861" s="5">
        <v>573106939904</v>
      </c>
      <c r="J861" s="5" t="s">
        <v>4189</v>
      </c>
      <c r="K861" s="5" t="s">
        <v>103</v>
      </c>
      <c r="L861" s="5" t="s">
        <v>4190</v>
      </c>
      <c r="M861" s="5" t="s">
        <v>25421</v>
      </c>
      <c r="N861" s="6">
        <v>46014</v>
      </c>
      <c r="O861" s="7">
        <v>0.77013888888888893</v>
      </c>
      <c r="P861" s="5">
        <v>1</v>
      </c>
      <c r="Q861" s="5" t="s">
        <v>42</v>
      </c>
      <c r="R861" s="5">
        <v>280000</v>
      </c>
      <c r="S861" s="5">
        <v>0</v>
      </c>
      <c r="T861" s="5">
        <v>10000</v>
      </c>
      <c r="U861" s="5">
        <v>290000</v>
      </c>
      <c r="V861" s="5" t="s">
        <v>4191</v>
      </c>
      <c r="W861" s="5" t="s">
        <v>36</v>
      </c>
      <c r="X861" s="5" t="s">
        <v>1937</v>
      </c>
      <c r="AA861" s="5" t="s">
        <v>69</v>
      </c>
      <c r="AB861" s="5" t="s">
        <v>4192</v>
      </c>
      <c r="AC861" s="8" t="str">
        <f>HYPERLINK("https://drive.google.com/file/d/1PZyuIf_Q6sRpp32ZhPozrimJll-1E3JH/view?usp=drivesdk", "Abrir_Factura")</f>
        <v>Abrir_Factura</v>
      </c>
      <c r="AD861" s="9">
        <v>46014.679872685185</v>
      </c>
    </row>
    <row r="862" spans="1:30" ht="12.5">
      <c r="A862" s="4">
        <v>46014.685544270833</v>
      </c>
      <c r="B862" s="5">
        <v>90599</v>
      </c>
      <c r="C862" s="5">
        <v>1140856385</v>
      </c>
      <c r="D862" s="5" t="s">
        <v>968</v>
      </c>
      <c r="F862" s="5" t="s">
        <v>4193</v>
      </c>
      <c r="H862" s="5">
        <v>573012574632</v>
      </c>
      <c r="J862" s="5" t="s">
        <v>4194</v>
      </c>
      <c r="K862" s="5" t="s">
        <v>2263</v>
      </c>
      <c r="L862" s="5" t="s">
        <v>4195</v>
      </c>
      <c r="M862" s="5" t="s">
        <v>4196</v>
      </c>
      <c r="N862" s="6">
        <v>46014</v>
      </c>
      <c r="O862" s="7">
        <v>0.75</v>
      </c>
      <c r="P862" s="5">
        <v>1</v>
      </c>
      <c r="Q862" s="5" t="s">
        <v>112</v>
      </c>
      <c r="R862" s="5">
        <v>260000</v>
      </c>
      <c r="S862" s="5">
        <v>0</v>
      </c>
      <c r="T862" s="5">
        <v>17000</v>
      </c>
      <c r="U862" s="5">
        <v>277000</v>
      </c>
      <c r="V862" s="5" t="s">
        <v>4197</v>
      </c>
      <c r="W862" s="5" t="s">
        <v>36</v>
      </c>
      <c r="X862" s="5" t="s">
        <v>83</v>
      </c>
      <c r="AA862" s="5" t="s">
        <v>44</v>
      </c>
      <c r="AC862" s="8" t="str">
        <f>HYPERLINK("https://drive.google.com/file/d/1R8dGoTBcmkns3urNlLILTAxFnDTIvJ8A/view?usp=drivesdk","Abrir_Factura")</f>
        <v>Abrir_Factura</v>
      </c>
      <c r="AD862" s="9">
        <v>46014.694861111115</v>
      </c>
    </row>
    <row r="863" spans="1:30" ht="12.5">
      <c r="A863" s="4">
        <v>46014.699428935186</v>
      </c>
      <c r="B863" s="5">
        <v>90600</v>
      </c>
      <c r="C863" s="5">
        <v>72276169</v>
      </c>
      <c r="D863" s="5" t="s">
        <v>4198</v>
      </c>
      <c r="F863" s="5" t="s">
        <v>4199</v>
      </c>
      <c r="H863" s="5">
        <v>573122968193</v>
      </c>
      <c r="J863" s="5" t="s">
        <v>4200</v>
      </c>
      <c r="K863" s="5" t="s">
        <v>33</v>
      </c>
      <c r="L863" s="5" t="s">
        <v>34</v>
      </c>
      <c r="M863" s="5" t="s">
        <v>4201</v>
      </c>
      <c r="N863" s="6">
        <v>46014</v>
      </c>
      <c r="O863" s="7">
        <v>0</v>
      </c>
      <c r="P863" s="5">
        <v>1</v>
      </c>
      <c r="Q863" s="5" t="s">
        <v>435</v>
      </c>
      <c r="R863" s="5">
        <v>60000</v>
      </c>
      <c r="S863" s="5">
        <v>0</v>
      </c>
      <c r="T863" s="5">
        <v>0</v>
      </c>
      <c r="U863" s="5">
        <v>60000</v>
      </c>
      <c r="W863" s="5" t="s">
        <v>36</v>
      </c>
      <c r="X863" s="5" t="s">
        <v>2636</v>
      </c>
      <c r="AA863" s="5" t="s">
        <v>1717</v>
      </c>
      <c r="AC863" s="8" t="str">
        <f>HYPERLINK("https://drive.google.com/file/d/1aUSyErt3i5TUIdqq7nJ0OHs5V-hKXgUk/view?usp=drivesdk","Abrir_Factura")</f>
        <v>Abrir_Factura</v>
      </c>
      <c r="AD863" s="9">
        <v>46014.699976851851</v>
      </c>
    </row>
    <row r="864" spans="1:30" ht="12.5">
      <c r="A864" s="4">
        <v>46014.700569340275</v>
      </c>
      <c r="B864" s="5">
        <v>90601</v>
      </c>
      <c r="C864" s="5">
        <v>1023244944</v>
      </c>
      <c r="D864" s="5" t="s">
        <v>4202</v>
      </c>
      <c r="F864" s="5" t="s">
        <v>4203</v>
      </c>
      <c r="H864" s="5">
        <v>573246492154</v>
      </c>
      <c r="J864" s="5" t="s">
        <v>2347</v>
      </c>
      <c r="K864" s="5" t="s">
        <v>63</v>
      </c>
      <c r="L864" s="5" t="s">
        <v>4204</v>
      </c>
      <c r="M864" s="5">
        <v>3246492154</v>
      </c>
      <c r="N864" s="6">
        <v>46014</v>
      </c>
      <c r="O864" s="7">
        <v>0.75</v>
      </c>
      <c r="P864" s="5">
        <v>1</v>
      </c>
      <c r="Q864" s="5" t="s">
        <v>42</v>
      </c>
      <c r="R864" s="5">
        <v>132000</v>
      </c>
      <c r="S864" s="5">
        <v>0</v>
      </c>
      <c r="T864" s="5">
        <v>15000</v>
      </c>
      <c r="U864" s="5">
        <v>147000</v>
      </c>
      <c r="V864" s="5" t="s">
        <v>4205</v>
      </c>
      <c r="W864" s="5" t="s">
        <v>36</v>
      </c>
      <c r="X864" s="5" t="s">
        <v>83</v>
      </c>
      <c r="AA864" s="5" t="s">
        <v>44</v>
      </c>
      <c r="AB864" s="5" t="s">
        <v>4206</v>
      </c>
      <c r="AC864" s="8" t="str">
        <f>HYPERLINK("https://drive.google.com/file/d/1cdqsnyZuIt7o3H-iQx_SZRTX6K1Z6t4z/view?usp=drivesdk", "Abrir_Factura")</f>
        <v>Abrir_Factura</v>
      </c>
      <c r="AD864" s="9">
        <v>46014.707037037035</v>
      </c>
    </row>
    <row r="865" spans="1:30" ht="12.5">
      <c r="A865" s="4">
        <v>46014.707842731485</v>
      </c>
      <c r="B865" s="5">
        <v>90602</v>
      </c>
      <c r="C865" s="5">
        <v>1031421410</v>
      </c>
      <c r="D865" s="5" t="s">
        <v>4207</v>
      </c>
      <c r="F865" s="5" t="s">
        <v>4208</v>
      </c>
      <c r="H865" s="5">
        <v>573022977046</v>
      </c>
      <c r="J865" s="5" t="s">
        <v>4209</v>
      </c>
      <c r="K865" s="5" t="s">
        <v>33</v>
      </c>
      <c r="L865" s="5" t="s">
        <v>34</v>
      </c>
      <c r="M865" s="5">
        <v>3022977046</v>
      </c>
      <c r="N865" s="6">
        <v>46014</v>
      </c>
      <c r="O865" s="7">
        <v>0.71875</v>
      </c>
      <c r="P865" s="5">
        <v>1</v>
      </c>
      <c r="Q865" s="5" t="s">
        <v>42</v>
      </c>
      <c r="R865" s="5">
        <v>132000</v>
      </c>
      <c r="S865" s="5">
        <v>0</v>
      </c>
      <c r="T865" s="5">
        <v>0</v>
      </c>
      <c r="U865" s="5">
        <v>132000</v>
      </c>
      <c r="W865" s="5" t="s">
        <v>36</v>
      </c>
      <c r="X865" s="5" t="s">
        <v>2636</v>
      </c>
      <c r="AA865" s="5" t="s">
        <v>1717</v>
      </c>
      <c r="AB865" s="5" t="s">
        <v>4210</v>
      </c>
      <c r="AC865" s="8" t="str">
        <f>HYPERLINK("https://drive.google.com/file/d/1zQ0YNMCu4q9a-S4aB4cIE09FL3gZvsp-/view?usp=drivesdk","Abrir_Factura")</f>
        <v>Abrir_Factura</v>
      </c>
      <c r="AD865" s="9">
        <v>46014.710821759261</v>
      </c>
    </row>
    <row r="866" spans="1:30" ht="12.5">
      <c r="A866" s="4">
        <v>46014.716784525459</v>
      </c>
      <c r="B866" s="5">
        <v>90603</v>
      </c>
      <c r="C866" s="5">
        <v>1143118640</v>
      </c>
      <c r="D866" s="5" t="s">
        <v>4211</v>
      </c>
      <c r="F866" s="5" t="s">
        <v>4212</v>
      </c>
      <c r="H866" s="5">
        <v>573042035368</v>
      </c>
      <c r="J866" s="5" t="s">
        <v>4211</v>
      </c>
      <c r="K866" s="5" t="s">
        <v>161</v>
      </c>
      <c r="L866" s="5" t="s">
        <v>4213</v>
      </c>
      <c r="M866" s="5">
        <v>3042035368</v>
      </c>
      <c r="N866" s="6">
        <v>46014</v>
      </c>
      <c r="O866" s="7">
        <v>0.7631944444444444</v>
      </c>
      <c r="P866" s="5">
        <v>1</v>
      </c>
      <c r="Q866" s="5" t="s">
        <v>294</v>
      </c>
      <c r="R866" s="5">
        <v>160000</v>
      </c>
      <c r="S866" s="5">
        <v>0</v>
      </c>
      <c r="T866" s="5">
        <v>8000</v>
      </c>
      <c r="U866" s="5">
        <v>168000</v>
      </c>
      <c r="V866" s="5" t="s">
        <v>4214</v>
      </c>
      <c r="W866" s="5" t="s">
        <v>36</v>
      </c>
      <c r="X866" s="5" t="s">
        <v>83</v>
      </c>
      <c r="AA866" s="5" t="s">
        <v>69</v>
      </c>
      <c r="AC866" s="8" t="str">
        <f>HYPERLINK("https://drive.google.com/file/d/1-j1QylXX7Ly561T_M43hY8hEeMYI0L7Y/view?usp=drivesdk", "Abrir_Factura")</f>
        <v>Abrir_Factura</v>
      </c>
      <c r="AD866" s="9">
        <v>46014.725752314815</v>
      </c>
    </row>
    <row r="867" spans="1:30" ht="12.5">
      <c r="A867" s="4">
        <v>46014.47078447917</v>
      </c>
      <c r="B867" s="5">
        <v>90604</v>
      </c>
      <c r="C867" s="5">
        <v>32694500</v>
      </c>
      <c r="D867" s="5" t="s">
        <v>4215</v>
      </c>
      <c r="F867" s="5" t="s">
        <v>3442</v>
      </c>
      <c r="H867" s="5">
        <v>573106442346</v>
      </c>
      <c r="J867" s="5" t="s">
        <v>4216</v>
      </c>
      <c r="K867" s="5" t="s">
        <v>33</v>
      </c>
      <c r="L867" s="5" t="s">
        <v>34</v>
      </c>
      <c r="M867" s="5">
        <v>3106442346</v>
      </c>
      <c r="N867" s="6">
        <v>46014</v>
      </c>
      <c r="O867" s="7">
        <v>0.77500000000000002</v>
      </c>
      <c r="P867" s="5">
        <v>1</v>
      </c>
      <c r="Q867" s="5" t="s">
        <v>42</v>
      </c>
      <c r="R867" s="5">
        <v>60000</v>
      </c>
      <c r="S867" s="5">
        <v>0</v>
      </c>
      <c r="T867" s="5">
        <v>0</v>
      </c>
      <c r="U867" s="5">
        <v>60000</v>
      </c>
      <c r="W867" s="5" t="s">
        <v>36</v>
      </c>
      <c r="X867" s="5" t="s">
        <v>2636</v>
      </c>
      <c r="AA867" s="5" t="s">
        <v>1717</v>
      </c>
      <c r="AB867" s="5" t="s">
        <v>4217</v>
      </c>
      <c r="AC867" s="8" t="str">
        <f>HYPERLINK("https://drive.google.com/file/d/1wSHaKhGaXVATyjC7Bwbbs2OkdurXhb7q/view?usp=drivesdk", "Abrir_Factura")</f>
        <v>Abrir_Factura</v>
      </c>
      <c r="AD867" s="9">
        <v>46014.753657407404</v>
      </c>
    </row>
    <row r="868" spans="1:30" ht="12.5">
      <c r="A868" s="4">
        <v>46014.674762499999</v>
      </c>
      <c r="B868" s="5">
        <v>90605</v>
      </c>
      <c r="C868" s="5">
        <v>1140855388</v>
      </c>
      <c r="D868" s="5" t="s">
        <v>968</v>
      </c>
      <c r="F868" s="5" t="s">
        <v>4218</v>
      </c>
      <c r="H868" s="5">
        <v>17865186525</v>
      </c>
      <c r="J868" s="5" t="s">
        <v>4219</v>
      </c>
      <c r="K868" s="5" t="s">
        <v>249</v>
      </c>
      <c r="L868" s="5" t="s">
        <v>4220</v>
      </c>
      <c r="M868" s="5">
        <v>3003789510</v>
      </c>
      <c r="N868" s="6">
        <v>46015</v>
      </c>
      <c r="O868" s="7">
        <v>0.41666666666666669</v>
      </c>
      <c r="P868" s="5">
        <v>1</v>
      </c>
      <c r="Q868" s="5" t="s">
        <v>384</v>
      </c>
      <c r="R868" s="5">
        <v>180000</v>
      </c>
      <c r="S868" s="5">
        <v>0</v>
      </c>
      <c r="T868" s="5">
        <v>10000</v>
      </c>
      <c r="U868" s="5">
        <v>190000</v>
      </c>
      <c r="V868" s="5" t="s">
        <v>4221</v>
      </c>
      <c r="W868" s="5" t="s">
        <v>36</v>
      </c>
      <c r="X868" s="5" t="s">
        <v>1481</v>
      </c>
      <c r="AA868" s="5" t="s">
        <v>44</v>
      </c>
      <c r="AB868" s="5" t="s">
        <v>4222</v>
      </c>
      <c r="AC868" s="8" t="str">
        <f>HYPERLINK("https://drive.google.com/file/d/13KOuQqZpqrooYQF3SdMy4rESjALAoKYH/view?usp=drivesdk","Abrir_Factura")</f>
        <v>Abrir_Factura</v>
      </c>
      <c r="AD868" s="9">
        <v>46014.769768518519</v>
      </c>
    </row>
    <row r="869" spans="1:30" ht="12.5">
      <c r="A869" s="4">
        <v>46014.634758611108</v>
      </c>
      <c r="B869" s="5">
        <v>90606</v>
      </c>
      <c r="C869" s="5">
        <v>900968672</v>
      </c>
      <c r="D869" s="5" t="s">
        <v>4223</v>
      </c>
      <c r="F869" s="5" t="s">
        <v>4223</v>
      </c>
      <c r="H869" s="5">
        <v>573175181022</v>
      </c>
      <c r="J869" s="5" t="s">
        <v>4224</v>
      </c>
      <c r="K869" s="5" t="s">
        <v>154</v>
      </c>
      <c r="L869" s="5" t="s">
        <v>4225</v>
      </c>
      <c r="M869" s="5">
        <v>3175181022</v>
      </c>
      <c r="N869" s="6">
        <v>46015</v>
      </c>
      <c r="O869" s="7">
        <v>0.41666666666666669</v>
      </c>
      <c r="P869" s="5">
        <v>1</v>
      </c>
      <c r="Q869" s="5" t="s">
        <v>42</v>
      </c>
      <c r="R869" s="5">
        <v>357000</v>
      </c>
      <c r="S869" s="5">
        <v>0</v>
      </c>
      <c r="T869" s="5">
        <v>8000</v>
      </c>
      <c r="U869" s="5">
        <v>365000</v>
      </c>
      <c r="V869" s="5" t="s">
        <v>4226</v>
      </c>
      <c r="W869" s="5" t="s">
        <v>36</v>
      </c>
      <c r="X869" s="5" t="s">
        <v>67</v>
      </c>
      <c r="AA869" s="5" t="s">
        <v>44</v>
      </c>
      <c r="AB869" s="5" t="s">
        <v>4227</v>
      </c>
      <c r="AC869" s="8" t="str">
        <f>HYPERLINK("https://drive.google.com/file/d/1SQU49E5bcoKsj7pI_f-qBujLXEmiLTkl/view?usp=drivesdk", "Abrir_Factura")</f>
        <v>Abrir_Factura</v>
      </c>
      <c r="AD869" s="9">
        <v>46014.778009259258</v>
      </c>
    </row>
    <row r="870" spans="1:30" ht="12.5">
      <c r="A870" s="4">
        <v>46015.300887592588</v>
      </c>
      <c r="B870" s="5">
        <v>90607</v>
      </c>
      <c r="C870" s="5">
        <v>900521807</v>
      </c>
      <c r="D870" s="5" t="s">
        <v>1231</v>
      </c>
      <c r="F870" s="5" t="s">
        <v>4228</v>
      </c>
      <c r="H870" s="5">
        <v>573007682024</v>
      </c>
      <c r="J870" s="5" t="s">
        <v>1231</v>
      </c>
      <c r="K870" s="5" t="s">
        <v>33</v>
      </c>
      <c r="L870" s="5" t="s">
        <v>34</v>
      </c>
      <c r="M870" s="5">
        <v>3007682024</v>
      </c>
      <c r="N870" s="6">
        <v>46015</v>
      </c>
      <c r="O870" s="7">
        <v>0</v>
      </c>
      <c r="P870" s="5">
        <v>1</v>
      </c>
      <c r="Q870" s="5" t="s">
        <v>42</v>
      </c>
      <c r="R870" s="5">
        <v>0</v>
      </c>
      <c r="S870" s="5">
        <v>0</v>
      </c>
      <c r="T870" s="5">
        <v>0</v>
      </c>
      <c r="U870" s="5">
        <v>0</v>
      </c>
      <c r="W870" s="5" t="s">
        <v>36</v>
      </c>
      <c r="X870" s="5" t="s">
        <v>43</v>
      </c>
      <c r="AA870" s="5" t="s">
        <v>44</v>
      </c>
      <c r="AB870" s="5" t="s">
        <v>4229</v>
      </c>
      <c r="AC870" s="8" t="str">
        <f>HYPERLINK("https://drive.google.com/file/d/1JBzD76SqmmMYsDqn_nRLU9f4IamA6gQt/view?usp=drivesdk", "Abrir_Factura")</f>
        <v>Abrir_Factura</v>
      </c>
      <c r="AD870" s="9">
        <v>46015.4221412037</v>
      </c>
    </row>
    <row r="871" spans="1:30" ht="12.5">
      <c r="A871" s="4">
        <v>46015.300879629627</v>
      </c>
      <c r="B871" s="5">
        <v>90608</v>
      </c>
      <c r="C871" s="5">
        <v>1082963863</v>
      </c>
      <c r="D871" s="5" t="s">
        <v>4230</v>
      </c>
      <c r="F871" s="5" t="s">
        <v>4231</v>
      </c>
      <c r="H871" s="5">
        <v>573013638788</v>
      </c>
      <c r="J871" s="5" t="s">
        <v>4232</v>
      </c>
      <c r="K871" s="5" t="s">
        <v>33</v>
      </c>
      <c r="L871" s="5" t="s">
        <v>4233</v>
      </c>
      <c r="M871" s="5"/>
      <c r="N871" s="6">
        <v>46015</v>
      </c>
      <c r="O871" s="7">
        <v>0</v>
      </c>
      <c r="P871" s="5">
        <v>1</v>
      </c>
      <c r="Q871" s="5" t="s">
        <v>42</v>
      </c>
      <c r="R871" s="5">
        <v>100000</v>
      </c>
      <c r="S871" s="5">
        <v>0</v>
      </c>
      <c r="T871" s="5">
        <v>0</v>
      </c>
      <c r="U871" s="5">
        <v>100000</v>
      </c>
      <c r="W871" s="5" t="s">
        <v>36</v>
      </c>
      <c r="X871" s="5" t="s">
        <v>43</v>
      </c>
      <c r="AA871" s="5" t="s">
        <v>44</v>
      </c>
      <c r="AB871" s="5" t="s">
        <v>4234</v>
      </c>
      <c r="AC871" s="8" t="str">
        <f>HYPERLINK("https://drive.google.com/file/d/1JdFAiBiJY-QQbyfR47Q_fmh6XxAzEUoz/view?usp=drivesdk", "Abrir_Factura")</f>
        <v>Abrir_Factura</v>
      </c>
      <c r="AD871" s="9">
        <v>46015.412094907406</v>
      </c>
    </row>
    <row r="872" spans="1:30" ht="12.5">
      <c r="A872" s="4">
        <v>46015.314894953699</v>
      </c>
      <c r="B872" s="5">
        <v>90609</v>
      </c>
      <c r="C872" s="5">
        <v>72210723</v>
      </c>
      <c r="D872" s="5" t="s">
        <v>4235</v>
      </c>
      <c r="F872" s="5" t="s">
        <v>2000</v>
      </c>
      <c r="H872" s="5">
        <v>573016978511</v>
      </c>
      <c r="J872" s="5" t="s">
        <v>4236</v>
      </c>
      <c r="K872" s="5" t="s">
        <v>33</v>
      </c>
      <c r="L872" s="5" t="s">
        <v>34</v>
      </c>
      <c r="M872" s="5">
        <v>3016978511</v>
      </c>
      <c r="N872" s="6">
        <v>46015</v>
      </c>
      <c r="O872" s="7">
        <v>0</v>
      </c>
      <c r="P872" s="5">
        <v>1</v>
      </c>
      <c r="Q872" s="5" t="s">
        <v>42</v>
      </c>
      <c r="R872" s="5">
        <v>52000</v>
      </c>
      <c r="S872" s="5">
        <v>0</v>
      </c>
      <c r="T872" s="5">
        <v>0</v>
      </c>
      <c r="U872" s="5">
        <v>52000</v>
      </c>
      <c r="W872" s="5" t="s">
        <v>36</v>
      </c>
      <c r="X872" s="5" t="s">
        <v>2636</v>
      </c>
      <c r="AA872" s="5" t="s">
        <v>1717</v>
      </c>
      <c r="AB872" s="5" t="s">
        <v>1286</v>
      </c>
      <c r="AC872" s="8" t="str">
        <f>HYPERLINK("https://drive.google.com/file/d/1k3n-Q394H7UsB81x9eczhbPEgUtkOiPL/view?usp=drivesdk", "Abrir_Factura")</f>
        <v>Abrir_Factura</v>
      </c>
      <c r="AD872" s="9">
        <v>46015.317488425928</v>
      </c>
    </row>
    <row r="873" spans="1:30" ht="12.5">
      <c r="A873" s="4">
        <v>46015.328518402777</v>
      </c>
      <c r="B873" s="5">
        <v>90610</v>
      </c>
      <c r="C873" s="5">
        <v>1140879347</v>
      </c>
      <c r="D873" s="5" t="s">
        <v>297</v>
      </c>
      <c r="F873" s="5" t="s">
        <v>4237</v>
      </c>
      <c r="H873" s="5">
        <v>573003735055</v>
      </c>
      <c r="J873" s="5" t="s">
        <v>4238</v>
      </c>
      <c r="K873" s="5" t="s">
        <v>124</v>
      </c>
      <c r="L873" s="5" t="s">
        <v>4239</v>
      </c>
      <c r="M873" s="5">
        <v>3174318096</v>
      </c>
      <c r="N873" s="6">
        <v>46015</v>
      </c>
      <c r="O873" s="7">
        <v>0.375</v>
      </c>
      <c r="P873" s="5">
        <v>1</v>
      </c>
      <c r="Q873" s="5" t="s">
        <v>375</v>
      </c>
      <c r="R873" s="5">
        <v>70000</v>
      </c>
      <c r="S873" s="5">
        <v>0</v>
      </c>
      <c r="T873" s="5">
        <v>12000</v>
      </c>
      <c r="U873" s="5">
        <v>82000</v>
      </c>
      <c r="V873" s="5" t="s">
        <v>4240</v>
      </c>
      <c r="W873" s="5" t="s">
        <v>36</v>
      </c>
      <c r="X873" s="5" t="s">
        <v>1937</v>
      </c>
      <c r="AA873" s="5" t="s">
        <v>69</v>
      </c>
      <c r="AC873" s="8" t="str">
        <f>HYPERLINK("https://drive.google.com/file/d/1hfyLNLEsJlfH1JYbD9xbeYRuEQ1AC8g6/view?usp=drivesdk", "Abrir_Factura")</f>
        <v>Abrir_Factura</v>
      </c>
      <c r="AD873" s="9">
        <v>46015.345671296294</v>
      </c>
    </row>
    <row r="874" spans="1:30" ht="12.5">
      <c r="A874" s="4">
        <v>46014.817783379629</v>
      </c>
      <c r="B874" s="5">
        <v>90611</v>
      </c>
      <c r="C874" s="5">
        <v>1001853756</v>
      </c>
      <c r="D874" s="5" t="s">
        <v>4241</v>
      </c>
      <c r="F874" s="5" t="s">
        <v>4242</v>
      </c>
      <c r="H874" s="5">
        <v>573017961778</v>
      </c>
      <c r="J874" s="5" t="s">
        <v>4243</v>
      </c>
      <c r="K874" s="5" t="s">
        <v>405</v>
      </c>
      <c r="L874" s="5" t="s">
        <v>4244</v>
      </c>
      <c r="N874" s="6">
        <v>46015</v>
      </c>
      <c r="O874" s="7">
        <v>0</v>
      </c>
      <c r="P874" s="5">
        <v>1</v>
      </c>
      <c r="Q874" s="5" t="s">
        <v>210</v>
      </c>
      <c r="R874" s="5">
        <v>150000</v>
      </c>
      <c r="S874" s="5">
        <v>0</v>
      </c>
      <c r="T874" s="5">
        <v>30000</v>
      </c>
      <c r="U874" s="5">
        <v>180000</v>
      </c>
      <c r="V874" s="5" t="s">
        <v>4245</v>
      </c>
      <c r="W874" s="5" t="s">
        <v>36</v>
      </c>
      <c r="X874" s="5" t="s">
        <v>180</v>
      </c>
      <c r="AA874" s="5" t="s">
        <v>44</v>
      </c>
      <c r="AC874" s="8" t="str">
        <f>HYPERLINK("https://drive.google.com/file/d/1rtspLrWoynJtR6h75vYJfKCjxPr7pUwd/view?usp=drivesdk", "Abrir_Factura")</f>
        <v>Abrir_Factura</v>
      </c>
      <c r="AD874" s="9">
        <v>46015.353750000002</v>
      </c>
    </row>
    <row r="875" spans="1:30" ht="12.5">
      <c r="A875" s="4">
        <v>46015.34774946759</v>
      </c>
      <c r="B875" s="5">
        <v>90612</v>
      </c>
      <c r="C875" s="5">
        <v>1143135418</v>
      </c>
      <c r="D875" s="5" t="s">
        <v>290</v>
      </c>
      <c r="F875" s="5" t="s">
        <v>4246</v>
      </c>
      <c r="H875" s="5">
        <v>573015718010</v>
      </c>
      <c r="J875" s="5" t="s">
        <v>4247</v>
      </c>
      <c r="K875" s="5" t="s">
        <v>563</v>
      </c>
      <c r="L875" s="5" t="s">
        <v>4248</v>
      </c>
      <c r="M875" s="5">
        <v>3005061277</v>
      </c>
      <c r="N875" s="6">
        <v>46015</v>
      </c>
      <c r="O875" s="7">
        <v>0.4</v>
      </c>
      <c r="P875" s="5">
        <v>1</v>
      </c>
      <c r="Q875" s="5" t="s">
        <v>309</v>
      </c>
      <c r="R875" s="5">
        <v>80000</v>
      </c>
      <c r="S875" s="5">
        <v>0</v>
      </c>
      <c r="T875" s="5">
        <v>12000</v>
      </c>
      <c r="U875" s="5">
        <v>92000</v>
      </c>
      <c r="V875" s="5" t="s">
        <v>4249</v>
      </c>
      <c r="W875" s="5" t="s">
        <v>36</v>
      </c>
      <c r="X875" s="5" t="s">
        <v>83</v>
      </c>
      <c r="AA875" s="5" t="s">
        <v>69</v>
      </c>
      <c r="AC875" s="8" t="str">
        <f>HYPERLINK("https://drive.google.com/file/d/1z9sj3vzrBQ8Nt3W9-NG2xcxh7bbKO5jx/view?usp=drivesdk", "Abrir_Factura")</f>
        <v>Abrir_Factura</v>
      </c>
      <c r="AD875" s="9">
        <v>46015.368784722225</v>
      </c>
    </row>
    <row r="876" spans="1:30" ht="12.5">
      <c r="A876" s="4">
        <v>46015.351464907406</v>
      </c>
      <c r="B876" s="5">
        <v>90613</v>
      </c>
      <c r="C876" s="5">
        <v>1001818957</v>
      </c>
      <c r="D876" s="5" t="s">
        <v>4250</v>
      </c>
      <c r="F876" s="5" t="s">
        <v>4251</v>
      </c>
      <c r="H876" s="5">
        <v>573205592824</v>
      </c>
      <c r="J876" s="5" t="s">
        <v>4252</v>
      </c>
      <c r="K876" s="5" t="s">
        <v>33</v>
      </c>
      <c r="L876" s="5" t="s">
        <v>34</v>
      </c>
      <c r="N876" s="6">
        <v>46015</v>
      </c>
      <c r="O876" s="7">
        <v>0.45833333333333331</v>
      </c>
      <c r="P876" s="5">
        <v>1</v>
      </c>
      <c r="Q876" s="5" t="s">
        <v>65</v>
      </c>
      <c r="R876" s="5">
        <v>70000</v>
      </c>
      <c r="S876" s="5">
        <v>0</v>
      </c>
      <c r="T876" s="5">
        <v>0</v>
      </c>
      <c r="U876" s="5">
        <v>70000</v>
      </c>
      <c r="V876" s="5" t="s">
        <v>4253</v>
      </c>
      <c r="W876" s="5" t="s">
        <v>36</v>
      </c>
      <c r="X876" s="5" t="s">
        <v>83</v>
      </c>
      <c r="AA876" s="5" t="s">
        <v>69</v>
      </c>
      <c r="AC876" s="8" t="str">
        <f>HYPERLINK("https://drive.google.com/file/d/1d_589bmkQOT-ipQRiy0a7YQZSlNNwa0v/view?usp=drivesdk", "Abrir_Factura")</f>
        <v>Abrir_Factura</v>
      </c>
      <c r="AD876" s="9">
        <v>46015.358055555553</v>
      </c>
    </row>
    <row r="877" spans="1:30" ht="12.5">
      <c r="A877" s="4">
        <v>46015.35594256944</v>
      </c>
      <c r="B877" s="5">
        <v>90614</v>
      </c>
      <c r="C877" s="5">
        <v>1042242436</v>
      </c>
      <c r="D877" s="5" t="s">
        <v>4254</v>
      </c>
      <c r="F877" s="5" t="s">
        <v>4255</v>
      </c>
      <c r="H877" s="5">
        <v>573166212722</v>
      </c>
      <c r="J877" s="5" t="s">
        <v>4256</v>
      </c>
      <c r="K877" s="5" t="s">
        <v>33</v>
      </c>
      <c r="L877" s="10" t="s">
        <v>4257</v>
      </c>
      <c r="M877" s="5">
        <v>3166212722</v>
      </c>
      <c r="N877" s="6">
        <v>46015</v>
      </c>
      <c r="O877" s="7">
        <v>0.41666666666666669</v>
      </c>
      <c r="P877" s="5">
        <v>1</v>
      </c>
      <c r="Q877" s="5" t="s">
        <v>384</v>
      </c>
      <c r="R877" s="5">
        <v>180000</v>
      </c>
      <c r="S877" s="5">
        <v>0</v>
      </c>
      <c r="T877" s="5">
        <v>0</v>
      </c>
      <c r="U877" s="5">
        <v>180000</v>
      </c>
      <c r="W877" s="5" t="s">
        <v>36</v>
      </c>
      <c r="X877" s="5" t="s">
        <v>2438</v>
      </c>
      <c r="AA877" s="5" t="s">
        <v>44</v>
      </c>
      <c r="AC877" s="8" t="str">
        <f>HYPERLINK("https://drive.google.com/file/d/1g0cyjBkM1Y4WyR5l1TTRYssdGRxQXAH1/view?usp=drivesdk","Abrir_Factura")</f>
        <v>Abrir_Factura</v>
      </c>
      <c r="AD877" s="9">
        <v>46015.367789351854</v>
      </c>
    </row>
    <row r="878" spans="1:30" ht="12.5">
      <c r="A878" s="4">
        <v>46015.34320210648</v>
      </c>
      <c r="B878" s="5">
        <v>90615</v>
      </c>
      <c r="C878" s="5">
        <v>52802804</v>
      </c>
      <c r="D878" s="5" t="s">
        <v>283</v>
      </c>
      <c r="F878" s="5" t="s">
        <v>4258</v>
      </c>
      <c r="H878" s="5">
        <v>573187125302</v>
      </c>
      <c r="J878" s="5" t="s">
        <v>4259</v>
      </c>
      <c r="K878" s="5" t="s">
        <v>33</v>
      </c>
      <c r="L878" s="5" t="s">
        <v>34</v>
      </c>
      <c r="N878" s="6">
        <v>46015</v>
      </c>
      <c r="O878" s="7">
        <v>0.41041666666666665</v>
      </c>
      <c r="P878" s="5">
        <v>1</v>
      </c>
      <c r="Q878" s="5" t="s">
        <v>42</v>
      </c>
      <c r="R878" s="5">
        <v>70000</v>
      </c>
      <c r="S878" s="5">
        <v>0</v>
      </c>
      <c r="T878" s="5">
        <v>0</v>
      </c>
      <c r="U878" s="5">
        <v>70000</v>
      </c>
      <c r="W878" s="5" t="s">
        <v>36</v>
      </c>
      <c r="X878" s="5" t="s">
        <v>83</v>
      </c>
      <c r="AA878" s="5" t="s">
        <v>69</v>
      </c>
      <c r="AB878" s="5" t="s">
        <v>4260</v>
      </c>
      <c r="AC878" s="8" t="str">
        <f>HYPERLINK("https://drive.google.com/file/d/12yRJohF0kAHp8bWHGmQBQulzM8LmahXA/view?usp=drivesdk", "Abrir_Factura")</f>
        <v>Abrir_Factura</v>
      </c>
      <c r="AD878" s="9">
        <v>46015.482939814814</v>
      </c>
    </row>
    <row r="879" spans="1:30" ht="12.5">
      <c r="A879" s="4">
        <v>46015.375656874996</v>
      </c>
      <c r="B879" s="5">
        <v>90616</v>
      </c>
      <c r="C879" s="5">
        <v>72132141</v>
      </c>
      <c r="D879" s="5" t="s">
        <v>4261</v>
      </c>
      <c r="F879" s="5" t="s">
        <v>236</v>
      </c>
      <c r="H879" s="5">
        <v>573003237568</v>
      </c>
      <c r="J879" s="5" t="s">
        <v>4262</v>
      </c>
      <c r="K879" s="5" t="s">
        <v>1722</v>
      </c>
      <c r="L879" s="5" t="s">
        <v>4263</v>
      </c>
      <c r="N879" s="6">
        <v>46015</v>
      </c>
      <c r="O879" s="7">
        <v>0.45833333333333331</v>
      </c>
      <c r="P879" s="5">
        <v>1</v>
      </c>
      <c r="Q879" s="5" t="s">
        <v>734</v>
      </c>
      <c r="R879" s="5">
        <v>90000</v>
      </c>
      <c r="S879" s="5">
        <v>0</v>
      </c>
      <c r="T879" s="5">
        <v>15000</v>
      </c>
      <c r="U879" s="5">
        <v>105000</v>
      </c>
      <c r="V879" s="5" t="s">
        <v>4264</v>
      </c>
      <c r="W879" s="5" t="s">
        <v>36</v>
      </c>
      <c r="X879" s="5" t="s">
        <v>2636</v>
      </c>
      <c r="AA879" s="5" t="s">
        <v>1717</v>
      </c>
      <c r="AB879" s="5" t="s">
        <v>4265</v>
      </c>
      <c r="AC879" s="8" t="str">
        <f>HYPERLINK("https://drive.google.com/file/d/10jBb98AuhqsH02PLDw5hhxzJXlk9bwyM/view?usp=drivesdk", "Abrir_Factura")</f>
        <v>Abrir_Factura</v>
      </c>
      <c r="AD879" s="9">
        <v>46015.385231481479</v>
      </c>
    </row>
    <row r="880" spans="1:30" ht="12.5">
      <c r="A880" s="4">
        <v>46015.344110023143</v>
      </c>
      <c r="B880" s="5">
        <v>90617</v>
      </c>
      <c r="C880" s="5">
        <v>1002129361</v>
      </c>
      <c r="D880" s="5" t="s">
        <v>4266</v>
      </c>
      <c r="F880" s="5" t="s">
        <v>2754</v>
      </c>
      <c r="H880" s="5">
        <v>573013687261</v>
      </c>
      <c r="J880" s="5" t="s">
        <v>4267</v>
      </c>
      <c r="K880" s="5" t="s">
        <v>33</v>
      </c>
      <c r="L880" s="5" t="s">
        <v>34</v>
      </c>
      <c r="M880" s="5">
        <v>3013687261</v>
      </c>
      <c r="N880" s="6">
        <v>46015</v>
      </c>
      <c r="O880" s="7">
        <v>0.44861111111111113</v>
      </c>
      <c r="P880" s="5">
        <v>1</v>
      </c>
      <c r="Q880" s="5" t="s">
        <v>187</v>
      </c>
      <c r="R880" s="5">
        <v>200000</v>
      </c>
      <c r="S880" s="5">
        <v>0</v>
      </c>
      <c r="T880" s="5">
        <v>0</v>
      </c>
      <c r="U880" s="5">
        <v>200000</v>
      </c>
      <c r="V880" s="5" t="s">
        <v>4268</v>
      </c>
      <c r="W880" s="5" t="s">
        <v>36</v>
      </c>
      <c r="X880" s="5" t="s">
        <v>180</v>
      </c>
      <c r="AA880" s="5" t="s">
        <v>69</v>
      </c>
      <c r="AB880" s="5" t="s">
        <v>4269</v>
      </c>
      <c r="AC880" s="8" t="str">
        <f>HYPERLINK("https://drive.google.com/file/d/1SoTD1MSK8aMfnSxEMA1DZTAw5Ato94On/view?usp=drivesdk","Abrir_Factura")</f>
        <v>Abrir_Factura</v>
      </c>
      <c r="AD880" s="9">
        <v>46015.378240740742</v>
      </c>
    </row>
    <row r="881" spans="1:30" ht="12.5">
      <c r="A881" s="4">
        <v>46015.37049700231</v>
      </c>
      <c r="B881" s="5">
        <v>90618</v>
      </c>
      <c r="C881" s="5">
        <v>1193201958</v>
      </c>
      <c r="D881" s="5" t="s">
        <v>290</v>
      </c>
      <c r="F881" s="5" t="s">
        <v>4270</v>
      </c>
      <c r="H881" s="5">
        <v>573004753197</v>
      </c>
      <c r="J881" s="5" t="s">
        <v>4271</v>
      </c>
      <c r="K881" s="5" t="s">
        <v>73</v>
      </c>
      <c r="L881" s="5" t="s">
        <v>4272</v>
      </c>
      <c r="M881" s="5">
        <v>3160665040</v>
      </c>
      <c r="N881" s="6">
        <v>46015</v>
      </c>
      <c r="O881" s="7">
        <v>0.41666666666666669</v>
      </c>
      <c r="P881" s="5">
        <v>1</v>
      </c>
      <c r="Q881" s="5" t="s">
        <v>178</v>
      </c>
      <c r="R881" s="5">
        <v>100000</v>
      </c>
      <c r="S881" s="5">
        <v>0</v>
      </c>
      <c r="T881" s="5">
        <v>8000</v>
      </c>
      <c r="U881" s="5">
        <v>108000</v>
      </c>
      <c r="V881" s="5" t="s">
        <v>4273</v>
      </c>
      <c r="W881" s="5" t="s">
        <v>36</v>
      </c>
      <c r="X881" s="5" t="s">
        <v>83</v>
      </c>
      <c r="AA881" s="5" t="s">
        <v>69</v>
      </c>
      <c r="AB881" s="5" t="s">
        <v>4274</v>
      </c>
      <c r="AC881" s="8" t="str">
        <f>HYPERLINK("https://drive.google.com/file/d/1aXr4jVaZzoqz9En5QVe8hvsPPKlEw-aE/view?usp=drivesdk", "Abrir_Factura")</f>
        <v>Abrir_Factura</v>
      </c>
      <c r="AD881" s="9">
        <v>46015.381504629629</v>
      </c>
    </row>
    <row r="882" spans="1:30" ht="12.5">
      <c r="A882" s="4">
        <v>46015.386585416665</v>
      </c>
      <c r="B882" s="5">
        <v>90619</v>
      </c>
      <c r="C882" s="5">
        <v>1082940985</v>
      </c>
      <c r="D882" s="5" t="s">
        <v>4275</v>
      </c>
      <c r="F882" s="5" t="s">
        <v>4276</v>
      </c>
      <c r="H882" s="5">
        <v>573105628531</v>
      </c>
      <c r="J882" s="5" t="s">
        <v>4277</v>
      </c>
      <c r="K882" s="5" t="s">
        <v>63</v>
      </c>
      <c r="L882" s="5" t="s">
        <v>4278</v>
      </c>
      <c r="N882" s="6">
        <v>46015</v>
      </c>
      <c r="O882" s="7">
        <v>0.45833333333333331</v>
      </c>
      <c r="P882" s="5">
        <v>1</v>
      </c>
      <c r="Q882" s="5" t="s">
        <v>370</v>
      </c>
      <c r="R882" s="5">
        <v>260000</v>
      </c>
      <c r="S882" s="5">
        <v>0</v>
      </c>
      <c r="T882" s="5">
        <v>15000</v>
      </c>
      <c r="U882" s="5">
        <v>275000</v>
      </c>
      <c r="V882" s="5" t="s">
        <v>4279</v>
      </c>
      <c r="W882" s="5" t="s">
        <v>36</v>
      </c>
      <c r="X882" s="5" t="s">
        <v>180</v>
      </c>
      <c r="AA882" s="5" t="s">
        <v>44</v>
      </c>
      <c r="AC882" s="8" t="str">
        <f>HYPERLINK("https://drive.google.com/file/d/1ClYEZlTQL_N4FihT3jaXrP_yaXyjg8ku/view?usp=drivesdk", "Abrir_Factura")</f>
        <v>Abrir_Factura</v>
      </c>
      <c r="AD882" s="9">
        <v>46015.507060185184</v>
      </c>
    </row>
    <row r="883" spans="1:30" ht="12.5">
      <c r="A883" s="4">
        <v>46015.348692951389</v>
      </c>
      <c r="B883" s="5">
        <v>90620</v>
      </c>
      <c r="C883" s="5">
        <v>1143255219</v>
      </c>
      <c r="D883" s="5" t="s">
        <v>4280</v>
      </c>
      <c r="F883" s="5" t="s">
        <v>4281</v>
      </c>
      <c r="H883" s="5">
        <v>573004768221</v>
      </c>
      <c r="J883" s="5" t="s">
        <v>4282</v>
      </c>
      <c r="K883" s="5" t="s">
        <v>4283</v>
      </c>
      <c r="L883" s="5" t="s">
        <v>4284</v>
      </c>
      <c r="M883" s="5">
        <v>3022074663</v>
      </c>
      <c r="N883" s="6">
        <v>46015</v>
      </c>
      <c r="O883" s="7">
        <v>0.48194444444444445</v>
      </c>
      <c r="P883" s="5">
        <v>1</v>
      </c>
      <c r="Q883" s="5" t="s">
        <v>330</v>
      </c>
      <c r="R883" s="5">
        <v>180000</v>
      </c>
      <c r="S883" s="5">
        <v>0</v>
      </c>
      <c r="T883" s="5">
        <v>20000</v>
      </c>
      <c r="U883" s="5">
        <v>200000</v>
      </c>
      <c r="V883" s="5" t="s">
        <v>4285</v>
      </c>
      <c r="W883" s="5" t="s">
        <v>36</v>
      </c>
      <c r="X883" s="5" t="s">
        <v>83</v>
      </c>
      <c r="AA883" s="5" t="s">
        <v>69</v>
      </c>
      <c r="AC883" s="8" t="str">
        <f>HYPERLINK("https://drive.google.com/file/d/1ZhF7j_AmjXENf2zSI9aqnBAbuAxPTXjS/view?usp=drivesdk", "Abrir_Factura")</f>
        <v>Abrir_Factura</v>
      </c>
      <c r="AD883" s="9">
        <v>46015.403680555559</v>
      </c>
    </row>
    <row r="884" spans="1:30" ht="12.5">
      <c r="A884" s="4">
        <v>46015.364781365744</v>
      </c>
      <c r="B884" s="5">
        <v>90621</v>
      </c>
      <c r="C884" s="5">
        <v>1043874409</v>
      </c>
      <c r="D884" s="5" t="s">
        <v>4286</v>
      </c>
      <c r="F884" s="5" t="s">
        <v>4287</v>
      </c>
      <c r="H884" s="5">
        <v>573225236847</v>
      </c>
      <c r="J884" s="5" t="s">
        <v>4288</v>
      </c>
      <c r="K884" s="5" t="s">
        <v>146</v>
      </c>
      <c r="L884" s="5" t="s">
        <v>4289</v>
      </c>
      <c r="M884" s="5" t="s">
        <v>992</v>
      </c>
      <c r="N884" s="6">
        <v>46015</v>
      </c>
      <c r="O884" s="7">
        <v>0.47916666666666669</v>
      </c>
      <c r="P884" s="5">
        <v>1</v>
      </c>
      <c r="Q884" s="5" t="s">
        <v>75</v>
      </c>
      <c r="R884" s="5">
        <v>70000</v>
      </c>
      <c r="S884" s="5">
        <v>0</v>
      </c>
      <c r="T884" s="5">
        <v>12000</v>
      </c>
      <c r="U884" s="5">
        <v>82000</v>
      </c>
      <c r="V884" s="5" t="s">
        <v>4290</v>
      </c>
      <c r="W884" s="5" t="s">
        <v>36</v>
      </c>
      <c r="X884" s="5" t="s">
        <v>83</v>
      </c>
      <c r="AA884" s="5" t="s">
        <v>44</v>
      </c>
      <c r="AC884" s="8" t="str">
        <f>HYPERLINK("https://drive.google.com/file/d/1trb4-pIxD-uWQhgRLBARM0QKQqj6LBrn/view?usp=drivesdk", "Abrir_Factura")</f>
        <v>Abrir_Factura</v>
      </c>
      <c r="AD884" s="9">
        <v>46015.433865740742</v>
      </c>
    </row>
    <row r="885" spans="1:30" ht="12.5">
      <c r="A885" s="4">
        <v>46015.416727627315</v>
      </c>
      <c r="B885" s="5">
        <v>90622</v>
      </c>
      <c r="C885" s="5">
        <v>55313421</v>
      </c>
      <c r="D885" s="5" t="s">
        <v>4291</v>
      </c>
      <c r="F885" s="5" t="s">
        <v>4292</v>
      </c>
      <c r="H885" s="5">
        <v>573017851009</v>
      </c>
      <c r="J885" s="5" t="s">
        <v>4293</v>
      </c>
      <c r="K885" s="5" t="s">
        <v>975</v>
      </c>
      <c r="L885" s="5" t="s">
        <v>4294</v>
      </c>
      <c r="M885" s="5">
        <v>3017851009</v>
      </c>
      <c r="N885" s="6">
        <v>46015</v>
      </c>
      <c r="O885" s="7">
        <v>0.97777777777777775</v>
      </c>
      <c r="P885" s="5">
        <v>1</v>
      </c>
      <c r="Q885" s="5" t="s">
        <v>178</v>
      </c>
      <c r="R885" s="5">
        <v>100000</v>
      </c>
      <c r="S885" s="5">
        <v>0</v>
      </c>
      <c r="T885" s="5">
        <v>10000</v>
      </c>
      <c r="U885" s="5">
        <v>110000</v>
      </c>
      <c r="V885" s="5" t="s">
        <v>4295</v>
      </c>
      <c r="W885" s="5" t="s">
        <v>36</v>
      </c>
      <c r="X885" s="5" t="s">
        <v>180</v>
      </c>
      <c r="AA885" s="5" t="s">
        <v>44</v>
      </c>
      <c r="AB885" s="5" t="s">
        <v>4296</v>
      </c>
      <c r="AC885" s="8" t="str">
        <f>HYPERLINK("https://drive.google.com/file/d/1NsSeQCF3vNYp2-1xM11z86xGFG_zupkZ/view?usp=drivesdk", "Abrir_Factura")</f>
        <v>Abrir_Factura</v>
      </c>
      <c r="AD885" s="9">
        <v>46015.434884259259</v>
      </c>
    </row>
    <row r="886" spans="1:30" ht="12.5">
      <c r="A886" s="4">
        <v>46015.431236157412</v>
      </c>
      <c r="B886" s="5">
        <v>90623</v>
      </c>
      <c r="C886" s="5">
        <v>1193444869</v>
      </c>
      <c r="D886" s="5" t="s">
        <v>4297</v>
      </c>
      <c r="F886" s="5" t="s">
        <v>4298</v>
      </c>
      <c r="H886" s="5">
        <v>573012787116</v>
      </c>
      <c r="J886" s="5" t="s">
        <v>4299</v>
      </c>
      <c r="K886" s="5" t="s">
        <v>1677</v>
      </c>
      <c r="L886" s="5" t="s">
        <v>4300</v>
      </c>
      <c r="M886" s="5">
        <v>3012786412</v>
      </c>
      <c r="N886" s="6">
        <v>46015</v>
      </c>
      <c r="O886" s="7">
        <v>1.3888888888888888E-2</v>
      </c>
      <c r="P886" s="5">
        <v>1</v>
      </c>
      <c r="Q886" s="5" t="s">
        <v>57</v>
      </c>
      <c r="R886" s="5">
        <v>120000</v>
      </c>
      <c r="S886" s="5">
        <v>0</v>
      </c>
      <c r="T886" s="5">
        <v>17000</v>
      </c>
      <c r="U886" s="5">
        <v>137000</v>
      </c>
      <c r="V886" s="5" t="s">
        <v>4301</v>
      </c>
      <c r="W886" s="5" t="s">
        <v>36</v>
      </c>
      <c r="X886" s="5" t="s">
        <v>1937</v>
      </c>
      <c r="AA886" s="5" t="s">
        <v>69</v>
      </c>
      <c r="AC886" s="8" t="str">
        <f>HYPERLINK("https://drive.google.com/file/d/1f_bfZB-Jrrv7Q6QOjYpW2ys0yB7OOZ1p/view?usp=drivesdk", "Abrir_Factura")</f>
        <v>Abrir_Factura</v>
      </c>
      <c r="AD886" s="9">
        <v>46015.466643518521</v>
      </c>
    </row>
    <row r="887" spans="1:30" ht="12.5">
      <c r="A887" s="4">
        <v>46015.446830162036</v>
      </c>
      <c r="B887" s="5">
        <v>90624</v>
      </c>
      <c r="C887" s="5">
        <v>1001779733</v>
      </c>
      <c r="D887" s="5" t="s">
        <v>4302</v>
      </c>
      <c r="F887" s="5" t="s">
        <v>4303</v>
      </c>
      <c r="H887" s="5">
        <v>573205449072</v>
      </c>
      <c r="J887" s="5" t="s">
        <v>4304</v>
      </c>
      <c r="K887" s="5" t="s">
        <v>33</v>
      </c>
      <c r="L887" s="5" t="s">
        <v>34</v>
      </c>
      <c r="M887" s="5">
        <v>3205449072</v>
      </c>
      <c r="N887" s="6">
        <v>46015</v>
      </c>
      <c r="O887" s="7">
        <v>1.1111111111111112E-2</v>
      </c>
      <c r="P887" s="5">
        <v>1</v>
      </c>
      <c r="Q887" s="5" t="s">
        <v>309</v>
      </c>
      <c r="R887" s="5">
        <v>80000</v>
      </c>
      <c r="S887" s="5">
        <v>0</v>
      </c>
      <c r="T887" s="5">
        <v>0</v>
      </c>
      <c r="U887" s="5">
        <v>80000</v>
      </c>
      <c r="V887" s="5" t="s">
        <v>4305</v>
      </c>
      <c r="W887" s="5" t="s">
        <v>36</v>
      </c>
      <c r="X887" s="5" t="s">
        <v>83</v>
      </c>
      <c r="AA887" s="5" t="s">
        <v>44</v>
      </c>
      <c r="AB887" s="5" t="s">
        <v>4306</v>
      </c>
      <c r="AC887" s="8" t="str">
        <f>HYPERLINK("https://drive.google.com/file/d/1Ez-fjPnUDR-Hhp9wovMPlrQwM5CXunTh/view?usp=drivesdk","Abrir_Factura")</f>
        <v>Abrir_Factura</v>
      </c>
      <c r="AD887" s="9">
        <v>46015.477256944447</v>
      </c>
    </row>
    <row r="888" spans="1:30" ht="12.5">
      <c r="A888" s="4">
        <v>46015.476583553245</v>
      </c>
      <c r="B888" s="5">
        <v>90625</v>
      </c>
      <c r="C888" s="5">
        <v>72271937</v>
      </c>
      <c r="D888" s="5" t="s">
        <v>1784</v>
      </c>
      <c r="F888" s="5" t="s">
        <v>1785</v>
      </c>
      <c r="H888" s="5">
        <v>573045334016</v>
      </c>
      <c r="J888" s="5" t="s">
        <v>1786</v>
      </c>
      <c r="K888" s="5" t="s">
        <v>33</v>
      </c>
      <c r="L888" s="5" t="s">
        <v>34</v>
      </c>
      <c r="M888" s="5">
        <v>3045334016</v>
      </c>
      <c r="N888" s="6">
        <v>46015</v>
      </c>
      <c r="O888" s="7">
        <v>0</v>
      </c>
      <c r="P888" s="5">
        <v>1</v>
      </c>
      <c r="Q888" s="5" t="s">
        <v>42</v>
      </c>
      <c r="R888" s="5">
        <v>45000</v>
      </c>
      <c r="S888" s="5">
        <v>0</v>
      </c>
      <c r="T888" s="5">
        <v>0</v>
      </c>
      <c r="U888" s="5">
        <v>45000</v>
      </c>
      <c r="V888" s="5" t="s">
        <v>4307</v>
      </c>
      <c r="W888" s="5" t="s">
        <v>36</v>
      </c>
      <c r="X888" s="5" t="s">
        <v>2636</v>
      </c>
      <c r="AA888" s="5" t="s">
        <v>1717</v>
      </c>
      <c r="AB888" s="5"/>
      <c r="AC888" s="8" t="str">
        <f>HYPERLINK("https://drive.google.com/file/d/1h1bIF2tXMhJyEuo48IjSeQWefRDLe3Rn/view?usp=drivesdk", "Abrir_Factura")</f>
        <v>Abrir_Factura</v>
      </c>
      <c r="AD888" s="9">
        <v>46015.47755787037</v>
      </c>
    </row>
    <row r="889" spans="1:30" ht="12.5">
      <c r="A889" s="4">
        <v>46015.437107523147</v>
      </c>
      <c r="B889" s="5">
        <v>90626</v>
      </c>
      <c r="C889" s="5">
        <v>801197101559</v>
      </c>
      <c r="D889" s="5" t="s">
        <v>4308</v>
      </c>
      <c r="F889" s="5" t="s">
        <v>4309</v>
      </c>
      <c r="H889" s="5">
        <v>13058124451</v>
      </c>
      <c r="J889" s="5" t="s">
        <v>4310</v>
      </c>
      <c r="K889" s="5" t="s">
        <v>63</v>
      </c>
      <c r="L889" s="5" t="s">
        <v>4311</v>
      </c>
      <c r="N889" s="6">
        <v>46015</v>
      </c>
      <c r="O889" s="7">
        <v>0.54166666666666663</v>
      </c>
      <c r="P889" s="5">
        <v>1</v>
      </c>
      <c r="Q889" s="5" t="s">
        <v>4021</v>
      </c>
      <c r="R889" s="5">
        <v>220000</v>
      </c>
      <c r="S889" s="5">
        <v>0</v>
      </c>
      <c r="T889" s="5">
        <v>15000</v>
      </c>
      <c r="U889" s="5">
        <v>235000</v>
      </c>
      <c r="V889" s="5" t="s">
        <v>4312</v>
      </c>
      <c r="W889" s="5" t="s">
        <v>36</v>
      </c>
      <c r="X889" s="5" t="s">
        <v>3754</v>
      </c>
      <c r="AA889" s="5" t="s">
        <v>69</v>
      </c>
      <c r="AB889" s="5" t="s">
        <v>4313</v>
      </c>
      <c r="AC889" s="8" t="str">
        <f>HYPERLINK("https://drive.google.com/file/d/1tKnpoGr5_efwh0ViTCnJxdR25XaC1FFN/view?usp=drivesdk", "Abrir_Factura")</f>
        <v>Abrir_Factura</v>
      </c>
      <c r="AD889" s="9">
        <v>46015.484131944446</v>
      </c>
    </row>
    <row r="890" spans="1:30" ht="12.5">
      <c r="A890" s="4">
        <v>46015.499394224535</v>
      </c>
      <c r="B890" s="5">
        <v>90627</v>
      </c>
      <c r="C890" s="5">
        <v>32729501</v>
      </c>
      <c r="D890" s="5" t="s">
        <v>3279</v>
      </c>
      <c r="F890" s="5" t="s">
        <v>3280</v>
      </c>
      <c r="H890" s="5">
        <v>573157163109</v>
      </c>
      <c r="J890" s="5" t="s">
        <v>4314</v>
      </c>
      <c r="K890" s="5" t="s">
        <v>110</v>
      </c>
      <c r="L890" s="5" t="s">
        <v>4315</v>
      </c>
      <c r="M890" s="5">
        <v>3157163109</v>
      </c>
      <c r="N890" s="6">
        <v>46015</v>
      </c>
      <c r="O890" s="7">
        <v>0</v>
      </c>
      <c r="P890" s="5">
        <v>1</v>
      </c>
      <c r="Q890" s="5" t="s">
        <v>1792</v>
      </c>
      <c r="R890" s="5">
        <v>130000</v>
      </c>
      <c r="S890" s="5">
        <v>0</v>
      </c>
      <c r="T890" s="5">
        <v>6000</v>
      </c>
      <c r="U890" s="5">
        <v>136000</v>
      </c>
      <c r="V890" s="5" t="s">
        <v>4316</v>
      </c>
      <c r="W890" s="5" t="s">
        <v>36</v>
      </c>
      <c r="X890" s="5" t="s">
        <v>2636</v>
      </c>
      <c r="Y890" s="5" t="s">
        <v>4317</v>
      </c>
      <c r="AA890" s="5" t="s">
        <v>1717</v>
      </c>
      <c r="AB890" s="5"/>
      <c r="AC890" s="8" t="str">
        <f>HYPERLINK("https://drive.google.com/file/d/1JPwry3s24wR5EGJzHxSx4S4_G1ApvooN/view?usp=drivesdk", "Abrir_Factura")</f>
        <v>Abrir_Factura</v>
      </c>
      <c r="AD890" s="9">
        <v>46015.502986111111</v>
      </c>
    </row>
    <row r="891" spans="1:30" ht="12.5">
      <c r="A891" s="4">
        <v>46015.477378020834</v>
      </c>
      <c r="B891" s="5">
        <v>90628</v>
      </c>
      <c r="C891" s="5">
        <v>1045754529</v>
      </c>
      <c r="D891" s="5" t="s">
        <v>1291</v>
      </c>
      <c r="F891" s="5" t="s">
        <v>4318</v>
      </c>
      <c r="H891" s="5">
        <v>573205423127</v>
      </c>
      <c r="J891" s="5" t="s">
        <v>4319</v>
      </c>
      <c r="K891" s="5"/>
      <c r="L891" s="5" t="s">
        <v>4320</v>
      </c>
      <c r="M891" s="5">
        <v>3205423127</v>
      </c>
      <c r="N891" s="6">
        <v>46015</v>
      </c>
      <c r="O891" s="7">
        <v>0.57013888888888886</v>
      </c>
      <c r="P891" s="5">
        <v>1</v>
      </c>
      <c r="Q891" s="5" t="s">
        <v>866</v>
      </c>
      <c r="R891" s="5">
        <v>280000</v>
      </c>
      <c r="S891" s="5">
        <v>0</v>
      </c>
      <c r="T891" s="5"/>
      <c r="U891" s="5">
        <v>280000</v>
      </c>
      <c r="V891" s="5" t="s">
        <v>4321</v>
      </c>
      <c r="W891" s="5" t="s">
        <v>36</v>
      </c>
      <c r="X891" s="5" t="s">
        <v>83</v>
      </c>
      <c r="AA891" s="5" t="s">
        <v>44</v>
      </c>
      <c r="AB891" s="5"/>
      <c r="AC891" s="8" t="str">
        <f>HYPERLINK("https://drive.google.com/file/d/1a9uCXpLUo3ja8Ij1uwSoTjrmY8NIYvRC/view?usp=drivesdk", "Abrir_Factura")</f>
        <v>Abrir_Factura</v>
      </c>
      <c r="AD891" s="9">
        <v>46015.513043981482</v>
      </c>
    </row>
    <row r="892" spans="1:30" ht="12.5">
      <c r="A892" s="4">
        <v>46015.450927500002</v>
      </c>
      <c r="B892" s="5">
        <v>90629</v>
      </c>
      <c r="C892" s="5">
        <v>1140851821</v>
      </c>
      <c r="D892" s="5" t="s">
        <v>4322</v>
      </c>
      <c r="F892" s="5" t="s">
        <v>4323</v>
      </c>
      <c r="H892" s="5">
        <v>573012445757</v>
      </c>
      <c r="J892" s="5" t="s">
        <v>4324</v>
      </c>
      <c r="K892" s="5" t="s">
        <v>154</v>
      </c>
      <c r="L892" s="5" t="s">
        <v>4325</v>
      </c>
      <c r="M892" s="5" t="s">
        <v>25421</v>
      </c>
      <c r="N892" s="6">
        <v>46015</v>
      </c>
      <c r="O892" s="7">
        <v>0.5756944444444444</v>
      </c>
      <c r="P892" s="5">
        <v>1</v>
      </c>
      <c r="Q892" s="5" t="s">
        <v>187</v>
      </c>
      <c r="R892" s="5">
        <v>200000</v>
      </c>
      <c r="S892" s="5">
        <v>0</v>
      </c>
      <c r="T892" s="5">
        <v>8000</v>
      </c>
      <c r="U892" s="5">
        <v>208000</v>
      </c>
      <c r="V892" s="5" t="s">
        <v>4326</v>
      </c>
      <c r="W892" s="5" t="s">
        <v>36</v>
      </c>
      <c r="X892" s="5" t="s">
        <v>1937</v>
      </c>
      <c r="AA892" s="5" t="s">
        <v>44</v>
      </c>
      <c r="AB892" s="5" t="s">
        <v>4327</v>
      </c>
      <c r="AC892" s="8" t="str">
        <f>HYPERLINK("https://drive.google.com/file/d/1ILa-QCpTSwVzrNkHGjQN3dQguGJHnwrB/view?usp=drivesdk", "Abrir_Factura")</f>
        <v>Abrir_Factura</v>
      </c>
      <c r="AD892" s="9">
        <v>46015.511238425926</v>
      </c>
    </row>
    <row r="893" spans="1:30" ht="12.5">
      <c r="A893" s="4">
        <v>46015.520992349542</v>
      </c>
      <c r="B893" s="5">
        <v>90630</v>
      </c>
      <c r="C893" s="5">
        <v>1140900565</v>
      </c>
      <c r="D893" s="5" t="s">
        <v>4328</v>
      </c>
      <c r="F893" s="5" t="s">
        <v>4329</v>
      </c>
      <c r="H893" s="5">
        <v>573016569876</v>
      </c>
      <c r="J893" s="5" t="s">
        <v>4330</v>
      </c>
      <c r="K893" s="5" t="s">
        <v>2381</v>
      </c>
      <c r="L893" s="5" t="s">
        <v>4331</v>
      </c>
      <c r="M893" s="5">
        <v>3016569876</v>
      </c>
      <c r="N893" s="6">
        <v>46015</v>
      </c>
      <c r="O893" s="7">
        <v>0</v>
      </c>
      <c r="P893" s="5">
        <v>1</v>
      </c>
      <c r="Q893" s="5" t="s">
        <v>42</v>
      </c>
      <c r="R893" s="5">
        <v>180000</v>
      </c>
      <c r="S893" s="5">
        <v>0</v>
      </c>
      <c r="T893" s="5">
        <v>18000</v>
      </c>
      <c r="U893" s="5">
        <v>198000</v>
      </c>
      <c r="V893" s="5" t="s">
        <v>4332</v>
      </c>
      <c r="W893" s="5" t="s">
        <v>36</v>
      </c>
      <c r="X893" s="5" t="s">
        <v>196</v>
      </c>
      <c r="Y893" s="5"/>
      <c r="AA893" s="5" t="s">
        <v>1717</v>
      </c>
      <c r="AB893" s="5" t="s">
        <v>4333</v>
      </c>
      <c r="AC893" s="8" t="str">
        <f>HYPERLINK("https://drive.google.com/file/d/1GlluJwgiBVfwV2lYO93qYVKdJ3aRgnT9/view?usp=drivesdk", "Abrir_Factura")</f>
        <v>Abrir_Factura</v>
      </c>
      <c r="AD893" s="9">
        <v>46015.522037037037</v>
      </c>
    </row>
    <row r="894" spans="1:30" ht="12.5">
      <c r="A894" s="4">
        <v>46015.465157152779</v>
      </c>
      <c r="B894" s="5">
        <v>90631</v>
      </c>
      <c r="C894" s="5">
        <v>1045725636</v>
      </c>
      <c r="D894" s="5" t="s">
        <v>4334</v>
      </c>
      <c r="F894" s="5" t="s">
        <v>4335</v>
      </c>
      <c r="H894" s="5">
        <v>17377810902</v>
      </c>
      <c r="J894" s="5" t="s">
        <v>4336</v>
      </c>
      <c r="K894" s="5" t="s">
        <v>924</v>
      </c>
      <c r="L894" s="5" t="s">
        <v>4337</v>
      </c>
      <c r="M894" s="5" t="s">
        <v>25421</v>
      </c>
      <c r="N894" s="6">
        <v>46015</v>
      </c>
      <c r="O894" s="7">
        <v>0.58333333333333337</v>
      </c>
      <c r="P894" s="5">
        <v>1</v>
      </c>
      <c r="Q894" s="5" t="s">
        <v>330</v>
      </c>
      <c r="R894" s="5">
        <v>180000</v>
      </c>
      <c r="S894" s="5">
        <v>0</v>
      </c>
      <c r="T894" s="5">
        <v>20000</v>
      </c>
      <c r="U894" s="5">
        <v>200000</v>
      </c>
      <c r="V894" s="5" t="s">
        <v>4338</v>
      </c>
      <c r="W894" s="5" t="s">
        <v>36</v>
      </c>
      <c r="X894" s="5" t="s">
        <v>180</v>
      </c>
      <c r="AA894" s="5" t="s">
        <v>69</v>
      </c>
      <c r="AB894" s="5"/>
      <c r="AC894" s="8" t="str">
        <f>HYPERLINK("https://drive.google.com/file/d/1UimkWaZigprdb0Cfu0dw18AxfIqCv2UJ/view?usp=drivesdk", "Abrir_Factura")</f>
        <v>Abrir_Factura</v>
      </c>
      <c r="AD894" s="9">
        <v>46015.527083333334</v>
      </c>
    </row>
    <row r="895" spans="1:30" ht="12.5">
      <c r="A895" s="4">
        <v>46015.472732152775</v>
      </c>
      <c r="B895" s="5">
        <v>90632</v>
      </c>
      <c r="C895" s="5">
        <v>1234094951</v>
      </c>
      <c r="D895" s="5" t="s">
        <v>1026</v>
      </c>
      <c r="F895" s="5" t="s">
        <v>4339</v>
      </c>
      <c r="H895" s="5">
        <v>573107411365</v>
      </c>
      <c r="J895" s="5" t="s">
        <v>4340</v>
      </c>
      <c r="K895" s="5" t="s">
        <v>33</v>
      </c>
      <c r="L895" s="5" t="s">
        <v>34</v>
      </c>
      <c r="M895" s="5">
        <v>3107411365</v>
      </c>
      <c r="N895" s="6">
        <v>46015</v>
      </c>
      <c r="O895" s="7">
        <v>0.58333333333333337</v>
      </c>
      <c r="P895" s="5">
        <v>1</v>
      </c>
      <c r="Q895" s="5" t="s">
        <v>42</v>
      </c>
      <c r="R895" s="5">
        <v>80000</v>
      </c>
      <c r="S895" s="5">
        <v>0</v>
      </c>
      <c r="T895" s="5">
        <v>0</v>
      </c>
      <c r="U895" s="5">
        <v>80000</v>
      </c>
      <c r="V895" s="5" t="s">
        <v>4341</v>
      </c>
      <c r="W895" s="5" t="s">
        <v>36</v>
      </c>
      <c r="X895" s="5" t="s">
        <v>83</v>
      </c>
      <c r="AA895" s="5" t="s">
        <v>44</v>
      </c>
      <c r="AB895" s="5" t="s">
        <v>4342</v>
      </c>
      <c r="AC895" s="8" t="str">
        <f>HYPERLINK("https://drive.google.com/file/d/1ZaI4NWFMNkL4FX8dmN32rS6AvhQSOGHU/view?usp=drivesdk", "Abrir_Factura")</f>
        <v>Abrir_Factura</v>
      </c>
      <c r="AD895" s="9">
        <v>46015.530752314815</v>
      </c>
    </row>
    <row r="896" spans="1:30" ht="12.5">
      <c r="A896" s="4">
        <v>46015.541049097221</v>
      </c>
      <c r="B896" s="5">
        <v>90633</v>
      </c>
      <c r="C896" s="5">
        <v>1048271706</v>
      </c>
      <c r="D896" s="5" t="s">
        <v>1127</v>
      </c>
      <c r="F896" s="5" t="s">
        <v>4343</v>
      </c>
      <c r="H896" s="5">
        <v>573116552814</v>
      </c>
      <c r="J896" s="5" t="s">
        <v>4344</v>
      </c>
      <c r="K896" s="5" t="s">
        <v>33</v>
      </c>
      <c r="L896" s="5" t="s">
        <v>34</v>
      </c>
      <c r="M896" s="5">
        <v>3116552814</v>
      </c>
      <c r="N896" s="6">
        <v>46015</v>
      </c>
      <c r="O896" s="7">
        <v>0</v>
      </c>
      <c r="P896" s="5">
        <v>1</v>
      </c>
      <c r="Q896" s="5" t="s">
        <v>178</v>
      </c>
      <c r="R896" s="5">
        <v>100000</v>
      </c>
      <c r="S896" s="5">
        <v>0</v>
      </c>
      <c r="T896" s="5">
        <v>0</v>
      </c>
      <c r="U896" s="5">
        <v>100000</v>
      </c>
      <c r="V896" s="5" t="s">
        <v>4345</v>
      </c>
      <c r="W896" s="5" t="s">
        <v>36</v>
      </c>
      <c r="X896" s="5" t="s">
        <v>196</v>
      </c>
      <c r="Y896" s="5"/>
      <c r="AA896" s="5" t="s">
        <v>1717</v>
      </c>
      <c r="AB896" s="5"/>
      <c r="AC896" s="8" t="str">
        <f>HYPERLINK("https://drive.google.com/file/d/1coSypY64Rr0-LQk4dJKyb2dMJzhJRvvb/view?usp=drivesdk", "Abrir_Factura")</f>
        <v>Abrir_Factura</v>
      </c>
      <c r="AD896" s="9">
        <v>46015.543206018519</v>
      </c>
    </row>
    <row r="897" spans="1:30" ht="12.5">
      <c r="A897" s="4">
        <v>46015.568119814816</v>
      </c>
      <c r="B897" s="5">
        <v>90634</v>
      </c>
      <c r="C897" s="5">
        <v>72084775</v>
      </c>
      <c r="D897" s="5" t="s">
        <v>703</v>
      </c>
      <c r="F897" s="5" t="s">
        <v>4346</v>
      </c>
      <c r="H897" s="5">
        <v>573114323534</v>
      </c>
      <c r="J897" s="5" t="s">
        <v>4347</v>
      </c>
      <c r="K897" s="5" t="s">
        <v>33</v>
      </c>
      <c r="L897" s="5" t="s">
        <v>34</v>
      </c>
      <c r="M897" s="5">
        <v>3114323534</v>
      </c>
      <c r="N897" s="6">
        <v>46015</v>
      </c>
      <c r="O897" s="7">
        <v>0.58333333333333337</v>
      </c>
      <c r="P897" s="5">
        <v>1</v>
      </c>
      <c r="Q897" s="5" t="s">
        <v>42</v>
      </c>
      <c r="R897" s="5">
        <v>310000</v>
      </c>
      <c r="S897" s="5">
        <v>0</v>
      </c>
      <c r="T897" s="5">
        <v>0</v>
      </c>
      <c r="U897" s="5">
        <v>310000</v>
      </c>
      <c r="V897" s="5"/>
      <c r="W897" s="5" t="s">
        <v>36</v>
      </c>
      <c r="X897" s="5" t="s">
        <v>2636</v>
      </c>
      <c r="AA897" s="5" t="s">
        <v>1717</v>
      </c>
      <c r="AC897" s="8" t="str">
        <f>HYPERLINK("https://drive.google.com/file/d/1YzuaTa3N5u_wkWb2o8DAvw9a84WPz9cj/view?usp=drivesdk", "Abrir_Factura")</f>
        <v>Abrir_Factura</v>
      </c>
      <c r="AD897" s="9">
        <v>46015.568958333337</v>
      </c>
    </row>
    <row r="898" spans="1:30" ht="12.5">
      <c r="A898" s="4">
        <v>46015.593475925925</v>
      </c>
      <c r="B898" s="5">
        <v>90635</v>
      </c>
      <c r="C898" s="5">
        <v>55314345</v>
      </c>
      <c r="D898" s="5" t="s">
        <v>4348</v>
      </c>
      <c r="F898" s="5" t="s">
        <v>1859</v>
      </c>
      <c r="H898" s="5">
        <v>573007609778</v>
      </c>
      <c r="J898" s="5" t="s">
        <v>4349</v>
      </c>
      <c r="K898" s="5" t="s">
        <v>33</v>
      </c>
      <c r="L898" s="5" t="s">
        <v>34</v>
      </c>
      <c r="M898" s="5">
        <v>3007609778</v>
      </c>
      <c r="N898" s="6">
        <v>46015</v>
      </c>
      <c r="O898" s="7">
        <v>0</v>
      </c>
      <c r="P898" s="5">
        <v>1</v>
      </c>
      <c r="Q898" s="5" t="s">
        <v>42</v>
      </c>
      <c r="R898" s="5">
        <v>225000</v>
      </c>
      <c r="S898" s="5">
        <v>0</v>
      </c>
      <c r="T898" s="5">
        <v>0</v>
      </c>
      <c r="U898" s="5">
        <v>225000</v>
      </c>
      <c r="V898" s="5"/>
      <c r="W898" s="5" t="s">
        <v>36</v>
      </c>
      <c r="X898" s="5" t="s">
        <v>196</v>
      </c>
      <c r="AA898" s="5" t="s">
        <v>1717</v>
      </c>
      <c r="AC898" s="8" t="str">
        <f>HYPERLINK("https://drive.google.com/file/d/1_z-bhS-v7EqfHqa1XduYlqI9OrRtp69y/view?usp=drivesdk", "Abrir_Factura")</f>
        <v>Abrir_Factura</v>
      </c>
      <c r="AD898" s="9">
        <v>46015.594340277778</v>
      </c>
    </row>
    <row r="899" spans="1:30" ht="12.5">
      <c r="A899" s="4">
        <v>46015.596838182872</v>
      </c>
      <c r="B899" s="5">
        <v>90636</v>
      </c>
      <c r="C899" s="5">
        <v>1129569990</v>
      </c>
      <c r="D899" s="5" t="s">
        <v>290</v>
      </c>
      <c r="F899" s="5" t="s">
        <v>4350</v>
      </c>
      <c r="H899" s="5">
        <v>573008148314</v>
      </c>
      <c r="J899" s="5" t="s">
        <v>4351</v>
      </c>
      <c r="K899" s="5" t="s">
        <v>33</v>
      </c>
      <c r="L899" s="5" t="s">
        <v>34</v>
      </c>
      <c r="M899" s="5">
        <v>3008148314</v>
      </c>
      <c r="N899" s="6">
        <v>46015</v>
      </c>
      <c r="O899" s="7">
        <v>0</v>
      </c>
      <c r="P899" s="5">
        <v>1</v>
      </c>
      <c r="Q899" s="5" t="s">
        <v>42</v>
      </c>
      <c r="R899" s="5">
        <v>80000</v>
      </c>
      <c r="S899" s="5">
        <v>0</v>
      </c>
      <c r="T899" s="5">
        <v>0</v>
      </c>
      <c r="U899" s="5">
        <v>80000</v>
      </c>
      <c r="V899" s="5"/>
      <c r="W899" s="5" t="s">
        <v>36</v>
      </c>
      <c r="X899" s="5" t="s">
        <v>2636</v>
      </c>
      <c r="AA899" s="5" t="s">
        <v>1717</v>
      </c>
      <c r="AC899" s="8" t="str">
        <f>HYPERLINK("https://drive.google.com/file/d/1_Mfu3gIUmvCtZuAVvz2dTRniPQmEF7ir/view?usp=drivesdk", "Abrir_Factura")</f>
        <v>Abrir_Factura</v>
      </c>
      <c r="AD899" s="9">
        <v>46015.597534722219</v>
      </c>
    </row>
    <row r="900" spans="1:30" ht="12.5">
      <c r="A900" s="4">
        <v>46015.311672951386</v>
      </c>
      <c r="B900" s="5">
        <v>90637</v>
      </c>
      <c r="C900" s="5">
        <v>32793546</v>
      </c>
      <c r="D900" s="5" t="s">
        <v>4352</v>
      </c>
      <c r="F900" s="5" t="s">
        <v>4353</v>
      </c>
      <c r="H900" s="5">
        <v>573114189941</v>
      </c>
      <c r="J900" s="5" t="s">
        <v>4352</v>
      </c>
      <c r="L900" s="5" t="s">
        <v>4354</v>
      </c>
      <c r="N900" s="6">
        <v>46015</v>
      </c>
      <c r="O900" s="7">
        <v>0</v>
      </c>
      <c r="P900" s="5">
        <v>1</v>
      </c>
      <c r="Q900" s="5" t="s">
        <v>42</v>
      </c>
      <c r="R900" s="5">
        <v>40000</v>
      </c>
      <c r="S900" s="5">
        <v>0</v>
      </c>
      <c r="T900" s="5"/>
      <c r="U900" s="5">
        <v>40000</v>
      </c>
      <c r="W900" s="5" t="s">
        <v>36</v>
      </c>
      <c r="X900" s="5" t="s">
        <v>83</v>
      </c>
      <c r="AA900" s="5" t="s">
        <v>44</v>
      </c>
      <c r="AB900" s="5" t="s">
        <v>4355</v>
      </c>
      <c r="AC900" s="8" t="str">
        <f>HYPERLINK("https://drive.google.com/file/d/1hAdVnRT82xYqqkGHTsAYvHvf8JNWs-RJ/view?usp=drivesdk", "Abrir_Factura")</f>
        <v>Abrir_Factura</v>
      </c>
      <c r="AD900" s="9">
        <v>46017.447881944441</v>
      </c>
    </row>
    <row r="901" spans="1:30" ht="12.5">
      <c r="A901" s="4">
        <v>46017.320186956014</v>
      </c>
      <c r="B901" s="5">
        <v>90638</v>
      </c>
      <c r="C901" s="5">
        <v>55312303</v>
      </c>
      <c r="D901" s="5" t="s">
        <v>4107</v>
      </c>
      <c r="F901" s="5" t="s">
        <v>4108</v>
      </c>
      <c r="H901" s="5">
        <v>5731664237392</v>
      </c>
      <c r="J901" s="5" t="s">
        <v>4356</v>
      </c>
      <c r="K901" s="5" t="s">
        <v>1187</v>
      </c>
      <c r="L901" s="5" t="s">
        <v>4357</v>
      </c>
      <c r="N901" s="6">
        <v>46017</v>
      </c>
      <c r="O901" s="7">
        <v>0</v>
      </c>
      <c r="P901" s="5">
        <v>3</v>
      </c>
      <c r="Q901" s="5" t="s">
        <v>4358</v>
      </c>
      <c r="R901" s="5">
        <v>900000</v>
      </c>
      <c r="S901" s="5">
        <v>0</v>
      </c>
      <c r="T901" s="5">
        <v>25000</v>
      </c>
      <c r="U901" s="5">
        <v>925000</v>
      </c>
      <c r="W901" s="5" t="s">
        <v>36</v>
      </c>
      <c r="X901" s="5" t="s">
        <v>83</v>
      </c>
      <c r="AA901" s="5" t="s">
        <v>44</v>
      </c>
      <c r="AB901" s="5" t="s">
        <v>4359</v>
      </c>
      <c r="AC901" s="8" t="str">
        <f>HYPERLINK("https://drive.google.com/file/d/1ZO2oYVssNXECIP_IpjY-UDmRaQS_IHz2/view?usp=drivesdk", "Abrir_Factura")</f>
        <v>Abrir_Factura</v>
      </c>
      <c r="AD901" s="9">
        <v>46017.566828703704</v>
      </c>
    </row>
    <row r="902" spans="1:30" ht="12.5">
      <c r="A902" s="4">
        <v>46017.329723912037</v>
      </c>
      <c r="B902" s="5">
        <v>90639</v>
      </c>
      <c r="C902" s="5">
        <v>1234093965</v>
      </c>
      <c r="D902" s="5" t="s">
        <v>4360</v>
      </c>
      <c r="F902" s="5" t="s">
        <v>3342</v>
      </c>
      <c r="H902" s="5">
        <v>573003726129</v>
      </c>
      <c r="J902" s="5" t="s">
        <v>4361</v>
      </c>
      <c r="K902" s="5" t="s">
        <v>33</v>
      </c>
      <c r="L902" s="5" t="s">
        <v>34</v>
      </c>
      <c r="M902" s="5" t="s">
        <v>4362</v>
      </c>
      <c r="N902" s="6">
        <v>46017</v>
      </c>
      <c r="O902" s="7">
        <v>0.41666666666666669</v>
      </c>
      <c r="P902" s="5">
        <v>1</v>
      </c>
      <c r="Q902" s="5" t="s">
        <v>330</v>
      </c>
      <c r="R902" s="5">
        <v>180000</v>
      </c>
      <c r="S902" s="5">
        <v>0</v>
      </c>
      <c r="T902" s="5">
        <v>0</v>
      </c>
      <c r="U902" s="5">
        <v>180000</v>
      </c>
      <c r="W902" s="5" t="s">
        <v>36</v>
      </c>
      <c r="X902" s="5" t="s">
        <v>196</v>
      </c>
      <c r="AA902" s="5" t="s">
        <v>44</v>
      </c>
      <c r="AB902" s="5" t="s">
        <v>4363</v>
      </c>
      <c r="AC902" s="8" t="str">
        <f>HYPERLINK("https://drive.google.com/file/d/1KbU1GAjhoGUsAku8AEbzp46AbcXaD-FE/view?usp=drivesdk", "Abrir_Factura")</f>
        <v>Abrir_Factura</v>
      </c>
      <c r="AD902" s="9">
        <v>46017.446388888886</v>
      </c>
    </row>
    <row r="903" spans="1:30" ht="12.5">
      <c r="A903" s="4">
        <v>46017.332964733796</v>
      </c>
      <c r="B903" s="5">
        <v>90640</v>
      </c>
      <c r="C903" s="5">
        <v>1129569019</v>
      </c>
      <c r="D903" s="5" t="s">
        <v>1173</v>
      </c>
      <c r="F903" s="5" t="s">
        <v>4364</v>
      </c>
      <c r="H903" s="5">
        <v>573012394343</v>
      </c>
      <c r="J903" s="5" t="s">
        <v>2150</v>
      </c>
      <c r="K903" s="5" t="s">
        <v>33</v>
      </c>
      <c r="L903" s="5" t="s">
        <v>34</v>
      </c>
      <c r="M903" s="5" t="s">
        <v>4365</v>
      </c>
      <c r="N903" s="6">
        <v>46017</v>
      </c>
      <c r="O903" s="7">
        <v>0</v>
      </c>
      <c r="P903" s="5">
        <v>1</v>
      </c>
      <c r="Q903" s="5" t="s">
        <v>42</v>
      </c>
      <c r="R903" s="5">
        <v>30000</v>
      </c>
      <c r="S903" s="5">
        <v>0</v>
      </c>
      <c r="T903" s="5">
        <v>0</v>
      </c>
      <c r="U903" s="5">
        <v>30000</v>
      </c>
      <c r="W903" s="5" t="s">
        <v>36</v>
      </c>
      <c r="X903" s="5" t="s">
        <v>83</v>
      </c>
      <c r="AA903" s="5" t="s">
        <v>44</v>
      </c>
      <c r="AB903" s="5" t="s">
        <v>4366</v>
      </c>
      <c r="AC903" s="8" t="str">
        <f>HYPERLINK("https://drive.google.com/file/d/152il6TIk8xp5wVtARLZaTSVb6qV7kbc6/view?usp=drivesdk", "Abrir_Factura")</f>
        <v>Abrir_Factura</v>
      </c>
      <c r="AD903" s="9">
        <v>46017.343506944446</v>
      </c>
    </row>
    <row r="904" spans="1:30" ht="12.5">
      <c r="A904" s="4">
        <v>46017.405858900463</v>
      </c>
      <c r="B904" s="5">
        <v>90641</v>
      </c>
      <c r="C904" s="5">
        <v>1129564338</v>
      </c>
      <c r="D904" s="5" t="s">
        <v>4367</v>
      </c>
      <c r="F904" s="5" t="s">
        <v>1288</v>
      </c>
      <c r="H904" s="5">
        <v>573007011327</v>
      </c>
      <c r="J904" s="5" t="s">
        <v>4368</v>
      </c>
      <c r="K904" s="5" t="s">
        <v>307</v>
      </c>
      <c r="L904" s="5" t="s">
        <v>4369</v>
      </c>
      <c r="M904" s="5">
        <v>3104011098</v>
      </c>
      <c r="N904" s="6">
        <v>46017</v>
      </c>
      <c r="O904" s="7">
        <v>0.42083333333333334</v>
      </c>
      <c r="P904" s="5">
        <v>1</v>
      </c>
      <c r="Q904" s="5" t="s">
        <v>50</v>
      </c>
      <c r="R904" s="5">
        <v>200000</v>
      </c>
      <c r="S904" s="5">
        <v>0</v>
      </c>
      <c r="T904" s="5">
        <v>10000</v>
      </c>
      <c r="U904" s="5">
        <v>210000</v>
      </c>
      <c r="V904" s="5" t="s">
        <v>4370</v>
      </c>
      <c r="W904" s="5" t="s">
        <v>36</v>
      </c>
      <c r="X904" s="5" t="s">
        <v>180</v>
      </c>
      <c r="AA904" s="5" t="s">
        <v>44</v>
      </c>
      <c r="AB904" s="5" t="s">
        <v>3407</v>
      </c>
      <c r="AC904" s="8" t="str">
        <f>HYPERLINK("https://drive.google.com/file/d/16TLt6e8kmQ1JctUsPAE04lVZKSW7lN5A/view?usp=drivesdk", "Abrir_Factura")</f>
        <v>Abrir_Factura</v>
      </c>
      <c r="AD904" s="9">
        <v>46017.415127314816</v>
      </c>
    </row>
    <row r="905" spans="1:30" ht="12.5">
      <c r="A905" s="4">
        <v>46017.392751296298</v>
      </c>
      <c r="B905" s="5">
        <v>90642</v>
      </c>
      <c r="C905" s="5">
        <v>1002331868</v>
      </c>
      <c r="D905" s="5" t="s">
        <v>4371</v>
      </c>
      <c r="F905" s="5" t="s">
        <v>4372</v>
      </c>
      <c r="H905" s="5">
        <v>573132013203</v>
      </c>
      <c r="J905" s="5" t="s">
        <v>4373</v>
      </c>
      <c r="K905" s="5" t="s">
        <v>2007</v>
      </c>
      <c r="L905" s="5" t="s">
        <v>4374</v>
      </c>
      <c r="M905" s="5">
        <v>3224623909</v>
      </c>
      <c r="N905" s="6">
        <v>46020</v>
      </c>
      <c r="O905" s="7">
        <v>0.34652777777777777</v>
      </c>
      <c r="P905" s="5">
        <v>1</v>
      </c>
      <c r="Q905" s="5" t="s">
        <v>384</v>
      </c>
      <c r="R905" s="5">
        <v>180000</v>
      </c>
      <c r="S905" s="5">
        <v>0</v>
      </c>
      <c r="T905" s="5">
        <v>12000</v>
      </c>
      <c r="U905" s="5">
        <v>192000</v>
      </c>
      <c r="V905" s="5" t="s">
        <v>4375</v>
      </c>
      <c r="W905" s="5" t="s">
        <v>36</v>
      </c>
      <c r="X905" s="5" t="s">
        <v>83</v>
      </c>
      <c r="AA905" s="5" t="s">
        <v>69</v>
      </c>
      <c r="AB905" s="5" t="s">
        <v>4376</v>
      </c>
      <c r="AC905" s="8" t="str">
        <f>HYPERLINK("https://drive.google.com/file/d/1NB3-jOSC8jKfDssbYZT4j_pdDpBanaDl/view?usp=drivesdk", "Abrir_Factura")</f>
        <v>Abrir_Factura</v>
      </c>
      <c r="AD905" s="9">
        <v>46017.416527777779</v>
      </c>
    </row>
    <row r="906" spans="1:30" ht="12.5">
      <c r="A906" s="4">
        <v>46017.400565219912</v>
      </c>
      <c r="B906" s="5">
        <v>90643</v>
      </c>
      <c r="C906" s="5">
        <v>1047036745</v>
      </c>
      <c r="D906" s="5" t="s">
        <v>1184</v>
      </c>
      <c r="F906" s="5" t="s">
        <v>4377</v>
      </c>
      <c r="H906" s="5">
        <v>573157814995</v>
      </c>
      <c r="J906" s="5" t="s">
        <v>4378</v>
      </c>
      <c r="K906" s="5" t="s">
        <v>63</v>
      </c>
      <c r="L906" s="5" t="s">
        <v>4379</v>
      </c>
      <c r="M906" s="5" t="s">
        <v>25421</v>
      </c>
      <c r="N906" s="6">
        <v>46018</v>
      </c>
      <c r="O906" s="7">
        <v>0.375</v>
      </c>
      <c r="P906" s="5">
        <v>1</v>
      </c>
      <c r="Q906" s="5" t="s">
        <v>330</v>
      </c>
      <c r="R906" s="5">
        <v>180000</v>
      </c>
      <c r="S906" s="5">
        <v>0</v>
      </c>
      <c r="T906" s="5">
        <v>15000</v>
      </c>
      <c r="U906" s="5">
        <v>195000</v>
      </c>
      <c r="V906" s="5" t="s">
        <v>4380</v>
      </c>
      <c r="W906" s="5" t="s">
        <v>36</v>
      </c>
      <c r="X906" s="5" t="s">
        <v>83</v>
      </c>
      <c r="AA906" s="5" t="s">
        <v>69</v>
      </c>
      <c r="AB906" s="5" t="s">
        <v>4381</v>
      </c>
      <c r="AC906" s="8" t="str">
        <f>HYPERLINK("https://drive.google.com/file/d/16-JorIZZBQ4-mDLI-vvXUjde8mkEkq7a/view?usp=drivesdk", "Abrir_Factura")</f>
        <v>Abrir_Factura</v>
      </c>
      <c r="AD906" s="9">
        <v>46017.419363425928</v>
      </c>
    </row>
    <row r="907" spans="1:30" ht="12.5">
      <c r="A907" s="4">
        <v>46017.386673437504</v>
      </c>
      <c r="B907" s="5">
        <v>90644</v>
      </c>
      <c r="C907" s="5">
        <v>80420054</v>
      </c>
      <c r="D907" s="5" t="s">
        <v>343</v>
      </c>
      <c r="F907" s="5" t="s">
        <v>344</v>
      </c>
      <c r="H907" s="5">
        <v>573112029123</v>
      </c>
      <c r="J907" s="5" t="s">
        <v>345</v>
      </c>
      <c r="K907" s="5" t="s">
        <v>103</v>
      </c>
      <c r="L907" s="5" t="s">
        <v>346</v>
      </c>
      <c r="M907" s="5" t="s">
        <v>4382</v>
      </c>
      <c r="N907" s="6">
        <v>46017</v>
      </c>
      <c r="O907" s="7">
        <v>0.4513888888888889</v>
      </c>
      <c r="P907" s="5">
        <v>1</v>
      </c>
      <c r="Q907" s="5" t="s">
        <v>4383</v>
      </c>
      <c r="R907" s="5">
        <v>220000</v>
      </c>
      <c r="S907" s="5">
        <v>0</v>
      </c>
      <c r="T907" s="5">
        <v>10000</v>
      </c>
      <c r="U907" s="5">
        <v>230000</v>
      </c>
      <c r="V907" s="5" t="s">
        <v>4384</v>
      </c>
      <c r="W907" s="5" t="s">
        <v>36</v>
      </c>
      <c r="X907" s="5" t="s">
        <v>1937</v>
      </c>
      <c r="AA907" s="5" t="s">
        <v>44</v>
      </c>
      <c r="AC907" s="8" t="str">
        <f>HYPERLINK("https://drive.google.com/file/d/1YTGE30MgGmgDHATl3VfqzAe2WIfekELO/view?usp=drivesdk", "Abrir_Factura")</f>
        <v>Abrir_Factura</v>
      </c>
      <c r="AD907" s="9">
        <v>46017.425706018519</v>
      </c>
    </row>
    <row r="908" spans="1:30" ht="12.5">
      <c r="A908" s="4">
        <v>46017.433170914352</v>
      </c>
      <c r="B908" s="5">
        <v>90645</v>
      </c>
      <c r="C908" s="5">
        <v>72286811</v>
      </c>
      <c r="D908" s="5" t="s">
        <v>4385</v>
      </c>
      <c r="F908" s="5" t="s">
        <v>4386</v>
      </c>
      <c r="H908" s="5">
        <v>573008077533</v>
      </c>
      <c r="J908" s="5" t="s">
        <v>4387</v>
      </c>
      <c r="K908" s="5" t="s">
        <v>103</v>
      </c>
      <c r="L908" s="5" t="s">
        <v>4388</v>
      </c>
      <c r="M908" s="5" t="s">
        <v>25421</v>
      </c>
      <c r="N908" s="6">
        <v>46018</v>
      </c>
      <c r="O908" s="7">
        <v>0.375</v>
      </c>
      <c r="P908" s="5">
        <v>1</v>
      </c>
      <c r="Q908" s="5" t="s">
        <v>4389</v>
      </c>
      <c r="R908" s="5">
        <v>500000</v>
      </c>
      <c r="S908" s="5">
        <v>0</v>
      </c>
      <c r="T908" s="5">
        <v>10000</v>
      </c>
      <c r="U908" s="5">
        <v>510000</v>
      </c>
      <c r="V908" s="5" t="s">
        <v>4390</v>
      </c>
      <c r="W908" s="5" t="s">
        <v>36</v>
      </c>
      <c r="X908" s="5" t="s">
        <v>43</v>
      </c>
      <c r="AA908" s="5" t="s">
        <v>44</v>
      </c>
      <c r="AC908" s="8" t="str">
        <f>HYPERLINK("https://drive.google.com/file/d/1YxXFlRWpO2KvZ6ARcRBfhvPbjneckATJ/view?usp=drivesdk", "Abrir_Factura")</f>
        <v>Abrir_Factura</v>
      </c>
      <c r="AD908" s="9">
        <v>46017.433715277781</v>
      </c>
    </row>
    <row r="909" spans="1:30" ht="12.5">
      <c r="A909" s="4">
        <v>46017.437218726853</v>
      </c>
      <c r="B909" s="5">
        <v>90646</v>
      </c>
      <c r="C909" s="5">
        <v>1140824096</v>
      </c>
      <c r="D909" s="5" t="s">
        <v>1349</v>
      </c>
      <c r="F909" s="5" t="s">
        <v>4391</v>
      </c>
      <c r="H909" s="5">
        <v>573105313347</v>
      </c>
      <c r="J909" s="5" t="s">
        <v>4392</v>
      </c>
      <c r="K909" s="5" t="s">
        <v>103</v>
      </c>
      <c r="L909" s="5" t="s">
        <v>4393</v>
      </c>
      <c r="M909" s="5"/>
      <c r="N909" s="6">
        <v>46021</v>
      </c>
      <c r="O909" s="7">
        <v>0.33333333333333331</v>
      </c>
      <c r="P909" s="5">
        <v>1</v>
      </c>
      <c r="Q909" s="5" t="s">
        <v>75</v>
      </c>
      <c r="R909" s="5">
        <v>70000</v>
      </c>
      <c r="S909" s="5">
        <v>0</v>
      </c>
      <c r="T909" s="5">
        <v>10000</v>
      </c>
      <c r="U909" s="5">
        <v>80000</v>
      </c>
      <c r="V909" s="5" t="s">
        <v>4394</v>
      </c>
      <c r="W909" s="5" t="s">
        <v>36</v>
      </c>
      <c r="X909" s="5" t="s">
        <v>83</v>
      </c>
      <c r="AA909" s="5" t="s">
        <v>44</v>
      </c>
      <c r="AC909" s="8" t="str">
        <f>HYPERLINK("https://drive.google.com/file/d/1Dk7D3BjSkuimPKAEQGc-WjaD9dFTwQNM/view?usp=drivesdk", "Abrir_Factura")</f>
        <v>Abrir_Factura</v>
      </c>
      <c r="AD909" s="9">
        <v>46017.438483796293</v>
      </c>
    </row>
    <row r="910" spans="1:30" ht="12.5">
      <c r="A910" s="4">
        <v>46017.439967488426</v>
      </c>
      <c r="B910" s="5">
        <v>90647</v>
      </c>
      <c r="C910" s="5">
        <v>1042440442</v>
      </c>
      <c r="D910" s="5" t="s">
        <v>190</v>
      </c>
      <c r="F910" s="5" t="s">
        <v>4395</v>
      </c>
      <c r="H910" s="5">
        <v>570000</v>
      </c>
      <c r="J910" s="5" t="s">
        <v>4396</v>
      </c>
      <c r="K910" s="5" t="s">
        <v>33</v>
      </c>
      <c r="L910" s="5" t="s">
        <v>34</v>
      </c>
      <c r="M910" s="5">
        <v>0</v>
      </c>
      <c r="N910" s="6">
        <v>46017</v>
      </c>
      <c r="O910" s="7">
        <v>0</v>
      </c>
      <c r="P910" s="5">
        <v>1</v>
      </c>
      <c r="Q910" s="5" t="s">
        <v>178</v>
      </c>
      <c r="R910" s="5">
        <v>100000</v>
      </c>
      <c r="S910" s="5">
        <v>0</v>
      </c>
      <c r="T910" s="5">
        <v>0</v>
      </c>
      <c r="U910" s="5">
        <v>100000</v>
      </c>
      <c r="V910" s="5"/>
      <c r="W910" s="5" t="s">
        <v>36</v>
      </c>
      <c r="X910" s="5" t="s">
        <v>2636</v>
      </c>
      <c r="AA910" s="5" t="s">
        <v>1717</v>
      </c>
      <c r="AC910" s="8" t="str">
        <f>HYPERLINK("https://drive.google.com/file/d/1lxzO6FnDgzA6KUWICIBbs1W2yft3bsJa/view?usp=drivesdk", "Abrir_Factura")</f>
        <v>Abrir_Factura</v>
      </c>
      <c r="AD910" s="9">
        <v>46017.440486111111</v>
      </c>
    </row>
    <row r="911" spans="1:30" ht="12.5">
      <c r="A911" s="4">
        <v>46017.451397222219</v>
      </c>
      <c r="B911" s="5">
        <v>90648</v>
      </c>
      <c r="C911" s="5">
        <v>1013257765</v>
      </c>
      <c r="D911" s="5" t="s">
        <v>584</v>
      </c>
      <c r="F911" s="5" t="s">
        <v>4397</v>
      </c>
      <c r="H911" s="5">
        <v>34667359759</v>
      </c>
      <c r="J911" s="5" t="s">
        <v>4398</v>
      </c>
      <c r="K911" s="5" t="s">
        <v>161</v>
      </c>
      <c r="L911" s="5" t="s">
        <v>4399</v>
      </c>
      <c r="M911" s="5" t="s">
        <v>25421</v>
      </c>
      <c r="N911" s="6">
        <v>46018</v>
      </c>
      <c r="O911" s="7">
        <v>0.41666666666666669</v>
      </c>
      <c r="P911" s="5">
        <v>1</v>
      </c>
      <c r="Q911" s="5" t="s">
        <v>1251</v>
      </c>
      <c r="R911" s="5">
        <v>500000</v>
      </c>
      <c r="S911" s="5">
        <v>0</v>
      </c>
      <c r="T911" s="5">
        <v>8000</v>
      </c>
      <c r="U911" s="5">
        <v>508000</v>
      </c>
      <c r="V911" s="5" t="s">
        <v>4400</v>
      </c>
      <c r="W911" s="5" t="s">
        <v>36</v>
      </c>
      <c r="X911" s="5" t="s">
        <v>83</v>
      </c>
      <c r="AA911" s="5" t="s">
        <v>69</v>
      </c>
      <c r="AC911" s="8" t="str">
        <f>HYPERLINK("https://drive.google.com/file/d/1vMnxM4BKCpuZ97NtuKjWVqNvZDC4C-dj/view?usp=drivesdk", "Abrir_Factura")</f>
        <v>Abrir_Factura</v>
      </c>
      <c r="AD911" s="9">
        <v>46017.458402777775</v>
      </c>
    </row>
    <row r="912" spans="1:30" ht="12.5">
      <c r="A912" s="4">
        <v>46017.45369642361</v>
      </c>
      <c r="B912" s="5">
        <v>90649</v>
      </c>
      <c r="C912" s="5">
        <v>1140844579</v>
      </c>
      <c r="D912" s="5" t="s">
        <v>1892</v>
      </c>
      <c r="F912" s="5" t="s">
        <v>4401</v>
      </c>
      <c r="H912" s="5">
        <v>573012185289</v>
      </c>
      <c r="J912" s="5" t="s">
        <v>4402</v>
      </c>
      <c r="K912" s="5" t="s">
        <v>4403</v>
      </c>
      <c r="L912" s="5" t="s">
        <v>4404</v>
      </c>
      <c r="M912" s="5"/>
      <c r="N912" s="6">
        <v>46017</v>
      </c>
      <c r="O912" s="7">
        <v>0.55000000000000004</v>
      </c>
      <c r="P912" s="5">
        <v>1</v>
      </c>
      <c r="Q912" s="5" t="s">
        <v>3892</v>
      </c>
      <c r="R912" s="5">
        <v>280000</v>
      </c>
      <c r="S912" s="5">
        <v>0</v>
      </c>
      <c r="T912" s="5">
        <v>20000</v>
      </c>
      <c r="U912" s="5">
        <v>300000</v>
      </c>
      <c r="V912" s="5" t="s">
        <v>4405</v>
      </c>
      <c r="W912" s="5" t="s">
        <v>36</v>
      </c>
      <c r="X912" s="5" t="s">
        <v>1937</v>
      </c>
      <c r="AA912" s="5" t="s">
        <v>69</v>
      </c>
      <c r="AB912" s="5" t="s">
        <v>4406</v>
      </c>
      <c r="AC912" s="8" t="str">
        <f>HYPERLINK("https://drive.google.com/file/d/1pTxjln6bIK_V0gg-cMd-PjR3TOHP-lJ2/view?usp=drivesdk", "Abrir_Factura")</f>
        <v>Abrir_Factura</v>
      </c>
      <c r="AD912" s="9">
        <v>46017.46402777778</v>
      </c>
    </row>
    <row r="913" spans="1:30" ht="12.5">
      <c r="A913" s="4">
        <v>46017.474894189814</v>
      </c>
      <c r="B913" s="5">
        <v>90650</v>
      </c>
      <c r="C913" s="5">
        <v>1129571302</v>
      </c>
      <c r="D913" s="5" t="s">
        <v>4407</v>
      </c>
      <c r="F913" s="5" t="s">
        <v>4408</v>
      </c>
      <c r="H913" s="5">
        <v>573205315481</v>
      </c>
      <c r="J913" s="5" t="s">
        <v>4409</v>
      </c>
      <c r="K913" s="5" t="s">
        <v>33</v>
      </c>
      <c r="L913" s="5" t="s">
        <v>34</v>
      </c>
      <c r="M913" s="5" t="s">
        <v>4410</v>
      </c>
      <c r="N913" s="6">
        <v>46017</v>
      </c>
      <c r="O913" s="7">
        <v>0</v>
      </c>
      <c r="P913" s="5">
        <v>1</v>
      </c>
      <c r="Q913" s="5" t="s">
        <v>42</v>
      </c>
      <c r="R913" s="5">
        <v>34000</v>
      </c>
      <c r="S913" s="5">
        <v>0</v>
      </c>
      <c r="T913" s="5">
        <v>0</v>
      </c>
      <c r="U913" s="5">
        <v>34000</v>
      </c>
      <c r="V913" s="5"/>
      <c r="W913" s="5" t="s">
        <v>36</v>
      </c>
      <c r="X913" s="5" t="s">
        <v>2636</v>
      </c>
      <c r="AA913" s="5" t="s">
        <v>44</v>
      </c>
      <c r="AB913" s="5" t="s">
        <v>1286</v>
      </c>
      <c r="AC913" s="8" t="str">
        <f>HYPERLINK("https://drive.google.com/file/d/1spqLZ6K_vXcfk8t0IeIE9aEAcLBkRutH/view?usp=drivesdk", "Abrir_Factura")</f>
        <v>Abrir_Factura</v>
      </c>
      <c r="AD913" s="9">
        <v>46017.47556712963</v>
      </c>
    </row>
    <row r="914" spans="1:30" ht="12.5">
      <c r="A914" s="4">
        <v>46017.407016863421</v>
      </c>
      <c r="B914" s="5">
        <v>90651</v>
      </c>
      <c r="C914" s="5">
        <v>1118800416</v>
      </c>
      <c r="D914" s="5" t="s">
        <v>4411</v>
      </c>
      <c r="F914" s="5" t="s">
        <v>4412</v>
      </c>
      <c r="H914" s="5">
        <v>573205464594</v>
      </c>
      <c r="J914" s="5" t="s">
        <v>4413</v>
      </c>
      <c r="K914" s="5" t="s">
        <v>124</v>
      </c>
      <c r="L914" s="5" t="s">
        <v>4414</v>
      </c>
      <c r="M914" s="5" t="s">
        <v>4415</v>
      </c>
      <c r="N914" s="6">
        <v>46017</v>
      </c>
      <c r="O914" s="7">
        <v>0</v>
      </c>
      <c r="P914" s="5">
        <v>1</v>
      </c>
      <c r="Q914" s="5" t="s">
        <v>422</v>
      </c>
      <c r="R914" s="5">
        <v>130000</v>
      </c>
      <c r="S914" s="5">
        <v>0</v>
      </c>
      <c r="T914" s="5">
        <v>12000</v>
      </c>
      <c r="U914" s="5">
        <v>142000</v>
      </c>
      <c r="V914" s="5" t="s">
        <v>4416</v>
      </c>
      <c r="W914" s="5" t="s">
        <v>36</v>
      </c>
      <c r="X914" s="5" t="s">
        <v>180</v>
      </c>
      <c r="AA914" s="5" t="s">
        <v>69</v>
      </c>
      <c r="AC914" s="8" t="str">
        <f>HYPERLINK("https://drive.google.com/file/d/1w3zBDT9UEtc-MOLUCq_Ic40S-uQKeMO-/view?usp=drivesdk", "Abrir_Factura")</f>
        <v>Abrir_Factura</v>
      </c>
      <c r="AD914" s="9">
        <v>46017.49894675926</v>
      </c>
    </row>
    <row r="915" spans="1:30" ht="12.5">
      <c r="A915" s="4">
        <v>46017.508192060181</v>
      </c>
      <c r="B915" s="5">
        <v>90652</v>
      </c>
      <c r="C915" s="5">
        <v>1140849464</v>
      </c>
      <c r="D915" s="5" t="s">
        <v>4417</v>
      </c>
      <c r="F915" s="5" t="s">
        <v>4418</v>
      </c>
      <c r="H915" s="5">
        <v>573183422136</v>
      </c>
      <c r="J915" s="5" t="s">
        <v>4419</v>
      </c>
      <c r="K915" s="5" t="s">
        <v>103</v>
      </c>
      <c r="L915" s="5" t="s">
        <v>4420</v>
      </c>
      <c r="M915" s="5"/>
      <c r="N915" s="6">
        <v>46017</v>
      </c>
      <c r="O915" s="7">
        <v>0</v>
      </c>
      <c r="P915" s="5">
        <v>1</v>
      </c>
      <c r="Q915" s="5" t="s">
        <v>335</v>
      </c>
      <c r="R915" s="5">
        <v>120000</v>
      </c>
      <c r="S915" s="5">
        <v>0</v>
      </c>
      <c r="T915" s="5">
        <v>10000</v>
      </c>
      <c r="U915" s="5">
        <v>130000</v>
      </c>
      <c r="V915" s="5" t="s">
        <v>4421</v>
      </c>
      <c r="W915" s="5" t="s">
        <v>36</v>
      </c>
      <c r="X915" s="5" t="s">
        <v>204</v>
      </c>
      <c r="AA915" s="5" t="s">
        <v>44</v>
      </c>
      <c r="AC915" s="8" t="str">
        <f>HYPERLINK("https://drive.google.com/file/d/1CtVYn8T81LQkQGX9HCHpevTbdfn3t8SG/view?usp=drivesdk", "Abrir_Factura")</f>
        <v>Abrir_Factura</v>
      </c>
      <c r="AD915" s="9">
        <v>46017.508877314816</v>
      </c>
    </row>
    <row r="916" spans="1:30" ht="12.5">
      <c r="A916" s="4">
        <v>46017.410439490741</v>
      </c>
      <c r="B916" s="5">
        <v>90653</v>
      </c>
      <c r="C916" s="5">
        <v>1140890956</v>
      </c>
      <c r="D916" s="5" t="s">
        <v>297</v>
      </c>
      <c r="F916" s="5" t="s">
        <v>2624</v>
      </c>
      <c r="H916" s="5">
        <v>573145496771</v>
      </c>
      <c r="J916" s="5" t="s">
        <v>4422</v>
      </c>
      <c r="K916" s="5" t="s">
        <v>33</v>
      </c>
      <c r="L916" s="5" t="s">
        <v>34</v>
      </c>
      <c r="M916" s="5">
        <v>3145496771</v>
      </c>
      <c r="N916" s="6">
        <v>46018</v>
      </c>
      <c r="O916" s="7">
        <v>0.375</v>
      </c>
      <c r="P916" s="5">
        <v>1</v>
      </c>
      <c r="Q916" s="5" t="s">
        <v>1792</v>
      </c>
      <c r="R916" s="5">
        <v>130000</v>
      </c>
      <c r="S916" s="5">
        <v>0</v>
      </c>
      <c r="T916" s="5">
        <v>0</v>
      </c>
      <c r="U916" s="5">
        <v>130000</v>
      </c>
      <c r="V916" s="5" t="s">
        <v>4423</v>
      </c>
      <c r="W916" s="5" t="s">
        <v>36</v>
      </c>
      <c r="X916" s="5" t="s">
        <v>83</v>
      </c>
      <c r="AA916" s="5" t="s">
        <v>69</v>
      </c>
      <c r="AC916" s="8" t="str">
        <f>HYPERLINK("https://drive.google.com/file/d/1_yRttbzhOUKCNbo_lvSKgWR0g3gQWW-T/view?usp=drivesdk", "Abrir_Factura")</f>
        <v>Abrir_Factura</v>
      </c>
      <c r="AD916" s="9">
        <v>46017.514027777775</v>
      </c>
    </row>
    <row r="917" spans="1:30" ht="12.5">
      <c r="A917" s="4">
        <v>46017.520939826391</v>
      </c>
      <c r="B917" s="5">
        <v>90654</v>
      </c>
      <c r="C917" s="5">
        <v>1140830017</v>
      </c>
      <c r="D917" s="5" t="s">
        <v>1627</v>
      </c>
      <c r="F917" s="5" t="s">
        <v>4424</v>
      </c>
      <c r="H917" s="5">
        <v>573012623588</v>
      </c>
      <c r="J917" s="5" t="s">
        <v>4425</v>
      </c>
      <c r="K917" s="5" t="s">
        <v>33</v>
      </c>
      <c r="L917" s="5" t="s">
        <v>34</v>
      </c>
      <c r="M917" s="5">
        <v>3012623588</v>
      </c>
      <c r="N917" s="6">
        <v>46017</v>
      </c>
      <c r="O917" s="7">
        <v>0</v>
      </c>
      <c r="P917" s="5">
        <v>1</v>
      </c>
      <c r="Q917" s="5" t="s">
        <v>309</v>
      </c>
      <c r="R917" s="5">
        <v>80000</v>
      </c>
      <c r="S917" s="5">
        <v>0</v>
      </c>
      <c r="T917" s="5">
        <v>0</v>
      </c>
      <c r="U917" s="5">
        <v>80000</v>
      </c>
      <c r="V917" s="5"/>
      <c r="W917" s="5" t="s">
        <v>36</v>
      </c>
      <c r="X917" s="5" t="s">
        <v>43</v>
      </c>
      <c r="AA917" s="5" t="s">
        <v>37</v>
      </c>
      <c r="AC917" s="8" t="str">
        <f>HYPERLINK("https://drive.google.com/file/d/1L8RJPkDFGIoso6zdNHm8J-Req5kk3Q-t/view?usp=drivesdk", "Abrir_Factura")</f>
        <v>Abrir_Factura</v>
      </c>
      <c r="AD917" s="9">
        <v>46017.521365740744</v>
      </c>
    </row>
    <row r="918" spans="1:30" ht="12.5">
      <c r="A918" s="4">
        <v>46017.58437423611</v>
      </c>
      <c r="B918" s="5">
        <v>90655</v>
      </c>
      <c r="C918" s="5">
        <v>1140880710</v>
      </c>
      <c r="D918" s="5" t="s">
        <v>532</v>
      </c>
      <c r="F918" s="5" t="s">
        <v>2793</v>
      </c>
      <c r="H918" s="5">
        <v>573006998903</v>
      </c>
      <c r="J918" s="5" t="s">
        <v>4426</v>
      </c>
      <c r="K918" s="5" t="s">
        <v>33</v>
      </c>
      <c r="L918" s="5" t="s">
        <v>34</v>
      </c>
      <c r="M918" s="5"/>
      <c r="N918" s="6">
        <v>46017</v>
      </c>
      <c r="O918" s="7">
        <v>0</v>
      </c>
      <c r="P918" s="5">
        <v>1</v>
      </c>
      <c r="Q918" s="5" t="s">
        <v>375</v>
      </c>
      <c r="R918" s="5">
        <v>70000</v>
      </c>
      <c r="S918" s="5">
        <v>0</v>
      </c>
      <c r="T918" s="5">
        <v>0</v>
      </c>
      <c r="U918" s="5">
        <v>70000</v>
      </c>
      <c r="V918" s="5" t="s">
        <v>4427</v>
      </c>
      <c r="W918" s="5" t="s">
        <v>36</v>
      </c>
      <c r="X918" s="5" t="s">
        <v>180</v>
      </c>
      <c r="Z918" s="5" t="s">
        <v>4428</v>
      </c>
      <c r="AA918" s="5" t="s">
        <v>44</v>
      </c>
      <c r="AC918" s="8" t="str">
        <f>HYPERLINK("https://drive.google.com/file/d/1WRWdNtkDb8pqOf6aaTg5H_ESpwDHWiDM/view?usp=drivesdk", "Abrir_Factura")</f>
        <v>Abrir_Factura</v>
      </c>
      <c r="AD918" s="9">
        <v>46017.597824074073</v>
      </c>
    </row>
    <row r="919" spans="1:30" ht="12.5">
      <c r="A919" s="4">
        <v>46017.37948693287</v>
      </c>
      <c r="B919" s="5">
        <v>90656</v>
      </c>
      <c r="C919" s="5">
        <v>1140844807</v>
      </c>
      <c r="D919" s="5" t="s">
        <v>4429</v>
      </c>
      <c r="F919" s="5" t="s">
        <v>4430</v>
      </c>
      <c r="H919" s="5">
        <v>57113773706</v>
      </c>
      <c r="J919" s="5" t="s">
        <v>4431</v>
      </c>
      <c r="K919" s="5" t="s">
        <v>185</v>
      </c>
      <c r="L919" s="5" t="s">
        <v>4432</v>
      </c>
      <c r="N919" s="6">
        <v>46017</v>
      </c>
      <c r="O919" s="7">
        <v>0.66666666666666663</v>
      </c>
      <c r="P919" s="5">
        <v>1</v>
      </c>
      <c r="Q919" s="5" t="s">
        <v>559</v>
      </c>
      <c r="R919" s="5">
        <v>90000</v>
      </c>
      <c r="S919" s="5">
        <v>0</v>
      </c>
      <c r="T919" s="5">
        <v>8000</v>
      </c>
      <c r="U919" s="5">
        <v>98000</v>
      </c>
      <c r="V919" s="5" t="s">
        <v>4433</v>
      </c>
      <c r="W919" s="5" t="s">
        <v>36</v>
      </c>
      <c r="X919" s="5" t="s">
        <v>83</v>
      </c>
      <c r="AA919" s="5" t="s">
        <v>44</v>
      </c>
      <c r="AB919" s="5" t="s">
        <v>4434</v>
      </c>
      <c r="AC919" s="8" t="str">
        <f>HYPERLINK("https://drive.google.com/file/d/1NUyvZ5m3f885hx-D_ffWT4Mahe8l4Lxs/view?usp=drivesdk", "Abrir_Factura")</f>
        <v>Abrir_Factura</v>
      </c>
      <c r="AD919" s="9">
        <v>46017.599374999998</v>
      </c>
    </row>
    <row r="920" spans="1:30" ht="12.5">
      <c r="A920" s="4">
        <v>46017.555115312498</v>
      </c>
      <c r="B920" s="5">
        <v>90657</v>
      </c>
      <c r="C920" s="5">
        <v>1042242242285</v>
      </c>
      <c r="D920" s="5" t="s">
        <v>3174</v>
      </c>
      <c r="F920" s="5" t="s">
        <v>3912</v>
      </c>
      <c r="H920" s="5">
        <v>573242219654</v>
      </c>
      <c r="J920" s="5" t="s">
        <v>4435</v>
      </c>
      <c r="K920" s="5" t="s">
        <v>79</v>
      </c>
      <c r="L920" s="5" t="s">
        <v>4436</v>
      </c>
      <c r="M920" s="5">
        <v>3242219654</v>
      </c>
      <c r="N920" s="6">
        <v>46018</v>
      </c>
      <c r="O920" s="7">
        <v>0.375</v>
      </c>
      <c r="P920" s="5">
        <v>1</v>
      </c>
      <c r="Q920" s="5" t="s">
        <v>335</v>
      </c>
      <c r="R920" s="5">
        <v>120000</v>
      </c>
      <c r="S920" s="5">
        <v>0</v>
      </c>
      <c r="T920" s="5">
        <v>10000</v>
      </c>
      <c r="U920" s="5">
        <v>130000</v>
      </c>
      <c r="V920" s="5" t="s">
        <v>4437</v>
      </c>
      <c r="W920" s="5" t="s">
        <v>36</v>
      </c>
      <c r="X920" s="5" t="s">
        <v>204</v>
      </c>
      <c r="Z920" s="5" t="s">
        <v>4438</v>
      </c>
      <c r="AA920" s="5" t="s">
        <v>69</v>
      </c>
      <c r="AB920" s="5" t="s">
        <v>4439</v>
      </c>
      <c r="AC920" s="8" t="str">
        <f>HYPERLINK("https://drive.google.com/file/d/1SIyCw-OwRb4HkJPDpczzy7vaEwrjET8o/view?usp=drivesdk", "Abrir_Factura")</f>
        <v>Abrir_Factura</v>
      </c>
      <c r="AD920" s="9">
        <v>46017.618877314817</v>
      </c>
    </row>
    <row r="921" spans="1:30" ht="12.5">
      <c r="A921" s="4">
        <v>46017.630339467592</v>
      </c>
      <c r="B921" s="5">
        <v>90658</v>
      </c>
      <c r="C921" s="5">
        <v>1041691632</v>
      </c>
      <c r="D921" s="5" t="s">
        <v>4440</v>
      </c>
      <c r="F921" s="5" t="s">
        <v>4441</v>
      </c>
      <c r="H921" s="5">
        <v>573004612667</v>
      </c>
      <c r="J921" s="5" t="s">
        <v>4442</v>
      </c>
      <c r="K921" s="5" t="s">
        <v>73</v>
      </c>
      <c r="L921" s="5" t="s">
        <v>4443</v>
      </c>
      <c r="M921" s="5">
        <v>3004612667</v>
      </c>
      <c r="N921" s="6">
        <v>46017</v>
      </c>
      <c r="O921" s="7">
        <v>0.54166666666666663</v>
      </c>
      <c r="P921" s="5">
        <v>1</v>
      </c>
      <c r="Q921" s="5" t="s">
        <v>375</v>
      </c>
      <c r="R921" s="5">
        <v>70000</v>
      </c>
      <c r="S921" s="5">
        <v>0</v>
      </c>
      <c r="T921" s="5">
        <v>8000</v>
      </c>
      <c r="U921" s="5">
        <v>78000</v>
      </c>
      <c r="V921" s="5"/>
      <c r="W921" s="5" t="s">
        <v>36</v>
      </c>
      <c r="X921" s="5" t="s">
        <v>83</v>
      </c>
      <c r="Z921" s="5" t="s">
        <v>4444</v>
      </c>
      <c r="AA921" s="5" t="s">
        <v>44</v>
      </c>
      <c r="AC921" s="8" t="str">
        <f>HYPERLINK("https://drive.google.com/file/d/1Ob9t7R3LWfJ2Q-NzE5V6CBADJDuWF4tB/view?usp=drivesdk", "Abrir_Factura")</f>
        <v>Abrir_Factura</v>
      </c>
      <c r="AD921" s="9">
        <v>46017.643599537034</v>
      </c>
    </row>
    <row r="922" spans="1:30" ht="12.5">
      <c r="A922" s="4">
        <v>46017.632844293985</v>
      </c>
      <c r="B922" s="5">
        <v>90659</v>
      </c>
      <c r="C922" s="5">
        <v>1045766944</v>
      </c>
      <c r="D922" s="5" t="s">
        <v>4445</v>
      </c>
      <c r="F922" s="5" t="s">
        <v>2622</v>
      </c>
      <c r="H922" s="5">
        <v>573136214673</v>
      </c>
      <c r="J922" s="5" t="s">
        <v>4446</v>
      </c>
      <c r="K922" s="5" t="s">
        <v>33</v>
      </c>
      <c r="L922" s="5" t="s">
        <v>34</v>
      </c>
      <c r="M922" s="5">
        <v>3136214673</v>
      </c>
      <c r="N922" s="6">
        <v>46020</v>
      </c>
      <c r="O922" s="7">
        <v>0.375</v>
      </c>
      <c r="P922" s="5">
        <v>1</v>
      </c>
      <c r="Q922" s="5" t="s">
        <v>65</v>
      </c>
      <c r="R922" s="5">
        <v>70000</v>
      </c>
      <c r="S922" s="5">
        <v>0</v>
      </c>
      <c r="T922" s="5">
        <v>0</v>
      </c>
      <c r="U922" s="5">
        <v>70000</v>
      </c>
      <c r="V922" s="5"/>
      <c r="W922" s="5" t="s">
        <v>36</v>
      </c>
      <c r="X922" s="5" t="s">
        <v>83</v>
      </c>
      <c r="Z922" s="5" t="s">
        <v>4447</v>
      </c>
      <c r="AA922" s="5" t="s">
        <v>69</v>
      </c>
      <c r="AB922" s="5" t="s">
        <v>4448</v>
      </c>
      <c r="AC922" s="8" t="str">
        <f>HYPERLINK("https://drive.google.com/file/d/1kbCTldc2nHcmeVGgMA-p5nHr1emzZrd-/view?usp=drivesdk", "Abrir_Factura")</f>
        <v>Abrir_Factura</v>
      </c>
      <c r="AD922" s="9">
        <v>46017.645277777781</v>
      </c>
    </row>
    <row r="923" spans="1:30" ht="12.5">
      <c r="A923" s="4">
        <v>46017.648365810186</v>
      </c>
      <c r="B923" s="5">
        <v>90660</v>
      </c>
      <c r="C923" s="5">
        <v>72251565</v>
      </c>
      <c r="D923" s="5" t="s">
        <v>4449</v>
      </c>
      <c r="F923" s="5" t="s">
        <v>2277</v>
      </c>
      <c r="H923" s="5">
        <v>570000</v>
      </c>
      <c r="J923" s="5" t="s">
        <v>4450</v>
      </c>
      <c r="K923" s="5" t="s">
        <v>33</v>
      </c>
      <c r="L923" s="5" t="s">
        <v>34</v>
      </c>
      <c r="M923" s="5">
        <v>0</v>
      </c>
      <c r="N923" s="6">
        <v>46017</v>
      </c>
      <c r="O923" s="7">
        <v>0</v>
      </c>
      <c r="P923" s="5">
        <v>1</v>
      </c>
      <c r="Q923" s="5" t="s">
        <v>384</v>
      </c>
      <c r="R923" s="5">
        <v>180000</v>
      </c>
      <c r="S923" s="5">
        <v>0</v>
      </c>
      <c r="T923" s="5">
        <v>0</v>
      </c>
      <c r="U923" s="5">
        <v>180000</v>
      </c>
      <c r="V923" s="5"/>
      <c r="W923" s="5" t="s">
        <v>36</v>
      </c>
      <c r="X923" s="5" t="s">
        <v>2636</v>
      </c>
      <c r="AA923" s="5" t="s">
        <v>1717</v>
      </c>
      <c r="AC923" s="8" t="str">
        <f>HYPERLINK("https://drive.google.com/file/d/1eW75crUc0N6p5ewtaph-nzD9JdpkJxrw/view?usp=drivesdk", "Abrir_Factura")</f>
        <v>Abrir_Factura</v>
      </c>
      <c r="AD923" s="9">
        <v>46017.648715277777</v>
      </c>
    </row>
    <row r="924" spans="1:30" ht="12.5">
      <c r="A924" s="4">
        <v>46017.65562513889</v>
      </c>
      <c r="B924" s="5">
        <v>90661</v>
      </c>
      <c r="C924" s="5">
        <v>1006989031</v>
      </c>
      <c r="D924" s="5" t="s">
        <v>4451</v>
      </c>
      <c r="F924" s="5" t="s">
        <v>4452</v>
      </c>
      <c r="H924" s="5">
        <v>573002709518</v>
      </c>
      <c r="J924" s="5" t="s">
        <v>4453</v>
      </c>
      <c r="K924" s="5" t="s">
        <v>1352</v>
      </c>
      <c r="L924" s="5" t="s">
        <v>4454</v>
      </c>
      <c r="M924" s="5">
        <v>3002709518</v>
      </c>
      <c r="N924" s="6">
        <v>46017</v>
      </c>
      <c r="O924" s="7">
        <v>0</v>
      </c>
      <c r="P924" s="5">
        <v>1</v>
      </c>
      <c r="Q924" s="5" t="s">
        <v>42</v>
      </c>
      <c r="R924" s="5">
        <v>36000</v>
      </c>
      <c r="S924" s="5">
        <v>0</v>
      </c>
      <c r="T924" s="5">
        <v>10000</v>
      </c>
      <c r="U924" s="5">
        <v>46000</v>
      </c>
      <c r="V924" s="5"/>
      <c r="W924" s="5" t="s">
        <v>36</v>
      </c>
      <c r="X924" s="5" t="s">
        <v>83</v>
      </c>
      <c r="AA924" s="5" t="s">
        <v>69</v>
      </c>
      <c r="AB924" s="5" t="s">
        <v>4455</v>
      </c>
      <c r="AC924" s="8" t="str">
        <f>HYPERLINK("https://drive.google.com/file/d/1z8sNAAj3DubDdrg_9T-Dp20iDKNuHLbi/view?usp=drivesdk", "Abrir_Factura")</f>
        <v>Abrir_Factura</v>
      </c>
      <c r="AD924" s="9">
        <v>46017.656493055554</v>
      </c>
    </row>
    <row r="925" spans="1:30" ht="12.5">
      <c r="A925" s="4">
        <v>46017.66824668982</v>
      </c>
      <c r="B925" s="5">
        <v>90662</v>
      </c>
      <c r="C925" s="5">
        <v>49778162</v>
      </c>
      <c r="D925" s="5" t="s">
        <v>4456</v>
      </c>
      <c r="F925" s="5" t="s">
        <v>40</v>
      </c>
      <c r="H925" s="5">
        <v>573213437763</v>
      </c>
      <c r="J925" s="5" t="s">
        <v>4457</v>
      </c>
      <c r="K925" s="5" t="s">
        <v>33</v>
      </c>
      <c r="L925" s="5" t="s">
        <v>34</v>
      </c>
      <c r="M925" s="5">
        <v>3213437763</v>
      </c>
      <c r="N925" s="6">
        <v>46017</v>
      </c>
      <c r="O925" s="7">
        <v>0</v>
      </c>
      <c r="P925" s="5">
        <v>1</v>
      </c>
      <c r="Q925" s="5" t="s">
        <v>42</v>
      </c>
      <c r="R925" s="5">
        <v>36000</v>
      </c>
      <c r="S925" s="5">
        <v>0</v>
      </c>
      <c r="T925" s="5">
        <v>0</v>
      </c>
      <c r="U925" s="5">
        <v>36000</v>
      </c>
      <c r="V925" s="5"/>
      <c r="W925" s="5" t="s">
        <v>36</v>
      </c>
      <c r="X925" s="5" t="s">
        <v>2636</v>
      </c>
      <c r="AA925" s="5" t="s">
        <v>1717</v>
      </c>
      <c r="AB925" s="5" t="s">
        <v>525</v>
      </c>
      <c r="AC925" s="8" t="str">
        <f>HYPERLINK("https://drive.google.com/file/d/1BBvZUPoLA0hW7d1Q9vDP8Q-Y4e_pmE1D/view?usp=drivesdk", "Abrir_Factura")</f>
        <v>Abrir_Factura</v>
      </c>
      <c r="AD925" s="9">
        <v>46017.668668981481</v>
      </c>
    </row>
    <row r="926" spans="1:30" ht="12.5">
      <c r="A926" s="4">
        <v>46017.617804652778</v>
      </c>
      <c r="B926" s="5">
        <v>90663</v>
      </c>
      <c r="C926" s="5">
        <v>1045721449</v>
      </c>
      <c r="D926" s="5" t="s">
        <v>4458</v>
      </c>
      <c r="F926" s="5" t="s">
        <v>4459</v>
      </c>
      <c r="H926" s="5">
        <v>573008448397</v>
      </c>
      <c r="J926" s="5" t="s">
        <v>4460</v>
      </c>
      <c r="K926" s="5" t="s">
        <v>185</v>
      </c>
      <c r="L926" s="5" t="s">
        <v>4461</v>
      </c>
      <c r="M926" s="5">
        <v>3214566451</v>
      </c>
      <c r="N926" s="6">
        <v>46018</v>
      </c>
      <c r="O926" s="7">
        <v>0</v>
      </c>
      <c r="P926" s="5">
        <v>1</v>
      </c>
      <c r="Q926" s="5" t="s">
        <v>239</v>
      </c>
      <c r="R926" s="5">
        <v>380000</v>
      </c>
      <c r="S926" s="5">
        <v>0</v>
      </c>
      <c r="T926" s="5">
        <v>8000</v>
      </c>
      <c r="U926" s="5">
        <v>388000</v>
      </c>
      <c r="V926" s="5" t="s">
        <v>4462</v>
      </c>
      <c r="W926" s="5" t="s">
        <v>36</v>
      </c>
      <c r="X926" s="5" t="s">
        <v>83</v>
      </c>
      <c r="Z926" s="5" t="s">
        <v>4463</v>
      </c>
      <c r="AA926" s="5" t="s">
        <v>44</v>
      </c>
      <c r="AB926" s="5" t="s">
        <v>4464</v>
      </c>
      <c r="AC926" s="8" t="str">
        <f>HYPERLINK("https://drive.google.com/file/d/18Tt8zMu6XPyBe9EE4S5OIgfKb8Ejv5xv/view?usp=drivesdk", "Abrir_Factura")</f>
        <v>Abrir_Factura</v>
      </c>
      <c r="AD926" s="9">
        <v>46017.671458333331</v>
      </c>
    </row>
    <row r="927" spans="1:30" ht="12.5">
      <c r="A927" s="4">
        <v>46017.691708715276</v>
      </c>
      <c r="B927" s="5">
        <v>90664</v>
      </c>
      <c r="C927" s="5">
        <v>22408961</v>
      </c>
      <c r="D927" s="5" t="s">
        <v>4465</v>
      </c>
      <c r="F927" s="5" t="s">
        <v>4466</v>
      </c>
      <c r="H927" s="5">
        <v>573006631795</v>
      </c>
      <c r="J927" s="5" t="s">
        <v>4467</v>
      </c>
      <c r="K927" s="5" t="s">
        <v>33</v>
      </c>
      <c r="L927" s="5" t="s">
        <v>34</v>
      </c>
      <c r="M927" s="5" t="s">
        <v>25421</v>
      </c>
      <c r="N927" s="6">
        <v>46017</v>
      </c>
      <c r="O927" s="7">
        <v>0</v>
      </c>
      <c r="P927" s="5">
        <v>1</v>
      </c>
      <c r="Q927" s="5" t="s">
        <v>42</v>
      </c>
      <c r="R927" s="5">
        <v>118000</v>
      </c>
      <c r="S927" s="5">
        <v>0</v>
      </c>
      <c r="T927" s="5">
        <v>0</v>
      </c>
      <c r="U927" s="5">
        <v>118000</v>
      </c>
      <c r="V927" s="5"/>
      <c r="W927" s="5" t="s">
        <v>36</v>
      </c>
      <c r="X927" s="5" t="s">
        <v>43</v>
      </c>
      <c r="AA927" s="5" t="s">
        <v>44</v>
      </c>
      <c r="AB927" s="5" t="s">
        <v>4468</v>
      </c>
      <c r="AC927" s="8" t="str">
        <f>HYPERLINK("https://drive.google.com/file/d/1FkQpJB91hX6AToZ5xLvw3ntreq-veFl9/view?usp=drivesdk", "Abrir_Factura")</f>
        <v>Abrir_Factura</v>
      </c>
      <c r="AD927" s="9">
        <v>46017.692928240744</v>
      </c>
    </row>
    <row r="928" spans="1:30" ht="12.5">
      <c r="A928" s="4">
        <v>46017.541358634262</v>
      </c>
      <c r="B928" s="5">
        <v>90665</v>
      </c>
      <c r="C928" s="5">
        <v>1128048594</v>
      </c>
      <c r="D928" s="5" t="s">
        <v>1651</v>
      </c>
      <c r="F928" s="5" t="s">
        <v>4469</v>
      </c>
      <c r="H928" s="5">
        <v>573008024594</v>
      </c>
      <c r="J928" s="5" t="s">
        <v>4470</v>
      </c>
      <c r="K928" s="5" t="s">
        <v>516</v>
      </c>
      <c r="L928" s="5" t="s">
        <v>4471</v>
      </c>
      <c r="M928" s="5">
        <v>3013895563</v>
      </c>
      <c r="N928" s="6">
        <v>46018</v>
      </c>
      <c r="O928" s="7">
        <v>0.41666666666666669</v>
      </c>
      <c r="P928" s="5">
        <v>1</v>
      </c>
      <c r="Q928" s="5" t="s">
        <v>384</v>
      </c>
      <c r="R928" s="5">
        <v>180000</v>
      </c>
      <c r="S928" s="5">
        <v>0</v>
      </c>
      <c r="T928" s="5">
        <v>10000</v>
      </c>
      <c r="U928" s="5">
        <v>190000</v>
      </c>
      <c r="V928" s="5" t="s">
        <v>4472</v>
      </c>
      <c r="W928" s="5" t="s">
        <v>36</v>
      </c>
      <c r="X928" s="5" t="s">
        <v>83</v>
      </c>
      <c r="Z928" s="5" t="s">
        <v>4473</v>
      </c>
      <c r="AA928" s="5" t="s">
        <v>69</v>
      </c>
      <c r="AC928" s="8" t="str">
        <f>HYPERLINK("https://drive.google.com/file/d/18lwV5FP76NUwHeH7nXPLBDCWbBJ_HVuP/view?usp=drivesdk", "Abrir_Factura")</f>
        <v>Abrir_Factura</v>
      </c>
      <c r="AD928" s="9">
        <v>46017.716608796298</v>
      </c>
    </row>
    <row r="929" spans="1:30" ht="12.5">
      <c r="A929" s="4">
        <v>46017.71106011574</v>
      </c>
      <c r="B929" s="5">
        <v>90666</v>
      </c>
      <c r="C929" s="5">
        <v>32735577</v>
      </c>
      <c r="D929" s="5" t="s">
        <v>4474</v>
      </c>
      <c r="F929" s="5" t="s">
        <v>4475</v>
      </c>
      <c r="H929" s="5">
        <v>573114031778</v>
      </c>
      <c r="J929" s="5" t="s">
        <v>4476</v>
      </c>
      <c r="K929" s="5"/>
      <c r="L929" s="5" t="s">
        <v>4477</v>
      </c>
      <c r="M929" s="5">
        <v>3044475947</v>
      </c>
      <c r="N929" s="6">
        <v>46020</v>
      </c>
      <c r="O929" s="7">
        <v>0.58333333333333337</v>
      </c>
      <c r="P929" s="5">
        <v>1</v>
      </c>
      <c r="Q929" s="5" t="s">
        <v>42</v>
      </c>
      <c r="R929" s="5">
        <v>700000</v>
      </c>
      <c r="S929" s="5">
        <v>0</v>
      </c>
      <c r="T929" s="5"/>
      <c r="U929" s="5">
        <v>700000</v>
      </c>
      <c r="V929" s="5"/>
      <c r="W929" s="5" t="s">
        <v>36</v>
      </c>
      <c r="X929" s="5" t="s">
        <v>2636</v>
      </c>
      <c r="AA929" s="5" t="s">
        <v>1717</v>
      </c>
      <c r="AB929" s="5" t="s">
        <v>4478</v>
      </c>
      <c r="AC929" s="8" t="str">
        <f>HYPERLINK("https://drive.google.com/file/d/1t2-S6uhwzepVltSxe9XZ7jwMt4n19BeL/view?usp=drivesdk", "Abrir_Factura")</f>
        <v>Abrir_Factura</v>
      </c>
      <c r="AD929" s="9">
        <v>46017.72215277778</v>
      </c>
    </row>
    <row r="930" spans="1:30" ht="12.5">
      <c r="A930" s="4">
        <v>46017.726397546299</v>
      </c>
      <c r="B930" s="5">
        <v>90667</v>
      </c>
      <c r="C930" s="5">
        <v>80417403</v>
      </c>
      <c r="D930" s="5" t="s">
        <v>4479</v>
      </c>
      <c r="F930" s="5" t="s">
        <v>2708</v>
      </c>
      <c r="H930" s="5">
        <v>573184001715</v>
      </c>
      <c r="J930" s="5" t="s">
        <v>4480</v>
      </c>
      <c r="K930" s="5" t="s">
        <v>33</v>
      </c>
      <c r="L930" s="5" t="s">
        <v>34</v>
      </c>
      <c r="M930" s="5">
        <v>3184001715</v>
      </c>
      <c r="N930" s="6">
        <v>46017</v>
      </c>
      <c r="O930" s="7">
        <v>0</v>
      </c>
      <c r="P930" s="5">
        <v>1</v>
      </c>
      <c r="Q930" s="5" t="s">
        <v>42</v>
      </c>
      <c r="R930" s="5">
        <v>60000</v>
      </c>
      <c r="S930" s="5">
        <v>0</v>
      </c>
      <c r="T930" s="5">
        <v>0</v>
      </c>
      <c r="U930" s="5">
        <v>60000</v>
      </c>
      <c r="V930" s="5"/>
      <c r="W930" s="5" t="s">
        <v>36</v>
      </c>
      <c r="X930" s="5" t="s">
        <v>2636</v>
      </c>
      <c r="AA930" s="5" t="s">
        <v>1717</v>
      </c>
      <c r="AB930" s="5" t="s">
        <v>525</v>
      </c>
      <c r="AC930" s="8" t="str">
        <f>HYPERLINK("https://drive.google.com/file/d/1EVE_Fa-E5sw5XXqhHIPuim5S6sOj_2Qf/view?usp=drivesdk", "Abrir_Factura")</f>
        <v>Abrir_Factura</v>
      </c>
      <c r="AD930" s="9">
        <v>46017.726990740739</v>
      </c>
    </row>
    <row r="931" spans="1:30" ht="12.5">
      <c r="A931" s="4">
        <v>46017.728445277782</v>
      </c>
      <c r="B931" s="5">
        <v>90668</v>
      </c>
      <c r="C931" s="5">
        <v>1143448994</v>
      </c>
      <c r="D931" s="5" t="s">
        <v>480</v>
      </c>
      <c r="F931" s="5" t="s">
        <v>455</v>
      </c>
      <c r="H931" s="5">
        <v>573043190657</v>
      </c>
      <c r="J931" s="5" t="s">
        <v>4481</v>
      </c>
      <c r="K931" s="5" t="s">
        <v>33</v>
      </c>
      <c r="L931" s="5" t="s">
        <v>34</v>
      </c>
      <c r="M931" s="5"/>
      <c r="N931" s="6">
        <v>46017</v>
      </c>
      <c r="O931" s="7">
        <v>0</v>
      </c>
      <c r="P931" s="5">
        <v>1</v>
      </c>
      <c r="Q931" s="5" t="s">
        <v>42</v>
      </c>
      <c r="R931" s="5">
        <v>22000</v>
      </c>
      <c r="S931" s="5">
        <v>0</v>
      </c>
      <c r="T931" s="5">
        <v>0</v>
      </c>
      <c r="U931" s="5">
        <v>22000</v>
      </c>
      <c r="V931" s="5"/>
      <c r="W931" s="5" t="s">
        <v>36</v>
      </c>
      <c r="X931" s="5" t="s">
        <v>196</v>
      </c>
      <c r="AA931" s="5" t="s">
        <v>1717</v>
      </c>
      <c r="AB931" s="5" t="s">
        <v>525</v>
      </c>
      <c r="AC931" s="8" t="str">
        <f>HYPERLINK("https://drive.google.com/file/d/1YmMTQFhkGO9PShzlpqKra1VoN9TuUNZ1/view?usp=drivesdk", "Abrir_Factura")</f>
        <v>Abrir_Factura</v>
      </c>
      <c r="AD931" s="9">
        <v>46017.728865740741</v>
      </c>
    </row>
    <row r="932" spans="1:30" ht="12.5">
      <c r="A932" s="4">
        <v>46017.730634189815</v>
      </c>
      <c r="B932" s="5">
        <v>90669</v>
      </c>
      <c r="C932" s="5">
        <v>1129564168</v>
      </c>
      <c r="D932" s="5" t="s">
        <v>4482</v>
      </c>
      <c r="F932" s="5" t="s">
        <v>4483</v>
      </c>
      <c r="H932" s="5">
        <v>573232211755</v>
      </c>
      <c r="J932" s="5" t="s">
        <v>4484</v>
      </c>
      <c r="K932" s="5" t="s">
        <v>33</v>
      </c>
      <c r="L932" s="5" t="s">
        <v>34</v>
      </c>
      <c r="M932" s="5">
        <v>3232211755</v>
      </c>
      <c r="N932" s="6">
        <v>46017</v>
      </c>
      <c r="O932" s="7">
        <v>0</v>
      </c>
      <c r="P932" s="5">
        <v>1</v>
      </c>
      <c r="Q932" s="5" t="s">
        <v>42</v>
      </c>
      <c r="R932" s="5">
        <v>128000</v>
      </c>
      <c r="S932" s="5">
        <v>0</v>
      </c>
      <c r="T932" s="5">
        <v>0</v>
      </c>
      <c r="U932" s="5">
        <v>128000</v>
      </c>
      <c r="V932" s="5"/>
      <c r="W932" s="5" t="s">
        <v>36</v>
      </c>
      <c r="X932" s="5" t="s">
        <v>2636</v>
      </c>
      <c r="AA932" s="5" t="s">
        <v>1717</v>
      </c>
      <c r="AB932" s="5" t="s">
        <v>525</v>
      </c>
      <c r="AC932" s="8" t="str">
        <f>HYPERLINK("https://drive.google.com/file/d/1gDLhOj1SvX-50BqqlDmKsTMh9Dq5bGgB/view?usp=drivesdk", "Abrir_Factura")</f>
        <v>Abrir_Factura</v>
      </c>
      <c r="AD932" s="9">
        <v>46017.731053240743</v>
      </c>
    </row>
    <row r="933" spans="1:30" ht="12.5">
      <c r="A933" s="4">
        <v>46017.734422407404</v>
      </c>
      <c r="B933" s="5">
        <v>90670</v>
      </c>
      <c r="C933" s="5">
        <v>22580647</v>
      </c>
      <c r="D933" s="5" t="s">
        <v>1154</v>
      </c>
      <c r="F933" s="5" t="s">
        <v>1155</v>
      </c>
      <c r="H933" s="5">
        <v>573116881567</v>
      </c>
      <c r="J933" s="5" t="s">
        <v>4485</v>
      </c>
      <c r="K933" s="5"/>
      <c r="L933" s="5" t="s">
        <v>4486</v>
      </c>
      <c r="M933" s="5"/>
      <c r="N933" s="6">
        <v>46017</v>
      </c>
      <c r="O933" s="7">
        <v>0</v>
      </c>
      <c r="P933" s="5">
        <v>1</v>
      </c>
      <c r="Q933" s="5" t="s">
        <v>42</v>
      </c>
      <c r="R933" s="5">
        <v>63000</v>
      </c>
      <c r="S933" s="5">
        <v>0</v>
      </c>
      <c r="T933" s="5"/>
      <c r="U933" s="5">
        <v>63000</v>
      </c>
      <c r="V933" s="5"/>
      <c r="W933" s="5" t="s">
        <v>36</v>
      </c>
      <c r="X933" s="5" t="s">
        <v>2636</v>
      </c>
      <c r="AA933" s="5" t="s">
        <v>1717</v>
      </c>
      <c r="AB933" s="5" t="s">
        <v>525</v>
      </c>
      <c r="AC933" s="8" t="str">
        <f>HYPERLINK("https://drive.google.com/file/d/1k8e5m6IPctTzIVwoMtcv6iOet4T4TJnS/view?usp=drivesdk", "Abrir_Factura")</f>
        <v>Abrir_Factura</v>
      </c>
      <c r="AD933" s="9">
        <v>46017.734826388885</v>
      </c>
    </row>
    <row r="934" spans="1:30" ht="12.5">
      <c r="A934" s="4">
        <v>46017.776898344906</v>
      </c>
      <c r="B934" s="5">
        <v>90671</v>
      </c>
      <c r="C934" s="5">
        <v>1140887033</v>
      </c>
      <c r="D934" s="5" t="s">
        <v>4487</v>
      </c>
      <c r="F934" s="5" t="s">
        <v>4488</v>
      </c>
      <c r="H934" s="5">
        <v>573104023006</v>
      </c>
      <c r="J934" s="5" t="s">
        <v>4489</v>
      </c>
      <c r="K934" s="5" t="s">
        <v>33</v>
      </c>
      <c r="L934" s="5" t="s">
        <v>34</v>
      </c>
      <c r="M934" s="5" t="s">
        <v>25421</v>
      </c>
      <c r="N934" s="6">
        <v>46017</v>
      </c>
      <c r="O934" s="7">
        <v>0</v>
      </c>
      <c r="P934" s="5">
        <v>1</v>
      </c>
      <c r="Q934" s="5" t="s">
        <v>42</v>
      </c>
      <c r="R934" s="5">
        <v>103500</v>
      </c>
      <c r="S934" s="5">
        <v>0</v>
      </c>
      <c r="T934" s="5">
        <v>0</v>
      </c>
      <c r="U934" s="5">
        <v>103500</v>
      </c>
      <c r="V934" s="5"/>
      <c r="W934" s="5" t="s">
        <v>36</v>
      </c>
      <c r="X934" s="5" t="s">
        <v>196</v>
      </c>
      <c r="AA934" s="5" t="s">
        <v>1717</v>
      </c>
      <c r="AB934" s="5" t="s">
        <v>525</v>
      </c>
      <c r="AC934" s="8" t="str">
        <f>HYPERLINK("https://drive.google.com/file/d/1gKpiCZyOiOPwoIBcdf18h__MnN8Sn5kE/view?usp=drivesdk", "Abrir_Factura")</f>
        <v>Abrir_Factura</v>
      </c>
      <c r="AD934" s="9">
        <v>46017.777407407404</v>
      </c>
    </row>
    <row r="935" spans="1:30" ht="12.5">
      <c r="A935" s="4">
        <v>46017.766870162042</v>
      </c>
      <c r="B935" s="5">
        <v>90672</v>
      </c>
      <c r="C935" s="5">
        <v>22624424</v>
      </c>
      <c r="D935" s="5" t="s">
        <v>4490</v>
      </c>
      <c r="F935" s="5" t="s">
        <v>4491</v>
      </c>
      <c r="H935" s="5">
        <v>573215829339</v>
      </c>
      <c r="J935" s="5" t="s">
        <v>4492</v>
      </c>
      <c r="K935" s="5" t="s">
        <v>193</v>
      </c>
      <c r="L935" s="5" t="s">
        <v>4493</v>
      </c>
      <c r="M935" s="5">
        <v>3150124040</v>
      </c>
      <c r="N935" s="6">
        <v>46018</v>
      </c>
      <c r="O935" s="7">
        <v>0</v>
      </c>
      <c r="P935" s="5">
        <v>1</v>
      </c>
      <c r="Q935" s="5" t="s">
        <v>210</v>
      </c>
      <c r="R935" s="5">
        <v>150000</v>
      </c>
      <c r="S935" s="5">
        <v>0</v>
      </c>
      <c r="T935" s="5">
        <v>15000</v>
      </c>
      <c r="U935" s="5">
        <v>165000</v>
      </c>
      <c r="V935" s="5" t="s">
        <v>4494</v>
      </c>
      <c r="W935" s="5" t="s">
        <v>36</v>
      </c>
      <c r="X935" s="5" t="s">
        <v>83</v>
      </c>
      <c r="Z935" s="5" t="s">
        <v>4495</v>
      </c>
      <c r="AA935" s="5" t="s">
        <v>69</v>
      </c>
      <c r="AC935" s="8" t="str">
        <f>HYPERLINK("https://drive.google.com/file/d/1odIdEO7az5t2pOa8_O1gBN6bRcj08pvB/view?usp=drivesdk", "Abrir_Factura")</f>
        <v>Abrir_Factura</v>
      </c>
      <c r="AD935" s="9">
        <v>46017.777962962966</v>
      </c>
    </row>
    <row r="936" spans="1:30" ht="12.5">
      <c r="A936" s="4">
        <v>46018.32241184028</v>
      </c>
      <c r="B936" s="5">
        <v>90673</v>
      </c>
      <c r="C936" s="5">
        <v>1140850997</v>
      </c>
      <c r="D936" s="5" t="s">
        <v>4496</v>
      </c>
      <c r="F936" s="5" t="s">
        <v>4497</v>
      </c>
      <c r="H936" s="5">
        <v>573160931234</v>
      </c>
      <c r="J936" s="5" t="s">
        <v>4498</v>
      </c>
      <c r="K936" s="5" t="s">
        <v>33</v>
      </c>
      <c r="L936" s="5" t="s">
        <v>34</v>
      </c>
      <c r="M936" s="5">
        <v>3160931234</v>
      </c>
      <c r="N936" s="6">
        <v>46018</v>
      </c>
      <c r="O936" s="7">
        <v>0.41666666666666669</v>
      </c>
      <c r="P936" s="5">
        <v>1</v>
      </c>
      <c r="Q936" s="5" t="s">
        <v>375</v>
      </c>
      <c r="R936" s="5">
        <v>70000</v>
      </c>
      <c r="S936" s="5">
        <v>0</v>
      </c>
      <c r="T936" s="5">
        <v>0</v>
      </c>
      <c r="U936" s="5">
        <v>70000</v>
      </c>
      <c r="V936" s="5" t="s">
        <v>4499</v>
      </c>
      <c r="W936" s="5" t="s">
        <v>36</v>
      </c>
      <c r="X936" s="5" t="s">
        <v>83</v>
      </c>
      <c r="Z936" s="5" t="s">
        <v>4500</v>
      </c>
      <c r="AA936" s="5" t="s">
        <v>69</v>
      </c>
      <c r="AC936" s="8" t="str">
        <f>HYPERLINK("https://drive.google.com/file/d/1dkl4R_sreK8n8p7CMhyi9dTJZE521Xgu/view?usp=drivesdk", "Abrir_Factura")</f>
        <v>Abrir_Factura</v>
      </c>
      <c r="AD936" s="9">
        <v>46018.327499999999</v>
      </c>
    </row>
    <row r="937" spans="1:30" ht="12.5">
      <c r="A937" s="4">
        <v>46018.354401828707</v>
      </c>
      <c r="B937" s="5">
        <v>90674</v>
      </c>
      <c r="C937" s="5">
        <v>900521807</v>
      </c>
      <c r="D937" s="5" t="s">
        <v>1231</v>
      </c>
      <c r="F937" s="10" t="s">
        <v>3330</v>
      </c>
      <c r="H937" s="5">
        <v>573007682024</v>
      </c>
      <c r="J937" s="5" t="s">
        <v>1231</v>
      </c>
      <c r="K937" s="5" t="s">
        <v>33</v>
      </c>
      <c r="L937" s="5" t="s">
        <v>34</v>
      </c>
      <c r="M937" s="5">
        <v>3007682024</v>
      </c>
      <c r="N937" s="6">
        <v>46022</v>
      </c>
      <c r="O937" s="7">
        <v>0</v>
      </c>
      <c r="P937" s="5">
        <v>1</v>
      </c>
      <c r="Q937" s="5" t="s">
        <v>42</v>
      </c>
      <c r="R937" s="5">
        <v>0</v>
      </c>
      <c r="S937" s="5">
        <v>0</v>
      </c>
      <c r="T937" s="5">
        <v>0</v>
      </c>
      <c r="U937" s="5">
        <v>0</v>
      </c>
      <c r="V937" s="5"/>
      <c r="W937" s="5" t="s">
        <v>36</v>
      </c>
      <c r="X937" s="5" t="s">
        <v>43</v>
      </c>
      <c r="AA937" s="5" t="s">
        <v>44</v>
      </c>
      <c r="AB937" s="5" t="s">
        <v>4501</v>
      </c>
      <c r="AC937" s="8" t="str">
        <f>HYPERLINK("https://drive.google.com/file/d/14woz_PkRyw__LmFzISYVIxVDUYhlDMsd/view?usp=drivesdk", "Abrir_Factura")</f>
        <v>Abrir_Factura</v>
      </c>
      <c r="AD937" s="9">
        <v>46018.355636574073</v>
      </c>
    </row>
    <row r="938" spans="1:30" ht="12.5">
      <c r="A938" s="4">
        <v>46018.360061099535</v>
      </c>
      <c r="B938" s="5">
        <v>90675</v>
      </c>
      <c r="C938" s="5">
        <v>1140899685</v>
      </c>
      <c r="D938" s="5" t="s">
        <v>1639</v>
      </c>
      <c r="F938" s="5" t="s">
        <v>4502</v>
      </c>
      <c r="H938" s="5">
        <v>573015568680</v>
      </c>
      <c r="J938" s="5" t="s">
        <v>4503</v>
      </c>
      <c r="K938" s="5" t="s">
        <v>33</v>
      </c>
      <c r="L938" s="5" t="s">
        <v>34</v>
      </c>
      <c r="M938" s="5">
        <v>3015568680</v>
      </c>
      <c r="N938" s="6">
        <v>46018</v>
      </c>
      <c r="O938" s="7">
        <v>0</v>
      </c>
      <c r="P938" s="5">
        <v>1</v>
      </c>
      <c r="Q938" s="5" t="s">
        <v>42</v>
      </c>
      <c r="R938" s="5">
        <v>20000</v>
      </c>
      <c r="S938" s="5">
        <v>0</v>
      </c>
      <c r="T938" s="5">
        <v>0</v>
      </c>
      <c r="U938" s="5">
        <v>20000</v>
      </c>
      <c r="V938" s="5"/>
      <c r="W938" s="5" t="s">
        <v>36</v>
      </c>
      <c r="X938" s="5" t="s">
        <v>1481</v>
      </c>
      <c r="AA938" s="5" t="s">
        <v>1717</v>
      </c>
      <c r="AB938" s="5" t="s">
        <v>525</v>
      </c>
      <c r="AC938" s="8" t="str">
        <f>HYPERLINK("https://drive.google.com/file/d/1_92zf_4akvN0RFM4Y14ugYwwLanfLh-Z/view?usp=drivesdk", "Abrir_Factura")</f>
        <v>Abrir_Factura</v>
      </c>
      <c r="AD938" s="9">
        <v>46018.362685185188</v>
      </c>
    </row>
    <row r="939" spans="1:30" ht="12.5">
      <c r="A939" s="4">
        <v>46018.358929733797</v>
      </c>
      <c r="B939" s="5">
        <v>90676</v>
      </c>
      <c r="C939" s="5">
        <v>1140835080</v>
      </c>
      <c r="D939" s="5" t="s">
        <v>4504</v>
      </c>
      <c r="F939" s="5" t="s">
        <v>4323</v>
      </c>
      <c r="H939" s="5">
        <v>573008760327</v>
      </c>
      <c r="J939" s="5" t="s">
        <v>4505</v>
      </c>
      <c r="K939" s="5" t="s">
        <v>185</v>
      </c>
      <c r="L939" s="5" t="s">
        <v>4506</v>
      </c>
      <c r="M939" s="5">
        <v>3008760327</v>
      </c>
      <c r="N939" s="6">
        <v>46018</v>
      </c>
      <c r="O939" s="7">
        <v>0.41666666666666669</v>
      </c>
      <c r="P939" s="5">
        <v>1</v>
      </c>
      <c r="Q939" s="5" t="s">
        <v>335</v>
      </c>
      <c r="R939" s="5">
        <v>120000</v>
      </c>
      <c r="S939" s="5">
        <v>0</v>
      </c>
      <c r="T939" s="5">
        <v>8000</v>
      </c>
      <c r="U939" s="5">
        <v>128000</v>
      </c>
      <c r="V939" s="5" t="s">
        <v>4507</v>
      </c>
      <c r="W939" s="5" t="s">
        <v>36</v>
      </c>
      <c r="X939" s="5" t="s">
        <v>204</v>
      </c>
      <c r="Z939" s="5" t="s">
        <v>4508</v>
      </c>
      <c r="AA939" s="5" t="s">
        <v>44</v>
      </c>
      <c r="AC939" s="8" t="str">
        <f>HYPERLINK("https://drive.google.com/file/d/1MHsU_nyBye7dM9n1dnFYTsiIW1XdgB25/view?usp=drivesdk", "Abrir_Factura")</f>
        <v>Abrir_Factura</v>
      </c>
      <c r="AD939" s="9">
        <v>46018.368611111109</v>
      </c>
    </row>
    <row r="940" spans="1:30" ht="12.5">
      <c r="A940" s="4">
        <v>46017.790777314818</v>
      </c>
      <c r="B940" s="5">
        <v>90677</v>
      </c>
      <c r="C940" s="5">
        <v>1140855945</v>
      </c>
      <c r="D940" s="5" t="s">
        <v>1520</v>
      </c>
      <c r="F940" s="5" t="s">
        <v>93</v>
      </c>
      <c r="H940" s="5">
        <v>573126708090</v>
      </c>
      <c r="J940" s="5" t="s">
        <v>4509</v>
      </c>
      <c r="K940" s="5" t="s">
        <v>79</v>
      </c>
      <c r="L940" s="5" t="s">
        <v>4510</v>
      </c>
      <c r="M940" s="5">
        <v>3126708090</v>
      </c>
      <c r="N940" s="6">
        <v>46018</v>
      </c>
      <c r="O940" s="7">
        <v>0.45833333333333331</v>
      </c>
      <c r="P940" s="5">
        <v>1</v>
      </c>
      <c r="Q940" s="5" t="s">
        <v>375</v>
      </c>
      <c r="R940" s="5">
        <v>70000</v>
      </c>
      <c r="S940" s="5">
        <v>0</v>
      </c>
      <c r="T940" s="5">
        <v>10000</v>
      </c>
      <c r="U940" s="5">
        <v>80000</v>
      </c>
      <c r="V940" s="5" t="s">
        <v>4511</v>
      </c>
      <c r="W940" s="5" t="s">
        <v>36</v>
      </c>
      <c r="X940" s="5" t="s">
        <v>83</v>
      </c>
      <c r="Z940" s="5" t="s">
        <v>4512</v>
      </c>
      <c r="AA940" s="5" t="s">
        <v>44</v>
      </c>
      <c r="AB940" s="5" t="s">
        <v>4513</v>
      </c>
      <c r="AC940" s="8" t="str">
        <f>HYPERLINK("https://drive.google.com/file/d/1AmK493vrNMe59jWvcE4iGKAXJu-IN8CW/view?usp=drivesdk", "Abrir_Factura")</f>
        <v>Abrir_Factura</v>
      </c>
      <c r="AD940" s="9">
        <v>46018.370439814818</v>
      </c>
    </row>
    <row r="941" spans="1:30" ht="12.5">
      <c r="A941" s="4">
        <v>46018.385984548615</v>
      </c>
      <c r="B941" s="5">
        <v>90678</v>
      </c>
      <c r="C941" s="5">
        <v>92513433</v>
      </c>
      <c r="D941" s="5" t="s">
        <v>1051</v>
      </c>
      <c r="F941" s="5" t="s">
        <v>3950</v>
      </c>
      <c r="H941" s="5">
        <v>573174772605</v>
      </c>
      <c r="J941" s="5" t="s">
        <v>4514</v>
      </c>
      <c r="K941" s="5"/>
      <c r="L941" s="5" t="s">
        <v>4515</v>
      </c>
      <c r="M941" s="5"/>
      <c r="N941" s="6">
        <v>46020</v>
      </c>
      <c r="O941" s="7">
        <v>0.375</v>
      </c>
      <c r="P941" s="5">
        <v>1</v>
      </c>
      <c r="Q941" s="5" t="s">
        <v>4516</v>
      </c>
      <c r="R941" s="5">
        <v>850000</v>
      </c>
      <c r="S941" s="5">
        <v>0</v>
      </c>
      <c r="T941" s="5"/>
      <c r="U941" s="5">
        <v>850000</v>
      </c>
      <c r="V941" s="5" t="s">
        <v>4517</v>
      </c>
      <c r="W941" s="5" t="s">
        <v>36</v>
      </c>
      <c r="X941" s="5" t="s">
        <v>196</v>
      </c>
      <c r="AA941" s="5" t="s">
        <v>1717</v>
      </c>
      <c r="AB941" s="5" t="s">
        <v>4518</v>
      </c>
      <c r="AC941" s="8" t="str">
        <f>HYPERLINK("https://drive.google.com/file/d/1VkdWx30GRwBdPCxdvhpuW6YJKrwfTofC/view?usp=drivesdk", "Abrir_Factura")</f>
        <v>Abrir_Factura</v>
      </c>
      <c r="AD941" s="9">
        <v>46018.387291666666</v>
      </c>
    </row>
    <row r="942" spans="1:30" ht="12.5">
      <c r="A942" s="4">
        <v>46017.77421142361</v>
      </c>
      <c r="B942" s="5">
        <v>90679</v>
      </c>
      <c r="C942" s="5">
        <v>72344765</v>
      </c>
      <c r="D942" s="5" t="s">
        <v>4519</v>
      </c>
      <c r="F942" s="5" t="s">
        <v>4520</v>
      </c>
      <c r="H942" s="5">
        <v>573174343404</v>
      </c>
      <c r="J942" s="5" t="s">
        <v>4521</v>
      </c>
      <c r="K942" s="5" t="s">
        <v>185</v>
      </c>
      <c r="L942" s="5" t="s">
        <v>4522</v>
      </c>
      <c r="M942" s="5">
        <v>3004996073</v>
      </c>
      <c r="N942" s="6">
        <v>46021</v>
      </c>
      <c r="O942" s="7">
        <v>0.375</v>
      </c>
      <c r="P942" s="5">
        <v>1</v>
      </c>
      <c r="Q942" s="5" t="s">
        <v>4523</v>
      </c>
      <c r="R942" s="5">
        <v>260000</v>
      </c>
      <c r="S942" s="5">
        <v>0</v>
      </c>
      <c r="T942" s="5">
        <v>8000</v>
      </c>
      <c r="U942" s="5">
        <v>268000</v>
      </c>
      <c r="V942" s="5" t="s">
        <v>4524</v>
      </c>
      <c r="W942" s="5" t="s">
        <v>36</v>
      </c>
      <c r="X942" s="5" t="s">
        <v>83</v>
      </c>
      <c r="AA942" s="5" t="s">
        <v>69</v>
      </c>
      <c r="AB942" s="5" t="s">
        <v>4525</v>
      </c>
      <c r="AC942" s="8" t="str">
        <f>HYPERLINK("https://drive.google.com/file/d/12PO17e-EZL4IM7PgofcqyacN9zDCOsWr/view?usp=drivesdk", "Abrir_Factura")</f>
        <v>Abrir_Factura</v>
      </c>
      <c r="AD942" s="9">
        <v>46018.395486111112</v>
      </c>
    </row>
    <row r="943" spans="1:30" ht="12.5">
      <c r="A943" s="4">
        <v>46017.746842384258</v>
      </c>
      <c r="B943" s="5">
        <v>90680</v>
      </c>
      <c r="C943" s="5">
        <v>1146447316</v>
      </c>
      <c r="D943" s="5" t="s">
        <v>338</v>
      </c>
      <c r="F943" s="5" t="s">
        <v>4526</v>
      </c>
      <c r="H943" s="5">
        <v>573016624010</v>
      </c>
      <c r="J943" s="5" t="s">
        <v>4527</v>
      </c>
      <c r="K943" s="5" t="s">
        <v>103</v>
      </c>
      <c r="L943" s="5" t="s">
        <v>4528</v>
      </c>
      <c r="M943" s="5">
        <v>3016624010</v>
      </c>
      <c r="N943" s="6">
        <v>46018</v>
      </c>
      <c r="O943" s="7">
        <v>0</v>
      </c>
      <c r="P943" s="5">
        <v>1</v>
      </c>
      <c r="Q943" s="5" t="s">
        <v>251</v>
      </c>
      <c r="R943" s="5">
        <v>170000</v>
      </c>
      <c r="S943" s="5">
        <v>0</v>
      </c>
      <c r="T943" s="5">
        <v>10000</v>
      </c>
      <c r="U943" s="5">
        <v>180000</v>
      </c>
      <c r="V943" s="5" t="s">
        <v>4529</v>
      </c>
      <c r="W943" s="5" t="s">
        <v>36</v>
      </c>
      <c r="X943" s="5" t="s">
        <v>1937</v>
      </c>
      <c r="Z943" s="5" t="s">
        <v>4530</v>
      </c>
      <c r="AA943" s="5" t="s">
        <v>69</v>
      </c>
      <c r="AC943" s="8" t="str">
        <f>HYPERLINK("https://drive.google.com/file/d/1iYlBX7zYAyHPhiq3GCgjdCMwgtZpJoTF/view?usp=drivesdk", "Abrir_Factura")</f>
        <v>Abrir_Factura</v>
      </c>
      <c r="AD943" s="9">
        <v>46018.400972222225</v>
      </c>
    </row>
    <row r="944" spans="1:30" ht="12.5">
      <c r="A944" s="4">
        <v>46018.423169664355</v>
      </c>
      <c r="B944" s="5">
        <v>90681</v>
      </c>
      <c r="C944" s="5">
        <v>1019075044</v>
      </c>
      <c r="D944" s="5" t="s">
        <v>4322</v>
      </c>
      <c r="F944" s="5" t="s">
        <v>4531</v>
      </c>
      <c r="H944" s="5">
        <v>573058127196</v>
      </c>
      <c r="J944" s="5" t="s">
        <v>4532</v>
      </c>
      <c r="K944" s="5" t="s">
        <v>4533</v>
      </c>
      <c r="L944" s="5" t="s">
        <v>4534</v>
      </c>
      <c r="M944" s="5"/>
      <c r="N944" s="6">
        <v>46018</v>
      </c>
      <c r="O944" s="7">
        <v>0</v>
      </c>
      <c r="P944" s="5">
        <v>1</v>
      </c>
      <c r="Q944" s="5" t="s">
        <v>42</v>
      </c>
      <c r="R944" s="5">
        <v>200000</v>
      </c>
      <c r="S944" s="5">
        <v>0</v>
      </c>
      <c r="T944" s="5">
        <v>10000</v>
      </c>
      <c r="U944" s="5">
        <v>210000</v>
      </c>
      <c r="V944" s="5"/>
      <c r="W944" s="5" t="s">
        <v>36</v>
      </c>
      <c r="X944" s="5" t="s">
        <v>83</v>
      </c>
      <c r="AA944" s="5" t="s">
        <v>44</v>
      </c>
      <c r="AB944" s="5" t="s">
        <v>4535</v>
      </c>
      <c r="AC944" s="8" t="str">
        <f>HYPERLINK("https://drive.google.com/file/d/1vMwQLeM4FEjK0Wd__bf4EataQx0-sGS1/view?usp=drivesdk", "Abrir_Factura")</f>
        <v>Abrir_Factura</v>
      </c>
      <c r="AD944" s="9">
        <v>46018.42359953704</v>
      </c>
    </row>
    <row r="945" spans="1:30" ht="12.5">
      <c r="A945" s="4">
        <v>46018.42990638889</v>
      </c>
      <c r="B945" s="5">
        <v>90682</v>
      </c>
      <c r="C945" s="5">
        <v>1026251878</v>
      </c>
      <c r="D945" s="5" t="s">
        <v>4536</v>
      </c>
      <c r="F945" s="5" t="s">
        <v>2041</v>
      </c>
      <c r="H945" s="5">
        <v>573185164486</v>
      </c>
      <c r="J945" s="5" t="s">
        <v>4537</v>
      </c>
      <c r="K945" s="5" t="s">
        <v>193</v>
      </c>
      <c r="L945" s="5" t="s">
        <v>4538</v>
      </c>
      <c r="M945" s="5" t="s">
        <v>4539</v>
      </c>
      <c r="N945" s="6">
        <v>46018</v>
      </c>
      <c r="O945" s="7">
        <v>0</v>
      </c>
      <c r="P945" s="5">
        <v>1</v>
      </c>
      <c r="Q945" s="5" t="s">
        <v>4540</v>
      </c>
      <c r="R945" s="5">
        <v>100000</v>
      </c>
      <c r="S945" s="5">
        <v>0</v>
      </c>
      <c r="T945" s="5">
        <v>15000</v>
      </c>
      <c r="U945" s="5">
        <v>115000</v>
      </c>
      <c r="V945" s="5"/>
      <c r="W945" s="5" t="s">
        <v>36</v>
      </c>
      <c r="X945" s="5" t="s">
        <v>83</v>
      </c>
      <c r="AA945" s="5" t="s">
        <v>44</v>
      </c>
      <c r="AC945" s="8" t="str">
        <f>HYPERLINK("https://drive.google.com/file/d/1c9tZT2wWzgpHR9ETTdbMbvDXkFH0ekg0/view?usp=drivesdk", "Abrir_Factura")</f>
        <v>Abrir_Factura</v>
      </c>
      <c r="AD945" s="9">
        <v>46018.430810185186</v>
      </c>
    </row>
    <row r="946" spans="1:30" ht="12.5">
      <c r="A946" s="4">
        <v>46018.459272453707</v>
      </c>
      <c r="B946" s="5">
        <v>90683</v>
      </c>
      <c r="C946" s="5">
        <v>901587942</v>
      </c>
      <c r="D946" s="5" t="s">
        <v>4541</v>
      </c>
      <c r="F946" s="5" t="s">
        <v>2375</v>
      </c>
      <c r="H946" s="5">
        <v>573001963770</v>
      </c>
      <c r="J946" s="5" t="s">
        <v>4542</v>
      </c>
      <c r="K946" s="5" t="s">
        <v>1100</v>
      </c>
      <c r="L946" s="5" t="s">
        <v>4543</v>
      </c>
      <c r="M946" s="5">
        <v>3014323965</v>
      </c>
      <c r="N946" s="6">
        <v>46018</v>
      </c>
      <c r="O946" s="7">
        <v>0</v>
      </c>
      <c r="P946" s="5">
        <v>1</v>
      </c>
      <c r="Q946" s="5" t="s">
        <v>4544</v>
      </c>
      <c r="R946" s="5">
        <v>70000</v>
      </c>
      <c r="S946" s="5">
        <v>13300</v>
      </c>
      <c r="T946" s="5">
        <v>13000</v>
      </c>
      <c r="U946" s="5">
        <v>96300</v>
      </c>
      <c r="V946" s="5" t="s">
        <v>4545</v>
      </c>
      <c r="W946" s="5" t="s">
        <v>36</v>
      </c>
      <c r="X946" s="5" t="s">
        <v>67</v>
      </c>
      <c r="AA946" s="5" t="s">
        <v>44</v>
      </c>
      <c r="AB946" s="5" t="s">
        <v>4546</v>
      </c>
      <c r="AC946" s="8" t="str">
        <f>HYPERLINK("https://drive.google.com/file/d/19hD1UriN4OOZwqoHEtn_MP-m0mMtYAXW/view?usp=drivesdk", "Abrir_Factura")</f>
        <v>Abrir_Factura</v>
      </c>
      <c r="AD946" s="9">
        <v>46018.460520833331</v>
      </c>
    </row>
    <row r="947" spans="1:30" ht="12.5">
      <c r="A947" s="4">
        <v>46018.483065115739</v>
      </c>
      <c r="B947" s="5">
        <v>90684</v>
      </c>
      <c r="C947" s="5">
        <v>900521807</v>
      </c>
      <c r="D947" s="5" t="s">
        <v>1231</v>
      </c>
      <c r="F947" s="10" t="s">
        <v>3001</v>
      </c>
      <c r="H947" s="5">
        <v>573007682024</v>
      </c>
      <c r="J947" s="5" t="s">
        <v>1231</v>
      </c>
      <c r="K947" s="5"/>
      <c r="L947" s="5" t="s">
        <v>34</v>
      </c>
      <c r="M947" s="5">
        <v>3007682024</v>
      </c>
      <c r="N947" s="6">
        <v>46018</v>
      </c>
      <c r="O947" s="7">
        <v>0</v>
      </c>
      <c r="P947" s="5">
        <v>1</v>
      </c>
      <c r="Q947" s="5" t="s">
        <v>4547</v>
      </c>
      <c r="R947" s="5">
        <v>0</v>
      </c>
      <c r="S947" s="5">
        <v>0</v>
      </c>
      <c r="T947" s="5"/>
      <c r="U947" s="5">
        <v>0</v>
      </c>
      <c r="V947" s="5"/>
      <c r="W947" s="5" t="s">
        <v>36</v>
      </c>
      <c r="X947" s="5" t="s">
        <v>43</v>
      </c>
      <c r="AA947" s="5" t="s">
        <v>44</v>
      </c>
      <c r="AB947" s="5" t="s">
        <v>4548</v>
      </c>
      <c r="AC947" s="8" t="str">
        <f>HYPERLINK("https://drive.google.com/file/d/1Ua724eOTHwdV8Ff_LFGoJDSZmTG3RwoR/view?usp=drivesdk", "Abrir_Factura")</f>
        <v>Abrir_Factura</v>
      </c>
      <c r="AD947" s="9">
        <v>46018.484340277777</v>
      </c>
    </row>
    <row r="948" spans="1:30" ht="12.5">
      <c r="A948" s="4">
        <v>46018.494818530089</v>
      </c>
      <c r="B948" s="5">
        <v>90685</v>
      </c>
      <c r="C948" s="5">
        <v>1043126052</v>
      </c>
      <c r="D948" s="5" t="s">
        <v>4549</v>
      </c>
      <c r="F948" s="5" t="s">
        <v>4550</v>
      </c>
      <c r="H948" s="5">
        <v>573205624592</v>
      </c>
      <c r="J948" s="5" t="s">
        <v>4551</v>
      </c>
      <c r="K948" s="5" t="s">
        <v>405</v>
      </c>
      <c r="L948" s="5" t="s">
        <v>4552</v>
      </c>
      <c r="M948" s="5">
        <v>3205624592</v>
      </c>
      <c r="N948" s="6">
        <v>46018</v>
      </c>
      <c r="O948" s="7">
        <v>0.375</v>
      </c>
      <c r="P948" s="5">
        <v>1</v>
      </c>
      <c r="Q948" s="5" t="s">
        <v>4553</v>
      </c>
      <c r="R948" s="5">
        <v>120000</v>
      </c>
      <c r="S948" s="5">
        <v>0</v>
      </c>
      <c r="T948" s="5">
        <v>30000</v>
      </c>
      <c r="U948" s="5">
        <v>150000</v>
      </c>
      <c r="V948" s="5" t="s">
        <v>4554</v>
      </c>
      <c r="W948" s="5" t="s">
        <v>36</v>
      </c>
      <c r="X948" s="5" t="s">
        <v>1481</v>
      </c>
      <c r="AA948" s="5" t="s">
        <v>69</v>
      </c>
      <c r="AB948" s="5" t="s">
        <v>4555</v>
      </c>
      <c r="AC948" s="8" t="str">
        <f>HYPERLINK("https://drive.google.com/file/d/1ZK8e-pjHunIa2XOuUOxk7G3H7hZ2ev_H/view?usp=drivesdk", "Abrir_Factura")</f>
        <v>Abrir_Factura</v>
      </c>
      <c r="AD948" s="9">
        <v>46018.496759259258</v>
      </c>
    </row>
    <row r="949" spans="1:30" ht="12.5">
      <c r="A949" s="4">
        <v>46018.492313449075</v>
      </c>
      <c r="B949" s="5">
        <v>90686</v>
      </c>
      <c r="C949" s="5">
        <v>1140825508</v>
      </c>
      <c r="D949" s="5" t="s">
        <v>2575</v>
      </c>
      <c r="F949" s="5" t="s">
        <v>4556</v>
      </c>
      <c r="H949" s="5">
        <v>573157214282</v>
      </c>
      <c r="J949" s="5" t="s">
        <v>4557</v>
      </c>
      <c r="K949" s="5" t="s">
        <v>4558</v>
      </c>
      <c r="L949" s="5" t="s">
        <v>4559</v>
      </c>
      <c r="M949" s="5">
        <v>3157214282</v>
      </c>
      <c r="N949" s="6">
        <v>46018</v>
      </c>
      <c r="O949" s="7">
        <v>0.58333333333333337</v>
      </c>
      <c r="P949" s="5">
        <v>1</v>
      </c>
      <c r="Q949" s="5" t="s">
        <v>4021</v>
      </c>
      <c r="R949" s="5">
        <v>220000</v>
      </c>
      <c r="S949" s="5">
        <v>0</v>
      </c>
      <c r="T949" s="5">
        <v>10000</v>
      </c>
      <c r="U949" s="5">
        <v>230000</v>
      </c>
      <c r="V949" s="5" t="s">
        <v>4560</v>
      </c>
      <c r="W949" s="5" t="s">
        <v>36</v>
      </c>
      <c r="X949" s="5" t="s">
        <v>83</v>
      </c>
      <c r="Z949" s="5" t="s">
        <v>4561</v>
      </c>
      <c r="AA949" s="5" t="s">
        <v>44</v>
      </c>
      <c r="AC949" s="8" t="str">
        <f>HYPERLINK("https://drive.google.com/file/d/19UYPar_F2xP539hHMEKeFedmVckwlC4b/view?usp=drivesdk", "Abrir_Factura")</f>
        <v>Abrir_Factura</v>
      </c>
      <c r="AD949" s="9">
        <v>46018.503506944442</v>
      </c>
    </row>
    <row r="950" spans="1:30" ht="12.5">
      <c r="A950" s="4">
        <v>46018.494003368054</v>
      </c>
      <c r="B950" s="5">
        <v>90687</v>
      </c>
      <c r="C950" s="5">
        <v>1001779854</v>
      </c>
      <c r="D950" s="5" t="s">
        <v>4562</v>
      </c>
      <c r="F950" s="5" t="s">
        <v>4563</v>
      </c>
      <c r="H950" s="5">
        <v>5.73177E+19</v>
      </c>
      <c r="J950" s="5" t="s">
        <v>4562</v>
      </c>
      <c r="K950" s="5" t="s">
        <v>886</v>
      </c>
      <c r="L950" s="5" t="s">
        <v>4564</v>
      </c>
      <c r="M950" s="5">
        <v>3176564852</v>
      </c>
      <c r="N950" s="6">
        <v>46018</v>
      </c>
      <c r="O950" s="7">
        <v>0.625</v>
      </c>
      <c r="P950" s="5">
        <v>1</v>
      </c>
      <c r="Q950" s="5" t="s">
        <v>4565</v>
      </c>
      <c r="R950" s="5">
        <v>180000</v>
      </c>
      <c r="S950" s="5">
        <v>0</v>
      </c>
      <c r="T950" s="5">
        <v>12000</v>
      </c>
      <c r="U950" s="5">
        <v>192000</v>
      </c>
      <c r="V950" s="5" t="s">
        <v>4566</v>
      </c>
      <c r="W950" s="5" t="s">
        <v>36</v>
      </c>
      <c r="X950" s="5" t="s">
        <v>83</v>
      </c>
      <c r="Z950" s="5" t="s">
        <v>4567</v>
      </c>
      <c r="AA950" s="5" t="s">
        <v>69</v>
      </c>
      <c r="AB950" s="5" t="s">
        <v>4568</v>
      </c>
      <c r="AC950" s="8" t="str">
        <f>HYPERLINK("https://drive.google.com/file/d/1NPINCBWkBlEX6fAJfzdPDPUcxRstDaOv/view?usp=drivesdk", "Abrir_Factura")</f>
        <v>Abrir_Factura</v>
      </c>
      <c r="AD950" s="9">
        <v>46018.509340277778</v>
      </c>
    </row>
    <row r="951" spans="1:30" ht="12.5">
      <c r="A951" s="4">
        <v>46018.51211019676</v>
      </c>
      <c r="B951" s="5">
        <v>90688</v>
      </c>
      <c r="C951" s="5">
        <v>1140828496</v>
      </c>
      <c r="D951" s="5" t="s">
        <v>4569</v>
      </c>
      <c r="F951" s="5" t="s">
        <v>4570</v>
      </c>
      <c r="H951" s="5">
        <v>578752057</v>
      </c>
      <c r="J951" s="5" t="s">
        <v>4571</v>
      </c>
      <c r="K951" s="5" t="s">
        <v>33</v>
      </c>
      <c r="L951" s="5" t="s">
        <v>34</v>
      </c>
      <c r="M951" s="5">
        <v>8752057</v>
      </c>
      <c r="N951" s="6">
        <v>46018</v>
      </c>
      <c r="O951" s="7">
        <v>0</v>
      </c>
      <c r="P951" s="5">
        <v>1</v>
      </c>
      <c r="Q951" s="5" t="s">
        <v>361</v>
      </c>
      <c r="R951" s="5">
        <v>200000</v>
      </c>
      <c r="S951" s="5">
        <v>0</v>
      </c>
      <c r="T951" s="5">
        <v>0</v>
      </c>
      <c r="U951" s="5">
        <v>200000</v>
      </c>
      <c r="V951" s="5"/>
      <c r="W951" s="5" t="s">
        <v>36</v>
      </c>
      <c r="X951" s="5" t="s">
        <v>204</v>
      </c>
      <c r="AA951" s="5" t="s">
        <v>1717</v>
      </c>
      <c r="AC951" s="8" t="str">
        <f>HYPERLINK("https://drive.google.com/file/d/1LbiTlGiXOzAFOq3ZbtMQTMJ3IlhBkChq/view?usp=drivesdk", "Abrir_Factura")</f>
        <v>Abrir_Factura</v>
      </c>
      <c r="AD951" s="9">
        <v>46018.536377314813</v>
      </c>
    </row>
    <row r="952" spans="1:30" ht="12.5">
      <c r="A952" s="4">
        <v>46018.545910613422</v>
      </c>
      <c r="B952" s="5">
        <v>90689</v>
      </c>
      <c r="C952" s="5">
        <v>72206281</v>
      </c>
      <c r="D952" s="5" t="s">
        <v>4572</v>
      </c>
      <c r="F952" s="5" t="s">
        <v>4573</v>
      </c>
      <c r="H952" s="5">
        <v>57128789344</v>
      </c>
      <c r="J952" s="5" t="s">
        <v>4574</v>
      </c>
      <c r="K952" s="5" t="s">
        <v>33</v>
      </c>
      <c r="L952" s="5" t="s">
        <v>34</v>
      </c>
      <c r="M952" s="5">
        <v>128789344</v>
      </c>
      <c r="N952" s="6">
        <v>46018</v>
      </c>
      <c r="O952" s="7">
        <v>0</v>
      </c>
      <c r="P952" s="5">
        <v>1</v>
      </c>
      <c r="Q952" s="5" t="s">
        <v>42</v>
      </c>
      <c r="R952" s="5">
        <v>40000</v>
      </c>
      <c r="S952" s="5">
        <v>0</v>
      </c>
      <c r="T952" s="5">
        <v>0</v>
      </c>
      <c r="U952" s="5">
        <v>40000</v>
      </c>
      <c r="V952" s="5"/>
      <c r="W952" s="5" t="s">
        <v>36</v>
      </c>
      <c r="X952" s="5" t="s">
        <v>2636</v>
      </c>
      <c r="AA952" s="5" t="s">
        <v>1717</v>
      </c>
      <c r="AC952" s="8" t="str">
        <f>HYPERLINK("https://drive.google.com/file/d/1-nYXoWNXdh3XtnqcII7hpQB4XExlonj6/view?usp=drivesdk", "Abrir_Factura")</f>
        <v>Abrir_Factura</v>
      </c>
      <c r="AD952" s="9">
        <v>46018.546793981484</v>
      </c>
    </row>
    <row r="953" spans="1:30" ht="12.5">
      <c r="A953" s="4">
        <v>46018.550133449069</v>
      </c>
      <c r="B953" s="5">
        <v>90690</v>
      </c>
      <c r="C953" s="5">
        <v>22657693</v>
      </c>
      <c r="D953" s="5" t="s">
        <v>3784</v>
      </c>
      <c r="F953" s="5" t="s">
        <v>4575</v>
      </c>
      <c r="H953" s="5">
        <v>573205425431</v>
      </c>
      <c r="J953" s="5" t="s">
        <v>4576</v>
      </c>
      <c r="K953" s="5" t="s">
        <v>33</v>
      </c>
      <c r="L953" s="5" t="s">
        <v>34</v>
      </c>
      <c r="M953" s="5"/>
      <c r="N953" s="6">
        <v>46018</v>
      </c>
      <c r="O953" s="7">
        <v>0</v>
      </c>
      <c r="P953" s="5">
        <v>1</v>
      </c>
      <c r="Q953" s="5" t="s">
        <v>42</v>
      </c>
      <c r="R953" s="5">
        <v>70000</v>
      </c>
      <c r="S953" s="5">
        <v>0</v>
      </c>
      <c r="T953" s="5">
        <v>0</v>
      </c>
      <c r="U953" s="5">
        <v>70000</v>
      </c>
      <c r="V953" s="5"/>
      <c r="W953" s="5" t="s">
        <v>36</v>
      </c>
      <c r="X953" s="5" t="s">
        <v>2636</v>
      </c>
      <c r="AA953" s="5" t="s">
        <v>1717</v>
      </c>
      <c r="AC953" s="8" t="str">
        <f>HYPERLINK("https://drive.google.com/file/d/14jfuJooQvDnvQutHjbBmRO3Cau9pZw3F/view?usp=drivesdk", "Abrir_Factura")</f>
        <v>Abrir_Factura</v>
      </c>
      <c r="AD953" s="9">
        <v>46018.555428240739</v>
      </c>
    </row>
    <row r="954" spans="1:30" ht="12.5">
      <c r="A954" s="4">
        <v>46018.572732141205</v>
      </c>
      <c r="B954" s="5">
        <v>90691</v>
      </c>
      <c r="C954" s="5">
        <v>22462773</v>
      </c>
      <c r="D954" s="5" t="s">
        <v>521</v>
      </c>
      <c r="F954" s="5" t="s">
        <v>561</v>
      </c>
      <c r="H954" s="5">
        <v>573174986262</v>
      </c>
      <c r="J954" s="5" t="s">
        <v>4577</v>
      </c>
      <c r="K954" s="5" t="s">
        <v>964</v>
      </c>
      <c r="L954" s="5" t="s">
        <v>4578</v>
      </c>
      <c r="M954" s="5" t="s">
        <v>4579</v>
      </c>
      <c r="N954" s="6">
        <v>46018</v>
      </c>
      <c r="O954" s="7">
        <v>0</v>
      </c>
      <c r="P954" s="5">
        <v>1</v>
      </c>
      <c r="Q954" s="5" t="s">
        <v>4580</v>
      </c>
      <c r="R954" s="5">
        <v>120000</v>
      </c>
      <c r="S954" s="5">
        <v>0</v>
      </c>
      <c r="T954" s="5">
        <v>12000</v>
      </c>
      <c r="U954" s="5">
        <v>132000</v>
      </c>
      <c r="V954" s="5"/>
      <c r="W954" s="5" t="s">
        <v>36</v>
      </c>
      <c r="X954" s="5" t="s">
        <v>180</v>
      </c>
      <c r="AA954" s="5" t="s">
        <v>69</v>
      </c>
      <c r="AB954" s="5" t="s">
        <v>4581</v>
      </c>
      <c r="AC954" s="8" t="str">
        <f>HYPERLINK("https://drive.google.com/file/d/1e7hVsbekjesCm8b-vTgZ-Y2p97E_ESNe/view?usp=drivesdk", "Abrir_Factura")</f>
        <v>Abrir_Factura</v>
      </c>
      <c r="AD954" s="9">
        <v>46018.573344907411</v>
      </c>
    </row>
    <row r="955" spans="1:30" ht="12.5">
      <c r="A955" s="4">
        <v>46018.576384976855</v>
      </c>
      <c r="B955" s="5">
        <v>90692</v>
      </c>
      <c r="C955" s="5">
        <v>1234343370</v>
      </c>
      <c r="D955" s="5" t="s">
        <v>4582</v>
      </c>
      <c r="F955" s="5" t="s">
        <v>4583</v>
      </c>
      <c r="H955" s="5">
        <v>573103841591</v>
      </c>
      <c r="J955" s="5" t="s">
        <v>4584</v>
      </c>
      <c r="K955" s="5" t="s">
        <v>33</v>
      </c>
      <c r="L955" s="5" t="s">
        <v>34</v>
      </c>
      <c r="M955" s="5">
        <v>3103841591</v>
      </c>
      <c r="N955" s="6">
        <v>46018</v>
      </c>
      <c r="O955" s="7">
        <v>0</v>
      </c>
      <c r="P955" s="5">
        <v>1</v>
      </c>
      <c r="Q955" s="5" t="s">
        <v>42</v>
      </c>
      <c r="R955" s="5">
        <v>40000</v>
      </c>
      <c r="S955" s="5">
        <v>0</v>
      </c>
      <c r="T955" s="5">
        <v>0</v>
      </c>
      <c r="U955" s="5">
        <v>40000</v>
      </c>
      <c r="V955" s="5"/>
      <c r="W955" s="5" t="s">
        <v>36</v>
      </c>
      <c r="X955" s="5" t="s">
        <v>2636</v>
      </c>
      <c r="AA955" s="5" t="s">
        <v>1717</v>
      </c>
      <c r="AB955" s="5" t="s">
        <v>120</v>
      </c>
      <c r="AC955" s="8" t="str">
        <f>HYPERLINK("https://drive.google.com/file/d/1aa197WNP7qoTMCDddLspWgc27u0zuzt5/view?usp=drivesdk", "Abrir_Factura")</f>
        <v>Abrir_Factura</v>
      </c>
      <c r="AD955" s="9">
        <v>46018.576990740738</v>
      </c>
    </row>
    <row r="956" spans="1:30" ht="12.5">
      <c r="A956" s="4">
        <v>46018.587409768515</v>
      </c>
      <c r="B956" s="5">
        <v>90693</v>
      </c>
      <c r="C956" s="5">
        <v>72248541</v>
      </c>
      <c r="D956" s="5" t="s">
        <v>4585</v>
      </c>
      <c r="F956" s="5" t="s">
        <v>3550</v>
      </c>
      <c r="H956" s="5">
        <v>573164520660</v>
      </c>
      <c r="J956" s="5" t="s">
        <v>4586</v>
      </c>
      <c r="K956" s="5" t="s">
        <v>813</v>
      </c>
      <c r="L956" s="5" t="s">
        <v>4587</v>
      </c>
      <c r="M956" s="5">
        <v>3164520769</v>
      </c>
      <c r="N956" s="6">
        <v>46031</v>
      </c>
      <c r="O956" s="7">
        <v>0.375</v>
      </c>
      <c r="P956" s="5">
        <v>1</v>
      </c>
      <c r="Q956" s="5" t="s">
        <v>1102</v>
      </c>
      <c r="R956" s="5">
        <v>220000</v>
      </c>
      <c r="S956" s="5">
        <v>0</v>
      </c>
      <c r="T956" s="5">
        <v>15000</v>
      </c>
      <c r="U956" s="5">
        <v>235000</v>
      </c>
      <c r="V956" s="5" t="s">
        <v>4588</v>
      </c>
      <c r="W956" s="5" t="s">
        <v>36</v>
      </c>
      <c r="X956" s="5" t="s">
        <v>67</v>
      </c>
      <c r="Z956" s="5" t="s">
        <v>4589</v>
      </c>
      <c r="AA956" s="5" t="s">
        <v>44</v>
      </c>
      <c r="AC956" s="8" t="str">
        <f>HYPERLINK("https://drive.google.com/file/d/1mizO26gIw7WLNGUVAQm7eG6O8sX5Kd1q/view?usp=drivesdk", "Abrir_Factura")</f>
        <v>Abrir_Factura</v>
      </c>
      <c r="AD956" s="9">
        <v>46018.615486111114</v>
      </c>
    </row>
    <row r="957" spans="1:30" ht="12.5">
      <c r="A957" s="4">
        <v>46018.608215983797</v>
      </c>
      <c r="B957" s="5">
        <v>90694</v>
      </c>
      <c r="C957" s="5">
        <v>1006110276</v>
      </c>
      <c r="D957" s="5" t="s">
        <v>2293</v>
      </c>
      <c r="F957" s="5" t="s">
        <v>4590</v>
      </c>
      <c r="H957" s="5">
        <v>573168227783</v>
      </c>
      <c r="J957" s="5" t="s">
        <v>4591</v>
      </c>
      <c r="K957" s="5" t="s">
        <v>185</v>
      </c>
      <c r="L957" s="5" t="s">
        <v>4592</v>
      </c>
      <c r="M957" s="5" t="s">
        <v>25421</v>
      </c>
      <c r="N957" s="6">
        <v>46018</v>
      </c>
      <c r="O957" s="7">
        <v>0.66666666666666663</v>
      </c>
      <c r="P957" s="5">
        <v>1</v>
      </c>
      <c r="Q957" s="5" t="s">
        <v>1111</v>
      </c>
      <c r="R957" s="5">
        <v>120000</v>
      </c>
      <c r="S957" s="5">
        <v>0</v>
      </c>
      <c r="T957" s="5">
        <v>8000</v>
      </c>
      <c r="U957" s="5">
        <v>128000</v>
      </c>
      <c r="V957" s="5"/>
      <c r="W957" s="5" t="s">
        <v>36</v>
      </c>
      <c r="X957" s="5" t="s">
        <v>67</v>
      </c>
      <c r="Z957" s="5" t="s">
        <v>4593</v>
      </c>
      <c r="AA957" s="5" t="s">
        <v>44</v>
      </c>
      <c r="AC957" s="8" t="str">
        <f>HYPERLINK("https://drive.google.com/file/d/1dYOYycWCaNPS6yHnYolkbYwLU1wUnNPp/view?usp=drivesdk", "Abrir_Factura")</f>
        <v>Abrir_Factura</v>
      </c>
      <c r="AD957" s="9">
        <v>46018.618055555555</v>
      </c>
    </row>
    <row r="958" spans="1:30" ht="12.5">
      <c r="A958" s="4">
        <v>46018.602005856483</v>
      </c>
      <c r="B958" s="5">
        <v>90695</v>
      </c>
      <c r="C958" s="5">
        <v>1140858931</v>
      </c>
      <c r="D958" s="5" t="s">
        <v>4594</v>
      </c>
      <c r="F958" s="5" t="s">
        <v>4595</v>
      </c>
      <c r="H958" s="5">
        <v>573187691123</v>
      </c>
      <c r="J958" s="5" t="s">
        <v>4596</v>
      </c>
      <c r="K958" s="5" t="s">
        <v>975</v>
      </c>
      <c r="L958" s="5" t="s">
        <v>4597</v>
      </c>
      <c r="M958" s="5">
        <v>3023943404</v>
      </c>
      <c r="N958" s="6">
        <v>46018</v>
      </c>
      <c r="O958" s="7">
        <v>0.66666666666666663</v>
      </c>
      <c r="P958" s="5">
        <v>1</v>
      </c>
      <c r="Q958" s="5" t="s">
        <v>542</v>
      </c>
      <c r="R958" s="5">
        <v>140000</v>
      </c>
      <c r="S958" s="5">
        <v>0</v>
      </c>
      <c r="T958" s="5">
        <v>10000</v>
      </c>
      <c r="U958" s="5">
        <v>150000</v>
      </c>
      <c r="V958" s="5" t="s">
        <v>4598</v>
      </c>
      <c r="W958" s="5" t="s">
        <v>36</v>
      </c>
      <c r="X958" s="5" t="s">
        <v>67</v>
      </c>
      <c r="Z958" s="5" t="s">
        <v>4599</v>
      </c>
      <c r="AA958" s="5" t="s">
        <v>44</v>
      </c>
      <c r="AC958" s="8" t="str">
        <f>HYPERLINK("https://drive.google.com/file/d/1kLS5FG_Kx7ftbxvJRf9zgZUKROrvyb2k/view?usp=drivesdk", "Abrir_Factura")</f>
        <v>Abrir_Factura</v>
      </c>
      <c r="AD958" s="9">
        <v>46018.618993055556</v>
      </c>
    </row>
    <row r="959" spans="1:30" ht="12.5">
      <c r="A959" s="4">
        <v>46018.645143043977</v>
      </c>
      <c r="B959" s="5">
        <v>90696</v>
      </c>
      <c r="C959" s="5">
        <v>1140984578</v>
      </c>
      <c r="D959" s="5" t="s">
        <v>84</v>
      </c>
      <c r="F959" s="5" t="s">
        <v>4600</v>
      </c>
      <c r="H959" s="5">
        <v>573008370746</v>
      </c>
      <c r="J959" s="5" t="s">
        <v>4601</v>
      </c>
      <c r="K959" s="5"/>
      <c r="L959" s="5" t="s">
        <v>4602</v>
      </c>
      <c r="M959" s="5"/>
      <c r="N959" s="6">
        <v>46018</v>
      </c>
      <c r="O959" s="7">
        <v>0</v>
      </c>
      <c r="P959" s="5">
        <v>1</v>
      </c>
      <c r="Q959" s="5" t="s">
        <v>1126</v>
      </c>
      <c r="R959" s="5">
        <v>330000</v>
      </c>
      <c r="S959" s="5">
        <v>0</v>
      </c>
      <c r="T959" s="5"/>
      <c r="U959" s="5">
        <v>330000</v>
      </c>
      <c r="V959" s="5" t="s">
        <v>4603</v>
      </c>
      <c r="W959" s="5" t="s">
        <v>36</v>
      </c>
      <c r="X959" s="5" t="s">
        <v>67</v>
      </c>
      <c r="Z959" s="5"/>
      <c r="AA959" s="5" t="s">
        <v>44</v>
      </c>
      <c r="AB959" s="5" t="s">
        <v>4604</v>
      </c>
      <c r="AC959" s="8" t="str">
        <f>HYPERLINK("https://drive.google.com/file/d/1sRoFO7XMvzJaCVM9xNgA0Mg--_WURfyi/view?usp=drivesdk", "Abrir_Factura")</f>
        <v>Abrir_Factura</v>
      </c>
      <c r="AD959" s="9">
        <v>46018.646192129629</v>
      </c>
    </row>
    <row r="960" spans="1:30" ht="12.5">
      <c r="A960" s="4">
        <v>46018.649652615743</v>
      </c>
      <c r="B960" s="5">
        <v>90697</v>
      </c>
      <c r="C960" s="5">
        <v>8020106144</v>
      </c>
      <c r="D960" s="5" t="s">
        <v>4605</v>
      </c>
      <c r="F960" s="10" t="s">
        <v>3330</v>
      </c>
      <c r="H960" s="5">
        <v>573016373200</v>
      </c>
      <c r="J960" s="5" t="s">
        <v>4606</v>
      </c>
      <c r="K960" s="5" t="s">
        <v>185</v>
      </c>
      <c r="L960" s="5" t="s">
        <v>4607</v>
      </c>
      <c r="M960" s="5"/>
      <c r="N960" s="6">
        <v>46018</v>
      </c>
      <c r="O960" s="7">
        <v>0</v>
      </c>
      <c r="P960" s="5">
        <v>1</v>
      </c>
      <c r="Q960" s="5" t="s">
        <v>4608</v>
      </c>
      <c r="R960" s="5">
        <v>560000</v>
      </c>
      <c r="S960" s="5">
        <v>106400</v>
      </c>
      <c r="T960" s="5">
        <v>8000</v>
      </c>
      <c r="U960" s="5">
        <v>674400</v>
      </c>
      <c r="V960" s="5"/>
      <c r="W960" s="5" t="s">
        <v>36</v>
      </c>
      <c r="X960" s="5" t="s">
        <v>180</v>
      </c>
      <c r="AA960" s="5" t="s">
        <v>44</v>
      </c>
      <c r="AB960" s="5" t="s">
        <v>4609</v>
      </c>
      <c r="AC960" s="8" t="str">
        <f>HYPERLINK("https://drive.google.com/file/d/1E6vZ4ohsk9OTxR6XlYBMtBQblqSqOHSC/view?usp=drivesdk", "Abrir_Factura")</f>
        <v>Abrir_Factura</v>
      </c>
      <c r="AD960" s="9">
        <v>46018.650138888886</v>
      </c>
    </row>
    <row r="961" spans="1:30" ht="12.5">
      <c r="A961" s="4">
        <v>46018.663754861111</v>
      </c>
      <c r="B961" s="5">
        <v>90698</v>
      </c>
      <c r="C961" s="5">
        <v>1143461773</v>
      </c>
      <c r="D961" s="5" t="s">
        <v>4610</v>
      </c>
      <c r="F961" s="5" t="s">
        <v>236</v>
      </c>
      <c r="H961" s="5">
        <v>573016260061</v>
      </c>
      <c r="J961" s="5" t="s">
        <v>4611</v>
      </c>
      <c r="K961" s="5" t="s">
        <v>33</v>
      </c>
      <c r="L961" s="5" t="s">
        <v>34</v>
      </c>
      <c r="M961" s="5">
        <v>3016260061</v>
      </c>
      <c r="N961" s="6">
        <v>46018</v>
      </c>
      <c r="O961" s="7">
        <v>0</v>
      </c>
      <c r="P961" s="5">
        <v>1</v>
      </c>
      <c r="Q961" s="5" t="s">
        <v>89</v>
      </c>
      <c r="R961" s="5">
        <v>150000</v>
      </c>
      <c r="S961" s="5">
        <v>0</v>
      </c>
      <c r="T961" s="5">
        <v>0</v>
      </c>
      <c r="U961" s="5">
        <v>150000</v>
      </c>
      <c r="V961" s="5"/>
      <c r="W961" s="5" t="s">
        <v>36</v>
      </c>
      <c r="X961" s="5" t="s">
        <v>1481</v>
      </c>
      <c r="AA961" s="5" t="s">
        <v>1717</v>
      </c>
      <c r="AC961" s="8" t="str">
        <f>HYPERLINK("https://drive.google.com/file/d/1Sn4-X3EnR5Ddq-S4wIDI-GcO-pd29W33/view?usp=drivesdk", "Abrir_Factura")</f>
        <v>Abrir_Factura</v>
      </c>
      <c r="AD961" s="9">
        <v>46018.665081018517</v>
      </c>
    </row>
    <row r="962" spans="1:30" ht="12.5">
      <c r="A962" s="4">
        <v>46018.678903101856</v>
      </c>
      <c r="B962" s="5">
        <v>90699</v>
      </c>
      <c r="C962" s="5">
        <v>77184431</v>
      </c>
      <c r="D962" s="5" t="s">
        <v>4612</v>
      </c>
      <c r="F962" s="5" t="s">
        <v>4613</v>
      </c>
      <c r="H962" s="5">
        <v>573155252368</v>
      </c>
      <c r="J962" s="5" t="s">
        <v>4614</v>
      </c>
      <c r="K962" s="5" t="s">
        <v>1047</v>
      </c>
      <c r="L962" s="5" t="s">
        <v>4615</v>
      </c>
      <c r="M962" s="5">
        <v>3155252368</v>
      </c>
      <c r="N962" s="6">
        <v>46018</v>
      </c>
      <c r="O962" s="7">
        <v>0</v>
      </c>
      <c r="P962" s="5">
        <v>1</v>
      </c>
      <c r="Q962" s="5" t="s">
        <v>4616</v>
      </c>
      <c r="R962" s="5">
        <v>260000</v>
      </c>
      <c r="S962" s="5">
        <v>0</v>
      </c>
      <c r="T962" s="5">
        <v>15000</v>
      </c>
      <c r="U962" s="5">
        <v>275000</v>
      </c>
      <c r="V962" s="5" t="s">
        <v>4617</v>
      </c>
      <c r="W962" s="5" t="s">
        <v>36</v>
      </c>
      <c r="X962" s="5" t="s">
        <v>83</v>
      </c>
      <c r="AA962" s="5" t="s">
        <v>69</v>
      </c>
      <c r="AC962" s="8" t="str">
        <f>HYPERLINK("https://drive.google.com/file/d/17-APzrxzWemZWq9A5uPzIiuAg1WgPtqh/view?usp=drivesdk", "Abrir_Factura")</f>
        <v>Abrir_Factura</v>
      </c>
      <c r="AD962" s="9">
        <v>46018.679780092592</v>
      </c>
    </row>
    <row r="963" spans="1:30" ht="12.5">
      <c r="A963" s="4">
        <v>46018.687967453705</v>
      </c>
      <c r="B963" s="5">
        <v>90700</v>
      </c>
      <c r="C963" s="5">
        <v>8485395</v>
      </c>
      <c r="D963" s="5" t="s">
        <v>4618</v>
      </c>
      <c r="F963" s="5" t="s">
        <v>2699</v>
      </c>
      <c r="H963" s="5">
        <v>574636715</v>
      </c>
      <c r="J963" s="5" t="s">
        <v>4619</v>
      </c>
      <c r="K963" s="5" t="s">
        <v>33</v>
      </c>
      <c r="L963" s="5" t="s">
        <v>34</v>
      </c>
      <c r="M963" s="5">
        <v>4636715</v>
      </c>
      <c r="N963" s="6">
        <v>46018</v>
      </c>
      <c r="O963" s="7">
        <v>0</v>
      </c>
      <c r="P963" s="5">
        <v>1</v>
      </c>
      <c r="Q963" s="5" t="s">
        <v>42</v>
      </c>
      <c r="R963" s="5">
        <v>35000</v>
      </c>
      <c r="S963" s="5">
        <v>0</v>
      </c>
      <c r="T963" s="5">
        <v>0</v>
      </c>
      <c r="U963" s="5">
        <v>35000</v>
      </c>
      <c r="V963" s="5"/>
      <c r="W963" s="5" t="s">
        <v>36</v>
      </c>
      <c r="X963" s="5" t="s">
        <v>1481</v>
      </c>
      <c r="AA963" s="5" t="s">
        <v>1717</v>
      </c>
      <c r="AB963" s="5" t="s">
        <v>120</v>
      </c>
      <c r="AC963" s="8" t="str">
        <f>HYPERLINK("https://drive.google.com/file/d/1uaVqvFurNcq24niDDRNk8VhPmDfhd2cj/view?usp=drivesdk", "Abrir_Factura")</f>
        <v>Abrir_Factura</v>
      </c>
      <c r="AD963" s="9">
        <v>46018.68922453704</v>
      </c>
    </row>
    <row r="964" spans="1:30" ht="12.5">
      <c r="A964" s="4">
        <v>46018.688720775463</v>
      </c>
      <c r="B964" s="5">
        <v>90701</v>
      </c>
      <c r="C964" s="5">
        <v>100210872</v>
      </c>
      <c r="D964" s="5" t="s">
        <v>190</v>
      </c>
      <c r="F964" s="5" t="s">
        <v>4620</v>
      </c>
      <c r="H964" s="5">
        <v>570000</v>
      </c>
      <c r="J964" s="5" t="s">
        <v>4621</v>
      </c>
      <c r="K964" s="5" t="s">
        <v>33</v>
      </c>
      <c r="L964" s="5" t="s">
        <v>34</v>
      </c>
      <c r="M964" s="5">
        <v>0</v>
      </c>
      <c r="N964" s="6">
        <v>46018</v>
      </c>
      <c r="O964" s="7">
        <v>0</v>
      </c>
      <c r="P964" s="5">
        <v>1</v>
      </c>
      <c r="Q964" s="5" t="s">
        <v>42</v>
      </c>
      <c r="R964" s="5">
        <v>10000</v>
      </c>
      <c r="S964" s="5">
        <v>0</v>
      </c>
      <c r="T964" s="5">
        <v>0</v>
      </c>
      <c r="U964" s="5">
        <v>10000</v>
      </c>
      <c r="V964" s="5"/>
      <c r="W964" s="5" t="s">
        <v>36</v>
      </c>
      <c r="X964" s="5" t="s">
        <v>196</v>
      </c>
      <c r="AA964" s="5" t="s">
        <v>1717</v>
      </c>
      <c r="AB964" s="5" t="s">
        <v>525</v>
      </c>
      <c r="AC964" s="8" t="str">
        <f>HYPERLINK("https://drive.google.com/file/d/1URTnlRwgdUb0rUF2v9DnfXjsh35v-aSn/view?usp=drivesdk", "Abrir_Factura")</f>
        <v>Abrir_Factura</v>
      </c>
      <c r="AD964" s="9">
        <v>46018.689745370371</v>
      </c>
    </row>
    <row r="965" spans="1:30" ht="12.5">
      <c r="A965" s="4">
        <v>46018.692458321762</v>
      </c>
      <c r="B965" s="5">
        <v>90702</v>
      </c>
      <c r="C965" s="5">
        <v>900521807</v>
      </c>
      <c r="D965" s="5" t="s">
        <v>1231</v>
      </c>
      <c r="F965" s="10" t="s">
        <v>3001</v>
      </c>
      <c r="H965" s="5">
        <v>573007682024</v>
      </c>
      <c r="J965" s="5" t="s">
        <v>1231</v>
      </c>
      <c r="K965" s="5" t="s">
        <v>33</v>
      </c>
      <c r="L965" s="5" t="s">
        <v>34</v>
      </c>
      <c r="M965" s="5">
        <v>3007682024</v>
      </c>
      <c r="N965" s="6">
        <v>46018</v>
      </c>
      <c r="O965" s="7">
        <v>0</v>
      </c>
      <c r="P965" s="5">
        <v>1</v>
      </c>
      <c r="Q965" s="5" t="s">
        <v>42</v>
      </c>
      <c r="R965" s="5">
        <v>0</v>
      </c>
      <c r="S965" s="5">
        <v>0</v>
      </c>
      <c r="T965" s="5">
        <v>0</v>
      </c>
      <c r="U965" s="5">
        <v>0</v>
      </c>
      <c r="V965" s="5"/>
      <c r="W965" s="5" t="s">
        <v>36</v>
      </c>
      <c r="X965" s="5" t="s">
        <v>43</v>
      </c>
      <c r="AA965" s="5" t="s">
        <v>44</v>
      </c>
      <c r="AB965" s="5" t="s">
        <v>4622</v>
      </c>
      <c r="AC965" s="8" t="str">
        <f>HYPERLINK("https://drive.google.com/file/d/1HPoi0-iHa_FY6WB-CIdjez-Kzq0GDlwT/view?usp=drivesdk", "Abrir_Factura")</f>
        <v>Abrir_Factura</v>
      </c>
      <c r="AD965" s="9">
        <v>46018.692997685182</v>
      </c>
    </row>
    <row r="966" spans="1:30" ht="12.5">
      <c r="A966" s="4">
        <v>46018.7006453125</v>
      </c>
      <c r="B966" s="5">
        <v>90703</v>
      </c>
      <c r="C966" s="5">
        <v>0</v>
      </c>
      <c r="D966" s="5" t="s">
        <v>4623</v>
      </c>
      <c r="F966" s="5">
        <v>0</v>
      </c>
      <c r="H966" s="5">
        <v>570000</v>
      </c>
      <c r="J966" s="5">
        <v>0</v>
      </c>
      <c r="K966" s="5" t="s">
        <v>33</v>
      </c>
      <c r="L966" s="5" t="s">
        <v>34</v>
      </c>
      <c r="M966" s="5"/>
      <c r="N966" s="6">
        <v>46018</v>
      </c>
      <c r="O966" s="7">
        <v>0</v>
      </c>
      <c r="P966" s="5">
        <v>1</v>
      </c>
      <c r="Q966" s="5" t="s">
        <v>42</v>
      </c>
      <c r="R966" s="5">
        <v>30000</v>
      </c>
      <c r="S966" s="5">
        <v>0</v>
      </c>
      <c r="T966" s="5">
        <v>0</v>
      </c>
      <c r="U966" s="5">
        <v>30000</v>
      </c>
      <c r="V966" s="5"/>
      <c r="W966" s="5" t="s">
        <v>36</v>
      </c>
      <c r="X966" s="5" t="s">
        <v>196</v>
      </c>
      <c r="AA966" s="5" t="s">
        <v>1717</v>
      </c>
      <c r="AB966" s="5" t="s">
        <v>1286</v>
      </c>
      <c r="AC966" s="8" t="str">
        <f>HYPERLINK("https://drive.google.com/file/d/1nQahzKU3QsQEF34GH1dorItxokBBJCbd/view?usp=drivesdk", "Abrir_Factura")</f>
        <v>Abrir_Factura</v>
      </c>
      <c r="AD966" s="9">
        <v>46018.701423611114</v>
      </c>
    </row>
    <row r="967" spans="1:30" ht="12.5">
      <c r="A967" s="4">
        <v>46018.815856828704</v>
      </c>
      <c r="B967" s="5">
        <v>90704</v>
      </c>
      <c r="C967" s="5">
        <v>1140851627</v>
      </c>
      <c r="D967" s="5" t="s">
        <v>4624</v>
      </c>
      <c r="F967" s="5" t="s">
        <v>4625</v>
      </c>
      <c r="H967" s="5">
        <v>573107131591</v>
      </c>
      <c r="J967" s="5" t="s">
        <v>4626</v>
      </c>
      <c r="K967" s="5" t="s">
        <v>33</v>
      </c>
      <c r="L967" s="5" t="s">
        <v>4627</v>
      </c>
      <c r="M967" s="5">
        <v>3107131591</v>
      </c>
      <c r="N967" s="6">
        <v>46020</v>
      </c>
      <c r="O967" s="7">
        <v>0.41666666666666669</v>
      </c>
      <c r="P967" s="5">
        <v>1</v>
      </c>
      <c r="Q967" s="5" t="s">
        <v>1126</v>
      </c>
      <c r="R967" s="5">
        <v>300000</v>
      </c>
      <c r="S967" s="5">
        <v>0</v>
      </c>
      <c r="T967" s="5">
        <v>0</v>
      </c>
      <c r="U967" s="5">
        <v>300000</v>
      </c>
      <c r="V967" s="5" t="s">
        <v>4628</v>
      </c>
      <c r="W967" s="5" t="s">
        <v>36</v>
      </c>
      <c r="X967" s="5" t="s">
        <v>67</v>
      </c>
      <c r="Z967" s="5" t="s">
        <v>4629</v>
      </c>
      <c r="AA967" s="5" t="s">
        <v>69</v>
      </c>
      <c r="AC967" s="8" t="str">
        <f>HYPERLINK("https://drive.google.com/file/d/1KPV_6UOG8SSzZLYezlsLeQeDwnagfJWj/view?usp=drivesdk", "Abrir_Factura")</f>
        <v>Abrir_Factura</v>
      </c>
      <c r="AD967" s="9">
        <v>46020.330717592595</v>
      </c>
    </row>
    <row r="968" spans="1:30" ht="12.5">
      <c r="A968" s="4">
        <v>46020.328564861113</v>
      </c>
      <c r="B968" s="5">
        <v>90705</v>
      </c>
      <c r="C968" s="5">
        <v>1234095887</v>
      </c>
      <c r="D968" s="5" t="s">
        <v>84</v>
      </c>
      <c r="F968" s="5" t="s">
        <v>4630</v>
      </c>
      <c r="H968" s="5">
        <v>573013708185</v>
      </c>
      <c r="J968" s="5" t="s">
        <v>4631</v>
      </c>
      <c r="K968" s="5" t="s">
        <v>1006</v>
      </c>
      <c r="L968" s="5" t="s">
        <v>4632</v>
      </c>
      <c r="M968" s="5" t="s">
        <v>25421</v>
      </c>
      <c r="N968" s="6">
        <v>46020</v>
      </c>
      <c r="O968" s="7">
        <v>0.41666666666666669</v>
      </c>
      <c r="P968" s="5">
        <v>1</v>
      </c>
      <c r="Q968" s="5" t="s">
        <v>65</v>
      </c>
      <c r="R968" s="5">
        <v>70000</v>
      </c>
      <c r="S968" s="5">
        <v>0</v>
      </c>
      <c r="T968" s="5">
        <v>18000</v>
      </c>
      <c r="U968" s="5">
        <v>88000</v>
      </c>
      <c r="V968" s="5" t="s">
        <v>4633</v>
      </c>
      <c r="W968" s="5" t="s">
        <v>36</v>
      </c>
      <c r="X968" s="5" t="s">
        <v>67</v>
      </c>
      <c r="Z968" s="5" t="s">
        <v>4634</v>
      </c>
      <c r="AA968" s="5" t="s">
        <v>44</v>
      </c>
      <c r="AC968" s="8" t="str">
        <f>HYPERLINK("https://drive.google.com/file/d/1HLpFGdyj7Xm0Ccd_FiWuVsuNgUu0TVUy/view?usp=drivesdk", "Abrir_Factura")</f>
        <v>Abrir_Factura</v>
      </c>
      <c r="AD968" s="9">
        <v>46020.349849537037</v>
      </c>
    </row>
    <row r="969" spans="1:30" ht="12.5">
      <c r="A969" s="4">
        <v>46020.361183472225</v>
      </c>
      <c r="B969" s="5">
        <v>90706</v>
      </c>
      <c r="C969" s="5">
        <v>43206898</v>
      </c>
      <c r="D969" s="5" t="s">
        <v>158</v>
      </c>
      <c r="F969" s="5" t="s">
        <v>1822</v>
      </c>
      <c r="H969" s="5">
        <v>573215408807</v>
      </c>
      <c r="J969" s="5" t="s">
        <v>4635</v>
      </c>
      <c r="K969" s="5" t="s">
        <v>73</v>
      </c>
      <c r="L969" s="5" t="s">
        <v>4636</v>
      </c>
      <c r="M969" s="5">
        <v>3215408807</v>
      </c>
      <c r="N969" s="6">
        <v>46020</v>
      </c>
      <c r="O969" s="7">
        <v>0.45833333333333331</v>
      </c>
      <c r="P969" s="5">
        <v>1</v>
      </c>
      <c r="Q969" s="5" t="s">
        <v>3248</v>
      </c>
      <c r="R969" s="5">
        <v>350000</v>
      </c>
      <c r="S969" s="5">
        <v>0</v>
      </c>
      <c r="T969" s="5">
        <v>8000</v>
      </c>
      <c r="U969" s="5">
        <v>358000</v>
      </c>
      <c r="V969" s="5" t="s">
        <v>4637</v>
      </c>
      <c r="W969" s="5" t="s">
        <v>36</v>
      </c>
      <c r="X969" s="5" t="s">
        <v>67</v>
      </c>
      <c r="Z969" s="5" t="s">
        <v>4638</v>
      </c>
      <c r="AA969" s="5" t="s">
        <v>44</v>
      </c>
      <c r="AC969" s="8" t="str">
        <f>HYPERLINK("https://drive.google.com/file/d/1BoHPldBXJl-AcaAyTpM0KTV6iryyc4cQ/view?usp=drivesdk", "Abrir_Factura")</f>
        <v>Abrir_Factura</v>
      </c>
      <c r="AD969" s="9">
        <v>46020.368449074071</v>
      </c>
    </row>
    <row r="970" spans="1:30" ht="12.5">
      <c r="A970" s="4">
        <v>46020.395946736113</v>
      </c>
      <c r="B970" s="5">
        <v>90707</v>
      </c>
      <c r="C970" s="5">
        <v>44160184</v>
      </c>
      <c r="D970" s="5" t="s">
        <v>4639</v>
      </c>
      <c r="F970" s="5" t="s">
        <v>4640</v>
      </c>
      <c r="H970" s="5">
        <v>573013645460</v>
      </c>
      <c r="J970" s="5" t="s">
        <v>4641</v>
      </c>
      <c r="K970" s="5" t="s">
        <v>87</v>
      </c>
      <c r="L970" s="5" t="s">
        <v>4642</v>
      </c>
      <c r="M970" s="5" t="s">
        <v>25421</v>
      </c>
      <c r="N970" s="6">
        <v>46020</v>
      </c>
      <c r="O970" s="7">
        <v>0.45833333333333331</v>
      </c>
      <c r="P970" s="5">
        <v>1</v>
      </c>
      <c r="Q970" s="5" t="s">
        <v>559</v>
      </c>
      <c r="R970" s="5">
        <v>90000</v>
      </c>
      <c r="S970" s="5">
        <v>0</v>
      </c>
      <c r="T970" s="5">
        <v>13000</v>
      </c>
      <c r="U970" s="5">
        <v>103000</v>
      </c>
      <c r="V970" s="5" t="s">
        <v>4643</v>
      </c>
      <c r="W970" s="5" t="s">
        <v>36</v>
      </c>
      <c r="X970" s="5" t="s">
        <v>180</v>
      </c>
      <c r="Z970" s="5" t="s">
        <v>4639</v>
      </c>
      <c r="AA970" s="5" t="s">
        <v>69</v>
      </c>
      <c r="AB970" s="5" t="s">
        <v>4644</v>
      </c>
      <c r="AC970" s="8" t="str">
        <f>HYPERLINK("https://drive.google.com/file/d/1n7WqfKY8Dimk-6V1hHyokeiFKCqysOV0/view?usp=drivesdk", "Abrir_Factura")</f>
        <v>Abrir_Factura</v>
      </c>
      <c r="AD970" s="9">
        <v>46020.399004629631</v>
      </c>
    </row>
    <row r="971" spans="1:30" ht="12.5">
      <c r="A971" s="4">
        <v>46020.398663067128</v>
      </c>
      <c r="B971" s="5">
        <v>90708</v>
      </c>
      <c r="C971" s="5">
        <v>1129564365</v>
      </c>
      <c r="D971" s="5" t="s">
        <v>4645</v>
      </c>
      <c r="F971" s="5" t="s">
        <v>4646</v>
      </c>
      <c r="H971" s="5">
        <v>573173694439</v>
      </c>
      <c r="J971" s="5" t="s">
        <v>4647</v>
      </c>
      <c r="K971" s="5" t="s">
        <v>185</v>
      </c>
      <c r="L971" s="5" t="s">
        <v>4648</v>
      </c>
      <c r="M971" s="5">
        <v>3215017309</v>
      </c>
      <c r="N971" s="6">
        <v>46020</v>
      </c>
      <c r="O971" s="7">
        <v>0.4375</v>
      </c>
      <c r="P971" s="5">
        <v>1</v>
      </c>
      <c r="Q971" s="5" t="s">
        <v>2586</v>
      </c>
      <c r="R971" s="5">
        <v>180000</v>
      </c>
      <c r="S971" s="5">
        <v>0</v>
      </c>
      <c r="T971" s="5">
        <v>8000</v>
      </c>
      <c r="U971" s="5">
        <v>188000</v>
      </c>
      <c r="V971" s="5" t="s">
        <v>4649</v>
      </c>
      <c r="W971" s="5" t="s">
        <v>36</v>
      </c>
      <c r="X971" s="5" t="s">
        <v>83</v>
      </c>
      <c r="Z971" s="5" t="s">
        <v>4650</v>
      </c>
      <c r="AA971" s="5" t="s">
        <v>44</v>
      </c>
      <c r="AC971" s="8" t="str">
        <f>HYPERLINK("https://drive.google.com/file/d/10xkd3ExpJw4DT-51JA8I7o0ZlCitXj9p/view?usp=drivesdk", "Abrir_Factura")</f>
        <v>Abrir_Factura</v>
      </c>
      <c r="AD971" s="9">
        <v>46020.691979166666</v>
      </c>
    </row>
    <row r="972" spans="1:30" ht="12.5">
      <c r="A972" s="4">
        <v>46020.431373773143</v>
      </c>
      <c r="B972" s="5">
        <v>90709</v>
      </c>
      <c r="C972" s="5">
        <v>72178067</v>
      </c>
      <c r="D972" s="5" t="s">
        <v>1513</v>
      </c>
      <c r="F972" s="5" t="s">
        <v>1295</v>
      </c>
      <c r="H972" s="5">
        <v>573003182878</v>
      </c>
      <c r="J972" s="5" t="s">
        <v>3580</v>
      </c>
      <c r="K972" s="5"/>
      <c r="L972" s="5" t="s">
        <v>4651</v>
      </c>
      <c r="M972" s="5">
        <v>3003182878</v>
      </c>
      <c r="N972" s="6">
        <v>46021</v>
      </c>
      <c r="O972" s="7">
        <v>0.41666666666666669</v>
      </c>
      <c r="P972" s="5">
        <v>1</v>
      </c>
      <c r="Q972" s="5" t="s">
        <v>4652</v>
      </c>
      <c r="R972" s="5">
        <v>0</v>
      </c>
      <c r="S972" s="5">
        <v>0</v>
      </c>
      <c r="T972" s="5"/>
      <c r="U972" s="5">
        <v>0</v>
      </c>
      <c r="V972" s="5"/>
      <c r="W972" s="5" t="s">
        <v>36</v>
      </c>
      <c r="X972" s="5" t="s">
        <v>2317</v>
      </c>
      <c r="AA972" s="5" t="s">
        <v>44</v>
      </c>
      <c r="AB972" s="5" t="s">
        <v>4653</v>
      </c>
      <c r="AC972" s="8" t="str">
        <f>HYPERLINK("https://drive.google.com/file/d/1AnCNhWOLlEb0nJx0CuUdx0doTsMeq5Os/view?usp=drivesdk", "Abrir_Factura")</f>
        <v>Abrir_Factura</v>
      </c>
      <c r="AD972" s="9">
        <v>46020.432141203702</v>
      </c>
    </row>
    <row r="973" spans="1:30" ht="12.5">
      <c r="A973" s="4">
        <v>46020.461985428235</v>
      </c>
      <c r="B973" s="5">
        <v>90710</v>
      </c>
      <c r="C973" s="5">
        <v>22400123</v>
      </c>
      <c r="D973" s="5" t="s">
        <v>4654</v>
      </c>
      <c r="F973" s="5" t="s">
        <v>4655</v>
      </c>
      <c r="H973" s="5">
        <v>13053384931</v>
      </c>
      <c r="J973" s="5" t="s">
        <v>4656</v>
      </c>
      <c r="K973" s="5" t="s">
        <v>185</v>
      </c>
      <c r="L973" s="5" t="s">
        <v>4657</v>
      </c>
      <c r="M973" s="5"/>
      <c r="N973" s="6">
        <v>46020</v>
      </c>
      <c r="O973" s="7">
        <v>0.58333333333333337</v>
      </c>
      <c r="P973" s="5">
        <v>1</v>
      </c>
      <c r="Q973" s="5" t="s">
        <v>4658</v>
      </c>
      <c r="R973" s="5">
        <v>220000</v>
      </c>
      <c r="S973" s="5">
        <v>0</v>
      </c>
      <c r="T973" s="5">
        <v>8000</v>
      </c>
      <c r="U973" s="5">
        <v>228000</v>
      </c>
      <c r="V973" s="5" t="s">
        <v>4659</v>
      </c>
      <c r="W973" s="5" t="s">
        <v>36</v>
      </c>
      <c r="X973" s="5" t="s">
        <v>1937</v>
      </c>
      <c r="AA973" s="5" t="s">
        <v>44</v>
      </c>
      <c r="AB973" s="5" t="s">
        <v>4660</v>
      </c>
      <c r="AC973" s="8" t="str">
        <f>HYPERLINK("https://drive.google.com/file/d/1lF0nX_i07iBpxCf0d-0_9jZOfkmAjioB/view?usp=drivesdk", "Abrir_Factura")</f>
        <v>Abrir_Factura</v>
      </c>
      <c r="AD973" s="9">
        <v>46020.463703703703</v>
      </c>
    </row>
    <row r="974" spans="1:30" ht="12.5">
      <c r="A974" s="4">
        <v>46020.457083831017</v>
      </c>
      <c r="B974" s="5">
        <v>90711</v>
      </c>
      <c r="C974" s="5">
        <v>1143166566</v>
      </c>
      <c r="D974" s="5" t="s">
        <v>4661</v>
      </c>
      <c r="F974" s="5" t="s">
        <v>3223</v>
      </c>
      <c r="H974" s="5">
        <v>573186670707</v>
      </c>
      <c r="J974" s="5" t="s">
        <v>4662</v>
      </c>
      <c r="K974" s="5" t="s">
        <v>154</v>
      </c>
      <c r="L974" s="5" t="s">
        <v>4663</v>
      </c>
      <c r="M974" s="5">
        <v>3147156623</v>
      </c>
      <c r="N974" s="6">
        <v>46020</v>
      </c>
      <c r="O974" s="7">
        <v>0.58333333333333337</v>
      </c>
      <c r="P974" s="5">
        <v>1</v>
      </c>
      <c r="Q974" s="5" t="s">
        <v>576</v>
      </c>
      <c r="R974" s="5">
        <v>120000</v>
      </c>
      <c r="S974" s="5">
        <v>0</v>
      </c>
      <c r="T974" s="5">
        <v>8000</v>
      </c>
      <c r="U974" s="5">
        <v>128000</v>
      </c>
      <c r="V974" s="5" t="s">
        <v>4664</v>
      </c>
      <c r="W974" s="5" t="s">
        <v>36</v>
      </c>
      <c r="X974" s="5" t="s">
        <v>83</v>
      </c>
      <c r="AA974" s="5" t="s">
        <v>69</v>
      </c>
      <c r="AC974" s="8" t="str">
        <f>HYPERLINK("https://drive.google.com/file/d/1ygIGDlt6yFrtWu9XxToG3FEJQjv2HCd6/view?usp=drivesdk", "Abrir_Factura")</f>
        <v>Abrir_Factura</v>
      </c>
      <c r="AD974" s="9">
        <v>46020.472268518519</v>
      </c>
    </row>
    <row r="975" spans="1:30" ht="12.5">
      <c r="A975" s="4">
        <v>46020.473597048607</v>
      </c>
      <c r="B975" s="5">
        <v>90712</v>
      </c>
      <c r="C975" s="5">
        <v>1001867074</v>
      </c>
      <c r="D975" s="5" t="s">
        <v>4665</v>
      </c>
      <c r="F975" s="5" t="s">
        <v>4666</v>
      </c>
      <c r="H975" s="5">
        <v>573022820261</v>
      </c>
      <c r="J975" s="5" t="s">
        <v>4665</v>
      </c>
      <c r="K975" s="5" t="s">
        <v>124</v>
      </c>
      <c r="L975" s="5" t="s">
        <v>4667</v>
      </c>
      <c r="M975" s="5">
        <v>3022820261</v>
      </c>
      <c r="N975" s="6">
        <v>46020</v>
      </c>
      <c r="O975" s="7">
        <v>0.58333333333333337</v>
      </c>
      <c r="P975" s="5">
        <v>1</v>
      </c>
      <c r="Q975" s="5" t="s">
        <v>65</v>
      </c>
      <c r="R975" s="5">
        <v>70000</v>
      </c>
      <c r="S975" s="5">
        <v>0</v>
      </c>
      <c r="T975" s="5">
        <v>12000</v>
      </c>
      <c r="U975" s="5">
        <v>82000</v>
      </c>
      <c r="V975" s="5" t="s">
        <v>4668</v>
      </c>
      <c r="W975" s="5" t="s">
        <v>36</v>
      </c>
      <c r="X975" s="5" t="s">
        <v>83</v>
      </c>
      <c r="AA975" s="5" t="s">
        <v>69</v>
      </c>
      <c r="AC975" s="8" t="str">
        <f>HYPERLINK("https://drive.google.com/file/d/1rLJ7JJ5tXodq8SAd2O4-APX7a4dp_js_/view?usp=drivesdk", "Abrir_Factura")</f>
        <v>Abrir_Factura</v>
      </c>
      <c r="AD975" s="9">
        <v>46020.479872685188</v>
      </c>
    </row>
    <row r="976" spans="1:30" ht="12.5">
      <c r="A976" s="4">
        <v>46020.475867152782</v>
      </c>
      <c r="B976" s="5">
        <v>90713</v>
      </c>
      <c r="C976" s="5">
        <v>80164465</v>
      </c>
      <c r="D976" s="5" t="s">
        <v>1513</v>
      </c>
      <c r="F976" s="5" t="s">
        <v>4669</v>
      </c>
      <c r="H976" s="5">
        <v>573188833795</v>
      </c>
      <c r="J976" s="5" t="s">
        <v>4670</v>
      </c>
      <c r="K976" s="5" t="s">
        <v>154</v>
      </c>
      <c r="L976" s="5" t="s">
        <v>4671</v>
      </c>
      <c r="M976" s="5"/>
      <c r="N976" s="6">
        <v>46020</v>
      </c>
      <c r="O976" s="7">
        <v>0.58333333333333337</v>
      </c>
      <c r="P976" s="5">
        <v>1</v>
      </c>
      <c r="Q976" s="5" t="s">
        <v>3111</v>
      </c>
      <c r="R976" s="5">
        <v>190000</v>
      </c>
      <c r="S976" s="5">
        <v>0</v>
      </c>
      <c r="T976" s="5">
        <v>8000</v>
      </c>
      <c r="U976" s="5">
        <v>198000</v>
      </c>
      <c r="V976" s="5" t="s">
        <v>4672</v>
      </c>
      <c r="W976" s="5" t="s">
        <v>36</v>
      </c>
      <c r="X976" s="5" t="s">
        <v>1481</v>
      </c>
      <c r="Z976" s="5" t="s">
        <v>4673</v>
      </c>
      <c r="AA976" s="5" t="s">
        <v>69</v>
      </c>
      <c r="AC976" s="8" t="str">
        <f>HYPERLINK("https://drive.google.com/file/d/1dvUiClY5sMGdTWSsEGRMNIgvaRv0Da_H/view?usp=drivesdk", "Abrir_Factura")</f>
        <v>Abrir_Factura</v>
      </c>
      <c r="AD976" s="9">
        <v>46020.483738425923</v>
      </c>
    </row>
    <row r="977" spans="1:30" ht="12.5">
      <c r="A977" s="4">
        <v>46020.489306770833</v>
      </c>
      <c r="B977" s="5">
        <v>90714</v>
      </c>
      <c r="C977" s="5">
        <v>900916475</v>
      </c>
      <c r="D977" s="5" t="s">
        <v>4674</v>
      </c>
      <c r="F977" s="10" t="s">
        <v>3001</v>
      </c>
      <c r="H977" s="5">
        <v>573002627762</v>
      </c>
      <c r="J977" s="5" t="s">
        <v>4674</v>
      </c>
      <c r="K977" s="5" t="s">
        <v>33</v>
      </c>
      <c r="L977" s="5" t="s">
        <v>34</v>
      </c>
      <c r="M977" s="5" t="s">
        <v>25421</v>
      </c>
      <c r="N977" s="6">
        <v>46020</v>
      </c>
      <c r="O977" s="7">
        <v>0</v>
      </c>
      <c r="P977" s="5">
        <v>1</v>
      </c>
      <c r="Q977" s="5" t="s">
        <v>42</v>
      </c>
      <c r="R977" s="5">
        <v>100000</v>
      </c>
      <c r="S977" s="5">
        <v>0</v>
      </c>
      <c r="T977" s="5">
        <v>0</v>
      </c>
      <c r="U977" s="5">
        <v>100000</v>
      </c>
      <c r="V977" s="5"/>
      <c r="W977" s="5" t="s">
        <v>36</v>
      </c>
      <c r="X977" s="5" t="s">
        <v>43</v>
      </c>
      <c r="AA977" s="5" t="s">
        <v>44</v>
      </c>
      <c r="AB977" s="5" t="s">
        <v>4675</v>
      </c>
      <c r="AC977" s="8" t="str">
        <f>HYPERLINK("https://drive.google.com/file/d/1LLkv1ALZoY5Up6w4vo7FCZe_8SUu6qfz/view?usp=drivesdk", "Abrir_Factura")</f>
        <v>Abrir_Factura</v>
      </c>
      <c r="AD977" s="9">
        <v>46020.503611111111</v>
      </c>
    </row>
    <row r="978" spans="1:30" ht="12.5">
      <c r="A978" s="4">
        <v>46020.372476168981</v>
      </c>
      <c r="B978" s="5">
        <v>90715</v>
      </c>
      <c r="C978" s="5">
        <v>1018495337</v>
      </c>
      <c r="D978" s="5" t="s">
        <v>633</v>
      </c>
      <c r="F978" s="5" t="s">
        <v>4676</v>
      </c>
      <c r="H978" s="5">
        <v>573208162910</v>
      </c>
      <c r="J978" s="5" t="s">
        <v>4677</v>
      </c>
      <c r="K978" s="5" t="s">
        <v>1677</v>
      </c>
      <c r="L978" s="5" t="s">
        <v>4678</v>
      </c>
      <c r="M978" s="5" t="s">
        <v>25421</v>
      </c>
      <c r="N978" s="6">
        <v>46020</v>
      </c>
      <c r="O978" s="7">
        <v>0.58333333333333337</v>
      </c>
      <c r="P978" s="5">
        <v>1</v>
      </c>
      <c r="Q978" s="5" t="s">
        <v>96</v>
      </c>
      <c r="R978" s="5">
        <v>220000</v>
      </c>
      <c r="S978" s="5">
        <v>0</v>
      </c>
      <c r="T978" s="5">
        <v>17000</v>
      </c>
      <c r="U978" s="5">
        <v>237000</v>
      </c>
      <c r="V978" s="5" t="s">
        <v>4679</v>
      </c>
      <c r="W978" s="5" t="s">
        <v>36</v>
      </c>
      <c r="X978" s="5" t="s">
        <v>67</v>
      </c>
      <c r="Z978" s="5" t="s">
        <v>4680</v>
      </c>
      <c r="AA978" s="5" t="s">
        <v>69</v>
      </c>
      <c r="AB978" s="5" t="s">
        <v>4681</v>
      </c>
      <c r="AC978" s="8" t="str">
        <f>HYPERLINK("https://drive.google.com/file/d/1hCqS9U1aaWd4xyakN0yvhy9JunALsFCx/view?usp=drivesdk", "Abrir_Factura")</f>
        <v>Abrir_Factura</v>
      </c>
      <c r="AD978" s="9">
        <v>46020.493900462963</v>
      </c>
    </row>
    <row r="979" spans="1:30" ht="12.5">
      <c r="A979" s="4">
        <v>46020.501425810187</v>
      </c>
      <c r="B979" s="5">
        <v>90716</v>
      </c>
      <c r="C979" s="5">
        <v>72175003</v>
      </c>
      <c r="D979" s="5" t="s">
        <v>4682</v>
      </c>
      <c r="F979" s="5" t="s">
        <v>4683</v>
      </c>
      <c r="H979" s="5">
        <v>57000</v>
      </c>
      <c r="J979" s="5" t="s">
        <v>4684</v>
      </c>
      <c r="K979" s="5" t="s">
        <v>33</v>
      </c>
      <c r="L979" s="5" t="s">
        <v>34</v>
      </c>
      <c r="M979" s="5">
        <v>0</v>
      </c>
      <c r="N979" s="6">
        <v>46020</v>
      </c>
      <c r="O979" s="7">
        <v>0</v>
      </c>
      <c r="P979" s="5">
        <v>1</v>
      </c>
      <c r="Q979" s="5" t="s">
        <v>42</v>
      </c>
      <c r="R979" s="5">
        <v>77000</v>
      </c>
      <c r="S979" s="5">
        <v>0</v>
      </c>
      <c r="T979" s="5">
        <v>0</v>
      </c>
      <c r="U979" s="5">
        <v>77000</v>
      </c>
      <c r="V979" s="5"/>
      <c r="W979" s="5" t="s">
        <v>36</v>
      </c>
      <c r="X979" s="5" t="s">
        <v>2636</v>
      </c>
      <c r="AA979" s="5" t="s">
        <v>1717</v>
      </c>
      <c r="AB979" s="5" t="s">
        <v>1286</v>
      </c>
      <c r="AC979" s="8" t="str">
        <f>HYPERLINK("https://drive.google.com/file/d/1ZGGlcyOFg041eR0mkNywAUHKVehfm0Pj/view?usp=drivesdk", "Abrir_Factura")</f>
        <v>Abrir_Factura</v>
      </c>
      <c r="AD979" s="9">
        <v>46020.501967592594</v>
      </c>
    </row>
    <row r="980" spans="1:30" ht="12.5">
      <c r="A980" s="4">
        <v>46020.518236585645</v>
      </c>
      <c r="B980" s="5">
        <v>90717</v>
      </c>
      <c r="C980" s="5">
        <v>32735118</v>
      </c>
      <c r="D980" s="5" t="s">
        <v>4685</v>
      </c>
      <c r="F980" s="5" t="s">
        <v>4686</v>
      </c>
      <c r="H980" s="5">
        <v>573045710986</v>
      </c>
      <c r="J980" s="5" t="s">
        <v>4685</v>
      </c>
      <c r="K980" s="5" t="s">
        <v>103</v>
      </c>
      <c r="L980" s="5" t="s">
        <v>4687</v>
      </c>
      <c r="M980" s="5" t="s">
        <v>4688</v>
      </c>
      <c r="N980" s="6">
        <v>46020</v>
      </c>
      <c r="O980" s="7">
        <v>0</v>
      </c>
      <c r="P980" s="5">
        <v>1</v>
      </c>
      <c r="Q980" s="5" t="s">
        <v>42</v>
      </c>
      <c r="R980" s="5">
        <v>20000</v>
      </c>
      <c r="S980" s="5">
        <v>0</v>
      </c>
      <c r="T980" s="5">
        <v>10000</v>
      </c>
      <c r="U980" s="5">
        <v>30000</v>
      </c>
      <c r="V980" s="5"/>
      <c r="W980" s="5" t="s">
        <v>36</v>
      </c>
      <c r="X980" s="5" t="s">
        <v>180</v>
      </c>
      <c r="AA980" s="5" t="s">
        <v>44</v>
      </c>
      <c r="AB980" s="5" t="s">
        <v>4689</v>
      </c>
      <c r="AC980" s="8" t="str">
        <f>HYPERLINK("https://drive.google.com/file/d/1tLyZI3LCN0Lb7DjeNEWtQa8ibLD5X54F/view?usp=drivesdk", "Abrir_Factura")</f>
        <v>Abrir_Factura</v>
      </c>
      <c r="AD980" s="9">
        <v>46020.520057870373</v>
      </c>
    </row>
    <row r="981" spans="1:30" ht="12.5">
      <c r="A981" s="4">
        <v>46020.522417708329</v>
      </c>
      <c r="B981" s="5">
        <v>90718</v>
      </c>
      <c r="C981" s="5">
        <v>85451240</v>
      </c>
      <c r="D981" s="5" t="s">
        <v>4690</v>
      </c>
      <c r="F981" s="5" t="s">
        <v>4691</v>
      </c>
      <c r="H981" s="5">
        <v>573107272834</v>
      </c>
      <c r="J981" s="5" t="s">
        <v>4692</v>
      </c>
      <c r="K981" s="5" t="s">
        <v>161</v>
      </c>
      <c r="L981" s="5" t="s">
        <v>4693</v>
      </c>
      <c r="M981" s="5">
        <v>3107272835</v>
      </c>
      <c r="N981" s="6">
        <v>46020</v>
      </c>
      <c r="O981" s="7">
        <v>0.625</v>
      </c>
      <c r="P981" s="5">
        <v>1</v>
      </c>
      <c r="Q981" s="5" t="s">
        <v>178</v>
      </c>
      <c r="R981" s="5">
        <v>100000</v>
      </c>
      <c r="S981" s="5">
        <v>0</v>
      </c>
      <c r="T981" s="5">
        <v>8000</v>
      </c>
      <c r="U981" s="5">
        <v>108000</v>
      </c>
      <c r="V981" s="5" t="s">
        <v>4694</v>
      </c>
      <c r="W981" s="5" t="s">
        <v>36</v>
      </c>
      <c r="X981" s="5" t="s">
        <v>83</v>
      </c>
      <c r="Z981" s="5" t="s">
        <v>84</v>
      </c>
      <c r="AA981" s="5" t="s">
        <v>44</v>
      </c>
      <c r="AC981" s="8" t="str">
        <f>HYPERLINK("https://drive.google.com/file/d/1T-rscbDAg-bcQwcIt2Wnhe-A4VTneAUg/view?usp=drivesdk", "Abrir_Factura")</f>
        <v>Abrir_Factura</v>
      </c>
      <c r="AD981" s="9">
        <v>46020.539085648146</v>
      </c>
    </row>
    <row r="982" spans="1:30" ht="12.5">
      <c r="A982" s="4">
        <v>46020.527721412036</v>
      </c>
      <c r="B982" s="5">
        <v>90719</v>
      </c>
      <c r="C982" s="5">
        <v>85451240</v>
      </c>
      <c r="D982" s="5" t="s">
        <v>1935</v>
      </c>
      <c r="F982" s="5" t="s">
        <v>4695</v>
      </c>
      <c r="H982" s="5">
        <v>573107272834</v>
      </c>
      <c r="J982" s="5" t="s">
        <v>4696</v>
      </c>
      <c r="K982" s="5" t="s">
        <v>249</v>
      </c>
      <c r="L982" s="5" t="s">
        <v>4697</v>
      </c>
      <c r="M982" s="5">
        <v>3107272835</v>
      </c>
      <c r="N982" s="6">
        <v>46020</v>
      </c>
      <c r="O982" s="7">
        <v>0.625</v>
      </c>
      <c r="P982" s="5">
        <v>1</v>
      </c>
      <c r="Q982" s="5" t="s">
        <v>309</v>
      </c>
      <c r="R982" s="5">
        <v>80000</v>
      </c>
      <c r="S982" s="5">
        <v>0</v>
      </c>
      <c r="T982" s="5">
        <v>10000</v>
      </c>
      <c r="U982" s="5">
        <v>90000</v>
      </c>
      <c r="V982" s="5" t="s">
        <v>4698</v>
      </c>
      <c r="W982" s="5" t="s">
        <v>36</v>
      </c>
      <c r="X982" s="5" t="s">
        <v>83</v>
      </c>
      <c r="Z982" s="5" t="s">
        <v>1584</v>
      </c>
      <c r="AA982" s="5" t="s">
        <v>44</v>
      </c>
      <c r="AC982" s="8" t="str">
        <f>HYPERLINK("https://drive.google.com/file/d/1ZbhKmirClgqF1EtmRBFmv9xD4tSPOJfb/view?usp=drivesdk", "Abrir_Factura")</f>
        <v>Abrir_Factura</v>
      </c>
      <c r="AD982" s="9">
        <v>46020.539884259262</v>
      </c>
    </row>
    <row r="983" spans="1:30" ht="12.5">
      <c r="A983" s="4">
        <v>46020.480165347224</v>
      </c>
      <c r="B983" s="5">
        <v>90720</v>
      </c>
      <c r="C983" s="5">
        <v>1140836777</v>
      </c>
      <c r="D983" s="5" t="s">
        <v>4699</v>
      </c>
      <c r="F983" s="5" t="s">
        <v>4700</v>
      </c>
      <c r="H983" s="5">
        <v>573006836554</v>
      </c>
      <c r="J983" s="5" t="s">
        <v>4701</v>
      </c>
      <c r="K983" s="5" t="s">
        <v>1006</v>
      </c>
      <c r="L983" s="5" t="s">
        <v>4702</v>
      </c>
      <c r="M983" s="5">
        <v>3006836554</v>
      </c>
      <c r="N983" s="6">
        <v>46022</v>
      </c>
      <c r="O983" s="7">
        <v>0.625</v>
      </c>
      <c r="P983" s="5">
        <v>1</v>
      </c>
      <c r="Q983" s="5" t="s">
        <v>2586</v>
      </c>
      <c r="R983" s="5">
        <v>180000</v>
      </c>
      <c r="S983" s="5">
        <v>0</v>
      </c>
      <c r="T983" s="5">
        <v>18000</v>
      </c>
      <c r="U983" s="5">
        <v>198000</v>
      </c>
      <c r="V983" s="5" t="s">
        <v>4703</v>
      </c>
      <c r="W983" s="5" t="s">
        <v>36</v>
      </c>
      <c r="X983" s="5" t="s">
        <v>180</v>
      </c>
      <c r="Z983" s="5" t="s">
        <v>4704</v>
      </c>
      <c r="AA983" s="5" t="s">
        <v>44</v>
      </c>
      <c r="AC983" s="8" t="str">
        <f>HYPERLINK("https://drive.google.com/file/d/1GeETr1mT2DSYu3nwFNxOAABaAhYqO8xh/view?usp=drivesdk", "Abrir_Factura")</f>
        <v>Abrir_Factura</v>
      </c>
      <c r="AD983" s="9">
        <v>46020.544317129628</v>
      </c>
    </row>
    <row r="984" spans="1:30" ht="12.5">
      <c r="A984" s="4">
        <v>46020.566726053235</v>
      </c>
      <c r="B984" s="5">
        <v>90721</v>
      </c>
      <c r="C984" s="5">
        <v>1235039209</v>
      </c>
      <c r="D984" s="5" t="s">
        <v>4705</v>
      </c>
      <c r="F984" s="5" t="s">
        <v>4706</v>
      </c>
      <c r="H984" s="5">
        <v>573182803558</v>
      </c>
      <c r="J984" s="5" t="s">
        <v>4707</v>
      </c>
      <c r="K984" s="5" t="s">
        <v>185</v>
      </c>
      <c r="L984" s="5" t="s">
        <v>4708</v>
      </c>
      <c r="M984" s="5">
        <v>3014145861</v>
      </c>
      <c r="N984" s="6">
        <v>46020</v>
      </c>
      <c r="O984" s="7">
        <v>0.625</v>
      </c>
      <c r="P984" s="5">
        <v>1</v>
      </c>
      <c r="Q984" s="5" t="s">
        <v>2275</v>
      </c>
      <c r="R984" s="5">
        <v>80000</v>
      </c>
      <c r="S984" s="5">
        <v>0</v>
      </c>
      <c r="T984" s="5">
        <v>8000</v>
      </c>
      <c r="U984" s="5">
        <v>88000</v>
      </c>
      <c r="V984" s="5" t="s">
        <v>4709</v>
      </c>
      <c r="W984" s="5" t="s">
        <v>36</v>
      </c>
      <c r="X984" s="5" t="s">
        <v>2636</v>
      </c>
      <c r="AA984" s="5" t="s">
        <v>1717</v>
      </c>
      <c r="AC984" s="8" t="str">
        <f>HYPERLINK("https://drive.google.com/file/d/1QMVk1GyPVvSIt2ENcHokfJwzzFrV0mOa/view?usp=drivesdk", "Abrir_Factura")</f>
        <v>Abrir_Factura</v>
      </c>
      <c r="AD984" s="9">
        <v>46020.568391203706</v>
      </c>
    </row>
    <row r="985" spans="1:30" ht="12.5">
      <c r="A985" s="4">
        <v>46020.578445416671</v>
      </c>
      <c r="B985" s="5">
        <v>90722</v>
      </c>
      <c r="C985" s="5">
        <v>32780832</v>
      </c>
      <c r="D985" s="5" t="s">
        <v>4710</v>
      </c>
      <c r="F985" s="5" t="s">
        <v>4711</v>
      </c>
      <c r="H985" s="5">
        <v>573213335580</v>
      </c>
      <c r="J985" s="5" t="s">
        <v>4712</v>
      </c>
      <c r="K985" s="5" t="s">
        <v>2880</v>
      </c>
      <c r="L985" s="5" t="s">
        <v>4713</v>
      </c>
      <c r="M985" s="5">
        <v>3005468586</v>
      </c>
      <c r="N985" s="6">
        <v>46021</v>
      </c>
      <c r="O985" s="7">
        <v>0.41666666666666669</v>
      </c>
      <c r="P985" s="5">
        <v>1</v>
      </c>
      <c r="Q985" s="5" t="s">
        <v>4714</v>
      </c>
      <c r="R985" s="5">
        <v>145000</v>
      </c>
      <c r="S985" s="5">
        <v>0</v>
      </c>
      <c r="T985" s="5">
        <v>25000</v>
      </c>
      <c r="U985" s="5">
        <v>170000</v>
      </c>
      <c r="V985" s="5" t="s">
        <v>4715</v>
      </c>
      <c r="W985" s="5" t="s">
        <v>36</v>
      </c>
      <c r="X985" s="5" t="s">
        <v>83</v>
      </c>
      <c r="AA985" s="5" t="s">
        <v>69</v>
      </c>
      <c r="AB985" s="5" t="s">
        <v>4716</v>
      </c>
      <c r="AC985" s="8" t="str">
        <f>HYPERLINK("https://drive.google.com/file/d/1sLIu5OHrBbKKfb5n4lnTv0noOCoxtE7S/view?usp=drivesdk", "Abrir_Factura")</f>
        <v>Abrir_Factura</v>
      </c>
      <c r="AD985" s="9">
        <v>46020.582395833335</v>
      </c>
    </row>
    <row r="986" spans="1:30" ht="12.5">
      <c r="A986" s="4">
        <v>46020.581236192127</v>
      </c>
      <c r="B986" s="5">
        <v>90723</v>
      </c>
      <c r="C986" s="5">
        <v>26813653</v>
      </c>
      <c r="D986" s="5" t="s">
        <v>4717</v>
      </c>
      <c r="F986" s="5" t="s">
        <v>551</v>
      </c>
      <c r="H986" s="5">
        <v>573022601836</v>
      </c>
      <c r="J986" s="5" t="s">
        <v>4066</v>
      </c>
      <c r="K986" s="5" t="s">
        <v>879</v>
      </c>
      <c r="L986" s="5" t="s">
        <v>4718</v>
      </c>
      <c r="M986" s="5">
        <v>3022601836</v>
      </c>
      <c r="N986" s="6">
        <v>46021</v>
      </c>
      <c r="O986" s="7">
        <v>0.33333333333333331</v>
      </c>
      <c r="P986" s="5">
        <v>1</v>
      </c>
      <c r="Q986" s="5" t="s">
        <v>4719</v>
      </c>
      <c r="R986" s="5">
        <v>220000</v>
      </c>
      <c r="S986" s="5">
        <v>0</v>
      </c>
      <c r="T986" s="5">
        <v>20000</v>
      </c>
      <c r="U986" s="5">
        <v>240000</v>
      </c>
      <c r="V986" s="5" t="s">
        <v>4720</v>
      </c>
      <c r="W986" s="5" t="s">
        <v>36</v>
      </c>
      <c r="X986" s="5" t="s">
        <v>83</v>
      </c>
      <c r="AA986" s="5" t="s">
        <v>44</v>
      </c>
      <c r="AB986" s="5" t="s">
        <v>4721</v>
      </c>
      <c r="AC986" s="8" t="str">
        <f>HYPERLINK("https://drive.google.com/file/d/1JN65VFuQaDsUTh5nWsBsAT9fbPlJC3Bx/view?usp=drivesdk", "Abrir_Factura")</f>
        <v>Abrir_Factura</v>
      </c>
      <c r="AD986" s="9">
        <v>46020.592592592591</v>
      </c>
    </row>
    <row r="987" spans="1:30" ht="12.5">
      <c r="A987" s="4">
        <v>46020.584861875002</v>
      </c>
      <c r="B987" s="5">
        <v>90724</v>
      </c>
      <c r="C987" s="5">
        <v>1098782100</v>
      </c>
      <c r="D987" s="5" t="s">
        <v>4722</v>
      </c>
      <c r="F987" s="5" t="s">
        <v>992</v>
      </c>
      <c r="H987" s="5">
        <v>573142881716</v>
      </c>
      <c r="J987" s="5" t="s">
        <v>4723</v>
      </c>
      <c r="K987" s="5" t="s">
        <v>161</v>
      </c>
      <c r="L987" s="5" t="s">
        <v>4724</v>
      </c>
      <c r="M987" s="5">
        <v>3142881716</v>
      </c>
      <c r="N987" s="6">
        <v>46020</v>
      </c>
      <c r="O987" s="7">
        <v>0</v>
      </c>
      <c r="P987" s="5">
        <v>1</v>
      </c>
      <c r="Q987" s="5" t="s">
        <v>330</v>
      </c>
      <c r="R987" s="5">
        <v>180000</v>
      </c>
      <c r="S987" s="5">
        <v>0</v>
      </c>
      <c r="T987" s="5">
        <v>8000</v>
      </c>
      <c r="U987" s="5">
        <v>188000</v>
      </c>
      <c r="V987" s="5"/>
      <c r="W987" s="5" t="s">
        <v>36</v>
      </c>
      <c r="X987" s="5" t="s">
        <v>1937</v>
      </c>
      <c r="Z987" s="5" t="s">
        <v>4250</v>
      </c>
      <c r="AA987" s="5" t="s">
        <v>69</v>
      </c>
      <c r="AB987" s="5" t="s">
        <v>4725</v>
      </c>
      <c r="AC987" s="8" t="str">
        <f>HYPERLINK("https://drive.google.com/file/d/1EufhJETJLkFzqaFIbd-5Tc0X2Au0I3uC/view?usp=drivesdk", "Abrir_Factura")</f>
        <v>Abrir_Factura</v>
      </c>
      <c r="AD987" s="9">
        <v>46020.596539351849</v>
      </c>
    </row>
    <row r="988" spans="1:30" ht="12.5">
      <c r="A988" s="4">
        <v>46020.608209999999</v>
      </c>
      <c r="B988" s="5">
        <v>90725</v>
      </c>
      <c r="C988" s="5">
        <v>1140897694</v>
      </c>
      <c r="D988" s="5" t="s">
        <v>4726</v>
      </c>
      <c r="F988" s="5" t="s">
        <v>4727</v>
      </c>
      <c r="H988" s="5">
        <v>57000</v>
      </c>
      <c r="J988" s="5" t="s">
        <v>4728</v>
      </c>
      <c r="K988" s="5" t="s">
        <v>33</v>
      </c>
      <c r="L988" s="5" t="s">
        <v>34</v>
      </c>
      <c r="M988" s="5"/>
      <c r="N988" s="6">
        <v>46020</v>
      </c>
      <c r="O988" s="7">
        <v>0</v>
      </c>
      <c r="P988" s="5">
        <v>1</v>
      </c>
      <c r="Q988" s="5" t="s">
        <v>42</v>
      </c>
      <c r="R988" s="5">
        <v>34000</v>
      </c>
      <c r="S988" s="5">
        <v>0</v>
      </c>
      <c r="T988" s="5">
        <v>0</v>
      </c>
      <c r="U988" s="5">
        <v>34000</v>
      </c>
      <c r="V988" s="5"/>
      <c r="W988" s="5" t="s">
        <v>36</v>
      </c>
      <c r="X988" s="5" t="s">
        <v>2636</v>
      </c>
      <c r="AA988" s="5" t="s">
        <v>1717</v>
      </c>
      <c r="AB988" s="5" t="s">
        <v>525</v>
      </c>
      <c r="AC988" s="8" t="str">
        <f>HYPERLINK("https://drive.google.com/file/d/1mTbWIjdgRFjpHgquUqx4QNzg1Gm-SoAL/view?usp=drivesdk", "Abrir_Factura")</f>
        <v>Abrir_Factura</v>
      </c>
      <c r="AD988" s="9">
        <v>46020.608935185184</v>
      </c>
    </row>
    <row r="989" spans="1:30" ht="12.5">
      <c r="A989" s="4">
        <v>46020.632870358793</v>
      </c>
      <c r="B989" s="5">
        <v>90726</v>
      </c>
      <c r="C989" s="5">
        <v>1002034547</v>
      </c>
      <c r="D989" s="5" t="s">
        <v>4729</v>
      </c>
      <c r="F989" s="5" t="s">
        <v>4730</v>
      </c>
      <c r="H989" s="5">
        <v>573146649148</v>
      </c>
      <c r="J989" s="5" t="s">
        <v>4731</v>
      </c>
      <c r="K989" s="5" t="s">
        <v>1497</v>
      </c>
      <c r="L989" s="5" t="s">
        <v>4732</v>
      </c>
      <c r="M989" s="5">
        <v>3146649148</v>
      </c>
      <c r="N989" s="6">
        <v>46022</v>
      </c>
      <c r="O989" s="7">
        <v>0.375</v>
      </c>
      <c r="P989" s="5">
        <v>1</v>
      </c>
      <c r="Q989" s="5" t="s">
        <v>309</v>
      </c>
      <c r="R989" s="5">
        <v>80000</v>
      </c>
      <c r="S989" s="5">
        <v>0</v>
      </c>
      <c r="T989" s="5">
        <v>12000</v>
      </c>
      <c r="U989" s="5">
        <v>92000</v>
      </c>
      <c r="V989" s="5" t="s">
        <v>4733</v>
      </c>
      <c r="W989" s="5" t="s">
        <v>36</v>
      </c>
      <c r="X989" s="5" t="s">
        <v>83</v>
      </c>
      <c r="Z989" s="5" t="s">
        <v>4734</v>
      </c>
      <c r="AA989" s="5" t="s">
        <v>69</v>
      </c>
      <c r="AC989" s="8" t="str">
        <f>HYPERLINK("https://drive.google.com/file/d/1CuOm9laodvWGF2e_13KBtDmwTVaQkN9p/view?usp=drivesdk", "Abrir_Factura")</f>
        <v>Abrir_Factura</v>
      </c>
      <c r="AD989" s="9">
        <v>46020.636365740742</v>
      </c>
    </row>
    <row r="990" spans="1:30" ht="12.5">
      <c r="A990" s="4">
        <v>46020.644855543986</v>
      </c>
      <c r="B990" s="5">
        <v>90727</v>
      </c>
      <c r="C990" s="5">
        <v>1006515342</v>
      </c>
      <c r="D990" s="5" t="s">
        <v>4735</v>
      </c>
      <c r="F990" s="5" t="s">
        <v>4736</v>
      </c>
      <c r="H990" s="5">
        <v>573019796476</v>
      </c>
      <c r="J990" s="5" t="s">
        <v>4737</v>
      </c>
      <c r="K990" s="5" t="s">
        <v>33</v>
      </c>
      <c r="L990" s="5" t="s">
        <v>34</v>
      </c>
      <c r="M990" s="5">
        <v>3019796476</v>
      </c>
      <c r="N990" s="6">
        <v>46020</v>
      </c>
      <c r="O990" s="7">
        <v>0</v>
      </c>
      <c r="P990" s="5">
        <v>2</v>
      </c>
      <c r="Q990" s="5" t="s">
        <v>3991</v>
      </c>
      <c r="R990" s="5">
        <v>200000</v>
      </c>
      <c r="S990" s="5">
        <v>0</v>
      </c>
      <c r="T990" s="5">
        <v>0</v>
      </c>
      <c r="U990" s="5">
        <v>200000</v>
      </c>
      <c r="V990" s="5"/>
      <c r="W990" s="5" t="s">
        <v>36</v>
      </c>
      <c r="X990" s="5" t="s">
        <v>2636</v>
      </c>
      <c r="AA990" s="5" t="s">
        <v>1717</v>
      </c>
      <c r="AC990" s="8" t="str">
        <f>HYPERLINK("https://drive.google.com/file/d/1vboLl2iVCjsdP4WjXfoj8vmx6N8PIrP9/view?usp=drivesdk", "Abrir_Factura")</f>
        <v>Abrir_Factura</v>
      </c>
      <c r="AD990" s="9">
        <v>46020.64534722222</v>
      </c>
    </row>
    <row r="991" spans="1:30" ht="12.5">
      <c r="A991" s="4">
        <v>46020.565090254633</v>
      </c>
      <c r="B991" s="5">
        <v>90728</v>
      </c>
      <c r="C991" s="5">
        <v>55223462</v>
      </c>
      <c r="D991" s="5" t="s">
        <v>4738</v>
      </c>
      <c r="F991" s="5" t="s">
        <v>4739</v>
      </c>
      <c r="H991" s="5">
        <v>573017970570</v>
      </c>
      <c r="J991" s="5" t="s">
        <v>4740</v>
      </c>
      <c r="K991" s="5" t="s">
        <v>73</v>
      </c>
      <c r="L991" s="5" t="s">
        <v>4741</v>
      </c>
      <c r="M991" s="5"/>
      <c r="N991" s="6">
        <v>46021</v>
      </c>
      <c r="O991" s="7">
        <v>0.375</v>
      </c>
      <c r="P991" s="5">
        <v>1</v>
      </c>
      <c r="Q991" s="5" t="s">
        <v>156</v>
      </c>
      <c r="R991" s="5">
        <v>70000</v>
      </c>
      <c r="S991" s="5">
        <v>0</v>
      </c>
      <c r="T991" s="5">
        <v>8000</v>
      </c>
      <c r="U991" s="5">
        <v>78000</v>
      </c>
      <c r="V991" s="5" t="s">
        <v>4742</v>
      </c>
      <c r="W991" s="5" t="s">
        <v>36</v>
      </c>
      <c r="X991" s="5" t="s">
        <v>180</v>
      </c>
      <c r="Z991" s="5" t="s">
        <v>1665</v>
      </c>
      <c r="AA991" s="5" t="s">
        <v>44</v>
      </c>
      <c r="AC991" s="8" t="str">
        <f>HYPERLINK("https://drive.google.com/file/d/1036eMaDpkpcZOvaoNEZ8ET2UHl3ySh9y/view?usp=drivesdk", "Abrir_Factura")</f>
        <v>Abrir_Factura</v>
      </c>
      <c r="AD991" s="9">
        <v>46020.647418981483</v>
      </c>
    </row>
    <row r="992" spans="1:30" ht="12.5">
      <c r="A992" s="4">
        <v>46020.655226782408</v>
      </c>
      <c r="B992" s="5">
        <v>90729</v>
      </c>
      <c r="C992" s="5">
        <v>1000149283</v>
      </c>
      <c r="D992" s="5" t="s">
        <v>4743</v>
      </c>
      <c r="F992" s="5" t="s">
        <v>4744</v>
      </c>
      <c r="H992" s="5">
        <v>573165317948</v>
      </c>
      <c r="J992" s="5" t="s">
        <v>4745</v>
      </c>
      <c r="K992" s="5" t="s">
        <v>33</v>
      </c>
      <c r="L992" s="5" t="s">
        <v>34</v>
      </c>
      <c r="M992" s="5">
        <v>3165317948</v>
      </c>
      <c r="N992" s="6">
        <v>46020</v>
      </c>
      <c r="O992" s="7">
        <v>0.70833333333333337</v>
      </c>
      <c r="P992" s="5">
        <v>1</v>
      </c>
      <c r="Q992" s="5" t="s">
        <v>178</v>
      </c>
      <c r="R992" s="5">
        <v>100000</v>
      </c>
      <c r="S992" s="5">
        <v>0</v>
      </c>
      <c r="T992" s="5">
        <v>0</v>
      </c>
      <c r="U992" s="5">
        <v>100000</v>
      </c>
      <c r="V992" s="5" t="s">
        <v>4746</v>
      </c>
      <c r="W992" s="5" t="s">
        <v>36</v>
      </c>
      <c r="X992" s="5" t="s">
        <v>2636</v>
      </c>
      <c r="AA992" s="5" t="s">
        <v>1717</v>
      </c>
      <c r="AC992" s="8" t="str">
        <f>HYPERLINK("https://drive.google.com/file/d/1cDyW_xcmxZYAage8LNzE3uFMDqLSE_A8/view?usp=drivesdk", "Abrir_Factura")</f>
        <v>Abrir_Factura</v>
      </c>
      <c r="AD992" s="9">
        <v>46020.656122685185</v>
      </c>
    </row>
    <row r="993" spans="1:30" ht="12.5">
      <c r="A993" s="4">
        <v>46020.656694537036</v>
      </c>
      <c r="B993" s="5">
        <v>90730</v>
      </c>
      <c r="C993" s="5">
        <v>1123635099</v>
      </c>
      <c r="D993" s="5" t="s">
        <v>1349</v>
      </c>
      <c r="F993" s="5" t="s">
        <v>4747</v>
      </c>
      <c r="H993" s="5">
        <v>573108042766</v>
      </c>
      <c r="J993" s="5" t="s">
        <v>4748</v>
      </c>
      <c r="K993" s="5" t="s">
        <v>4749</v>
      </c>
      <c r="L993" s="5" t="s">
        <v>4750</v>
      </c>
      <c r="M993" s="5">
        <v>3015182932</v>
      </c>
      <c r="N993" s="6">
        <v>46020</v>
      </c>
      <c r="O993" s="7">
        <v>0.70833333333333337</v>
      </c>
      <c r="P993" s="5">
        <v>1</v>
      </c>
      <c r="Q993" s="5" t="s">
        <v>4751</v>
      </c>
      <c r="R993" s="5">
        <v>70000</v>
      </c>
      <c r="S993" s="5">
        <v>0</v>
      </c>
      <c r="T993" s="5">
        <v>16000</v>
      </c>
      <c r="U993" s="5">
        <v>86000</v>
      </c>
      <c r="V993" s="5" t="s">
        <v>4752</v>
      </c>
      <c r="W993" s="5" t="s">
        <v>36</v>
      </c>
      <c r="X993" s="5" t="s">
        <v>83</v>
      </c>
      <c r="Z993" s="5" t="s">
        <v>4753</v>
      </c>
      <c r="AA993" s="5" t="s">
        <v>69</v>
      </c>
      <c r="AC993" s="8" t="str">
        <f>HYPERLINK("https://drive.google.com/file/d/1Dia28dER0Kq_CkRRoNlc6hCbsJaaVazC/view?usp=drivesdk", "Abrir_Factura")</f>
        <v>Abrir_Factura</v>
      </c>
      <c r="AD993" s="9">
        <v>46020.663229166668</v>
      </c>
    </row>
    <row r="994" spans="1:30" ht="12.5">
      <c r="A994" s="4">
        <v>46020.624540127319</v>
      </c>
      <c r="B994" s="5">
        <v>90731</v>
      </c>
      <c r="C994" s="5">
        <v>1045705333</v>
      </c>
      <c r="D994" s="5" t="s">
        <v>4754</v>
      </c>
      <c r="F994" s="5" t="s">
        <v>4755</v>
      </c>
      <c r="H994" s="5">
        <v>17863700214</v>
      </c>
      <c r="J994" s="5" t="s">
        <v>4756</v>
      </c>
      <c r="K994" s="5" t="s">
        <v>4757</v>
      </c>
      <c r="L994" s="5" t="s">
        <v>4758</v>
      </c>
      <c r="M994" s="5" t="s">
        <v>4759</v>
      </c>
      <c r="N994" s="6">
        <v>46020</v>
      </c>
      <c r="O994" s="7">
        <v>0</v>
      </c>
      <c r="P994" s="5">
        <v>1</v>
      </c>
      <c r="Q994" s="5" t="s">
        <v>4021</v>
      </c>
      <c r="R994" s="5">
        <v>220000</v>
      </c>
      <c r="S994" s="5">
        <v>0</v>
      </c>
      <c r="T994" s="5">
        <v>18000</v>
      </c>
      <c r="U994" s="5">
        <v>238000</v>
      </c>
      <c r="V994" s="5" t="s">
        <v>4760</v>
      </c>
      <c r="W994" s="5" t="s">
        <v>36</v>
      </c>
      <c r="X994" s="5" t="s">
        <v>180</v>
      </c>
      <c r="Z994" s="5" t="s">
        <v>4761</v>
      </c>
      <c r="AA994" s="5" t="s">
        <v>69</v>
      </c>
      <c r="AC994" s="8" t="str">
        <f>HYPERLINK("https://drive.google.com/file/d/1-SHZu4Cjx4qtcuHt3zIxlYT5Pua9ctmV/view?usp=drivesdk", "Abrir_Factura")</f>
        <v>Abrir_Factura</v>
      </c>
      <c r="AD994" s="9">
        <v>46020.664259259262</v>
      </c>
    </row>
    <row r="995" spans="1:30" ht="12.5">
      <c r="A995" s="4">
        <v>46020.691663472222</v>
      </c>
      <c r="B995" s="5">
        <v>90732</v>
      </c>
      <c r="C995" s="5">
        <v>1048066986</v>
      </c>
      <c r="D995" s="5" t="s">
        <v>4762</v>
      </c>
      <c r="F995" s="5" t="s">
        <v>4763</v>
      </c>
      <c r="H995" s="5">
        <v>573158664163</v>
      </c>
      <c r="J995" s="5" t="s">
        <v>4764</v>
      </c>
      <c r="K995" s="5" t="s">
        <v>33</v>
      </c>
      <c r="L995" s="5" t="s">
        <v>34</v>
      </c>
      <c r="M995" s="5"/>
      <c r="N995" s="6">
        <v>46020</v>
      </c>
      <c r="O995" s="7">
        <v>0.70833333333333337</v>
      </c>
      <c r="P995" s="5">
        <v>1</v>
      </c>
      <c r="Q995" s="5" t="s">
        <v>4765</v>
      </c>
      <c r="R995" s="5">
        <v>100000</v>
      </c>
      <c r="S995" s="5">
        <v>0</v>
      </c>
      <c r="T995" s="5">
        <v>0</v>
      </c>
      <c r="U995" s="5">
        <v>100000</v>
      </c>
      <c r="V995" s="5"/>
      <c r="W995" s="5" t="s">
        <v>36</v>
      </c>
      <c r="X995" s="5" t="s">
        <v>83</v>
      </c>
      <c r="AA995" s="5" t="s">
        <v>69</v>
      </c>
      <c r="AC995" s="8" t="str">
        <f>HYPERLINK("https://drive.google.com/file/d/1QUpdMC3QlUeVwPcqr2GjsbeOaq2LZA5E/view?usp=drivesdk", "Abrir_Factura")</f>
        <v>Abrir_Factura</v>
      </c>
      <c r="AD995" s="9">
        <v>46020.692314814813</v>
      </c>
    </row>
    <row r="996" spans="1:30" ht="12.5">
      <c r="A996" s="4">
        <v>46020.686927858798</v>
      </c>
      <c r="B996" s="5">
        <v>90733</v>
      </c>
      <c r="C996" s="5">
        <v>1048071320</v>
      </c>
      <c r="D996" s="5" t="s">
        <v>332</v>
      </c>
      <c r="F996" s="5" t="s">
        <v>1344</v>
      </c>
      <c r="H996" s="5">
        <v>573018964911</v>
      </c>
      <c r="J996" s="5" t="s">
        <v>4766</v>
      </c>
      <c r="K996" s="5" t="s">
        <v>726</v>
      </c>
      <c r="L996" s="5" t="s">
        <v>4767</v>
      </c>
      <c r="M996" s="5" t="s">
        <v>25421</v>
      </c>
      <c r="N996" s="6">
        <v>46020</v>
      </c>
      <c r="O996" s="7">
        <v>0.70833333333333337</v>
      </c>
      <c r="P996" s="5">
        <v>1</v>
      </c>
      <c r="Q996" s="5" t="s">
        <v>361</v>
      </c>
      <c r="R996" s="5">
        <v>200000</v>
      </c>
      <c r="S996" s="5">
        <v>0</v>
      </c>
      <c r="T996" s="5">
        <v>9000</v>
      </c>
      <c r="U996" s="5">
        <v>209000</v>
      </c>
      <c r="V996" s="5" t="s">
        <v>4768</v>
      </c>
      <c r="W996" s="5" t="s">
        <v>36</v>
      </c>
      <c r="X996" s="5" t="s">
        <v>204</v>
      </c>
      <c r="Z996" s="5" t="s">
        <v>4769</v>
      </c>
      <c r="AA996" s="5" t="s">
        <v>44</v>
      </c>
      <c r="AB996" s="5" t="s">
        <v>4770</v>
      </c>
      <c r="AC996" s="8" t="str">
        <f>HYPERLINK("https://drive.google.com/file/d/1VJLlGmH9NL-GXdYIDMCCU1UBWaV3ouiw/view?usp=drivesdk", "Abrir_Factura")</f>
        <v>Abrir_Factura</v>
      </c>
      <c r="AD996" s="9">
        <v>46020.694039351853</v>
      </c>
    </row>
    <row r="997" spans="1:30" ht="12.5">
      <c r="A997" s="4">
        <v>46020.695450856481</v>
      </c>
      <c r="B997" s="5">
        <v>90734</v>
      </c>
      <c r="C997" s="5">
        <v>72167595</v>
      </c>
      <c r="D997" s="5" t="s">
        <v>4771</v>
      </c>
      <c r="F997" s="5" t="s">
        <v>4772</v>
      </c>
      <c r="H997" s="5">
        <v>5700</v>
      </c>
      <c r="J997" s="5" t="s">
        <v>4773</v>
      </c>
      <c r="K997" s="5" t="s">
        <v>33</v>
      </c>
      <c r="L997" s="5" t="s">
        <v>34</v>
      </c>
      <c r="M997" s="5">
        <v>0</v>
      </c>
      <c r="N997" s="6">
        <v>46020</v>
      </c>
      <c r="O997" s="7">
        <v>0</v>
      </c>
      <c r="P997" s="5">
        <v>1</v>
      </c>
      <c r="Q997" s="5" t="s">
        <v>178</v>
      </c>
      <c r="R997" s="5">
        <v>100000</v>
      </c>
      <c r="S997" s="5">
        <v>0</v>
      </c>
      <c r="T997" s="5">
        <v>0</v>
      </c>
      <c r="U997" s="5">
        <v>100000</v>
      </c>
      <c r="V997" s="5"/>
      <c r="W997" s="5" t="s">
        <v>36</v>
      </c>
      <c r="X997" s="5" t="s">
        <v>2636</v>
      </c>
      <c r="AA997" s="5" t="s">
        <v>1717</v>
      </c>
      <c r="AC997" s="8" t="str">
        <f>HYPERLINK("https://drive.google.com/file/d/1BWBk06LniHdl_DjZ3heqUyHeo7IOAcxj/view?usp=drivesdk", "Abrir_Factura")</f>
        <v>Abrir_Factura</v>
      </c>
      <c r="AD997" s="9">
        <v>46020.69599537037</v>
      </c>
    </row>
    <row r="998" spans="1:30" ht="12.5">
      <c r="A998" s="4">
        <v>46020.663980150464</v>
      </c>
      <c r="B998" s="5">
        <v>90735</v>
      </c>
      <c r="C998" s="5">
        <v>52213145</v>
      </c>
      <c r="D998" s="5" t="s">
        <v>4774</v>
      </c>
      <c r="F998" s="5" t="s">
        <v>3285</v>
      </c>
      <c r="H998" s="5">
        <v>573205468224</v>
      </c>
      <c r="J998" s="5" t="s">
        <v>4775</v>
      </c>
      <c r="K998" s="5" t="s">
        <v>146</v>
      </c>
      <c r="L998" s="5" t="s">
        <v>4776</v>
      </c>
      <c r="M998" s="5">
        <v>3045387746</v>
      </c>
      <c r="N998" s="6">
        <v>46021</v>
      </c>
      <c r="O998" s="7">
        <v>0.33333333333333331</v>
      </c>
      <c r="P998" s="5">
        <v>1</v>
      </c>
      <c r="Q998" s="5" t="s">
        <v>170</v>
      </c>
      <c r="R998" s="5">
        <v>300000</v>
      </c>
      <c r="S998" s="5">
        <v>0</v>
      </c>
      <c r="T998" s="5">
        <v>12000</v>
      </c>
      <c r="U998" s="5">
        <v>312000</v>
      </c>
      <c r="V998" s="5" t="s">
        <v>4777</v>
      </c>
      <c r="W998" s="5" t="s">
        <v>36</v>
      </c>
      <c r="X998" s="5" t="s">
        <v>83</v>
      </c>
      <c r="Z998" s="5" t="s">
        <v>4778</v>
      </c>
      <c r="AA998" s="5" t="s">
        <v>44</v>
      </c>
      <c r="AC998" s="8" t="str">
        <f>HYPERLINK("https://drive.google.com/file/d/1lTyg6rcYvnTprYoSVL_l5hubHw-ZWD_9/view?usp=drivesdk", "Abrir_Factura")</f>
        <v>Abrir_Factura</v>
      </c>
      <c r="AD998" s="9">
        <v>46020.705879629626</v>
      </c>
    </row>
    <row r="999" spans="1:30" ht="12.5">
      <c r="A999" s="4">
        <v>46020.765576284721</v>
      </c>
      <c r="B999" s="5">
        <v>90736</v>
      </c>
      <c r="C999" s="5">
        <v>1067602737</v>
      </c>
      <c r="D999" s="5" t="s">
        <v>780</v>
      </c>
      <c r="F999" s="5" t="s">
        <v>372</v>
      </c>
      <c r="H999" s="5">
        <v>570000</v>
      </c>
      <c r="J999" s="5" t="s">
        <v>4779</v>
      </c>
      <c r="K999" s="5" t="s">
        <v>33</v>
      </c>
      <c r="L999" s="5" t="s">
        <v>34</v>
      </c>
      <c r="M999" s="5">
        <v>0</v>
      </c>
      <c r="N999" s="6">
        <v>46020</v>
      </c>
      <c r="O999" s="7">
        <v>0</v>
      </c>
      <c r="P999" s="5">
        <v>1</v>
      </c>
      <c r="Q999" s="5" t="s">
        <v>120</v>
      </c>
      <c r="R999" s="5">
        <v>70000</v>
      </c>
      <c r="S999" s="5">
        <v>0</v>
      </c>
      <c r="T999" s="5">
        <v>0</v>
      </c>
      <c r="U999" s="5">
        <v>70000</v>
      </c>
      <c r="V999" s="5"/>
      <c r="W999" s="5" t="s">
        <v>36</v>
      </c>
      <c r="X999" s="5" t="s">
        <v>196</v>
      </c>
      <c r="AA999" s="5" t="s">
        <v>1717</v>
      </c>
      <c r="AC999" s="8" t="str">
        <f>HYPERLINK("https://drive.google.com/file/d/1zlm8XMn2RmDuQA7zHBBfzp129QkELgTt/view?usp=drivesdk", "Abrir_Factura")</f>
        <v>Abrir_Factura</v>
      </c>
      <c r="AD999" s="9">
        <v>46020.76630787037</v>
      </c>
    </row>
    <row r="1000" spans="1:30" ht="12.5">
      <c r="A1000" s="4">
        <v>46020.750194201391</v>
      </c>
      <c r="B1000" s="5">
        <v>90737</v>
      </c>
      <c r="C1000" s="5">
        <v>10079773273</v>
      </c>
      <c r="D1000" s="5" t="s">
        <v>4780</v>
      </c>
      <c r="F1000" s="5" t="s">
        <v>4781</v>
      </c>
      <c r="H1000" s="5">
        <v>57195739533</v>
      </c>
      <c r="J1000" s="5" t="s">
        <v>4782</v>
      </c>
      <c r="K1000" s="5" t="s">
        <v>33</v>
      </c>
      <c r="L1000" s="5" t="s">
        <v>34</v>
      </c>
      <c r="M1000" s="5">
        <v>195739533</v>
      </c>
      <c r="N1000" s="6">
        <v>46020</v>
      </c>
      <c r="O1000" s="7">
        <v>0</v>
      </c>
      <c r="P1000" s="5">
        <v>1</v>
      </c>
      <c r="Q1000" s="5" t="s">
        <v>4783</v>
      </c>
      <c r="R1000" s="5">
        <v>330000</v>
      </c>
      <c r="S1000" s="5">
        <v>0</v>
      </c>
      <c r="T1000" s="5">
        <v>0</v>
      </c>
      <c r="U1000" s="5">
        <v>330000</v>
      </c>
      <c r="V1000" s="5"/>
      <c r="W1000" s="5" t="s">
        <v>36</v>
      </c>
      <c r="X1000" s="5" t="s">
        <v>2636</v>
      </c>
      <c r="AA1000" s="5" t="s">
        <v>1717</v>
      </c>
      <c r="AC1000" s="8" t="str">
        <f>HYPERLINK("https://drive.google.com/file/d/1teVdMbDykd2BXCvtGspGHUKRXZdpYIsw/view?usp=drivesdk", "Abrir_Factura")</f>
        <v>Abrir_Factura</v>
      </c>
      <c r="AD1000" s="9">
        <v>46020.77003472222</v>
      </c>
    </row>
    <row r="1001" spans="1:30" ht="12.5">
      <c r="A1001" s="4">
        <v>46020.753065625002</v>
      </c>
      <c r="B1001" s="5">
        <v>90738</v>
      </c>
      <c r="C1001" s="5">
        <v>1129577971</v>
      </c>
      <c r="D1001" s="5" t="s">
        <v>4784</v>
      </c>
      <c r="F1001" s="5" t="s">
        <v>3785</v>
      </c>
      <c r="H1001" s="5">
        <v>573183740725</v>
      </c>
      <c r="J1001" s="5" t="s">
        <v>4785</v>
      </c>
      <c r="K1001" s="5" t="s">
        <v>229</v>
      </c>
      <c r="L1001" s="5" t="s">
        <v>4786</v>
      </c>
      <c r="M1001" s="5" t="s">
        <v>4787</v>
      </c>
      <c r="N1001" s="6">
        <v>46021</v>
      </c>
      <c r="O1001" s="7">
        <v>0</v>
      </c>
      <c r="P1001" s="5">
        <v>1</v>
      </c>
      <c r="Q1001" s="5" t="s">
        <v>309</v>
      </c>
      <c r="R1001" s="5">
        <v>80000</v>
      </c>
      <c r="S1001" s="5">
        <v>0</v>
      </c>
      <c r="T1001" s="5">
        <v>11000</v>
      </c>
      <c r="U1001" s="5">
        <v>91000</v>
      </c>
      <c r="V1001" s="5"/>
      <c r="W1001" s="5" t="s">
        <v>36</v>
      </c>
      <c r="X1001" s="5" t="s">
        <v>83</v>
      </c>
      <c r="AA1001" s="5" t="s">
        <v>44</v>
      </c>
      <c r="AC1001" s="8" t="str">
        <f>HYPERLINK("https://drive.google.com/file/d/1K0GeJignWkISbGx82BPpxa22icNH43tP/view?usp=drivesdk", "Abrir_Factura")</f>
        <v>Abrir_Factura</v>
      </c>
      <c r="AD1001" s="9">
        <v>46020.777812499997</v>
      </c>
    </row>
    <row r="1002" spans="1:30" ht="12.5">
      <c r="A1002" s="4">
        <v>46021.313415925921</v>
      </c>
      <c r="B1002" s="5">
        <v>90739</v>
      </c>
      <c r="C1002" s="5">
        <v>55220299</v>
      </c>
      <c r="D1002" s="5" t="s">
        <v>1489</v>
      </c>
      <c r="F1002" s="5" t="s">
        <v>765</v>
      </c>
      <c r="H1002" s="5">
        <v>573014591116</v>
      </c>
      <c r="J1002" s="5" t="s">
        <v>4788</v>
      </c>
      <c r="K1002" s="5" t="s">
        <v>63</v>
      </c>
      <c r="L1002" s="5" t="s">
        <v>4789</v>
      </c>
      <c r="M1002" s="5"/>
      <c r="N1002" s="6">
        <v>46021</v>
      </c>
      <c r="O1002" s="7">
        <v>0.39583333333333331</v>
      </c>
      <c r="P1002" s="5">
        <v>1</v>
      </c>
      <c r="Q1002" s="5" t="s">
        <v>4790</v>
      </c>
      <c r="R1002" s="5">
        <v>360000</v>
      </c>
      <c r="S1002" s="5">
        <v>0</v>
      </c>
      <c r="T1002" s="5">
        <v>15000</v>
      </c>
      <c r="U1002" s="5">
        <v>375000</v>
      </c>
      <c r="V1002" s="5" t="s">
        <v>4791</v>
      </c>
      <c r="W1002" s="5" t="s">
        <v>36</v>
      </c>
      <c r="X1002" s="5" t="s">
        <v>43</v>
      </c>
      <c r="AA1002" s="5" t="s">
        <v>69</v>
      </c>
      <c r="AB1002" s="5" t="s">
        <v>4792</v>
      </c>
      <c r="AC1002" s="8" t="str">
        <f>HYPERLINK("https://drive.google.com/file/d/15k5eConCb4kDtTGakdEYmeHOecPn1cJt/view?usp=drivesdk", "Abrir_Factura")</f>
        <v>Abrir_Factura</v>
      </c>
      <c r="AD1002" s="9">
        <v>46021.314305555556</v>
      </c>
    </row>
    <row r="1003" spans="1:30" ht="12.5">
      <c r="A1003" s="4">
        <v>46020.464521377318</v>
      </c>
      <c r="B1003" s="5">
        <v>90740</v>
      </c>
      <c r="C1003" s="5">
        <v>1043135712</v>
      </c>
      <c r="D1003" s="5" t="s">
        <v>4793</v>
      </c>
      <c r="F1003" s="5" t="s">
        <v>2837</v>
      </c>
      <c r="H1003" s="5">
        <v>573011486903</v>
      </c>
      <c r="J1003" s="5" t="s">
        <v>4794</v>
      </c>
      <c r="K1003" s="5" t="s">
        <v>1057</v>
      </c>
      <c r="L1003" s="5" t="s">
        <v>4795</v>
      </c>
      <c r="M1003" s="5" t="s">
        <v>4796</v>
      </c>
      <c r="N1003" s="6">
        <v>46021</v>
      </c>
      <c r="O1003" s="7">
        <v>0.41666666666666669</v>
      </c>
      <c r="P1003" s="5">
        <v>1</v>
      </c>
      <c r="Q1003" s="5" t="s">
        <v>65</v>
      </c>
      <c r="R1003" s="5">
        <v>70000</v>
      </c>
      <c r="S1003" s="5">
        <v>0</v>
      </c>
      <c r="T1003" s="5">
        <v>14000</v>
      </c>
      <c r="U1003" s="5">
        <v>84000</v>
      </c>
      <c r="V1003" s="5" t="s">
        <v>4797</v>
      </c>
      <c r="W1003" s="5" t="s">
        <v>36</v>
      </c>
      <c r="X1003" s="5" t="s">
        <v>83</v>
      </c>
      <c r="AA1003" s="5" t="s">
        <v>69</v>
      </c>
      <c r="AC1003" s="8" t="str">
        <f>HYPERLINK("https://drive.google.com/file/d/1wiu7zzjvqUc-cwvbYgfr_dhIbf5m5CaO/view?usp=drivesdk", "Abrir_Factura")</f>
        <v>Abrir_Factura</v>
      </c>
      <c r="AD1003" s="9">
        <v>46021.429710648146</v>
      </c>
    </row>
    <row r="1004" spans="1:30" ht="12.5">
      <c r="A1004" s="4">
        <v>46021.349457743054</v>
      </c>
      <c r="B1004" s="5">
        <v>90741</v>
      </c>
      <c r="C1004" s="5">
        <v>1002232913</v>
      </c>
      <c r="D1004" s="5" t="s">
        <v>4798</v>
      </c>
      <c r="F1004" s="5" t="s">
        <v>4799</v>
      </c>
      <c r="H1004" s="5">
        <v>573018702355</v>
      </c>
      <c r="J1004" s="5" t="s">
        <v>4800</v>
      </c>
      <c r="K1004" s="5" t="s">
        <v>185</v>
      </c>
      <c r="L1004" s="5" t="s">
        <v>4801</v>
      </c>
      <c r="M1004" s="5"/>
      <c r="N1004" s="6">
        <v>46021</v>
      </c>
      <c r="O1004" s="7">
        <v>0</v>
      </c>
      <c r="P1004" s="5">
        <v>1</v>
      </c>
      <c r="Q1004" s="5" t="s">
        <v>384</v>
      </c>
      <c r="R1004" s="5">
        <v>180000</v>
      </c>
      <c r="S1004" s="5">
        <v>0</v>
      </c>
      <c r="T1004" s="5">
        <v>8000</v>
      </c>
      <c r="U1004" s="5">
        <v>188000</v>
      </c>
      <c r="V1004" s="5" t="s">
        <v>4802</v>
      </c>
      <c r="W1004" s="5" t="s">
        <v>36</v>
      </c>
      <c r="X1004" s="5" t="s">
        <v>180</v>
      </c>
      <c r="Z1004" s="5" t="s">
        <v>4803</v>
      </c>
      <c r="AA1004" s="5" t="s">
        <v>69</v>
      </c>
      <c r="AB1004" s="5" t="s">
        <v>4804</v>
      </c>
      <c r="AC1004" s="8" t="str">
        <f>HYPERLINK("https://drive.google.com/file/d/1S2TQQT3XXBjcLywN9JdECVbojkh3issn/view?usp=drivesdk", "Abrir_Factura")</f>
        <v>Abrir_Factura</v>
      </c>
      <c r="AD1004" s="9">
        <v>46021.366631944446</v>
      </c>
    </row>
    <row r="1005" spans="1:30" ht="12.5">
      <c r="A1005" s="4">
        <v>46021.368834490742</v>
      </c>
      <c r="B1005" s="5">
        <v>90742</v>
      </c>
      <c r="C1005" s="5">
        <v>1041692019</v>
      </c>
      <c r="D1005" s="5" t="s">
        <v>698</v>
      </c>
      <c r="F1005" s="5" t="s">
        <v>4805</v>
      </c>
      <c r="H1005" s="5">
        <v>573116729321</v>
      </c>
      <c r="J1005" s="5" t="s">
        <v>4806</v>
      </c>
      <c r="K1005" s="5" t="s">
        <v>307</v>
      </c>
      <c r="L1005" s="5" t="s">
        <v>4807</v>
      </c>
      <c r="M1005" s="5">
        <v>3116729321</v>
      </c>
      <c r="N1005" s="6">
        <v>46021</v>
      </c>
      <c r="O1005" s="7">
        <v>0.41666666666666669</v>
      </c>
      <c r="P1005" s="5">
        <v>1</v>
      </c>
      <c r="Q1005" s="5" t="s">
        <v>187</v>
      </c>
      <c r="R1005" s="5">
        <v>200000</v>
      </c>
      <c r="S1005" s="5">
        <v>0</v>
      </c>
      <c r="T1005" s="5">
        <v>10000</v>
      </c>
      <c r="U1005" s="5">
        <v>210000</v>
      </c>
      <c r="V1005" s="5" t="s">
        <v>4808</v>
      </c>
      <c r="W1005" s="5" t="s">
        <v>36</v>
      </c>
      <c r="X1005" s="5" t="s">
        <v>83</v>
      </c>
      <c r="AA1005" s="5" t="s">
        <v>69</v>
      </c>
      <c r="AC1005" s="8" t="str">
        <f>HYPERLINK("https://drive.google.com/file/d/1XBQo8wXAM37K6OVbdiLv0B8wTE36GWI6/view?usp=drivesdk", "Abrir_Factura")</f>
        <v>Abrir_Factura</v>
      </c>
      <c r="AD1005" s="9">
        <v>46021.393877314818</v>
      </c>
    </row>
    <row r="1006" spans="1:30" ht="12.5">
      <c r="A1006" s="4">
        <v>46021.410919884263</v>
      </c>
      <c r="B1006" s="5">
        <v>90743</v>
      </c>
      <c r="C1006" s="5">
        <v>1140858879</v>
      </c>
      <c r="D1006" s="5" t="s">
        <v>4809</v>
      </c>
      <c r="F1006" s="5" t="s">
        <v>1688</v>
      </c>
      <c r="H1006" s="5">
        <v>573013215661</v>
      </c>
      <c r="J1006" s="5" t="s">
        <v>4810</v>
      </c>
      <c r="K1006" s="5" t="s">
        <v>563</v>
      </c>
      <c r="L1006" s="5" t="s">
        <v>4811</v>
      </c>
      <c r="M1006" s="5">
        <v>3013215661</v>
      </c>
      <c r="N1006" s="6">
        <v>46021</v>
      </c>
      <c r="O1006" s="7">
        <v>0.45833333333333331</v>
      </c>
      <c r="P1006" s="5">
        <v>1</v>
      </c>
      <c r="Q1006" s="5" t="s">
        <v>4812</v>
      </c>
      <c r="R1006" s="5">
        <v>100000</v>
      </c>
      <c r="S1006" s="5">
        <v>0</v>
      </c>
      <c r="T1006" s="5">
        <v>12000</v>
      </c>
      <c r="U1006" s="5">
        <v>112000</v>
      </c>
      <c r="V1006" s="5"/>
      <c r="W1006" s="5" t="s">
        <v>36</v>
      </c>
      <c r="X1006" s="5" t="s">
        <v>1481</v>
      </c>
      <c r="AA1006" s="5" t="s">
        <v>69</v>
      </c>
      <c r="AB1006" s="5" t="s">
        <v>4813</v>
      </c>
      <c r="AC1006" s="8" t="str">
        <f>HYPERLINK("https://drive.google.com/file/d/1CVwOlb7ncP5eBX4lGKUeNkL992RhgqY8/view?usp=drivesdk", "Abrir_Factura")</f>
        <v>Abrir_Factura</v>
      </c>
      <c r="AD1006" s="9">
        <v>46021.48877314815</v>
      </c>
    </row>
    <row r="1007" spans="1:30" ht="12.5">
      <c r="A1007" s="4">
        <v>46021.422670150467</v>
      </c>
      <c r="B1007" s="5">
        <v>90744</v>
      </c>
      <c r="C1007" s="5">
        <v>1006680246</v>
      </c>
      <c r="D1007" s="5" t="s">
        <v>1241</v>
      </c>
      <c r="F1007" s="5" t="s">
        <v>877</v>
      </c>
      <c r="H1007" s="5">
        <v>573218440050</v>
      </c>
      <c r="J1007" s="5" t="s">
        <v>4814</v>
      </c>
      <c r="K1007" s="5" t="s">
        <v>229</v>
      </c>
      <c r="L1007" s="5" t="s">
        <v>4815</v>
      </c>
      <c r="M1007" s="5">
        <v>3108763691</v>
      </c>
      <c r="N1007" s="6">
        <v>46022</v>
      </c>
      <c r="O1007" s="7">
        <v>0.375</v>
      </c>
      <c r="P1007" s="5">
        <v>1</v>
      </c>
      <c r="Q1007" s="5" t="s">
        <v>178</v>
      </c>
      <c r="R1007" s="5">
        <v>100000</v>
      </c>
      <c r="S1007" s="5">
        <v>0</v>
      </c>
      <c r="T1007" s="5">
        <v>11000</v>
      </c>
      <c r="U1007" s="5">
        <v>111000</v>
      </c>
      <c r="V1007" s="5"/>
      <c r="W1007" s="5" t="s">
        <v>36</v>
      </c>
      <c r="X1007" s="5" t="s">
        <v>83</v>
      </c>
      <c r="Z1007" s="5" t="s">
        <v>4816</v>
      </c>
      <c r="AA1007" s="5" t="s">
        <v>69</v>
      </c>
      <c r="AC1007" s="8" t="str">
        <f>HYPERLINK("https://drive.google.com/file/d/1NyIoj7AWzJAFeqCAajobDcow6nCnZoD7/view?usp=drivesdk", "Abrir_Factura")</f>
        <v>Abrir_Factura</v>
      </c>
      <c r="AD1007" s="9">
        <v>46021.43105324074</v>
      </c>
    </row>
    <row r="1008" spans="1:30" ht="12.5">
      <c r="A1008" s="4">
        <v>46021.424000023151</v>
      </c>
      <c r="B1008" s="5">
        <v>90745</v>
      </c>
      <c r="C1008" s="5">
        <v>1001888981</v>
      </c>
      <c r="D1008" s="5" t="s">
        <v>967</v>
      </c>
      <c r="F1008" s="5" t="s">
        <v>4817</v>
      </c>
      <c r="H1008" s="5">
        <v>573226471069</v>
      </c>
      <c r="J1008" s="5" t="s">
        <v>4818</v>
      </c>
      <c r="K1008" s="5" t="s">
        <v>229</v>
      </c>
      <c r="L1008" s="5" t="s">
        <v>4819</v>
      </c>
      <c r="M1008" s="5">
        <v>3022453560</v>
      </c>
      <c r="N1008" s="6">
        <v>46021</v>
      </c>
      <c r="O1008" s="7">
        <v>0.95833333333333337</v>
      </c>
      <c r="P1008" s="5">
        <v>1</v>
      </c>
      <c r="Q1008" s="5" t="s">
        <v>42</v>
      </c>
      <c r="R1008" s="5">
        <v>70000</v>
      </c>
      <c r="S1008" s="5">
        <v>0</v>
      </c>
      <c r="T1008" s="5">
        <v>11000</v>
      </c>
      <c r="U1008" s="5">
        <v>81000</v>
      </c>
      <c r="V1008" s="5" t="s">
        <v>4820</v>
      </c>
      <c r="W1008" s="5" t="s">
        <v>36</v>
      </c>
      <c r="X1008" s="5" t="s">
        <v>83</v>
      </c>
      <c r="Z1008" s="5" t="s">
        <v>4821</v>
      </c>
      <c r="AA1008" s="5" t="s">
        <v>69</v>
      </c>
      <c r="AB1008" s="5" t="s">
        <v>4822</v>
      </c>
      <c r="AC1008" s="8" t="str">
        <f>HYPERLINK("https://drive.google.com/file/d/1CZrYGe3LOJMt3PudqB6nNnv0vOV-7F9D/view?usp=drivesdk", "Abrir_Factura")</f>
        <v>Abrir_Factura</v>
      </c>
      <c r="AD1008" s="9">
        <v>46021.431828703702</v>
      </c>
    </row>
    <row r="1009" spans="1:30" ht="12.5">
      <c r="A1009" s="4">
        <v>46021.434307835647</v>
      </c>
      <c r="B1009" s="5">
        <v>90746</v>
      </c>
      <c r="C1009" s="5">
        <v>1005660547</v>
      </c>
      <c r="D1009" s="5" t="s">
        <v>1928</v>
      </c>
      <c r="F1009" s="5" t="s">
        <v>4823</v>
      </c>
      <c r="H1009" s="5" t="s">
        <v>4824</v>
      </c>
      <c r="J1009" s="5" t="s">
        <v>4825</v>
      </c>
      <c r="K1009" s="5" t="s">
        <v>249</v>
      </c>
      <c r="L1009" s="5" t="s">
        <v>4826</v>
      </c>
      <c r="M1009" s="5">
        <v>3137545246</v>
      </c>
      <c r="N1009" s="6">
        <v>46021</v>
      </c>
      <c r="O1009" s="7">
        <v>0.4826388888888889</v>
      </c>
      <c r="P1009" s="5">
        <v>1</v>
      </c>
      <c r="Q1009" s="5" t="s">
        <v>375</v>
      </c>
      <c r="R1009" s="5">
        <v>70000</v>
      </c>
      <c r="S1009" s="5">
        <v>0</v>
      </c>
      <c r="T1009" s="5">
        <v>10000</v>
      </c>
      <c r="U1009" s="5">
        <v>80000</v>
      </c>
      <c r="V1009" s="5" t="s">
        <v>4827</v>
      </c>
      <c r="W1009" s="5" t="s">
        <v>36</v>
      </c>
      <c r="X1009" s="5" t="s">
        <v>83</v>
      </c>
      <c r="Z1009" s="5" t="s">
        <v>4828</v>
      </c>
      <c r="AA1009" s="5" t="s">
        <v>44</v>
      </c>
      <c r="AC1009" s="8" t="str">
        <f>HYPERLINK("https://drive.google.com/file/d/1lPsbJeNcD7_Sw7seszLu-81JGrzj1OCS/view?usp=drivesdk", "Abrir_Factura")</f>
        <v>Abrir_Factura</v>
      </c>
      <c r="AD1009" s="9">
        <v>46021.438564814816</v>
      </c>
    </row>
    <row r="1010" spans="1:30" ht="12.5">
      <c r="A1010" s="4">
        <v>46021.447947291672</v>
      </c>
      <c r="B1010" s="5">
        <v>90747</v>
      </c>
      <c r="C1010" s="5">
        <v>1044216474</v>
      </c>
      <c r="D1010" s="5" t="s">
        <v>4829</v>
      </c>
      <c r="F1010" s="5" t="s">
        <v>4830</v>
      </c>
      <c r="H1010" s="5">
        <v>573008060488</v>
      </c>
      <c r="J1010" s="5" t="s">
        <v>4831</v>
      </c>
      <c r="K1010" s="5" t="s">
        <v>1187</v>
      </c>
      <c r="L1010" s="5" t="s">
        <v>4832</v>
      </c>
      <c r="M1010" s="5">
        <v>3008060488</v>
      </c>
      <c r="N1010" s="6">
        <v>46021</v>
      </c>
      <c r="O1010" s="7">
        <v>1.8749999999999999E-2</v>
      </c>
      <c r="P1010" s="5">
        <v>1</v>
      </c>
      <c r="Q1010" s="5" t="s">
        <v>112</v>
      </c>
      <c r="R1010" s="5">
        <v>260000</v>
      </c>
      <c r="S1010" s="5">
        <v>0</v>
      </c>
      <c r="T1010" s="5">
        <v>25000</v>
      </c>
      <c r="U1010" s="5">
        <v>285000</v>
      </c>
      <c r="V1010" s="5" t="s">
        <v>4833</v>
      </c>
      <c r="W1010" s="5" t="s">
        <v>36</v>
      </c>
      <c r="X1010" s="5" t="s">
        <v>180</v>
      </c>
      <c r="Z1010" s="5" t="s">
        <v>4834</v>
      </c>
      <c r="AA1010" s="5" t="s">
        <v>69</v>
      </c>
      <c r="AC1010" s="8" t="str">
        <f>HYPERLINK("https://drive.google.com/file/d/1OknR-St09lly_19GiQDo8Zxrx_R_q2mA/view?usp=drivesdk", "Abrir_Factura")</f>
        <v>Abrir_Factura</v>
      </c>
      <c r="AD1010" s="9">
        <v>46021.457905092589</v>
      </c>
    </row>
    <row r="1011" spans="1:30" ht="12.5">
      <c r="A1011" s="4">
        <v>46021.485633298609</v>
      </c>
      <c r="B1011" s="5">
        <v>90748</v>
      </c>
      <c r="C1011" s="5">
        <v>22585584</v>
      </c>
      <c r="D1011" s="5" t="s">
        <v>3398</v>
      </c>
      <c r="F1011" s="5" t="s">
        <v>4835</v>
      </c>
      <c r="H1011" s="5">
        <v>4400450000000000</v>
      </c>
      <c r="J1011" s="5" t="s">
        <v>4836</v>
      </c>
      <c r="K1011" s="5" t="s">
        <v>110</v>
      </c>
      <c r="L1011" s="5" t="s">
        <v>4837</v>
      </c>
      <c r="M1011" s="5">
        <v>3205389039</v>
      </c>
      <c r="N1011" s="6">
        <v>46021</v>
      </c>
      <c r="O1011" s="7">
        <v>0.58333333333333337</v>
      </c>
      <c r="P1011" s="5">
        <v>1</v>
      </c>
      <c r="Q1011" s="5" t="s">
        <v>42</v>
      </c>
      <c r="R1011" s="5">
        <v>0</v>
      </c>
      <c r="S1011" s="5">
        <v>0</v>
      </c>
      <c r="T1011" s="5">
        <v>6000</v>
      </c>
      <c r="U1011" s="5">
        <v>6000</v>
      </c>
      <c r="V1011" s="5" t="s">
        <v>4838</v>
      </c>
      <c r="W1011" s="5" t="s">
        <v>36</v>
      </c>
      <c r="X1011" s="5" t="s">
        <v>2636</v>
      </c>
      <c r="AA1011" s="5" t="s">
        <v>1717</v>
      </c>
      <c r="AB1011" s="5" t="s">
        <v>4839</v>
      </c>
      <c r="AC1011" s="8" t="str">
        <f>HYPERLINK("https://drive.google.com/file/d/1-77ihR1drVJm_QAW4lb8BtbAKN-F8Zkr/view?usp=drivesdk", "Abrir_Factura")</f>
        <v>Abrir_Factura</v>
      </c>
      <c r="AD1011" s="9">
        <v>46021.49050925926</v>
      </c>
    </row>
    <row r="1012" spans="1:30" ht="12.5">
      <c r="A1012" s="4">
        <v>46021.492786527779</v>
      </c>
      <c r="B1012" s="5">
        <v>90749</v>
      </c>
      <c r="C1012" s="5">
        <v>72192891</v>
      </c>
      <c r="D1012" s="5" t="s">
        <v>4840</v>
      </c>
      <c r="F1012" s="5" t="s">
        <v>116</v>
      </c>
      <c r="H1012" s="5">
        <v>573004917332</v>
      </c>
      <c r="J1012" s="5" t="s">
        <v>4841</v>
      </c>
      <c r="K1012" s="5" t="s">
        <v>33</v>
      </c>
      <c r="L1012" s="5" t="s">
        <v>34</v>
      </c>
      <c r="M1012" s="5">
        <v>3004917332</v>
      </c>
      <c r="N1012" s="6">
        <v>46021</v>
      </c>
      <c r="O1012" s="7">
        <v>0</v>
      </c>
      <c r="P1012" s="5">
        <v>1</v>
      </c>
      <c r="Q1012" s="5" t="s">
        <v>361</v>
      </c>
      <c r="R1012" s="5">
        <v>200000</v>
      </c>
      <c r="S1012" s="5">
        <v>0</v>
      </c>
      <c r="T1012" s="5">
        <v>0</v>
      </c>
      <c r="U1012" s="5">
        <v>200000</v>
      </c>
      <c r="V1012" s="5"/>
      <c r="W1012" s="5" t="s">
        <v>36</v>
      </c>
      <c r="X1012" s="5" t="s">
        <v>2636</v>
      </c>
      <c r="AA1012" s="5" t="s">
        <v>1717</v>
      </c>
      <c r="AC1012" s="8" t="str">
        <f>HYPERLINK("https://drive.google.com/file/d/1kFuMnWS9K7wEHaPeqFHMTLPugJd2jv12/view?usp=drivesdk", "Abrir_Factura")</f>
        <v>Abrir_Factura</v>
      </c>
      <c r="AD1012" s="9">
        <v>46021.494085648148</v>
      </c>
    </row>
    <row r="1013" spans="1:30" ht="12.5">
      <c r="A1013" s="4">
        <v>46021.469912615736</v>
      </c>
      <c r="B1013" s="5">
        <v>90750</v>
      </c>
      <c r="C1013" s="5">
        <v>1048264683</v>
      </c>
      <c r="D1013" s="5" t="s">
        <v>856</v>
      </c>
      <c r="F1013" s="5" t="s">
        <v>4842</v>
      </c>
      <c r="H1013" s="5">
        <v>573042985233</v>
      </c>
      <c r="J1013" s="5" t="s">
        <v>4843</v>
      </c>
      <c r="K1013" s="5" t="s">
        <v>3276</v>
      </c>
      <c r="L1013" s="5" t="s">
        <v>4844</v>
      </c>
      <c r="M1013" s="5">
        <v>3023584769</v>
      </c>
      <c r="N1013" s="6">
        <v>46021</v>
      </c>
      <c r="O1013" s="7">
        <v>0.625</v>
      </c>
      <c r="P1013" s="5">
        <v>1</v>
      </c>
      <c r="Q1013" s="5" t="s">
        <v>210</v>
      </c>
      <c r="R1013" s="5">
        <v>150000</v>
      </c>
      <c r="S1013" s="5">
        <v>0</v>
      </c>
      <c r="T1013" s="5">
        <v>30000</v>
      </c>
      <c r="U1013" s="5">
        <v>180000</v>
      </c>
      <c r="V1013" s="5" t="s">
        <v>4845</v>
      </c>
      <c r="W1013" s="5" t="s">
        <v>36</v>
      </c>
      <c r="X1013" s="5" t="s">
        <v>83</v>
      </c>
      <c r="Z1013" s="5" t="s">
        <v>4846</v>
      </c>
      <c r="AA1013" s="5" t="s">
        <v>44</v>
      </c>
      <c r="AC1013" s="8" t="str">
        <f>HYPERLINK("https://drive.google.com/file/d/1dXn_21XZAo16V3GZmmV3JGg58VRmKlJi/view?usp=drivesdk", "Abrir_Factura")</f>
        <v>Abrir_Factura</v>
      </c>
      <c r="AD1013" s="9">
        <v>46021.494675925926</v>
      </c>
    </row>
    <row r="1014" spans="1:30" ht="12.5">
      <c r="A1014" s="4">
        <v>46021.507836944445</v>
      </c>
      <c r="B1014" s="5">
        <v>90751</v>
      </c>
      <c r="C1014" s="5">
        <v>1140885725</v>
      </c>
      <c r="D1014" s="5" t="s">
        <v>2836</v>
      </c>
      <c r="F1014" s="5" t="s">
        <v>4847</v>
      </c>
      <c r="H1014" s="5">
        <v>573026090941</v>
      </c>
      <c r="J1014" s="5" t="s">
        <v>4848</v>
      </c>
      <c r="K1014" s="5" t="s">
        <v>33</v>
      </c>
      <c r="L1014" s="5" t="s">
        <v>34</v>
      </c>
      <c r="M1014" s="5">
        <v>3026090941</v>
      </c>
      <c r="N1014" s="6">
        <v>46021</v>
      </c>
      <c r="O1014" s="7">
        <v>1.3888888888888888E-2</v>
      </c>
      <c r="P1014" s="5">
        <v>1</v>
      </c>
      <c r="Q1014" s="5" t="s">
        <v>330</v>
      </c>
      <c r="R1014" s="5">
        <v>180000</v>
      </c>
      <c r="S1014" s="5">
        <v>0</v>
      </c>
      <c r="T1014" s="5">
        <v>0</v>
      </c>
      <c r="U1014" s="5">
        <v>180000</v>
      </c>
      <c r="V1014" s="5"/>
      <c r="W1014" s="5" t="s">
        <v>36</v>
      </c>
      <c r="X1014" s="5" t="s">
        <v>2636</v>
      </c>
      <c r="AA1014" s="5" t="s">
        <v>1717</v>
      </c>
      <c r="AB1014" s="5" t="s">
        <v>4849</v>
      </c>
      <c r="AC1014" s="8" t="str">
        <f>HYPERLINK("https://drive.google.com/file/d/1TiDEKosyLwiUQLqxoo7Yoiq6wPhOnfvf/view?usp=drivesdk", "Abrir_Factura")</f>
        <v>Abrir_Factura</v>
      </c>
      <c r="AD1014" s="9">
        <v>46021.509733796294</v>
      </c>
    </row>
    <row r="1015" spans="1:30" ht="12.5">
      <c r="A1015" s="4">
        <v>46021.511635787036</v>
      </c>
      <c r="B1015" s="5">
        <v>90752</v>
      </c>
      <c r="C1015" s="5">
        <v>1140872558</v>
      </c>
      <c r="D1015" s="5" t="s">
        <v>1698</v>
      </c>
      <c r="F1015" s="5" t="s">
        <v>298</v>
      </c>
      <c r="H1015" s="5">
        <v>573013575380</v>
      </c>
      <c r="J1015" s="5" t="s">
        <v>4850</v>
      </c>
      <c r="K1015" s="5" t="s">
        <v>33</v>
      </c>
      <c r="L1015" s="5" t="s">
        <v>34</v>
      </c>
      <c r="M1015" s="5">
        <v>3013575380</v>
      </c>
      <c r="N1015" s="6">
        <v>46021</v>
      </c>
      <c r="O1015" s="7">
        <v>0.55694444444444446</v>
      </c>
      <c r="P1015" s="5">
        <v>1</v>
      </c>
      <c r="Q1015" s="5" t="s">
        <v>330</v>
      </c>
      <c r="R1015" s="5">
        <v>180000</v>
      </c>
      <c r="S1015" s="5">
        <v>0</v>
      </c>
      <c r="T1015" s="5">
        <v>0</v>
      </c>
      <c r="U1015" s="5">
        <v>180000</v>
      </c>
      <c r="V1015" s="5"/>
      <c r="W1015" s="5" t="s">
        <v>36</v>
      </c>
      <c r="X1015" s="5" t="s">
        <v>2636</v>
      </c>
      <c r="AA1015" s="5" t="s">
        <v>1717</v>
      </c>
      <c r="AC1015" s="8" t="str">
        <f>HYPERLINK("https://drive.google.com/file/d/1sORPU8dS89rPgtf1545JVZ15nWAso5mT/view?usp=drivesdk", "Abrir_Factura")</f>
        <v>Abrir_Factura</v>
      </c>
      <c r="AD1015" s="9">
        <v>46021.513009259259</v>
      </c>
    </row>
    <row r="1016" spans="1:30" ht="12.5">
      <c r="A1016" s="4">
        <v>46021.506642164357</v>
      </c>
      <c r="B1016" s="5">
        <v>90753</v>
      </c>
      <c r="C1016" s="5">
        <v>80852240</v>
      </c>
      <c r="D1016" s="5" t="s">
        <v>2545</v>
      </c>
      <c r="F1016" s="5" t="s">
        <v>4851</v>
      </c>
      <c r="H1016" s="5">
        <v>573017925741</v>
      </c>
      <c r="J1016" s="5" t="s">
        <v>4852</v>
      </c>
      <c r="K1016" s="5" t="s">
        <v>328</v>
      </c>
      <c r="L1016" s="5" t="s">
        <v>4853</v>
      </c>
      <c r="M1016" s="5">
        <v>3042555299</v>
      </c>
      <c r="N1016" s="6">
        <v>46021</v>
      </c>
      <c r="O1016" s="7">
        <v>0</v>
      </c>
      <c r="P1016" s="5">
        <v>1</v>
      </c>
      <c r="Q1016" s="5" t="s">
        <v>50</v>
      </c>
      <c r="R1016" s="5">
        <v>200000</v>
      </c>
      <c r="S1016" s="5">
        <v>0</v>
      </c>
      <c r="T1016" s="5">
        <v>12000</v>
      </c>
      <c r="U1016" s="5">
        <v>212000</v>
      </c>
      <c r="V1016" s="5" t="s">
        <v>4854</v>
      </c>
      <c r="W1016" s="5" t="s">
        <v>36</v>
      </c>
      <c r="X1016" s="5" t="s">
        <v>83</v>
      </c>
      <c r="Z1016" s="5" t="s">
        <v>4855</v>
      </c>
      <c r="AA1016" s="5" t="s">
        <v>69</v>
      </c>
      <c r="AC1016" s="8" t="str">
        <f>HYPERLINK("https://drive.google.com/file/d/18BCRAh87mPQQ77dkTUsDRGZxGyaNNzMp/view?usp=drivesdk", "Abrir_Factura")</f>
        <v>Abrir_Factura</v>
      </c>
      <c r="AD1016" s="9">
        <v>46021.520833333336</v>
      </c>
    </row>
    <row r="1017" spans="1:30" ht="12.5">
      <c r="A1017" s="4">
        <v>46021.488579062498</v>
      </c>
      <c r="B1017" s="5">
        <v>90754</v>
      </c>
      <c r="C1017" s="5">
        <v>1042244592</v>
      </c>
      <c r="D1017" s="5" t="s">
        <v>4856</v>
      </c>
      <c r="F1017" s="5" t="s">
        <v>4857</v>
      </c>
      <c r="H1017" s="5">
        <v>573222218451</v>
      </c>
      <c r="J1017" s="5" t="s">
        <v>4858</v>
      </c>
      <c r="K1017" s="5" t="s">
        <v>405</v>
      </c>
      <c r="L1017" s="5" t="s">
        <v>4859</v>
      </c>
      <c r="M1017" s="5">
        <v>3222218451</v>
      </c>
      <c r="N1017" s="6">
        <v>46021</v>
      </c>
      <c r="O1017" s="7">
        <v>0.58333333333333337</v>
      </c>
      <c r="P1017" s="5">
        <v>1</v>
      </c>
      <c r="Q1017" s="5" t="s">
        <v>4860</v>
      </c>
      <c r="R1017" s="5">
        <v>140000</v>
      </c>
      <c r="S1017" s="5">
        <v>0</v>
      </c>
      <c r="T1017" s="5">
        <v>30000</v>
      </c>
      <c r="U1017" s="5">
        <v>170000</v>
      </c>
      <c r="V1017" s="5" t="s">
        <v>4861</v>
      </c>
      <c r="W1017" s="5" t="s">
        <v>36</v>
      </c>
      <c r="X1017" s="5" t="s">
        <v>1937</v>
      </c>
      <c r="Z1017" s="5" t="s">
        <v>4862</v>
      </c>
      <c r="AA1017" s="5" t="s">
        <v>69</v>
      </c>
      <c r="AB1017" s="5" t="s">
        <v>4863</v>
      </c>
      <c r="AC1017" s="8" t="str">
        <f>HYPERLINK("https://drive.google.com/file/d/19AhCCDnzlnn9nqWvPEWOPggI0eEAMHPG/view?usp=drivesdk", "Abrir_Factura")</f>
        <v>Abrir_Factura</v>
      </c>
      <c r="AD1017" s="9">
        <v>46021.527592592596</v>
      </c>
    </row>
    <row r="1018" spans="1:30" ht="12.5">
      <c r="A1018" s="4">
        <v>46021.541758865744</v>
      </c>
      <c r="B1018" s="5">
        <v>90755</v>
      </c>
      <c r="C1018" s="5">
        <v>9016614759</v>
      </c>
      <c r="D1018" s="5" t="s">
        <v>4864</v>
      </c>
      <c r="F1018" s="5" t="s">
        <v>4865</v>
      </c>
      <c r="H1018" s="5">
        <v>573106321533</v>
      </c>
      <c r="J1018" s="5" t="s">
        <v>4866</v>
      </c>
      <c r="K1018" s="5"/>
      <c r="L1018" s="5" t="s">
        <v>4867</v>
      </c>
      <c r="M1018" s="5">
        <v>3106321533</v>
      </c>
      <c r="N1018" s="6">
        <v>46021</v>
      </c>
      <c r="O1018" s="7">
        <v>0.58333333333333337</v>
      </c>
      <c r="P1018" s="5">
        <v>1</v>
      </c>
      <c r="Q1018" s="5" t="s">
        <v>239</v>
      </c>
      <c r="R1018" s="5">
        <v>380000</v>
      </c>
      <c r="S1018" s="5">
        <v>72200</v>
      </c>
      <c r="T1018" s="5"/>
      <c r="U1018" s="5">
        <v>452200</v>
      </c>
      <c r="V1018" s="5" t="s">
        <v>4868</v>
      </c>
      <c r="W1018" s="5" t="s">
        <v>36</v>
      </c>
      <c r="X1018" s="5" t="s">
        <v>67</v>
      </c>
      <c r="AA1018" s="5" t="s">
        <v>332</v>
      </c>
      <c r="AB1018" s="5"/>
      <c r="AC1018" s="8" t="str">
        <f>HYPERLINK("https://drive.google.com/file/d/13TcA3nIIPwiV6GyAlX9YU1fJ_n1fZ8uy/view?usp=drivesdk", "Abrir_Factura")</f>
        <v>Abrir_Factura</v>
      </c>
      <c r="AD1018" s="9">
        <v>46021.742291666669</v>
      </c>
    </row>
    <row r="1019" spans="1:30" ht="12.5">
      <c r="A1019" s="4">
        <v>46021.552351134262</v>
      </c>
      <c r="B1019" s="5">
        <v>90756</v>
      </c>
      <c r="C1019" s="5">
        <v>57449646</v>
      </c>
      <c r="D1019" s="5" t="s">
        <v>4869</v>
      </c>
      <c r="F1019" s="5" t="s">
        <v>4870</v>
      </c>
      <c r="H1019" s="5">
        <v>573023275940</v>
      </c>
      <c r="J1019" s="5" t="s">
        <v>4871</v>
      </c>
      <c r="K1019" s="5" t="s">
        <v>229</v>
      </c>
      <c r="L1019" s="5" t="s">
        <v>4872</v>
      </c>
      <c r="M1019" s="5">
        <v>3023273940</v>
      </c>
      <c r="N1019" s="6">
        <v>46022</v>
      </c>
      <c r="O1019" s="7">
        <v>0.625</v>
      </c>
      <c r="P1019" s="5">
        <v>1</v>
      </c>
      <c r="Q1019" s="5" t="s">
        <v>294</v>
      </c>
      <c r="R1019" s="5">
        <v>160000</v>
      </c>
      <c r="S1019" s="5">
        <v>0</v>
      </c>
      <c r="T1019" s="5">
        <v>11000</v>
      </c>
      <c r="U1019" s="5">
        <v>171000</v>
      </c>
      <c r="V1019" s="5" t="s">
        <v>4873</v>
      </c>
      <c r="W1019" s="5" t="s">
        <v>36</v>
      </c>
      <c r="X1019" s="5" t="s">
        <v>83</v>
      </c>
      <c r="AA1019" s="5" t="s">
        <v>44</v>
      </c>
      <c r="AC1019" s="8" t="str">
        <f>HYPERLINK("https://drive.google.com/file/d/1z7be5otW-Ap-EZLOQmf2U2uVcHZ7YM84/view?usp=drivesdk", "Abrir_Factura")</f>
        <v>Abrir_Factura</v>
      </c>
      <c r="AD1019" s="9">
        <v>46021.568298611113</v>
      </c>
    </row>
    <row r="1020" spans="1:30" ht="12.5">
      <c r="A1020" s="4">
        <v>46021.584256423608</v>
      </c>
      <c r="B1020" s="5">
        <v>90757</v>
      </c>
      <c r="C1020" s="5">
        <v>32668592</v>
      </c>
      <c r="D1020" s="5" t="s">
        <v>4874</v>
      </c>
      <c r="F1020" s="5" t="s">
        <v>4875</v>
      </c>
      <c r="H1020" s="5">
        <v>573185159146</v>
      </c>
      <c r="J1020" s="5" t="s">
        <v>4876</v>
      </c>
      <c r="K1020" s="5" t="s">
        <v>161</v>
      </c>
      <c r="L1020" s="5" t="s">
        <v>4877</v>
      </c>
      <c r="M1020" s="5">
        <v>3185159146</v>
      </c>
      <c r="N1020" s="6">
        <v>46021</v>
      </c>
      <c r="O1020" s="7">
        <v>0.66666666666666663</v>
      </c>
      <c r="P1020" s="5">
        <v>1</v>
      </c>
      <c r="Q1020" s="5" t="s">
        <v>4878</v>
      </c>
      <c r="R1020" s="5">
        <v>180000</v>
      </c>
      <c r="S1020" s="5">
        <v>0</v>
      </c>
      <c r="T1020" s="5">
        <v>8000</v>
      </c>
      <c r="U1020" s="5">
        <v>188000</v>
      </c>
      <c r="V1020" s="5" t="s">
        <v>4879</v>
      </c>
      <c r="W1020" s="5" t="s">
        <v>36</v>
      </c>
      <c r="X1020" s="5" t="s">
        <v>83</v>
      </c>
      <c r="AA1020" s="5" t="s">
        <v>69</v>
      </c>
      <c r="AB1020" s="5" t="s">
        <v>4880</v>
      </c>
      <c r="AC1020" s="8" t="str">
        <f>HYPERLINK("https://drive.google.com/file/d/1ETThLyKwVq8mP_OlVoazsRAB_sXbCM1r/view?usp=drivesdk", "Abrir_Factura")</f>
        <v>Abrir_Factura</v>
      </c>
      <c r="AD1020" s="9">
        <v>46021.593229166669</v>
      </c>
    </row>
    <row r="1021" spans="1:30" ht="12.5">
      <c r="A1021" s="4">
        <v>46021.569422858796</v>
      </c>
      <c r="B1021" s="5">
        <v>90758</v>
      </c>
      <c r="C1021" s="5">
        <v>1001934532</v>
      </c>
      <c r="D1021" s="5" t="s">
        <v>4881</v>
      </c>
      <c r="F1021" s="5" t="s">
        <v>583</v>
      </c>
      <c r="H1021" s="5">
        <v>573105999160</v>
      </c>
      <c r="J1021" s="5" t="s">
        <v>4882</v>
      </c>
      <c r="K1021" s="5" t="s">
        <v>4883</v>
      </c>
      <c r="L1021" s="5" t="s">
        <v>4884</v>
      </c>
      <c r="M1021" s="5">
        <v>3163568025</v>
      </c>
      <c r="N1021" s="6">
        <v>46022</v>
      </c>
      <c r="O1021" s="7">
        <v>0.34027777777777779</v>
      </c>
      <c r="P1021" s="5">
        <v>1</v>
      </c>
      <c r="Q1021" s="5" t="s">
        <v>370</v>
      </c>
      <c r="R1021" s="5">
        <v>260000</v>
      </c>
      <c r="S1021" s="5">
        <v>0</v>
      </c>
      <c r="T1021" s="5">
        <v>25000</v>
      </c>
      <c r="U1021" s="5">
        <v>285000</v>
      </c>
      <c r="V1021" s="5" t="s">
        <v>4885</v>
      </c>
      <c r="W1021" s="5" t="s">
        <v>36</v>
      </c>
      <c r="X1021" s="5" t="s">
        <v>83</v>
      </c>
      <c r="Z1021" s="5" t="s">
        <v>310</v>
      </c>
      <c r="AA1021" s="5" t="s">
        <v>69</v>
      </c>
      <c r="AB1021" s="5" t="s">
        <v>4886</v>
      </c>
      <c r="AC1021" s="8" t="str">
        <f>HYPERLINK("https://drive.google.com/file/d/1vyT_7_afgljXxUxLNyPPkBe1f4lOgqcv/view?usp=drivesdk", "Abrir_Factura")</f>
        <v>Abrir_Factura</v>
      </c>
      <c r="AD1021" s="9">
        <v>46021.611875000002</v>
      </c>
    </row>
    <row r="1022" spans="1:30" ht="12.5">
      <c r="A1022" s="4">
        <v>46021.610543750001</v>
      </c>
      <c r="B1022" s="5">
        <v>90759</v>
      </c>
      <c r="C1022" s="5">
        <v>1002157561</v>
      </c>
      <c r="D1022" s="5" t="s">
        <v>4887</v>
      </c>
      <c r="F1022" s="5" t="s">
        <v>2423</v>
      </c>
      <c r="H1022" s="5">
        <v>573008907262</v>
      </c>
      <c r="J1022" s="5" t="s">
        <v>100</v>
      </c>
      <c r="K1022" s="5" t="s">
        <v>892</v>
      </c>
      <c r="L1022" s="5" t="s">
        <v>4888</v>
      </c>
      <c r="M1022" s="5">
        <v>3013021116</v>
      </c>
      <c r="N1022" s="6">
        <v>46021</v>
      </c>
      <c r="O1022" s="7">
        <v>0.64722222222222225</v>
      </c>
      <c r="P1022" s="5">
        <v>1</v>
      </c>
      <c r="Q1022" s="5" t="s">
        <v>375</v>
      </c>
      <c r="R1022" s="5">
        <v>70000</v>
      </c>
      <c r="S1022" s="5">
        <v>0</v>
      </c>
      <c r="T1022" s="5">
        <v>10000</v>
      </c>
      <c r="U1022" s="5">
        <v>80000</v>
      </c>
      <c r="V1022" s="5" t="s">
        <v>4889</v>
      </c>
      <c r="W1022" s="5" t="s">
        <v>36</v>
      </c>
      <c r="X1022" s="5" t="s">
        <v>83</v>
      </c>
      <c r="Z1022" s="5" t="s">
        <v>4890</v>
      </c>
      <c r="AA1022" s="5" t="s">
        <v>69</v>
      </c>
      <c r="AC1022" s="8" t="str">
        <f>HYPERLINK("https://drive.google.com/file/d/1Jr4jF10uncY3ntrTln1OCCcMbnzprQC0/view?usp=drivesdk", "Abrir_Factura")</f>
        <v>Abrir_Factura</v>
      </c>
      <c r="AD1022" s="9">
        <v>46021.621053240742</v>
      </c>
    </row>
    <row r="1023" spans="1:30" ht="12.5">
      <c r="A1023" s="4">
        <v>46021.669017349537</v>
      </c>
      <c r="B1023" s="5">
        <v>90760</v>
      </c>
      <c r="C1023" s="5">
        <v>1002162815</v>
      </c>
      <c r="D1023" s="5" t="s">
        <v>4856</v>
      </c>
      <c r="F1023" s="5" t="s">
        <v>4891</v>
      </c>
      <c r="H1023" s="5">
        <v>573046167890</v>
      </c>
      <c r="J1023" s="5" t="s">
        <v>4892</v>
      </c>
      <c r="K1023" s="5" t="s">
        <v>892</v>
      </c>
      <c r="L1023" s="5" t="s">
        <v>4893</v>
      </c>
      <c r="M1023" s="5">
        <v>3046167890</v>
      </c>
      <c r="N1023" s="6">
        <v>46021</v>
      </c>
      <c r="O1023" s="7">
        <v>0.70833333333333337</v>
      </c>
      <c r="P1023" s="5">
        <v>1</v>
      </c>
      <c r="Q1023" s="5" t="s">
        <v>4894</v>
      </c>
      <c r="R1023" s="5">
        <v>190000</v>
      </c>
      <c r="S1023" s="5">
        <v>0</v>
      </c>
      <c r="T1023" s="5">
        <v>10000</v>
      </c>
      <c r="U1023" s="5">
        <v>200000</v>
      </c>
      <c r="V1023" s="5"/>
      <c r="W1023" s="5" t="s">
        <v>36</v>
      </c>
      <c r="X1023" s="5" t="s">
        <v>67</v>
      </c>
      <c r="Z1023" s="5" t="s">
        <v>4895</v>
      </c>
      <c r="AA1023" s="5" t="s">
        <v>44</v>
      </c>
      <c r="AB1023" s="5" t="s">
        <v>4896</v>
      </c>
      <c r="AC1023" s="8" t="str">
        <f>HYPERLINK("https://drive.google.com/file/d/1_aEhN3x-dakAdiS5_yqKU1gPvGURTF22/view?usp=drivesdk", "Abrir_Factura")</f>
        <v>Abrir_Factura</v>
      </c>
      <c r="AD1023" s="9">
        <v>46021.685624999998</v>
      </c>
    </row>
    <row r="1024" spans="1:30" ht="12.5">
      <c r="A1024" s="4">
        <v>46021.686555069449</v>
      </c>
      <c r="B1024" s="5">
        <v>90761</v>
      </c>
      <c r="C1024" s="5">
        <v>22584758</v>
      </c>
      <c r="D1024" s="5" t="s">
        <v>4897</v>
      </c>
      <c r="F1024" s="5" t="s">
        <v>4898</v>
      </c>
      <c r="H1024" s="5">
        <v>573106242990</v>
      </c>
      <c r="J1024" s="5" t="s">
        <v>4899</v>
      </c>
      <c r="K1024" s="5" t="s">
        <v>146</v>
      </c>
      <c r="L1024" s="5" t="s">
        <v>4900</v>
      </c>
      <c r="M1024" s="5">
        <v>3106242990</v>
      </c>
      <c r="N1024" s="6">
        <v>46022</v>
      </c>
      <c r="O1024" s="7">
        <v>0.41666666666666669</v>
      </c>
      <c r="P1024" s="5">
        <v>1</v>
      </c>
      <c r="Q1024" s="5" t="s">
        <v>42</v>
      </c>
      <c r="R1024" s="5">
        <v>155000</v>
      </c>
      <c r="S1024" s="5">
        <v>0</v>
      </c>
      <c r="T1024" s="5">
        <v>12000</v>
      </c>
      <c r="U1024" s="5">
        <v>167000</v>
      </c>
      <c r="V1024" s="5"/>
      <c r="W1024" s="5" t="s">
        <v>36</v>
      </c>
      <c r="X1024" s="5" t="s">
        <v>180</v>
      </c>
      <c r="AA1024" s="5" t="s">
        <v>1717</v>
      </c>
      <c r="AB1024" s="5" t="s">
        <v>4901</v>
      </c>
      <c r="AC1024" s="8" t="str">
        <f>HYPERLINK("https://drive.google.com/file/d/1k2hPvW6zA3tUBqtpNfb3uA7-lUUUFZy0/view?usp=drivesdk", "Abrir_Factura")</f>
        <v>Abrir_Factura</v>
      </c>
      <c r="AD1024" s="9">
        <v>46021.76121527778</v>
      </c>
    </row>
    <row r="1025" spans="1:30" ht="12.5">
      <c r="A1025" s="4">
        <v>46021.706723819443</v>
      </c>
      <c r="B1025" s="5">
        <v>90762</v>
      </c>
      <c r="C1025" s="5">
        <v>1002211741</v>
      </c>
      <c r="D1025" s="5" t="s">
        <v>2967</v>
      </c>
      <c r="F1025" s="5" t="s">
        <v>3467</v>
      </c>
      <c r="H1025" s="5">
        <v>575667005</v>
      </c>
      <c r="J1025" s="5" t="s">
        <v>4902</v>
      </c>
      <c r="K1025" s="5" t="s">
        <v>1047</v>
      </c>
      <c r="L1025" s="5" t="s">
        <v>4903</v>
      </c>
      <c r="M1025" s="5">
        <v>5667005</v>
      </c>
      <c r="N1025" s="6">
        <v>46021</v>
      </c>
      <c r="O1025" s="7">
        <v>0</v>
      </c>
      <c r="P1025" s="5">
        <v>1</v>
      </c>
      <c r="Q1025" s="5" t="s">
        <v>178</v>
      </c>
      <c r="R1025" s="5">
        <v>100000</v>
      </c>
      <c r="S1025" s="5">
        <v>0</v>
      </c>
      <c r="T1025" s="5">
        <v>15000</v>
      </c>
      <c r="U1025" s="5">
        <v>115000</v>
      </c>
      <c r="V1025" s="5"/>
      <c r="W1025" s="5" t="s">
        <v>36</v>
      </c>
      <c r="X1025" s="5" t="s">
        <v>2636</v>
      </c>
      <c r="AA1025" s="5" t="s">
        <v>1717</v>
      </c>
      <c r="AC1025" s="8" t="str">
        <f>HYPERLINK("https://drive.google.com/file/d/1P0STTnVLCa8nKvm3dXQf0BKTHn0qxQYg/view?usp=drivesdk", "Abrir_Factura")</f>
        <v>Abrir_Factura</v>
      </c>
      <c r="AD1025" s="9">
        <v>46021.760057870371</v>
      </c>
    </row>
    <row r="1026" spans="1:30" ht="12.5">
      <c r="A1026" s="4">
        <v>46021.708151493054</v>
      </c>
      <c r="B1026" s="5">
        <v>90763</v>
      </c>
      <c r="C1026" s="5">
        <v>32608060</v>
      </c>
      <c r="D1026" s="5" t="s">
        <v>4904</v>
      </c>
      <c r="F1026" s="5" t="s">
        <v>4905</v>
      </c>
      <c r="H1026" s="5">
        <v>573183607759</v>
      </c>
      <c r="J1026" s="5" t="s">
        <v>4906</v>
      </c>
      <c r="K1026" s="5" t="s">
        <v>33</v>
      </c>
      <c r="L1026" s="5" t="s">
        <v>34</v>
      </c>
      <c r="M1026" s="5" t="s">
        <v>25421</v>
      </c>
      <c r="N1026" s="6">
        <v>46021</v>
      </c>
      <c r="O1026" s="7">
        <v>0</v>
      </c>
      <c r="P1026" s="5">
        <v>1</v>
      </c>
      <c r="Q1026" s="5" t="s">
        <v>42</v>
      </c>
      <c r="R1026" s="5">
        <v>15000</v>
      </c>
      <c r="S1026" s="5">
        <v>0</v>
      </c>
      <c r="T1026" s="5">
        <v>0</v>
      </c>
      <c r="U1026" s="5">
        <v>15000</v>
      </c>
      <c r="V1026" s="5"/>
      <c r="W1026" s="5" t="s">
        <v>36</v>
      </c>
      <c r="X1026" s="5" t="s">
        <v>2636</v>
      </c>
      <c r="AA1026" s="5" t="s">
        <v>1717</v>
      </c>
      <c r="AB1026" s="5" t="s">
        <v>4907</v>
      </c>
      <c r="AC1026" s="8" t="str">
        <f>HYPERLINK("https://drive.google.com/file/d/1bscqQClgwmgO9e6sWkpprYWpSJRxx5Ep/view?usp=drivesdk", "Abrir_Factura")</f>
        <v>Abrir_Factura</v>
      </c>
      <c r="AD1026" s="9">
        <v>46021.709374999999</v>
      </c>
    </row>
    <row r="1027" spans="1:30" ht="12.5">
      <c r="A1027" s="4">
        <v>46021.724132731484</v>
      </c>
      <c r="B1027" s="5">
        <v>90764</v>
      </c>
      <c r="C1027" s="5">
        <v>32641128</v>
      </c>
      <c r="D1027" s="5" t="s">
        <v>4908</v>
      </c>
      <c r="F1027" s="5" t="s">
        <v>4909</v>
      </c>
      <c r="H1027" s="5">
        <v>573205420119</v>
      </c>
      <c r="J1027" s="5" t="s">
        <v>4910</v>
      </c>
      <c r="K1027" s="5" t="s">
        <v>73</v>
      </c>
      <c r="L1027" s="5" t="s">
        <v>4911</v>
      </c>
      <c r="M1027" s="5">
        <v>3205420119</v>
      </c>
      <c r="N1027" s="6">
        <v>46022</v>
      </c>
      <c r="O1027" s="7">
        <v>0.41666666666666669</v>
      </c>
      <c r="P1027" s="5">
        <v>1</v>
      </c>
      <c r="Q1027" s="5" t="s">
        <v>42</v>
      </c>
      <c r="R1027" s="5">
        <v>230000</v>
      </c>
      <c r="S1027" s="5">
        <v>0</v>
      </c>
      <c r="T1027" s="5">
        <v>8000</v>
      </c>
      <c r="U1027" s="5">
        <v>238000</v>
      </c>
      <c r="V1027" s="5"/>
      <c r="W1027" s="5" t="s">
        <v>36</v>
      </c>
      <c r="X1027" s="5" t="s">
        <v>43</v>
      </c>
      <c r="AA1027" s="5" t="s">
        <v>69</v>
      </c>
      <c r="AB1027" s="5" t="s">
        <v>4912</v>
      </c>
      <c r="AC1027" s="8" t="str">
        <f>HYPERLINK("https://drive.google.com/file/d/1E9fno0OjGDlFaDgZ4quREu1k9_5gwtQS/view?usp=drivesdk", "Abrir_Factura")</f>
        <v>Abrir_Factura</v>
      </c>
      <c r="AD1027" s="9">
        <v>46021.729004629633</v>
      </c>
    </row>
    <row r="1028" spans="1:30" ht="12.5">
      <c r="A1028" s="4">
        <v>46021.773998530094</v>
      </c>
      <c r="B1028" s="5">
        <v>90765</v>
      </c>
      <c r="C1028" s="5">
        <v>22516734</v>
      </c>
      <c r="D1028" s="5" t="s">
        <v>4913</v>
      </c>
      <c r="F1028" s="5" t="s">
        <v>1503</v>
      </c>
      <c r="H1028" s="5">
        <v>573013903481</v>
      </c>
      <c r="J1028" s="5" t="s">
        <v>4914</v>
      </c>
      <c r="K1028" s="5" t="s">
        <v>33</v>
      </c>
      <c r="L1028" s="5" t="s">
        <v>34</v>
      </c>
      <c r="M1028" s="5">
        <v>3013903481</v>
      </c>
      <c r="N1028" s="6">
        <v>46021</v>
      </c>
      <c r="O1028" s="7">
        <v>0</v>
      </c>
      <c r="P1028" s="5">
        <v>1</v>
      </c>
      <c r="Q1028" s="5" t="s">
        <v>42</v>
      </c>
      <c r="R1028" s="5">
        <v>39000</v>
      </c>
      <c r="S1028" s="5">
        <v>0</v>
      </c>
      <c r="T1028" s="5">
        <v>0</v>
      </c>
      <c r="U1028" s="5">
        <v>39000</v>
      </c>
      <c r="V1028" s="5"/>
      <c r="W1028" s="5" t="s">
        <v>36</v>
      </c>
      <c r="X1028" s="5" t="s">
        <v>2636</v>
      </c>
      <c r="AA1028" s="5" t="s">
        <v>1717</v>
      </c>
      <c r="AB1028" s="5" t="s">
        <v>525</v>
      </c>
      <c r="AC1028" s="8" t="str">
        <f>HYPERLINK("https://drive.google.com/file/d/1vxebjfgrthYMc1SE3dZntbN9NoV_3_k3/view?usp=drivesdk", "Abrir_Factura")</f>
        <v>Abrir_Factura</v>
      </c>
      <c r="AD1028" s="9">
        <v>46021.774606481478</v>
      </c>
    </row>
    <row r="1029" spans="1:30" ht="12.5">
      <c r="A1029" s="4">
        <v>46021.764100208333</v>
      </c>
      <c r="B1029" s="5">
        <v>90766</v>
      </c>
      <c r="C1029" s="5">
        <v>1001872894</v>
      </c>
      <c r="D1029" s="5" t="s">
        <v>4915</v>
      </c>
      <c r="F1029" s="5" t="s">
        <v>4916</v>
      </c>
      <c r="H1029" s="5">
        <v>573044284127</v>
      </c>
      <c r="J1029" s="5" t="s">
        <v>4917</v>
      </c>
      <c r="K1029" s="5" t="s">
        <v>2880</v>
      </c>
      <c r="L1029" s="5" t="s">
        <v>4918</v>
      </c>
      <c r="M1029" s="5">
        <v>3044284127</v>
      </c>
      <c r="N1029" s="6">
        <v>46022</v>
      </c>
      <c r="O1029" s="7">
        <v>0</v>
      </c>
      <c r="P1029" s="5">
        <v>1</v>
      </c>
      <c r="Q1029" s="5" t="s">
        <v>375</v>
      </c>
      <c r="R1029" s="5">
        <v>70000</v>
      </c>
      <c r="S1029" s="5">
        <v>0</v>
      </c>
      <c r="T1029" s="5">
        <v>25000</v>
      </c>
      <c r="U1029" s="5">
        <v>95000</v>
      </c>
      <c r="V1029" s="5" t="s">
        <v>4919</v>
      </c>
      <c r="W1029" s="5" t="s">
        <v>36</v>
      </c>
      <c r="X1029" s="5" t="s">
        <v>83</v>
      </c>
      <c r="Z1029" s="5" t="s">
        <v>4920</v>
      </c>
      <c r="AA1029" s="5" t="s">
        <v>69</v>
      </c>
      <c r="AB1029" s="5" t="s">
        <v>4921</v>
      </c>
      <c r="AC1029" s="8" t="str">
        <f>HYPERLINK("https://drive.google.com/file/d/1ED5fu3zelplYv8kHVxIK72hGlTeNqSOL/view?usp=drivesdk", "Abrir_Factura")</f>
        <v>Abrir_Factura</v>
      </c>
      <c r="AD1029" s="9">
        <v>46021.776712962965</v>
      </c>
    </row>
    <row r="1030" spans="1:30" ht="12.5">
      <c r="A1030" s="4">
        <v>46021.769456365742</v>
      </c>
      <c r="B1030" s="5">
        <v>90767</v>
      </c>
      <c r="C1030" s="5">
        <v>1020795472</v>
      </c>
      <c r="D1030" s="5" t="s">
        <v>698</v>
      </c>
      <c r="F1030" s="5" t="s">
        <v>1585</v>
      </c>
      <c r="H1030" s="5">
        <v>573165316328</v>
      </c>
      <c r="J1030" s="5" t="s">
        <v>4922</v>
      </c>
      <c r="K1030" s="5" t="s">
        <v>229</v>
      </c>
      <c r="L1030" s="5" t="s">
        <v>4923</v>
      </c>
      <c r="M1030" s="5" t="s">
        <v>25421</v>
      </c>
      <c r="N1030" s="6">
        <v>46022</v>
      </c>
      <c r="O1030" s="7">
        <v>0.375</v>
      </c>
      <c r="P1030" s="5">
        <v>1</v>
      </c>
      <c r="Q1030" s="5" t="s">
        <v>3248</v>
      </c>
      <c r="R1030" s="5">
        <v>350000</v>
      </c>
      <c r="S1030" s="5">
        <v>0</v>
      </c>
      <c r="T1030" s="5">
        <v>11000</v>
      </c>
      <c r="U1030" s="5">
        <v>361000</v>
      </c>
      <c r="V1030" s="5" t="s">
        <v>4924</v>
      </c>
      <c r="W1030" s="5" t="s">
        <v>36</v>
      </c>
      <c r="X1030" s="5" t="s">
        <v>83</v>
      </c>
      <c r="AA1030" s="5" t="s">
        <v>44</v>
      </c>
      <c r="AC1030" s="8" t="str">
        <f>HYPERLINK("https://drive.google.com/file/d/1zt3CO0DE0DNiOx5mEC8MTkHniAaykiL6/view?usp=drivesdk", "Abrir_Factura")</f>
        <v>Abrir_Factura</v>
      </c>
      <c r="AD1030" s="9">
        <v>46021.790625000001</v>
      </c>
    </row>
    <row r="1031" spans="1:30" ht="12.5">
      <c r="A1031" s="4">
        <v>46022.31930693287</v>
      </c>
      <c r="B1031" s="5">
        <v>90768</v>
      </c>
      <c r="C1031" s="5">
        <v>1101623020</v>
      </c>
      <c r="D1031" s="5" t="s">
        <v>4925</v>
      </c>
      <c r="F1031" s="5" t="s">
        <v>2368</v>
      </c>
      <c r="H1031" s="5">
        <v>573052891232</v>
      </c>
      <c r="J1031" s="5" t="s">
        <v>4926</v>
      </c>
      <c r="K1031" s="5" t="s">
        <v>33</v>
      </c>
      <c r="L1031" s="5" t="s">
        <v>34</v>
      </c>
      <c r="M1031" s="5">
        <v>3052891232</v>
      </c>
      <c r="N1031" s="6">
        <v>46022</v>
      </c>
      <c r="O1031" s="7">
        <v>0.39652777777777776</v>
      </c>
      <c r="P1031" s="5">
        <v>1</v>
      </c>
      <c r="Q1031" s="5" t="s">
        <v>89</v>
      </c>
      <c r="R1031" s="5">
        <v>150000</v>
      </c>
      <c r="S1031" s="5">
        <v>0</v>
      </c>
      <c r="T1031" s="5">
        <v>0</v>
      </c>
      <c r="U1031" s="5">
        <v>150000</v>
      </c>
      <c r="V1031" s="5" t="s">
        <v>4927</v>
      </c>
      <c r="W1031" s="5" t="s">
        <v>36</v>
      </c>
      <c r="X1031" s="5" t="s">
        <v>83</v>
      </c>
      <c r="Z1031" s="5" t="s">
        <v>4928</v>
      </c>
      <c r="AA1031" s="5" t="s">
        <v>69</v>
      </c>
      <c r="AC1031" s="8" t="str">
        <f>HYPERLINK("https://drive.google.com/file/d/1kHJSjh3RtMwMmLDs3DIzxTNmouqQzas_/view?usp=drivesdk", "Abrir_Factura")</f>
        <v>Abrir_Factura</v>
      </c>
      <c r="AD1031" s="9">
        <v>46022.340162037035</v>
      </c>
    </row>
    <row r="1032" spans="1:30" ht="12.5">
      <c r="A1032" s="4">
        <v>46022.369947754632</v>
      </c>
      <c r="B1032" s="5">
        <v>90769</v>
      </c>
      <c r="C1032" s="5">
        <v>1140821224</v>
      </c>
      <c r="D1032" s="5" t="s">
        <v>4929</v>
      </c>
      <c r="F1032" s="5" t="s">
        <v>4930</v>
      </c>
      <c r="H1032" s="5">
        <v>573005631561</v>
      </c>
      <c r="J1032" s="5" t="s">
        <v>4931</v>
      </c>
      <c r="K1032" s="5" t="s">
        <v>33</v>
      </c>
      <c r="L1032" s="5" t="s">
        <v>34</v>
      </c>
      <c r="M1032" s="5" t="s">
        <v>4932</v>
      </c>
      <c r="N1032" s="6">
        <v>46022</v>
      </c>
      <c r="O1032" s="7">
        <v>0.41666666666666669</v>
      </c>
      <c r="P1032" s="5">
        <v>1</v>
      </c>
      <c r="Q1032" s="5" t="s">
        <v>42</v>
      </c>
      <c r="R1032" s="5">
        <v>140000</v>
      </c>
      <c r="S1032" s="5">
        <v>0</v>
      </c>
      <c r="T1032" s="5">
        <v>0</v>
      </c>
      <c r="U1032" s="5">
        <v>140000</v>
      </c>
      <c r="V1032" s="5"/>
      <c r="W1032" s="5" t="s">
        <v>36</v>
      </c>
      <c r="X1032" s="5" t="s">
        <v>83</v>
      </c>
      <c r="AA1032" s="5" t="s">
        <v>44</v>
      </c>
      <c r="AB1032" s="5" t="s">
        <v>4933</v>
      </c>
      <c r="AC1032" s="8" t="str">
        <f>HYPERLINK("https://drive.google.com/file/d/1o1Yf_kGitESSM0BBsHnky6Tv2qwixt_G/view?usp=drivesdk", "Abrir_Factura")</f>
        <v>Abrir_Factura</v>
      </c>
      <c r="AD1032" s="9">
        <v>46022.374606481484</v>
      </c>
    </row>
    <row r="1033" spans="1:30" ht="12.5">
      <c r="A1033" s="4">
        <v>46022.373080648147</v>
      </c>
      <c r="B1033" s="5">
        <v>90770</v>
      </c>
      <c r="C1033" s="5">
        <v>1129574366</v>
      </c>
      <c r="D1033" s="5" t="s">
        <v>4934</v>
      </c>
      <c r="F1033" s="5" t="s">
        <v>583</v>
      </c>
      <c r="H1033" s="5">
        <v>573238135245</v>
      </c>
      <c r="J1033" s="5" t="s">
        <v>4935</v>
      </c>
      <c r="K1033" s="5" t="s">
        <v>63</v>
      </c>
      <c r="L1033" s="5" t="s">
        <v>4936</v>
      </c>
      <c r="M1033" s="5">
        <v>3238135245</v>
      </c>
      <c r="N1033" s="6">
        <v>46022</v>
      </c>
      <c r="O1033" s="7">
        <v>0.45833333333333331</v>
      </c>
      <c r="P1033" s="5">
        <v>1</v>
      </c>
      <c r="Q1033" s="5" t="s">
        <v>178</v>
      </c>
      <c r="R1033" s="5">
        <v>100000</v>
      </c>
      <c r="S1033" s="5">
        <v>0</v>
      </c>
      <c r="T1033" s="5">
        <v>15000</v>
      </c>
      <c r="U1033" s="5">
        <v>115000</v>
      </c>
      <c r="V1033" s="5" t="s">
        <v>4937</v>
      </c>
      <c r="W1033" s="5" t="s">
        <v>36</v>
      </c>
      <c r="X1033" s="5" t="s">
        <v>83</v>
      </c>
      <c r="Z1033" s="5" t="s">
        <v>4934</v>
      </c>
      <c r="AA1033" s="5" t="s">
        <v>69</v>
      </c>
      <c r="AC1033" s="8" t="str">
        <f>HYPERLINK("https://drive.google.com/file/d/1oRL8CwDmlSugdACZjjOVP3ZS1CW7TmqL/view?usp=drivesdk", "Abrir_Factura")</f>
        <v>Abrir_Factura</v>
      </c>
      <c r="AD1033" s="9">
        <v>46022.379340277781</v>
      </c>
    </row>
    <row r="1034" spans="1:30" ht="12.5">
      <c r="A1034" s="4">
        <v>46022.371226967589</v>
      </c>
      <c r="B1034" s="5">
        <v>90771</v>
      </c>
      <c r="C1034" s="5">
        <v>55303876</v>
      </c>
      <c r="D1034" s="5" t="s">
        <v>4938</v>
      </c>
      <c r="F1034" s="5" t="s">
        <v>4939</v>
      </c>
      <c r="H1034" s="5">
        <v>573186598255</v>
      </c>
      <c r="J1034" s="5" t="s">
        <v>4940</v>
      </c>
      <c r="K1034" s="5" t="s">
        <v>73</v>
      </c>
      <c r="L1034" s="5" t="s">
        <v>4941</v>
      </c>
      <c r="M1034" s="5" t="s">
        <v>4942</v>
      </c>
      <c r="N1034" s="6">
        <v>46022</v>
      </c>
      <c r="O1034" s="7">
        <v>0.91666666666666663</v>
      </c>
      <c r="P1034" s="5">
        <v>1</v>
      </c>
      <c r="Q1034" s="5" t="s">
        <v>3752</v>
      </c>
      <c r="R1034" s="5">
        <v>300000</v>
      </c>
      <c r="S1034" s="5">
        <v>0</v>
      </c>
      <c r="T1034" s="5">
        <v>8000</v>
      </c>
      <c r="U1034" s="5">
        <v>308000</v>
      </c>
      <c r="V1034" s="5"/>
      <c r="W1034" s="5" t="s">
        <v>36</v>
      </c>
      <c r="X1034" s="5" t="s">
        <v>83</v>
      </c>
      <c r="Z1034" s="5" t="s">
        <v>4943</v>
      </c>
      <c r="AA1034" s="5" t="s">
        <v>44</v>
      </c>
      <c r="AB1034" s="5" t="s">
        <v>4944</v>
      </c>
      <c r="AC1034" s="8" t="str">
        <f>HYPERLINK("https://drive.google.com/file/d/1D1HKbcbK0B8MXQ5XzRfMpsRD6VTex3bm/view?usp=drivesdk", "Abrir_Factura")</f>
        <v>Abrir_Factura</v>
      </c>
      <c r="AD1034" s="9">
        <v>46022.387291666666</v>
      </c>
    </row>
    <row r="1035" spans="1:30" ht="12.5">
      <c r="A1035" s="4">
        <v>46022.395116145832</v>
      </c>
      <c r="B1035" s="5">
        <v>90772</v>
      </c>
      <c r="C1035" s="5">
        <v>1043932752</v>
      </c>
      <c r="D1035" s="5" t="s">
        <v>1349</v>
      </c>
      <c r="F1035" s="5" t="s">
        <v>4945</v>
      </c>
      <c r="H1035" s="5">
        <v>573113889439</v>
      </c>
      <c r="J1035" s="5" t="s">
        <v>4946</v>
      </c>
      <c r="K1035" s="5" t="s">
        <v>726</v>
      </c>
      <c r="L1035" s="5" t="s">
        <v>4947</v>
      </c>
      <c r="M1035" s="5">
        <v>3113432540</v>
      </c>
      <c r="N1035" s="6">
        <v>46022</v>
      </c>
      <c r="O1035" s="7">
        <v>0.45833333333333331</v>
      </c>
      <c r="P1035" s="5">
        <v>1</v>
      </c>
      <c r="Q1035" s="5" t="s">
        <v>4948</v>
      </c>
      <c r="R1035" s="5">
        <v>150000</v>
      </c>
      <c r="S1035" s="5">
        <v>0</v>
      </c>
      <c r="T1035" s="5">
        <v>9000</v>
      </c>
      <c r="U1035" s="5">
        <v>159000</v>
      </c>
      <c r="V1035" s="5" t="s">
        <v>4949</v>
      </c>
      <c r="W1035" s="5" t="s">
        <v>36</v>
      </c>
      <c r="X1035" s="5" t="s">
        <v>83</v>
      </c>
      <c r="Z1035" s="5" t="s">
        <v>4950</v>
      </c>
      <c r="AA1035" s="5" t="s">
        <v>44</v>
      </c>
      <c r="AC1035" s="8" t="str">
        <f>HYPERLINK("https://drive.google.com/file/d/1GJ7hpqKwhSC2he3McGdfcIJnVVrYMflE/view?usp=drivesdk", "Abrir_Factura")</f>
        <v>Abrir_Factura</v>
      </c>
      <c r="AD1035" s="9">
        <v>46022.403645833336</v>
      </c>
    </row>
    <row r="1036" spans="1:30" ht="12.5">
      <c r="A1036" s="4">
        <v>46022.418847256944</v>
      </c>
      <c r="B1036" s="5">
        <v>90773</v>
      </c>
      <c r="C1036" s="5">
        <v>1096034679</v>
      </c>
      <c r="D1036" s="5" t="s">
        <v>825</v>
      </c>
      <c r="F1036" s="5" t="s">
        <v>4951</v>
      </c>
      <c r="H1036" s="5">
        <v>573125118337</v>
      </c>
      <c r="J1036" s="5" t="s">
        <v>4952</v>
      </c>
      <c r="K1036" s="5" t="s">
        <v>146</v>
      </c>
      <c r="L1036" s="5" t="s">
        <v>4953</v>
      </c>
      <c r="M1036" s="5">
        <v>3226529301</v>
      </c>
      <c r="N1036" s="6">
        <v>46022</v>
      </c>
      <c r="O1036" s="7">
        <v>0</v>
      </c>
      <c r="P1036" s="5">
        <v>1</v>
      </c>
      <c r="Q1036" s="5" t="s">
        <v>251</v>
      </c>
      <c r="R1036" s="5">
        <v>170000</v>
      </c>
      <c r="S1036" s="5">
        <v>0</v>
      </c>
      <c r="T1036" s="5">
        <v>12000</v>
      </c>
      <c r="U1036" s="5">
        <v>182000</v>
      </c>
      <c r="V1036" s="5" t="s">
        <v>4954</v>
      </c>
      <c r="W1036" s="5" t="s">
        <v>36</v>
      </c>
      <c r="X1036" s="5" t="s">
        <v>83</v>
      </c>
      <c r="Z1036" s="5" t="s">
        <v>4955</v>
      </c>
      <c r="AA1036" s="5" t="s">
        <v>44</v>
      </c>
      <c r="AC1036" s="8" t="str">
        <f>HYPERLINK("https://drive.google.com/file/d/1PLjcicZDPDv3CE313_l8Ww4mB2uts7tG/view?usp=drivesdk", "Abrir_Factura")</f>
        <v>Abrir_Factura</v>
      </c>
      <c r="AD1036" s="9">
        <v>46022.428483796299</v>
      </c>
    </row>
    <row r="1037" spans="1:30" ht="12.5">
      <c r="A1037" s="4">
        <v>46022.403057534721</v>
      </c>
      <c r="B1037" s="5">
        <v>90774</v>
      </c>
      <c r="C1037" s="5">
        <v>1140839482</v>
      </c>
      <c r="D1037" s="5" t="s">
        <v>4956</v>
      </c>
      <c r="F1037" s="5" t="s">
        <v>4957</v>
      </c>
      <c r="H1037" s="5">
        <v>573135739800</v>
      </c>
      <c r="J1037" s="5" t="s">
        <v>4958</v>
      </c>
      <c r="K1037" s="5" t="s">
        <v>73</v>
      </c>
      <c r="L1037" s="5" t="s">
        <v>4959</v>
      </c>
      <c r="M1037" s="5">
        <v>3005903655</v>
      </c>
      <c r="N1037" s="6">
        <v>46022</v>
      </c>
      <c r="O1037" s="7">
        <v>0.45833333333333331</v>
      </c>
      <c r="P1037" s="5">
        <v>1</v>
      </c>
      <c r="Q1037" s="5" t="s">
        <v>375</v>
      </c>
      <c r="R1037" s="5">
        <v>70000</v>
      </c>
      <c r="S1037" s="5">
        <v>0</v>
      </c>
      <c r="T1037" s="5">
        <v>8000</v>
      </c>
      <c r="U1037" s="5">
        <v>78000</v>
      </c>
      <c r="V1037" s="5" t="s">
        <v>4960</v>
      </c>
      <c r="W1037" s="5" t="s">
        <v>36</v>
      </c>
      <c r="X1037" s="5" t="s">
        <v>180</v>
      </c>
      <c r="AA1037" s="5" t="s">
        <v>44</v>
      </c>
      <c r="AC1037" s="8" t="str">
        <f>HYPERLINK("https://drive.google.com/file/d/1-Ua6NGEm5cwxC8bgNa_OhKaT68PpsZoi/view?usp=drivesdk", "Abrir_Factura")</f>
        <v>Abrir_Factura</v>
      </c>
      <c r="AD1037" s="9">
        <v>46022.436400462961</v>
      </c>
    </row>
    <row r="1038" spans="1:30" ht="12.5">
      <c r="A1038" s="4">
        <v>46022.440227916668</v>
      </c>
      <c r="B1038" s="5">
        <v>90775</v>
      </c>
      <c r="C1038" s="5">
        <v>32845849</v>
      </c>
      <c r="D1038" s="5" t="s">
        <v>4961</v>
      </c>
      <c r="F1038" s="5" t="s">
        <v>4962</v>
      </c>
      <c r="H1038" s="5">
        <v>573156151131</v>
      </c>
      <c r="J1038" s="5" t="s">
        <v>4963</v>
      </c>
      <c r="K1038" s="5"/>
      <c r="L1038" s="5" t="s">
        <v>4964</v>
      </c>
      <c r="M1038" s="5" t="s">
        <v>4965</v>
      </c>
      <c r="N1038" s="6">
        <v>46022</v>
      </c>
      <c r="O1038" s="7">
        <v>0</v>
      </c>
      <c r="P1038" s="5">
        <v>1</v>
      </c>
      <c r="Q1038" s="5" t="s">
        <v>42</v>
      </c>
      <c r="R1038" s="5">
        <v>40000</v>
      </c>
      <c r="S1038" s="5">
        <v>0</v>
      </c>
      <c r="T1038" s="5"/>
      <c r="U1038" s="5">
        <v>40000</v>
      </c>
      <c r="V1038" s="5"/>
      <c r="W1038" s="5" t="s">
        <v>36</v>
      </c>
      <c r="X1038" s="5" t="s">
        <v>2317</v>
      </c>
      <c r="AA1038" s="5" t="s">
        <v>44</v>
      </c>
      <c r="AB1038" s="5" t="s">
        <v>4966</v>
      </c>
      <c r="AC1038" s="8" t="str">
        <f>HYPERLINK("https://drive.google.com/file/d/1qWwBucL7lPgIj9DQyFspKAZuEWXpaCEy/view?usp=drivesdk", "Abrir_Factura")</f>
        <v>Abrir_Factura</v>
      </c>
      <c r="AD1038" s="9">
        <v>46022.441377314812</v>
      </c>
    </row>
    <row r="1039" spans="1:30" ht="12.5">
      <c r="A1039" s="4">
        <v>46022.433411817125</v>
      </c>
      <c r="B1039" s="5">
        <v>90776</v>
      </c>
      <c r="C1039" s="5">
        <v>1020834328</v>
      </c>
      <c r="D1039" s="5" t="s">
        <v>787</v>
      </c>
      <c r="F1039" s="5" t="s">
        <v>788</v>
      </c>
      <c r="H1039" s="5">
        <v>573107175874</v>
      </c>
      <c r="J1039" s="5" t="s">
        <v>789</v>
      </c>
      <c r="K1039" s="5" t="s">
        <v>161</v>
      </c>
      <c r="L1039" s="5" t="s">
        <v>4967</v>
      </c>
      <c r="M1039" s="5">
        <v>3182618317</v>
      </c>
      <c r="N1039" s="6">
        <v>46022</v>
      </c>
      <c r="O1039" s="7">
        <v>0.45833333333333331</v>
      </c>
      <c r="P1039" s="5">
        <v>1</v>
      </c>
      <c r="Q1039" s="5" t="s">
        <v>384</v>
      </c>
      <c r="R1039" s="5">
        <v>180000</v>
      </c>
      <c r="S1039" s="5">
        <v>0</v>
      </c>
      <c r="T1039" s="5">
        <v>8000</v>
      </c>
      <c r="U1039" s="5">
        <v>188000</v>
      </c>
      <c r="V1039" s="5"/>
      <c r="W1039" s="5" t="s">
        <v>36</v>
      </c>
      <c r="X1039" s="5" t="s">
        <v>83</v>
      </c>
      <c r="AA1039" s="5" t="s">
        <v>44</v>
      </c>
      <c r="AC1039" s="8" t="str">
        <f>HYPERLINK("https://drive.google.com/file/d/1gymagJKFiy7cRU1ETz5maGeckGieZ6BE/view?usp=drivesdk", "Abrir_Factura")</f>
        <v>Abrir_Factura</v>
      </c>
      <c r="AD1039" s="9">
        <v>46022.450428240743</v>
      </c>
    </row>
    <row r="1040" spans="1:30" ht="12.5">
      <c r="A1040" s="4">
        <v>46022.440775648152</v>
      </c>
      <c r="B1040" s="5">
        <v>90777</v>
      </c>
      <c r="C1040" s="5">
        <v>1140842269</v>
      </c>
      <c r="D1040" s="5" t="s">
        <v>1651</v>
      </c>
      <c r="F1040" s="5" t="s">
        <v>4968</v>
      </c>
      <c r="H1040" s="5">
        <v>573059227701</v>
      </c>
      <c r="J1040" s="5" t="s">
        <v>4969</v>
      </c>
      <c r="K1040" s="5" t="s">
        <v>3764</v>
      </c>
      <c r="L1040" s="5" t="s">
        <v>4970</v>
      </c>
      <c r="M1040" s="5" t="s">
        <v>25421</v>
      </c>
      <c r="N1040" s="6">
        <v>46022</v>
      </c>
      <c r="O1040" s="7">
        <v>0</v>
      </c>
      <c r="P1040" s="5">
        <v>1</v>
      </c>
      <c r="Q1040" s="5" t="s">
        <v>178</v>
      </c>
      <c r="R1040" s="5">
        <v>100000</v>
      </c>
      <c r="S1040" s="5">
        <v>0</v>
      </c>
      <c r="T1040" s="5">
        <v>9000</v>
      </c>
      <c r="U1040" s="5">
        <v>109000</v>
      </c>
      <c r="V1040" s="5" t="s">
        <v>4971</v>
      </c>
      <c r="W1040" s="5" t="s">
        <v>36</v>
      </c>
      <c r="X1040" s="5" t="s">
        <v>83</v>
      </c>
      <c r="Z1040" s="5" t="s">
        <v>4972</v>
      </c>
      <c r="AA1040" s="5" t="s">
        <v>69</v>
      </c>
      <c r="AC1040" s="8" t="str">
        <f>HYPERLINK("https://drive.google.com/file/d/15F2SRn2d2oa0aH8EpY0enYmYD2decyU-/view?usp=drivesdk", "Abrir_Factura")</f>
        <v>Abrir_Factura</v>
      </c>
      <c r="AD1040" s="9">
        <v>46022.456400462965</v>
      </c>
    </row>
    <row r="1041" spans="1:30" ht="12.5">
      <c r="A1041" s="4">
        <v>46022.442010798608</v>
      </c>
      <c r="B1041" s="5">
        <v>90778</v>
      </c>
      <c r="C1041" s="5">
        <v>1140886958</v>
      </c>
      <c r="D1041" s="5" t="s">
        <v>4973</v>
      </c>
      <c r="F1041" s="5" t="s">
        <v>4175</v>
      </c>
      <c r="H1041" s="5">
        <v>573012089960</v>
      </c>
      <c r="J1041" s="5" t="s">
        <v>4974</v>
      </c>
      <c r="K1041" s="5" t="s">
        <v>79</v>
      </c>
      <c r="L1041" s="5" t="s">
        <v>4975</v>
      </c>
      <c r="M1041" s="5">
        <v>3012089960</v>
      </c>
      <c r="N1041" s="6">
        <v>46022</v>
      </c>
      <c r="O1041" s="7">
        <v>3.472222222222222E-3</v>
      </c>
      <c r="P1041" s="5">
        <v>1</v>
      </c>
      <c r="Q1041" s="5" t="s">
        <v>4021</v>
      </c>
      <c r="R1041" s="5">
        <v>220000</v>
      </c>
      <c r="S1041" s="5">
        <v>0</v>
      </c>
      <c r="T1041" s="5">
        <v>10000</v>
      </c>
      <c r="U1041" s="5">
        <v>230000</v>
      </c>
      <c r="V1041" s="5" t="s">
        <v>4976</v>
      </c>
      <c r="W1041" s="5" t="s">
        <v>36</v>
      </c>
      <c r="X1041" s="5" t="s">
        <v>1937</v>
      </c>
      <c r="Z1041" s="5" t="s">
        <v>4977</v>
      </c>
      <c r="AA1041" s="5" t="s">
        <v>44</v>
      </c>
      <c r="AC1041" s="8" t="str">
        <f>HYPERLINK("https://drive.google.com/file/d/1BK690EJPcao9sCjcjtWhcSgDDVNa0K6C/view?usp=drivesdk", "Abrir_Factura")</f>
        <v>Abrir_Factura</v>
      </c>
      <c r="AD1041" s="9">
        <v>46022.458726851852</v>
      </c>
    </row>
    <row r="1042" spans="1:30" ht="12.5">
      <c r="A1042" s="4">
        <v>46022.4634052662</v>
      </c>
      <c r="B1042" s="5">
        <v>90779</v>
      </c>
      <c r="C1042" s="5">
        <v>1066269806</v>
      </c>
      <c r="D1042" s="5" t="s">
        <v>338</v>
      </c>
      <c r="F1042" s="5" t="s">
        <v>3022</v>
      </c>
      <c r="H1042" s="5">
        <v>573219173591</v>
      </c>
      <c r="J1042" s="5" t="s">
        <v>4978</v>
      </c>
      <c r="K1042" s="5" t="s">
        <v>33</v>
      </c>
      <c r="L1042" s="5" t="s">
        <v>34</v>
      </c>
      <c r="M1042" s="5">
        <v>3219173591</v>
      </c>
      <c r="N1042" s="6">
        <v>46022</v>
      </c>
      <c r="O1042" s="7">
        <v>0</v>
      </c>
      <c r="P1042" s="5">
        <v>1</v>
      </c>
      <c r="Q1042" s="5" t="s">
        <v>210</v>
      </c>
      <c r="R1042" s="5">
        <v>150000</v>
      </c>
      <c r="S1042" s="5">
        <v>0</v>
      </c>
      <c r="T1042" s="5">
        <v>0</v>
      </c>
      <c r="U1042" s="5">
        <v>150000</v>
      </c>
      <c r="V1042" s="5" t="s">
        <v>4979</v>
      </c>
      <c r="W1042" s="5" t="s">
        <v>36</v>
      </c>
      <c r="X1042" s="5" t="s">
        <v>196</v>
      </c>
      <c r="Z1042" s="5" t="s">
        <v>4980</v>
      </c>
      <c r="AA1042" s="5" t="s">
        <v>44</v>
      </c>
      <c r="AC1042" s="8" t="str">
        <f>HYPERLINK("https://drive.google.com/file/d/1NSK1o88VAtQob3O-fmtERhCKY15ckddd/view?usp=drivesdk", "Abrir_Factura")</f>
        <v>Abrir_Factura</v>
      </c>
      <c r="AD1042" s="9">
        <v>46022.589097222219</v>
      </c>
    </row>
    <row r="1043" spans="1:30" ht="12.5">
      <c r="A1043" s="4">
        <v>46022.487432187496</v>
      </c>
      <c r="B1043" s="5">
        <v>90780</v>
      </c>
      <c r="C1043" s="5">
        <v>1042449310</v>
      </c>
      <c r="D1043" s="5" t="s">
        <v>4981</v>
      </c>
      <c r="F1043" s="5" t="s">
        <v>4982</v>
      </c>
      <c r="H1043" s="5">
        <v>573206349902</v>
      </c>
      <c r="J1043" s="5" t="s">
        <v>4983</v>
      </c>
      <c r="K1043" s="5" t="s">
        <v>1921</v>
      </c>
      <c r="L1043" s="5" t="s">
        <v>4984</v>
      </c>
      <c r="M1043" s="5" t="s">
        <v>25421</v>
      </c>
      <c r="N1043" s="6">
        <v>46022</v>
      </c>
      <c r="O1043" s="7">
        <v>0.52847222222222223</v>
      </c>
      <c r="P1043" s="5">
        <v>1</v>
      </c>
      <c r="Q1043" s="5" t="s">
        <v>42</v>
      </c>
      <c r="R1043" s="5">
        <v>120000</v>
      </c>
      <c r="S1043" s="5">
        <v>0</v>
      </c>
      <c r="T1043" s="5">
        <v>15000</v>
      </c>
      <c r="U1043" s="5">
        <v>135000</v>
      </c>
      <c r="V1043" s="5" t="s">
        <v>4985</v>
      </c>
      <c r="W1043" s="5" t="s">
        <v>36</v>
      </c>
      <c r="X1043" s="5" t="s">
        <v>83</v>
      </c>
      <c r="Z1043" s="5" t="s">
        <v>4986</v>
      </c>
      <c r="AA1043" s="5" t="s">
        <v>69</v>
      </c>
      <c r="AB1043" s="5" t="s">
        <v>4987</v>
      </c>
      <c r="AC1043" s="8" t="str">
        <f>HYPERLINK("https://drive.google.com/file/d/1vEny2gKypAGLO-hj0xpumjsVEqc0QM2q/view?usp=drivesdk", "Abrir_Factura")</f>
        <v>Abrir_Factura</v>
      </c>
      <c r="AD1043" s="9">
        <v>46022.49145833333</v>
      </c>
    </row>
    <row r="1044" spans="1:30" ht="12.5">
      <c r="A1044" s="4">
        <v>46022.501656435183</v>
      </c>
      <c r="B1044" s="5">
        <v>90781</v>
      </c>
      <c r="C1044" s="5">
        <v>1129543855</v>
      </c>
      <c r="D1044" s="5" t="s">
        <v>4988</v>
      </c>
      <c r="F1044" s="5" t="s">
        <v>1242</v>
      </c>
      <c r="H1044" s="5">
        <v>573002068419</v>
      </c>
      <c r="J1044" s="5" t="s">
        <v>4989</v>
      </c>
      <c r="K1044" s="5" t="s">
        <v>185</v>
      </c>
      <c r="L1044" s="5" t="s">
        <v>4990</v>
      </c>
      <c r="M1044" s="5">
        <v>3005903655</v>
      </c>
      <c r="N1044" s="6">
        <v>46022</v>
      </c>
      <c r="O1044" s="7">
        <v>2.9166666666666667E-2</v>
      </c>
      <c r="P1044" s="5">
        <v>1</v>
      </c>
      <c r="Q1044" s="5" t="s">
        <v>65</v>
      </c>
      <c r="R1044" s="5">
        <v>70000</v>
      </c>
      <c r="S1044" s="5">
        <v>0</v>
      </c>
      <c r="T1044" s="5">
        <v>8000</v>
      </c>
      <c r="U1044" s="5">
        <v>78000</v>
      </c>
      <c r="V1044" s="5" t="s">
        <v>4991</v>
      </c>
      <c r="W1044" s="5" t="s">
        <v>36</v>
      </c>
      <c r="X1044" s="5" t="s">
        <v>83</v>
      </c>
      <c r="AA1044" s="5" t="s">
        <v>44</v>
      </c>
      <c r="AC1044" s="8" t="str">
        <f>HYPERLINK("https://drive.google.com/file/d/1wsf1qJ8h9QbGxB-O3e_olQZ0w6u9UWF7/view?usp=drivesdk", "Abrir_Factura")</f>
        <v>Abrir_Factura</v>
      </c>
      <c r="AD1044" s="9">
        <v>46022.50340277778</v>
      </c>
    </row>
    <row r="1045" spans="1:30" ht="12.5">
      <c r="A1045" s="4">
        <v>46022.51620697917</v>
      </c>
      <c r="B1045" s="5">
        <v>90782</v>
      </c>
      <c r="C1045" s="5">
        <v>1140902616</v>
      </c>
      <c r="D1045" s="5" t="s">
        <v>4992</v>
      </c>
      <c r="F1045" s="5" t="s">
        <v>2560</v>
      </c>
      <c r="H1045" s="5">
        <v>573507547854</v>
      </c>
      <c r="J1045" s="5" t="s">
        <v>4993</v>
      </c>
      <c r="K1045" s="5" t="s">
        <v>3781</v>
      </c>
      <c r="L1045" s="5" t="s">
        <v>4994</v>
      </c>
      <c r="M1045" s="5">
        <v>3014699503</v>
      </c>
      <c r="N1045" s="6">
        <v>46022</v>
      </c>
      <c r="O1045" s="7">
        <v>0.58333333333333337</v>
      </c>
      <c r="P1045" s="5">
        <v>1</v>
      </c>
      <c r="Q1045" s="5" t="s">
        <v>384</v>
      </c>
      <c r="R1045" s="5">
        <v>180000</v>
      </c>
      <c r="S1045" s="5">
        <v>0</v>
      </c>
      <c r="T1045" s="5">
        <v>11000</v>
      </c>
      <c r="U1045" s="5">
        <v>191000</v>
      </c>
      <c r="V1045" s="5" t="s">
        <v>4995</v>
      </c>
      <c r="W1045" s="5" t="s">
        <v>36</v>
      </c>
      <c r="X1045" s="5" t="s">
        <v>83</v>
      </c>
      <c r="Z1045" s="5" t="s">
        <v>4996</v>
      </c>
      <c r="AA1045" s="5" t="s">
        <v>44</v>
      </c>
      <c r="AC1045" s="8" t="str">
        <f>HYPERLINK("https://drive.google.com/file/d/11F3tZuH-VrdAuxDXwXT6puO6mhHgxlQS/view?usp=drivesdk", "Abrir_Factura")</f>
        <v>Abrir_Factura</v>
      </c>
      <c r="AD1045" s="9">
        <v>46022.518692129626</v>
      </c>
    </row>
    <row r="1046" spans="1:30" ht="12.5">
      <c r="A1046" s="4">
        <v>46022.445816342588</v>
      </c>
      <c r="B1046" s="5">
        <v>90783</v>
      </c>
      <c r="C1046" s="5">
        <v>32694500</v>
      </c>
      <c r="D1046" s="5" t="s">
        <v>4215</v>
      </c>
      <c r="F1046" s="5" t="s">
        <v>3442</v>
      </c>
      <c r="H1046" s="5">
        <v>573106442346</v>
      </c>
      <c r="J1046" s="5" t="s">
        <v>4997</v>
      </c>
      <c r="K1046" s="5"/>
      <c r="L1046" s="5" t="s">
        <v>4998</v>
      </c>
      <c r="M1046" s="5">
        <v>3106442346</v>
      </c>
      <c r="N1046" s="6">
        <v>46022</v>
      </c>
      <c r="O1046" s="7">
        <v>0.54166666666666663</v>
      </c>
      <c r="P1046" s="5">
        <v>1</v>
      </c>
      <c r="Q1046" s="5" t="s">
        <v>42</v>
      </c>
      <c r="R1046" s="5">
        <v>363000</v>
      </c>
      <c r="S1046" s="5">
        <v>0</v>
      </c>
      <c r="T1046" s="5"/>
      <c r="U1046" s="5">
        <v>363000</v>
      </c>
      <c r="V1046" s="5"/>
      <c r="W1046" s="5" t="s">
        <v>36</v>
      </c>
      <c r="X1046" s="5" t="s">
        <v>83</v>
      </c>
      <c r="AA1046" s="5" t="s">
        <v>44</v>
      </c>
      <c r="AB1046" s="5" t="s">
        <v>1286</v>
      </c>
      <c r="AC1046" s="8" t="str">
        <f>HYPERLINK("https://drive.google.com/file/d/1ULdKaZid8WBcYledVdrt3YMb_rP61CQL/view?usp=drivesdk", "Abrir_Factura")</f>
        <v>Abrir_Factura</v>
      </c>
      <c r="AD1046" s="9">
        <v>46022.530289351853</v>
      </c>
    </row>
    <row r="1047" spans="1:30" ht="12.5">
      <c r="A1047" s="4">
        <v>46022.53104696759</v>
      </c>
      <c r="B1047" s="5">
        <v>90784</v>
      </c>
      <c r="C1047" s="5">
        <v>1010086830</v>
      </c>
      <c r="D1047" s="5" t="s">
        <v>1051</v>
      </c>
      <c r="F1047" s="5" t="s">
        <v>693</v>
      </c>
      <c r="H1047" s="5">
        <v>57308162659</v>
      </c>
      <c r="J1047" s="5" t="s">
        <v>4999</v>
      </c>
      <c r="K1047" s="5" t="s">
        <v>103</v>
      </c>
      <c r="L1047" s="5" t="s">
        <v>5000</v>
      </c>
      <c r="M1047" s="5">
        <v>3208162659</v>
      </c>
      <c r="N1047" s="6">
        <v>46022</v>
      </c>
      <c r="O1047" s="7">
        <v>0.58333333333333337</v>
      </c>
      <c r="P1047" s="5">
        <v>1</v>
      </c>
      <c r="Q1047" s="5" t="s">
        <v>5001</v>
      </c>
      <c r="R1047" s="5">
        <v>80000</v>
      </c>
      <c r="S1047" s="5">
        <v>0</v>
      </c>
      <c r="T1047" s="5">
        <v>10000</v>
      </c>
      <c r="U1047" s="5">
        <v>90000</v>
      </c>
      <c r="V1047" s="5" t="s">
        <v>5002</v>
      </c>
      <c r="W1047" s="5" t="s">
        <v>36</v>
      </c>
      <c r="X1047" s="5" t="s">
        <v>83</v>
      </c>
      <c r="Z1047" s="5" t="s">
        <v>5003</v>
      </c>
      <c r="AA1047" s="5" t="s">
        <v>69</v>
      </c>
      <c r="AC1047" s="8" t="str">
        <f>HYPERLINK("https://drive.google.com/file/d/1bmebKMUJKfY0qqfkJnlGcRfXm94tfRdR/view?usp=drivesdk", "Abrir_Factura")</f>
        <v>Abrir_Factura</v>
      </c>
      <c r="AD1047" s="9">
        <v>46022.540150462963</v>
      </c>
    </row>
    <row r="1048" spans="1:30" ht="12.5">
      <c r="A1048" s="4">
        <v>46022.457059340275</v>
      </c>
      <c r="B1048" s="5">
        <v>90785</v>
      </c>
      <c r="C1048" s="5">
        <v>900467904</v>
      </c>
      <c r="D1048" s="5" t="s">
        <v>2178</v>
      </c>
      <c r="F1048" s="5" t="s">
        <v>2159</v>
      </c>
      <c r="H1048" s="5">
        <v>573015669546</v>
      </c>
      <c r="J1048" s="5" t="s">
        <v>5004</v>
      </c>
      <c r="K1048" s="5"/>
      <c r="L1048" s="5" t="s">
        <v>5005</v>
      </c>
      <c r="M1048" s="5"/>
      <c r="N1048" s="6">
        <v>46022</v>
      </c>
      <c r="O1048" s="7">
        <v>0</v>
      </c>
      <c r="P1048" s="5">
        <v>1</v>
      </c>
      <c r="Q1048" s="5" t="s">
        <v>42</v>
      </c>
      <c r="R1048" s="5">
        <v>189690</v>
      </c>
      <c r="S1048" s="5">
        <v>0</v>
      </c>
      <c r="T1048" s="5"/>
      <c r="U1048" s="5">
        <v>189690</v>
      </c>
      <c r="V1048" s="5"/>
      <c r="W1048" s="5" t="s">
        <v>36</v>
      </c>
      <c r="X1048" s="5" t="s">
        <v>43</v>
      </c>
      <c r="AA1048" s="5" t="s">
        <v>44</v>
      </c>
      <c r="AB1048" s="5" t="s">
        <v>1286</v>
      </c>
      <c r="AC1048" s="8" t="str">
        <f>HYPERLINK("https://drive.google.com/file/d/1GCxWrZJl6HL42aj48uqsU4i4PJsEVWhH/view?usp=drivesdk", "Abrir_Factura")</f>
        <v>Abrir_Factura</v>
      </c>
      <c r="AD1048" s="9">
        <v>46022.545578703706</v>
      </c>
    </row>
    <row r="1049" spans="1:30" ht="12.5">
      <c r="A1049" s="4">
        <v>46022.573096516207</v>
      </c>
      <c r="B1049" s="5">
        <v>90786</v>
      </c>
      <c r="C1049" s="5">
        <v>22550720</v>
      </c>
      <c r="D1049" s="5" t="s">
        <v>5006</v>
      </c>
      <c r="F1049" s="5" t="s">
        <v>4957</v>
      </c>
      <c r="H1049" s="5">
        <v>573229447327</v>
      </c>
      <c r="J1049" s="5" t="s">
        <v>5007</v>
      </c>
      <c r="K1049" s="5" t="s">
        <v>33</v>
      </c>
      <c r="L1049" s="5" t="s">
        <v>34</v>
      </c>
      <c r="M1049" s="5">
        <v>3229447327</v>
      </c>
      <c r="N1049" s="6">
        <v>46022</v>
      </c>
      <c r="O1049" s="7">
        <v>0</v>
      </c>
      <c r="P1049" s="5">
        <v>1</v>
      </c>
      <c r="Q1049" s="5" t="s">
        <v>42</v>
      </c>
      <c r="R1049" s="5">
        <v>40000</v>
      </c>
      <c r="S1049" s="5">
        <v>0</v>
      </c>
      <c r="T1049" s="5">
        <v>0</v>
      </c>
      <c r="U1049" s="5">
        <v>40000</v>
      </c>
      <c r="V1049" s="5"/>
      <c r="W1049" s="5" t="s">
        <v>36</v>
      </c>
      <c r="X1049" s="5" t="s">
        <v>1481</v>
      </c>
      <c r="AA1049" s="5" t="s">
        <v>1717</v>
      </c>
      <c r="AB1049" s="5" t="s">
        <v>5008</v>
      </c>
      <c r="AC1049" s="8" t="str">
        <f>HYPERLINK("https://drive.google.com/file/d/1PxTKBR9paopZJDsSZcUnyHGJC0apjc_y/view?usp=drivesdk", "Abrir_Factura")</f>
        <v>Abrir_Factura</v>
      </c>
      <c r="AD1049" s="9">
        <v>46022.573692129627</v>
      </c>
    </row>
    <row r="1050" spans="1:30" ht="12.5">
      <c r="A1050" s="4">
        <v>46022.580095347221</v>
      </c>
      <c r="B1050" s="5">
        <v>90787</v>
      </c>
      <c r="C1050" s="5">
        <v>1043012170</v>
      </c>
      <c r="D1050" s="5" t="s">
        <v>968</v>
      </c>
      <c r="F1050" s="5" t="s">
        <v>5009</v>
      </c>
      <c r="H1050" s="5">
        <v>573004340336</v>
      </c>
      <c r="J1050" s="5" t="s">
        <v>5010</v>
      </c>
      <c r="K1050" s="5" t="s">
        <v>2631</v>
      </c>
      <c r="L1050" s="5" t="s">
        <v>5011</v>
      </c>
      <c r="M1050" s="5" t="s">
        <v>25421</v>
      </c>
      <c r="N1050" s="6">
        <v>46022</v>
      </c>
      <c r="O1050" s="7">
        <v>0.58333333333333337</v>
      </c>
      <c r="P1050" s="5">
        <v>1</v>
      </c>
      <c r="Q1050" s="5" t="s">
        <v>148</v>
      </c>
      <c r="R1050" s="5">
        <v>200000</v>
      </c>
      <c r="S1050" s="5">
        <v>0</v>
      </c>
      <c r="T1050" s="5">
        <v>12000</v>
      </c>
      <c r="U1050" s="5">
        <v>212000</v>
      </c>
      <c r="V1050" s="5" t="s">
        <v>5012</v>
      </c>
      <c r="W1050" s="5" t="s">
        <v>36</v>
      </c>
      <c r="X1050" s="5" t="s">
        <v>180</v>
      </c>
      <c r="Z1050" s="5" t="s">
        <v>5013</v>
      </c>
      <c r="AA1050" s="5" t="s">
        <v>69</v>
      </c>
      <c r="AC1050" s="8" t="str">
        <f>HYPERLINK("https://drive.google.com/file/d/1MOCU1aUlpnkcHS1FBBypvMw7nfCiP-Jb/view?usp=drivesdk", "Abrir_Factura")</f>
        <v>Abrir_Factura</v>
      </c>
      <c r="AD1050" s="9">
        <v>46022.583414351851</v>
      </c>
    </row>
    <row r="1051" spans="1:30" ht="12.5">
      <c r="A1051" s="4">
        <v>46022.591756423615</v>
      </c>
      <c r="B1051" s="5">
        <v>90788</v>
      </c>
      <c r="C1051" s="5">
        <v>51785856</v>
      </c>
      <c r="D1051" s="5" t="s">
        <v>5014</v>
      </c>
      <c r="F1051" s="5" t="s">
        <v>5015</v>
      </c>
      <c r="H1051" s="5">
        <v>13312434171</v>
      </c>
      <c r="J1051" s="5" t="s">
        <v>5016</v>
      </c>
      <c r="K1051" s="5" t="s">
        <v>1057</v>
      </c>
      <c r="L1051" s="5" t="s">
        <v>5017</v>
      </c>
      <c r="M1051" s="5"/>
      <c r="N1051" s="6">
        <v>46022</v>
      </c>
      <c r="O1051" s="7">
        <v>0</v>
      </c>
      <c r="P1051" s="5">
        <v>1</v>
      </c>
      <c r="Q1051" s="5" t="s">
        <v>42</v>
      </c>
      <c r="R1051" s="5">
        <v>160000</v>
      </c>
      <c r="S1051" s="5">
        <v>0</v>
      </c>
      <c r="T1051" s="5">
        <v>14000</v>
      </c>
      <c r="U1051" s="5">
        <v>174000</v>
      </c>
      <c r="V1051" s="5"/>
      <c r="W1051" s="5" t="s">
        <v>36</v>
      </c>
      <c r="X1051" s="5" t="s">
        <v>83</v>
      </c>
      <c r="AA1051" s="5" t="s">
        <v>69</v>
      </c>
      <c r="AB1051" s="5" t="s">
        <v>5018</v>
      </c>
      <c r="AC1051" s="8" t="str">
        <f>HYPERLINK("https://drive.google.com/file/d/1JfkI01-MTMBYmoxSfFT_vYTp7N5isxvP/view?usp=drivesdk", "Abrir_Factura")</f>
        <v>Abrir_Factura</v>
      </c>
      <c r="AD1051" s="9">
        <v>46022.599710648145</v>
      </c>
    </row>
    <row r="1052" spans="1:30" ht="12.5">
      <c r="A1052" s="4">
        <v>46022.606273506943</v>
      </c>
      <c r="B1052" s="5">
        <v>90789</v>
      </c>
      <c r="C1052" s="5">
        <v>55312303</v>
      </c>
      <c r="D1052" s="5" t="s">
        <v>4107</v>
      </c>
      <c r="F1052" s="5" t="s">
        <v>4108</v>
      </c>
      <c r="H1052" s="5">
        <v>5731664237392</v>
      </c>
      <c r="J1052" s="5" t="s">
        <v>4356</v>
      </c>
      <c r="K1052" s="5" t="s">
        <v>1187</v>
      </c>
      <c r="L1052" s="5" t="s">
        <v>4357</v>
      </c>
      <c r="M1052" s="5"/>
      <c r="N1052" s="6">
        <v>46022</v>
      </c>
      <c r="O1052" s="7">
        <v>0</v>
      </c>
      <c r="P1052" s="5">
        <v>1</v>
      </c>
      <c r="Q1052" s="5" t="s">
        <v>5019</v>
      </c>
      <c r="R1052" s="5">
        <v>1250000</v>
      </c>
      <c r="S1052" s="5">
        <v>0</v>
      </c>
      <c r="T1052" s="5">
        <v>25000</v>
      </c>
      <c r="U1052" s="5">
        <v>1275000</v>
      </c>
      <c r="V1052" s="5"/>
      <c r="W1052" s="5" t="s">
        <v>36</v>
      </c>
      <c r="X1052" s="5" t="s">
        <v>83</v>
      </c>
      <c r="AA1052" s="5" t="s">
        <v>44</v>
      </c>
      <c r="AB1052" s="5" t="s">
        <v>5020</v>
      </c>
      <c r="AC1052" s="8" t="str">
        <f>HYPERLINK("https://drive.google.com/file/d/1quNQm1p5fE-oEEsncEyQW8AaNV1zah3P/view?usp=drivesdk", "Abrir_Factura")</f>
        <v>Abrir_Factura</v>
      </c>
      <c r="AD1052" s="9">
        <v>46022.607361111113</v>
      </c>
    </row>
    <row r="1053" spans="1:30" ht="12.5">
      <c r="A1053" s="4">
        <v>46022.60903118056</v>
      </c>
      <c r="B1053" s="5">
        <v>90790</v>
      </c>
      <c r="C1053" s="5">
        <v>64545259</v>
      </c>
      <c r="D1053" s="5" t="s">
        <v>5021</v>
      </c>
      <c r="F1053" s="5" t="s">
        <v>5022</v>
      </c>
      <c r="H1053" s="5">
        <v>573157264794</v>
      </c>
      <c r="J1053" s="5" t="s">
        <v>5023</v>
      </c>
      <c r="K1053" s="5" t="s">
        <v>33</v>
      </c>
      <c r="L1053" s="5" t="s">
        <v>34</v>
      </c>
      <c r="M1053" s="5" t="s">
        <v>25421</v>
      </c>
      <c r="N1053" s="6">
        <v>46022</v>
      </c>
      <c r="O1053" s="7">
        <v>0</v>
      </c>
      <c r="P1053" s="5">
        <v>1</v>
      </c>
      <c r="Q1053" s="5" t="s">
        <v>42</v>
      </c>
      <c r="R1053" s="5">
        <v>182000</v>
      </c>
      <c r="S1053" s="5">
        <v>0</v>
      </c>
      <c r="T1053" s="5">
        <v>0</v>
      </c>
      <c r="U1053" s="5">
        <v>182000</v>
      </c>
      <c r="V1053" s="5"/>
      <c r="W1053" s="5" t="s">
        <v>36</v>
      </c>
      <c r="X1053" s="5" t="s">
        <v>67</v>
      </c>
      <c r="AA1053" s="5" t="s">
        <v>44</v>
      </c>
      <c r="AC1053" s="8" t="str">
        <f>HYPERLINK("https://drive.google.com/file/d/1XnwIpigoeWTm1z1zil4cPJIBQ0eQwi2e/view?usp=drivesdk", "Abrir_Factura")</f>
        <v>Abrir_Factura</v>
      </c>
      <c r="AD1053" s="9">
        <v>46022.609571759262</v>
      </c>
    </row>
    <row r="1054" spans="1:30" ht="12.5">
      <c r="A1054" s="4">
        <v>46027.292621701388</v>
      </c>
      <c r="B1054" s="5">
        <v>90791</v>
      </c>
      <c r="C1054" s="5">
        <v>1140877805</v>
      </c>
      <c r="D1054" s="5" t="s">
        <v>5024</v>
      </c>
      <c r="F1054" s="5" t="s">
        <v>1585</v>
      </c>
      <c r="H1054" s="5">
        <v>573008060384</v>
      </c>
      <c r="J1054" s="5" t="s">
        <v>5025</v>
      </c>
      <c r="K1054" s="5" t="s">
        <v>33</v>
      </c>
      <c r="L1054" s="5" t="s">
        <v>34</v>
      </c>
      <c r="M1054" s="5">
        <v>3008060384</v>
      </c>
      <c r="N1054" s="6">
        <v>46027</v>
      </c>
      <c r="O1054" s="7">
        <v>0.375</v>
      </c>
      <c r="P1054" s="5">
        <v>1</v>
      </c>
      <c r="Q1054" s="5" t="s">
        <v>133</v>
      </c>
      <c r="R1054" s="5">
        <v>140000</v>
      </c>
      <c r="S1054" s="5">
        <v>0</v>
      </c>
      <c r="T1054" s="5">
        <v>0</v>
      </c>
      <c r="U1054" s="5">
        <v>140000</v>
      </c>
      <c r="V1054" s="5"/>
      <c r="W1054" s="5" t="s">
        <v>36</v>
      </c>
      <c r="X1054" s="5" t="s">
        <v>43</v>
      </c>
      <c r="AA1054" s="5" t="s">
        <v>37</v>
      </c>
      <c r="AB1054" s="5" t="s">
        <v>225</v>
      </c>
      <c r="AC1054" s="8" t="str">
        <f>HYPERLINK("https://drive.google.com/file/d/13TxmaF7LR43fUo65fwqKZJ1WYXV849XM/view?usp=drivesdk", "Abrir_Factura")</f>
        <v>Abrir_Factura</v>
      </c>
      <c r="AD1054" s="9">
        <v>46027.293171296296</v>
      </c>
    </row>
    <row r="1055" spans="1:30" ht="12.5">
      <c r="A1055" s="4">
        <v>46027.299556354163</v>
      </c>
      <c r="B1055" s="5">
        <v>90792</v>
      </c>
      <c r="C1055" s="5">
        <v>1140814144</v>
      </c>
      <c r="D1055" s="5" t="s">
        <v>5026</v>
      </c>
      <c r="F1055" s="5" t="s">
        <v>5027</v>
      </c>
      <c r="H1055" s="5">
        <v>573015013641</v>
      </c>
      <c r="J1055" s="5" t="s">
        <v>5028</v>
      </c>
      <c r="K1055" s="5" t="s">
        <v>63</v>
      </c>
      <c r="L1055" s="5" t="s">
        <v>5029</v>
      </c>
      <c r="M1055" s="5">
        <v>3164703494</v>
      </c>
      <c r="N1055" s="6">
        <v>46027</v>
      </c>
      <c r="O1055" s="7">
        <v>0.375</v>
      </c>
      <c r="P1055" s="5">
        <v>1</v>
      </c>
      <c r="Q1055" s="5" t="s">
        <v>309</v>
      </c>
      <c r="R1055" s="5">
        <v>80000</v>
      </c>
      <c r="S1055" s="5">
        <v>0</v>
      </c>
      <c r="T1055" s="5">
        <v>15000</v>
      </c>
      <c r="U1055" s="5">
        <v>95000</v>
      </c>
      <c r="V1055" s="5" t="s">
        <v>5030</v>
      </c>
      <c r="W1055" s="5" t="s">
        <v>36</v>
      </c>
      <c r="X1055" s="5" t="s">
        <v>67</v>
      </c>
      <c r="AA1055" s="5" t="s">
        <v>44</v>
      </c>
      <c r="AC1055" s="8" t="str">
        <f>HYPERLINK("https://drive.google.com/file/d/16K0Wx7Na012mqIYSf74koBk9UjYxi4Yk/view?usp=drivesdk", "Abrir_Factura")</f>
        <v>Abrir_Factura</v>
      </c>
      <c r="AD1055" s="9">
        <v>46031.472673611112</v>
      </c>
    </row>
    <row r="1056" spans="1:30" ht="12.5">
      <c r="A1056" s="4">
        <v>46027.307071041665</v>
      </c>
      <c r="B1056" s="5">
        <v>90793</v>
      </c>
      <c r="C1056" s="5">
        <v>447748258571</v>
      </c>
      <c r="D1056" s="5" t="s">
        <v>5031</v>
      </c>
      <c r="F1056" s="5" t="s">
        <v>5032</v>
      </c>
      <c r="H1056" s="5">
        <v>577748258571</v>
      </c>
      <c r="J1056" s="5" t="s">
        <v>138</v>
      </c>
      <c r="K1056" s="5" t="s">
        <v>1272</v>
      </c>
      <c r="L1056" s="5" t="s">
        <v>5033</v>
      </c>
      <c r="M1056" s="5">
        <v>3171346718</v>
      </c>
      <c r="N1056" s="6">
        <v>46027</v>
      </c>
      <c r="O1056" s="7">
        <v>0.375</v>
      </c>
      <c r="P1056" s="5">
        <v>1</v>
      </c>
      <c r="Q1056" s="5" t="s">
        <v>4765</v>
      </c>
      <c r="R1056" s="5">
        <v>100000</v>
      </c>
      <c r="S1056" s="5">
        <v>0</v>
      </c>
      <c r="T1056" s="5">
        <v>12000</v>
      </c>
      <c r="U1056" s="5">
        <v>112000</v>
      </c>
      <c r="V1056" s="5" t="s">
        <v>5034</v>
      </c>
      <c r="W1056" s="5" t="s">
        <v>36</v>
      </c>
      <c r="X1056" s="5" t="s">
        <v>83</v>
      </c>
      <c r="AA1056" s="5" t="s">
        <v>44</v>
      </c>
      <c r="AC1056" s="8" t="str">
        <f>HYPERLINK("https://drive.google.com/file/d/17h-ikF7D12Gfn8PF3GOHGMOWGXaN_9Ao/view?usp=drivesdk", "Abrir_Factura")</f>
        <v>Abrir_Factura</v>
      </c>
      <c r="AD1056" s="9">
        <v>46027.307719907411</v>
      </c>
    </row>
    <row r="1057" spans="1:30" ht="12.5">
      <c r="A1057" s="4">
        <v>46027.323188587965</v>
      </c>
      <c r="B1057" s="5">
        <v>90794</v>
      </c>
      <c r="C1057" s="5">
        <v>1129527423</v>
      </c>
      <c r="D1057" s="5" t="s">
        <v>5035</v>
      </c>
      <c r="F1057" s="5" t="s">
        <v>5036</v>
      </c>
      <c r="H1057" s="5">
        <v>573187955699</v>
      </c>
      <c r="J1057" s="5" t="s">
        <v>5037</v>
      </c>
      <c r="K1057" s="5" t="s">
        <v>33</v>
      </c>
      <c r="L1057" s="5" t="s">
        <v>34</v>
      </c>
      <c r="M1057" s="5">
        <v>3187955699</v>
      </c>
      <c r="N1057" s="6">
        <v>46027</v>
      </c>
      <c r="O1057" s="7">
        <v>0</v>
      </c>
      <c r="P1057" s="5">
        <v>1</v>
      </c>
      <c r="Q1057" s="5" t="s">
        <v>309</v>
      </c>
      <c r="R1057" s="5">
        <v>80000</v>
      </c>
      <c r="S1057" s="5">
        <v>0</v>
      </c>
      <c r="T1057" s="5">
        <v>0</v>
      </c>
      <c r="U1057" s="5">
        <v>80000</v>
      </c>
      <c r="V1057" s="5" t="s">
        <v>5038</v>
      </c>
      <c r="W1057" s="5" t="s">
        <v>36</v>
      </c>
      <c r="X1057" s="5" t="s">
        <v>196</v>
      </c>
      <c r="Z1057" s="5" t="s">
        <v>5039</v>
      </c>
      <c r="AA1057" s="5" t="s">
        <v>69</v>
      </c>
      <c r="AB1057" s="5" t="s">
        <v>5040</v>
      </c>
      <c r="AC1057" s="8" t="str">
        <f>HYPERLINK("https://drive.google.com/file/d/1bROv6BboxQxSg1IFhVVODIFxdQeImrFu/view?usp=drivesdk", "Abrir_Factura")</f>
        <v>Abrir_Factura</v>
      </c>
      <c r="AD1057" s="9">
        <v>46027.355532407404</v>
      </c>
    </row>
    <row r="1058" spans="1:30" ht="12.5">
      <c r="A1058" s="4">
        <v>46027.335411898152</v>
      </c>
      <c r="B1058" s="5">
        <v>90795</v>
      </c>
      <c r="C1058" s="5">
        <v>4915141603018</v>
      </c>
      <c r="D1058" s="5" t="s">
        <v>5041</v>
      </c>
      <c r="F1058" s="5" t="s">
        <v>5042</v>
      </c>
      <c r="H1058" s="5">
        <v>5.70049E+16</v>
      </c>
      <c r="J1058" s="5" t="s">
        <v>5043</v>
      </c>
      <c r="K1058" s="5" t="s">
        <v>351</v>
      </c>
      <c r="L1058" s="5" t="s">
        <v>5044</v>
      </c>
      <c r="M1058" s="5">
        <v>3011656550</v>
      </c>
      <c r="N1058" s="6">
        <v>46030</v>
      </c>
      <c r="O1058" s="7">
        <v>0.375</v>
      </c>
      <c r="P1058" s="5">
        <v>1</v>
      </c>
      <c r="Q1058" s="5" t="s">
        <v>330</v>
      </c>
      <c r="R1058" s="5">
        <v>180000</v>
      </c>
      <c r="S1058" s="5">
        <v>0</v>
      </c>
      <c r="T1058" s="5">
        <v>12000</v>
      </c>
      <c r="U1058" s="5">
        <v>192000</v>
      </c>
      <c r="V1058" s="5" t="s">
        <v>5045</v>
      </c>
      <c r="W1058" s="5" t="s">
        <v>36</v>
      </c>
      <c r="X1058" s="5" t="s">
        <v>3754</v>
      </c>
      <c r="AA1058" s="5" t="s">
        <v>44</v>
      </c>
      <c r="AC1058" s="8" t="str">
        <f>HYPERLINK("https://drive.google.com/file/d/1I57wd2asPXSQfAeoKa9RwkuCpnQxDKBN/view?usp=drivesdk", "Abrir_Factura")</f>
        <v>Abrir_Factura</v>
      </c>
      <c r="AD1058" s="9">
        <v>46027.335868055554</v>
      </c>
    </row>
    <row r="1059" spans="1:30" ht="12.5">
      <c r="A1059" s="4">
        <v>46025.823178622682</v>
      </c>
      <c r="B1059" s="5">
        <v>90796</v>
      </c>
      <c r="C1059" s="5">
        <v>1140890896</v>
      </c>
      <c r="D1059" s="5" t="s">
        <v>1349</v>
      </c>
      <c r="F1059" s="5" t="s">
        <v>5046</v>
      </c>
      <c r="H1059" s="5">
        <v>573017850753</v>
      </c>
      <c r="J1059" s="5" t="s">
        <v>5047</v>
      </c>
      <c r="K1059" s="5" t="s">
        <v>185</v>
      </c>
      <c r="L1059" s="5" t="s">
        <v>5048</v>
      </c>
      <c r="M1059" s="5">
        <v>3106306140</v>
      </c>
      <c r="N1059" s="6">
        <v>46040</v>
      </c>
      <c r="O1059" s="7">
        <v>0.375</v>
      </c>
      <c r="P1059" s="5">
        <v>1</v>
      </c>
      <c r="Q1059" s="5" t="s">
        <v>294</v>
      </c>
      <c r="R1059" s="5">
        <v>160000</v>
      </c>
      <c r="S1059" s="5">
        <v>0</v>
      </c>
      <c r="T1059" s="5">
        <v>8000</v>
      </c>
      <c r="U1059" s="5">
        <v>168000</v>
      </c>
      <c r="V1059" s="5" t="s">
        <v>5049</v>
      </c>
      <c r="W1059" s="5" t="s">
        <v>36</v>
      </c>
      <c r="X1059" s="5" t="s">
        <v>83</v>
      </c>
      <c r="Z1059" s="5" t="s">
        <v>5050</v>
      </c>
      <c r="AA1059" s="5" t="s">
        <v>69</v>
      </c>
      <c r="AC1059" s="8" t="str">
        <f>HYPERLINK("https://drive.google.com/file/d/1sOEHW_LAxsIfhz1dODAgp5P40MjEqHKL/view?usp=drivesdk", "Abrir_Factura")</f>
        <v>Abrir_Factura</v>
      </c>
      <c r="AD1059" s="9">
        <v>46027.337962962964</v>
      </c>
    </row>
    <row r="1060" spans="1:30" ht="12.5">
      <c r="A1060" s="4">
        <v>46027.342375509259</v>
      </c>
      <c r="B1060" s="5">
        <v>90797</v>
      </c>
      <c r="C1060" s="5">
        <v>1121330748</v>
      </c>
      <c r="D1060" s="5" t="s">
        <v>5051</v>
      </c>
      <c r="F1060" s="5" t="s">
        <v>5052</v>
      </c>
      <c r="H1060" s="5">
        <v>573204580008</v>
      </c>
      <c r="J1060" s="5" t="s">
        <v>5053</v>
      </c>
      <c r="K1060" s="5" t="s">
        <v>33</v>
      </c>
      <c r="L1060" s="5" t="s">
        <v>34</v>
      </c>
      <c r="M1060" s="5">
        <v>3204580008</v>
      </c>
      <c r="N1060" s="6">
        <v>46027</v>
      </c>
      <c r="O1060" s="7">
        <v>0.41666666666666669</v>
      </c>
      <c r="P1060" s="5">
        <v>1</v>
      </c>
      <c r="Q1060" s="5" t="s">
        <v>1102</v>
      </c>
      <c r="R1060" s="5">
        <v>220000</v>
      </c>
      <c r="S1060" s="5">
        <v>0</v>
      </c>
      <c r="T1060" s="5">
        <v>0</v>
      </c>
      <c r="U1060" s="5">
        <v>220000</v>
      </c>
      <c r="V1060" s="5"/>
      <c r="W1060" s="5" t="s">
        <v>36</v>
      </c>
      <c r="X1060" s="5" t="s">
        <v>83</v>
      </c>
      <c r="AA1060" s="5" t="s">
        <v>44</v>
      </c>
      <c r="AC1060" s="8" t="str">
        <f>HYPERLINK("https://drive.google.com/file/d/1kbttZpyc63Rv0-1HUCjfV0chR5ZajmxX/view?usp=drivesdk", "Abrir_Factura")</f>
        <v>Abrir_Factura</v>
      </c>
      <c r="AD1060" s="9">
        <v>46027.343055555553</v>
      </c>
    </row>
    <row r="1061" spans="1:30" ht="12.5">
      <c r="A1061" s="4">
        <v>46027.370256759255</v>
      </c>
      <c r="B1061" s="5">
        <v>90798</v>
      </c>
      <c r="C1061" s="5">
        <v>8289376</v>
      </c>
      <c r="D1061" s="5" t="s">
        <v>5054</v>
      </c>
      <c r="F1061" s="5" t="s">
        <v>5055</v>
      </c>
      <c r="H1061" s="5">
        <v>570000</v>
      </c>
      <c r="J1061" s="5" t="s">
        <v>5056</v>
      </c>
      <c r="K1061" s="5"/>
      <c r="L1061" s="5" t="s">
        <v>5057</v>
      </c>
      <c r="M1061" s="5"/>
      <c r="N1061" s="6">
        <v>46027</v>
      </c>
      <c r="O1061" s="7">
        <v>0.41666666666666669</v>
      </c>
      <c r="P1061" s="5">
        <v>1</v>
      </c>
      <c r="Q1061" s="5" t="s">
        <v>42</v>
      </c>
      <c r="R1061" s="5">
        <v>200000</v>
      </c>
      <c r="S1061" s="5">
        <v>0</v>
      </c>
      <c r="T1061" s="5"/>
      <c r="U1061" s="5">
        <v>200000</v>
      </c>
      <c r="V1061" s="5"/>
      <c r="W1061" s="5" t="s">
        <v>36</v>
      </c>
      <c r="X1061" s="5" t="s">
        <v>83</v>
      </c>
      <c r="AA1061" s="5" t="s">
        <v>332</v>
      </c>
      <c r="AB1061" s="5" t="s">
        <v>5058</v>
      </c>
      <c r="AC1061" s="8" t="str">
        <f>HYPERLINK("https://drive.google.com/file/d/1J0IjgGQ1ug_ogZ97buG8eYFyZxd_wjYA/view?usp=drivesdk", "Abrir_Factura")</f>
        <v>Abrir_Factura</v>
      </c>
      <c r="AD1061" s="9">
        <v>46027.744004629632</v>
      </c>
    </row>
    <row r="1062" spans="1:30" ht="12.5">
      <c r="A1062" s="4">
        <v>46027.370885543976</v>
      </c>
      <c r="B1062" s="5">
        <v>90799</v>
      </c>
      <c r="C1062" s="5">
        <v>1045691531</v>
      </c>
      <c r="D1062" s="5" t="s">
        <v>1056</v>
      </c>
      <c r="F1062" s="5" t="s">
        <v>5059</v>
      </c>
      <c r="H1062" s="5">
        <v>573006344995</v>
      </c>
      <c r="J1062" s="5" t="s">
        <v>5060</v>
      </c>
      <c r="K1062" s="5" t="s">
        <v>103</v>
      </c>
      <c r="L1062" s="5" t="s">
        <v>5061</v>
      </c>
      <c r="M1062" s="5">
        <v>3013003156</v>
      </c>
      <c r="N1062" s="6">
        <v>46027</v>
      </c>
      <c r="O1062" s="7">
        <v>0.41666666666666669</v>
      </c>
      <c r="P1062" s="5">
        <v>1</v>
      </c>
      <c r="Q1062" s="5" t="s">
        <v>1792</v>
      </c>
      <c r="R1062" s="5">
        <v>130000</v>
      </c>
      <c r="S1062" s="5">
        <v>0</v>
      </c>
      <c r="T1062" s="5">
        <v>10000</v>
      </c>
      <c r="U1062" s="5">
        <v>140000</v>
      </c>
      <c r="V1062" s="5" t="s">
        <v>5062</v>
      </c>
      <c r="W1062" s="5" t="s">
        <v>36</v>
      </c>
      <c r="X1062" s="5" t="s">
        <v>1481</v>
      </c>
      <c r="Z1062" s="5" t="s">
        <v>5063</v>
      </c>
      <c r="AA1062" s="5" t="s">
        <v>44</v>
      </c>
      <c r="AC1062" s="8" t="str">
        <f>HYPERLINK("https://drive.google.com/file/d/1CyiGRUKQR8zaKEK4aB5jehZRo0GR6X9D/view?usp=drivesdk", "Abrir_Factura")</f>
        <v>Abrir_Factura</v>
      </c>
      <c r="AD1062" s="9">
        <v>46027.37909722222</v>
      </c>
    </row>
    <row r="1063" spans="1:30" ht="12.5">
      <c r="A1063" s="4">
        <v>46027.415695173608</v>
      </c>
      <c r="B1063" s="5">
        <v>90800</v>
      </c>
      <c r="C1063" s="5">
        <v>1047506220</v>
      </c>
      <c r="D1063" s="5" t="s">
        <v>1928</v>
      </c>
      <c r="F1063" s="5" t="s">
        <v>5064</v>
      </c>
      <c r="H1063" s="5">
        <v>573012181032</v>
      </c>
      <c r="J1063" s="5" t="s">
        <v>5065</v>
      </c>
      <c r="K1063" s="5" t="s">
        <v>33</v>
      </c>
      <c r="L1063" s="5" t="s">
        <v>34</v>
      </c>
      <c r="M1063" s="5">
        <v>3012181032</v>
      </c>
      <c r="N1063" s="6">
        <v>46027</v>
      </c>
      <c r="O1063" s="7">
        <v>0</v>
      </c>
      <c r="P1063" s="5">
        <v>1</v>
      </c>
      <c r="Q1063" s="5" t="s">
        <v>309</v>
      </c>
      <c r="R1063" s="5">
        <v>80000</v>
      </c>
      <c r="S1063" s="5">
        <v>0</v>
      </c>
      <c r="T1063" s="5">
        <v>0</v>
      </c>
      <c r="U1063" s="5">
        <v>80000</v>
      </c>
      <c r="V1063" s="5"/>
      <c r="W1063" s="5" t="s">
        <v>36</v>
      </c>
      <c r="X1063" s="5" t="s">
        <v>43</v>
      </c>
      <c r="AA1063" s="5" t="s">
        <v>37</v>
      </c>
      <c r="AB1063" s="5" t="s">
        <v>5066</v>
      </c>
      <c r="AC1063" s="8" t="str">
        <f>HYPERLINK("https://drive.google.com/file/d/1pPicQCJv34ljw3nYStECIKr0cgbvG7ul/view?usp=drivesdk", "Abrir_Factura")</f>
        <v>Abrir_Factura</v>
      </c>
      <c r="AD1063" s="9">
        <v>46027.416284722225</v>
      </c>
    </row>
    <row r="1064" spans="1:30" ht="12.5">
      <c r="A1064" s="4">
        <v>46027.39062366898</v>
      </c>
      <c r="B1064" s="5">
        <v>90801</v>
      </c>
      <c r="C1064" s="5">
        <v>1140886688</v>
      </c>
      <c r="D1064" s="5" t="s">
        <v>1719</v>
      </c>
      <c r="F1064" s="5" t="s">
        <v>5067</v>
      </c>
      <c r="H1064" s="5">
        <v>573216680671</v>
      </c>
      <c r="J1064" s="5" t="s">
        <v>5068</v>
      </c>
      <c r="K1064" s="5" t="s">
        <v>33</v>
      </c>
      <c r="L1064" s="5" t="s">
        <v>34</v>
      </c>
      <c r="M1064" s="5">
        <v>3216680671</v>
      </c>
      <c r="N1064" s="6">
        <v>46028</v>
      </c>
      <c r="O1064" s="7">
        <v>0.375</v>
      </c>
      <c r="P1064" s="5">
        <v>1</v>
      </c>
      <c r="Q1064" s="5" t="s">
        <v>375</v>
      </c>
      <c r="R1064" s="5">
        <v>70000</v>
      </c>
      <c r="S1064" s="5">
        <v>0</v>
      </c>
      <c r="T1064" s="5">
        <v>0</v>
      </c>
      <c r="U1064" s="5">
        <v>70000</v>
      </c>
      <c r="V1064" s="5" t="s">
        <v>5069</v>
      </c>
      <c r="W1064" s="5" t="s">
        <v>36</v>
      </c>
      <c r="X1064" s="5" t="s">
        <v>2438</v>
      </c>
      <c r="Z1064" s="5" t="s">
        <v>5070</v>
      </c>
      <c r="AA1064" s="5" t="s">
        <v>69</v>
      </c>
      <c r="AC1064" s="8" t="str">
        <f>HYPERLINK("https://drive.google.com/file/d/1yHJDOfQ6bYxgH04VtMXQ7F9Ee1L6p59o/view?usp=drivesdk", "Abrir_Factura")</f>
        <v>Abrir_Factura</v>
      </c>
      <c r="AD1064" s="9">
        <v>46027.419189814813</v>
      </c>
    </row>
    <row r="1065" spans="1:30" ht="12.5">
      <c r="A1065" s="4">
        <v>46027.420251203701</v>
      </c>
      <c r="B1065" s="5">
        <v>90802</v>
      </c>
      <c r="C1065" s="5">
        <v>1045673669</v>
      </c>
      <c r="D1065" s="5" t="s">
        <v>5071</v>
      </c>
      <c r="F1065" s="5" t="s">
        <v>2560</v>
      </c>
      <c r="H1065" s="5">
        <v>573242364443</v>
      </c>
      <c r="J1065" s="5" t="s">
        <v>5072</v>
      </c>
      <c r="K1065" s="5" t="s">
        <v>1272</v>
      </c>
      <c r="L1065" s="5" t="s">
        <v>5073</v>
      </c>
      <c r="M1065" s="5">
        <v>3004552663</v>
      </c>
      <c r="N1065" s="6">
        <v>46027</v>
      </c>
      <c r="O1065" s="7">
        <v>0.45833333333333331</v>
      </c>
      <c r="P1065" s="5">
        <v>1</v>
      </c>
      <c r="Q1065" s="5" t="s">
        <v>375</v>
      </c>
      <c r="R1065" s="5">
        <v>70000</v>
      </c>
      <c r="S1065" s="5">
        <v>0</v>
      </c>
      <c r="T1065" s="5">
        <v>12000</v>
      </c>
      <c r="U1065" s="5">
        <v>82000</v>
      </c>
      <c r="V1065" s="5" t="s">
        <v>5074</v>
      </c>
      <c r="W1065" s="5" t="s">
        <v>36</v>
      </c>
      <c r="X1065" s="5" t="s">
        <v>180</v>
      </c>
      <c r="Z1065" s="5" t="s">
        <v>5075</v>
      </c>
      <c r="AA1065" s="5" t="s">
        <v>69</v>
      </c>
      <c r="AC1065" s="8" t="str">
        <f>HYPERLINK("https://drive.google.com/file/d/16SIDl2W94rHxVwZUXktSQNU_1LG0CaLh/view?usp=drivesdk", "Abrir_Factura")</f>
        <v>Abrir_Factura</v>
      </c>
      <c r="AD1065" s="9">
        <v>46027.428541666668</v>
      </c>
    </row>
    <row r="1066" spans="1:30" ht="12.5">
      <c r="A1066" s="4">
        <v>46027.432537870365</v>
      </c>
      <c r="B1066" s="5">
        <v>90803</v>
      </c>
      <c r="C1066" s="5">
        <v>33104426</v>
      </c>
      <c r="D1066" s="5" t="s">
        <v>5076</v>
      </c>
      <c r="F1066" s="5" t="s">
        <v>5077</v>
      </c>
      <c r="H1066" s="5">
        <v>573008162675</v>
      </c>
      <c r="J1066" s="5" t="s">
        <v>5078</v>
      </c>
      <c r="K1066" s="5" t="s">
        <v>33</v>
      </c>
      <c r="L1066" s="5" t="s">
        <v>34</v>
      </c>
      <c r="M1066" s="5" t="s">
        <v>5079</v>
      </c>
      <c r="N1066" s="6">
        <v>46027</v>
      </c>
      <c r="O1066" s="7">
        <v>0</v>
      </c>
      <c r="P1066" s="5">
        <v>1</v>
      </c>
      <c r="Q1066" s="5" t="s">
        <v>42</v>
      </c>
      <c r="R1066" s="5">
        <v>27000</v>
      </c>
      <c r="S1066" s="5">
        <v>0</v>
      </c>
      <c r="T1066" s="5">
        <v>0</v>
      </c>
      <c r="U1066" s="5">
        <v>27000</v>
      </c>
      <c r="V1066" s="5"/>
      <c r="W1066" s="5" t="s">
        <v>36</v>
      </c>
      <c r="X1066" s="5" t="s">
        <v>2636</v>
      </c>
      <c r="AA1066" s="5" t="s">
        <v>1717</v>
      </c>
      <c r="AB1066" s="5" t="s">
        <v>525</v>
      </c>
      <c r="AC1066" s="8" t="str">
        <f>HYPERLINK("https://drive.google.com/file/d/14z8Vo4MsgtsOjW3cAQhJ9c-9mEF3czBF/view?usp=drivesdk", "Abrir_Factura")</f>
        <v>Abrir_Factura</v>
      </c>
      <c r="AD1066" s="9">
        <v>46027.433067129627</v>
      </c>
    </row>
    <row r="1067" spans="1:30" ht="12.5">
      <c r="A1067" s="4">
        <v>46027.425366921292</v>
      </c>
      <c r="B1067" s="5">
        <v>90804</v>
      </c>
      <c r="C1067" s="5">
        <v>1143161263</v>
      </c>
      <c r="D1067" s="5" t="s">
        <v>5080</v>
      </c>
      <c r="F1067" s="5" t="s">
        <v>5081</v>
      </c>
      <c r="H1067" s="5">
        <v>573028008923</v>
      </c>
      <c r="J1067" s="5" t="s">
        <v>5082</v>
      </c>
      <c r="K1067" s="5" t="s">
        <v>314</v>
      </c>
      <c r="L1067" s="5" t="s">
        <v>5083</v>
      </c>
      <c r="M1067" s="5">
        <v>3003704886</v>
      </c>
      <c r="N1067" s="6">
        <v>46027</v>
      </c>
      <c r="O1067" s="7">
        <v>0</v>
      </c>
      <c r="P1067" s="5">
        <v>1</v>
      </c>
      <c r="Q1067" s="5" t="s">
        <v>375</v>
      </c>
      <c r="R1067" s="5">
        <v>70000</v>
      </c>
      <c r="S1067" s="5">
        <v>0</v>
      </c>
      <c r="T1067" s="5">
        <v>15000</v>
      </c>
      <c r="U1067" s="5">
        <v>85000</v>
      </c>
      <c r="V1067" s="5" t="s">
        <v>5084</v>
      </c>
      <c r="W1067" s="5" t="s">
        <v>36</v>
      </c>
      <c r="X1067" s="5" t="s">
        <v>83</v>
      </c>
      <c r="Z1067" s="5" t="s">
        <v>5085</v>
      </c>
      <c r="AA1067" s="5" t="s">
        <v>44</v>
      </c>
      <c r="AC1067" s="8" t="str">
        <f>HYPERLINK("https://drive.google.com/file/d/1lAe9LX0KR5IjD55Z_Hb20NRWLsxkffUh/view?usp=drivesdk", "Abrir_Factura")</f>
        <v>Abrir_Factura</v>
      </c>
      <c r="AD1067" s="9">
        <v>46027.437673611108</v>
      </c>
    </row>
    <row r="1068" spans="1:30" ht="12.5">
      <c r="A1068" s="4">
        <v>46027.436770775465</v>
      </c>
      <c r="B1068" s="5">
        <v>90805</v>
      </c>
      <c r="C1068" s="5">
        <v>1140886454</v>
      </c>
      <c r="D1068" s="5" t="s">
        <v>5086</v>
      </c>
      <c r="F1068" s="5" t="s">
        <v>5087</v>
      </c>
      <c r="H1068" s="5">
        <v>573218041357</v>
      </c>
      <c r="J1068" s="5" t="s">
        <v>5088</v>
      </c>
      <c r="K1068" s="5" t="s">
        <v>5089</v>
      </c>
      <c r="L1068" s="5" t="s">
        <v>5090</v>
      </c>
      <c r="M1068" s="5">
        <v>3022674361</v>
      </c>
      <c r="N1068" s="6">
        <v>46027</v>
      </c>
      <c r="O1068" s="7">
        <v>0</v>
      </c>
      <c r="P1068" s="5">
        <v>1</v>
      </c>
      <c r="Q1068" s="5" t="s">
        <v>156</v>
      </c>
      <c r="R1068" s="5">
        <v>70000</v>
      </c>
      <c r="S1068" s="5">
        <v>0</v>
      </c>
      <c r="T1068" s="5">
        <v>25000</v>
      </c>
      <c r="U1068" s="5">
        <v>95000</v>
      </c>
      <c r="V1068" s="5" t="s">
        <v>5091</v>
      </c>
      <c r="W1068" s="5" t="s">
        <v>36</v>
      </c>
      <c r="X1068" s="5" t="s">
        <v>83</v>
      </c>
      <c r="Z1068" s="5" t="s">
        <v>5092</v>
      </c>
      <c r="AA1068" s="5" t="s">
        <v>69</v>
      </c>
      <c r="AB1068" s="5" t="s">
        <v>5093</v>
      </c>
      <c r="AC1068" s="8" t="str">
        <f>HYPERLINK("https://drive.google.com/file/d/1zmIFWa0ktNu2fIABB4Dk59k6PinthUj-/view?usp=drivesdk", "Abrir_Factura")</f>
        <v>Abrir_Factura</v>
      </c>
      <c r="AD1068" s="9">
        <v>46027.44604166667</v>
      </c>
    </row>
    <row r="1069" spans="1:30" ht="12.5">
      <c r="A1069" s="4">
        <v>46027.446709050928</v>
      </c>
      <c r="B1069" s="5">
        <v>90806</v>
      </c>
      <c r="C1069" s="5">
        <v>1139424250</v>
      </c>
      <c r="D1069" s="5" t="s">
        <v>5094</v>
      </c>
      <c r="F1069" s="5" t="s">
        <v>5095</v>
      </c>
      <c r="H1069" s="5">
        <v>573008057798</v>
      </c>
      <c r="J1069" s="5" t="s">
        <v>5096</v>
      </c>
      <c r="K1069" s="5" t="s">
        <v>185</v>
      </c>
      <c r="L1069" s="5" t="s">
        <v>5097</v>
      </c>
      <c r="M1069" s="5">
        <v>3008058839</v>
      </c>
      <c r="N1069" s="6">
        <v>46028</v>
      </c>
      <c r="O1069" s="7">
        <v>0.375</v>
      </c>
      <c r="P1069" s="5">
        <v>1</v>
      </c>
      <c r="Q1069" s="5" t="s">
        <v>309</v>
      </c>
      <c r="R1069" s="5">
        <v>80000</v>
      </c>
      <c r="S1069" s="5">
        <v>0</v>
      </c>
      <c r="T1069" s="5">
        <v>8000</v>
      </c>
      <c r="U1069" s="5">
        <v>88000</v>
      </c>
      <c r="V1069" s="5" t="s">
        <v>5098</v>
      </c>
      <c r="W1069" s="5" t="s">
        <v>36</v>
      </c>
      <c r="X1069" s="5" t="s">
        <v>83</v>
      </c>
      <c r="Z1069" s="5" t="s">
        <v>5099</v>
      </c>
      <c r="AA1069" s="5" t="s">
        <v>69</v>
      </c>
      <c r="AC1069" s="8" t="str">
        <f>HYPERLINK("https://drive.google.com/file/d/1w3zxqXxC_kYCfYQU9gNj2nmIYni2Xcfu/view?usp=drivesdk", "Abrir_Factura")</f>
        <v>Abrir_Factura</v>
      </c>
      <c r="AD1069" s="9">
        <v>46027.460312499999</v>
      </c>
    </row>
    <row r="1070" spans="1:30" ht="12.5">
      <c r="A1070" s="4">
        <v>46027.472095335645</v>
      </c>
      <c r="B1070" s="5">
        <v>90807</v>
      </c>
      <c r="C1070" s="5">
        <v>3718783</v>
      </c>
      <c r="D1070" s="5" t="s">
        <v>5100</v>
      </c>
      <c r="F1070" s="5" t="s">
        <v>1924</v>
      </c>
      <c r="H1070" s="5">
        <v>573005869319</v>
      </c>
      <c r="J1070" s="5" t="s">
        <v>5101</v>
      </c>
      <c r="K1070" s="5" t="s">
        <v>33</v>
      </c>
      <c r="L1070" s="5" t="s">
        <v>34</v>
      </c>
      <c r="M1070" s="5">
        <v>3005869319</v>
      </c>
      <c r="N1070" s="6">
        <v>46027</v>
      </c>
      <c r="O1070" s="7">
        <v>0.48541666666666666</v>
      </c>
      <c r="P1070" s="5">
        <v>1</v>
      </c>
      <c r="Q1070" s="5" t="s">
        <v>42</v>
      </c>
      <c r="R1070" s="5">
        <v>15000</v>
      </c>
      <c r="S1070" s="5">
        <v>0</v>
      </c>
      <c r="T1070" s="5">
        <v>0</v>
      </c>
      <c r="U1070" s="5">
        <v>15000</v>
      </c>
      <c r="V1070" s="5"/>
      <c r="W1070" s="5" t="s">
        <v>36</v>
      </c>
      <c r="X1070" s="5" t="s">
        <v>196</v>
      </c>
      <c r="AA1070" s="5" t="s">
        <v>1717</v>
      </c>
      <c r="AB1070" s="5" t="s">
        <v>5102</v>
      </c>
      <c r="AC1070" s="8" t="str">
        <f>HYPERLINK("https://drive.google.com/file/d/1fiOwVZuCIFco0rDZ8rLkGEHqvdIjra70/view?usp=drivesdk", "Abrir_Factura")</f>
        <v>Abrir_Factura</v>
      </c>
      <c r="AD1070" s="9">
        <v>46027.473194444443</v>
      </c>
    </row>
    <row r="1071" spans="1:30" ht="12.5">
      <c r="A1071" s="4">
        <v>46027.490887870372</v>
      </c>
      <c r="B1071" s="5">
        <v>90808</v>
      </c>
      <c r="C1071" s="5">
        <v>37947586</v>
      </c>
      <c r="D1071" s="5" t="s">
        <v>5103</v>
      </c>
      <c r="F1071" s="5" t="s">
        <v>1566</v>
      </c>
      <c r="H1071" s="5">
        <v>573215896376</v>
      </c>
      <c r="J1071" s="5" t="s">
        <v>5104</v>
      </c>
      <c r="K1071" s="5" t="s">
        <v>73</v>
      </c>
      <c r="L1071" s="5" t="s">
        <v>5105</v>
      </c>
      <c r="M1071" s="5">
        <v>3215896376</v>
      </c>
      <c r="N1071" s="6">
        <v>46028</v>
      </c>
      <c r="O1071" s="7">
        <v>0.33333333333333331</v>
      </c>
      <c r="P1071" s="5">
        <v>1</v>
      </c>
      <c r="Q1071" s="5" t="s">
        <v>42</v>
      </c>
      <c r="R1071" s="5">
        <v>305000</v>
      </c>
      <c r="S1071" s="5">
        <v>0</v>
      </c>
      <c r="T1071" s="5">
        <v>8000</v>
      </c>
      <c r="U1071" s="5">
        <v>313000</v>
      </c>
      <c r="V1071" s="5"/>
      <c r="W1071" s="5" t="s">
        <v>36</v>
      </c>
      <c r="X1071" s="5" t="s">
        <v>83</v>
      </c>
      <c r="AA1071" s="5" t="s">
        <v>44</v>
      </c>
      <c r="AB1071" s="5" t="s">
        <v>5106</v>
      </c>
      <c r="AC1071" s="8" t="str">
        <f>HYPERLINK("https://drive.google.com/file/d/1pgSWoYKbLOO3PuegxZX4i84zbfUQUgO5/view?usp=drivesdk", "Abrir_Factura")</f>
        <v>Abrir_Factura</v>
      </c>
      <c r="AD1071" s="9">
        <v>46027.521863425929</v>
      </c>
    </row>
    <row r="1072" spans="1:30" ht="12.5">
      <c r="A1072" s="4">
        <v>46027.488467233794</v>
      </c>
      <c r="B1072" s="5">
        <v>90809</v>
      </c>
      <c r="C1072" s="5">
        <v>37947586</v>
      </c>
      <c r="D1072" s="5" t="s">
        <v>5103</v>
      </c>
      <c r="F1072" s="5" t="s">
        <v>1566</v>
      </c>
      <c r="H1072" s="5">
        <v>573215896376</v>
      </c>
      <c r="J1072" s="5" t="s">
        <v>5104</v>
      </c>
      <c r="K1072" s="5" t="s">
        <v>1815</v>
      </c>
      <c r="L1072" s="5" t="s">
        <v>5107</v>
      </c>
      <c r="M1072" s="5">
        <v>3215896376</v>
      </c>
      <c r="N1072" s="6">
        <v>46028</v>
      </c>
      <c r="O1072" s="7">
        <v>0.33333333333333331</v>
      </c>
      <c r="P1072" s="5">
        <v>1</v>
      </c>
      <c r="Q1072" s="5" t="s">
        <v>42</v>
      </c>
      <c r="R1072" s="5">
        <v>600000</v>
      </c>
      <c r="S1072" s="5">
        <v>0</v>
      </c>
      <c r="T1072" s="5">
        <v>18000</v>
      </c>
      <c r="U1072" s="5">
        <v>618000</v>
      </c>
      <c r="V1072" s="5"/>
      <c r="W1072" s="5" t="s">
        <v>36</v>
      </c>
      <c r="X1072" s="5" t="s">
        <v>83</v>
      </c>
      <c r="AA1072" s="5" t="s">
        <v>44</v>
      </c>
      <c r="AB1072" s="5" t="s">
        <v>5108</v>
      </c>
      <c r="AC1072" s="8" t="str">
        <f>HYPERLINK("https://drive.google.com/file/d/19Mtx2EmJMh_8uUqrKi_fSmacylBYI0J3/view?usp=drivesdk", "Abrir_Factura")</f>
        <v>Abrir_Factura</v>
      </c>
      <c r="AD1072" s="9">
        <v>46027.509444444448</v>
      </c>
    </row>
    <row r="1073" spans="1:30" ht="12.5">
      <c r="A1073" s="4">
        <v>46027.498507164353</v>
      </c>
      <c r="B1073" s="5">
        <v>90810</v>
      </c>
      <c r="C1073" s="5">
        <v>37947586</v>
      </c>
      <c r="D1073" s="5" t="s">
        <v>5103</v>
      </c>
      <c r="F1073" s="5" t="s">
        <v>1566</v>
      </c>
      <c r="H1073" s="5">
        <v>573215896376</v>
      </c>
      <c r="J1073" s="5" t="s">
        <v>5104</v>
      </c>
      <c r="K1073" s="5"/>
      <c r="L1073" s="5" t="s">
        <v>5109</v>
      </c>
      <c r="M1073" s="5"/>
      <c r="N1073" s="6">
        <v>46028</v>
      </c>
      <c r="O1073" s="7">
        <v>0.33333333333333331</v>
      </c>
      <c r="P1073" s="5">
        <v>1</v>
      </c>
      <c r="Q1073" s="5" t="s">
        <v>5110</v>
      </c>
      <c r="R1073" s="5">
        <v>308000</v>
      </c>
      <c r="S1073" s="5">
        <v>0</v>
      </c>
      <c r="T1073" s="5"/>
      <c r="U1073" s="5">
        <v>308000</v>
      </c>
      <c r="V1073" s="5"/>
      <c r="W1073" s="5" t="s">
        <v>36</v>
      </c>
      <c r="X1073" s="5" t="s">
        <v>83</v>
      </c>
      <c r="AA1073" s="5" t="s">
        <v>44</v>
      </c>
      <c r="AB1073" s="5" t="s">
        <v>5111</v>
      </c>
      <c r="AC1073" s="8" t="str">
        <f>HYPERLINK("https://drive.google.com/file/d/1aTr6Sef-7sIXgNXcnwiqWDsxnDxg_Iuu/view?usp=drivesdk", "Abrir_Factura")</f>
        <v>Abrir_Factura</v>
      </c>
      <c r="AD1073" s="9">
        <v>46027.519293981481</v>
      </c>
    </row>
    <row r="1074" spans="1:30" ht="12.5">
      <c r="A1074" s="4">
        <v>46027.451038993051</v>
      </c>
      <c r="B1074" s="5">
        <v>90811</v>
      </c>
      <c r="C1074" s="5">
        <v>1140886958</v>
      </c>
      <c r="D1074" s="5" t="s">
        <v>4973</v>
      </c>
      <c r="F1074" s="5" t="s">
        <v>5112</v>
      </c>
      <c r="H1074" s="5">
        <v>573012089960</v>
      </c>
      <c r="J1074" s="5" t="s">
        <v>4974</v>
      </c>
      <c r="K1074" s="5" t="s">
        <v>79</v>
      </c>
      <c r="L1074" s="5" t="s">
        <v>5113</v>
      </c>
      <c r="M1074" s="5">
        <v>3012089960</v>
      </c>
      <c r="N1074" s="6">
        <v>46027</v>
      </c>
      <c r="O1074" s="7">
        <v>0</v>
      </c>
      <c r="P1074" s="5">
        <v>1</v>
      </c>
      <c r="Q1074" s="5" t="s">
        <v>178</v>
      </c>
      <c r="R1074" s="5">
        <v>100000</v>
      </c>
      <c r="S1074" s="5">
        <v>0</v>
      </c>
      <c r="T1074" s="5">
        <v>10000</v>
      </c>
      <c r="U1074" s="5">
        <v>110000</v>
      </c>
      <c r="V1074" s="5" t="s">
        <v>5114</v>
      </c>
      <c r="W1074" s="5" t="s">
        <v>36</v>
      </c>
      <c r="X1074" s="5" t="s">
        <v>1937</v>
      </c>
      <c r="Z1074" s="5" t="s">
        <v>4977</v>
      </c>
      <c r="AA1074" s="5" t="s">
        <v>44</v>
      </c>
      <c r="AC1074" s="8" t="str">
        <f>HYPERLINK("https://drive.google.com/file/d/15WaxFDOjUQsyETQlRrjm1Z_aQyAbLvHT/view?usp=drivesdk", "Abrir_Factura")</f>
        <v>Abrir_Factura</v>
      </c>
      <c r="AD1074" s="9">
        <v>46027.502002314817</v>
      </c>
    </row>
    <row r="1075" spans="1:30" ht="12.5">
      <c r="A1075" s="4">
        <v>46027.50071734954</v>
      </c>
      <c r="B1075" s="5">
        <v>90812</v>
      </c>
      <c r="C1075" s="5">
        <v>37947586</v>
      </c>
      <c r="D1075" s="5" t="s">
        <v>5103</v>
      </c>
      <c r="F1075" s="5" t="s">
        <v>1566</v>
      </c>
      <c r="H1075" s="5">
        <v>573215896376</v>
      </c>
      <c r="J1075" s="5" t="s">
        <v>5104</v>
      </c>
      <c r="K1075" s="5" t="s">
        <v>73</v>
      </c>
      <c r="L1075" s="5" t="s">
        <v>5115</v>
      </c>
      <c r="M1075" s="5">
        <v>3215896376</v>
      </c>
      <c r="N1075" s="6">
        <v>46028</v>
      </c>
      <c r="O1075" s="7">
        <v>0.33333333333333331</v>
      </c>
      <c r="P1075" s="5">
        <v>1</v>
      </c>
      <c r="Q1075" s="5" t="s">
        <v>5116</v>
      </c>
      <c r="R1075" s="5">
        <v>305000</v>
      </c>
      <c r="S1075" s="5">
        <v>0</v>
      </c>
      <c r="T1075" s="5">
        <v>8000</v>
      </c>
      <c r="U1075" s="5">
        <v>313000</v>
      </c>
      <c r="V1075" s="5"/>
      <c r="W1075" s="5" t="s">
        <v>36</v>
      </c>
      <c r="X1075" s="5" t="s">
        <v>83</v>
      </c>
      <c r="AA1075" s="5" t="s">
        <v>44</v>
      </c>
      <c r="AB1075" s="5" t="s">
        <v>5117</v>
      </c>
      <c r="AC1075" s="8" t="str">
        <f>HYPERLINK("https://drive.google.com/file/d/1jQKLhXK3NOVgr22OP4JaiKjy2lR2o3U0/view?usp=drivesdk", "Abrir_Factura")</f>
        <v>Abrir_Factura</v>
      </c>
      <c r="AD1075" s="9">
        <v>46027.520381944443</v>
      </c>
    </row>
    <row r="1076" spans="1:30" ht="12.5">
      <c r="A1076" s="4">
        <v>46027.483683923609</v>
      </c>
      <c r="B1076" s="5">
        <v>90813</v>
      </c>
      <c r="C1076" s="5">
        <v>3004848680</v>
      </c>
      <c r="D1076" s="5" t="s">
        <v>5118</v>
      </c>
      <c r="F1076" s="5" t="s">
        <v>5119</v>
      </c>
      <c r="H1076" s="5">
        <v>573004848680</v>
      </c>
      <c r="J1076" s="5" t="s">
        <v>5120</v>
      </c>
      <c r="K1076" s="5" t="s">
        <v>448</v>
      </c>
      <c r="L1076" s="5" t="s">
        <v>5121</v>
      </c>
      <c r="M1076" s="5">
        <v>3007396015</v>
      </c>
      <c r="N1076" s="6">
        <v>46027</v>
      </c>
      <c r="O1076" s="7">
        <v>0</v>
      </c>
      <c r="P1076" s="5">
        <v>1</v>
      </c>
      <c r="Q1076" s="5" t="s">
        <v>42</v>
      </c>
      <c r="R1076" s="5">
        <v>55000</v>
      </c>
      <c r="S1076" s="5">
        <v>0</v>
      </c>
      <c r="T1076" s="5">
        <v>15000</v>
      </c>
      <c r="U1076" s="5">
        <v>70000</v>
      </c>
      <c r="V1076" s="5" t="s">
        <v>5122</v>
      </c>
      <c r="W1076" s="5" t="s">
        <v>36</v>
      </c>
      <c r="X1076" s="5" t="s">
        <v>83</v>
      </c>
      <c r="AA1076" s="5" t="s">
        <v>69</v>
      </c>
      <c r="AB1076" s="5" t="s">
        <v>5123</v>
      </c>
      <c r="AC1076" s="8" t="str">
        <f>HYPERLINK("https://drive.google.com/file/d/1uZk9eetYkV790Y02OSvsAYFLULFF9SDY/view?usp=drivesdk", "Abrir_Factura")</f>
        <v>Abrir_Factura</v>
      </c>
      <c r="AD1076" s="9">
        <v>46027.504583333335</v>
      </c>
    </row>
    <row r="1077" spans="1:30" ht="12.5">
      <c r="A1077" s="4">
        <v>46027.497632962964</v>
      </c>
      <c r="B1077" s="5">
        <v>90814</v>
      </c>
      <c r="C1077" s="5">
        <v>1233691332</v>
      </c>
      <c r="D1077" s="5" t="s">
        <v>639</v>
      </c>
      <c r="F1077" s="5" t="s">
        <v>4424</v>
      </c>
      <c r="H1077" s="5">
        <v>573154857878</v>
      </c>
      <c r="J1077" s="5" t="s">
        <v>5124</v>
      </c>
      <c r="K1077" s="5" t="s">
        <v>265</v>
      </c>
      <c r="L1077" s="5" t="s">
        <v>5125</v>
      </c>
      <c r="M1077" s="5">
        <v>3157950436</v>
      </c>
      <c r="N1077" s="6">
        <v>46027</v>
      </c>
      <c r="O1077" s="7">
        <v>0.58333333333333337</v>
      </c>
      <c r="P1077" s="5">
        <v>1</v>
      </c>
      <c r="Q1077" s="5" t="s">
        <v>309</v>
      </c>
      <c r="R1077" s="5">
        <v>80000</v>
      </c>
      <c r="S1077" s="5">
        <v>0</v>
      </c>
      <c r="T1077" s="5">
        <v>17000</v>
      </c>
      <c r="U1077" s="5">
        <v>97000</v>
      </c>
      <c r="V1077" s="5" t="s">
        <v>5126</v>
      </c>
      <c r="W1077" s="5" t="s">
        <v>36</v>
      </c>
      <c r="X1077" s="5" t="s">
        <v>180</v>
      </c>
      <c r="Z1077" s="5" t="s">
        <v>5127</v>
      </c>
      <c r="AA1077" s="5" t="s">
        <v>69</v>
      </c>
      <c r="AC1077" s="8" t="str">
        <f>HYPERLINK("https://drive.google.com/file/d/1A_HVTiAYD0QmcxrwBFiRsqge10vX0vA5/view?usp=drivesdk", "Abrir_Factura")</f>
        <v>Abrir_Factura</v>
      </c>
      <c r="AD1077" s="9">
        <v>46027.514305555553</v>
      </c>
    </row>
    <row r="1078" spans="1:30" ht="12.5">
      <c r="A1078" s="4">
        <v>46027.52021638889</v>
      </c>
      <c r="B1078" s="5">
        <v>90815</v>
      </c>
      <c r="C1078" s="5">
        <v>1000729591</v>
      </c>
      <c r="D1078" s="5" t="s">
        <v>5128</v>
      </c>
      <c r="F1078" s="5" t="s">
        <v>5129</v>
      </c>
      <c r="H1078" s="5">
        <v>573168797009</v>
      </c>
      <c r="J1078" s="5" t="s">
        <v>5130</v>
      </c>
      <c r="K1078" s="5" t="s">
        <v>103</v>
      </c>
      <c r="L1078" s="5" t="s">
        <v>5131</v>
      </c>
      <c r="M1078" s="5" t="s">
        <v>25421</v>
      </c>
      <c r="N1078" s="6">
        <v>46027</v>
      </c>
      <c r="O1078" s="7">
        <v>0.58333333333333337</v>
      </c>
      <c r="P1078" s="5">
        <v>1</v>
      </c>
      <c r="Q1078" s="5" t="s">
        <v>679</v>
      </c>
      <c r="R1078" s="5">
        <v>180000</v>
      </c>
      <c r="S1078" s="5">
        <v>0</v>
      </c>
      <c r="T1078" s="5">
        <v>10000</v>
      </c>
      <c r="U1078" s="5">
        <v>190000</v>
      </c>
      <c r="V1078" s="5" t="s">
        <v>5132</v>
      </c>
      <c r="W1078" s="5" t="s">
        <v>36</v>
      </c>
      <c r="X1078" s="5" t="s">
        <v>83</v>
      </c>
      <c r="Z1078" s="5" t="s">
        <v>5133</v>
      </c>
      <c r="AA1078" s="5" t="s">
        <v>69</v>
      </c>
      <c r="AB1078" s="5" t="s">
        <v>5134</v>
      </c>
      <c r="AC1078" s="8" t="str">
        <f>HYPERLINK("https://drive.google.com/file/d/1wAPSK5UQ6T3XWk0iH1FnsSJo519XRHXU/view?usp=drivesdk", "Abrir_Factura")</f>
        <v>Abrir_Factura</v>
      </c>
      <c r="AD1078" s="9">
        <v>46027.526400462964</v>
      </c>
    </row>
    <row r="1079" spans="1:30" ht="12.5">
      <c r="A1079" s="4">
        <v>46027.449898252315</v>
      </c>
      <c r="B1079" s="5">
        <v>90816</v>
      </c>
      <c r="C1079" s="5">
        <v>1048067144</v>
      </c>
      <c r="D1079" s="5" t="s">
        <v>5135</v>
      </c>
      <c r="F1079" s="5" t="s">
        <v>5136</v>
      </c>
      <c r="H1079" s="5">
        <v>573045739199</v>
      </c>
      <c r="J1079" s="5" t="s">
        <v>5137</v>
      </c>
      <c r="K1079" s="5" t="s">
        <v>154</v>
      </c>
      <c r="L1079" s="5" t="s">
        <v>5138</v>
      </c>
      <c r="M1079" s="5">
        <v>3045739199</v>
      </c>
      <c r="N1079" s="6">
        <v>46028</v>
      </c>
      <c r="O1079" s="7">
        <v>0.63749999999999996</v>
      </c>
      <c r="P1079" s="5">
        <v>1</v>
      </c>
      <c r="Q1079" s="5" t="s">
        <v>375</v>
      </c>
      <c r="R1079" s="5">
        <v>70000</v>
      </c>
      <c r="S1079" s="5">
        <v>0</v>
      </c>
      <c r="T1079" s="5">
        <v>8000</v>
      </c>
      <c r="U1079" s="5">
        <v>78000</v>
      </c>
      <c r="V1079" s="5" t="s">
        <v>5139</v>
      </c>
      <c r="W1079" s="5" t="s">
        <v>36</v>
      </c>
      <c r="X1079" s="5" t="s">
        <v>83</v>
      </c>
      <c r="Z1079" s="5" t="s">
        <v>5140</v>
      </c>
      <c r="AA1079" s="5" t="s">
        <v>44</v>
      </c>
      <c r="AC1079" s="8" t="str">
        <f>HYPERLINK("https://drive.google.com/file/d/14Dg84ySM3wr7vCqDXAcNraGk2e3MEOn_/view?usp=drivesdk", "Abrir_Factura")</f>
        <v>Abrir_Factura</v>
      </c>
      <c r="AD1079" s="9">
        <v>46027.53465277778</v>
      </c>
    </row>
    <row r="1080" spans="1:30" ht="12.5">
      <c r="A1080" s="4">
        <v>46027.543507719907</v>
      </c>
      <c r="B1080" s="5">
        <v>90817</v>
      </c>
      <c r="C1080" s="5">
        <v>64477956</v>
      </c>
      <c r="D1080" s="5" t="s">
        <v>5141</v>
      </c>
      <c r="F1080" s="5" t="s">
        <v>5142</v>
      </c>
      <c r="H1080" s="5">
        <v>573103991239</v>
      </c>
      <c r="J1080" s="5" t="s">
        <v>5143</v>
      </c>
      <c r="K1080" s="5" t="s">
        <v>1647</v>
      </c>
      <c r="L1080" s="5" t="s">
        <v>5144</v>
      </c>
      <c r="M1080" s="5">
        <v>3103991239</v>
      </c>
      <c r="N1080" s="6">
        <v>46027</v>
      </c>
      <c r="O1080" s="7">
        <v>0.125</v>
      </c>
      <c r="P1080" s="5">
        <v>1</v>
      </c>
      <c r="Q1080" s="5" t="s">
        <v>5145</v>
      </c>
      <c r="R1080" s="5">
        <v>200000</v>
      </c>
      <c r="S1080" s="5">
        <v>0</v>
      </c>
      <c r="T1080" s="5">
        <v>18000</v>
      </c>
      <c r="U1080" s="5">
        <v>218000</v>
      </c>
      <c r="V1080" s="5"/>
      <c r="W1080" s="5" t="s">
        <v>36</v>
      </c>
      <c r="X1080" s="5" t="s">
        <v>83</v>
      </c>
      <c r="Z1080" s="5" t="s">
        <v>5146</v>
      </c>
      <c r="AA1080" s="5" t="s">
        <v>69</v>
      </c>
      <c r="AB1080" s="5" t="s">
        <v>5147</v>
      </c>
      <c r="AC1080" s="8" t="str">
        <f>HYPERLINK("https://drive.google.com/file/d/1a6b3x1WzTOXoZta5tECEWvrbpmiRD-ND/view?usp=drivesdk", "Abrir_Factura")</f>
        <v>Abrir_Factura</v>
      </c>
      <c r="AD1080" s="9">
        <v>46027.551793981482</v>
      </c>
    </row>
    <row r="1081" spans="1:30" ht="12.5">
      <c r="A1081" s="4">
        <v>46027.57300329861</v>
      </c>
      <c r="B1081" s="5">
        <v>90818</v>
      </c>
      <c r="C1081" s="5">
        <v>72247763</v>
      </c>
      <c r="D1081" s="5" t="s">
        <v>5148</v>
      </c>
      <c r="F1081" s="5" t="s">
        <v>5149</v>
      </c>
      <c r="H1081" s="5">
        <v>57145944490</v>
      </c>
      <c r="J1081" s="5" t="s">
        <v>5150</v>
      </c>
      <c r="K1081" s="5"/>
      <c r="L1081" s="5" t="s">
        <v>5151</v>
      </c>
      <c r="M1081" s="5"/>
      <c r="N1081" s="6">
        <v>46028</v>
      </c>
      <c r="O1081" s="7">
        <v>0.33333333333333331</v>
      </c>
      <c r="P1081" s="5">
        <v>1</v>
      </c>
      <c r="Q1081" s="5" t="s">
        <v>707</v>
      </c>
      <c r="R1081" s="5">
        <v>320000</v>
      </c>
      <c r="S1081" s="5">
        <v>0</v>
      </c>
      <c r="T1081" s="5"/>
      <c r="U1081" s="5">
        <v>320000</v>
      </c>
      <c r="V1081" s="5" t="s">
        <v>5152</v>
      </c>
      <c r="W1081" s="5" t="s">
        <v>36</v>
      </c>
      <c r="X1081" s="5" t="s">
        <v>196</v>
      </c>
      <c r="AA1081" s="5" t="s">
        <v>1717</v>
      </c>
      <c r="AC1081" s="8" t="str">
        <f>HYPERLINK("https://drive.google.com/file/d/17tIHUBtsQLDkZu03MSRKdM_yjcngQ7u1/view?usp=drivesdk", "Abrir_Factura")</f>
        <v>Abrir_Factura</v>
      </c>
      <c r="AD1081" s="9">
        <v>46027.573796296296</v>
      </c>
    </row>
    <row r="1082" spans="1:30" ht="12.5">
      <c r="A1082" s="4">
        <v>46027.579713148152</v>
      </c>
      <c r="B1082" s="5">
        <v>90819</v>
      </c>
      <c r="C1082" s="5">
        <v>22408961</v>
      </c>
      <c r="D1082" s="5" t="s">
        <v>4465</v>
      </c>
      <c r="F1082" s="5" t="s">
        <v>4466</v>
      </c>
      <c r="H1082" s="5">
        <v>573006631795</v>
      </c>
      <c r="J1082" s="5" t="s">
        <v>5153</v>
      </c>
      <c r="K1082" s="5" t="s">
        <v>924</v>
      </c>
      <c r="L1082" s="5" t="s">
        <v>5154</v>
      </c>
      <c r="M1082" s="5"/>
      <c r="N1082" s="6">
        <v>46027</v>
      </c>
      <c r="O1082" s="7">
        <v>0.66666666666666663</v>
      </c>
      <c r="P1082" s="5">
        <v>1</v>
      </c>
      <c r="Q1082" s="5" t="s">
        <v>5155</v>
      </c>
      <c r="R1082" s="5">
        <v>200000</v>
      </c>
      <c r="S1082" s="5">
        <v>0</v>
      </c>
      <c r="T1082" s="5">
        <v>20000</v>
      </c>
      <c r="U1082" s="5">
        <v>220000</v>
      </c>
      <c r="V1082" s="5"/>
      <c r="W1082" s="5" t="s">
        <v>36</v>
      </c>
      <c r="X1082" s="5" t="s">
        <v>43</v>
      </c>
      <c r="AA1082" s="5" t="s">
        <v>44</v>
      </c>
      <c r="AC1082" s="8" t="str">
        <f>HYPERLINK("https://drive.google.com/file/d/193q1m9e9yy2Lb0cxGZ2UzaGI-VTNTdpe/view?usp=drivesdk", "Abrir_Factura")</f>
        <v>Abrir_Factura</v>
      </c>
      <c r="AD1082" s="9">
        <v>46027.580972222226</v>
      </c>
    </row>
    <row r="1083" spans="1:30" ht="12.5">
      <c r="A1083" s="4">
        <v>46027.586572939814</v>
      </c>
      <c r="B1083" s="5">
        <v>90820</v>
      </c>
      <c r="C1083" s="5">
        <v>22408961</v>
      </c>
      <c r="D1083" s="5" t="s">
        <v>4465</v>
      </c>
      <c r="F1083" s="5" t="s">
        <v>4466</v>
      </c>
      <c r="H1083" s="5">
        <v>573006631795</v>
      </c>
      <c r="J1083" s="5" t="s">
        <v>5156</v>
      </c>
      <c r="K1083" s="5"/>
      <c r="L1083" s="5" t="s">
        <v>5157</v>
      </c>
      <c r="M1083" s="5"/>
      <c r="N1083" s="6">
        <v>46027</v>
      </c>
      <c r="O1083" s="7">
        <v>0.66666666666666663</v>
      </c>
      <c r="P1083" s="5">
        <v>1</v>
      </c>
      <c r="Q1083" s="5" t="s">
        <v>5158</v>
      </c>
      <c r="R1083" s="5">
        <v>200000</v>
      </c>
      <c r="S1083" s="5">
        <v>0</v>
      </c>
      <c r="T1083" s="5"/>
      <c r="U1083" s="5">
        <v>200000</v>
      </c>
      <c r="V1083" s="5"/>
      <c r="W1083" s="5" t="s">
        <v>36</v>
      </c>
      <c r="X1083" s="5" t="s">
        <v>43</v>
      </c>
      <c r="AA1083" s="5" t="s">
        <v>69</v>
      </c>
      <c r="AB1083" s="5" t="s">
        <v>5158</v>
      </c>
      <c r="AC1083" s="8" t="str">
        <f>HYPERLINK("https://drive.google.com/file/d/1SUeA0pHWTr766yPE5M5yBTW-1CthrOk6/view?usp=drivesdk", "Abrir_Factura")</f>
        <v>Abrir_Factura</v>
      </c>
      <c r="AD1083" s="9">
        <v>46027.587361111109</v>
      </c>
    </row>
    <row r="1084" spans="1:30" ht="12.5">
      <c r="A1084" s="4">
        <v>46027.588916354165</v>
      </c>
      <c r="B1084" s="5">
        <v>90821</v>
      </c>
      <c r="C1084" s="5">
        <v>1129574228</v>
      </c>
      <c r="D1084" s="5" t="s">
        <v>5159</v>
      </c>
      <c r="F1084" s="5" t="s">
        <v>3785</v>
      </c>
      <c r="H1084" s="5">
        <v>573116902567</v>
      </c>
      <c r="J1084" s="5" t="s">
        <v>5160</v>
      </c>
      <c r="K1084" s="5" t="s">
        <v>1047</v>
      </c>
      <c r="L1084" s="5" t="s">
        <v>5161</v>
      </c>
      <c r="M1084" s="5">
        <v>3148562023</v>
      </c>
      <c r="N1084" s="6">
        <v>46027</v>
      </c>
      <c r="O1084" s="7">
        <v>0.625</v>
      </c>
      <c r="P1084" s="5">
        <v>1</v>
      </c>
      <c r="Q1084" s="5" t="s">
        <v>309</v>
      </c>
      <c r="R1084" s="5">
        <v>80000</v>
      </c>
      <c r="S1084" s="5">
        <v>0</v>
      </c>
      <c r="T1084" s="5">
        <v>15000</v>
      </c>
      <c r="U1084" s="5">
        <v>95000</v>
      </c>
      <c r="V1084" s="5" t="s">
        <v>5162</v>
      </c>
      <c r="W1084" s="5" t="s">
        <v>36</v>
      </c>
      <c r="X1084" s="5" t="s">
        <v>2636</v>
      </c>
      <c r="AA1084" s="5" t="s">
        <v>1717</v>
      </c>
      <c r="AC1084" s="8" t="str">
        <f>HYPERLINK("https://drive.google.com/file/d/1os2cPkpo2om2tnlhCdjxgsmPiyq01NGl/view?usp=drivesdk", "Abrir_Factura")</f>
        <v>Abrir_Factura</v>
      </c>
      <c r="AD1084" s="9">
        <v>46027.589375000003</v>
      </c>
    </row>
    <row r="1085" spans="1:30" ht="12.5">
      <c r="A1085" s="4">
        <v>46027.61340425926</v>
      </c>
      <c r="B1085" s="5">
        <v>90822</v>
      </c>
      <c r="C1085" s="5">
        <v>1234093227</v>
      </c>
      <c r="D1085" s="5" t="s">
        <v>5163</v>
      </c>
      <c r="F1085" s="5" t="s">
        <v>5164</v>
      </c>
      <c r="H1085" s="5">
        <v>573043507464</v>
      </c>
      <c r="J1085" s="5" t="s">
        <v>5165</v>
      </c>
      <c r="K1085" s="5" t="s">
        <v>33</v>
      </c>
      <c r="L1085" s="5" t="s">
        <v>34</v>
      </c>
      <c r="M1085" s="5">
        <v>3043507464</v>
      </c>
      <c r="N1085" s="6">
        <v>46027</v>
      </c>
      <c r="O1085" s="7">
        <v>0</v>
      </c>
      <c r="P1085" s="5">
        <v>1</v>
      </c>
      <c r="Q1085" s="5" t="s">
        <v>178</v>
      </c>
      <c r="R1085" s="5">
        <v>100000</v>
      </c>
      <c r="S1085" s="5">
        <v>0</v>
      </c>
      <c r="T1085" s="5">
        <v>0</v>
      </c>
      <c r="U1085" s="5">
        <v>100000</v>
      </c>
      <c r="V1085" s="5"/>
      <c r="W1085" s="5" t="s">
        <v>36</v>
      </c>
      <c r="X1085" s="5" t="s">
        <v>43</v>
      </c>
      <c r="AA1085" s="5" t="s">
        <v>37</v>
      </c>
      <c r="AB1085" s="5" t="s">
        <v>5166</v>
      </c>
      <c r="AC1085" s="8" t="str">
        <f>HYPERLINK("https://drive.google.com/file/d/1RLZl2FMTr5yZXW7zfMOmUIuVwiOdpZ--/view?usp=drivesdk", "Abrir_Factura")</f>
        <v>Abrir_Factura</v>
      </c>
      <c r="AD1085" s="9">
        <v>46027.614039351851</v>
      </c>
    </row>
    <row r="1086" spans="1:30" ht="12.5">
      <c r="A1086" s="4">
        <v>46027.599402199077</v>
      </c>
      <c r="B1086" s="5">
        <v>90823</v>
      </c>
      <c r="C1086" s="5">
        <v>72206210</v>
      </c>
      <c r="D1086" s="5" t="s">
        <v>810</v>
      </c>
      <c r="F1086" s="5" t="s">
        <v>811</v>
      </c>
      <c r="H1086" s="5">
        <v>573145966560</v>
      </c>
      <c r="J1086" s="5" t="s">
        <v>812</v>
      </c>
      <c r="K1086" s="5" t="s">
        <v>73</v>
      </c>
      <c r="L1086" s="5" t="s">
        <v>5167</v>
      </c>
      <c r="M1086" s="5">
        <v>3182066764</v>
      </c>
      <c r="N1086" s="6">
        <v>46027</v>
      </c>
      <c r="O1086" s="7">
        <v>0.66666666666666663</v>
      </c>
      <c r="P1086" s="5">
        <v>1</v>
      </c>
      <c r="Q1086" s="5" t="s">
        <v>5168</v>
      </c>
      <c r="R1086" s="5">
        <v>220000</v>
      </c>
      <c r="S1086" s="5">
        <v>0</v>
      </c>
      <c r="T1086" s="5">
        <v>8000</v>
      </c>
      <c r="U1086" s="5">
        <v>228000</v>
      </c>
      <c r="V1086" s="5" t="s">
        <v>5169</v>
      </c>
      <c r="W1086" s="5" t="s">
        <v>36</v>
      </c>
      <c r="X1086" s="5" t="s">
        <v>83</v>
      </c>
      <c r="Z1086" s="5" t="s">
        <v>1097</v>
      </c>
      <c r="AA1086" s="5" t="s">
        <v>44</v>
      </c>
      <c r="AC1086" s="8" t="str">
        <f>HYPERLINK("https://drive.google.com/file/d/1u8f80RZbwZ_hoopQ74NF_JNsv2fFeKFu/view?usp=drivesdk", "Abrir_Factura")</f>
        <v>Abrir_Factura</v>
      </c>
      <c r="AD1086" s="9">
        <v>46027.62327546296</v>
      </c>
    </row>
    <row r="1087" spans="1:30" ht="12.5">
      <c r="A1087" s="4">
        <v>46027.457787766209</v>
      </c>
      <c r="B1087" s="5">
        <v>90824</v>
      </c>
      <c r="C1087" s="5">
        <v>1080422166</v>
      </c>
      <c r="D1087" s="5" t="s">
        <v>5170</v>
      </c>
      <c r="F1087" s="5" t="s">
        <v>5171</v>
      </c>
      <c r="H1087" s="5">
        <v>573017229158</v>
      </c>
      <c r="J1087" s="5" t="s">
        <v>5172</v>
      </c>
      <c r="K1087" s="5" t="s">
        <v>307</v>
      </c>
      <c r="L1087" s="5" t="s">
        <v>5173</v>
      </c>
      <c r="M1087" s="5">
        <v>3017229158</v>
      </c>
      <c r="N1087" s="6">
        <v>46027</v>
      </c>
      <c r="O1087" s="7">
        <v>0</v>
      </c>
      <c r="P1087" s="5">
        <v>1</v>
      </c>
      <c r="Q1087" s="5" t="s">
        <v>65</v>
      </c>
      <c r="R1087" s="5">
        <v>70000</v>
      </c>
      <c r="S1087" s="5">
        <v>0</v>
      </c>
      <c r="T1087" s="5">
        <v>10000</v>
      </c>
      <c r="U1087" s="5">
        <v>80000</v>
      </c>
      <c r="V1087" s="5" t="s">
        <v>5174</v>
      </c>
      <c r="W1087" s="5" t="s">
        <v>36</v>
      </c>
      <c r="X1087" s="5" t="s">
        <v>83</v>
      </c>
      <c r="Z1087" s="5" t="s">
        <v>5175</v>
      </c>
      <c r="AA1087" s="5" t="s">
        <v>69</v>
      </c>
      <c r="AC1087" s="8" t="str">
        <f>HYPERLINK("https://drive.google.com/file/d/13brFHWUDqGiBvBJIFSq4BI0X5_YzCLKD/view?usp=drivesdk", "Abrir_Factura")</f>
        <v>Abrir_Factura</v>
      </c>
      <c r="AD1087" s="9">
        <v>46027.624155092592</v>
      </c>
    </row>
    <row r="1088" spans="1:30" ht="12.5">
      <c r="A1088" s="4">
        <v>46027.628287905092</v>
      </c>
      <c r="B1088" s="5">
        <v>90825</v>
      </c>
      <c r="C1088" s="5">
        <v>1140815178</v>
      </c>
      <c r="D1088" s="5" t="s">
        <v>5176</v>
      </c>
      <c r="F1088" s="5" t="s">
        <v>5177</v>
      </c>
      <c r="H1088" s="5">
        <v>573003851130</v>
      </c>
      <c r="J1088" s="5" t="s">
        <v>5178</v>
      </c>
      <c r="K1088" s="5"/>
      <c r="L1088" s="5" t="s">
        <v>5179</v>
      </c>
      <c r="M1088" s="5"/>
      <c r="N1088" s="6">
        <v>46027</v>
      </c>
      <c r="O1088" s="7">
        <v>0.70833333333333337</v>
      </c>
      <c r="P1088" s="5">
        <v>1</v>
      </c>
      <c r="Q1088" s="5" t="s">
        <v>42</v>
      </c>
      <c r="R1088" s="5">
        <v>136000</v>
      </c>
      <c r="S1088" s="5">
        <v>0</v>
      </c>
      <c r="T1088" s="5"/>
      <c r="U1088" s="5">
        <v>136000</v>
      </c>
      <c r="V1088" s="5"/>
      <c r="W1088" s="5" t="s">
        <v>36</v>
      </c>
      <c r="X1088" s="5" t="s">
        <v>43</v>
      </c>
      <c r="AA1088" s="5" t="s">
        <v>1717</v>
      </c>
      <c r="AB1088" s="5" t="s">
        <v>5180</v>
      </c>
      <c r="AC1088" s="8" t="str">
        <f>HYPERLINK("https://drive.google.com/file/d/11ve1_qR-1_TVd4RqNgAZC2_Z5t_UsTa0/view?usp=drivesdk", "Abrir_Factura")</f>
        <v>Abrir_Factura</v>
      </c>
      <c r="AD1088" s="9">
        <v>46027.629351851851</v>
      </c>
    </row>
    <row r="1089" spans="1:30" ht="12.5">
      <c r="A1089" s="4">
        <v>46027.631514085646</v>
      </c>
      <c r="B1089" s="5">
        <v>90826</v>
      </c>
      <c r="C1089" s="5">
        <v>1140897694</v>
      </c>
      <c r="D1089" s="5" t="s">
        <v>5181</v>
      </c>
      <c r="F1089" s="5" t="s">
        <v>4727</v>
      </c>
      <c r="H1089" s="5">
        <v>570000</v>
      </c>
      <c r="J1089" s="5" t="s">
        <v>4728</v>
      </c>
      <c r="K1089" s="5" t="s">
        <v>33</v>
      </c>
      <c r="L1089" s="5" t="s">
        <v>34</v>
      </c>
      <c r="M1089" s="5">
        <v>0</v>
      </c>
      <c r="N1089" s="6">
        <v>46027</v>
      </c>
      <c r="O1089" s="7">
        <v>0</v>
      </c>
      <c r="P1089" s="5">
        <v>1</v>
      </c>
      <c r="Q1089" s="5" t="s">
        <v>42</v>
      </c>
      <c r="R1089" s="5">
        <v>20000</v>
      </c>
      <c r="S1089" s="5">
        <v>0</v>
      </c>
      <c r="T1089" s="5">
        <v>0</v>
      </c>
      <c r="U1089" s="5">
        <v>20000</v>
      </c>
      <c r="V1089" s="5"/>
      <c r="W1089" s="5" t="s">
        <v>36</v>
      </c>
      <c r="X1089" s="5" t="s">
        <v>2636</v>
      </c>
      <c r="AA1089" s="5" t="s">
        <v>1717</v>
      </c>
      <c r="AB1089" s="5" t="s">
        <v>525</v>
      </c>
      <c r="AC1089" s="8" t="str">
        <f>HYPERLINK("https://drive.google.com/file/d/15N6Atzhf9hmArsAC8HdGwULw8ojKvSRF/view?usp=drivesdk", "Abrir_Factura")</f>
        <v>Abrir_Factura</v>
      </c>
      <c r="AD1089" s="9">
        <v>46027.632696759261</v>
      </c>
    </row>
    <row r="1090" spans="1:30" ht="12.5">
      <c r="A1090" s="4">
        <v>46027.632265381944</v>
      </c>
      <c r="B1090" s="5">
        <v>90827</v>
      </c>
      <c r="C1090" s="5">
        <v>1140850708</v>
      </c>
      <c r="D1090" s="5" t="s">
        <v>5182</v>
      </c>
      <c r="F1090" s="5" t="s">
        <v>5183</v>
      </c>
      <c r="H1090" s="5">
        <v>570000</v>
      </c>
      <c r="J1090" s="5" t="s">
        <v>5184</v>
      </c>
      <c r="K1090" s="5" t="s">
        <v>33</v>
      </c>
      <c r="L1090" s="5" t="s">
        <v>34</v>
      </c>
      <c r="M1090" s="5"/>
      <c r="N1090" s="6">
        <v>46027</v>
      </c>
      <c r="O1090" s="7">
        <v>0</v>
      </c>
      <c r="P1090" s="5">
        <v>1</v>
      </c>
      <c r="Q1090" s="5" t="s">
        <v>42</v>
      </c>
      <c r="R1090" s="5">
        <v>15000</v>
      </c>
      <c r="S1090" s="5">
        <v>0</v>
      </c>
      <c r="T1090" s="5">
        <v>0</v>
      </c>
      <c r="U1090" s="5">
        <v>15000</v>
      </c>
      <c r="V1090" s="5"/>
      <c r="W1090" s="5" t="s">
        <v>36</v>
      </c>
      <c r="X1090" s="5" t="s">
        <v>2636</v>
      </c>
      <c r="AA1090" s="5" t="s">
        <v>1717</v>
      </c>
      <c r="AB1090" s="5" t="s">
        <v>5185</v>
      </c>
      <c r="AC1090" s="8" t="str">
        <f>HYPERLINK("https://drive.google.com/file/d/1YuPIXvxsNhxxfjbj_I4tuKN4w_EuI79A/view?usp=drivesdk", "Abrir_Factura")</f>
        <v>Abrir_Factura</v>
      </c>
      <c r="AD1090" s="9">
        <v>46027.634895833333</v>
      </c>
    </row>
    <row r="1091" spans="1:30" ht="12.5">
      <c r="A1091" s="4">
        <v>46027.616031365746</v>
      </c>
      <c r="B1091" s="5">
        <v>90828</v>
      </c>
      <c r="C1091" s="5">
        <v>1143456963</v>
      </c>
      <c r="D1091" s="5" t="s">
        <v>5186</v>
      </c>
      <c r="F1091" s="5" t="s">
        <v>5187</v>
      </c>
      <c r="H1091" s="5">
        <v>573103837558</v>
      </c>
      <c r="J1091" s="5" t="s">
        <v>5188</v>
      </c>
      <c r="K1091" s="5" t="s">
        <v>1057</v>
      </c>
      <c r="L1091" s="5" t="s">
        <v>5189</v>
      </c>
      <c r="M1091" s="5">
        <v>3103837558</v>
      </c>
      <c r="N1091" s="6">
        <v>46027</v>
      </c>
      <c r="O1091" s="7">
        <v>0.70833333333333337</v>
      </c>
      <c r="P1091" s="5">
        <v>1</v>
      </c>
      <c r="Q1091" s="5" t="s">
        <v>5190</v>
      </c>
      <c r="R1091" s="5">
        <v>140000</v>
      </c>
      <c r="S1091" s="5">
        <v>0</v>
      </c>
      <c r="T1091" s="5">
        <v>14000</v>
      </c>
      <c r="U1091" s="5">
        <v>154000</v>
      </c>
      <c r="V1091" s="5" t="s">
        <v>5191</v>
      </c>
      <c r="W1091" s="5" t="s">
        <v>36</v>
      </c>
      <c r="X1091" s="5" t="s">
        <v>83</v>
      </c>
      <c r="Z1091" s="5" t="s">
        <v>5192</v>
      </c>
      <c r="AA1091" s="5" t="s">
        <v>44</v>
      </c>
      <c r="AC1091" s="8" t="str">
        <f>HYPERLINK("https://drive.google.com/file/d/1rQCzfWZ8OdfGuKSA6Af-EoVkc6ThXe54/view?usp=drivesdk", "Abrir_Factura")</f>
        <v>Abrir_Factura</v>
      </c>
      <c r="AD1091" s="9">
        <v>46027.647847222222</v>
      </c>
    </row>
    <row r="1092" spans="1:30" ht="12.5">
      <c r="A1092" s="4">
        <v>46027.693974120368</v>
      </c>
      <c r="B1092" s="5">
        <v>90829</v>
      </c>
      <c r="C1092" s="5">
        <v>72192891</v>
      </c>
      <c r="D1092" s="5" t="s">
        <v>4840</v>
      </c>
      <c r="F1092" s="5" t="s">
        <v>116</v>
      </c>
      <c r="H1092" s="5">
        <v>573004917332</v>
      </c>
      <c r="J1092" s="5" t="s">
        <v>4841</v>
      </c>
      <c r="K1092" s="5" t="s">
        <v>33</v>
      </c>
      <c r="L1092" s="5" t="s">
        <v>34</v>
      </c>
      <c r="M1092" s="5">
        <v>3004917332</v>
      </c>
      <c r="N1092" s="6">
        <v>46027</v>
      </c>
      <c r="O1092" s="7">
        <v>0</v>
      </c>
      <c r="P1092" s="5">
        <v>1</v>
      </c>
      <c r="Q1092" s="5" t="s">
        <v>42</v>
      </c>
      <c r="R1092" s="5">
        <v>55000</v>
      </c>
      <c r="S1092" s="5">
        <v>0</v>
      </c>
      <c r="T1092" s="5">
        <v>0</v>
      </c>
      <c r="U1092" s="5">
        <v>55000</v>
      </c>
      <c r="V1092" s="5"/>
      <c r="W1092" s="5" t="s">
        <v>36</v>
      </c>
      <c r="X1092" s="5" t="s">
        <v>196</v>
      </c>
      <c r="AA1092" s="5" t="s">
        <v>1717</v>
      </c>
      <c r="AB1092" s="5" t="s">
        <v>5193</v>
      </c>
      <c r="AC1092" s="8" t="str">
        <f>HYPERLINK("https://drive.google.com/file/d/1Fae6jjK5gY3bEU1hphA5P2-oq93hy2HV/view?usp=drivesdk", "Abrir_Factura")</f>
        <v>Abrir_Factura</v>
      </c>
      <c r="AD1092" s="9">
        <v>46027.694502314815</v>
      </c>
    </row>
    <row r="1093" spans="1:30" ht="12.5">
      <c r="A1093" s="4">
        <v>46027.678500497685</v>
      </c>
      <c r="B1093" s="5">
        <v>90830</v>
      </c>
      <c r="C1093" s="5">
        <v>1001947051</v>
      </c>
      <c r="D1093" s="5" t="s">
        <v>2915</v>
      </c>
      <c r="F1093" s="5" t="s">
        <v>5194</v>
      </c>
      <c r="H1093" s="5">
        <v>573046274764</v>
      </c>
      <c r="J1093" s="5" t="s">
        <v>2915</v>
      </c>
      <c r="K1093" s="5" t="s">
        <v>5195</v>
      </c>
      <c r="L1093" s="5" t="s">
        <v>648</v>
      </c>
      <c r="M1093" s="5">
        <v>3046274764</v>
      </c>
      <c r="N1093" s="6">
        <v>46030</v>
      </c>
      <c r="O1093" s="7">
        <v>0.75</v>
      </c>
      <c r="P1093" s="5">
        <v>1</v>
      </c>
      <c r="Q1093" s="5" t="s">
        <v>178</v>
      </c>
      <c r="R1093" s="5">
        <v>100000</v>
      </c>
      <c r="S1093" s="5">
        <v>0</v>
      </c>
      <c r="T1093" s="5">
        <v>16000</v>
      </c>
      <c r="U1093" s="5">
        <v>116000</v>
      </c>
      <c r="V1093" s="5" t="s">
        <v>5196</v>
      </c>
      <c r="W1093" s="5" t="s">
        <v>36</v>
      </c>
      <c r="X1093" s="5" t="s">
        <v>83</v>
      </c>
      <c r="Z1093" s="5" t="s">
        <v>5197</v>
      </c>
      <c r="AA1093" s="5" t="s">
        <v>69</v>
      </c>
      <c r="AB1093" s="5" t="s">
        <v>5198</v>
      </c>
      <c r="AC1093" s="8" t="str">
        <f>HYPERLINK("https://drive.google.com/file/d/1A4zgMqbLC8qVhsMZHoFqwf1CXAWPaEPe/view?usp=drivesdk", "Abrir_Factura")</f>
        <v>Abrir_Factura</v>
      </c>
      <c r="AD1093" s="9">
        <v>46027.738692129627</v>
      </c>
    </row>
    <row r="1094" spans="1:30" ht="12.5">
      <c r="A1094" s="4">
        <v>46027.745214826384</v>
      </c>
      <c r="B1094" s="5">
        <v>90831</v>
      </c>
      <c r="C1094" s="5">
        <v>1052997772</v>
      </c>
      <c r="D1094" s="5" t="s">
        <v>5199</v>
      </c>
      <c r="F1094" s="5" t="s">
        <v>5200</v>
      </c>
      <c r="H1094" s="5">
        <v>573016321485</v>
      </c>
      <c r="J1094" s="5" t="s">
        <v>5201</v>
      </c>
      <c r="K1094" s="5" t="s">
        <v>110</v>
      </c>
      <c r="L1094" s="5" t="s">
        <v>5202</v>
      </c>
      <c r="M1094" s="5">
        <v>3003548089</v>
      </c>
      <c r="N1094" s="6">
        <v>46027</v>
      </c>
      <c r="O1094" s="7">
        <v>0.75</v>
      </c>
      <c r="P1094" s="5">
        <v>1</v>
      </c>
      <c r="Q1094" s="5" t="s">
        <v>3111</v>
      </c>
      <c r="R1094" s="5">
        <v>190000</v>
      </c>
      <c r="S1094" s="5">
        <v>0</v>
      </c>
      <c r="T1094" s="5">
        <v>6000</v>
      </c>
      <c r="U1094" s="5">
        <v>196000</v>
      </c>
      <c r="V1094" s="5" t="s">
        <v>5203</v>
      </c>
      <c r="W1094" s="5" t="s">
        <v>36</v>
      </c>
      <c r="X1094" s="5" t="s">
        <v>67</v>
      </c>
      <c r="Z1094" s="5" t="s">
        <v>5204</v>
      </c>
      <c r="AA1094" s="5" t="s">
        <v>44</v>
      </c>
      <c r="AC1094" s="8" t="str">
        <f>HYPERLINK("https://drive.google.com/file/d/1EbnK5YIme75ZDrSy94q73_LSPCjRX_rG/view?usp=drivesdk", "Abrir_Factura")</f>
        <v>Abrir_Factura</v>
      </c>
      <c r="AD1094" s="9">
        <v>46027.749351851853</v>
      </c>
    </row>
    <row r="1095" spans="1:30" ht="12.5">
      <c r="A1095" s="4">
        <v>46027.764914085652</v>
      </c>
      <c r="B1095" s="5">
        <v>90832</v>
      </c>
      <c r="C1095" s="5">
        <v>1044424311</v>
      </c>
      <c r="D1095" s="5" t="s">
        <v>4407</v>
      </c>
      <c r="F1095" s="5" t="s">
        <v>5205</v>
      </c>
      <c r="H1095" s="5">
        <v>573002381311</v>
      </c>
      <c r="J1095" s="5" t="s">
        <v>5206</v>
      </c>
      <c r="K1095" s="5" t="s">
        <v>33</v>
      </c>
      <c r="L1095" s="5" t="s">
        <v>34</v>
      </c>
      <c r="M1095" s="5" t="s">
        <v>5207</v>
      </c>
      <c r="N1095" s="6">
        <v>46027</v>
      </c>
      <c r="O1095" s="7">
        <v>0</v>
      </c>
      <c r="P1095" s="5">
        <v>1</v>
      </c>
      <c r="Q1095" s="5" t="s">
        <v>42</v>
      </c>
      <c r="R1095" s="5">
        <v>70000</v>
      </c>
      <c r="S1095" s="5">
        <v>0</v>
      </c>
      <c r="T1095" s="5">
        <v>0</v>
      </c>
      <c r="U1095" s="5">
        <v>70000</v>
      </c>
      <c r="V1095" s="5"/>
      <c r="W1095" s="5" t="s">
        <v>36</v>
      </c>
      <c r="X1095" s="5" t="s">
        <v>83</v>
      </c>
      <c r="AA1095" s="5" t="s">
        <v>44</v>
      </c>
      <c r="AB1095" s="5" t="s">
        <v>1286</v>
      </c>
      <c r="AC1095" s="8" t="str">
        <f>HYPERLINK("https://drive.google.com/file/d/1tpXFdC5eWCRo_y7tVHrWxTmeFS14jG_y/view?usp=drivesdk", "Abrir_Factura")</f>
        <v>Abrir_Factura</v>
      </c>
      <c r="AD1095" s="9">
        <v>46027.765810185185</v>
      </c>
    </row>
    <row r="1096" spans="1:30" ht="12.5">
      <c r="A1096" s="4">
        <v>46028.310841840277</v>
      </c>
      <c r="B1096" s="5">
        <v>90833</v>
      </c>
      <c r="C1096" s="5">
        <v>1140893693</v>
      </c>
      <c r="D1096" s="5" t="s">
        <v>129</v>
      </c>
      <c r="F1096" s="5" t="s">
        <v>3330</v>
      </c>
      <c r="H1096" s="5">
        <v>573043777605</v>
      </c>
      <c r="J1096" s="5" t="s">
        <v>5208</v>
      </c>
      <c r="K1096" s="5" t="s">
        <v>33</v>
      </c>
      <c r="L1096" s="5" t="s">
        <v>34</v>
      </c>
      <c r="M1096" s="5">
        <v>3043777605</v>
      </c>
      <c r="N1096" s="6">
        <v>46028</v>
      </c>
      <c r="O1096" s="7">
        <v>0.33333333333333331</v>
      </c>
      <c r="P1096" s="5">
        <v>1</v>
      </c>
      <c r="Q1096" s="5" t="s">
        <v>309</v>
      </c>
      <c r="R1096" s="5">
        <v>80000</v>
      </c>
      <c r="S1096" s="5">
        <v>0</v>
      </c>
      <c r="T1096" s="5">
        <v>0</v>
      </c>
      <c r="U1096" s="5">
        <v>80000</v>
      </c>
      <c r="V1096" s="5"/>
      <c r="W1096" s="5" t="s">
        <v>36</v>
      </c>
      <c r="X1096" s="5" t="s">
        <v>43</v>
      </c>
      <c r="AA1096" s="5" t="s">
        <v>69</v>
      </c>
      <c r="AB1096" s="5" t="s">
        <v>5209</v>
      </c>
      <c r="AC1096" s="8" t="str">
        <f>HYPERLINK("https://drive.google.com/file/d/1f9Ox4fqLge3H5iFUX6gX7ystp_yPritI/view?usp=drivesdk", "Abrir_Factura")</f>
        <v>Abrir_Factura</v>
      </c>
      <c r="AD1096" s="9">
        <v>46028.313807870371</v>
      </c>
    </row>
    <row r="1097" spans="1:30" ht="12.5">
      <c r="A1097" s="4">
        <v>46028.344842199076</v>
      </c>
      <c r="B1097" s="5">
        <v>90834</v>
      </c>
      <c r="C1097" s="5">
        <v>12398497780</v>
      </c>
      <c r="D1097" s="5" t="s">
        <v>3530</v>
      </c>
      <c r="F1097" s="5" t="s">
        <v>1164</v>
      </c>
      <c r="H1097" s="5">
        <v>5712398497780</v>
      </c>
      <c r="J1097" s="5" t="s">
        <v>5210</v>
      </c>
      <c r="K1097" s="5" t="s">
        <v>1047</v>
      </c>
      <c r="L1097" s="5" t="s">
        <v>5211</v>
      </c>
      <c r="M1097" s="5" t="s">
        <v>25421</v>
      </c>
      <c r="N1097" s="6">
        <v>46028</v>
      </c>
      <c r="O1097" s="7">
        <v>0.41666666666666669</v>
      </c>
      <c r="P1097" s="5">
        <v>1</v>
      </c>
      <c r="Q1097" s="5" t="s">
        <v>96</v>
      </c>
      <c r="R1097" s="5">
        <v>220000</v>
      </c>
      <c r="S1097" s="5">
        <v>0</v>
      </c>
      <c r="T1097" s="5">
        <v>15000</v>
      </c>
      <c r="U1097" s="5">
        <v>235000</v>
      </c>
      <c r="V1097" s="5" t="s">
        <v>5212</v>
      </c>
      <c r="W1097" s="5" t="s">
        <v>36</v>
      </c>
      <c r="X1097" s="5" t="s">
        <v>67</v>
      </c>
      <c r="AA1097" s="5" t="s">
        <v>44</v>
      </c>
      <c r="AC1097" s="8" t="str">
        <f>HYPERLINK("https://drive.google.com/file/d/16bgnRnNF_bSdgckLfjsd2pEoEZZPMgi9/view?usp=drivesdk", "Abrir_Factura")</f>
        <v>Abrir_Factura</v>
      </c>
      <c r="AD1097" s="9">
        <v>46028.346099537041</v>
      </c>
    </row>
    <row r="1098" spans="1:30" ht="12.5">
      <c r="A1098" s="4">
        <v>46028.348081273143</v>
      </c>
      <c r="B1098" s="5">
        <v>90835</v>
      </c>
      <c r="C1098" s="5">
        <v>32748863</v>
      </c>
      <c r="D1098" s="5" t="s">
        <v>521</v>
      </c>
      <c r="F1098" s="5" t="s">
        <v>3525</v>
      </c>
      <c r="H1098" s="5">
        <v>573174289182</v>
      </c>
      <c r="J1098" s="5" t="s">
        <v>3526</v>
      </c>
      <c r="K1098" s="5"/>
      <c r="L1098" s="5" t="s">
        <v>5213</v>
      </c>
      <c r="M1098" s="5"/>
      <c r="N1098" s="6">
        <v>46028</v>
      </c>
      <c r="O1098" s="7">
        <v>0.375</v>
      </c>
      <c r="P1098" s="5">
        <v>1</v>
      </c>
      <c r="Q1098" s="5" t="s">
        <v>42</v>
      </c>
      <c r="R1098" s="5">
        <v>28000</v>
      </c>
      <c r="S1098" s="5">
        <v>0</v>
      </c>
      <c r="T1098" s="5"/>
      <c r="U1098" s="5">
        <v>28000</v>
      </c>
      <c r="V1098" s="5"/>
      <c r="W1098" s="5" t="s">
        <v>36</v>
      </c>
      <c r="X1098" s="5" t="s">
        <v>67</v>
      </c>
      <c r="AA1098" s="5" t="s">
        <v>44</v>
      </c>
      <c r="AB1098" s="5" t="s">
        <v>5214</v>
      </c>
      <c r="AC1098" s="8" t="str">
        <f>HYPERLINK("https://drive.google.com/file/d/1rfyd-G4_VLq3YvH-iKCUyC4pPJQ3nhCk/view?usp=drivesdk", "Abrir_Factura")</f>
        <v>Abrir_Factura</v>
      </c>
      <c r="AD1098" s="9">
        <v>46028.348761574074</v>
      </c>
    </row>
    <row r="1099" spans="1:30" ht="12.5">
      <c r="A1099" s="4">
        <v>46028.375206215278</v>
      </c>
      <c r="B1099" s="5">
        <v>90836</v>
      </c>
      <c r="C1099" s="5">
        <v>1038412070</v>
      </c>
      <c r="D1099" s="5" t="s">
        <v>5215</v>
      </c>
      <c r="F1099" s="5" t="s">
        <v>5216</v>
      </c>
      <c r="H1099" s="5">
        <v>573022203516</v>
      </c>
      <c r="J1099" s="5" t="s">
        <v>5217</v>
      </c>
      <c r="K1099" s="5" t="s">
        <v>161</v>
      </c>
      <c r="L1099" s="5" t="s">
        <v>5218</v>
      </c>
      <c r="M1099" s="5">
        <v>3022203516</v>
      </c>
      <c r="N1099" s="6">
        <v>46028</v>
      </c>
      <c r="O1099" s="7">
        <v>0</v>
      </c>
      <c r="P1099" s="5">
        <v>1</v>
      </c>
      <c r="Q1099" s="5" t="s">
        <v>42</v>
      </c>
      <c r="R1099" s="5">
        <v>80000</v>
      </c>
      <c r="S1099" s="5">
        <v>0</v>
      </c>
      <c r="T1099" s="5">
        <v>8000</v>
      </c>
      <c r="U1099" s="5">
        <v>88000</v>
      </c>
      <c r="V1099" s="5"/>
      <c r="W1099" s="5" t="s">
        <v>36</v>
      </c>
      <c r="X1099" s="5" t="s">
        <v>67</v>
      </c>
      <c r="AA1099" s="5" t="s">
        <v>44</v>
      </c>
      <c r="AB1099" s="5" t="s">
        <v>5219</v>
      </c>
      <c r="AC1099" s="8" t="str">
        <f>HYPERLINK("https://drive.google.com/file/d/1vnTh3THa_Gu1f15-nbHdQJvHlof35AbI/view?usp=drivesdk", "Abrir_Factura")</f>
        <v>Abrir_Factura</v>
      </c>
      <c r="AD1099" s="9">
        <v>46028.690509259257</v>
      </c>
    </row>
    <row r="1100" spans="1:30" ht="12.5">
      <c r="A1100" s="4">
        <v>46028.36832804398</v>
      </c>
      <c r="B1100" s="5">
        <v>90837</v>
      </c>
      <c r="C1100" s="5">
        <v>1143245758</v>
      </c>
      <c r="D1100" s="5" t="s">
        <v>5220</v>
      </c>
      <c r="F1100" s="5" t="s">
        <v>5221</v>
      </c>
      <c r="H1100" s="5">
        <v>34687005253</v>
      </c>
      <c r="J1100" s="5" t="s">
        <v>5222</v>
      </c>
      <c r="K1100" s="5" t="s">
        <v>103</v>
      </c>
      <c r="L1100" s="5" t="s">
        <v>5223</v>
      </c>
      <c r="M1100" s="5">
        <v>3004456745</v>
      </c>
      <c r="N1100" s="6">
        <v>46028</v>
      </c>
      <c r="O1100" s="7">
        <v>0</v>
      </c>
      <c r="P1100" s="5">
        <v>1</v>
      </c>
      <c r="Q1100" s="5" t="s">
        <v>1393</v>
      </c>
      <c r="R1100" s="5">
        <v>550000</v>
      </c>
      <c r="S1100" s="5">
        <v>0</v>
      </c>
      <c r="T1100" s="5">
        <v>10000</v>
      </c>
      <c r="U1100" s="5">
        <v>560000</v>
      </c>
      <c r="V1100" s="5" t="s">
        <v>5224</v>
      </c>
      <c r="W1100" s="5" t="s">
        <v>36</v>
      </c>
      <c r="X1100" s="5" t="s">
        <v>83</v>
      </c>
      <c r="Z1100" s="5" t="s">
        <v>5225</v>
      </c>
      <c r="AA1100" s="5" t="s">
        <v>44</v>
      </c>
      <c r="AC1100" s="8" t="str">
        <f>HYPERLINK("https://drive.google.com/file/d/1NjN36pgxxDABYvb-FpuDxU6GbgNsG1dI/view?usp=drivesdk", "Abrir_Factura")</f>
        <v>Abrir_Factura</v>
      </c>
      <c r="AD1100" s="9">
        <v>46028.376423611109</v>
      </c>
    </row>
    <row r="1101" spans="1:30" ht="12.5">
      <c r="A1101" s="4">
        <v>46028.381753136578</v>
      </c>
      <c r="B1101" s="5">
        <v>90838</v>
      </c>
      <c r="C1101" s="5">
        <v>22519817</v>
      </c>
      <c r="D1101" s="5" t="s">
        <v>5226</v>
      </c>
      <c r="F1101" s="5" t="s">
        <v>5227</v>
      </c>
      <c r="H1101" s="5">
        <v>573205732265</v>
      </c>
      <c r="J1101" s="5" t="s">
        <v>5228</v>
      </c>
      <c r="K1101" s="5" t="s">
        <v>249</v>
      </c>
      <c r="L1101" s="5" t="s">
        <v>5229</v>
      </c>
      <c r="M1101" s="5">
        <v>3205732265</v>
      </c>
      <c r="N1101" s="6">
        <v>46028</v>
      </c>
      <c r="O1101" s="7">
        <v>0.41666666666666669</v>
      </c>
      <c r="P1101" s="5">
        <v>1</v>
      </c>
      <c r="Q1101" s="5" t="s">
        <v>361</v>
      </c>
      <c r="R1101" s="5">
        <v>200000</v>
      </c>
      <c r="S1101" s="5">
        <v>0</v>
      </c>
      <c r="T1101" s="5">
        <v>10000</v>
      </c>
      <c r="U1101" s="5">
        <v>210000</v>
      </c>
      <c r="V1101" s="5" t="s">
        <v>5230</v>
      </c>
      <c r="W1101" s="5" t="s">
        <v>36</v>
      </c>
      <c r="X1101" s="5" t="s">
        <v>204</v>
      </c>
      <c r="AA1101" s="5" t="s">
        <v>44</v>
      </c>
      <c r="AC1101" s="8" t="str">
        <f>HYPERLINK("https://drive.google.com/file/d/16aKkRroGE4w6yQw9uBoY6iOpnxqqC_Yx/view?usp=drivesdk", "Abrir_Factura")</f>
        <v>Abrir_Factura</v>
      </c>
      <c r="AD1101" s="9">
        <v>46028.3827662037</v>
      </c>
    </row>
    <row r="1102" spans="1:30" ht="12.5">
      <c r="A1102" s="4">
        <v>46028.390629479167</v>
      </c>
      <c r="B1102" s="5">
        <v>90839</v>
      </c>
      <c r="C1102" s="5">
        <v>1140825934</v>
      </c>
      <c r="D1102" s="5" t="s">
        <v>2095</v>
      </c>
      <c r="F1102" s="5" t="s">
        <v>5231</v>
      </c>
      <c r="H1102" s="5">
        <v>573015571696</v>
      </c>
      <c r="J1102" s="5" t="s">
        <v>5232</v>
      </c>
      <c r="K1102" s="5" t="s">
        <v>33</v>
      </c>
      <c r="L1102" s="5" t="s">
        <v>34</v>
      </c>
      <c r="M1102" s="5">
        <v>3015571696</v>
      </c>
      <c r="N1102" s="6">
        <v>46028</v>
      </c>
      <c r="O1102" s="7">
        <v>0.41666666666666669</v>
      </c>
      <c r="P1102" s="5">
        <v>1</v>
      </c>
      <c r="Q1102" s="5" t="s">
        <v>57</v>
      </c>
      <c r="R1102" s="5">
        <v>120000</v>
      </c>
      <c r="S1102" s="5">
        <v>0</v>
      </c>
      <c r="T1102" s="5">
        <v>0</v>
      </c>
      <c r="U1102" s="5">
        <v>120000</v>
      </c>
      <c r="V1102" s="5" t="s">
        <v>5233</v>
      </c>
      <c r="W1102" s="5" t="s">
        <v>36</v>
      </c>
      <c r="X1102" s="5" t="s">
        <v>43</v>
      </c>
      <c r="AA1102" s="5" t="s">
        <v>37</v>
      </c>
      <c r="AB1102" s="5" t="s">
        <v>5234</v>
      </c>
      <c r="AC1102" s="8" t="str">
        <f>HYPERLINK("https://drive.google.com/file/d/1Cw4l65fzY0v-Tfzdr767qa0tPKrK0D3J/view?usp=drivesdk", "Abrir_Factura")</f>
        <v>Abrir_Factura</v>
      </c>
      <c r="AD1102" s="9">
        <v>46028.391516203701</v>
      </c>
    </row>
    <row r="1103" spans="1:30" ht="12.5">
      <c r="A1103" s="4">
        <v>46028.401340393517</v>
      </c>
      <c r="B1103" s="5">
        <v>90840</v>
      </c>
      <c r="C1103" s="5">
        <v>1140900555</v>
      </c>
      <c r="D1103" s="5" t="s">
        <v>5235</v>
      </c>
      <c r="F1103" s="5" t="s">
        <v>5236</v>
      </c>
      <c r="H1103" s="5">
        <v>573107210591</v>
      </c>
      <c r="J1103" s="5" t="s">
        <v>5237</v>
      </c>
      <c r="K1103" s="5" t="s">
        <v>33</v>
      </c>
      <c r="L1103" s="5" t="s">
        <v>34</v>
      </c>
      <c r="M1103" s="5">
        <v>3107210591</v>
      </c>
      <c r="N1103" s="6">
        <v>46036</v>
      </c>
      <c r="O1103" s="7">
        <v>0.35416666666666669</v>
      </c>
      <c r="P1103" s="5">
        <v>1</v>
      </c>
      <c r="Q1103" s="5" t="s">
        <v>42</v>
      </c>
      <c r="R1103" s="5">
        <v>200000</v>
      </c>
      <c r="S1103" s="5">
        <v>0</v>
      </c>
      <c r="T1103" s="5">
        <v>0</v>
      </c>
      <c r="U1103" s="5">
        <v>200000</v>
      </c>
      <c r="V1103" s="5"/>
      <c r="W1103" s="5" t="s">
        <v>36</v>
      </c>
      <c r="X1103" s="5" t="s">
        <v>67</v>
      </c>
      <c r="AA1103" s="5" t="s">
        <v>69</v>
      </c>
      <c r="AB1103" s="5" t="s">
        <v>5238</v>
      </c>
      <c r="AC1103" s="8" t="str">
        <f>HYPERLINK("https://drive.google.com/file/d/1VT26To3hrwsoJYmSOSiXesJSO8KBZ-lX/view?usp=drivesdk", "Abrir_Factura")</f>
        <v>Abrir_Factura</v>
      </c>
      <c r="AD1103" s="9">
        <v>46028.410300925927</v>
      </c>
    </row>
    <row r="1104" spans="1:30" ht="12.5">
      <c r="A1104" s="4">
        <v>46028.428417754629</v>
      </c>
      <c r="B1104" s="5">
        <v>90841</v>
      </c>
      <c r="C1104" s="5">
        <v>900087673</v>
      </c>
      <c r="D1104" s="5" t="s">
        <v>5239</v>
      </c>
      <c r="F1104" s="5" t="s">
        <v>5240</v>
      </c>
      <c r="H1104" s="5">
        <v>573136301106</v>
      </c>
      <c r="J1104" s="5" t="s">
        <v>5241</v>
      </c>
      <c r="K1104" s="5" t="s">
        <v>4403</v>
      </c>
      <c r="L1104" s="5" t="s">
        <v>5242</v>
      </c>
      <c r="M1104" s="5"/>
      <c r="N1104" s="6">
        <v>46028</v>
      </c>
      <c r="O1104" s="7">
        <v>0.47916666666666669</v>
      </c>
      <c r="P1104" s="5">
        <v>1</v>
      </c>
      <c r="Q1104" s="5" t="s">
        <v>2059</v>
      </c>
      <c r="R1104" s="5">
        <v>250000</v>
      </c>
      <c r="S1104" s="5">
        <v>47500</v>
      </c>
      <c r="T1104" s="5">
        <v>20000</v>
      </c>
      <c r="U1104" s="5">
        <v>317500</v>
      </c>
      <c r="V1104" s="5" t="s">
        <v>5243</v>
      </c>
      <c r="W1104" s="5" t="s">
        <v>36</v>
      </c>
      <c r="X1104" s="5" t="s">
        <v>67</v>
      </c>
      <c r="Z1104" s="5" t="s">
        <v>5244</v>
      </c>
      <c r="AA1104" s="5" t="s">
        <v>44</v>
      </c>
      <c r="AC1104" s="8" t="str">
        <f>HYPERLINK("https://drive.google.com/file/d/1A-CSQ7-m1wDXWa0PmSjQeUzEd-mRsczW/view?usp=drivesdk", "Abrir_Factura")</f>
        <v>Abrir_Factura</v>
      </c>
      <c r="AD1104" s="9">
        <v>46028.474606481483</v>
      </c>
    </row>
    <row r="1105" spans="1:30" ht="12.5">
      <c r="A1105" s="4">
        <v>46028.43560704861</v>
      </c>
      <c r="B1105" s="5">
        <v>90842</v>
      </c>
      <c r="C1105" s="5">
        <v>1140895611</v>
      </c>
      <c r="D1105" s="5" t="s">
        <v>5245</v>
      </c>
      <c r="F1105" s="5" t="s">
        <v>5246</v>
      </c>
      <c r="H1105" s="5">
        <v>573176805343</v>
      </c>
      <c r="J1105" s="5" t="s">
        <v>5247</v>
      </c>
      <c r="K1105" s="5" t="s">
        <v>33</v>
      </c>
      <c r="L1105" s="5" t="s">
        <v>34</v>
      </c>
      <c r="M1105" s="5">
        <v>3013893660</v>
      </c>
      <c r="N1105" s="6">
        <v>46028</v>
      </c>
      <c r="O1105" s="7">
        <v>0</v>
      </c>
      <c r="P1105" s="5">
        <v>1</v>
      </c>
      <c r="Q1105" s="5" t="s">
        <v>210</v>
      </c>
      <c r="R1105" s="5">
        <v>150000</v>
      </c>
      <c r="S1105" s="5">
        <v>0</v>
      </c>
      <c r="T1105" s="5">
        <v>0</v>
      </c>
      <c r="U1105" s="5">
        <v>150000</v>
      </c>
      <c r="V1105" s="5" t="s">
        <v>5248</v>
      </c>
      <c r="W1105" s="5" t="s">
        <v>36</v>
      </c>
      <c r="X1105" s="5" t="s">
        <v>2636</v>
      </c>
      <c r="Z1105" s="5" t="s">
        <v>5249</v>
      </c>
      <c r="AA1105" s="5" t="s">
        <v>69</v>
      </c>
      <c r="AC1105" s="8" t="str">
        <f>HYPERLINK("https://drive.google.com/file/d/15YBUaIGGfhQCEsOxx2kf-U1HKNcP_Jtq/view?usp=drivesdk", "Abrir_Factura")</f>
        <v>Abrir_Factura</v>
      </c>
      <c r="AD1105" s="9">
        <v>46028.464502314811</v>
      </c>
    </row>
    <row r="1106" spans="1:30" ht="12.5">
      <c r="A1106" s="4">
        <v>46028.472421516199</v>
      </c>
      <c r="B1106" s="5">
        <v>90843</v>
      </c>
      <c r="C1106" s="5">
        <v>900521807</v>
      </c>
      <c r="D1106" s="5" t="s">
        <v>1231</v>
      </c>
      <c r="F1106" s="10" t="s">
        <v>3330</v>
      </c>
      <c r="H1106" s="5">
        <v>573007682024</v>
      </c>
      <c r="J1106" s="5" t="s">
        <v>5250</v>
      </c>
      <c r="K1106" s="5" t="s">
        <v>1815</v>
      </c>
      <c r="L1106" s="5" t="s">
        <v>5251</v>
      </c>
      <c r="M1106" s="5"/>
      <c r="N1106" s="6">
        <v>46028</v>
      </c>
      <c r="O1106" s="7">
        <v>0.625</v>
      </c>
      <c r="P1106" s="5">
        <v>1</v>
      </c>
      <c r="Q1106" s="5" t="s">
        <v>5252</v>
      </c>
      <c r="R1106" s="5">
        <v>200000</v>
      </c>
      <c r="S1106" s="5">
        <v>47500</v>
      </c>
      <c r="T1106" s="5">
        <v>18000</v>
      </c>
      <c r="U1106" s="5">
        <v>265500</v>
      </c>
      <c r="V1106" s="5"/>
      <c r="W1106" s="5" t="s">
        <v>36</v>
      </c>
      <c r="X1106" s="5" t="s">
        <v>43</v>
      </c>
      <c r="AA1106" s="5" t="s">
        <v>44</v>
      </c>
      <c r="AC1106" s="8" t="str">
        <f>HYPERLINK("https://drive.google.com/file/d/19NtcMGa7pTEHiUvJW5gRQDO5OgyBA43E/view?usp=drivesdk", "Abrir_Factura")</f>
        <v>Abrir_Factura</v>
      </c>
      <c r="AD1106" s="9">
        <v>46028.475069444445</v>
      </c>
    </row>
    <row r="1107" spans="1:30" ht="12.5">
      <c r="A1107" s="4">
        <v>46028.453955682868</v>
      </c>
      <c r="B1107" s="5">
        <v>90844</v>
      </c>
      <c r="C1107" s="5">
        <v>32784869</v>
      </c>
      <c r="D1107" s="5" t="s">
        <v>143</v>
      </c>
      <c r="F1107" s="5" t="s">
        <v>122</v>
      </c>
      <c r="H1107" s="5">
        <v>573008368606</v>
      </c>
      <c r="J1107" s="5" t="s">
        <v>5253</v>
      </c>
      <c r="K1107" s="5" t="s">
        <v>783</v>
      </c>
      <c r="L1107" s="5" t="s">
        <v>5254</v>
      </c>
      <c r="M1107" s="5">
        <v>3205212928</v>
      </c>
      <c r="N1107" s="6">
        <v>46028</v>
      </c>
      <c r="O1107" s="7">
        <v>2.4305555555555556E-2</v>
      </c>
      <c r="P1107" s="5">
        <v>1</v>
      </c>
      <c r="Q1107" s="5" t="s">
        <v>89</v>
      </c>
      <c r="R1107" s="5">
        <v>150000</v>
      </c>
      <c r="S1107" s="5">
        <v>0</v>
      </c>
      <c r="T1107" s="5">
        <v>17000</v>
      </c>
      <c r="U1107" s="5">
        <v>167000</v>
      </c>
      <c r="V1107" s="5" t="s">
        <v>5255</v>
      </c>
      <c r="W1107" s="5" t="s">
        <v>36</v>
      </c>
      <c r="X1107" s="5" t="s">
        <v>180</v>
      </c>
      <c r="Z1107" s="5" t="s">
        <v>5256</v>
      </c>
      <c r="AA1107" s="5" t="s">
        <v>44</v>
      </c>
      <c r="AB1107" s="5" t="s">
        <v>5257</v>
      </c>
      <c r="AC1107" s="8" t="str">
        <f>HYPERLINK("https://drive.google.com/file/d/18ie5dGXSJIco7UCMAP3dKj5l_9khFxTn/view?usp=drivesdk", "Abrir_Factura")</f>
        <v>Abrir_Factura</v>
      </c>
      <c r="AD1107" s="9">
        <v>46028.724629629629</v>
      </c>
    </row>
    <row r="1108" spans="1:30" ht="12.5">
      <c r="A1108" s="4">
        <v>46028.496348182874</v>
      </c>
      <c r="B1108" s="5">
        <v>90845</v>
      </c>
      <c r="C1108" s="5">
        <v>72357016</v>
      </c>
      <c r="D1108" s="5" t="s">
        <v>4992</v>
      </c>
      <c r="F1108" s="5" t="s">
        <v>2807</v>
      </c>
      <c r="H1108" s="5" t="s">
        <v>5258</v>
      </c>
      <c r="J1108" s="5" t="s">
        <v>5259</v>
      </c>
      <c r="K1108" s="5" t="s">
        <v>265</v>
      </c>
      <c r="L1108" s="5" t="s">
        <v>5260</v>
      </c>
      <c r="M1108" s="5">
        <v>3150494996</v>
      </c>
      <c r="N1108" s="6">
        <v>46028</v>
      </c>
      <c r="O1108" s="7">
        <v>0.55694444444444446</v>
      </c>
      <c r="P1108" s="5">
        <v>1</v>
      </c>
      <c r="Q1108" s="5" t="s">
        <v>322</v>
      </c>
      <c r="R1108" s="5">
        <v>120000</v>
      </c>
      <c r="S1108" s="5">
        <v>0</v>
      </c>
      <c r="T1108" s="5">
        <v>17000</v>
      </c>
      <c r="U1108" s="5">
        <v>137000</v>
      </c>
      <c r="V1108" s="5" t="s">
        <v>5261</v>
      </c>
      <c r="W1108" s="5" t="s">
        <v>36</v>
      </c>
      <c r="X1108" s="5" t="s">
        <v>67</v>
      </c>
      <c r="AA1108" s="5" t="s">
        <v>69</v>
      </c>
      <c r="AC1108" s="8" t="str">
        <f>HYPERLINK("https://drive.google.com/file/d/1-DUfNNRnw_ATslVlL4Ytp5IZjM62HDY7/view?usp=drivesdk", "Abrir_Factura")</f>
        <v>Abrir_Factura</v>
      </c>
      <c r="AD1108" s="9">
        <v>46028.511747685188</v>
      </c>
    </row>
    <row r="1109" spans="1:30" ht="12.5">
      <c r="A1109" s="4">
        <v>46028.520482002314</v>
      </c>
      <c r="B1109" s="5">
        <v>90846</v>
      </c>
      <c r="C1109" s="5">
        <v>1126665621</v>
      </c>
      <c r="D1109" s="5" t="s">
        <v>5262</v>
      </c>
      <c r="F1109" s="5" t="s">
        <v>5263</v>
      </c>
      <c r="H1109" s="5">
        <v>573205580868</v>
      </c>
      <c r="J1109" s="5" t="s">
        <v>5264</v>
      </c>
      <c r="K1109" s="5" t="s">
        <v>33</v>
      </c>
      <c r="L1109" s="5" t="s">
        <v>34</v>
      </c>
      <c r="M1109" s="5">
        <v>3205580868</v>
      </c>
      <c r="N1109" s="6">
        <v>46028</v>
      </c>
      <c r="O1109" s="7">
        <v>0.70833333333333337</v>
      </c>
      <c r="P1109" s="5">
        <v>1</v>
      </c>
      <c r="Q1109" s="5" t="s">
        <v>210</v>
      </c>
      <c r="R1109" s="5">
        <v>150000</v>
      </c>
      <c r="S1109" s="5">
        <v>0</v>
      </c>
      <c r="T1109" s="5">
        <v>0</v>
      </c>
      <c r="U1109" s="5">
        <v>150000</v>
      </c>
      <c r="V1109" s="5" t="s">
        <v>5265</v>
      </c>
      <c r="W1109" s="5" t="s">
        <v>36</v>
      </c>
      <c r="X1109" s="5" t="s">
        <v>2636</v>
      </c>
      <c r="Z1109" s="5" t="s">
        <v>5266</v>
      </c>
      <c r="AA1109" s="5" t="s">
        <v>1717</v>
      </c>
      <c r="AC1109" s="8" t="str">
        <f>HYPERLINK("https://drive.google.com/file/d/1PGUSsIX_t1PnsyZt_Qp3fAYci-9QZU9U/view?usp=drivesdk", "Abrir_Factura")</f>
        <v>Abrir_Factura</v>
      </c>
      <c r="AD1109" s="9">
        <v>46028.522268518522</v>
      </c>
    </row>
    <row r="1110" spans="1:30" ht="12.5">
      <c r="A1110" s="4">
        <v>46028.501626400466</v>
      </c>
      <c r="B1110" s="5">
        <v>90847</v>
      </c>
      <c r="C1110" s="5">
        <v>1002026486</v>
      </c>
      <c r="D1110" s="5" t="s">
        <v>1056</v>
      </c>
      <c r="F1110" s="5" t="s">
        <v>5267</v>
      </c>
      <c r="H1110" s="5">
        <v>573012502182</v>
      </c>
      <c r="J1110" s="5" t="s">
        <v>3174</v>
      </c>
      <c r="K1110" s="5" t="s">
        <v>5268</v>
      </c>
      <c r="L1110" s="5" t="s">
        <v>5269</v>
      </c>
      <c r="M1110" s="5" t="s">
        <v>5270</v>
      </c>
      <c r="N1110" s="6">
        <v>46028</v>
      </c>
      <c r="O1110" s="7">
        <v>0.58333333333333337</v>
      </c>
      <c r="P1110" s="5">
        <v>1</v>
      </c>
      <c r="Q1110" s="5" t="s">
        <v>322</v>
      </c>
      <c r="R1110" s="5">
        <v>120000</v>
      </c>
      <c r="S1110" s="5">
        <v>0</v>
      </c>
      <c r="T1110" s="5">
        <v>35000</v>
      </c>
      <c r="U1110" s="5">
        <v>155000</v>
      </c>
      <c r="V1110" s="5"/>
      <c r="W1110" s="5" t="s">
        <v>36</v>
      </c>
      <c r="X1110" s="5" t="s">
        <v>67</v>
      </c>
      <c r="Z1110" s="5" t="s">
        <v>5271</v>
      </c>
      <c r="AA1110" s="5" t="s">
        <v>69</v>
      </c>
      <c r="AB1110" s="5" t="s">
        <v>5272</v>
      </c>
      <c r="AC1110" s="8" t="str">
        <f>HYPERLINK("https://drive.google.com/file/d/1UFZSjTKpf1mDUFbyM3Y6oyl24B3bAWLl/view?usp=drivesdk", "Abrir_Factura")</f>
        <v>Abrir_Factura</v>
      </c>
      <c r="AD1110" s="9">
        <v>46028.525983796295</v>
      </c>
    </row>
    <row r="1111" spans="1:30" ht="12.5">
      <c r="A1111" s="4">
        <v>46028.527796400464</v>
      </c>
      <c r="B1111" s="5">
        <v>90848</v>
      </c>
      <c r="C1111" s="5">
        <v>1001779375</v>
      </c>
      <c r="D1111" s="5" t="s">
        <v>5273</v>
      </c>
      <c r="F1111" s="5" t="s">
        <v>433</v>
      </c>
      <c r="H1111" s="5">
        <v>573017336288</v>
      </c>
      <c r="J1111" s="5" t="s">
        <v>5274</v>
      </c>
      <c r="K1111" s="5" t="s">
        <v>33</v>
      </c>
      <c r="L1111" s="5" t="s">
        <v>34</v>
      </c>
      <c r="M1111" s="5">
        <v>3017336288</v>
      </c>
      <c r="N1111" s="6">
        <v>46028</v>
      </c>
      <c r="O1111" s="7">
        <v>0.625</v>
      </c>
      <c r="P1111" s="5">
        <v>1</v>
      </c>
      <c r="Q1111" s="5" t="s">
        <v>239</v>
      </c>
      <c r="R1111" s="5">
        <v>380000</v>
      </c>
      <c r="S1111" s="5">
        <v>0</v>
      </c>
      <c r="T1111" s="5">
        <v>0</v>
      </c>
      <c r="U1111" s="5">
        <v>380000</v>
      </c>
      <c r="V1111" s="5" t="s">
        <v>5275</v>
      </c>
      <c r="W1111" s="5" t="s">
        <v>36</v>
      </c>
      <c r="X1111" s="5" t="s">
        <v>2636</v>
      </c>
      <c r="AA1111" s="5" t="s">
        <v>1717</v>
      </c>
      <c r="AC1111" s="8" t="str">
        <f>HYPERLINK("https://drive.google.com/file/d/1WNqcz5hqUhA1ebB3jBrOsV4BbgIxuL4D/view?usp=drivesdk", "Abrir_Factura")</f>
        <v>Abrir_Factura</v>
      </c>
      <c r="AD1111" s="9">
        <v>46028.529062499998</v>
      </c>
    </row>
    <row r="1112" spans="1:30" ht="12.5">
      <c r="A1112" s="4">
        <v>46027.872135046295</v>
      </c>
      <c r="B1112" s="5">
        <v>90849</v>
      </c>
      <c r="C1112" s="5">
        <v>32742684</v>
      </c>
      <c r="D1112" s="5" t="s">
        <v>5276</v>
      </c>
      <c r="F1112" s="5" t="s">
        <v>5277</v>
      </c>
      <c r="H1112" s="5">
        <v>13172051941</v>
      </c>
      <c r="J1112" s="5" t="s">
        <v>5278</v>
      </c>
      <c r="K1112" s="5" t="s">
        <v>1187</v>
      </c>
      <c r="L1112" s="5" t="s">
        <v>5279</v>
      </c>
      <c r="M1112" s="5" t="s">
        <v>25421</v>
      </c>
      <c r="N1112" s="6">
        <v>46028</v>
      </c>
      <c r="O1112" s="7">
        <v>0.375</v>
      </c>
      <c r="P1112" s="5">
        <v>1</v>
      </c>
      <c r="Q1112" s="5" t="s">
        <v>89</v>
      </c>
      <c r="R1112" s="5">
        <v>150000</v>
      </c>
      <c r="S1112" s="5">
        <v>0</v>
      </c>
      <c r="T1112" s="5">
        <v>25000</v>
      </c>
      <c r="U1112" s="5">
        <v>175000</v>
      </c>
      <c r="V1112" s="5" t="s">
        <v>5280</v>
      </c>
      <c r="W1112" s="5" t="s">
        <v>36</v>
      </c>
      <c r="X1112" s="5" t="s">
        <v>3754</v>
      </c>
      <c r="Z1112" s="5" t="s">
        <v>5281</v>
      </c>
      <c r="AA1112" s="5" t="s">
        <v>44</v>
      </c>
      <c r="AB1112" s="5" t="s">
        <v>5282</v>
      </c>
      <c r="AC1112" s="8" t="str">
        <f>HYPERLINK("https://drive.google.com/file/d/1aeThmU5lZwPxio0E-yZChGOL-AAK-hBO/view?usp=drivesdk", "Abrir_Factura")</f>
        <v>Abrir_Factura</v>
      </c>
      <c r="AD1112" s="9">
        <v>46028.650381944448</v>
      </c>
    </row>
    <row r="1113" spans="1:30" ht="12.5">
      <c r="A1113" s="4">
        <v>46028.538123240738</v>
      </c>
      <c r="B1113" s="5">
        <v>90850</v>
      </c>
      <c r="C1113" s="5">
        <v>72272083</v>
      </c>
      <c r="D1113" s="5" t="s">
        <v>3530</v>
      </c>
      <c r="F1113" s="5" t="s">
        <v>5283</v>
      </c>
      <c r="H1113" s="5">
        <v>50769217679</v>
      </c>
      <c r="J1113" s="5" t="s">
        <v>5284</v>
      </c>
      <c r="K1113" s="5" t="s">
        <v>73</v>
      </c>
      <c r="L1113" s="5" t="s">
        <v>5285</v>
      </c>
      <c r="M1113" s="5" t="s">
        <v>25421</v>
      </c>
      <c r="N1113" s="6">
        <v>46028</v>
      </c>
      <c r="O1113" s="7">
        <v>0.375</v>
      </c>
      <c r="P1113" s="5">
        <v>1</v>
      </c>
      <c r="Q1113" s="5" t="s">
        <v>210</v>
      </c>
      <c r="R1113" s="5">
        <v>150000</v>
      </c>
      <c r="S1113" s="5">
        <v>0</v>
      </c>
      <c r="T1113" s="5">
        <v>8000</v>
      </c>
      <c r="U1113" s="5">
        <v>158000</v>
      </c>
      <c r="V1113" s="5" t="s">
        <v>5286</v>
      </c>
      <c r="W1113" s="5" t="s">
        <v>36</v>
      </c>
      <c r="X1113" s="5" t="s">
        <v>67</v>
      </c>
      <c r="Z1113" s="5" t="s">
        <v>5287</v>
      </c>
      <c r="AA1113" s="5" t="s">
        <v>44</v>
      </c>
      <c r="AC1113" s="8" t="str">
        <f>HYPERLINK("https://drive.google.com/file/d/125ziwJeqH2rbCIVBOFAqUY5cF_TX42-g/view?usp=drivesdk", "Abrir_Factura")</f>
        <v>Abrir_Factura</v>
      </c>
      <c r="AD1113" s="9">
        <v>46028.542662037034</v>
      </c>
    </row>
    <row r="1114" spans="1:30" ht="12.5">
      <c r="A1114" s="4">
        <v>46028.531904027783</v>
      </c>
      <c r="B1114" s="5">
        <v>90851</v>
      </c>
      <c r="C1114" s="5">
        <v>1140888318</v>
      </c>
      <c r="D1114" s="5" t="s">
        <v>5288</v>
      </c>
      <c r="F1114" s="5" t="s">
        <v>3642</v>
      </c>
      <c r="H1114" s="5">
        <v>573157400580</v>
      </c>
      <c r="J1114" s="5" t="s">
        <v>5289</v>
      </c>
      <c r="K1114" s="5" t="s">
        <v>33</v>
      </c>
      <c r="L1114" s="5" t="s">
        <v>34</v>
      </c>
      <c r="M1114" s="5">
        <v>3157400580</v>
      </c>
      <c r="N1114" s="6">
        <v>46032</v>
      </c>
      <c r="O1114" s="7">
        <v>0.375</v>
      </c>
      <c r="P1114" s="5">
        <v>1</v>
      </c>
      <c r="Q1114" s="5" t="s">
        <v>3111</v>
      </c>
      <c r="R1114" s="5">
        <v>190000</v>
      </c>
      <c r="S1114" s="5">
        <v>0</v>
      </c>
      <c r="T1114" s="5">
        <v>0</v>
      </c>
      <c r="U1114" s="5">
        <v>190000</v>
      </c>
      <c r="V1114" s="5"/>
      <c r="W1114" s="5" t="s">
        <v>36</v>
      </c>
      <c r="X1114" s="5" t="s">
        <v>67</v>
      </c>
      <c r="Z1114" s="5" t="s">
        <v>5290</v>
      </c>
      <c r="AA1114" s="5" t="s">
        <v>69</v>
      </c>
      <c r="AC1114" s="8" t="str">
        <f>HYPERLINK("https://drive.google.com/file/d/1m7_zW7kgrAgRKoHu5PdCFZ_UmNFiqMbn/view?usp=drivesdk", "Abrir_Factura")</f>
        <v>Abrir_Factura</v>
      </c>
      <c r="AD1114" s="9">
        <v>46028.549664351849</v>
      </c>
    </row>
    <row r="1115" spans="1:30" ht="12.5">
      <c r="A1115" s="4">
        <v>46027.790069386574</v>
      </c>
      <c r="B1115" s="5">
        <v>90852</v>
      </c>
      <c r="C1115" s="5">
        <v>0</v>
      </c>
      <c r="D1115" s="5" t="s">
        <v>968</v>
      </c>
      <c r="F1115" s="5" t="s">
        <v>1607</v>
      </c>
      <c r="H1115" s="5">
        <v>13473592505</v>
      </c>
      <c r="J1115" s="5" t="s">
        <v>5291</v>
      </c>
      <c r="K1115" s="5" t="s">
        <v>726</v>
      </c>
      <c r="L1115" s="5" t="s">
        <v>5292</v>
      </c>
      <c r="M1115" s="5"/>
      <c r="N1115" s="6">
        <v>46029</v>
      </c>
      <c r="O1115" s="7">
        <v>0.375</v>
      </c>
      <c r="P1115" s="5">
        <v>1</v>
      </c>
      <c r="Q1115" s="5" t="s">
        <v>384</v>
      </c>
      <c r="R1115" s="5">
        <v>180000</v>
      </c>
      <c r="S1115" s="5">
        <v>0</v>
      </c>
      <c r="T1115" s="5">
        <v>9000</v>
      </c>
      <c r="U1115" s="5">
        <v>189000</v>
      </c>
      <c r="V1115" s="5" t="s">
        <v>5293</v>
      </c>
      <c r="W1115" s="5" t="s">
        <v>36</v>
      </c>
      <c r="X1115" s="5" t="s">
        <v>3754</v>
      </c>
      <c r="Z1115" s="5" t="s">
        <v>5294</v>
      </c>
      <c r="AA1115" s="5" t="s">
        <v>44</v>
      </c>
      <c r="AB1115" s="5" t="s">
        <v>5293</v>
      </c>
      <c r="AC1115" s="8" t="str">
        <f>HYPERLINK("https://drive.google.com/file/d/1gXAny-jcBmP1gM31CV-b_h55IIraNnY9/view?usp=drivesdk", "Abrir_Factura")</f>
        <v>Abrir_Factura</v>
      </c>
      <c r="AD1115" s="9">
        <v>46028.562800925924</v>
      </c>
    </row>
    <row r="1116" spans="1:30" ht="12.5">
      <c r="A1116" s="4">
        <v>46028.570967951389</v>
      </c>
      <c r="B1116" s="5">
        <v>90853</v>
      </c>
      <c r="C1116" s="5">
        <v>1042850449</v>
      </c>
      <c r="D1116" s="5" t="s">
        <v>5295</v>
      </c>
      <c r="F1116" s="5" t="s">
        <v>5296</v>
      </c>
      <c r="H1116" s="5">
        <v>573207878552</v>
      </c>
      <c r="J1116" s="5" t="s">
        <v>5295</v>
      </c>
      <c r="K1116" s="5" t="s">
        <v>1497</v>
      </c>
      <c r="L1116" s="5" t="s">
        <v>5297</v>
      </c>
      <c r="M1116" s="5">
        <v>3207878552</v>
      </c>
      <c r="N1116" s="6">
        <v>46032</v>
      </c>
      <c r="O1116" s="7">
        <v>0.375</v>
      </c>
      <c r="P1116" s="5">
        <v>1</v>
      </c>
      <c r="Q1116" s="5" t="s">
        <v>42</v>
      </c>
      <c r="R1116" s="5">
        <v>90000</v>
      </c>
      <c r="S1116" s="5">
        <v>0</v>
      </c>
      <c r="T1116" s="5">
        <v>12000</v>
      </c>
      <c r="U1116" s="5">
        <v>102000</v>
      </c>
      <c r="V1116" s="5" t="s">
        <v>5298</v>
      </c>
      <c r="W1116" s="5" t="s">
        <v>36</v>
      </c>
      <c r="X1116" s="5" t="s">
        <v>2438</v>
      </c>
      <c r="Z1116" s="5" t="s">
        <v>5299</v>
      </c>
      <c r="AA1116" s="5" t="s">
        <v>69</v>
      </c>
      <c r="AC1116" s="8" t="str">
        <f>HYPERLINK("https://drive.google.com/file/d/1gyxzIoaE5UCIc_PzswjL5lkMSt4IXL-J/view?usp=drivesdk", "Abrir_Factura")</f>
        <v>Abrir_Factura</v>
      </c>
      <c r="AD1116" s="9">
        <v>46028.590081018519</v>
      </c>
    </row>
    <row r="1117" spans="1:30" ht="12.5">
      <c r="A1117" s="4">
        <v>46028.582351215278</v>
      </c>
      <c r="B1117" s="5">
        <v>90854</v>
      </c>
      <c r="C1117" s="5">
        <v>1041691398</v>
      </c>
      <c r="D1117" s="5" t="s">
        <v>5300</v>
      </c>
      <c r="F1117" s="5" t="s">
        <v>5301</v>
      </c>
      <c r="H1117" s="5">
        <v>573134508475</v>
      </c>
      <c r="J1117" s="5" t="s">
        <v>5302</v>
      </c>
      <c r="K1117" s="5" t="s">
        <v>103</v>
      </c>
      <c r="L1117" s="5" t="s">
        <v>5303</v>
      </c>
      <c r="M1117" s="5">
        <v>3134508475</v>
      </c>
      <c r="N1117" s="6">
        <v>46028</v>
      </c>
      <c r="O1117" s="7">
        <v>0</v>
      </c>
      <c r="P1117" s="5">
        <v>1</v>
      </c>
      <c r="Q1117" s="5" t="s">
        <v>251</v>
      </c>
      <c r="R1117" s="5">
        <v>170000</v>
      </c>
      <c r="S1117" s="5">
        <v>0</v>
      </c>
      <c r="T1117" s="5">
        <v>10000</v>
      </c>
      <c r="U1117" s="5">
        <v>180000</v>
      </c>
      <c r="V1117" s="5"/>
      <c r="W1117" s="5" t="s">
        <v>36</v>
      </c>
      <c r="X1117" s="5" t="s">
        <v>1481</v>
      </c>
      <c r="Z1117" s="5" t="s">
        <v>5304</v>
      </c>
      <c r="AA1117" s="5" t="s">
        <v>69</v>
      </c>
      <c r="AC1117" s="8" t="str">
        <f>HYPERLINK("https://drive.google.com/file/d/15d1biie6X-W0wH34j2W2vlfqD1kQRliW/view?usp=drivesdk", "Abrir_Factura")</f>
        <v>Abrir_Factura</v>
      </c>
      <c r="AD1117" s="9">
        <v>46028.591226851851</v>
      </c>
    </row>
    <row r="1118" spans="1:30" ht="12.5">
      <c r="A1118" s="4">
        <v>46027.579523043983</v>
      </c>
      <c r="B1118" s="5">
        <v>90855</v>
      </c>
      <c r="C1118" s="5">
        <v>1234097915</v>
      </c>
      <c r="D1118" s="5" t="s">
        <v>5305</v>
      </c>
      <c r="F1118" s="5" t="s">
        <v>5306</v>
      </c>
      <c r="H1118" s="5">
        <v>573014014408</v>
      </c>
      <c r="J1118" s="5" t="s">
        <v>5307</v>
      </c>
      <c r="K1118" s="5" t="s">
        <v>33</v>
      </c>
      <c r="L1118" s="5" t="s">
        <v>34</v>
      </c>
      <c r="M1118" s="5">
        <v>3014014408</v>
      </c>
      <c r="N1118" s="6">
        <v>46030</v>
      </c>
      <c r="O1118" s="7">
        <v>0.375</v>
      </c>
      <c r="P1118" s="5">
        <v>1</v>
      </c>
      <c r="Q1118" s="5" t="s">
        <v>5308</v>
      </c>
      <c r="R1118" s="5">
        <v>150000</v>
      </c>
      <c r="S1118" s="5">
        <v>0</v>
      </c>
      <c r="T1118" s="5">
        <v>0</v>
      </c>
      <c r="U1118" s="5">
        <v>150000</v>
      </c>
      <c r="V1118" s="5" t="s">
        <v>5309</v>
      </c>
      <c r="W1118" s="5" t="s">
        <v>36</v>
      </c>
      <c r="X1118" s="5" t="s">
        <v>83</v>
      </c>
      <c r="Z1118" s="5" t="s">
        <v>5310</v>
      </c>
      <c r="AA1118" s="5" t="s">
        <v>69</v>
      </c>
      <c r="AB1118" s="5" t="s">
        <v>5311</v>
      </c>
      <c r="AC1118" s="8" t="str">
        <f>HYPERLINK("https://drive.google.com/file/d/153vkH8HZmVjPuRFX9P212akVc-dabewM/view?usp=drivesdk", "Abrir_Factura")</f>
        <v>Abrir_Factura</v>
      </c>
      <c r="AD1118" s="9">
        <v>46028.594097222223</v>
      </c>
    </row>
    <row r="1119" spans="1:30" ht="12.5">
      <c r="A1119" s="4">
        <v>46028.596334317132</v>
      </c>
      <c r="B1119" s="5">
        <v>90856</v>
      </c>
      <c r="C1119" s="5">
        <v>1234092404</v>
      </c>
      <c r="D1119" s="5" t="s">
        <v>5312</v>
      </c>
      <c r="F1119" s="5" t="s">
        <v>5313</v>
      </c>
      <c r="H1119" s="5">
        <v>573016911041</v>
      </c>
      <c r="J1119" s="5" t="s">
        <v>5314</v>
      </c>
      <c r="K1119" s="5" t="s">
        <v>33</v>
      </c>
      <c r="L1119" s="5" t="s">
        <v>34</v>
      </c>
      <c r="M1119" s="5">
        <v>3016911041</v>
      </c>
      <c r="N1119" s="6">
        <v>46028</v>
      </c>
      <c r="O1119" s="7">
        <v>0.125</v>
      </c>
      <c r="P1119" s="5">
        <v>1</v>
      </c>
      <c r="Q1119" s="5" t="s">
        <v>178</v>
      </c>
      <c r="R1119" s="5">
        <v>100000</v>
      </c>
      <c r="S1119" s="5">
        <v>0</v>
      </c>
      <c r="T1119" s="5">
        <v>0</v>
      </c>
      <c r="U1119" s="5">
        <v>100000</v>
      </c>
      <c r="V1119" s="5"/>
      <c r="W1119" s="5" t="s">
        <v>36</v>
      </c>
      <c r="X1119" s="5" t="s">
        <v>43</v>
      </c>
      <c r="AA1119" s="5" t="s">
        <v>37</v>
      </c>
      <c r="AB1119" s="5" t="s">
        <v>5315</v>
      </c>
      <c r="AC1119" s="8" t="str">
        <f>HYPERLINK("https://drive.google.com/file/d/19OQR8iFSAqih-h8qHUcuLV_83nxZ39kb/view?usp=drivesdk", "Abrir_Factura")</f>
        <v>Abrir_Factura</v>
      </c>
      <c r="AD1119" s="9">
        <v>46028.596747685187</v>
      </c>
    </row>
    <row r="1120" spans="1:30" ht="12.5">
      <c r="A1120" s="4">
        <v>46028.597921111112</v>
      </c>
      <c r="B1120" s="5">
        <v>90857</v>
      </c>
      <c r="C1120" s="5">
        <v>806775</v>
      </c>
      <c r="D1120" s="5" t="s">
        <v>5316</v>
      </c>
      <c r="F1120" s="5" t="s">
        <v>5317</v>
      </c>
      <c r="H1120" s="5">
        <v>573196213630</v>
      </c>
      <c r="J1120" s="5" t="s">
        <v>5318</v>
      </c>
      <c r="K1120" s="5" t="s">
        <v>33</v>
      </c>
      <c r="L1120" s="5" t="s">
        <v>34</v>
      </c>
      <c r="M1120" s="5">
        <v>3196213630</v>
      </c>
      <c r="N1120" s="6">
        <v>46028</v>
      </c>
      <c r="O1120" s="7">
        <v>0</v>
      </c>
      <c r="P1120" s="5">
        <v>1</v>
      </c>
      <c r="Q1120" s="5" t="s">
        <v>42</v>
      </c>
      <c r="R1120" s="5">
        <v>96000</v>
      </c>
      <c r="S1120" s="5">
        <v>0</v>
      </c>
      <c r="T1120" s="5">
        <v>0</v>
      </c>
      <c r="U1120" s="5">
        <v>96000</v>
      </c>
      <c r="V1120" s="5"/>
      <c r="W1120" s="5" t="s">
        <v>36</v>
      </c>
      <c r="X1120" s="5" t="s">
        <v>196</v>
      </c>
      <c r="AA1120" s="5" t="s">
        <v>1717</v>
      </c>
      <c r="AB1120" s="5" t="s">
        <v>525</v>
      </c>
      <c r="AC1120" s="8" t="str">
        <f>HYPERLINK("https://drive.google.com/file/d/16XErYlVW9_nAnGUf2peZ5ALGyRqHkoW1/view?usp=drivesdk", "Abrir_Factura")</f>
        <v>Abrir_Factura</v>
      </c>
      <c r="AD1120" s="9">
        <v>46028.599641203706</v>
      </c>
    </row>
    <row r="1121" spans="1:30" ht="12.5">
      <c r="A1121" s="4">
        <v>46028.586433263888</v>
      </c>
      <c r="B1121" s="5">
        <v>90858</v>
      </c>
      <c r="C1121" s="5">
        <v>1001817955</v>
      </c>
      <c r="D1121" s="5" t="s">
        <v>5319</v>
      </c>
      <c r="F1121" s="5" t="s">
        <v>5320</v>
      </c>
      <c r="H1121" s="5">
        <v>573103540175</v>
      </c>
      <c r="J1121" s="5" t="s">
        <v>5321</v>
      </c>
      <c r="K1121" s="5" t="s">
        <v>33</v>
      </c>
      <c r="L1121" s="5" t="s">
        <v>34</v>
      </c>
      <c r="M1121" s="5">
        <v>3103540175</v>
      </c>
      <c r="N1121" s="6">
        <v>46028</v>
      </c>
      <c r="O1121" s="7">
        <v>0.70833333333333337</v>
      </c>
      <c r="P1121" s="5">
        <v>1</v>
      </c>
      <c r="Q1121" s="5" t="s">
        <v>5322</v>
      </c>
      <c r="R1121" s="5">
        <v>350000</v>
      </c>
      <c r="S1121" s="5">
        <v>0</v>
      </c>
      <c r="T1121" s="5">
        <v>0</v>
      </c>
      <c r="U1121" s="5">
        <v>350000</v>
      </c>
      <c r="V1121" s="5"/>
      <c r="W1121" s="5" t="s">
        <v>36</v>
      </c>
      <c r="X1121" s="5" t="s">
        <v>67</v>
      </c>
      <c r="Z1121" s="5" t="s">
        <v>182</v>
      </c>
      <c r="AA1121" s="5" t="s">
        <v>44</v>
      </c>
      <c r="AC1121" s="8" t="str">
        <f>HYPERLINK("https://drive.google.com/file/d/1cD4cNu57i6HSfZiXJt9DtSGlt6vr7_gm/view?usp=drivesdk", "Abrir_Factura")</f>
        <v>Abrir_Factura</v>
      </c>
      <c r="AD1121" s="9">
        <v>46028.601817129631</v>
      </c>
    </row>
    <row r="1122" spans="1:30" ht="12.5">
      <c r="A1122" s="4">
        <v>46028.611699803238</v>
      </c>
      <c r="B1122" s="5">
        <v>90859</v>
      </c>
      <c r="C1122" s="5">
        <v>0</v>
      </c>
      <c r="D1122" s="5" t="s">
        <v>5323</v>
      </c>
      <c r="F1122" s="5" t="s">
        <v>5216</v>
      </c>
      <c r="H1122" s="5">
        <v>570000</v>
      </c>
      <c r="J1122" s="5" t="s">
        <v>5324</v>
      </c>
      <c r="K1122" s="5" t="s">
        <v>33</v>
      </c>
      <c r="L1122" s="5" t="s">
        <v>34</v>
      </c>
      <c r="M1122" s="5"/>
      <c r="N1122" s="6">
        <v>46028</v>
      </c>
      <c r="O1122" s="7">
        <v>0</v>
      </c>
      <c r="P1122" s="5">
        <v>1</v>
      </c>
      <c r="Q1122" s="5" t="s">
        <v>42</v>
      </c>
      <c r="R1122" s="5">
        <v>15000</v>
      </c>
      <c r="S1122" s="5">
        <v>0</v>
      </c>
      <c r="T1122" s="5">
        <v>0</v>
      </c>
      <c r="U1122" s="5">
        <v>15000</v>
      </c>
      <c r="V1122" s="5"/>
      <c r="W1122" s="5" t="s">
        <v>36</v>
      </c>
      <c r="X1122" s="5" t="s">
        <v>196</v>
      </c>
      <c r="AA1122" s="5" t="s">
        <v>1717</v>
      </c>
      <c r="AB1122" s="5" t="s">
        <v>5325</v>
      </c>
      <c r="AC1122" s="8" t="str">
        <f>HYPERLINK("https://drive.google.com/file/d/1Cb4A7wsmkVNEtIzUBt6jmGhX4lyvO209/view?usp=drivesdk", "Abrir_Factura")</f>
        <v>Abrir_Factura</v>
      </c>
      <c r="AD1122" s="9">
        <v>46028.61209490741</v>
      </c>
    </row>
    <row r="1123" spans="1:30" ht="12.5">
      <c r="A1123" s="4">
        <v>46028.573025694444</v>
      </c>
      <c r="B1123" s="5">
        <v>90860</v>
      </c>
      <c r="C1123" s="5">
        <v>1140835441</v>
      </c>
      <c r="D1123" s="5" t="s">
        <v>5326</v>
      </c>
      <c r="F1123" s="5" t="s">
        <v>5327</v>
      </c>
      <c r="H1123" s="5">
        <v>573008577668</v>
      </c>
      <c r="J1123" s="5" t="s">
        <v>5328</v>
      </c>
      <c r="K1123" s="5" t="s">
        <v>185</v>
      </c>
      <c r="L1123" s="5" t="s">
        <v>5329</v>
      </c>
      <c r="M1123" s="5">
        <v>3013796320</v>
      </c>
      <c r="N1123" s="6">
        <v>46028</v>
      </c>
      <c r="O1123" s="7">
        <v>0.77083333333333337</v>
      </c>
      <c r="P1123" s="5">
        <v>1</v>
      </c>
      <c r="Q1123" s="5" t="s">
        <v>384</v>
      </c>
      <c r="R1123" s="5">
        <v>180000</v>
      </c>
      <c r="S1123" s="5">
        <v>0</v>
      </c>
      <c r="T1123" s="5">
        <v>8000</v>
      </c>
      <c r="U1123" s="5">
        <v>188000</v>
      </c>
      <c r="V1123" s="5" t="s">
        <v>5330</v>
      </c>
      <c r="W1123" s="5" t="s">
        <v>36</v>
      </c>
      <c r="X1123" s="5" t="s">
        <v>67</v>
      </c>
      <c r="Z1123" s="5" t="s">
        <v>5331</v>
      </c>
      <c r="AA1123" s="5" t="s">
        <v>44</v>
      </c>
      <c r="AC1123" s="8" t="str">
        <f>HYPERLINK("https://drive.google.com/file/d/13RPwf0vQfFB11PCXLY02K-mm0Bol6U1P/view?usp=drivesdk", "Abrir_Factura")</f>
        <v>Abrir_Factura</v>
      </c>
      <c r="AD1123" s="9">
        <v>46028.623564814814</v>
      </c>
    </row>
    <row r="1124" spans="1:30" ht="12.5">
      <c r="A1124" s="4">
        <v>46028.663071805553</v>
      </c>
      <c r="B1124" s="5">
        <v>90861</v>
      </c>
      <c r="C1124" s="5">
        <v>1048072167</v>
      </c>
      <c r="D1124" s="5" t="s">
        <v>5332</v>
      </c>
      <c r="F1124" s="5" t="s">
        <v>5333</v>
      </c>
      <c r="H1124" s="5">
        <v>573102636686</v>
      </c>
      <c r="J1124" s="5" t="s">
        <v>5334</v>
      </c>
      <c r="K1124" s="5" t="s">
        <v>33</v>
      </c>
      <c r="L1124" s="5" t="s">
        <v>34</v>
      </c>
      <c r="M1124" s="5">
        <v>3102636686</v>
      </c>
      <c r="N1124" s="6">
        <v>46028</v>
      </c>
      <c r="O1124" s="7">
        <v>0</v>
      </c>
      <c r="P1124" s="5">
        <v>1</v>
      </c>
      <c r="Q1124" s="5" t="s">
        <v>178</v>
      </c>
      <c r="R1124" s="5">
        <v>110000</v>
      </c>
      <c r="S1124" s="5">
        <v>0</v>
      </c>
      <c r="T1124" s="5">
        <v>0</v>
      </c>
      <c r="U1124" s="5">
        <v>110000</v>
      </c>
      <c r="V1124" s="5"/>
      <c r="W1124" s="5" t="s">
        <v>36</v>
      </c>
      <c r="X1124" s="5" t="s">
        <v>2636</v>
      </c>
      <c r="AA1124" s="5" t="s">
        <v>1717</v>
      </c>
      <c r="AB1124" s="5" t="s">
        <v>5335</v>
      </c>
      <c r="AC1124" s="8" t="str">
        <f>HYPERLINK("https://drive.google.com/file/d/1EhQnqOWOCMi7h79tTQ4d42zDCnljtLVW/view?usp=drivesdk", "Abrir_Factura")</f>
        <v>Abrir_Factura</v>
      </c>
      <c r="AD1124" s="9">
        <v>46028.663784722223</v>
      </c>
    </row>
    <row r="1125" spans="1:30" ht="12.5">
      <c r="A1125" s="4">
        <v>46028.681362476855</v>
      </c>
      <c r="B1125" s="5">
        <v>90862</v>
      </c>
      <c r="C1125" s="5">
        <v>32775013</v>
      </c>
      <c r="D1125" s="5" t="s">
        <v>5336</v>
      </c>
      <c r="F1125" s="5" t="s">
        <v>5337</v>
      </c>
      <c r="H1125" s="5">
        <v>573128640780</v>
      </c>
      <c r="J1125" s="5" t="s">
        <v>5338</v>
      </c>
      <c r="K1125" s="5" t="s">
        <v>103</v>
      </c>
      <c r="L1125" s="5" t="s">
        <v>5339</v>
      </c>
      <c r="M1125" s="5"/>
      <c r="N1125" s="6">
        <v>46029</v>
      </c>
      <c r="O1125" s="7">
        <v>0.375</v>
      </c>
      <c r="P1125" s="5">
        <v>1</v>
      </c>
      <c r="Q1125" s="5" t="s">
        <v>309</v>
      </c>
      <c r="R1125" s="5">
        <v>80000</v>
      </c>
      <c r="S1125" s="5">
        <v>0</v>
      </c>
      <c r="T1125" s="5">
        <v>10000</v>
      </c>
      <c r="U1125" s="5">
        <v>90000</v>
      </c>
      <c r="V1125" s="5" t="s">
        <v>5340</v>
      </c>
      <c r="W1125" s="5" t="s">
        <v>36</v>
      </c>
      <c r="X1125" s="5" t="s">
        <v>67</v>
      </c>
      <c r="AA1125" s="5" t="s">
        <v>44</v>
      </c>
      <c r="AC1125" s="8" t="str">
        <f>HYPERLINK("https://drive.google.com/file/d/1GNwhojwYck2GvTC5LCkLUkb8PxNH9Uus/view?usp=drivesdk", "Abrir_Factura")</f>
        <v>Abrir_Factura</v>
      </c>
      <c r="AD1125" s="9">
        <v>46028.681990740741</v>
      </c>
    </row>
    <row r="1126" spans="1:30" ht="12.5">
      <c r="A1126" s="4">
        <v>46028.672292592593</v>
      </c>
      <c r="B1126" s="5">
        <v>90863</v>
      </c>
      <c r="C1126" s="5">
        <v>1001912365</v>
      </c>
      <c r="D1126" s="5" t="s">
        <v>5341</v>
      </c>
      <c r="F1126" s="5" t="s">
        <v>1578</v>
      </c>
      <c r="H1126" s="5">
        <v>573015832280</v>
      </c>
      <c r="J1126" s="5" t="s">
        <v>5342</v>
      </c>
      <c r="K1126" s="5" t="s">
        <v>103</v>
      </c>
      <c r="L1126" s="5" t="s">
        <v>5343</v>
      </c>
      <c r="M1126" s="5">
        <v>3015832280</v>
      </c>
      <c r="N1126" s="6">
        <v>46028</v>
      </c>
      <c r="O1126" s="7">
        <v>0.70833333333333337</v>
      </c>
      <c r="P1126" s="5">
        <v>1</v>
      </c>
      <c r="Q1126" s="5" t="s">
        <v>5344</v>
      </c>
      <c r="R1126" s="5">
        <v>70000</v>
      </c>
      <c r="S1126" s="5">
        <v>0</v>
      </c>
      <c r="T1126" s="5">
        <v>10000</v>
      </c>
      <c r="U1126" s="5">
        <v>80000</v>
      </c>
      <c r="V1126" s="5" t="s">
        <v>4937</v>
      </c>
      <c r="W1126" s="5" t="s">
        <v>36</v>
      </c>
      <c r="X1126" s="5" t="s">
        <v>67</v>
      </c>
      <c r="Z1126" s="5" t="s">
        <v>5345</v>
      </c>
      <c r="AA1126" s="5" t="s">
        <v>44</v>
      </c>
      <c r="AB1126" s="5" t="s">
        <v>5346</v>
      </c>
      <c r="AC1126" s="8" t="str">
        <f>HYPERLINK("https://drive.google.com/file/d/1tgOi-gGG-7I7RMLDQiezGeeZc0dXwfSO/view?usp=drivesdk", "Abrir_Factura")</f>
        <v>Abrir_Factura</v>
      </c>
      <c r="AD1126" s="9">
        <v>46028.68378472222</v>
      </c>
    </row>
    <row r="1127" spans="1:30" ht="12.5">
      <c r="A1127" s="4">
        <v>46028.54404753472</v>
      </c>
      <c r="B1127" s="5">
        <v>90864</v>
      </c>
      <c r="C1127" s="5">
        <v>1126789463</v>
      </c>
      <c r="D1127" s="5" t="s">
        <v>1136</v>
      </c>
      <c r="F1127" s="5" t="s">
        <v>5347</v>
      </c>
      <c r="H1127" s="5">
        <v>12899272378</v>
      </c>
      <c r="J1127" s="5" t="s">
        <v>5348</v>
      </c>
      <c r="K1127" s="5" t="s">
        <v>73</v>
      </c>
      <c r="L1127" s="5" t="s">
        <v>5349</v>
      </c>
      <c r="M1127" s="5">
        <v>12899272378</v>
      </c>
      <c r="N1127" s="6">
        <v>46029</v>
      </c>
      <c r="O1127" s="7">
        <v>0.33333333333333331</v>
      </c>
      <c r="P1127" s="5">
        <v>1</v>
      </c>
      <c r="Q1127" s="5" t="s">
        <v>422</v>
      </c>
      <c r="R1127" s="5">
        <v>130000</v>
      </c>
      <c r="S1127" s="5">
        <v>0</v>
      </c>
      <c r="T1127" s="5">
        <v>8000</v>
      </c>
      <c r="U1127" s="5">
        <v>138000</v>
      </c>
      <c r="V1127" s="5" t="s">
        <v>5350</v>
      </c>
      <c r="W1127" s="5" t="s">
        <v>36</v>
      </c>
      <c r="X1127" s="5" t="s">
        <v>1937</v>
      </c>
      <c r="Z1127" s="5" t="s">
        <v>5351</v>
      </c>
      <c r="AA1127" s="5" t="s">
        <v>44</v>
      </c>
      <c r="AC1127" s="8" t="str">
        <f>HYPERLINK("https://drive.google.com/file/d/1RqrSKuSXibEduqQzMzTKJnychTMtt6ks/view?usp=drivesdk", "Abrir_Factura")</f>
        <v>Abrir_Factura</v>
      </c>
      <c r="AD1127" s="9">
        <v>46028.68917824074</v>
      </c>
    </row>
    <row r="1128" spans="1:30" ht="12.5">
      <c r="A1128" s="4">
        <v>46027.846451689817</v>
      </c>
      <c r="B1128" s="5">
        <v>90865</v>
      </c>
      <c r="C1128" s="5">
        <v>1018498640</v>
      </c>
      <c r="D1128" s="5" t="s">
        <v>1714</v>
      </c>
      <c r="F1128" s="5" t="s">
        <v>5352</v>
      </c>
      <c r="H1128" s="5">
        <v>573182886105</v>
      </c>
      <c r="J1128" s="5" t="s">
        <v>5353</v>
      </c>
      <c r="K1128" s="5" t="s">
        <v>63</v>
      </c>
      <c r="L1128" s="5" t="s">
        <v>5354</v>
      </c>
      <c r="M1128" s="5">
        <v>3152685388</v>
      </c>
      <c r="N1128" s="6">
        <v>46031</v>
      </c>
      <c r="O1128" s="7">
        <v>0.375</v>
      </c>
      <c r="P1128" s="5">
        <v>1</v>
      </c>
      <c r="Q1128" s="5" t="s">
        <v>335</v>
      </c>
      <c r="R1128" s="5">
        <v>120000</v>
      </c>
      <c r="S1128" s="5">
        <v>0</v>
      </c>
      <c r="T1128" s="5">
        <v>15000</v>
      </c>
      <c r="U1128" s="5">
        <v>135000</v>
      </c>
      <c r="V1128" s="5" t="s">
        <v>5355</v>
      </c>
      <c r="W1128" s="5" t="s">
        <v>36</v>
      </c>
      <c r="X1128" s="5" t="s">
        <v>204</v>
      </c>
      <c r="Z1128" s="5" t="s">
        <v>5356</v>
      </c>
      <c r="AA1128" s="5" t="s">
        <v>44</v>
      </c>
      <c r="AC1128" s="8" t="str">
        <f>HYPERLINK("https://drive.google.com/file/d/1nogpnRgZTXR5Ch6Mye5FSsNCu6KgDUDC/view?usp=drivesdk", "Abrir_Factura")</f>
        <v>Abrir_Factura</v>
      </c>
      <c r="AD1128" s="9">
        <v>46028.69222222222</v>
      </c>
    </row>
    <row r="1129" spans="1:30" ht="12.5">
      <c r="A1129" s="4">
        <v>46028.711449351853</v>
      </c>
      <c r="B1129" s="5">
        <v>90866</v>
      </c>
      <c r="C1129" s="5">
        <v>16535500</v>
      </c>
      <c r="D1129" s="5" t="s">
        <v>5357</v>
      </c>
      <c r="F1129" s="5" t="s">
        <v>5358</v>
      </c>
      <c r="H1129" s="5">
        <v>573004420302</v>
      </c>
      <c r="J1129" s="5" t="s">
        <v>5359</v>
      </c>
      <c r="K1129" s="5" t="s">
        <v>5360</v>
      </c>
      <c r="L1129" s="5" t="s">
        <v>5361</v>
      </c>
      <c r="M1129" s="5"/>
      <c r="N1129" s="6">
        <v>46029</v>
      </c>
      <c r="O1129" s="7">
        <v>0.33333333333333331</v>
      </c>
      <c r="P1129" s="5">
        <v>1</v>
      </c>
      <c r="Q1129" s="5" t="s">
        <v>384</v>
      </c>
      <c r="R1129" s="5">
        <v>180000</v>
      </c>
      <c r="S1129" s="5">
        <v>0</v>
      </c>
      <c r="T1129" s="5">
        <v>17000</v>
      </c>
      <c r="U1129" s="5">
        <v>197000</v>
      </c>
      <c r="V1129" s="5" t="s">
        <v>5362</v>
      </c>
      <c r="W1129" s="5" t="s">
        <v>36</v>
      </c>
      <c r="X1129" s="5" t="s">
        <v>180</v>
      </c>
      <c r="AA1129" s="5" t="s">
        <v>44</v>
      </c>
      <c r="AB1129" s="5" t="s">
        <v>5363</v>
      </c>
      <c r="AC1129" s="8" t="str">
        <f>HYPERLINK("https://drive.google.com/file/d/1l-wJ4P8Jf-wEdX7A1tCr5FG7o9cmTqHU/view?usp=drivesdk", "Abrir_Factura")</f>
        <v>Abrir_Factura</v>
      </c>
      <c r="AD1129" s="9">
        <v>46028.712245370371</v>
      </c>
    </row>
    <row r="1130" spans="1:30" ht="12.5">
      <c r="A1130" s="4">
        <v>46028.7300105787</v>
      </c>
      <c r="B1130" s="5">
        <v>90867</v>
      </c>
      <c r="C1130" s="5">
        <v>1129577077</v>
      </c>
      <c r="D1130" s="5" t="s">
        <v>3301</v>
      </c>
      <c r="F1130" s="5" t="s">
        <v>5364</v>
      </c>
      <c r="H1130" s="5">
        <v>573146014820</v>
      </c>
      <c r="J1130" s="5" t="s">
        <v>5365</v>
      </c>
      <c r="K1130" s="5" t="s">
        <v>33</v>
      </c>
      <c r="L1130" s="5" t="s">
        <v>34</v>
      </c>
      <c r="M1130" s="5">
        <v>3146014820</v>
      </c>
      <c r="N1130" s="6">
        <v>46028</v>
      </c>
      <c r="O1130" s="7">
        <v>0</v>
      </c>
      <c r="P1130" s="5">
        <v>1</v>
      </c>
      <c r="Q1130" s="5" t="s">
        <v>42</v>
      </c>
      <c r="R1130" s="5">
        <v>12000</v>
      </c>
      <c r="S1130" s="5">
        <v>0</v>
      </c>
      <c r="T1130" s="5">
        <v>0</v>
      </c>
      <c r="U1130" s="5">
        <v>12000</v>
      </c>
      <c r="V1130" s="5"/>
      <c r="W1130" s="5" t="s">
        <v>36</v>
      </c>
      <c r="X1130" s="5" t="s">
        <v>2636</v>
      </c>
      <c r="AA1130" s="5" t="s">
        <v>1717</v>
      </c>
      <c r="AB1130" s="5" t="s">
        <v>525</v>
      </c>
      <c r="AC1130" s="8" t="str">
        <f>HYPERLINK("https://drive.google.com/file/d/1Wl9_iJndLHMiVNBQElxLwu0-6IevQozK/view?usp=drivesdk", "Abrir_Factura")</f>
        <v>Abrir_Factura</v>
      </c>
      <c r="AD1130" s="9">
        <v>46028.730949074074</v>
      </c>
    </row>
    <row r="1131" spans="1:30" ht="12.5">
      <c r="A1131" s="4">
        <v>46028.729028171292</v>
      </c>
      <c r="B1131" s="5">
        <v>90868</v>
      </c>
      <c r="C1131" s="5">
        <v>1066280706</v>
      </c>
      <c r="D1131" s="5" t="s">
        <v>5366</v>
      </c>
      <c r="F1131" s="5" t="s">
        <v>5367</v>
      </c>
      <c r="H1131" s="5">
        <v>573125948612</v>
      </c>
      <c r="J1131" s="5" t="s">
        <v>5368</v>
      </c>
      <c r="K1131" s="5" t="s">
        <v>33</v>
      </c>
      <c r="L1131" s="5" t="s">
        <v>34</v>
      </c>
      <c r="M1131" s="5">
        <v>3125948612</v>
      </c>
      <c r="N1131" s="6">
        <v>46028</v>
      </c>
      <c r="O1131" s="7">
        <v>0</v>
      </c>
      <c r="P1131" s="5">
        <v>1</v>
      </c>
      <c r="Q1131" s="5" t="s">
        <v>75</v>
      </c>
      <c r="R1131" s="5">
        <v>70000</v>
      </c>
      <c r="S1131" s="5">
        <v>0</v>
      </c>
      <c r="T1131" s="5">
        <v>0</v>
      </c>
      <c r="U1131" s="5">
        <v>70000</v>
      </c>
      <c r="V1131" s="5" t="s">
        <v>5369</v>
      </c>
      <c r="W1131" s="5" t="s">
        <v>36</v>
      </c>
      <c r="X1131" s="5" t="s">
        <v>83</v>
      </c>
      <c r="AA1131" s="5" t="s">
        <v>44</v>
      </c>
      <c r="AC1131" s="8" t="str">
        <f>HYPERLINK("https://drive.google.com/file/d/1lqtgHN4XymgUI7JwiyYC35MbsqZEMbAv/view?usp=drivesdk", "Abrir_Factura")</f>
        <v>Abrir_Factura</v>
      </c>
      <c r="AD1131" s="9">
        <v>46028.740300925929</v>
      </c>
    </row>
    <row r="1132" spans="1:30" ht="12.5">
      <c r="A1132" s="4">
        <v>46028.755720682871</v>
      </c>
      <c r="B1132" s="5">
        <v>90869</v>
      </c>
      <c r="C1132" s="5">
        <v>900916475</v>
      </c>
      <c r="D1132" s="5" t="s">
        <v>4674</v>
      </c>
      <c r="F1132" s="10" t="s">
        <v>3330</v>
      </c>
      <c r="H1132" s="5">
        <v>573002627762</v>
      </c>
      <c r="J1132" s="5" t="s">
        <v>4674</v>
      </c>
      <c r="K1132" s="5" t="s">
        <v>33</v>
      </c>
      <c r="L1132" s="5" t="s">
        <v>34</v>
      </c>
      <c r="M1132" s="5">
        <v>3002627762</v>
      </c>
      <c r="N1132" s="6">
        <v>46028</v>
      </c>
      <c r="O1132" s="7">
        <v>0</v>
      </c>
      <c r="P1132" s="5">
        <v>1</v>
      </c>
      <c r="Q1132" s="5" t="s">
        <v>42</v>
      </c>
      <c r="R1132" s="5">
        <v>160000</v>
      </c>
      <c r="S1132" s="5">
        <v>0</v>
      </c>
      <c r="T1132" s="5">
        <v>0</v>
      </c>
      <c r="U1132" s="5">
        <v>160000</v>
      </c>
      <c r="V1132" s="5"/>
      <c r="W1132" s="5" t="s">
        <v>36</v>
      </c>
      <c r="X1132" s="5" t="s">
        <v>43</v>
      </c>
      <c r="AA1132" s="5" t="s">
        <v>44</v>
      </c>
      <c r="AC1132" s="8" t="str">
        <f>HYPERLINK("https://drive.google.com/file/d/1FxN2GFAR_kpru9zRS0Bkiu0kdAc2JvXN/view?usp=drivesdk", "Abrir_Factura")</f>
        <v>Abrir_Factura</v>
      </c>
      <c r="AD1132" s="9">
        <v>46028.759259259263</v>
      </c>
    </row>
    <row r="1133" spans="1:30" ht="12.5">
      <c r="A1133" s="4">
        <v>46028.868868275458</v>
      </c>
      <c r="B1133" s="5">
        <v>90870</v>
      </c>
      <c r="C1133" s="5">
        <v>79553980</v>
      </c>
      <c r="D1133" s="5" t="s">
        <v>5128</v>
      </c>
      <c r="F1133" s="5" t="s">
        <v>5370</v>
      </c>
      <c r="H1133" s="5">
        <v>41798260383</v>
      </c>
      <c r="J1133" s="5" t="s">
        <v>5371</v>
      </c>
      <c r="K1133" s="5" t="s">
        <v>103</v>
      </c>
      <c r="L1133" s="5" t="s">
        <v>5372</v>
      </c>
      <c r="M1133" s="5"/>
      <c r="N1133" s="6">
        <v>46029</v>
      </c>
      <c r="O1133" s="7">
        <v>0.35416666666666669</v>
      </c>
      <c r="P1133" s="5">
        <v>1</v>
      </c>
      <c r="Q1133" s="5" t="s">
        <v>1111</v>
      </c>
      <c r="R1133" s="5">
        <v>120000</v>
      </c>
      <c r="S1133" s="5">
        <v>0</v>
      </c>
      <c r="T1133" s="5">
        <v>10000</v>
      </c>
      <c r="U1133" s="5">
        <v>130000</v>
      </c>
      <c r="V1133" s="5" t="s">
        <v>5373</v>
      </c>
      <c r="W1133" s="5" t="s">
        <v>36</v>
      </c>
      <c r="X1133" s="5" t="s">
        <v>1937</v>
      </c>
      <c r="Z1133" s="5" t="s">
        <v>5374</v>
      </c>
      <c r="AA1133" s="5" t="s">
        <v>69</v>
      </c>
      <c r="AC1133" s="8" t="str">
        <f>HYPERLINK("https://drive.google.com/file/d/1JjZ7VbWi2PqCy89hjum4tnHsos2u8FLD/view?usp=drivesdk", "Abrir_Factura")</f>
        <v>Abrir_Factura</v>
      </c>
      <c r="AD1133" s="9">
        <v>46029.306701388887</v>
      </c>
    </row>
    <row r="1134" spans="1:30" ht="12.5">
      <c r="A1134" s="4">
        <v>46029.354053784722</v>
      </c>
      <c r="B1134" s="5">
        <v>90871</v>
      </c>
      <c r="C1134" s="5">
        <v>1140858159</v>
      </c>
      <c r="D1134" s="5" t="s">
        <v>5375</v>
      </c>
      <c r="F1134" s="5" t="s">
        <v>5376</v>
      </c>
      <c r="H1134" s="5">
        <v>573005507555</v>
      </c>
      <c r="J1134" s="5" t="s">
        <v>5377</v>
      </c>
      <c r="K1134" s="5" t="s">
        <v>33</v>
      </c>
      <c r="L1134" s="5" t="s">
        <v>34</v>
      </c>
      <c r="M1134" s="5">
        <v>3005507555</v>
      </c>
      <c r="N1134" s="6">
        <v>46029</v>
      </c>
      <c r="O1134" s="7">
        <v>0</v>
      </c>
      <c r="P1134" s="5">
        <v>1</v>
      </c>
      <c r="Q1134" s="5" t="s">
        <v>42</v>
      </c>
      <c r="R1134" s="5">
        <v>30000</v>
      </c>
      <c r="S1134" s="5">
        <v>0</v>
      </c>
      <c r="T1134" s="5">
        <v>0</v>
      </c>
      <c r="U1134" s="5">
        <v>30000</v>
      </c>
      <c r="V1134" s="5"/>
      <c r="W1134" s="5" t="s">
        <v>36</v>
      </c>
      <c r="X1134" s="5" t="s">
        <v>83</v>
      </c>
      <c r="Z1134" s="5"/>
      <c r="AA1134" s="5" t="s">
        <v>1717</v>
      </c>
      <c r="AB1134" s="5" t="s">
        <v>525</v>
      </c>
      <c r="AC1134" s="8" t="str">
        <f>HYPERLINK("https://drive.google.com/file/d/1dT-jGAQe6dCavGL28sGXO2JH6JreVw3F/view?usp=drivesdk", "Abrir_Factura")</f>
        <v>Abrir_Factura</v>
      </c>
      <c r="AD1134" s="9">
        <v>46029.363009259258</v>
      </c>
    </row>
    <row r="1135" spans="1:30" ht="12.5">
      <c r="A1135" s="4">
        <v>46029.372231041663</v>
      </c>
      <c r="B1135" s="5">
        <v>90872</v>
      </c>
      <c r="C1135" s="5">
        <v>1042241181</v>
      </c>
      <c r="D1135" s="5" t="s">
        <v>2293</v>
      </c>
      <c r="F1135" s="5" t="s">
        <v>5378</v>
      </c>
      <c r="H1135" s="5">
        <v>573016856910</v>
      </c>
      <c r="J1135" s="5" t="s">
        <v>5379</v>
      </c>
      <c r="K1135" s="5" t="s">
        <v>168</v>
      </c>
      <c r="L1135" s="5" t="s">
        <v>5380</v>
      </c>
      <c r="M1135" s="5">
        <v>3045669670</v>
      </c>
      <c r="N1135" s="6">
        <v>46029</v>
      </c>
      <c r="O1135" s="7">
        <v>0</v>
      </c>
      <c r="P1135" s="5">
        <v>1</v>
      </c>
      <c r="Q1135" s="5" t="s">
        <v>42</v>
      </c>
      <c r="R1135" s="5">
        <v>60000</v>
      </c>
      <c r="S1135" s="5">
        <v>0</v>
      </c>
      <c r="T1135" s="5">
        <v>13000</v>
      </c>
      <c r="U1135" s="5">
        <v>73000</v>
      </c>
      <c r="V1135" s="5" t="s">
        <v>5381</v>
      </c>
      <c r="W1135" s="5" t="s">
        <v>36</v>
      </c>
      <c r="X1135" s="5" t="s">
        <v>83</v>
      </c>
      <c r="Z1135" s="5" t="s">
        <v>2293</v>
      </c>
      <c r="AA1135" s="5" t="s">
        <v>44</v>
      </c>
      <c r="AC1135" s="8" t="str">
        <f>HYPERLINK("https://drive.google.com/file/d/1bW4KkQtUOJRB5OAaqYJUAg4DH4F9Zm5i/view?usp=drivesdk", "Abrir_Factura")</f>
        <v>Abrir_Factura</v>
      </c>
      <c r="AD1135" s="9">
        <v>46029.382164351853</v>
      </c>
    </row>
    <row r="1136" spans="1:30" ht="12.5">
      <c r="A1136" s="4">
        <v>46029.388640069446</v>
      </c>
      <c r="B1136" s="5">
        <v>90873</v>
      </c>
      <c r="C1136" s="5">
        <v>1192805772</v>
      </c>
      <c r="D1136" s="5" t="s">
        <v>1026</v>
      </c>
      <c r="F1136" s="5" t="s">
        <v>5382</v>
      </c>
      <c r="H1136" s="5">
        <v>573222696961</v>
      </c>
      <c r="J1136" s="5" t="s">
        <v>5383</v>
      </c>
      <c r="K1136" s="5" t="s">
        <v>103</v>
      </c>
      <c r="L1136" s="5" t="s">
        <v>5384</v>
      </c>
      <c r="M1136" s="5"/>
      <c r="N1136" s="6">
        <v>46029</v>
      </c>
      <c r="O1136" s="7">
        <v>0.41666666666666669</v>
      </c>
      <c r="P1136" s="5">
        <v>1</v>
      </c>
      <c r="Q1136" s="5" t="s">
        <v>187</v>
      </c>
      <c r="R1136" s="5">
        <v>200000</v>
      </c>
      <c r="S1136" s="5">
        <v>0</v>
      </c>
      <c r="T1136" s="5">
        <v>10000</v>
      </c>
      <c r="U1136" s="5">
        <v>210000</v>
      </c>
      <c r="V1136" s="5" t="s">
        <v>5385</v>
      </c>
      <c r="W1136" s="5" t="s">
        <v>36</v>
      </c>
      <c r="X1136" s="5" t="s">
        <v>2163</v>
      </c>
      <c r="AA1136" s="5" t="s">
        <v>69</v>
      </c>
      <c r="AC1136" s="8" t="str">
        <f>HYPERLINK("https://drive.google.com/file/d/1G2cystu_4rnLDeRGcBkj31KJUk6WXgpC/view?usp=drivesdk", "Abrir_Factura")</f>
        <v>Abrir_Factura</v>
      </c>
      <c r="AD1136" s="9">
        <v>46029.389432870368</v>
      </c>
    </row>
    <row r="1137" spans="1:30" ht="12.5">
      <c r="A1137" s="4">
        <v>46029.395771435185</v>
      </c>
      <c r="B1137" s="5">
        <v>90874</v>
      </c>
      <c r="C1137" s="5">
        <v>32895685</v>
      </c>
      <c r="D1137" s="5" t="s">
        <v>5386</v>
      </c>
      <c r="F1137" s="5" t="s">
        <v>399</v>
      </c>
      <c r="H1137" s="5">
        <v>573104536468</v>
      </c>
      <c r="J1137" s="5" t="s">
        <v>5387</v>
      </c>
      <c r="K1137" s="5" t="s">
        <v>103</v>
      </c>
      <c r="L1137" s="5" t="s">
        <v>5388</v>
      </c>
      <c r="M1137" s="5">
        <v>3186141568</v>
      </c>
      <c r="N1137" s="6">
        <v>46029</v>
      </c>
      <c r="O1137" s="7">
        <v>0.4375</v>
      </c>
      <c r="P1137" s="5">
        <v>1</v>
      </c>
      <c r="Q1137" s="5" t="s">
        <v>370</v>
      </c>
      <c r="R1137" s="5">
        <v>260000</v>
      </c>
      <c r="S1137" s="5">
        <v>0</v>
      </c>
      <c r="T1137" s="5">
        <v>10000</v>
      </c>
      <c r="U1137" s="5">
        <v>270000</v>
      </c>
      <c r="V1137" s="5" t="s">
        <v>5389</v>
      </c>
      <c r="W1137" s="5" t="s">
        <v>36</v>
      </c>
      <c r="X1137" s="5" t="s">
        <v>83</v>
      </c>
      <c r="Z1137" s="5" t="s">
        <v>5390</v>
      </c>
      <c r="AA1137" s="5" t="s">
        <v>69</v>
      </c>
      <c r="AC1137" s="8" t="str">
        <f>HYPERLINK("https://drive.google.com/file/d/1CLZvbcUOIdhk64GqHHy4V6zeCsX70Ofd/view?usp=drivesdk", "Abrir_Factura")</f>
        <v>Abrir_Factura</v>
      </c>
      <c r="AD1137" s="9">
        <v>46029.41002314815</v>
      </c>
    </row>
    <row r="1138" spans="1:30" ht="12.5">
      <c r="A1138" s="4">
        <v>46029.41524761574</v>
      </c>
      <c r="B1138" s="5">
        <v>90875</v>
      </c>
      <c r="C1138" s="5">
        <v>1140894406</v>
      </c>
      <c r="D1138" s="5" t="s">
        <v>5391</v>
      </c>
      <c r="F1138" s="5" t="s">
        <v>1987</v>
      </c>
      <c r="H1138" s="5">
        <v>573004138441</v>
      </c>
      <c r="J1138" s="5" t="s">
        <v>5392</v>
      </c>
      <c r="K1138" s="5" t="s">
        <v>33</v>
      </c>
      <c r="L1138" s="5" t="s">
        <v>34</v>
      </c>
      <c r="M1138" s="5">
        <v>3004138441</v>
      </c>
      <c r="N1138" s="6">
        <v>46029</v>
      </c>
      <c r="O1138" s="7">
        <v>0</v>
      </c>
      <c r="P1138" s="5">
        <v>1</v>
      </c>
      <c r="Q1138" s="5" t="s">
        <v>309</v>
      </c>
      <c r="R1138" s="5">
        <v>80000</v>
      </c>
      <c r="S1138" s="5">
        <v>0</v>
      </c>
      <c r="T1138" s="5">
        <v>0</v>
      </c>
      <c r="U1138" s="5">
        <v>80000</v>
      </c>
      <c r="V1138" s="5"/>
      <c r="W1138" s="5" t="s">
        <v>36</v>
      </c>
      <c r="X1138" s="5" t="s">
        <v>2636</v>
      </c>
      <c r="AA1138" s="5" t="s">
        <v>1717</v>
      </c>
      <c r="AC1138" s="8" t="str">
        <f>HYPERLINK("https://drive.google.com/file/d/1CZpB45heC-eCwu7uY1EX8E8YHw-FnVMK/view?usp=drivesdk", "Abrir_Factura")</f>
        <v>Abrir_Factura</v>
      </c>
      <c r="AD1138" s="9">
        <v>46029.415844907409</v>
      </c>
    </row>
    <row r="1139" spans="1:30" ht="12.5">
      <c r="A1139" s="4">
        <v>46029.425136203703</v>
      </c>
      <c r="B1139" s="5">
        <v>90876</v>
      </c>
      <c r="C1139" s="5">
        <v>1140882663</v>
      </c>
      <c r="D1139" s="5" t="s">
        <v>84</v>
      </c>
      <c r="F1139" s="5" t="s">
        <v>5393</v>
      </c>
      <c r="H1139" s="5">
        <v>573015488453</v>
      </c>
      <c r="J1139" s="5" t="s">
        <v>5393</v>
      </c>
      <c r="K1139" s="5" t="s">
        <v>33</v>
      </c>
      <c r="L1139" s="5" t="s">
        <v>34</v>
      </c>
      <c r="M1139" s="5">
        <v>3015488453</v>
      </c>
      <c r="N1139" s="6">
        <v>46029</v>
      </c>
      <c r="O1139" s="7">
        <v>0</v>
      </c>
      <c r="P1139" s="5">
        <v>1</v>
      </c>
      <c r="Q1139" s="5" t="s">
        <v>75</v>
      </c>
      <c r="R1139" s="5">
        <v>70000</v>
      </c>
      <c r="S1139" s="5">
        <v>0</v>
      </c>
      <c r="T1139" s="5">
        <v>0</v>
      </c>
      <c r="U1139" s="5">
        <v>70000</v>
      </c>
      <c r="V1139" s="5"/>
      <c r="W1139" s="5" t="s">
        <v>36</v>
      </c>
      <c r="X1139" s="5" t="s">
        <v>43</v>
      </c>
      <c r="AA1139" s="5" t="s">
        <v>37</v>
      </c>
      <c r="AB1139" s="5" t="s">
        <v>5394</v>
      </c>
      <c r="AC1139" s="8" t="str">
        <f>HYPERLINK("https://drive.google.com/file/d/14YZFCqMrPCD6ikMe-Kj88Hp1b8P7s8xY/view?usp=drivesdk", "Abrir_Factura")</f>
        <v>Abrir_Factura</v>
      </c>
      <c r="AD1139" s="9">
        <v>46029.42564814815</v>
      </c>
    </row>
    <row r="1140" spans="1:30" ht="12.5">
      <c r="A1140" s="4">
        <v>46029.473996550922</v>
      </c>
      <c r="B1140" s="5">
        <v>90877</v>
      </c>
      <c r="C1140" s="5">
        <v>1129520310</v>
      </c>
      <c r="D1140" s="5" t="s">
        <v>5395</v>
      </c>
      <c r="F1140" s="5" t="s">
        <v>561</v>
      </c>
      <c r="H1140" s="5">
        <v>573042952054</v>
      </c>
      <c r="J1140" s="5" t="s">
        <v>5396</v>
      </c>
      <c r="K1140" s="5" t="s">
        <v>33</v>
      </c>
      <c r="L1140" s="5" t="s">
        <v>34</v>
      </c>
      <c r="M1140" s="5">
        <v>3042952054</v>
      </c>
      <c r="N1140" s="6">
        <v>46029</v>
      </c>
      <c r="O1140" s="7">
        <v>0</v>
      </c>
      <c r="P1140" s="5">
        <v>1</v>
      </c>
      <c r="Q1140" s="5" t="s">
        <v>42</v>
      </c>
      <c r="R1140" s="5">
        <v>30000</v>
      </c>
      <c r="S1140" s="5">
        <v>0</v>
      </c>
      <c r="T1140" s="5">
        <v>0</v>
      </c>
      <c r="U1140" s="5">
        <v>30000</v>
      </c>
      <c r="V1140" s="5"/>
      <c r="W1140" s="5" t="s">
        <v>36</v>
      </c>
      <c r="X1140" s="5" t="s">
        <v>1705</v>
      </c>
      <c r="AA1140" s="5" t="s">
        <v>1717</v>
      </c>
      <c r="AB1140" s="5" t="s">
        <v>525</v>
      </c>
      <c r="AC1140" s="8" t="str">
        <f>HYPERLINK("https://drive.google.com/file/d/1oWEobEzm2Osn4hVrCPWaBAK8I4QwVXp7/view?usp=drivesdk", "Abrir_Factura")</f>
        <v>Abrir_Factura</v>
      </c>
      <c r="AD1140" s="9">
        <v>46029.477847222224</v>
      </c>
    </row>
    <row r="1141" spans="1:30" ht="12.5">
      <c r="A1141" s="4">
        <v>46029.487406875</v>
      </c>
      <c r="B1141" s="5">
        <v>90878</v>
      </c>
      <c r="C1141" s="5">
        <v>1001914795</v>
      </c>
      <c r="D1141" s="5" t="s">
        <v>1773</v>
      </c>
      <c r="F1141" s="5" t="s">
        <v>4184</v>
      </c>
      <c r="H1141" s="5">
        <v>5.73046E+16</v>
      </c>
      <c r="J1141" s="5" t="s">
        <v>5397</v>
      </c>
      <c r="K1141" s="5" t="s">
        <v>33</v>
      </c>
      <c r="L1141" s="5" t="s">
        <v>34</v>
      </c>
      <c r="M1141" s="5">
        <v>304573389833898</v>
      </c>
      <c r="N1141" s="6">
        <v>46029</v>
      </c>
      <c r="O1141" s="7">
        <v>0</v>
      </c>
      <c r="P1141" s="5">
        <v>1</v>
      </c>
      <c r="Q1141" s="5" t="s">
        <v>384</v>
      </c>
      <c r="R1141" s="5">
        <v>180000</v>
      </c>
      <c r="S1141" s="5">
        <v>0</v>
      </c>
      <c r="T1141" s="5">
        <v>0</v>
      </c>
      <c r="U1141" s="5">
        <v>180000</v>
      </c>
      <c r="V1141" s="5"/>
      <c r="W1141" s="5" t="s">
        <v>36</v>
      </c>
      <c r="X1141" s="5" t="s">
        <v>83</v>
      </c>
      <c r="AA1141" s="5" t="s">
        <v>1717</v>
      </c>
      <c r="AC1141" s="8" t="str">
        <f>HYPERLINK("https://drive.google.com/file/d/1nPadQiYZaCjkX00CX3GkRyviWhhM5ao3/view?usp=drivesdk", "Abrir_Factura")</f>
        <v>Abrir_Factura</v>
      </c>
      <c r="AD1141" s="9">
        <v>46029.489224537036</v>
      </c>
    </row>
    <row r="1142" spans="1:30" ht="12.5">
      <c r="A1142" s="4">
        <v>46029.493725844906</v>
      </c>
      <c r="B1142" s="5">
        <v>90879</v>
      </c>
      <c r="C1142" s="5">
        <v>1002156535</v>
      </c>
      <c r="D1142" s="5" t="s">
        <v>5398</v>
      </c>
      <c r="F1142" s="5" t="s">
        <v>5399</v>
      </c>
      <c r="H1142" s="5">
        <v>57000000</v>
      </c>
      <c r="J1142" s="5" t="s">
        <v>5400</v>
      </c>
      <c r="K1142" s="5" t="s">
        <v>33</v>
      </c>
      <c r="L1142" s="5" t="s">
        <v>34</v>
      </c>
      <c r="M1142" s="5"/>
      <c r="N1142" s="6">
        <v>46029</v>
      </c>
      <c r="O1142" s="7">
        <v>0</v>
      </c>
      <c r="P1142" s="5">
        <v>1</v>
      </c>
      <c r="Q1142" s="5" t="s">
        <v>375</v>
      </c>
      <c r="R1142" s="5">
        <v>70000</v>
      </c>
      <c r="S1142" s="5">
        <v>0</v>
      </c>
      <c r="T1142" s="5">
        <v>0</v>
      </c>
      <c r="U1142" s="5">
        <v>70000</v>
      </c>
      <c r="V1142" s="5"/>
      <c r="W1142" s="5" t="s">
        <v>36</v>
      </c>
      <c r="X1142" s="5" t="s">
        <v>196</v>
      </c>
      <c r="AA1142" s="5" t="s">
        <v>1717</v>
      </c>
      <c r="AC1142" s="8" t="str">
        <f>HYPERLINK("https://drive.google.com/file/d/11DqqAuq58Z_BQ7V0JMcLAjl248Y9GK7f/view?usp=drivesdk", "Abrir_Factura")</f>
        <v>Abrir_Factura</v>
      </c>
      <c r="AD1142" s="9">
        <v>46029.494259259256</v>
      </c>
    </row>
    <row r="1143" spans="1:30" ht="12.5">
      <c r="A1143" s="4">
        <v>46029.402091840282</v>
      </c>
      <c r="B1143" s="5">
        <v>90880</v>
      </c>
      <c r="C1143" s="5">
        <v>3272853</v>
      </c>
      <c r="D1143" s="5" t="s">
        <v>2627</v>
      </c>
      <c r="F1143" s="5" t="s">
        <v>2628</v>
      </c>
      <c r="H1143" s="5">
        <v>573175052734</v>
      </c>
      <c r="J1143" s="5" t="s">
        <v>2629</v>
      </c>
      <c r="K1143" s="5" t="s">
        <v>33</v>
      </c>
      <c r="L1143" s="5" t="s">
        <v>34</v>
      </c>
      <c r="M1143" s="5">
        <v>3175052734</v>
      </c>
      <c r="N1143" s="6">
        <v>46029</v>
      </c>
      <c r="O1143" s="7">
        <v>0</v>
      </c>
      <c r="P1143" s="5">
        <v>1</v>
      </c>
      <c r="Q1143" s="5" t="s">
        <v>42</v>
      </c>
      <c r="R1143" s="5">
        <v>120000</v>
      </c>
      <c r="S1143" s="5">
        <v>0</v>
      </c>
      <c r="T1143" s="5">
        <v>0</v>
      </c>
      <c r="U1143" s="5">
        <v>120000</v>
      </c>
      <c r="V1143" s="5"/>
      <c r="W1143" s="5" t="s">
        <v>36</v>
      </c>
      <c r="X1143" s="5" t="s">
        <v>196</v>
      </c>
      <c r="AA1143" s="5" t="s">
        <v>1717</v>
      </c>
      <c r="AB1143" s="5" t="s">
        <v>525</v>
      </c>
      <c r="AC1143" s="8" t="str">
        <f>HYPERLINK("https://drive.google.com/file/d/19_v7Jv1H4H4gZus0smqzDGfBXU-DZLzO/view?usp=drivesdk", "Abrir_Factura")</f>
        <v>Abrir_Factura</v>
      </c>
      <c r="AD1143" s="9">
        <v>46029.501087962963</v>
      </c>
    </row>
    <row r="1144" spans="1:30" ht="12.5">
      <c r="A1144" s="4">
        <v>46029.505004733801</v>
      </c>
      <c r="B1144" s="5">
        <v>90881</v>
      </c>
      <c r="C1144" s="5">
        <v>901508360</v>
      </c>
      <c r="D1144" s="5" t="s">
        <v>5401</v>
      </c>
      <c r="F1144" s="5" t="s">
        <v>5402</v>
      </c>
      <c r="H1144" s="5">
        <v>573243683471</v>
      </c>
      <c r="J1144" s="5" t="s">
        <v>5403</v>
      </c>
      <c r="K1144" s="5" t="s">
        <v>886</v>
      </c>
      <c r="L1144" s="5" t="s">
        <v>5404</v>
      </c>
      <c r="M1144" s="5"/>
      <c r="N1144" s="6">
        <v>46029</v>
      </c>
      <c r="O1144" s="7">
        <v>0</v>
      </c>
      <c r="P1144" s="5">
        <v>1</v>
      </c>
      <c r="Q1144" s="5" t="s">
        <v>435</v>
      </c>
      <c r="R1144" s="5">
        <v>70000</v>
      </c>
      <c r="S1144" s="5">
        <v>11400</v>
      </c>
      <c r="T1144" s="5">
        <v>12000</v>
      </c>
      <c r="U1144" s="5">
        <v>93400</v>
      </c>
      <c r="V1144" s="5" t="s">
        <v>5405</v>
      </c>
      <c r="W1144" s="5" t="s">
        <v>36</v>
      </c>
      <c r="X1144" s="5" t="s">
        <v>83</v>
      </c>
      <c r="AA1144" s="5" t="s">
        <v>69</v>
      </c>
      <c r="AC1144" s="8" t="str">
        <f>HYPERLINK("https://drive.google.com/file/d/1xYLw0n6uIpFZM1pq-YfYHWgFCviOyWRo/view?usp=drivesdk", "Abrir_Factura")</f>
        <v>Abrir_Factura</v>
      </c>
      <c r="AD1144" s="9">
        <v>46029.506458333337</v>
      </c>
    </row>
    <row r="1145" spans="1:30" ht="12.5">
      <c r="A1145" s="4">
        <v>46029.486268587963</v>
      </c>
      <c r="B1145" s="5">
        <v>90882</v>
      </c>
      <c r="C1145" s="5">
        <v>1046697374</v>
      </c>
      <c r="D1145" s="5" t="s">
        <v>1795</v>
      </c>
      <c r="F1145" s="5" t="s">
        <v>1796</v>
      </c>
      <c r="H1145" s="5">
        <v>573244284354</v>
      </c>
      <c r="J1145" s="5" t="s">
        <v>1797</v>
      </c>
      <c r="K1145" s="5" t="s">
        <v>33</v>
      </c>
      <c r="L1145" s="5" t="s">
        <v>34</v>
      </c>
      <c r="M1145" s="5">
        <v>3244284354</v>
      </c>
      <c r="N1145" s="6">
        <v>46029</v>
      </c>
      <c r="O1145" s="7">
        <v>0</v>
      </c>
      <c r="P1145" s="5">
        <v>1</v>
      </c>
      <c r="Q1145" s="5" t="s">
        <v>75</v>
      </c>
      <c r="R1145" s="5">
        <v>70000</v>
      </c>
      <c r="S1145" s="5">
        <v>0</v>
      </c>
      <c r="T1145" s="5">
        <v>0</v>
      </c>
      <c r="U1145" s="5">
        <v>70000</v>
      </c>
      <c r="V1145" s="5" t="s">
        <v>5406</v>
      </c>
      <c r="W1145" s="5" t="s">
        <v>36</v>
      </c>
      <c r="X1145" s="5" t="s">
        <v>83</v>
      </c>
      <c r="Z1145" s="5" t="s">
        <v>5407</v>
      </c>
      <c r="AA1145" s="5" t="s">
        <v>44</v>
      </c>
      <c r="AC1145" s="8" t="str">
        <f>HYPERLINK("https://drive.google.com/file/d/1NWvQosGoOaWgOdchPwV2WSnLkic4dRVZ/view?usp=drivesdk", "Abrir_Factura")</f>
        <v>Abrir_Factura</v>
      </c>
      <c r="AD1145" s="9">
        <v>46029.507893518516</v>
      </c>
    </row>
    <row r="1146" spans="1:30" ht="12.5">
      <c r="A1146" s="4">
        <v>46029.557620046297</v>
      </c>
      <c r="B1146" s="5">
        <v>90883</v>
      </c>
      <c r="C1146" s="5">
        <v>1129498417</v>
      </c>
      <c r="D1146" s="5" t="s">
        <v>5408</v>
      </c>
      <c r="F1146" s="5" t="s">
        <v>5409</v>
      </c>
      <c r="H1146" s="5">
        <v>573205476027</v>
      </c>
      <c r="J1146" s="5" t="s">
        <v>5410</v>
      </c>
      <c r="K1146" s="5" t="s">
        <v>33</v>
      </c>
      <c r="L1146" s="5" t="s">
        <v>34</v>
      </c>
      <c r="M1146" s="5">
        <v>3205476027</v>
      </c>
      <c r="N1146" s="6">
        <v>46029</v>
      </c>
      <c r="O1146" s="7">
        <v>0.10416666666666667</v>
      </c>
      <c r="P1146" s="5">
        <v>1</v>
      </c>
      <c r="Q1146" s="5" t="s">
        <v>375</v>
      </c>
      <c r="R1146" s="5">
        <v>70000</v>
      </c>
      <c r="S1146" s="5">
        <v>0</v>
      </c>
      <c r="T1146" s="5">
        <v>0</v>
      </c>
      <c r="U1146" s="5">
        <v>70000</v>
      </c>
      <c r="V1146" s="5" t="s">
        <v>5411</v>
      </c>
      <c r="W1146" s="5" t="s">
        <v>36</v>
      </c>
      <c r="X1146" s="5" t="s">
        <v>83</v>
      </c>
      <c r="Z1146" s="5" t="s">
        <v>5412</v>
      </c>
      <c r="AA1146" s="5" t="s">
        <v>44</v>
      </c>
      <c r="AB1146" s="5" t="s">
        <v>1117</v>
      </c>
      <c r="AC1146" s="8" t="str">
        <f>HYPERLINK("https://drive.google.com/file/d/1B3myfSgoGcRq2ijBypq18dOV-679-tm3/view?usp=drivesdk", "Abrir_Factura")</f>
        <v>Abrir_Factura</v>
      </c>
      <c r="AD1146" s="9">
        <v>46029.567858796298</v>
      </c>
    </row>
    <row r="1147" spans="1:30" ht="12.5">
      <c r="A1147" s="4">
        <v>46029.571703171299</v>
      </c>
      <c r="B1147" s="5">
        <v>90884</v>
      </c>
      <c r="C1147" s="5">
        <v>1007968790</v>
      </c>
      <c r="D1147" s="5" t="s">
        <v>3508</v>
      </c>
      <c r="F1147" s="5" t="s">
        <v>5413</v>
      </c>
      <c r="H1147" s="5">
        <v>573173269661</v>
      </c>
      <c r="J1147" s="5" t="s">
        <v>5414</v>
      </c>
      <c r="K1147" s="5" t="s">
        <v>73</v>
      </c>
      <c r="L1147" s="5" t="s">
        <v>5415</v>
      </c>
      <c r="M1147" s="5">
        <v>3046232142</v>
      </c>
      <c r="N1147" s="6">
        <v>46031</v>
      </c>
      <c r="O1147" s="7">
        <v>0.375</v>
      </c>
      <c r="P1147" s="5">
        <v>1</v>
      </c>
      <c r="Q1147" s="5" t="s">
        <v>75</v>
      </c>
      <c r="R1147" s="5">
        <v>70000</v>
      </c>
      <c r="S1147" s="5">
        <v>0</v>
      </c>
      <c r="T1147" s="5">
        <v>8000</v>
      </c>
      <c r="U1147" s="5">
        <v>78000</v>
      </c>
      <c r="V1147" s="5" t="s">
        <v>5416</v>
      </c>
      <c r="W1147" s="5" t="s">
        <v>36</v>
      </c>
      <c r="X1147" s="5" t="s">
        <v>83</v>
      </c>
      <c r="Z1147" s="5" t="s">
        <v>5417</v>
      </c>
      <c r="AA1147" s="5" t="s">
        <v>44</v>
      </c>
      <c r="AB1147" s="5" t="s">
        <v>5418</v>
      </c>
      <c r="AC1147" s="8" t="str">
        <f>HYPERLINK("https://drive.google.com/file/d/1fFG--YpnzNzVG-4Yt8wN30vqb5oQwklV/view?usp=drivesdk", "Abrir_Factura")</f>
        <v>Abrir_Factura</v>
      </c>
      <c r="AD1147" s="9">
        <v>46029.584965277776</v>
      </c>
    </row>
    <row r="1148" spans="1:30" ht="12.5">
      <c r="A1148" s="4">
        <v>46029.594595347226</v>
      </c>
      <c r="B1148" s="5">
        <v>90885</v>
      </c>
      <c r="C1148" s="5">
        <v>1119392688</v>
      </c>
      <c r="D1148" s="5" t="s">
        <v>5419</v>
      </c>
      <c r="F1148" s="5" t="s">
        <v>5420</v>
      </c>
      <c r="H1148" s="5">
        <v>573105552865</v>
      </c>
      <c r="J1148" s="5" t="s">
        <v>5421</v>
      </c>
      <c r="K1148" s="5" t="s">
        <v>63</v>
      </c>
      <c r="L1148" s="5" t="s">
        <v>5422</v>
      </c>
      <c r="M1148" s="5">
        <v>3009832986</v>
      </c>
      <c r="N1148" s="6">
        <v>46030</v>
      </c>
      <c r="O1148" s="7">
        <v>0</v>
      </c>
      <c r="P1148" s="5">
        <v>1</v>
      </c>
      <c r="Q1148" s="5" t="s">
        <v>112</v>
      </c>
      <c r="R1148" s="5">
        <v>260000</v>
      </c>
      <c r="S1148" s="5">
        <v>0</v>
      </c>
      <c r="T1148" s="5">
        <v>15000</v>
      </c>
      <c r="U1148" s="5">
        <v>275000</v>
      </c>
      <c r="V1148" s="5" t="s">
        <v>5423</v>
      </c>
      <c r="W1148" s="5" t="s">
        <v>36</v>
      </c>
      <c r="X1148" s="5" t="s">
        <v>83</v>
      </c>
      <c r="AA1148" s="5" t="s">
        <v>44</v>
      </c>
      <c r="AC1148" s="8" t="str">
        <f>HYPERLINK("https://drive.google.com/file/d/1bh0r_3hbSNeBmZkoY1cmmvoaQZRReqct/view?usp=drivesdk", "Abrir_Factura")</f>
        <v>Abrir_Factura</v>
      </c>
      <c r="AD1148" s="9">
        <v>46029.597685185188</v>
      </c>
    </row>
    <row r="1149" spans="1:30" ht="12.5">
      <c r="A1149" s="4">
        <v>46029.582469629633</v>
      </c>
      <c r="B1149" s="5">
        <v>90886</v>
      </c>
      <c r="C1149" s="5">
        <v>1140878386</v>
      </c>
      <c r="D1149" s="5" t="s">
        <v>3450</v>
      </c>
      <c r="F1149" s="5" t="s">
        <v>5424</v>
      </c>
      <c r="H1149" s="5">
        <v>573017593916</v>
      </c>
      <c r="J1149" s="5" t="s">
        <v>5425</v>
      </c>
      <c r="K1149" s="5" t="s">
        <v>265</v>
      </c>
      <c r="L1149" s="5" t="s">
        <v>5426</v>
      </c>
      <c r="M1149" s="5">
        <v>3012234710</v>
      </c>
      <c r="N1149" s="6">
        <v>46029</v>
      </c>
      <c r="O1149" s="7">
        <v>0</v>
      </c>
      <c r="P1149" s="5">
        <v>1</v>
      </c>
      <c r="Q1149" s="5" t="s">
        <v>866</v>
      </c>
      <c r="R1149" s="5">
        <v>280000</v>
      </c>
      <c r="S1149" s="5">
        <v>0</v>
      </c>
      <c r="T1149" s="5">
        <v>17000</v>
      </c>
      <c r="U1149" s="5">
        <v>297000</v>
      </c>
      <c r="V1149" s="5" t="s">
        <v>5427</v>
      </c>
      <c r="W1149" s="5" t="s">
        <v>36</v>
      </c>
      <c r="X1149" s="5" t="s">
        <v>83</v>
      </c>
      <c r="Z1149" s="5" t="s">
        <v>5428</v>
      </c>
      <c r="AA1149" s="5" t="s">
        <v>69</v>
      </c>
      <c r="AC1149" s="8" t="str">
        <f>HYPERLINK("https://drive.google.com/file/d/1o8Y6G4Ga577ZGgS9cy23z6ChX5pN6Ewm/view?usp=drivesdk", "Abrir_Factura")</f>
        <v>Abrir_Factura</v>
      </c>
      <c r="AD1149" s="9">
        <v>46029.600416666668</v>
      </c>
    </row>
    <row r="1150" spans="1:30" ht="12.5">
      <c r="A1150" s="4">
        <v>46029.626931585648</v>
      </c>
      <c r="B1150" s="5">
        <v>90887</v>
      </c>
      <c r="C1150" s="5">
        <v>16775223</v>
      </c>
      <c r="D1150" s="5" t="s">
        <v>5429</v>
      </c>
      <c r="F1150" s="5" t="s">
        <v>5430</v>
      </c>
      <c r="H1150" s="5">
        <v>573146613624</v>
      </c>
      <c r="J1150" s="5" t="s">
        <v>5431</v>
      </c>
      <c r="K1150" s="5" t="s">
        <v>4403</v>
      </c>
      <c r="L1150" s="5" t="s">
        <v>5432</v>
      </c>
      <c r="M1150" s="5"/>
      <c r="N1150" s="6">
        <v>46029</v>
      </c>
      <c r="O1150" s="7">
        <v>0</v>
      </c>
      <c r="P1150" s="5">
        <v>1</v>
      </c>
      <c r="Q1150" s="5" t="s">
        <v>2059</v>
      </c>
      <c r="R1150" s="5">
        <v>250000</v>
      </c>
      <c r="S1150" s="5">
        <v>0</v>
      </c>
      <c r="T1150" s="5">
        <v>20000</v>
      </c>
      <c r="U1150" s="5">
        <v>270000</v>
      </c>
      <c r="V1150" s="5" t="s">
        <v>5433</v>
      </c>
      <c r="W1150" s="5" t="s">
        <v>36</v>
      </c>
      <c r="X1150" s="5" t="s">
        <v>43</v>
      </c>
      <c r="AA1150" s="5" t="s">
        <v>44</v>
      </c>
      <c r="AC1150" s="8" t="str">
        <f>HYPERLINK("https://drive.google.com/file/d/1vbxmuNSOouxBVD1EtIGzbLHFE-aMeJWk/view?usp=drivesdk", "Abrir_Factura")</f>
        <v>Abrir_Factura</v>
      </c>
      <c r="AD1150" s="9">
        <v>46029.627615740741</v>
      </c>
    </row>
    <row r="1151" spans="1:30" ht="12.5">
      <c r="A1151" s="4">
        <v>46029.619177766202</v>
      </c>
      <c r="B1151" s="5">
        <v>90888</v>
      </c>
      <c r="C1151" s="5">
        <v>64479811</v>
      </c>
      <c r="D1151" s="5" t="s">
        <v>5434</v>
      </c>
      <c r="F1151" s="5" t="s">
        <v>4640</v>
      </c>
      <c r="H1151" s="5">
        <v>573133673131</v>
      </c>
      <c r="J1151" s="5" t="s">
        <v>5435</v>
      </c>
      <c r="K1151" s="5" t="s">
        <v>63</v>
      </c>
      <c r="L1151" s="5" t="s">
        <v>5436</v>
      </c>
      <c r="M1151" s="5">
        <v>3133673131</v>
      </c>
      <c r="N1151" s="6">
        <v>46029</v>
      </c>
      <c r="O1151" s="7">
        <v>0</v>
      </c>
      <c r="P1151" s="5">
        <v>1</v>
      </c>
      <c r="Q1151" s="5" t="s">
        <v>178</v>
      </c>
      <c r="R1151" s="5">
        <v>100000</v>
      </c>
      <c r="S1151" s="5">
        <v>0</v>
      </c>
      <c r="T1151" s="5">
        <v>15000</v>
      </c>
      <c r="U1151" s="5">
        <v>115000</v>
      </c>
      <c r="V1151" s="5" t="s">
        <v>5437</v>
      </c>
      <c r="W1151" s="5" t="s">
        <v>36</v>
      </c>
      <c r="X1151" s="5" t="s">
        <v>83</v>
      </c>
      <c r="Z1151" s="5" t="s">
        <v>5438</v>
      </c>
      <c r="AA1151" s="5" t="s">
        <v>44</v>
      </c>
      <c r="AC1151" s="8" t="str">
        <f>HYPERLINK("https://drive.google.com/file/d/1_aDFMH26Zp25P-3XeL9sIMBkesQpvvr5/view?usp=drivesdk", "Abrir_Factura")</f>
        <v>Abrir_Factura</v>
      </c>
      <c r="AD1151" s="9">
        <v>46029.632870370369</v>
      </c>
    </row>
    <row r="1152" spans="1:30" ht="12.5">
      <c r="A1152" s="4">
        <v>46029.627419282406</v>
      </c>
      <c r="B1152" s="5">
        <v>90889</v>
      </c>
      <c r="C1152" s="5">
        <v>1047359325</v>
      </c>
      <c r="D1152" s="5" t="s">
        <v>5439</v>
      </c>
      <c r="F1152" s="5" t="s">
        <v>4184</v>
      </c>
      <c r="H1152" s="5">
        <v>573017217176</v>
      </c>
      <c r="J1152" s="5" t="s">
        <v>5440</v>
      </c>
      <c r="K1152" s="5" t="s">
        <v>185</v>
      </c>
      <c r="L1152" s="5" t="s">
        <v>5441</v>
      </c>
      <c r="M1152" s="5">
        <v>3023250496</v>
      </c>
      <c r="N1152" s="6">
        <v>46029</v>
      </c>
      <c r="O1152" s="7">
        <v>0</v>
      </c>
      <c r="P1152" s="5">
        <v>1</v>
      </c>
      <c r="Q1152" s="5" t="s">
        <v>5442</v>
      </c>
      <c r="R1152" s="5">
        <v>70000</v>
      </c>
      <c r="S1152" s="5">
        <v>0</v>
      </c>
      <c r="T1152" s="5">
        <v>8000</v>
      </c>
      <c r="U1152" s="5">
        <v>78000</v>
      </c>
      <c r="V1152" s="5" t="s">
        <v>5443</v>
      </c>
      <c r="W1152" s="5" t="s">
        <v>36</v>
      </c>
      <c r="X1152" s="5" t="s">
        <v>83</v>
      </c>
      <c r="Z1152" s="5" t="s">
        <v>5444</v>
      </c>
      <c r="AA1152" s="5" t="s">
        <v>44</v>
      </c>
      <c r="AC1152" s="8" t="str">
        <f>HYPERLINK("https://drive.google.com/file/d/1ZPaptVoRgKDsG8LTnGsQPg6jfLaUZeAI/view?usp=drivesdk", "Abrir_Factura")</f>
        <v>Abrir_Factura</v>
      </c>
      <c r="AD1152" s="9">
        <v>46029.654097222221</v>
      </c>
    </row>
    <row r="1153" spans="1:30" ht="12.5">
      <c r="A1153" s="4">
        <v>46029.660825266204</v>
      </c>
      <c r="B1153" s="5">
        <v>90890</v>
      </c>
      <c r="C1153" s="5">
        <v>32767430</v>
      </c>
      <c r="D1153" s="5" t="s">
        <v>2113</v>
      </c>
      <c r="F1153" s="5" t="s">
        <v>1566</v>
      </c>
      <c r="H1153" s="5">
        <v>573103608162</v>
      </c>
      <c r="J1153" s="5" t="s">
        <v>5445</v>
      </c>
      <c r="K1153" s="5" t="s">
        <v>33</v>
      </c>
      <c r="L1153" s="5" t="s">
        <v>34</v>
      </c>
      <c r="M1153" s="5">
        <v>3103608162</v>
      </c>
      <c r="N1153" s="6">
        <v>46029</v>
      </c>
      <c r="O1153" s="7">
        <v>0</v>
      </c>
      <c r="P1153" s="5">
        <v>1</v>
      </c>
      <c r="Q1153" s="5" t="s">
        <v>309</v>
      </c>
      <c r="R1153" s="5">
        <v>80000</v>
      </c>
      <c r="S1153" s="5">
        <v>0</v>
      </c>
      <c r="T1153" s="5">
        <v>0</v>
      </c>
      <c r="U1153" s="5">
        <v>80000</v>
      </c>
      <c r="V1153" s="5"/>
      <c r="W1153" s="5" t="s">
        <v>36</v>
      </c>
      <c r="X1153" s="5" t="s">
        <v>43</v>
      </c>
      <c r="AA1153" s="5" t="s">
        <v>37</v>
      </c>
      <c r="AB1153" s="5" t="s">
        <v>5446</v>
      </c>
      <c r="AC1153" s="8" t="str">
        <f>HYPERLINK("https://drive.google.com/file/d/1BKAQ2z8dm3xov2rMb0m9puv4gkJ--S_h/view?usp=drivesdk", "Abrir_Factura")</f>
        <v>Abrir_Factura</v>
      </c>
      <c r="AD1153" s="9">
        <v>46029.66138888889</v>
      </c>
    </row>
    <row r="1154" spans="1:30" ht="12.5">
      <c r="A1154" s="4">
        <v>46029.675373090278</v>
      </c>
      <c r="B1154" s="5">
        <v>90891</v>
      </c>
      <c r="C1154" s="5">
        <v>1140828128</v>
      </c>
      <c r="D1154" s="5" t="s">
        <v>5447</v>
      </c>
      <c r="F1154" s="5" t="s">
        <v>367</v>
      </c>
      <c r="H1154" s="5">
        <v>5719732884924</v>
      </c>
      <c r="J1154" s="5" t="s">
        <v>5448</v>
      </c>
      <c r="K1154" s="5" t="s">
        <v>4403</v>
      </c>
      <c r="L1154" s="5" t="s">
        <v>5449</v>
      </c>
      <c r="M1154" s="5"/>
      <c r="N1154" s="6">
        <v>46030</v>
      </c>
      <c r="O1154" s="7">
        <v>0.33333333333333331</v>
      </c>
      <c r="P1154" s="5">
        <v>1</v>
      </c>
      <c r="Q1154" s="5" t="s">
        <v>5450</v>
      </c>
      <c r="R1154" s="5">
        <v>250000</v>
      </c>
      <c r="S1154" s="5">
        <v>0</v>
      </c>
      <c r="T1154" s="5">
        <v>20000</v>
      </c>
      <c r="U1154" s="5">
        <v>270000</v>
      </c>
      <c r="V1154" s="5"/>
      <c r="W1154" s="5" t="s">
        <v>36</v>
      </c>
      <c r="X1154" s="5" t="s">
        <v>43</v>
      </c>
      <c r="AA1154" s="5" t="s">
        <v>44</v>
      </c>
      <c r="AB1154" s="5" t="s">
        <v>5451</v>
      </c>
      <c r="AC1154" s="8" t="str">
        <f>HYPERLINK("https://drive.google.com/file/d/1jonf2DCxd3YIz9FDCXRLQeQig1GdwiiP/view?usp=drivesdk", "Abrir_Factura")</f>
        <v>Abrir_Factura</v>
      </c>
      <c r="AD1154" s="9">
        <v>46029.676319444443</v>
      </c>
    </row>
    <row r="1155" spans="1:30" ht="12.5">
      <c r="A1155" s="4">
        <v>46029.682840486115</v>
      </c>
      <c r="B1155" s="5">
        <v>90892</v>
      </c>
      <c r="C1155" s="5">
        <v>1083044687</v>
      </c>
      <c r="D1155" s="5" t="s">
        <v>2836</v>
      </c>
      <c r="F1155" s="5" t="s">
        <v>5452</v>
      </c>
      <c r="H1155" s="5">
        <v>573002525621</v>
      </c>
      <c r="J1155" s="5" t="s">
        <v>5453</v>
      </c>
      <c r="K1155" s="5" t="s">
        <v>907</v>
      </c>
      <c r="L1155" s="5" t="s">
        <v>5454</v>
      </c>
      <c r="M1155" s="5">
        <v>3017074064</v>
      </c>
      <c r="N1155" s="6">
        <v>46029</v>
      </c>
      <c r="O1155" s="7">
        <v>0.75</v>
      </c>
      <c r="P1155" s="5">
        <v>1</v>
      </c>
      <c r="Q1155" s="5" t="s">
        <v>187</v>
      </c>
      <c r="R1155" s="5">
        <v>200000</v>
      </c>
      <c r="S1155" s="5">
        <v>0</v>
      </c>
      <c r="T1155" s="5">
        <v>25000</v>
      </c>
      <c r="U1155" s="5">
        <v>225000</v>
      </c>
      <c r="V1155" s="5" t="s">
        <v>5455</v>
      </c>
      <c r="W1155" s="5" t="s">
        <v>36</v>
      </c>
      <c r="X1155" s="5" t="s">
        <v>83</v>
      </c>
      <c r="Z1155" s="5" t="s">
        <v>5456</v>
      </c>
      <c r="AA1155" s="5" t="s">
        <v>69</v>
      </c>
      <c r="AC1155" s="8" t="str">
        <f>HYPERLINK("https://drive.google.com/file/d/1pE4nShTZd-XNtlUFq5mMfOcwWfYvCTHC/view?usp=drivesdk", "Abrir_Factura")</f>
        <v>Abrir_Factura</v>
      </c>
      <c r="AD1155" s="9">
        <v>46029.686319444445</v>
      </c>
    </row>
    <row r="1156" spans="1:30" ht="12.5">
      <c r="A1156" s="4">
        <v>46045.691493055558</v>
      </c>
      <c r="B1156" s="5">
        <v>90893</v>
      </c>
      <c r="C1156" s="5">
        <v>901876344</v>
      </c>
      <c r="D1156" s="5" t="s">
        <v>2409</v>
      </c>
      <c r="F1156" s="10" t="s">
        <v>3330</v>
      </c>
      <c r="H1156" s="5">
        <v>573106623313</v>
      </c>
      <c r="J1156" s="5" t="s">
        <v>2409</v>
      </c>
      <c r="K1156" s="5" t="s">
        <v>33</v>
      </c>
      <c r="L1156" s="5" t="s">
        <v>34</v>
      </c>
      <c r="M1156" s="5">
        <v>3106623313</v>
      </c>
      <c r="N1156" s="6">
        <v>46029</v>
      </c>
      <c r="O1156" s="7">
        <v>0</v>
      </c>
      <c r="P1156" s="5">
        <v>1</v>
      </c>
      <c r="Q1156" s="5" t="s">
        <v>42</v>
      </c>
      <c r="R1156" s="5">
        <v>88000</v>
      </c>
      <c r="S1156" s="5">
        <v>0</v>
      </c>
      <c r="T1156" s="5">
        <v>0</v>
      </c>
      <c r="U1156" s="5">
        <v>88000</v>
      </c>
      <c r="V1156" s="5"/>
      <c r="W1156" s="5" t="s">
        <v>36</v>
      </c>
      <c r="X1156" s="5" t="s">
        <v>2636</v>
      </c>
      <c r="AA1156" s="5" t="s">
        <v>1717</v>
      </c>
      <c r="AB1156" s="5" t="s">
        <v>5457</v>
      </c>
      <c r="AC1156" s="8" t="str">
        <f>HYPERLINK("https://drive.google.com/file/d/16kSntja8P3ZdCRm1jSd8lllQ7_ArRv3C/view?usp=drivesdk", "Abrir_Factura")</f>
        <v>Abrir_Factura</v>
      </c>
      <c r="AD1156" s="9">
        <v>46045.632835648146</v>
      </c>
    </row>
    <row r="1157" spans="1:30" ht="12.5">
      <c r="A1157" s="4">
        <v>46029.697200833332</v>
      </c>
      <c r="B1157" s="5">
        <v>90894</v>
      </c>
      <c r="C1157" s="5">
        <v>55308204</v>
      </c>
      <c r="D1157" s="5" t="s">
        <v>3584</v>
      </c>
      <c r="F1157" s="5" t="s">
        <v>5458</v>
      </c>
      <c r="H1157" s="5">
        <v>573205659770</v>
      </c>
      <c r="J1157" s="5" t="s">
        <v>5459</v>
      </c>
      <c r="K1157" s="5" t="s">
        <v>33</v>
      </c>
      <c r="L1157" s="5" t="s">
        <v>34</v>
      </c>
      <c r="M1157" s="5" t="s">
        <v>5460</v>
      </c>
      <c r="N1157" s="6">
        <v>46029</v>
      </c>
      <c r="O1157" s="7">
        <v>0</v>
      </c>
      <c r="P1157" s="5">
        <v>1</v>
      </c>
      <c r="Q1157" s="5" t="s">
        <v>170</v>
      </c>
      <c r="R1157" s="5">
        <v>300000</v>
      </c>
      <c r="S1157" s="5">
        <v>0</v>
      </c>
      <c r="T1157" s="5">
        <v>0</v>
      </c>
      <c r="U1157" s="5">
        <v>300000</v>
      </c>
      <c r="V1157" s="5"/>
      <c r="W1157" s="5" t="s">
        <v>36</v>
      </c>
      <c r="X1157" s="5" t="s">
        <v>1705</v>
      </c>
      <c r="AA1157" s="5" t="s">
        <v>69</v>
      </c>
      <c r="AC1157" s="8" t="str">
        <f>HYPERLINK("https://drive.google.com/file/d/1oEvnBM6r3MHU9U4GOED6kjf4Fj49knih/view?usp=drivesdk", "Abrir_Factura")</f>
        <v>Abrir_Factura</v>
      </c>
      <c r="AD1157" s="9">
        <v>46029.760787037034</v>
      </c>
    </row>
    <row r="1158" spans="1:30" ht="12.5">
      <c r="A1158" s="4">
        <v>46029.693535231483</v>
      </c>
      <c r="B1158" s="5">
        <v>90895</v>
      </c>
      <c r="C1158" s="5">
        <v>1001817322</v>
      </c>
      <c r="D1158" s="5" t="s">
        <v>1719</v>
      </c>
      <c r="F1158" s="5" t="s">
        <v>5461</v>
      </c>
      <c r="H1158" s="5">
        <v>573106396270</v>
      </c>
      <c r="J1158" s="5" t="s">
        <v>5462</v>
      </c>
      <c r="K1158" s="5" t="s">
        <v>154</v>
      </c>
      <c r="L1158" s="5" t="s">
        <v>5463</v>
      </c>
      <c r="M1158" s="5">
        <v>3106396270</v>
      </c>
      <c r="N1158" s="6">
        <v>46031</v>
      </c>
      <c r="O1158" s="7">
        <v>0.375</v>
      </c>
      <c r="P1158" s="5">
        <v>1</v>
      </c>
      <c r="Q1158" s="5" t="s">
        <v>2556</v>
      </c>
      <c r="R1158" s="5">
        <v>400000</v>
      </c>
      <c r="S1158" s="5">
        <v>0</v>
      </c>
      <c r="T1158" s="5">
        <v>8000</v>
      </c>
      <c r="U1158" s="5">
        <v>408000</v>
      </c>
      <c r="V1158" s="5" t="s">
        <v>5464</v>
      </c>
      <c r="W1158" s="5" t="s">
        <v>36</v>
      </c>
      <c r="X1158" s="5" t="s">
        <v>83</v>
      </c>
      <c r="Z1158" s="5" t="s">
        <v>5465</v>
      </c>
      <c r="AA1158" s="5" t="s">
        <v>44</v>
      </c>
      <c r="AB1158" s="5" t="s">
        <v>5466</v>
      </c>
      <c r="AC1158" s="8" t="str">
        <f>HYPERLINK("https://drive.google.com/file/d/1hQAzA14oDbQvs_OJthyDR5GvDSHdwCPG/view?usp=drivesdk", "Abrir_Factura")</f>
        <v>Abrir_Factura</v>
      </c>
      <c r="AD1158" s="9">
        <v>46029.702499999999</v>
      </c>
    </row>
    <row r="1159" spans="1:30" ht="12.5">
      <c r="A1159" s="4">
        <v>46029.696234074072</v>
      </c>
      <c r="B1159" s="5">
        <v>90896</v>
      </c>
      <c r="C1159" s="5">
        <v>1140880020</v>
      </c>
      <c r="D1159" s="5" t="s">
        <v>1798</v>
      </c>
      <c r="F1159" s="5" t="s">
        <v>5467</v>
      </c>
      <c r="H1159" s="5">
        <v>573008617951</v>
      </c>
      <c r="J1159" s="5" t="s">
        <v>5468</v>
      </c>
      <c r="K1159" s="5" t="s">
        <v>229</v>
      </c>
      <c r="L1159" s="5" t="s">
        <v>5469</v>
      </c>
      <c r="M1159" s="5">
        <v>3008617951</v>
      </c>
      <c r="N1159" s="6">
        <v>46029</v>
      </c>
      <c r="O1159" s="7">
        <v>0</v>
      </c>
      <c r="P1159" s="5">
        <v>1</v>
      </c>
      <c r="Q1159" s="5" t="s">
        <v>156</v>
      </c>
      <c r="R1159" s="5">
        <v>70000</v>
      </c>
      <c r="S1159" s="5">
        <v>0</v>
      </c>
      <c r="T1159" s="5">
        <v>11000</v>
      </c>
      <c r="U1159" s="5">
        <v>81000</v>
      </c>
      <c r="V1159" s="5" t="s">
        <v>5470</v>
      </c>
      <c r="W1159" s="5" t="s">
        <v>36</v>
      </c>
      <c r="X1159" s="5" t="s">
        <v>83</v>
      </c>
      <c r="Z1159" s="5" t="s">
        <v>5471</v>
      </c>
      <c r="AA1159" s="5" t="s">
        <v>69</v>
      </c>
      <c r="AB1159" s="5" t="s">
        <v>5472</v>
      </c>
      <c r="AC1159" s="8" t="str">
        <f>HYPERLINK("https://drive.google.com/file/d/12AM2nlQotIQYfukXvm-t3D7fICfqLhtv/view?usp=drivesdk", "Abrir_Factura")</f>
        <v>Abrir_Factura</v>
      </c>
      <c r="AD1159" s="9">
        <v>46029.704305555555</v>
      </c>
    </row>
    <row r="1160" spans="1:30" ht="12.5">
      <c r="A1160" s="4">
        <v>46029.717246469911</v>
      </c>
      <c r="B1160" s="5">
        <v>90897</v>
      </c>
      <c r="C1160" s="5">
        <v>17990008</v>
      </c>
      <c r="D1160" s="5" t="s">
        <v>5473</v>
      </c>
      <c r="F1160" s="5" t="s">
        <v>5474</v>
      </c>
      <c r="H1160" s="5">
        <v>573043261471</v>
      </c>
      <c r="J1160" s="5" t="s">
        <v>5475</v>
      </c>
      <c r="K1160" s="5" t="s">
        <v>124</v>
      </c>
      <c r="L1160" s="5" t="s">
        <v>5476</v>
      </c>
      <c r="M1160" s="5">
        <v>3005958795</v>
      </c>
      <c r="N1160" s="6">
        <v>46030</v>
      </c>
      <c r="O1160" s="7">
        <v>0.375</v>
      </c>
      <c r="P1160" s="5">
        <v>1</v>
      </c>
      <c r="Q1160" s="5" t="s">
        <v>330</v>
      </c>
      <c r="R1160" s="5">
        <v>180000</v>
      </c>
      <c r="S1160" s="5">
        <v>0</v>
      </c>
      <c r="T1160" s="5">
        <v>12000</v>
      </c>
      <c r="U1160" s="5">
        <v>192000</v>
      </c>
      <c r="V1160" s="5" t="s">
        <v>5477</v>
      </c>
      <c r="W1160" s="5" t="s">
        <v>36</v>
      </c>
      <c r="X1160" s="5" t="s">
        <v>83</v>
      </c>
      <c r="Z1160" s="5" t="s">
        <v>5473</v>
      </c>
      <c r="AA1160" s="5" t="s">
        <v>44</v>
      </c>
      <c r="AC1160" s="8" t="str">
        <f>HYPERLINK("https://drive.google.com/file/d/1nvyhcscQsq3SLwg4mGbo12qCn-YpuNBE/view?usp=drivesdk", "Abrir_Factura")</f>
        <v>Abrir_Factura</v>
      </c>
      <c r="AD1160" s="9">
        <v>46029.721365740741</v>
      </c>
    </row>
    <row r="1161" spans="1:30" ht="12.5">
      <c r="A1161" s="4">
        <v>46029.733187233796</v>
      </c>
      <c r="B1161" s="5">
        <v>90898</v>
      </c>
      <c r="C1161" s="5">
        <v>1048071469</v>
      </c>
      <c r="D1161" s="5" t="s">
        <v>5478</v>
      </c>
      <c r="F1161" s="5" t="s">
        <v>5479</v>
      </c>
      <c r="H1161" s="5">
        <v>573014902842</v>
      </c>
      <c r="J1161" s="5" t="s">
        <v>5480</v>
      </c>
      <c r="K1161" s="5" t="s">
        <v>33</v>
      </c>
      <c r="L1161" s="5" t="s">
        <v>34</v>
      </c>
      <c r="M1161" s="5">
        <v>3014902842</v>
      </c>
      <c r="N1161" s="6">
        <v>46029</v>
      </c>
      <c r="O1161" s="7">
        <v>0</v>
      </c>
      <c r="P1161" s="5">
        <v>1</v>
      </c>
      <c r="Q1161" s="5" t="s">
        <v>178</v>
      </c>
      <c r="R1161" s="5">
        <v>100000</v>
      </c>
      <c r="S1161" s="5">
        <v>0</v>
      </c>
      <c r="T1161" s="5">
        <v>0</v>
      </c>
      <c r="U1161" s="5">
        <v>100000</v>
      </c>
      <c r="V1161" s="5"/>
      <c r="W1161" s="5" t="s">
        <v>36</v>
      </c>
      <c r="X1161" s="5" t="s">
        <v>1705</v>
      </c>
      <c r="AA1161" s="5" t="s">
        <v>1717</v>
      </c>
      <c r="AC1161" s="8" t="str">
        <f>HYPERLINK("https://drive.google.com/file/d/1Lg0k8GhRfALYvxGmv6-4axFavw9Njvch/view?usp=drivesdk", "Abrir_Factura")</f>
        <v>Abrir_Factura</v>
      </c>
      <c r="AD1161" s="9">
        <v>46029.734317129631</v>
      </c>
    </row>
    <row r="1162" spans="1:30" ht="12.5">
      <c r="A1162" s="4">
        <v>46029.73553229167</v>
      </c>
      <c r="B1162" s="5">
        <v>90899</v>
      </c>
      <c r="C1162" s="5">
        <v>1107065158</v>
      </c>
      <c r="D1162" s="5" t="s">
        <v>3284</v>
      </c>
      <c r="F1162" s="5" t="s">
        <v>5481</v>
      </c>
      <c r="H1162" s="5">
        <v>573001507575</v>
      </c>
      <c r="J1162" s="5" t="s">
        <v>5482</v>
      </c>
      <c r="K1162" s="5" t="s">
        <v>73</v>
      </c>
      <c r="L1162" s="5" t="s">
        <v>5483</v>
      </c>
      <c r="M1162" s="5">
        <v>3001507575</v>
      </c>
      <c r="N1162" s="6">
        <v>46029</v>
      </c>
      <c r="O1162" s="7">
        <v>0</v>
      </c>
      <c r="P1162" s="5">
        <v>1</v>
      </c>
      <c r="Q1162" s="5" t="s">
        <v>5484</v>
      </c>
      <c r="R1162" s="5">
        <v>1220000</v>
      </c>
      <c r="S1162" s="5">
        <v>0</v>
      </c>
      <c r="T1162" s="5">
        <v>8000</v>
      </c>
      <c r="U1162" s="5">
        <v>1228000</v>
      </c>
      <c r="V1162" s="5" t="s">
        <v>5485</v>
      </c>
      <c r="W1162" s="5" t="s">
        <v>36</v>
      </c>
      <c r="X1162" s="5" t="s">
        <v>83</v>
      </c>
      <c r="Z1162" s="5" t="s">
        <v>5486</v>
      </c>
      <c r="AA1162" s="5" t="s">
        <v>44</v>
      </c>
      <c r="AC1162" s="8" t="str">
        <f>HYPERLINK("https://drive.google.com/file/d/1KZp7c9yP1QKX10RolsXqxakTOwFww9Ow/view?usp=drivesdk", "Abrir_Factura")</f>
        <v>Abrir_Factura</v>
      </c>
      <c r="AD1162" s="9">
        <v>46029.743761574071</v>
      </c>
    </row>
    <row r="1163" spans="1:30" ht="12.5">
      <c r="A1163" s="4">
        <v>46029.769138310185</v>
      </c>
      <c r="B1163" s="5">
        <v>90900</v>
      </c>
      <c r="C1163" s="5">
        <v>1140879632</v>
      </c>
      <c r="D1163" s="5" t="s">
        <v>3213</v>
      </c>
      <c r="F1163" s="5" t="s">
        <v>3214</v>
      </c>
      <c r="H1163" s="5">
        <v>573212170032</v>
      </c>
      <c r="J1163" s="5" t="s">
        <v>5487</v>
      </c>
      <c r="K1163" s="5" t="s">
        <v>73</v>
      </c>
      <c r="L1163" s="5" t="s">
        <v>5488</v>
      </c>
      <c r="M1163" s="5">
        <v>3212170032</v>
      </c>
      <c r="N1163" s="6">
        <v>46060</v>
      </c>
      <c r="O1163" s="7">
        <v>0.58333333333333337</v>
      </c>
      <c r="P1163" s="5">
        <v>1</v>
      </c>
      <c r="Q1163" s="5" t="s">
        <v>42</v>
      </c>
      <c r="R1163" s="5">
        <v>20000</v>
      </c>
      <c r="S1163" s="5">
        <v>0</v>
      </c>
      <c r="T1163" s="5">
        <v>8000</v>
      </c>
      <c r="U1163" s="5">
        <v>28000</v>
      </c>
      <c r="V1163" s="5"/>
      <c r="W1163" s="5" t="s">
        <v>36</v>
      </c>
      <c r="X1163" s="5" t="s">
        <v>83</v>
      </c>
      <c r="AA1163" s="5" t="s">
        <v>69</v>
      </c>
      <c r="AB1163" s="5" t="s">
        <v>5489</v>
      </c>
      <c r="AC1163" s="8" t="str">
        <f>HYPERLINK("https://drive.google.com/file/d/1hajHDOLIkxJ2CLX7C8XY2CeSFwGUFdOZ/view?usp=drivesdk", "Abrir_Factura")</f>
        <v>Abrir_Factura</v>
      </c>
      <c r="AD1163" s="9">
        <v>46029.772569444445</v>
      </c>
    </row>
    <row r="1164" spans="1:30" ht="12.5">
      <c r="A1164" s="4">
        <v>46030.296900682872</v>
      </c>
      <c r="B1164" s="5">
        <v>90901</v>
      </c>
      <c r="C1164" s="5">
        <v>1140888629</v>
      </c>
      <c r="D1164" s="5" t="s">
        <v>1056</v>
      </c>
      <c r="F1164" s="5" t="s">
        <v>5490</v>
      </c>
      <c r="H1164" s="5" t="s">
        <v>25421</v>
      </c>
      <c r="J1164" s="5" t="s">
        <v>5491</v>
      </c>
      <c r="K1164" s="5" t="s">
        <v>33</v>
      </c>
      <c r="L1164" s="5" t="s">
        <v>34</v>
      </c>
      <c r="M1164" s="5" t="s">
        <v>5492</v>
      </c>
      <c r="N1164" s="6">
        <v>46030</v>
      </c>
      <c r="O1164" s="7">
        <v>0</v>
      </c>
      <c r="P1164" s="5">
        <v>1</v>
      </c>
      <c r="Q1164" s="5" t="s">
        <v>309</v>
      </c>
      <c r="R1164" s="5">
        <v>80000</v>
      </c>
      <c r="S1164" s="5">
        <v>0</v>
      </c>
      <c r="T1164" s="5">
        <v>0</v>
      </c>
      <c r="U1164" s="5">
        <v>80000</v>
      </c>
      <c r="V1164" s="5"/>
      <c r="W1164" s="5" t="s">
        <v>36</v>
      </c>
      <c r="X1164" s="5" t="s">
        <v>43</v>
      </c>
      <c r="AA1164" s="5" t="s">
        <v>37</v>
      </c>
      <c r="AB1164" s="5" t="s">
        <v>5493</v>
      </c>
      <c r="AC1164" s="8" t="str">
        <f>HYPERLINK("https://drive.google.com/file/d/1h3s1DqftDnjskxW3gqtSgB86a2VaMhmb/view?usp=drivesdk", "Abrir_Factura")</f>
        <v>Abrir_Factura</v>
      </c>
      <c r="AD1164" s="9">
        <v>46030.297291666669</v>
      </c>
    </row>
    <row r="1165" spans="1:30" ht="12.5">
      <c r="A1165" s="4">
        <v>46030.33581506944</v>
      </c>
      <c r="B1165" s="5">
        <v>90902</v>
      </c>
      <c r="C1165" s="5">
        <v>1103741817</v>
      </c>
      <c r="D1165" s="5" t="s">
        <v>2361</v>
      </c>
      <c r="F1165" s="5" t="s">
        <v>5494</v>
      </c>
      <c r="H1165" s="5">
        <v>573012805057</v>
      </c>
      <c r="J1165" s="5" t="s">
        <v>5495</v>
      </c>
      <c r="K1165" s="5" t="s">
        <v>146</v>
      </c>
      <c r="L1165" s="5" t="s">
        <v>5496</v>
      </c>
      <c r="M1165" s="5">
        <v>3012805057</v>
      </c>
      <c r="N1165" s="6">
        <v>46030</v>
      </c>
      <c r="O1165" s="7">
        <v>0.39583333333333331</v>
      </c>
      <c r="P1165" s="5">
        <v>1</v>
      </c>
      <c r="Q1165" s="5" t="s">
        <v>178</v>
      </c>
      <c r="R1165" s="5">
        <v>100000</v>
      </c>
      <c r="S1165" s="5">
        <v>0</v>
      </c>
      <c r="T1165" s="5">
        <v>12000</v>
      </c>
      <c r="U1165" s="5">
        <v>112000</v>
      </c>
      <c r="V1165" s="5"/>
      <c r="W1165" s="5" t="s">
        <v>36</v>
      </c>
      <c r="X1165" s="5" t="s">
        <v>83</v>
      </c>
      <c r="AA1165" s="5" t="s">
        <v>44</v>
      </c>
      <c r="AC1165" s="8" t="str">
        <f>HYPERLINK("https://drive.google.com/file/d/17V8Wlc8_HS1eec2uATUEszSSKhYnU7ac/view?usp=drivesdk", "Abrir_Factura")</f>
        <v>Abrir_Factura</v>
      </c>
      <c r="AD1165" s="9">
        <v>46030.34784722222</v>
      </c>
    </row>
    <row r="1166" spans="1:30" ht="12.5">
      <c r="A1166" s="4">
        <v>46030.365745937495</v>
      </c>
      <c r="B1166" s="5">
        <v>90903</v>
      </c>
      <c r="C1166" s="5">
        <v>1006896683</v>
      </c>
      <c r="D1166" s="5" t="s">
        <v>5497</v>
      </c>
      <c r="F1166" s="5" t="s">
        <v>2041</v>
      </c>
      <c r="H1166" s="5">
        <v>573134192640</v>
      </c>
      <c r="J1166" s="5" t="s">
        <v>5498</v>
      </c>
      <c r="K1166" s="5" t="s">
        <v>33</v>
      </c>
      <c r="L1166" s="5" t="s">
        <v>34</v>
      </c>
      <c r="M1166" s="5">
        <v>3134192640</v>
      </c>
      <c r="N1166" s="6">
        <v>46030</v>
      </c>
      <c r="O1166" s="7">
        <v>0.39583333333333331</v>
      </c>
      <c r="P1166" s="5">
        <v>1</v>
      </c>
      <c r="Q1166" s="5" t="s">
        <v>5499</v>
      </c>
      <c r="R1166" s="5">
        <v>100000</v>
      </c>
      <c r="S1166" s="5">
        <v>0</v>
      </c>
      <c r="T1166" s="5">
        <v>0</v>
      </c>
      <c r="U1166" s="5">
        <v>100000</v>
      </c>
      <c r="V1166" s="5" t="s">
        <v>5500</v>
      </c>
      <c r="W1166" s="5" t="s">
        <v>36</v>
      </c>
      <c r="X1166" s="5" t="s">
        <v>1705</v>
      </c>
      <c r="AA1166" s="5" t="s">
        <v>69</v>
      </c>
      <c r="AC1166" s="8" t="str">
        <f>HYPERLINK("https://drive.google.com/file/d/11B2Ww7vT36w7ErlZV6wzRWtliVlss3uj/view?usp=drivesdk", "Abrir_Factura")</f>
        <v>Abrir_Factura</v>
      </c>
      <c r="AD1166" s="9">
        <v>46030.415335648147</v>
      </c>
    </row>
    <row r="1167" spans="1:30" ht="12.5">
      <c r="A1167" s="4">
        <v>46030.360178391202</v>
      </c>
      <c r="B1167" s="5">
        <v>90904</v>
      </c>
      <c r="C1167" s="5">
        <v>1140856868</v>
      </c>
      <c r="D1167" s="5" t="s">
        <v>2836</v>
      </c>
      <c r="F1167" s="5" t="s">
        <v>5501</v>
      </c>
      <c r="H1167" s="5">
        <v>573017247920</v>
      </c>
      <c r="J1167" s="5" t="s">
        <v>5502</v>
      </c>
      <c r="K1167" s="5" t="s">
        <v>103</v>
      </c>
      <c r="L1167" s="5" t="s">
        <v>5503</v>
      </c>
      <c r="M1167" s="5">
        <v>3004450503</v>
      </c>
      <c r="N1167" s="6">
        <v>46030</v>
      </c>
      <c r="O1167" s="7">
        <v>0.41666666666666669</v>
      </c>
      <c r="P1167" s="5">
        <v>1</v>
      </c>
      <c r="Q1167" s="5" t="s">
        <v>375</v>
      </c>
      <c r="R1167" s="5">
        <v>70000</v>
      </c>
      <c r="S1167" s="5">
        <v>0</v>
      </c>
      <c r="T1167" s="5">
        <v>10000</v>
      </c>
      <c r="U1167" s="5">
        <v>80000</v>
      </c>
      <c r="V1167" s="5" t="s">
        <v>5504</v>
      </c>
      <c r="W1167" s="5" t="s">
        <v>36</v>
      </c>
      <c r="X1167" s="5" t="s">
        <v>83</v>
      </c>
      <c r="Z1167" s="5" t="s">
        <v>5505</v>
      </c>
      <c r="AA1167" s="5" t="s">
        <v>69</v>
      </c>
      <c r="AC1167" s="8" t="str">
        <f>HYPERLINK("https://drive.google.com/file/d/1pJRewlXbE9X8azJtpl96YTAL5AG89dgE/view?usp=drivesdk", "Abrir_Factura")</f>
        <v>Abrir_Factura</v>
      </c>
      <c r="AD1167" s="9">
        <v>46030.384409722225</v>
      </c>
    </row>
    <row r="1168" spans="1:30" ht="12.5">
      <c r="A1168" s="4">
        <v>46030.379865925926</v>
      </c>
      <c r="B1168" s="5">
        <v>90905</v>
      </c>
      <c r="C1168" s="5">
        <v>1140831961</v>
      </c>
      <c r="D1168" s="5" t="s">
        <v>5506</v>
      </c>
      <c r="F1168" s="5" t="s">
        <v>1444</v>
      </c>
      <c r="H1168" s="5">
        <v>573017861263</v>
      </c>
      <c r="J1168" s="5" t="s">
        <v>5507</v>
      </c>
      <c r="K1168" s="5" t="s">
        <v>964</v>
      </c>
      <c r="L1168" s="5" t="s">
        <v>5508</v>
      </c>
      <c r="M1168" s="5">
        <v>3003303025</v>
      </c>
      <c r="N1168" s="6">
        <v>46030</v>
      </c>
      <c r="O1168" s="7">
        <v>0.43888888888888888</v>
      </c>
      <c r="P1168" s="5">
        <v>1</v>
      </c>
      <c r="Q1168" s="5" t="s">
        <v>112</v>
      </c>
      <c r="R1168" s="5">
        <v>260000</v>
      </c>
      <c r="S1168" s="5">
        <v>0</v>
      </c>
      <c r="T1168" s="5">
        <v>12000</v>
      </c>
      <c r="U1168" s="5">
        <v>272000</v>
      </c>
      <c r="V1168" s="5" t="s">
        <v>5509</v>
      </c>
      <c r="W1168" s="5" t="s">
        <v>36</v>
      </c>
      <c r="X1168" s="5" t="s">
        <v>83</v>
      </c>
      <c r="Z1168" s="5" t="s">
        <v>5510</v>
      </c>
      <c r="AA1168" s="5" t="s">
        <v>69</v>
      </c>
      <c r="AC1168" s="8" t="str">
        <f>HYPERLINK("https://drive.google.com/file/d/1nZi9HOg1PNyM8BP6Re7cUwtfoI66Z8Yo/view?usp=drivesdk", "Abrir_Factura")</f>
        <v>Abrir_Factura</v>
      </c>
      <c r="AD1168" s="9">
        <v>46030.400625000002</v>
      </c>
    </row>
    <row r="1169" spans="1:30" ht="12.5">
      <c r="A1169" s="4">
        <v>46030.410671944446</v>
      </c>
      <c r="B1169" s="5">
        <v>90906</v>
      </c>
      <c r="C1169" s="5">
        <v>1192771160</v>
      </c>
      <c r="D1169" s="5" t="s">
        <v>5511</v>
      </c>
      <c r="F1169" s="5" t="s">
        <v>4175</v>
      </c>
      <c r="H1169" s="5">
        <v>573176439333</v>
      </c>
      <c r="J1169" s="5" t="s">
        <v>5512</v>
      </c>
      <c r="K1169" s="5" t="s">
        <v>307</v>
      </c>
      <c r="L1169" s="5" t="s">
        <v>5513</v>
      </c>
      <c r="M1169" s="5">
        <v>3013661680</v>
      </c>
      <c r="N1169" s="6">
        <v>46030</v>
      </c>
      <c r="O1169" s="7">
        <v>0.47013888888888888</v>
      </c>
      <c r="P1169" s="5">
        <v>1</v>
      </c>
      <c r="Q1169" s="5" t="s">
        <v>375</v>
      </c>
      <c r="R1169" s="5">
        <v>70000</v>
      </c>
      <c r="S1169" s="5">
        <v>0</v>
      </c>
      <c r="T1169" s="5">
        <v>10000</v>
      </c>
      <c r="U1169" s="5">
        <v>80000</v>
      </c>
      <c r="V1169" s="5" t="s">
        <v>5514</v>
      </c>
      <c r="W1169" s="5" t="s">
        <v>36</v>
      </c>
      <c r="X1169" s="5" t="s">
        <v>83</v>
      </c>
      <c r="Z1169" s="5" t="s">
        <v>5515</v>
      </c>
      <c r="AA1169" s="5" t="s">
        <v>44</v>
      </c>
      <c r="AC1169" s="8" t="str">
        <f>HYPERLINK("https://drive.google.com/file/d/1oWpA_H2p2LFMjgaY9udu7BWrAB1do87J/view?usp=drivesdk", "Abrir_Factura")</f>
        <v>Abrir_Factura</v>
      </c>
      <c r="AD1169" s="9">
        <v>46030.417048611111</v>
      </c>
    </row>
    <row r="1170" spans="1:30" ht="12.5">
      <c r="A1170" s="4">
        <v>46030.43871642361</v>
      </c>
      <c r="B1170" s="5">
        <v>90907</v>
      </c>
      <c r="C1170" s="5">
        <v>33104426</v>
      </c>
      <c r="D1170" s="5" t="s">
        <v>5076</v>
      </c>
      <c r="F1170" s="5" t="s">
        <v>5077</v>
      </c>
      <c r="H1170" s="5">
        <v>573008162675</v>
      </c>
      <c r="J1170" s="5" t="s">
        <v>5078</v>
      </c>
      <c r="K1170" s="5" t="s">
        <v>33</v>
      </c>
      <c r="L1170" s="5" t="s">
        <v>34</v>
      </c>
      <c r="M1170" s="5">
        <v>3008162675</v>
      </c>
      <c r="N1170" s="6">
        <v>46030</v>
      </c>
      <c r="O1170" s="7">
        <v>0.41666666666666669</v>
      </c>
      <c r="P1170" s="5">
        <v>1</v>
      </c>
      <c r="Q1170" s="5" t="s">
        <v>5516</v>
      </c>
      <c r="R1170" s="5">
        <v>90000</v>
      </c>
      <c r="S1170" s="5">
        <v>0</v>
      </c>
      <c r="T1170" s="5">
        <v>0</v>
      </c>
      <c r="U1170" s="5">
        <v>90000</v>
      </c>
      <c r="V1170" s="5" t="s">
        <v>5517</v>
      </c>
      <c r="W1170" s="5" t="s">
        <v>36</v>
      </c>
      <c r="X1170" s="5" t="s">
        <v>83</v>
      </c>
      <c r="Z1170" s="5" t="s">
        <v>5518</v>
      </c>
      <c r="AA1170" s="5" t="s">
        <v>44</v>
      </c>
      <c r="AC1170" s="8" t="str">
        <f>HYPERLINK("https://drive.google.com/file/d/1dL4aVXrN0CLnskVhR21JnYjXjuF4Mnuk/view?usp=drivesdk", "Abrir_Factura")</f>
        <v>Abrir_Factura</v>
      </c>
      <c r="AD1170" s="9">
        <v>46030.442731481482</v>
      </c>
    </row>
    <row r="1171" spans="1:30" ht="12.5">
      <c r="A1171" s="4">
        <v>46030.435661597221</v>
      </c>
      <c r="B1171" s="5">
        <v>90908</v>
      </c>
      <c r="C1171" s="5">
        <v>1032504833</v>
      </c>
      <c r="D1171" s="5" t="s">
        <v>2296</v>
      </c>
      <c r="F1171" s="5" t="s">
        <v>1033</v>
      </c>
      <c r="H1171" s="5">
        <v>573004113183</v>
      </c>
      <c r="J1171" s="5" t="s">
        <v>5519</v>
      </c>
      <c r="K1171" s="5" t="s">
        <v>265</v>
      </c>
      <c r="L1171" s="5" t="s">
        <v>5520</v>
      </c>
      <c r="M1171" s="5" t="s">
        <v>5521</v>
      </c>
      <c r="N1171" s="6">
        <v>46030</v>
      </c>
      <c r="O1171" s="7">
        <v>0.66666666666666663</v>
      </c>
      <c r="P1171" s="5">
        <v>1</v>
      </c>
      <c r="Q1171" s="5" t="s">
        <v>309</v>
      </c>
      <c r="R1171" s="5">
        <v>80000</v>
      </c>
      <c r="S1171" s="5">
        <v>0</v>
      </c>
      <c r="T1171" s="5">
        <v>17000</v>
      </c>
      <c r="U1171" s="5">
        <v>97000</v>
      </c>
      <c r="V1171" s="5" t="s">
        <v>5522</v>
      </c>
      <c r="W1171" s="5" t="s">
        <v>36</v>
      </c>
      <c r="X1171" s="5" t="s">
        <v>180</v>
      </c>
      <c r="Z1171" s="5" t="s">
        <v>5523</v>
      </c>
      <c r="AA1171" s="5" t="s">
        <v>44</v>
      </c>
      <c r="AC1171" s="8" t="str">
        <f>HYPERLINK("https://drive.google.com/file/d/1pM6OkHhT30SI7znAL0tEz8sH507pYxox/view?usp=drivesdk", "Abrir_Factura")</f>
        <v>Abrir_Factura</v>
      </c>
      <c r="AD1171" s="9">
        <v>46030.5937037037</v>
      </c>
    </row>
    <row r="1172" spans="1:30" ht="12.5">
      <c r="A1172" s="4">
        <v>46030.450531504626</v>
      </c>
      <c r="B1172" s="5">
        <v>90909</v>
      </c>
      <c r="C1172" s="5">
        <v>1140888858</v>
      </c>
      <c r="D1172" s="5" t="s">
        <v>3641</v>
      </c>
      <c r="F1172" s="5" t="s">
        <v>5524</v>
      </c>
      <c r="H1172" s="5">
        <v>573009025157</v>
      </c>
      <c r="J1172" s="5" t="s">
        <v>5525</v>
      </c>
      <c r="K1172" s="5" t="s">
        <v>146</v>
      </c>
      <c r="L1172" s="5" t="s">
        <v>5526</v>
      </c>
      <c r="M1172" s="5">
        <v>3017860248</v>
      </c>
      <c r="N1172" s="6">
        <v>46032</v>
      </c>
      <c r="O1172" s="7">
        <v>0.375</v>
      </c>
      <c r="P1172" s="5">
        <v>1</v>
      </c>
      <c r="Q1172" s="5" t="s">
        <v>3111</v>
      </c>
      <c r="R1172" s="5">
        <v>190000</v>
      </c>
      <c r="S1172" s="5">
        <v>0</v>
      </c>
      <c r="T1172" s="5">
        <v>12000</v>
      </c>
      <c r="U1172" s="5">
        <v>202000</v>
      </c>
      <c r="V1172" s="5" t="s">
        <v>5527</v>
      </c>
      <c r="W1172" s="5" t="s">
        <v>36</v>
      </c>
      <c r="X1172" s="5" t="s">
        <v>83</v>
      </c>
      <c r="AA1172" s="5" t="s">
        <v>44</v>
      </c>
      <c r="AB1172" s="5" t="s">
        <v>5528</v>
      </c>
      <c r="AC1172" s="8" t="str">
        <f>HYPERLINK("https://drive.google.com/file/d/1o3c50L0S9lOZVfcTCfKL79b5yhISNv68/view?usp=drivesdk", "Abrir_Factura")</f>
        <v>Abrir_Factura</v>
      </c>
      <c r="AD1172" s="9">
        <v>46030.466666666667</v>
      </c>
    </row>
    <row r="1173" spans="1:30" ht="12.5">
      <c r="A1173" s="4">
        <v>46030.458218020838</v>
      </c>
      <c r="B1173" s="5">
        <v>90910</v>
      </c>
      <c r="C1173" s="5">
        <v>1129575427</v>
      </c>
      <c r="D1173" s="5" t="s">
        <v>290</v>
      </c>
      <c r="F1173" s="5" t="s">
        <v>5529</v>
      </c>
      <c r="H1173" s="5">
        <v>15514822719</v>
      </c>
      <c r="J1173" s="5" t="s">
        <v>5530</v>
      </c>
      <c r="K1173" s="5" t="s">
        <v>33</v>
      </c>
      <c r="L1173" s="5" t="s">
        <v>5531</v>
      </c>
      <c r="M1173" s="5">
        <v>3104426028</v>
      </c>
      <c r="N1173" s="6">
        <v>46030</v>
      </c>
      <c r="O1173" s="7">
        <v>0.48680555555555555</v>
      </c>
      <c r="P1173" s="5">
        <v>1</v>
      </c>
      <c r="Q1173" s="5" t="s">
        <v>5532</v>
      </c>
      <c r="R1173" s="5">
        <v>320000</v>
      </c>
      <c r="S1173" s="5">
        <v>0</v>
      </c>
      <c r="T1173" s="5">
        <v>0</v>
      </c>
      <c r="U1173" s="5">
        <v>320000</v>
      </c>
      <c r="V1173" s="5" t="s">
        <v>5533</v>
      </c>
      <c r="W1173" s="5" t="s">
        <v>36</v>
      </c>
      <c r="X1173" s="5" t="s">
        <v>83</v>
      </c>
      <c r="Z1173" s="5" t="s">
        <v>5534</v>
      </c>
      <c r="AA1173" s="5" t="s">
        <v>69</v>
      </c>
      <c r="AC1173" s="8" t="str">
        <f>HYPERLINK("https://drive.google.com/file/d/1Xj6m6cyqqihWM6GRXkfcCBVP6Lsb7Lqw/view?usp=drivesdk", "Abrir_Factura")</f>
        <v>Abrir_Factura</v>
      </c>
      <c r="AD1173" s="9">
        <v>46030.468865740739</v>
      </c>
    </row>
    <row r="1174" spans="1:30" ht="12.5">
      <c r="A1174" s="4">
        <v>46030.472750300927</v>
      </c>
      <c r="B1174" s="5">
        <v>90911</v>
      </c>
      <c r="C1174" s="5">
        <v>1140856778</v>
      </c>
      <c r="D1174" s="5" t="s">
        <v>5535</v>
      </c>
      <c r="F1174" s="5" t="s">
        <v>5536</v>
      </c>
      <c r="H1174" s="5">
        <v>5747744</v>
      </c>
      <c r="J1174" s="5" t="s">
        <v>5537</v>
      </c>
      <c r="K1174" s="5" t="s">
        <v>33</v>
      </c>
      <c r="L1174" s="5" t="s">
        <v>34</v>
      </c>
      <c r="M1174" s="5">
        <v>47744</v>
      </c>
      <c r="N1174" s="6">
        <v>46030</v>
      </c>
      <c r="O1174" s="7">
        <v>0</v>
      </c>
      <c r="P1174" s="5">
        <v>1</v>
      </c>
      <c r="Q1174" s="5" t="s">
        <v>65</v>
      </c>
      <c r="R1174" s="5">
        <v>70000</v>
      </c>
      <c r="S1174" s="5">
        <v>0</v>
      </c>
      <c r="T1174" s="5">
        <v>0</v>
      </c>
      <c r="U1174" s="5">
        <v>70000</v>
      </c>
      <c r="V1174" s="5"/>
      <c r="W1174" s="5" t="s">
        <v>36</v>
      </c>
      <c r="X1174" s="5" t="s">
        <v>1705</v>
      </c>
      <c r="AA1174" s="5" t="s">
        <v>1717</v>
      </c>
      <c r="AC1174" s="8" t="str">
        <f>HYPERLINK("https://drive.google.com/file/d/1SziWZSK5JnMqnHzcpOSxBFSSiCjWr-eN/view?usp=drivesdk", "Abrir_Factura")</f>
        <v>Abrir_Factura</v>
      </c>
      <c r="AD1174" s="9">
        <v>46030.473877314813</v>
      </c>
    </row>
    <row r="1175" spans="1:30" ht="12.5">
      <c r="A1175" s="4">
        <v>46030.4875178125</v>
      </c>
      <c r="B1175" s="5">
        <v>90912</v>
      </c>
      <c r="C1175" s="5">
        <v>667974078</v>
      </c>
      <c r="D1175" s="5" t="s">
        <v>5538</v>
      </c>
      <c r="F1175" s="5" t="s">
        <v>5539</v>
      </c>
      <c r="H1175" s="5">
        <v>19196220060</v>
      </c>
      <c r="J1175" s="5" t="s">
        <v>5540</v>
      </c>
      <c r="K1175" s="5" t="s">
        <v>33</v>
      </c>
      <c r="L1175" s="5" t="s">
        <v>34</v>
      </c>
      <c r="M1175" s="5">
        <v>9196220060</v>
      </c>
      <c r="N1175" s="6">
        <v>46030</v>
      </c>
      <c r="O1175" s="7">
        <v>0</v>
      </c>
      <c r="P1175" s="5">
        <v>1</v>
      </c>
      <c r="Q1175" s="5" t="s">
        <v>178</v>
      </c>
      <c r="R1175" s="5">
        <v>100000</v>
      </c>
      <c r="S1175" s="5">
        <v>0</v>
      </c>
      <c r="T1175" s="5">
        <v>0</v>
      </c>
      <c r="U1175" s="5">
        <v>100000</v>
      </c>
      <c r="V1175" s="5"/>
      <c r="W1175" s="5" t="s">
        <v>36</v>
      </c>
      <c r="X1175" s="5" t="s">
        <v>1705</v>
      </c>
      <c r="AA1175" s="5" t="s">
        <v>1717</v>
      </c>
      <c r="AC1175" s="8" t="str">
        <f>HYPERLINK("https://drive.google.com/file/d/12532DpvdygMS5oMxWd5fpX6WA1Q0Tyzn/view?usp=drivesdk", "Abrir_Factura")</f>
        <v>Abrir_Factura</v>
      </c>
      <c r="AD1175" s="9">
        <v>46030.491331018522</v>
      </c>
    </row>
    <row r="1176" spans="1:30" ht="12.5">
      <c r="A1176" s="4">
        <v>46030.406928124998</v>
      </c>
      <c r="B1176" s="5">
        <v>90913</v>
      </c>
      <c r="C1176" s="5">
        <v>1067957206</v>
      </c>
      <c r="D1176" s="5" t="s">
        <v>5541</v>
      </c>
      <c r="F1176" s="5" t="s">
        <v>5542</v>
      </c>
      <c r="H1176" s="5">
        <v>573227689986</v>
      </c>
      <c r="J1176" s="5" t="s">
        <v>5543</v>
      </c>
      <c r="K1176" s="5" t="s">
        <v>146</v>
      </c>
      <c r="L1176" s="5" t="s">
        <v>5544</v>
      </c>
      <c r="M1176" s="5"/>
      <c r="N1176" s="6">
        <v>46031</v>
      </c>
      <c r="O1176" s="7">
        <v>0.33333333333333331</v>
      </c>
      <c r="P1176" s="5">
        <v>1</v>
      </c>
      <c r="Q1176" s="5" t="s">
        <v>294</v>
      </c>
      <c r="R1176" s="5">
        <v>160000</v>
      </c>
      <c r="S1176" s="5">
        <v>0</v>
      </c>
      <c r="T1176" s="5">
        <v>12000</v>
      </c>
      <c r="U1176" s="5">
        <v>172000</v>
      </c>
      <c r="V1176" s="5" t="s">
        <v>5545</v>
      </c>
      <c r="W1176" s="5" t="s">
        <v>36</v>
      </c>
      <c r="X1176" s="5" t="s">
        <v>83</v>
      </c>
      <c r="Z1176" s="5" t="s">
        <v>5546</v>
      </c>
      <c r="AA1176" s="5" t="s">
        <v>69</v>
      </c>
      <c r="AB1176" s="5" t="s">
        <v>5547</v>
      </c>
      <c r="AC1176" s="8" t="str">
        <f>HYPERLINK("https://drive.google.com/file/d/17yN01KG4YNxvmSggFHGSZ6rYDesZXuOC/view?usp=drivesdk", "Abrir_Factura")</f>
        <v>Abrir_Factura</v>
      </c>
      <c r="AD1176" s="9">
        <v>46030.512835648151</v>
      </c>
    </row>
    <row r="1177" spans="1:30" ht="12.5">
      <c r="A1177" s="4">
        <v>46030.498199537033</v>
      </c>
      <c r="B1177" s="5">
        <v>90914</v>
      </c>
      <c r="C1177" s="5">
        <v>1044605861</v>
      </c>
      <c r="D1177" s="5" t="s">
        <v>1051</v>
      </c>
      <c r="F1177" s="5" t="s">
        <v>5548</v>
      </c>
      <c r="H1177" s="5">
        <v>573023595972</v>
      </c>
      <c r="J1177" s="5" t="s">
        <v>1051</v>
      </c>
      <c r="K1177" s="5" t="s">
        <v>3276</v>
      </c>
      <c r="L1177" s="5" t="s">
        <v>5549</v>
      </c>
      <c r="M1177" s="5">
        <v>3023595972</v>
      </c>
      <c r="N1177" s="6">
        <v>46030</v>
      </c>
      <c r="O1177" s="7">
        <v>0.58333333333333337</v>
      </c>
      <c r="P1177" s="5">
        <v>1</v>
      </c>
      <c r="Q1177" s="5" t="s">
        <v>5550</v>
      </c>
      <c r="R1177" s="5">
        <v>60000</v>
      </c>
      <c r="S1177" s="5">
        <v>0</v>
      </c>
      <c r="T1177" s="5">
        <v>30000</v>
      </c>
      <c r="U1177" s="5">
        <v>90000</v>
      </c>
      <c r="V1177" s="5" t="s">
        <v>5551</v>
      </c>
      <c r="W1177" s="5" t="s">
        <v>36</v>
      </c>
      <c r="X1177" s="5" t="s">
        <v>83</v>
      </c>
      <c r="Z1177" s="5" t="s">
        <v>1051</v>
      </c>
      <c r="AA1177" s="5" t="s">
        <v>69</v>
      </c>
      <c r="AC1177" s="8" t="str">
        <f>HYPERLINK("https://drive.google.com/file/d/1OqMW6dvNJv2u-lu5LR8PPgOc0Arm3ieR/view?usp=drivesdk", "Abrir_Factura")</f>
        <v>Abrir_Factura</v>
      </c>
      <c r="AD1177" s="9">
        <v>46030.512175925927</v>
      </c>
    </row>
    <row r="1178" spans="1:30" ht="12.5">
      <c r="A1178" s="4">
        <v>46030.520103483796</v>
      </c>
      <c r="B1178" s="5">
        <v>90915</v>
      </c>
      <c r="C1178" s="5">
        <v>1016095383</v>
      </c>
      <c r="D1178" s="5" t="s">
        <v>5552</v>
      </c>
      <c r="F1178" s="5" t="s">
        <v>1752</v>
      </c>
      <c r="H1178" s="5">
        <v>573103102061</v>
      </c>
      <c r="J1178" s="5">
        <v>3103102061</v>
      </c>
      <c r="K1178" s="5" t="s">
        <v>726</v>
      </c>
      <c r="L1178" s="5" t="s">
        <v>5553</v>
      </c>
      <c r="M1178" s="5"/>
      <c r="N1178" s="6">
        <v>46030</v>
      </c>
      <c r="O1178" s="7">
        <v>0.58333333333333337</v>
      </c>
      <c r="P1178" s="5">
        <v>1</v>
      </c>
      <c r="Q1178" s="5" t="s">
        <v>1792</v>
      </c>
      <c r="R1178" s="5">
        <v>130000</v>
      </c>
      <c r="S1178" s="5">
        <v>0</v>
      </c>
      <c r="T1178" s="5">
        <v>9000</v>
      </c>
      <c r="U1178" s="5">
        <v>139000</v>
      </c>
      <c r="V1178" s="5" t="s">
        <v>5554</v>
      </c>
      <c r="W1178" s="5" t="s">
        <v>36</v>
      </c>
      <c r="X1178" s="5" t="s">
        <v>180</v>
      </c>
      <c r="Z1178" s="5" t="s">
        <v>5555</v>
      </c>
      <c r="AA1178" s="5" t="s">
        <v>69</v>
      </c>
      <c r="AC1178" s="8" t="str">
        <f>HYPERLINK("https://drive.google.com/file/d/1HnDhZps8ldfbo0rXHXmZLV74ew2YkwFX/view?usp=drivesdk", "Abrir_Factura")</f>
        <v>Abrir_Factura</v>
      </c>
      <c r="AD1178" s="9">
        <v>46030.524525462963</v>
      </c>
    </row>
    <row r="1179" spans="1:30" ht="12.5">
      <c r="A1179" s="4">
        <v>46030.535541620367</v>
      </c>
      <c r="B1179" s="5">
        <v>90916</v>
      </c>
      <c r="C1179" s="5">
        <v>0</v>
      </c>
      <c r="D1179" s="5" t="s">
        <v>5182</v>
      </c>
      <c r="F1179" s="5" t="s">
        <v>2477</v>
      </c>
      <c r="H1179" s="5">
        <v>570000</v>
      </c>
      <c r="J1179" s="5" t="s">
        <v>5556</v>
      </c>
      <c r="K1179" s="5" t="s">
        <v>33</v>
      </c>
      <c r="L1179" s="5" t="s">
        <v>34</v>
      </c>
      <c r="M1179" s="5"/>
      <c r="N1179" s="6">
        <v>46030</v>
      </c>
      <c r="O1179" s="7">
        <v>0</v>
      </c>
      <c r="P1179" s="5">
        <v>1</v>
      </c>
      <c r="Q1179" s="5" t="s">
        <v>42</v>
      </c>
      <c r="R1179" s="5">
        <v>8000</v>
      </c>
      <c r="S1179" s="5">
        <v>0</v>
      </c>
      <c r="T1179" s="5">
        <v>0</v>
      </c>
      <c r="U1179" s="5">
        <v>8000</v>
      </c>
      <c r="V1179" s="5"/>
      <c r="W1179" s="5" t="s">
        <v>36</v>
      </c>
      <c r="X1179" s="5" t="s">
        <v>196</v>
      </c>
      <c r="AA1179" s="5" t="s">
        <v>1717</v>
      </c>
      <c r="AB1179" s="5" t="s">
        <v>3744</v>
      </c>
      <c r="AC1179" s="8" t="str">
        <f>HYPERLINK("https://drive.google.com/file/d/1VCBFYgIYnWdgg1GH8ishcMRY8fTbpV3X/view?usp=drivesdk", "Abrir_Factura")</f>
        <v>Abrir_Factura</v>
      </c>
      <c r="AD1179" s="9">
        <v>46030.536180555559</v>
      </c>
    </row>
    <row r="1180" spans="1:30" ht="12.5">
      <c r="A1180" s="4">
        <v>46030.557193229164</v>
      </c>
      <c r="B1180" s="5">
        <v>90917</v>
      </c>
      <c r="C1180" s="5">
        <v>1045741574</v>
      </c>
      <c r="D1180" s="5" t="s">
        <v>5557</v>
      </c>
      <c r="F1180" s="5" t="s">
        <v>5558</v>
      </c>
      <c r="H1180" s="5">
        <v>573160569727</v>
      </c>
      <c r="J1180" s="5" t="s">
        <v>5559</v>
      </c>
      <c r="K1180" s="5" t="s">
        <v>3764</v>
      </c>
      <c r="L1180" s="5" t="s">
        <v>5560</v>
      </c>
      <c r="M1180" s="5"/>
      <c r="N1180" s="6">
        <v>46032</v>
      </c>
      <c r="O1180" s="7">
        <v>0.66666666666666663</v>
      </c>
      <c r="P1180" s="5">
        <v>1</v>
      </c>
      <c r="Q1180" s="5" t="s">
        <v>1049</v>
      </c>
      <c r="R1180" s="5">
        <v>260000</v>
      </c>
      <c r="S1180" s="5">
        <v>0</v>
      </c>
      <c r="T1180" s="5">
        <v>9000</v>
      </c>
      <c r="U1180" s="5">
        <v>269000</v>
      </c>
      <c r="V1180" s="5" t="s">
        <v>5561</v>
      </c>
      <c r="W1180" s="5" t="s">
        <v>36</v>
      </c>
      <c r="X1180" s="5" t="s">
        <v>83</v>
      </c>
      <c r="AA1180" s="5" t="s">
        <v>44</v>
      </c>
      <c r="AC1180" s="8" t="str">
        <f>HYPERLINK("https://drive.google.com/file/d/1ejjUy8uoUKF2tsroOK6bXWsS7qZk7PEw/view?usp=drivesdk", "Abrir_Factura")</f>
        <v>Abrir_Factura</v>
      </c>
      <c r="AD1180" s="9">
        <v>46030.558055555557</v>
      </c>
    </row>
    <row r="1181" spans="1:30" ht="12.5">
      <c r="A1181" s="4">
        <v>46030.570535856481</v>
      </c>
      <c r="B1181" s="5">
        <v>90918</v>
      </c>
      <c r="C1181" s="5">
        <v>1045675825</v>
      </c>
      <c r="D1181" s="5" t="s">
        <v>5562</v>
      </c>
      <c r="F1181" s="5" t="s">
        <v>3744</v>
      </c>
      <c r="H1181" s="5">
        <v>57000</v>
      </c>
      <c r="J1181" s="5" t="s">
        <v>5563</v>
      </c>
      <c r="K1181" s="5" t="s">
        <v>33</v>
      </c>
      <c r="L1181" s="5" t="s">
        <v>34</v>
      </c>
      <c r="M1181" s="5">
        <v>0</v>
      </c>
      <c r="N1181" s="6">
        <v>46030</v>
      </c>
      <c r="O1181" s="7">
        <v>0</v>
      </c>
      <c r="P1181" s="5">
        <v>1</v>
      </c>
      <c r="Q1181" s="5" t="s">
        <v>42</v>
      </c>
      <c r="R1181" s="5">
        <v>8000</v>
      </c>
      <c r="S1181" s="5">
        <v>0</v>
      </c>
      <c r="T1181" s="5">
        <v>0</v>
      </c>
      <c r="U1181" s="5">
        <v>8000</v>
      </c>
      <c r="V1181" s="5"/>
      <c r="W1181" s="5" t="s">
        <v>36</v>
      </c>
      <c r="X1181" s="5" t="s">
        <v>196</v>
      </c>
      <c r="AA1181" s="5" t="s">
        <v>1717</v>
      </c>
      <c r="AC1181" s="8" t="str">
        <f>HYPERLINK("https://drive.google.com/file/d/15nkHkRJUbhkZSc5835jR6HPbw8cJaBl_/view?usp=drivesdk", "Abrir_Factura")</f>
        <v>Abrir_Factura</v>
      </c>
      <c r="AD1181" s="9">
        <v>46030.571157407408</v>
      </c>
    </row>
    <row r="1182" spans="1:30" ht="12.5">
      <c r="A1182" s="4">
        <v>46030.580297800931</v>
      </c>
      <c r="B1182" s="5">
        <v>90919</v>
      </c>
      <c r="C1182" s="5">
        <v>1118813508</v>
      </c>
      <c r="D1182" s="5" t="s">
        <v>883</v>
      </c>
      <c r="F1182" s="5" t="s">
        <v>5564</v>
      </c>
      <c r="H1182" s="5">
        <v>573214050778</v>
      </c>
      <c r="J1182" s="5" t="s">
        <v>5565</v>
      </c>
      <c r="K1182" s="5" t="s">
        <v>103</v>
      </c>
      <c r="L1182" s="5" t="s">
        <v>5566</v>
      </c>
      <c r="M1182" s="5">
        <v>3146326217</v>
      </c>
      <c r="N1182" s="6">
        <v>46030</v>
      </c>
      <c r="O1182" s="7">
        <v>0.625</v>
      </c>
      <c r="P1182" s="5">
        <v>1</v>
      </c>
      <c r="Q1182" s="5" t="s">
        <v>3111</v>
      </c>
      <c r="R1182" s="5">
        <v>190000</v>
      </c>
      <c r="S1182" s="5">
        <v>0</v>
      </c>
      <c r="T1182" s="5">
        <v>10000</v>
      </c>
      <c r="U1182" s="5">
        <v>200000</v>
      </c>
      <c r="V1182" s="5" t="s">
        <v>5567</v>
      </c>
      <c r="W1182" s="5" t="s">
        <v>36</v>
      </c>
      <c r="X1182" s="5" t="s">
        <v>83</v>
      </c>
      <c r="Z1182" s="5" t="s">
        <v>5568</v>
      </c>
      <c r="AA1182" s="5" t="s">
        <v>44</v>
      </c>
      <c r="AB1182" s="5" t="s">
        <v>5569</v>
      </c>
      <c r="AC1182" s="8" t="str">
        <f>HYPERLINK("https://drive.google.com/file/d/1G9S_T6wvhOgfHt_kvWkow7IIfABHFYjb/view?usp=drivesdk", "Abrir_Factura")</f>
        <v>Abrir_Factura</v>
      </c>
      <c r="AD1182" s="9">
        <v>46030.588969907411</v>
      </c>
    </row>
    <row r="1183" spans="1:30" ht="12.5">
      <c r="A1183" s="4">
        <v>46030.590579432872</v>
      </c>
      <c r="B1183" s="5">
        <v>90920</v>
      </c>
      <c r="C1183" s="5">
        <v>1010122581</v>
      </c>
      <c r="D1183" s="5" t="s">
        <v>2361</v>
      </c>
      <c r="F1183" s="5" t="s">
        <v>2362</v>
      </c>
      <c r="H1183" s="5">
        <v>573176676303</v>
      </c>
      <c r="J1183" s="5" t="s">
        <v>5570</v>
      </c>
      <c r="K1183" s="5" t="s">
        <v>975</v>
      </c>
      <c r="L1183" s="5" t="s">
        <v>5571</v>
      </c>
      <c r="M1183" s="5">
        <v>3176676303</v>
      </c>
      <c r="N1183" s="6">
        <v>46031</v>
      </c>
      <c r="O1183" s="7">
        <v>0.375</v>
      </c>
      <c r="P1183" s="5">
        <v>1</v>
      </c>
      <c r="Q1183" s="5" t="s">
        <v>75</v>
      </c>
      <c r="R1183" s="5">
        <v>70000</v>
      </c>
      <c r="S1183" s="5">
        <v>0</v>
      </c>
      <c r="T1183" s="5">
        <v>10000</v>
      </c>
      <c r="U1183" s="5">
        <v>80000</v>
      </c>
      <c r="V1183" s="5"/>
      <c r="W1183" s="5" t="s">
        <v>36</v>
      </c>
      <c r="X1183" s="5" t="s">
        <v>83</v>
      </c>
      <c r="AA1183" s="5" t="s">
        <v>69</v>
      </c>
      <c r="AC1183" s="8" t="str">
        <f>HYPERLINK("https://drive.google.com/file/d/1gYCzNS6oEw3C354eImrpnuRwXnU1BopB/view?usp=drivesdk", "Abrir_Factura")</f>
        <v>Abrir_Factura</v>
      </c>
      <c r="AD1183" s="9">
        <v>46030.597083333334</v>
      </c>
    </row>
    <row r="1184" spans="1:30" ht="12.5">
      <c r="A1184" s="4">
        <v>46030.600386712962</v>
      </c>
      <c r="B1184" s="5">
        <v>90921</v>
      </c>
      <c r="C1184" s="5">
        <v>1124034765</v>
      </c>
      <c r="D1184" s="5" t="s">
        <v>5572</v>
      </c>
      <c r="F1184" s="5" t="s">
        <v>5573</v>
      </c>
      <c r="H1184" s="5">
        <v>573022964478</v>
      </c>
      <c r="J1184" s="5" t="s">
        <v>5572</v>
      </c>
      <c r="K1184" s="5" t="s">
        <v>5574</v>
      </c>
      <c r="L1184" s="5" t="s">
        <v>5575</v>
      </c>
      <c r="M1184" s="5">
        <v>3022964478</v>
      </c>
      <c r="N1184" s="6">
        <v>46030</v>
      </c>
      <c r="O1184" s="7">
        <v>0.625</v>
      </c>
      <c r="P1184" s="5">
        <v>1</v>
      </c>
      <c r="Q1184" s="5" t="s">
        <v>42</v>
      </c>
      <c r="R1184" s="5">
        <v>80000</v>
      </c>
      <c r="S1184" s="5">
        <v>0</v>
      </c>
      <c r="T1184" s="5">
        <v>10000</v>
      </c>
      <c r="U1184" s="5">
        <v>90000</v>
      </c>
      <c r="V1184" s="5"/>
      <c r="W1184" s="5" t="s">
        <v>36</v>
      </c>
      <c r="X1184" s="5" t="s">
        <v>83</v>
      </c>
      <c r="AA1184" s="5" t="s">
        <v>44</v>
      </c>
      <c r="AB1184" s="5" t="s">
        <v>525</v>
      </c>
      <c r="AC1184" s="8" t="str">
        <f>HYPERLINK("https://drive.google.com/file/d/1AWl_z-gWHL1yoh9t8eMb_q87vdPVQjLW/view?usp=drivesdk", "Abrir_Factura")</f>
        <v>Abrir_Factura</v>
      </c>
      <c r="AD1184" s="9">
        <v>46030.642731481479</v>
      </c>
    </row>
    <row r="1185" spans="1:30" ht="12.5">
      <c r="A1185" s="4">
        <v>46030.606525497686</v>
      </c>
      <c r="B1185" s="5">
        <v>90922</v>
      </c>
      <c r="C1185" s="5">
        <v>1042850323</v>
      </c>
      <c r="D1185" s="5" t="s">
        <v>5576</v>
      </c>
      <c r="F1185" s="5" t="s">
        <v>5577</v>
      </c>
      <c r="H1185" s="5">
        <v>573002857892</v>
      </c>
      <c r="J1185" s="5" t="s">
        <v>5578</v>
      </c>
      <c r="K1185" s="5" t="s">
        <v>33</v>
      </c>
      <c r="L1185" s="5" t="s">
        <v>34</v>
      </c>
      <c r="M1185" s="5">
        <v>3002857892</v>
      </c>
      <c r="N1185" s="6">
        <v>46030</v>
      </c>
      <c r="O1185" s="7">
        <v>0</v>
      </c>
      <c r="P1185" s="5">
        <v>1</v>
      </c>
      <c r="Q1185" s="5" t="s">
        <v>178</v>
      </c>
      <c r="R1185" s="5">
        <v>100000</v>
      </c>
      <c r="S1185" s="5">
        <v>0</v>
      </c>
      <c r="T1185" s="5">
        <v>0</v>
      </c>
      <c r="U1185" s="5">
        <v>100000</v>
      </c>
      <c r="V1185" s="5"/>
      <c r="W1185" s="5" t="s">
        <v>36</v>
      </c>
      <c r="X1185" s="5" t="s">
        <v>196</v>
      </c>
      <c r="AA1185" s="5" t="s">
        <v>1717</v>
      </c>
      <c r="AC1185" s="8" t="str">
        <f>HYPERLINK("https://drive.google.com/file/d/1Ubfyff_UUrX70fi_gNnlhthSt4AJ8O7_/view?usp=drivesdk", "Abrir_Factura")</f>
        <v>Abrir_Factura</v>
      </c>
      <c r="AD1185" s="9">
        <v>46030.607222222221</v>
      </c>
    </row>
    <row r="1186" spans="1:30" ht="12.5">
      <c r="A1186" s="4">
        <v>46030.564579722224</v>
      </c>
      <c r="B1186" s="5">
        <v>90923</v>
      </c>
      <c r="C1186" s="5">
        <v>1140894913</v>
      </c>
      <c r="D1186" s="5" t="s">
        <v>5579</v>
      </c>
      <c r="F1186" s="5" t="s">
        <v>3450</v>
      </c>
      <c r="H1186" s="5">
        <v>573205438007</v>
      </c>
      <c r="J1186" s="5" t="s">
        <v>2915</v>
      </c>
      <c r="K1186" s="5" t="s">
        <v>73</v>
      </c>
      <c r="L1186" s="5" t="s">
        <v>5580</v>
      </c>
      <c r="M1186" s="5">
        <v>3205438006</v>
      </c>
      <c r="N1186" s="6">
        <v>46031</v>
      </c>
      <c r="O1186" s="7">
        <v>0.375</v>
      </c>
      <c r="P1186" s="5">
        <v>1</v>
      </c>
      <c r="Q1186" s="5" t="s">
        <v>649</v>
      </c>
      <c r="R1186" s="5">
        <v>180000</v>
      </c>
      <c r="S1186" s="5">
        <v>0</v>
      </c>
      <c r="T1186" s="5">
        <v>8000</v>
      </c>
      <c r="U1186" s="5">
        <v>188000</v>
      </c>
      <c r="V1186" s="5" t="s">
        <v>5581</v>
      </c>
      <c r="W1186" s="5" t="s">
        <v>36</v>
      </c>
      <c r="X1186" s="5" t="s">
        <v>1937</v>
      </c>
      <c r="Z1186" s="5" t="s">
        <v>5582</v>
      </c>
      <c r="AA1186" s="5" t="s">
        <v>44</v>
      </c>
      <c r="AC1186" s="8" t="str">
        <f>HYPERLINK("https://drive.google.com/file/d/1cAw0l6cwqnSBmypbFZ2PUAg_RQMlq9VD/view?usp=drivesdk", "Abrir_Factura")</f>
        <v>Abrir_Factura</v>
      </c>
      <c r="AD1186" s="9">
        <v>46030.610636574071</v>
      </c>
    </row>
    <row r="1187" spans="1:30" ht="12.5">
      <c r="A1187" s="4">
        <v>46030.657919513891</v>
      </c>
      <c r="B1187" s="5">
        <v>90924</v>
      </c>
      <c r="C1187" s="5">
        <v>1140884897</v>
      </c>
      <c r="D1187" s="5" t="s">
        <v>4291</v>
      </c>
      <c r="F1187" s="5" t="s">
        <v>2429</v>
      </c>
      <c r="H1187" s="5">
        <v>573003953658</v>
      </c>
      <c r="J1187" s="5" t="s">
        <v>5583</v>
      </c>
      <c r="K1187" s="5" t="s">
        <v>33</v>
      </c>
      <c r="L1187" s="5" t="s">
        <v>34</v>
      </c>
      <c r="M1187" s="5">
        <v>3003953658</v>
      </c>
      <c r="N1187" s="6">
        <v>46030</v>
      </c>
      <c r="O1187" s="7">
        <v>0</v>
      </c>
      <c r="P1187" s="5">
        <v>1</v>
      </c>
      <c r="Q1187" s="5" t="s">
        <v>178</v>
      </c>
      <c r="R1187" s="5">
        <v>100000</v>
      </c>
      <c r="S1187" s="5">
        <v>0</v>
      </c>
      <c r="T1187" s="5">
        <v>0</v>
      </c>
      <c r="U1187" s="5">
        <v>100000</v>
      </c>
      <c r="V1187" s="5"/>
      <c r="W1187" s="5" t="s">
        <v>36</v>
      </c>
      <c r="X1187" s="5" t="s">
        <v>43</v>
      </c>
      <c r="AA1187" s="5" t="s">
        <v>37</v>
      </c>
      <c r="AB1187" s="5" t="s">
        <v>5584</v>
      </c>
      <c r="AC1187" s="8" t="str">
        <f>HYPERLINK("https://drive.google.com/file/d/15Moh0sw3llo1DUo_7CIA1BwI6tR5lq8A/view?usp=drivesdk", "Abrir_Factura")</f>
        <v>Abrir_Factura</v>
      </c>
      <c r="AD1187" s="9">
        <v>46030.658391203702</v>
      </c>
    </row>
    <row r="1188" spans="1:30" ht="12.5">
      <c r="A1188" s="4">
        <v>46030.695737372684</v>
      </c>
      <c r="B1188" s="5">
        <v>90925</v>
      </c>
      <c r="C1188" s="5">
        <v>0</v>
      </c>
      <c r="D1188" s="5" t="s">
        <v>3126</v>
      </c>
      <c r="F1188" s="5" t="s">
        <v>5585</v>
      </c>
      <c r="H1188" s="5">
        <v>57000</v>
      </c>
      <c r="J1188" s="5" t="s">
        <v>5586</v>
      </c>
      <c r="K1188" s="5" t="s">
        <v>33</v>
      </c>
      <c r="L1188" s="5" t="s">
        <v>34</v>
      </c>
      <c r="M1188" s="5">
        <v>0</v>
      </c>
      <c r="N1188" s="6">
        <v>46030</v>
      </c>
      <c r="O1188" s="7">
        <v>0</v>
      </c>
      <c r="P1188" s="5">
        <v>1</v>
      </c>
      <c r="Q1188" s="5" t="s">
        <v>384</v>
      </c>
      <c r="R1188" s="5">
        <v>180000</v>
      </c>
      <c r="S1188" s="5">
        <v>0</v>
      </c>
      <c r="T1188" s="5">
        <v>0</v>
      </c>
      <c r="U1188" s="5">
        <v>180000</v>
      </c>
      <c r="V1188" s="5"/>
      <c r="W1188" s="5" t="s">
        <v>36</v>
      </c>
      <c r="X1188" s="5" t="s">
        <v>196</v>
      </c>
      <c r="AA1188" s="5" t="s">
        <v>1717</v>
      </c>
      <c r="AC1188" s="8" t="str">
        <f>HYPERLINK("https://drive.google.com/file/d/1zKu4RAF1j9Y8k3uJFdeCc2skWWTj9ABr/view?usp=drivesdk", "Abrir_Factura")</f>
        <v>Abrir_Factura</v>
      </c>
      <c r="AD1188" s="9">
        <v>46030.696111111109</v>
      </c>
    </row>
    <row r="1189" spans="1:30" ht="12.5">
      <c r="A1189" s="4">
        <v>46030.678383703707</v>
      </c>
      <c r="B1189" s="5">
        <v>90926</v>
      </c>
      <c r="C1189" s="5">
        <v>1140902117</v>
      </c>
      <c r="D1189" s="5" t="s">
        <v>5587</v>
      </c>
      <c r="F1189" s="5" t="s">
        <v>5588</v>
      </c>
      <c r="H1189" s="5">
        <v>573016778949</v>
      </c>
      <c r="J1189" s="5" t="s">
        <v>5589</v>
      </c>
      <c r="K1189" s="5" t="s">
        <v>193</v>
      </c>
      <c r="L1189" s="5" t="s">
        <v>5590</v>
      </c>
      <c r="M1189" s="5">
        <v>3007501614</v>
      </c>
      <c r="N1189" s="6">
        <v>46031</v>
      </c>
      <c r="O1189" s="7">
        <v>0.45833333333333331</v>
      </c>
      <c r="P1189" s="5">
        <v>1</v>
      </c>
      <c r="Q1189" s="5" t="s">
        <v>576</v>
      </c>
      <c r="R1189" s="5">
        <v>120000</v>
      </c>
      <c r="S1189" s="5">
        <v>0</v>
      </c>
      <c r="T1189" s="5">
        <v>15000</v>
      </c>
      <c r="U1189" s="5">
        <v>135000</v>
      </c>
      <c r="V1189" s="5" t="s">
        <v>5591</v>
      </c>
      <c r="W1189" s="5" t="s">
        <v>36</v>
      </c>
      <c r="X1189" s="5" t="s">
        <v>83</v>
      </c>
      <c r="Z1189" s="5" t="s">
        <v>5592</v>
      </c>
      <c r="AA1189" s="5" t="s">
        <v>44</v>
      </c>
      <c r="AC1189" s="8" t="str">
        <f>HYPERLINK("https://drive.google.com/file/d/1aKYh9odhI5sf8kJBwkOs18mcWiyfZUm4/view?usp=drivesdk", "Abrir_Factura")</f>
        <v>Abrir_Factura</v>
      </c>
      <c r="AD1189" s="9">
        <v>46030.706388888888</v>
      </c>
    </row>
    <row r="1190" spans="1:30" ht="12.5">
      <c r="A1190" s="4">
        <v>46030.726725104163</v>
      </c>
      <c r="B1190" s="5">
        <v>90927</v>
      </c>
      <c r="C1190" s="5">
        <v>866564</v>
      </c>
      <c r="D1190" s="5" t="s">
        <v>5593</v>
      </c>
      <c r="F1190" s="5" t="s">
        <v>3442</v>
      </c>
      <c r="H1190" s="5">
        <v>593998906917</v>
      </c>
      <c r="J1190" s="5" t="s">
        <v>5594</v>
      </c>
      <c r="K1190" s="5"/>
      <c r="L1190" s="5" t="s">
        <v>5595</v>
      </c>
      <c r="M1190" s="5">
        <v>3103544873</v>
      </c>
      <c r="N1190" s="6">
        <v>46030</v>
      </c>
      <c r="O1190" s="7">
        <v>0.75</v>
      </c>
      <c r="P1190" s="5">
        <v>1</v>
      </c>
      <c r="Q1190" s="5" t="s">
        <v>361</v>
      </c>
      <c r="R1190" s="5">
        <v>200000</v>
      </c>
      <c r="S1190" s="5">
        <v>0</v>
      </c>
      <c r="T1190" s="5"/>
      <c r="U1190" s="5">
        <v>200000</v>
      </c>
      <c r="V1190" s="5" t="s">
        <v>5596</v>
      </c>
      <c r="W1190" s="5" t="s">
        <v>36</v>
      </c>
      <c r="X1190" s="5" t="s">
        <v>204</v>
      </c>
      <c r="Z1190" s="5" t="s">
        <v>5597</v>
      </c>
      <c r="AA1190" s="5" t="s">
        <v>69</v>
      </c>
      <c r="AB1190" s="5" t="s">
        <v>5598</v>
      </c>
      <c r="AC1190" s="8" t="str">
        <f>HYPERLINK("https://drive.google.com/file/d/1cIs0WeIl5hiHJ3iwe001rzDLFGioGcfz/view?usp=drivesdk", "Abrir_Factura")</f>
        <v>Abrir_Factura</v>
      </c>
      <c r="AD1190" s="9">
        <v>46030.738182870373</v>
      </c>
    </row>
    <row r="1191" spans="1:30" ht="12.5">
      <c r="A1191" s="4">
        <v>46030.739468391199</v>
      </c>
      <c r="B1191" s="5">
        <v>90928</v>
      </c>
      <c r="C1191" s="5">
        <v>2000005523</v>
      </c>
      <c r="D1191" s="5" t="s">
        <v>584</v>
      </c>
      <c r="F1191" s="5" t="s">
        <v>1924</v>
      </c>
      <c r="H1191" s="5">
        <v>573124150180</v>
      </c>
      <c r="J1191" s="5" t="s">
        <v>5599</v>
      </c>
      <c r="K1191" s="5" t="s">
        <v>229</v>
      </c>
      <c r="L1191" s="5" t="s">
        <v>5600</v>
      </c>
      <c r="M1191" s="5">
        <v>3124150180</v>
      </c>
      <c r="N1191" s="6">
        <v>46030</v>
      </c>
      <c r="O1191" s="7">
        <v>0.33333333333333331</v>
      </c>
      <c r="P1191" s="5">
        <v>1</v>
      </c>
      <c r="Q1191" s="5" t="s">
        <v>1696</v>
      </c>
      <c r="R1191" s="5">
        <v>700000</v>
      </c>
      <c r="S1191" s="5">
        <v>0</v>
      </c>
      <c r="T1191" s="5">
        <v>11000</v>
      </c>
      <c r="U1191" s="5">
        <v>711000</v>
      </c>
      <c r="V1191" s="5" t="s">
        <v>5601</v>
      </c>
      <c r="W1191" s="5" t="s">
        <v>36</v>
      </c>
      <c r="X1191" s="5" t="s">
        <v>83</v>
      </c>
      <c r="AA1191" s="5" t="s">
        <v>44</v>
      </c>
      <c r="AC1191" s="8" t="str">
        <f>HYPERLINK("https://drive.google.com/file/d/15-3FyhYYuNBrmYZVhHhdnQlPQ60Yo2vG/view?usp=drivesdk", "Abrir_Factura")</f>
        <v>Abrir_Factura</v>
      </c>
      <c r="AD1191" s="9">
        <v>46030.747372685182</v>
      </c>
    </row>
    <row r="1192" spans="1:30" ht="12.5">
      <c r="A1192" s="4">
        <v>46030.727503321759</v>
      </c>
      <c r="B1192" s="5">
        <v>90929</v>
      </c>
      <c r="C1192" s="5">
        <v>114089697</v>
      </c>
      <c r="D1192" s="5" t="s">
        <v>2701</v>
      </c>
      <c r="F1192" s="5" t="s">
        <v>1607</v>
      </c>
      <c r="H1192" s="5">
        <v>573153889125</v>
      </c>
      <c r="J1192" s="5" t="s">
        <v>5602</v>
      </c>
      <c r="K1192" s="5" t="s">
        <v>5574</v>
      </c>
      <c r="L1192" s="5" t="s">
        <v>5603</v>
      </c>
      <c r="M1192" s="5">
        <v>3008117980</v>
      </c>
      <c r="N1192" s="6">
        <v>46031</v>
      </c>
      <c r="O1192" s="7">
        <v>0.375</v>
      </c>
      <c r="P1192" s="5">
        <v>1</v>
      </c>
      <c r="Q1192" s="5" t="s">
        <v>133</v>
      </c>
      <c r="R1192" s="5">
        <v>140000</v>
      </c>
      <c r="S1192" s="5">
        <v>0</v>
      </c>
      <c r="T1192" s="5">
        <v>10000</v>
      </c>
      <c r="U1192" s="5">
        <v>150000</v>
      </c>
      <c r="V1192" s="5" t="s">
        <v>5604</v>
      </c>
      <c r="W1192" s="5" t="s">
        <v>36</v>
      </c>
      <c r="X1192" s="5" t="s">
        <v>1937</v>
      </c>
      <c r="Z1192" s="5" t="s">
        <v>5605</v>
      </c>
      <c r="AA1192" s="5" t="s">
        <v>44</v>
      </c>
      <c r="AC1192" s="8" t="str">
        <f>HYPERLINK("https://drive.google.com/file/d/1stsjYhhMtZ-rg4ib84LdLVi66s7CCtj3/view?usp=drivesdk", "Abrir_Factura")</f>
        <v>Abrir_Factura</v>
      </c>
      <c r="AD1192" s="9">
        <v>46030.752384259256</v>
      </c>
    </row>
    <row r="1193" spans="1:30" ht="12.5">
      <c r="A1193" s="4">
        <v>46031.301371875001</v>
      </c>
      <c r="B1193" s="5">
        <v>90930</v>
      </c>
      <c r="C1193" s="5">
        <v>1001914094</v>
      </c>
      <c r="D1193" s="5" t="s">
        <v>290</v>
      </c>
      <c r="F1193" s="5" t="s">
        <v>5606</v>
      </c>
      <c r="H1193" s="5">
        <v>573232205042</v>
      </c>
      <c r="J1193" s="5" t="s">
        <v>5607</v>
      </c>
      <c r="K1193" s="5" t="s">
        <v>161</v>
      </c>
      <c r="L1193" s="5" t="s">
        <v>5608</v>
      </c>
      <c r="M1193" s="5">
        <v>3106500922</v>
      </c>
      <c r="N1193" s="6">
        <v>46031</v>
      </c>
      <c r="O1193" s="7">
        <v>0.45833333333333331</v>
      </c>
      <c r="P1193" s="5">
        <v>1</v>
      </c>
      <c r="Q1193" s="5" t="s">
        <v>239</v>
      </c>
      <c r="R1193" s="5">
        <v>380000</v>
      </c>
      <c r="S1193" s="5">
        <v>0</v>
      </c>
      <c r="T1193" s="5">
        <v>8000</v>
      </c>
      <c r="U1193" s="5">
        <v>388000</v>
      </c>
      <c r="V1193" s="5"/>
      <c r="W1193" s="5" t="s">
        <v>36</v>
      </c>
      <c r="X1193" s="5" t="s">
        <v>83</v>
      </c>
      <c r="Z1193" s="5" t="s">
        <v>5609</v>
      </c>
      <c r="AA1193" s="5" t="s">
        <v>69</v>
      </c>
      <c r="AB1193" s="5" t="s">
        <v>5610</v>
      </c>
      <c r="AC1193" s="8" t="str">
        <f>HYPERLINK("https://drive.google.com/file/d/15t6BbAGuOLa118H5Ispok_ykeZ-Qxckw/view?usp=drivesdk", "Abrir_Factura")</f>
        <v>Abrir_Factura</v>
      </c>
      <c r="AD1193" s="9">
        <v>46031.315775462965</v>
      </c>
    </row>
    <row r="1194" spans="1:30" ht="12.5">
      <c r="A1194" s="4">
        <v>46030.725017291668</v>
      </c>
      <c r="B1194" s="5">
        <v>90931</v>
      </c>
      <c r="C1194" s="5">
        <v>55229533</v>
      </c>
      <c r="D1194" s="5" t="s">
        <v>5611</v>
      </c>
      <c r="F1194" s="5" t="s">
        <v>596</v>
      </c>
      <c r="H1194" s="5">
        <v>573003716714</v>
      </c>
      <c r="J1194" s="5" t="s">
        <v>5612</v>
      </c>
      <c r="K1194" s="5" t="s">
        <v>1057</v>
      </c>
      <c r="L1194" s="5" t="s">
        <v>5613</v>
      </c>
      <c r="M1194" s="5">
        <v>573043725206</v>
      </c>
      <c r="N1194" s="6">
        <v>46031</v>
      </c>
      <c r="O1194" s="7">
        <v>0.4375</v>
      </c>
      <c r="P1194" s="5">
        <v>2</v>
      </c>
      <c r="Q1194" s="5" t="s">
        <v>5614</v>
      </c>
      <c r="R1194" s="5">
        <v>240000</v>
      </c>
      <c r="S1194" s="5">
        <v>0</v>
      </c>
      <c r="T1194" s="5">
        <v>14000</v>
      </c>
      <c r="U1194" s="5">
        <v>254000</v>
      </c>
      <c r="V1194" s="5" t="s">
        <v>5615</v>
      </c>
      <c r="W1194" s="5" t="s">
        <v>36</v>
      </c>
      <c r="X1194" s="5" t="s">
        <v>83</v>
      </c>
      <c r="Z1194" s="5" t="s">
        <v>5616</v>
      </c>
      <c r="AA1194" s="5" t="s">
        <v>44</v>
      </c>
      <c r="AB1194" s="5" t="s">
        <v>25421</v>
      </c>
      <c r="AC1194" s="8" t="str">
        <f>HYPERLINK("https://drive.google.com/file/d/1UE1TEnDcCNPGbA0dTaSa05-IKkBnJFhx/view?usp=drivesdk", "Abrir_Factura")</f>
        <v>Abrir_Factura</v>
      </c>
      <c r="AD1194" s="9">
        <v>46031.337951388887</v>
      </c>
    </row>
    <row r="1195" spans="1:30" ht="12.5">
      <c r="A1195" s="4">
        <v>46031.37915896991</v>
      </c>
      <c r="B1195" s="5">
        <v>90932</v>
      </c>
      <c r="C1195" s="5">
        <v>1140869653</v>
      </c>
      <c r="D1195" s="5" t="s">
        <v>262</v>
      </c>
      <c r="F1195" s="5" t="s">
        <v>5617</v>
      </c>
      <c r="H1195" s="5">
        <v>573103637919</v>
      </c>
      <c r="J1195" s="5" t="s">
        <v>5618</v>
      </c>
      <c r="K1195" s="5" t="s">
        <v>33</v>
      </c>
      <c r="L1195" s="5" t="s">
        <v>34</v>
      </c>
      <c r="M1195" s="5" t="s">
        <v>5619</v>
      </c>
      <c r="N1195" s="6">
        <v>46032</v>
      </c>
      <c r="O1195" s="7">
        <v>0</v>
      </c>
      <c r="P1195" s="5">
        <v>1</v>
      </c>
      <c r="Q1195" s="5" t="s">
        <v>42</v>
      </c>
      <c r="R1195" s="5">
        <v>230000</v>
      </c>
      <c r="S1195" s="5">
        <v>0</v>
      </c>
      <c r="T1195" s="5">
        <v>0</v>
      </c>
      <c r="U1195" s="5">
        <v>230000</v>
      </c>
      <c r="V1195" s="5"/>
      <c r="W1195" s="5" t="s">
        <v>36</v>
      </c>
      <c r="X1195" s="5" t="s">
        <v>83</v>
      </c>
      <c r="AA1195" s="5" t="s">
        <v>69</v>
      </c>
      <c r="AB1195" s="5" t="s">
        <v>5620</v>
      </c>
      <c r="AC1195" s="8" t="str">
        <f>HYPERLINK("https://drive.google.com/file/d/1zLRa8kgEammOl0d5v3YYZfSHzapr4e2S/view?usp=drivesdk", "Abrir_Factura")</f>
        <v>Abrir_Factura</v>
      </c>
      <c r="AD1195" s="9">
        <v>46031.379814814813</v>
      </c>
    </row>
    <row r="1196" spans="1:30" ht="12.5">
      <c r="A1196" s="4">
        <v>46031.372389085649</v>
      </c>
      <c r="B1196" s="5">
        <v>90933</v>
      </c>
      <c r="C1196" s="5">
        <v>1140874379</v>
      </c>
      <c r="D1196" s="5" t="s">
        <v>5621</v>
      </c>
      <c r="F1196" s="5" t="s">
        <v>5622</v>
      </c>
      <c r="H1196" s="5">
        <v>574963320</v>
      </c>
      <c r="J1196" s="5" t="s">
        <v>5623</v>
      </c>
      <c r="K1196" s="5" t="s">
        <v>185</v>
      </c>
      <c r="L1196" s="5" t="s">
        <v>5624</v>
      </c>
      <c r="M1196" s="5">
        <v>3058150210</v>
      </c>
      <c r="N1196" s="6">
        <v>46031</v>
      </c>
      <c r="O1196" s="7">
        <v>0</v>
      </c>
      <c r="P1196" s="5">
        <v>1</v>
      </c>
      <c r="Q1196" s="5" t="s">
        <v>65</v>
      </c>
      <c r="R1196" s="5">
        <v>70000</v>
      </c>
      <c r="S1196" s="5">
        <v>0</v>
      </c>
      <c r="T1196" s="5">
        <v>8000</v>
      </c>
      <c r="U1196" s="5">
        <v>78000</v>
      </c>
      <c r="V1196" s="5" t="s">
        <v>5625</v>
      </c>
      <c r="W1196" s="5" t="s">
        <v>36</v>
      </c>
      <c r="X1196" s="5" t="s">
        <v>83</v>
      </c>
      <c r="Z1196" s="5" t="s">
        <v>5626</v>
      </c>
      <c r="AA1196" s="5" t="s">
        <v>44</v>
      </c>
      <c r="AC1196" s="8" t="str">
        <f>HYPERLINK("https://drive.google.com/file/d/1e9myFkuzVnkfa-dP9FxB9cQYtEGNDUen/view?usp=drivesdk", "Abrir_Factura")</f>
        <v>Abrir_Factura</v>
      </c>
      <c r="AD1196" s="9">
        <v>46031.381180555552</v>
      </c>
    </row>
    <row r="1197" spans="1:30" ht="12.5">
      <c r="A1197" s="4">
        <v>46031.38685185185</v>
      </c>
      <c r="B1197" s="5">
        <v>90934</v>
      </c>
      <c r="C1197" s="5">
        <v>900521807</v>
      </c>
      <c r="D1197" s="5" t="s">
        <v>1231</v>
      </c>
      <c r="F1197" s="10" t="s">
        <v>3330</v>
      </c>
      <c r="H1197" s="5">
        <v>573007682024</v>
      </c>
      <c r="J1197" s="5" t="s">
        <v>1231</v>
      </c>
      <c r="K1197" s="5" t="s">
        <v>33</v>
      </c>
      <c r="L1197" s="5" t="s">
        <v>34</v>
      </c>
      <c r="M1197" s="5">
        <v>3007682024</v>
      </c>
      <c r="N1197" s="6">
        <v>46032</v>
      </c>
      <c r="O1197" s="7">
        <v>0.66666666666666663</v>
      </c>
      <c r="P1197" s="5">
        <v>1</v>
      </c>
      <c r="Q1197" s="5" t="s">
        <v>42</v>
      </c>
      <c r="R1197" s="5">
        <v>0</v>
      </c>
      <c r="S1197" s="5">
        <v>0</v>
      </c>
      <c r="T1197" s="5">
        <v>0</v>
      </c>
      <c r="U1197" s="5">
        <v>0</v>
      </c>
      <c r="V1197" s="5"/>
      <c r="W1197" s="5" t="s">
        <v>36</v>
      </c>
      <c r="X1197" s="5" t="s">
        <v>43</v>
      </c>
      <c r="AA1197" s="5" t="s">
        <v>44</v>
      </c>
      <c r="AB1197" s="5" t="s">
        <v>5627</v>
      </c>
      <c r="AC1197" s="8" t="str">
        <f>HYPERLINK("https://drive.google.com/file/d/1mkx6uN25-7bTnZsjKclCD2PBaUoFOVUy/view?usp=drivesdk", "Abrir_Factura")</f>
        <v>Abrir_Factura</v>
      </c>
      <c r="AD1197" s="9">
        <v>46031.511030092595</v>
      </c>
    </row>
    <row r="1198" spans="1:30" ht="12.5">
      <c r="A1198" s="4">
        <v>46031.373994444446</v>
      </c>
      <c r="B1198" s="5">
        <v>90935</v>
      </c>
      <c r="C1198" s="5">
        <v>1018493820</v>
      </c>
      <c r="D1198" s="5" t="s">
        <v>3466</v>
      </c>
      <c r="F1198" s="5" t="s">
        <v>5628</v>
      </c>
      <c r="H1198" s="5">
        <v>573187754640</v>
      </c>
      <c r="J1198" s="5" t="s">
        <v>5629</v>
      </c>
      <c r="K1198" s="5" t="s">
        <v>4558</v>
      </c>
      <c r="L1198" s="5" t="s">
        <v>5630</v>
      </c>
      <c r="M1198" s="5">
        <v>3187754640</v>
      </c>
      <c r="N1198" s="6">
        <v>46032</v>
      </c>
      <c r="O1198" s="7">
        <v>0</v>
      </c>
      <c r="P1198" s="5">
        <v>1</v>
      </c>
      <c r="Q1198" s="5" t="s">
        <v>322</v>
      </c>
      <c r="R1198" s="5">
        <v>120000</v>
      </c>
      <c r="S1198" s="5">
        <v>0</v>
      </c>
      <c r="T1198" s="5">
        <v>10000</v>
      </c>
      <c r="U1198" s="5">
        <v>130000</v>
      </c>
      <c r="V1198" s="5" t="s">
        <v>5631</v>
      </c>
      <c r="W1198" s="5" t="s">
        <v>36</v>
      </c>
      <c r="X1198" s="5" t="s">
        <v>83</v>
      </c>
      <c r="Z1198" s="5" t="s">
        <v>5632</v>
      </c>
      <c r="AA1198" s="5" t="s">
        <v>69</v>
      </c>
      <c r="AC1198" s="8" t="str">
        <f>HYPERLINK("https://drive.google.com/file/d/1EaELGrNya6_U0UfCcL1g3ViKuklBBXUJ/view?usp=drivesdk", "Abrir_Factura")</f>
        <v>Abrir_Factura</v>
      </c>
      <c r="AD1198" s="9">
        <v>46031.391539351855</v>
      </c>
    </row>
    <row r="1199" spans="1:30" ht="12.5">
      <c r="A1199" s="4">
        <v>46031.405371990739</v>
      </c>
      <c r="B1199" s="5">
        <v>90936</v>
      </c>
      <c r="C1199" s="5">
        <v>32769014</v>
      </c>
      <c r="D1199" s="5" t="s">
        <v>5633</v>
      </c>
      <c r="F1199" s="5" t="s">
        <v>5634</v>
      </c>
      <c r="H1199" s="5">
        <v>573126811736</v>
      </c>
      <c r="J1199" s="5" t="s">
        <v>5635</v>
      </c>
      <c r="K1199" s="5" t="s">
        <v>33</v>
      </c>
      <c r="L1199" s="5" t="s">
        <v>34</v>
      </c>
      <c r="M1199" s="5">
        <v>3126811736</v>
      </c>
      <c r="N1199" s="6">
        <v>46031</v>
      </c>
      <c r="O1199" s="7">
        <v>0</v>
      </c>
      <c r="P1199" s="5">
        <v>1</v>
      </c>
      <c r="Q1199" s="5" t="s">
        <v>42</v>
      </c>
      <c r="R1199" s="5">
        <v>20000</v>
      </c>
      <c r="S1199" s="5">
        <v>0</v>
      </c>
      <c r="T1199" s="5">
        <v>0</v>
      </c>
      <c r="U1199" s="5">
        <v>20000</v>
      </c>
      <c r="V1199" s="5"/>
      <c r="W1199" s="5" t="s">
        <v>36</v>
      </c>
      <c r="X1199" s="5" t="s">
        <v>1705</v>
      </c>
      <c r="AA1199" s="5" t="s">
        <v>1717</v>
      </c>
      <c r="AB1199" s="5" t="s">
        <v>5636</v>
      </c>
      <c r="AC1199" s="8" t="str">
        <f>HYPERLINK("https://drive.google.com/file/d/1pNCSxIl24gX8iMSX-9UBsOBFqCRe5j_Q/view?usp=drivesdk", "Abrir_Factura")</f>
        <v>Abrir_Factura</v>
      </c>
      <c r="AD1199" s="9">
        <v>46031.406111111108</v>
      </c>
    </row>
    <row r="1200" spans="1:30" ht="12.5">
      <c r="A1200" s="4">
        <v>46031.411750752319</v>
      </c>
      <c r="B1200" s="5">
        <v>90937</v>
      </c>
      <c r="C1200" s="5">
        <v>1152204842</v>
      </c>
      <c r="D1200" s="5" t="s">
        <v>1411</v>
      </c>
      <c r="F1200" s="5" t="s">
        <v>5637</v>
      </c>
      <c r="H1200" s="5">
        <v>3243999949</v>
      </c>
      <c r="J1200" s="5" t="s">
        <v>5638</v>
      </c>
      <c r="K1200" s="5" t="s">
        <v>975</v>
      </c>
      <c r="L1200" s="5" t="s">
        <v>5639</v>
      </c>
      <c r="M1200" s="5">
        <v>3016903152</v>
      </c>
      <c r="N1200" s="6">
        <v>46031</v>
      </c>
      <c r="O1200" s="7">
        <v>0.47916666666666669</v>
      </c>
      <c r="P1200" s="5">
        <v>1</v>
      </c>
      <c r="Q1200" s="5" t="s">
        <v>1102</v>
      </c>
      <c r="R1200" s="5">
        <v>220000</v>
      </c>
      <c r="S1200" s="5">
        <v>0</v>
      </c>
      <c r="T1200" s="5">
        <v>10000</v>
      </c>
      <c r="U1200" s="5">
        <v>230000</v>
      </c>
      <c r="V1200" s="5" t="s">
        <v>2355</v>
      </c>
      <c r="W1200" s="5" t="s">
        <v>36</v>
      </c>
      <c r="X1200" s="5" t="s">
        <v>67</v>
      </c>
      <c r="AA1200" s="5" t="s">
        <v>69</v>
      </c>
      <c r="AB1200" s="5" t="s">
        <v>5640</v>
      </c>
      <c r="AC1200" s="8" t="str">
        <f>HYPERLINK("https://drive.google.com/file/d/1RKHOU0AsQtZJQCnaU3UTtRruBhFDk_q5/view?usp=drivesdk", "Abrir_Factura")</f>
        <v>Abrir_Factura</v>
      </c>
      <c r="AD1200" s="9">
        <v>46031.419872685183</v>
      </c>
    </row>
    <row r="1201" spans="1:30" ht="12.5">
      <c r="A1201" s="4">
        <v>46031.438106111113</v>
      </c>
      <c r="B1201" s="5">
        <v>90938</v>
      </c>
      <c r="C1201" s="5">
        <v>1140823116</v>
      </c>
      <c r="D1201" s="5" t="s">
        <v>1692</v>
      </c>
      <c r="F1201" s="5" t="s">
        <v>93</v>
      </c>
      <c r="H1201" s="5">
        <v>17866740598</v>
      </c>
      <c r="J1201" s="5" t="s">
        <v>5641</v>
      </c>
      <c r="K1201" s="5" t="s">
        <v>185</v>
      </c>
      <c r="L1201" s="5" t="s">
        <v>5642</v>
      </c>
      <c r="M1201" s="5">
        <v>3016572241</v>
      </c>
      <c r="N1201" s="6">
        <v>46031</v>
      </c>
      <c r="O1201" s="7">
        <v>0</v>
      </c>
      <c r="P1201" s="5">
        <v>1</v>
      </c>
      <c r="Q1201" s="5" t="s">
        <v>309</v>
      </c>
      <c r="R1201" s="5">
        <v>80000</v>
      </c>
      <c r="S1201" s="5">
        <v>0</v>
      </c>
      <c r="T1201" s="5">
        <v>8000</v>
      </c>
      <c r="U1201" s="5">
        <v>88000</v>
      </c>
      <c r="V1201" s="5"/>
      <c r="W1201" s="5" t="s">
        <v>36</v>
      </c>
      <c r="X1201" s="5" t="s">
        <v>67</v>
      </c>
      <c r="Z1201" s="5" t="s">
        <v>5643</v>
      </c>
      <c r="AA1201" s="5" t="s">
        <v>69</v>
      </c>
      <c r="AB1201" s="5" t="s">
        <v>5644</v>
      </c>
      <c r="AC1201" s="8" t="str">
        <f>HYPERLINK("https://drive.google.com/file/d/1HNWV_IlaS8Yyb5g-iquwFq9rLV-7lm-6/view?usp=drivesdk", "Abrir_Factura")</f>
        <v>Abrir_Factura</v>
      </c>
      <c r="AD1201" s="9">
        <v>46031.450902777775</v>
      </c>
    </row>
    <row r="1202" spans="1:30" ht="12.5">
      <c r="A1202" s="4">
        <v>46031.456854039352</v>
      </c>
      <c r="B1202" s="5">
        <v>90939</v>
      </c>
      <c r="C1202" s="5">
        <v>22620466</v>
      </c>
      <c r="D1202" s="5" t="s">
        <v>5645</v>
      </c>
      <c r="F1202" s="5" t="s">
        <v>5646</v>
      </c>
      <c r="H1202" s="5">
        <v>573106328469</v>
      </c>
      <c r="J1202" s="5" t="s">
        <v>5647</v>
      </c>
      <c r="K1202" s="5" t="s">
        <v>185</v>
      </c>
      <c r="L1202" s="5" t="s">
        <v>5648</v>
      </c>
      <c r="M1202" s="5"/>
      <c r="N1202" s="6">
        <v>46031</v>
      </c>
      <c r="O1202" s="7">
        <v>0</v>
      </c>
      <c r="P1202" s="5">
        <v>1</v>
      </c>
      <c r="Q1202" s="5" t="s">
        <v>42</v>
      </c>
      <c r="R1202" s="5">
        <v>30000</v>
      </c>
      <c r="S1202" s="5">
        <v>0</v>
      </c>
      <c r="T1202" s="5">
        <v>8000</v>
      </c>
      <c r="U1202" s="5">
        <v>38000</v>
      </c>
      <c r="V1202" s="5"/>
      <c r="W1202" s="5" t="s">
        <v>36</v>
      </c>
      <c r="X1202" s="5" t="s">
        <v>67</v>
      </c>
      <c r="AA1202" s="5" t="s">
        <v>44</v>
      </c>
      <c r="AB1202" s="5" t="s">
        <v>5649</v>
      </c>
      <c r="AC1202" s="8" t="str">
        <f>HYPERLINK("https://drive.google.com/file/d/1ZMayyyTHEDofa_0vjk8rsCuIvn46-eNe/view?usp=drivesdk", "Abrir_Factura")</f>
        <v>Abrir_Factura</v>
      </c>
      <c r="AD1202" s="9">
        <v>46031.457442129627</v>
      </c>
    </row>
    <row r="1203" spans="1:30" ht="12.5">
      <c r="A1203" s="4">
        <v>46031.45753748843</v>
      </c>
      <c r="B1203" s="5">
        <v>90940</v>
      </c>
      <c r="C1203" s="5">
        <v>1121934897</v>
      </c>
      <c r="D1203" s="5" t="s">
        <v>3466</v>
      </c>
      <c r="F1203" s="5" t="s">
        <v>5650</v>
      </c>
      <c r="H1203" s="5">
        <v>573115762793</v>
      </c>
      <c r="J1203" s="5" t="s">
        <v>5651</v>
      </c>
      <c r="K1203" s="5" t="s">
        <v>63</v>
      </c>
      <c r="L1203" s="5" t="s">
        <v>5652</v>
      </c>
      <c r="M1203" s="5">
        <v>3157876809</v>
      </c>
      <c r="N1203" s="6">
        <v>46031</v>
      </c>
      <c r="O1203" s="7">
        <v>0</v>
      </c>
      <c r="P1203" s="5">
        <v>1</v>
      </c>
      <c r="Q1203" s="5" t="s">
        <v>370</v>
      </c>
      <c r="R1203" s="5">
        <v>260000</v>
      </c>
      <c r="S1203" s="5">
        <v>0</v>
      </c>
      <c r="T1203" s="5">
        <v>15000</v>
      </c>
      <c r="U1203" s="5">
        <v>275000</v>
      </c>
      <c r="V1203" s="5" t="s">
        <v>5653</v>
      </c>
      <c r="W1203" s="5" t="s">
        <v>36</v>
      </c>
      <c r="X1203" s="5" t="s">
        <v>67</v>
      </c>
      <c r="Z1203" s="5" t="s">
        <v>5654</v>
      </c>
      <c r="AA1203" s="5" t="s">
        <v>69</v>
      </c>
      <c r="AB1203" s="5" t="s">
        <v>5655</v>
      </c>
      <c r="AC1203" s="8" t="str">
        <f>HYPERLINK("https://drive.google.com/file/d/15vLScjMmCw5z3mcSpEVSEXayQL-rZvxd/view?usp=drivesdk", "Abrir_Factura")</f>
        <v>Abrir_Factura</v>
      </c>
      <c r="AD1203" s="9">
        <v>46031.468865740739</v>
      </c>
    </row>
    <row r="1204" spans="1:30" ht="12.5">
      <c r="A1204" s="4">
        <v>46031.452681458337</v>
      </c>
      <c r="B1204" s="5">
        <v>90941</v>
      </c>
      <c r="C1204" s="5">
        <v>1042246554</v>
      </c>
      <c r="D1204" s="5" t="s">
        <v>2123</v>
      </c>
      <c r="F1204" s="5" t="s">
        <v>5656</v>
      </c>
      <c r="H1204" s="5">
        <v>573106321118</v>
      </c>
      <c r="J1204" s="5" t="s">
        <v>5657</v>
      </c>
      <c r="K1204" s="5" t="s">
        <v>79</v>
      </c>
      <c r="L1204" s="5" t="s">
        <v>5658</v>
      </c>
      <c r="M1204" s="5">
        <v>310632118</v>
      </c>
      <c r="N1204" s="6">
        <v>46032</v>
      </c>
      <c r="O1204" s="7">
        <v>0</v>
      </c>
      <c r="P1204" s="5">
        <v>1</v>
      </c>
      <c r="Q1204" s="5" t="s">
        <v>187</v>
      </c>
      <c r="R1204" s="5">
        <v>200000</v>
      </c>
      <c r="S1204" s="5">
        <v>0</v>
      </c>
      <c r="T1204" s="5">
        <v>10000</v>
      </c>
      <c r="U1204" s="5">
        <v>210000</v>
      </c>
      <c r="V1204" s="5" t="s">
        <v>5659</v>
      </c>
      <c r="W1204" s="5" t="s">
        <v>36</v>
      </c>
      <c r="X1204" s="5" t="s">
        <v>1937</v>
      </c>
      <c r="Z1204" s="5" t="s">
        <v>5660</v>
      </c>
      <c r="AA1204" s="5" t="s">
        <v>69</v>
      </c>
      <c r="AC1204" s="8" t="str">
        <f>HYPERLINK("https://drive.google.com/file/d/16Y4uW5Ej2zEEwu74vKNyt1xP0CHWW14j/view?usp=drivesdk", "Abrir_Factura")</f>
        <v>Abrir_Factura</v>
      </c>
      <c r="AD1204" s="9">
        <v>46031.476481481484</v>
      </c>
    </row>
    <row r="1205" spans="1:30" ht="12.5">
      <c r="A1205" s="4">
        <v>46031.479844236106</v>
      </c>
      <c r="B1205" s="5">
        <v>90942</v>
      </c>
      <c r="C1205" s="5">
        <v>1140883751</v>
      </c>
      <c r="D1205" s="5" t="s">
        <v>5661</v>
      </c>
      <c r="F1205" s="5" t="s">
        <v>5662</v>
      </c>
      <c r="H1205" s="5">
        <v>573017763025</v>
      </c>
      <c r="J1205" s="5" t="s">
        <v>5663</v>
      </c>
      <c r="K1205" s="5" t="s">
        <v>33</v>
      </c>
      <c r="L1205" s="5" t="s">
        <v>34</v>
      </c>
      <c r="M1205" s="5">
        <v>3017763025</v>
      </c>
      <c r="N1205" s="6">
        <v>46031</v>
      </c>
      <c r="O1205" s="7">
        <v>0</v>
      </c>
      <c r="P1205" s="5">
        <v>1</v>
      </c>
      <c r="Q1205" s="5" t="s">
        <v>42</v>
      </c>
      <c r="R1205" s="5">
        <v>58000</v>
      </c>
      <c r="S1205" s="5">
        <v>0</v>
      </c>
      <c r="T1205" s="5">
        <v>0</v>
      </c>
      <c r="U1205" s="5">
        <v>58000</v>
      </c>
      <c r="V1205" s="5"/>
      <c r="W1205" s="5" t="s">
        <v>36</v>
      </c>
      <c r="X1205" s="5" t="s">
        <v>1705</v>
      </c>
      <c r="AA1205" s="5" t="s">
        <v>1717</v>
      </c>
      <c r="AB1205" s="5" t="s">
        <v>525</v>
      </c>
      <c r="AC1205" s="8" t="str">
        <f>HYPERLINK("https://drive.google.com/file/d/1u8Q_iw6AnnNO-Zr1MNX--wNj1x2Lf4CT/view?usp=drivesdk", "Abrir_Factura")</f>
        <v>Abrir_Factura</v>
      </c>
      <c r="AD1205" s="9">
        <v>46031.480925925927</v>
      </c>
    </row>
    <row r="1206" spans="1:30" ht="12.5">
      <c r="A1206" s="4">
        <v>46031.490914606482</v>
      </c>
      <c r="B1206" s="5">
        <v>90943</v>
      </c>
      <c r="C1206" s="5">
        <v>32729105</v>
      </c>
      <c r="D1206" s="5" t="s">
        <v>4215</v>
      </c>
      <c r="F1206" s="5" t="s">
        <v>5664</v>
      </c>
      <c r="H1206" s="5">
        <v>573135344600</v>
      </c>
      <c r="J1206" s="5" t="s">
        <v>5665</v>
      </c>
      <c r="K1206" s="5" t="s">
        <v>33</v>
      </c>
      <c r="L1206" s="5" t="s">
        <v>34</v>
      </c>
      <c r="M1206" s="5">
        <v>3135344600</v>
      </c>
      <c r="N1206" s="6">
        <v>46031</v>
      </c>
      <c r="O1206" s="7">
        <v>0</v>
      </c>
      <c r="P1206" s="5">
        <v>1</v>
      </c>
      <c r="Q1206" s="5" t="s">
        <v>75</v>
      </c>
      <c r="R1206" s="5">
        <v>70000</v>
      </c>
      <c r="S1206" s="5">
        <v>0</v>
      </c>
      <c r="T1206" s="5">
        <v>0</v>
      </c>
      <c r="U1206" s="5">
        <v>70000</v>
      </c>
      <c r="V1206" s="5"/>
      <c r="W1206" s="5" t="s">
        <v>36</v>
      </c>
      <c r="X1206" s="5" t="s">
        <v>1705</v>
      </c>
      <c r="AA1206" s="5" t="s">
        <v>1717</v>
      </c>
      <c r="AC1206" s="8" t="str">
        <f>HYPERLINK("https://drive.google.com/file/d/1Jn4Xcwm1YHCu5KLhAtVoiC6n5oD23maK/view?usp=drivesdk", "Abrir_Factura")</f>
        <v>Abrir_Factura</v>
      </c>
      <c r="AD1206" s="9">
        <v>46031.491435185184</v>
      </c>
    </row>
    <row r="1207" spans="1:30" ht="12.5">
      <c r="A1207" s="4">
        <v>46031.508449548608</v>
      </c>
      <c r="B1207" s="5">
        <v>90944</v>
      </c>
      <c r="C1207" s="5">
        <v>344537</v>
      </c>
      <c r="D1207" s="5" t="s">
        <v>5666</v>
      </c>
      <c r="F1207" s="5" t="s">
        <v>5667</v>
      </c>
      <c r="H1207" s="5">
        <v>573183660440</v>
      </c>
      <c r="J1207" s="5" t="s">
        <v>5668</v>
      </c>
      <c r="K1207" s="5" t="s">
        <v>33</v>
      </c>
      <c r="L1207" s="5" t="s">
        <v>34</v>
      </c>
      <c r="M1207" s="5">
        <v>3183660440</v>
      </c>
      <c r="N1207" s="6">
        <v>46031</v>
      </c>
      <c r="O1207" s="7">
        <v>0</v>
      </c>
      <c r="P1207" s="5">
        <v>1</v>
      </c>
      <c r="Q1207" s="5" t="s">
        <v>542</v>
      </c>
      <c r="R1207" s="5">
        <v>140000</v>
      </c>
      <c r="S1207" s="5">
        <v>0</v>
      </c>
      <c r="T1207" s="5">
        <v>0</v>
      </c>
      <c r="U1207" s="5">
        <v>140000</v>
      </c>
      <c r="V1207" s="5"/>
      <c r="W1207" s="5" t="s">
        <v>36</v>
      </c>
      <c r="X1207" s="5" t="s">
        <v>1705</v>
      </c>
      <c r="AA1207" s="5" t="s">
        <v>1717</v>
      </c>
      <c r="AC1207" s="8" t="str">
        <f>HYPERLINK("https://drive.google.com/file/d/16mnd8eVP3zY7WxOrcTzjmI4GXhiJ6d4O/view?usp=drivesdk", "Abrir_Factura")</f>
        <v>Abrir_Factura</v>
      </c>
      <c r="AD1207" s="9">
        <v>46031.510752314818</v>
      </c>
    </row>
    <row r="1208" spans="1:30" ht="12.5">
      <c r="A1208" s="4">
        <v>46031.509886377316</v>
      </c>
      <c r="B1208" s="5">
        <v>90945</v>
      </c>
      <c r="C1208" s="5">
        <v>1004717801</v>
      </c>
      <c r="D1208" s="5" t="s">
        <v>5669</v>
      </c>
      <c r="F1208" s="5" t="s">
        <v>5670</v>
      </c>
      <c r="H1208" s="5">
        <v>573113487156</v>
      </c>
      <c r="J1208" s="5" t="s">
        <v>5671</v>
      </c>
      <c r="K1208" s="5" t="s">
        <v>5672</v>
      </c>
      <c r="L1208" s="5" t="s">
        <v>5673</v>
      </c>
      <c r="M1208" s="5" t="s">
        <v>25421</v>
      </c>
      <c r="N1208" s="6">
        <v>46031</v>
      </c>
      <c r="O1208" s="7">
        <v>0.58333333333333337</v>
      </c>
      <c r="P1208" s="5">
        <v>1</v>
      </c>
      <c r="Q1208" s="5" t="s">
        <v>4389</v>
      </c>
      <c r="R1208" s="5">
        <v>500000</v>
      </c>
      <c r="S1208" s="5">
        <v>0</v>
      </c>
      <c r="T1208" s="5">
        <v>20000</v>
      </c>
      <c r="U1208" s="5">
        <v>520000</v>
      </c>
      <c r="V1208" s="5"/>
      <c r="W1208" s="5" t="s">
        <v>36</v>
      </c>
      <c r="X1208" s="5" t="s">
        <v>180</v>
      </c>
      <c r="Z1208" s="5" t="s">
        <v>5674</v>
      </c>
      <c r="AA1208" s="5" t="s">
        <v>44</v>
      </c>
      <c r="AC1208" s="8" t="str">
        <f>HYPERLINK("https://drive.google.com/file/d/1-qFEB_3CjT-wY9TeP-3DtAKf1op-8sJX/view?usp=drivesdk", "Abrir_Factura")</f>
        <v>Abrir_Factura</v>
      </c>
      <c r="AD1208" s="9">
        <v>46031.517870370371</v>
      </c>
    </row>
    <row r="1209" spans="1:30" ht="12.5">
      <c r="A1209" s="4">
        <v>46031.509142916664</v>
      </c>
      <c r="B1209" s="5">
        <v>90946</v>
      </c>
      <c r="C1209" s="5">
        <v>1042850969</v>
      </c>
      <c r="D1209" s="5" t="s">
        <v>5675</v>
      </c>
      <c r="F1209" s="5" t="s">
        <v>85</v>
      </c>
      <c r="H1209" s="5">
        <v>573007302552</v>
      </c>
      <c r="J1209" s="5" t="s">
        <v>5676</v>
      </c>
      <c r="K1209" s="5" t="s">
        <v>124</v>
      </c>
      <c r="L1209" s="5" t="s">
        <v>5677</v>
      </c>
      <c r="M1209" s="5" t="s">
        <v>25421</v>
      </c>
      <c r="N1209" s="6">
        <v>46031</v>
      </c>
      <c r="O1209" s="7">
        <v>0</v>
      </c>
      <c r="P1209" s="5">
        <v>1</v>
      </c>
      <c r="Q1209" s="5" t="s">
        <v>178</v>
      </c>
      <c r="R1209" s="5">
        <v>100000</v>
      </c>
      <c r="S1209" s="5">
        <v>0</v>
      </c>
      <c r="T1209" s="5">
        <v>12000</v>
      </c>
      <c r="U1209" s="5">
        <v>112000</v>
      </c>
      <c r="V1209" s="5" t="s">
        <v>5678</v>
      </c>
      <c r="W1209" s="5" t="s">
        <v>36</v>
      </c>
      <c r="X1209" s="5" t="s">
        <v>67</v>
      </c>
      <c r="Z1209" s="5" t="s">
        <v>5679</v>
      </c>
      <c r="AA1209" s="5" t="s">
        <v>69</v>
      </c>
      <c r="AC1209" s="8" t="str">
        <f>HYPERLINK("https://drive.google.com/file/d/1t2wwqh5gXB4miqgVgLevbEkVoLOHwfSn/view?usp=drivesdk", "Abrir_Factura")</f>
        <v>Abrir_Factura</v>
      </c>
      <c r="AD1209" s="9">
        <v>46031.525150462963</v>
      </c>
    </row>
    <row r="1210" spans="1:30" ht="12.5">
      <c r="A1210" s="4">
        <v>46031.491358032406</v>
      </c>
      <c r="B1210" s="5">
        <v>90947</v>
      </c>
      <c r="C1210" s="5">
        <v>1143166702</v>
      </c>
      <c r="D1210" s="5" t="s">
        <v>5680</v>
      </c>
      <c r="F1210" s="5" t="s">
        <v>3601</v>
      </c>
      <c r="H1210" s="5">
        <v>573136257976</v>
      </c>
      <c r="J1210" s="5" t="s">
        <v>5681</v>
      </c>
      <c r="K1210" s="5"/>
      <c r="L1210" s="5" t="s">
        <v>5682</v>
      </c>
      <c r="M1210" s="5">
        <v>3136257976</v>
      </c>
      <c r="N1210" s="6">
        <v>46031</v>
      </c>
      <c r="O1210" s="7">
        <v>0.625</v>
      </c>
      <c r="P1210" s="5">
        <v>1</v>
      </c>
      <c r="Q1210" s="5" t="s">
        <v>1049</v>
      </c>
      <c r="R1210" s="5">
        <v>260000</v>
      </c>
      <c r="S1210" s="5">
        <v>0</v>
      </c>
      <c r="T1210" s="5"/>
      <c r="U1210" s="5">
        <v>260000</v>
      </c>
      <c r="V1210" s="5" t="s">
        <v>5683</v>
      </c>
      <c r="W1210" s="5" t="s">
        <v>36</v>
      </c>
      <c r="X1210" s="5" t="s">
        <v>1937</v>
      </c>
      <c r="Z1210" s="5" t="s">
        <v>5684</v>
      </c>
      <c r="AA1210" s="5" t="s">
        <v>44</v>
      </c>
      <c r="AC1210" s="8" t="str">
        <f>HYPERLINK("https://drive.google.com/file/d/1MKfLMM8I_90UYmjFuyQQm8RltOVNZMTu/view?usp=drivesdk", "Abrir_Factura")</f>
        <v>Abrir_Factura</v>
      </c>
      <c r="AD1210" s="9">
        <v>46031.536249999997</v>
      </c>
    </row>
    <row r="1211" spans="1:30" ht="12.5">
      <c r="A1211" s="4">
        <v>46031.537378854162</v>
      </c>
      <c r="B1211" s="5">
        <v>90948</v>
      </c>
      <c r="C1211" s="5">
        <v>1234088977</v>
      </c>
      <c r="D1211" s="5" t="s">
        <v>5685</v>
      </c>
      <c r="F1211" s="5" t="s">
        <v>5686</v>
      </c>
      <c r="H1211" s="5">
        <v>573014566336</v>
      </c>
      <c r="J1211" s="5" t="s">
        <v>5687</v>
      </c>
      <c r="K1211" s="5" t="s">
        <v>33</v>
      </c>
      <c r="L1211" s="5" t="s">
        <v>34</v>
      </c>
      <c r="M1211" s="5">
        <v>3014566336</v>
      </c>
      <c r="N1211" s="6">
        <v>46031</v>
      </c>
      <c r="O1211" s="7">
        <v>0.64583333333333337</v>
      </c>
      <c r="P1211" s="5">
        <v>1</v>
      </c>
      <c r="Q1211" s="5" t="s">
        <v>178</v>
      </c>
      <c r="R1211" s="5">
        <v>100000</v>
      </c>
      <c r="S1211" s="5">
        <v>0</v>
      </c>
      <c r="T1211" s="5">
        <v>0</v>
      </c>
      <c r="U1211" s="5">
        <v>100000</v>
      </c>
      <c r="V1211" s="5" t="s">
        <v>5688</v>
      </c>
      <c r="W1211" s="5" t="s">
        <v>36</v>
      </c>
      <c r="X1211" s="5" t="s">
        <v>1705</v>
      </c>
      <c r="AA1211" s="5" t="s">
        <v>44</v>
      </c>
      <c r="AC1211" s="8" t="str">
        <f>HYPERLINK("https://drive.google.com/file/d/1dstZzKiosxbuGCS7oxEPI2FEI6FMifDM/view?usp=drivesdk", "Abrir_Factura")</f>
        <v>Abrir_Factura</v>
      </c>
      <c r="AD1211" s="9">
        <v>46031.760428240741</v>
      </c>
    </row>
    <row r="1212" spans="1:30" ht="12.5">
      <c r="A1212" s="4">
        <v>46031.559651504635</v>
      </c>
      <c r="B1212" s="5">
        <v>90949</v>
      </c>
      <c r="C1212" s="5">
        <v>22549719</v>
      </c>
      <c r="D1212" s="5" t="s">
        <v>5689</v>
      </c>
      <c r="F1212" s="5" t="s">
        <v>5690</v>
      </c>
      <c r="H1212" s="5">
        <v>573008157338</v>
      </c>
      <c r="J1212" s="5" t="s">
        <v>5691</v>
      </c>
      <c r="K1212" s="5"/>
      <c r="L1212" s="5" t="s">
        <v>5692</v>
      </c>
      <c r="M1212" s="5"/>
      <c r="N1212" s="6">
        <v>46031</v>
      </c>
      <c r="O1212" s="7">
        <v>0.58333333333333337</v>
      </c>
      <c r="P1212" s="5">
        <v>1</v>
      </c>
      <c r="Q1212" s="5" t="s">
        <v>42</v>
      </c>
      <c r="R1212" s="5">
        <v>18000</v>
      </c>
      <c r="S1212" s="5">
        <v>0</v>
      </c>
      <c r="T1212" s="5"/>
      <c r="U1212" s="5">
        <v>18000</v>
      </c>
      <c r="V1212" s="5"/>
      <c r="W1212" s="5" t="s">
        <v>36</v>
      </c>
      <c r="X1212" s="5" t="s">
        <v>196</v>
      </c>
      <c r="AA1212" s="5" t="s">
        <v>44</v>
      </c>
      <c r="AB1212" s="5" t="s">
        <v>5693</v>
      </c>
      <c r="AC1212" s="8" t="str">
        <f>HYPERLINK("https://drive.google.com/file/d/1xksEuBJ5fvNjE8kG00it_9NZ0BRwco5u/view?usp=drivesdk", "Abrir_Factura")</f>
        <v>Abrir_Factura</v>
      </c>
      <c r="AD1212" s="9">
        <v>46031.749652777777</v>
      </c>
    </row>
    <row r="1213" spans="1:30" ht="12.5">
      <c r="A1213" s="4">
        <v>46031.562477141204</v>
      </c>
      <c r="B1213" s="5">
        <v>90950</v>
      </c>
      <c r="C1213" s="5">
        <v>1140814424</v>
      </c>
      <c r="D1213" s="5" t="s">
        <v>205</v>
      </c>
      <c r="F1213" s="5" t="s">
        <v>5694</v>
      </c>
      <c r="H1213" s="5">
        <v>573015000305</v>
      </c>
      <c r="J1213" s="5" t="s">
        <v>5695</v>
      </c>
      <c r="K1213" s="5" t="s">
        <v>33</v>
      </c>
      <c r="L1213" s="5" t="s">
        <v>34</v>
      </c>
      <c r="M1213" s="5">
        <v>3015000305</v>
      </c>
      <c r="N1213" s="6">
        <v>46031</v>
      </c>
      <c r="O1213" s="7">
        <v>0.64583333333333337</v>
      </c>
      <c r="P1213" s="5">
        <v>1</v>
      </c>
      <c r="Q1213" s="5" t="s">
        <v>187</v>
      </c>
      <c r="R1213" s="5">
        <v>200000</v>
      </c>
      <c r="S1213" s="5">
        <v>0</v>
      </c>
      <c r="T1213" s="5">
        <v>0</v>
      </c>
      <c r="U1213" s="5">
        <v>200000</v>
      </c>
      <c r="V1213" s="5" t="s">
        <v>5696</v>
      </c>
      <c r="W1213" s="5" t="s">
        <v>36</v>
      </c>
      <c r="X1213" s="5" t="s">
        <v>67</v>
      </c>
      <c r="AA1213" s="5" t="s">
        <v>69</v>
      </c>
      <c r="AC1213" s="8" t="str">
        <f>HYPERLINK("https://drive.google.com/file/d/1WPkVmbWStmKBOxYfeEZbq615NZHXNzSd/view?usp=drivesdk", "Abrir_Factura")</f>
        <v>Abrir_Factura</v>
      </c>
      <c r="AD1213" s="9">
        <v>46031.563287037039</v>
      </c>
    </row>
    <row r="1214" spans="1:30" ht="12.5">
      <c r="A1214" s="4">
        <v>46031.575299930555</v>
      </c>
      <c r="B1214" s="5">
        <v>90951</v>
      </c>
      <c r="C1214" s="5">
        <v>1129578323</v>
      </c>
      <c r="D1214" s="5" t="s">
        <v>921</v>
      </c>
      <c r="F1214" s="5" t="s">
        <v>5697</v>
      </c>
      <c r="H1214" s="5">
        <v>573012905950</v>
      </c>
      <c r="J1214" s="5" t="s">
        <v>5698</v>
      </c>
      <c r="K1214" s="5" t="s">
        <v>33</v>
      </c>
      <c r="L1214" s="5" t="s">
        <v>34</v>
      </c>
      <c r="M1214" s="5">
        <v>3012905950</v>
      </c>
      <c r="N1214" s="6">
        <v>46031</v>
      </c>
      <c r="O1214" s="7">
        <v>0.58333333333333337</v>
      </c>
      <c r="P1214" s="5">
        <v>1</v>
      </c>
      <c r="Q1214" s="5" t="s">
        <v>309</v>
      </c>
      <c r="R1214" s="5">
        <v>80000</v>
      </c>
      <c r="S1214" s="5">
        <v>0</v>
      </c>
      <c r="T1214" s="5">
        <v>0</v>
      </c>
      <c r="U1214" s="5">
        <v>80000</v>
      </c>
      <c r="V1214" s="5"/>
      <c r="W1214" s="5" t="s">
        <v>36</v>
      </c>
      <c r="X1214" s="5" t="s">
        <v>43</v>
      </c>
      <c r="AA1214" s="5" t="s">
        <v>37</v>
      </c>
      <c r="AB1214" s="5" t="s">
        <v>5699</v>
      </c>
      <c r="AC1214" s="8" t="str">
        <f>HYPERLINK("https://drive.google.com/file/d/1ibaNQSE3P41BOiHT2_vVeCtflWlljR97/view?usp=drivesdk", "Abrir_Factura")</f>
        <v>Abrir_Factura</v>
      </c>
      <c r="AD1214" s="9">
        <v>46031.575937499998</v>
      </c>
    </row>
    <row r="1215" spans="1:30" ht="12.5">
      <c r="A1215" s="4">
        <v>46031.58226625</v>
      </c>
      <c r="B1215" s="5">
        <v>90952</v>
      </c>
      <c r="C1215" s="5">
        <v>1234095757</v>
      </c>
      <c r="D1215" s="5" t="s">
        <v>5700</v>
      </c>
      <c r="F1215" s="5" t="s">
        <v>5701</v>
      </c>
      <c r="H1215" s="5">
        <v>573024183142</v>
      </c>
      <c r="J1215" s="5" t="s">
        <v>5702</v>
      </c>
      <c r="K1215" s="5" t="s">
        <v>33</v>
      </c>
      <c r="L1215" s="5" t="s">
        <v>34</v>
      </c>
      <c r="M1215" s="5">
        <v>3024183142</v>
      </c>
      <c r="N1215" s="6">
        <v>46031</v>
      </c>
      <c r="O1215" s="7">
        <v>0</v>
      </c>
      <c r="P1215" s="5">
        <v>1</v>
      </c>
      <c r="Q1215" s="5" t="s">
        <v>75</v>
      </c>
      <c r="R1215" s="5">
        <v>70000</v>
      </c>
      <c r="S1215" s="5">
        <v>0</v>
      </c>
      <c r="T1215" s="5">
        <v>0</v>
      </c>
      <c r="U1215" s="5">
        <v>70000</v>
      </c>
      <c r="V1215" s="5"/>
      <c r="W1215" s="5" t="s">
        <v>36</v>
      </c>
      <c r="X1215" s="5" t="s">
        <v>43</v>
      </c>
      <c r="AA1215" s="5" t="s">
        <v>37</v>
      </c>
      <c r="AB1215" s="5" t="s">
        <v>5703</v>
      </c>
      <c r="AC1215" s="8" t="str">
        <f>HYPERLINK("https://drive.google.com/file/d/1-wMk-g0r9t6eVTlmyNuuEkw89X71n2pj/view?usp=drivesdk", "Abrir_Factura")</f>
        <v>Abrir_Factura</v>
      </c>
      <c r="AD1215" s="9">
        <v>46031.582685185182</v>
      </c>
    </row>
    <row r="1216" spans="1:30" ht="12.5">
      <c r="A1216" s="4">
        <v>46031.598381250005</v>
      </c>
      <c r="B1216" s="5">
        <v>90953</v>
      </c>
      <c r="C1216" s="5">
        <v>8664236</v>
      </c>
      <c r="D1216" s="5" t="s">
        <v>5704</v>
      </c>
      <c r="F1216" s="5" t="s">
        <v>455</v>
      </c>
      <c r="H1216" s="5">
        <v>57000</v>
      </c>
      <c r="J1216" s="5" t="s">
        <v>5705</v>
      </c>
      <c r="K1216" s="5"/>
      <c r="L1216" s="5" t="s">
        <v>5706</v>
      </c>
      <c r="M1216" s="5"/>
      <c r="N1216" s="6">
        <v>46031</v>
      </c>
      <c r="O1216" s="7">
        <v>0.66666666666666663</v>
      </c>
      <c r="P1216" s="5">
        <v>1</v>
      </c>
      <c r="Q1216" s="5" t="s">
        <v>1610</v>
      </c>
      <c r="R1216" s="5">
        <v>220000</v>
      </c>
      <c r="S1216" s="5">
        <v>0</v>
      </c>
      <c r="T1216" s="5"/>
      <c r="U1216" s="5">
        <v>220000</v>
      </c>
      <c r="V1216" s="5"/>
      <c r="W1216" s="5" t="s">
        <v>36</v>
      </c>
      <c r="X1216" s="5" t="s">
        <v>3754</v>
      </c>
      <c r="AA1216" s="5" t="s">
        <v>332</v>
      </c>
      <c r="AC1216" s="8" t="str">
        <f>HYPERLINK("https://drive.google.com/file/d/1IM1s9YSRXFE65QhEDWmD7LG9q0bFStQU/view?usp=drivesdk", "Abrir_Factura")</f>
        <v>Abrir_Factura</v>
      </c>
      <c r="AD1216" s="9">
        <v>46031.646053240744</v>
      </c>
    </row>
    <row r="1217" spans="1:30" ht="12.5">
      <c r="A1217" s="4">
        <v>46031.572360300925</v>
      </c>
      <c r="B1217" s="5">
        <v>90954</v>
      </c>
      <c r="C1217" s="5">
        <v>32796734</v>
      </c>
      <c r="D1217" s="5" t="s">
        <v>5707</v>
      </c>
      <c r="F1217" s="5" t="s">
        <v>5708</v>
      </c>
      <c r="H1217" s="5">
        <v>575895444</v>
      </c>
      <c r="J1217" s="5" t="s">
        <v>5709</v>
      </c>
      <c r="K1217" s="5" t="s">
        <v>73</v>
      </c>
      <c r="L1217" s="5" t="s">
        <v>5710</v>
      </c>
      <c r="M1217" s="5" t="s">
        <v>5711</v>
      </c>
      <c r="N1217" s="6">
        <v>46031</v>
      </c>
      <c r="O1217" s="7">
        <v>0</v>
      </c>
      <c r="P1217" s="5">
        <v>1</v>
      </c>
      <c r="Q1217" s="5" t="s">
        <v>375</v>
      </c>
      <c r="R1217" s="5">
        <v>70000</v>
      </c>
      <c r="S1217" s="5">
        <v>0</v>
      </c>
      <c r="T1217" s="5">
        <v>8000</v>
      </c>
      <c r="U1217" s="5">
        <v>78000</v>
      </c>
      <c r="V1217" s="5" t="s">
        <v>5712</v>
      </c>
      <c r="W1217" s="5" t="s">
        <v>36</v>
      </c>
      <c r="X1217" s="5" t="s">
        <v>67</v>
      </c>
      <c r="Z1217" s="5" t="s">
        <v>5713</v>
      </c>
      <c r="AA1217" s="5" t="s">
        <v>69</v>
      </c>
      <c r="AB1217" s="5" t="s">
        <v>5714</v>
      </c>
      <c r="AC1217" s="8" t="str">
        <f>HYPERLINK("https://drive.google.com/file/d/1hazobTyJH866x7vmqCAkmhaLgdixre9x/view?usp=drivesdk", "Abrir_Factura")</f>
        <v>Abrir_Factura</v>
      </c>
      <c r="AD1217" s="9">
        <v>46031.601712962962</v>
      </c>
    </row>
    <row r="1218" spans="1:30" ht="12.5">
      <c r="A1218" s="4">
        <v>46031.582184652776</v>
      </c>
      <c r="B1218" s="5">
        <v>90955</v>
      </c>
      <c r="C1218" s="5">
        <v>1010143525</v>
      </c>
      <c r="D1218" s="5" t="s">
        <v>1369</v>
      </c>
      <c r="F1218" s="5" t="s">
        <v>3197</v>
      </c>
      <c r="H1218" s="5">
        <v>573014169863</v>
      </c>
      <c r="J1218" s="5" t="s">
        <v>3198</v>
      </c>
      <c r="K1218" s="5" t="s">
        <v>33</v>
      </c>
      <c r="L1218" s="5" t="s">
        <v>34</v>
      </c>
      <c r="M1218" s="5">
        <v>3014169863</v>
      </c>
      <c r="N1218" s="6">
        <v>46031</v>
      </c>
      <c r="O1218" s="7">
        <v>0.66666666666666663</v>
      </c>
      <c r="P1218" s="5">
        <v>1</v>
      </c>
      <c r="Q1218" s="5" t="s">
        <v>75</v>
      </c>
      <c r="R1218" s="5">
        <v>70000</v>
      </c>
      <c r="S1218" s="5">
        <v>0</v>
      </c>
      <c r="T1218" s="5">
        <v>0</v>
      </c>
      <c r="U1218" s="5">
        <v>70000</v>
      </c>
      <c r="V1218" s="5" t="s">
        <v>5715</v>
      </c>
      <c r="W1218" s="5" t="s">
        <v>36</v>
      </c>
      <c r="X1218" s="5" t="s">
        <v>67</v>
      </c>
      <c r="Z1218" s="5" t="s">
        <v>5716</v>
      </c>
      <c r="AA1218" s="5" t="s">
        <v>44</v>
      </c>
      <c r="AC1218" s="8" t="str">
        <f>HYPERLINK("https://drive.google.com/file/d/1YSHO6HpIffPw-_KqA-8lePueuC_ZzSvZ/view?usp=drivesdk", "Abrir_Factura")</f>
        <v>Abrir_Factura</v>
      </c>
      <c r="AD1218" s="9">
        <v>46031.605208333334</v>
      </c>
    </row>
    <row r="1219" spans="1:30" ht="12.5">
      <c r="A1219" s="4">
        <v>46031.640863229171</v>
      </c>
      <c r="B1219" s="5">
        <v>90956</v>
      </c>
      <c r="C1219" s="5">
        <v>1018461808</v>
      </c>
      <c r="D1219" s="5" t="s">
        <v>76</v>
      </c>
      <c r="F1219" s="5" t="s">
        <v>5717</v>
      </c>
      <c r="H1219" s="5">
        <v>573144623459</v>
      </c>
      <c r="J1219" s="5" t="s">
        <v>5718</v>
      </c>
      <c r="K1219" s="5" t="s">
        <v>161</v>
      </c>
      <c r="L1219" s="5" t="s">
        <v>5719</v>
      </c>
      <c r="M1219" s="5">
        <v>3218384112</v>
      </c>
      <c r="N1219" s="6">
        <v>46031</v>
      </c>
      <c r="O1219" s="7">
        <v>0.70833333333333337</v>
      </c>
      <c r="P1219" s="5">
        <v>1</v>
      </c>
      <c r="Q1219" s="5" t="s">
        <v>5720</v>
      </c>
      <c r="R1219" s="5">
        <v>140000</v>
      </c>
      <c r="S1219" s="5">
        <v>0</v>
      </c>
      <c r="T1219" s="5">
        <v>8000</v>
      </c>
      <c r="U1219" s="5">
        <v>148000</v>
      </c>
      <c r="V1219" s="5" t="s">
        <v>5721</v>
      </c>
      <c r="W1219" s="5" t="s">
        <v>36</v>
      </c>
      <c r="X1219" s="5" t="s">
        <v>67</v>
      </c>
      <c r="Z1219" s="5" t="s">
        <v>5722</v>
      </c>
      <c r="AA1219" s="5" t="s">
        <v>44</v>
      </c>
      <c r="AB1219" s="5" t="s">
        <v>5723</v>
      </c>
      <c r="AC1219" s="8" t="str">
        <f>HYPERLINK("https://drive.google.com/file/d/1T_uf3XfzAmVqnJcMgb4GRsIhghNnE41l/view?usp=drivesdk", "Abrir_Factura")</f>
        <v>Abrir_Factura</v>
      </c>
      <c r="AD1219" s="9">
        <v>46031.64943287037</v>
      </c>
    </row>
    <row r="1220" spans="1:30" ht="12.5">
      <c r="A1220" s="4">
        <v>46031.654379687505</v>
      </c>
      <c r="B1220" s="5">
        <v>90957</v>
      </c>
      <c r="C1220" s="5">
        <v>1010143525</v>
      </c>
      <c r="D1220" s="5" t="s">
        <v>1369</v>
      </c>
      <c r="F1220" s="5" t="s">
        <v>3197</v>
      </c>
      <c r="H1220" s="5">
        <v>573014169863</v>
      </c>
      <c r="J1220" s="5" t="s">
        <v>3330</v>
      </c>
      <c r="K1220" s="5" t="s">
        <v>146</v>
      </c>
      <c r="L1220" s="5" t="s">
        <v>5724</v>
      </c>
      <c r="M1220" s="5"/>
      <c r="N1220" s="6">
        <v>46031</v>
      </c>
      <c r="O1220" s="7">
        <v>0</v>
      </c>
      <c r="P1220" s="5">
        <v>1</v>
      </c>
      <c r="Q1220" s="5" t="s">
        <v>42</v>
      </c>
      <c r="R1220" s="5">
        <v>12000</v>
      </c>
      <c r="S1220" s="5">
        <v>0</v>
      </c>
      <c r="T1220" s="5">
        <v>12000</v>
      </c>
      <c r="U1220" s="5">
        <v>24000</v>
      </c>
      <c r="V1220" s="5"/>
      <c r="W1220" s="5" t="s">
        <v>36</v>
      </c>
      <c r="X1220" s="5" t="s">
        <v>67</v>
      </c>
      <c r="AA1220" s="5" t="s">
        <v>44</v>
      </c>
      <c r="AC1220" s="8" t="str">
        <f>HYPERLINK("https://drive.google.com/file/d/1l_fJ54Nt33pb97gykdbSmvi2N_N_ZOg1/view?usp=drivesdk", "Abrir_Factura")</f>
        <v>Abrir_Factura</v>
      </c>
      <c r="AD1220" s="9">
        <v>46031.654803240737</v>
      </c>
    </row>
    <row r="1221" spans="1:30" ht="12.5">
      <c r="A1221" s="4">
        <v>46031.656994363424</v>
      </c>
      <c r="B1221" s="5">
        <v>90958</v>
      </c>
      <c r="C1221" s="5">
        <v>1140844819</v>
      </c>
      <c r="D1221" s="5" t="s">
        <v>4445</v>
      </c>
      <c r="F1221" s="5" t="s">
        <v>1350</v>
      </c>
      <c r="H1221" s="5">
        <v>573215403687</v>
      </c>
      <c r="J1221" s="5" t="s">
        <v>5725</v>
      </c>
      <c r="K1221" s="5" t="s">
        <v>33</v>
      </c>
      <c r="L1221" s="5" t="s">
        <v>34</v>
      </c>
      <c r="M1221" s="5">
        <v>3215403687</v>
      </c>
      <c r="N1221" s="6">
        <v>46031</v>
      </c>
      <c r="O1221" s="7">
        <v>0</v>
      </c>
      <c r="P1221" s="5">
        <v>1</v>
      </c>
      <c r="Q1221" s="5" t="s">
        <v>75</v>
      </c>
      <c r="R1221" s="5">
        <v>70000</v>
      </c>
      <c r="S1221" s="5">
        <v>0</v>
      </c>
      <c r="T1221" s="5">
        <v>0</v>
      </c>
      <c r="U1221" s="5">
        <v>70000</v>
      </c>
      <c r="V1221" s="5"/>
      <c r="W1221" s="5" t="s">
        <v>36</v>
      </c>
      <c r="X1221" s="5" t="s">
        <v>1705</v>
      </c>
      <c r="AA1221" s="5" t="s">
        <v>1717</v>
      </c>
      <c r="AC1221" s="8" t="str">
        <f>HYPERLINK("https://drive.google.com/file/d/1ABLONurn6vxieDy7vPrAPTSiK9xUPJ6N/view?usp=drivesdk", "Abrir_Factura")</f>
        <v>Abrir_Factura</v>
      </c>
      <c r="AD1221" s="9">
        <v>46031.657407407409</v>
      </c>
    </row>
    <row r="1222" spans="1:30" ht="12.5">
      <c r="A1222" s="4">
        <v>46031.659723194447</v>
      </c>
      <c r="B1222" s="5">
        <v>90959</v>
      </c>
      <c r="C1222" s="5">
        <v>72275596</v>
      </c>
      <c r="D1222" s="5" t="s">
        <v>5726</v>
      </c>
      <c r="F1222" s="5" t="s">
        <v>5727</v>
      </c>
      <c r="H1222" s="5">
        <v>5700</v>
      </c>
      <c r="J1222" s="5" t="s">
        <v>5728</v>
      </c>
      <c r="K1222" s="5"/>
      <c r="L1222" s="5" t="s">
        <v>5729</v>
      </c>
      <c r="M1222" s="5"/>
      <c r="N1222" s="6">
        <v>46031</v>
      </c>
      <c r="O1222" s="7">
        <v>0</v>
      </c>
      <c r="P1222" s="5">
        <v>1</v>
      </c>
      <c r="Q1222" s="5" t="s">
        <v>5730</v>
      </c>
      <c r="R1222" s="5">
        <v>340000</v>
      </c>
      <c r="S1222" s="5">
        <v>0</v>
      </c>
      <c r="T1222" s="5"/>
      <c r="U1222" s="5">
        <v>340000</v>
      </c>
      <c r="V1222" s="5"/>
      <c r="W1222" s="5" t="s">
        <v>36</v>
      </c>
      <c r="X1222" s="5" t="s">
        <v>67</v>
      </c>
      <c r="AA1222" s="5" t="s">
        <v>332</v>
      </c>
      <c r="AB1222" s="5" t="s">
        <v>5731</v>
      </c>
      <c r="AC1222" s="8" t="str">
        <f>HYPERLINK("https://drive.google.com/file/d/15d3DUEB-tv8pco7PllTRG3Z0zadth7uC/view?usp=drivesdk", "Abrir_Factura")</f>
        <v>Abrir_Factura</v>
      </c>
      <c r="AD1222" s="9">
        <v>46031.738449074073</v>
      </c>
    </row>
    <row r="1223" spans="1:30" ht="12.5">
      <c r="A1223" s="4">
        <v>46031.668587141205</v>
      </c>
      <c r="B1223" s="5">
        <v>90960</v>
      </c>
      <c r="C1223" s="5">
        <v>64720247</v>
      </c>
      <c r="D1223" s="5" t="s">
        <v>1365</v>
      </c>
      <c r="F1223" s="5" t="s">
        <v>1366</v>
      </c>
      <c r="H1223" s="5">
        <v>573004379943</v>
      </c>
      <c r="J1223" s="5" t="s">
        <v>3330</v>
      </c>
      <c r="K1223" s="5" t="s">
        <v>307</v>
      </c>
      <c r="L1223" s="5" t="s">
        <v>5732</v>
      </c>
      <c r="M1223" s="5"/>
      <c r="N1223" s="6">
        <v>46031</v>
      </c>
      <c r="O1223" s="7">
        <v>0</v>
      </c>
      <c r="P1223" s="5">
        <v>1</v>
      </c>
      <c r="Q1223" s="5" t="s">
        <v>42</v>
      </c>
      <c r="R1223" s="5">
        <v>48000</v>
      </c>
      <c r="S1223" s="5">
        <v>0</v>
      </c>
      <c r="T1223" s="5">
        <v>10000</v>
      </c>
      <c r="U1223" s="5">
        <v>58000</v>
      </c>
      <c r="V1223" s="5"/>
      <c r="W1223" s="5" t="s">
        <v>36</v>
      </c>
      <c r="X1223" s="5" t="s">
        <v>43</v>
      </c>
      <c r="AA1223" s="5" t="s">
        <v>44</v>
      </c>
      <c r="AB1223" s="5" t="s">
        <v>5733</v>
      </c>
      <c r="AC1223" s="8" t="str">
        <f>HYPERLINK("https://drive.google.com/file/d/1lKIxppZPIKUbp9PD4i71-LbHS_Stueym/view?usp=drivesdk", "Abrir_Factura")</f>
        <v>Abrir_Factura</v>
      </c>
      <c r="AD1223" s="9">
        <v>46031.669756944444</v>
      </c>
    </row>
    <row r="1224" spans="1:30" ht="12.5">
      <c r="A1224" s="4">
        <v>46031.718114791671</v>
      </c>
      <c r="B1224" s="5">
        <v>90961</v>
      </c>
      <c r="C1224" s="5">
        <v>900521807</v>
      </c>
      <c r="D1224" s="5" t="s">
        <v>1231</v>
      </c>
      <c r="F1224" s="5" t="s">
        <v>2159</v>
      </c>
      <c r="H1224" s="5">
        <v>573007682024</v>
      </c>
      <c r="J1224" s="5" t="s">
        <v>5734</v>
      </c>
      <c r="K1224" s="5" t="s">
        <v>33</v>
      </c>
      <c r="L1224" s="5" t="s">
        <v>34</v>
      </c>
      <c r="M1224" s="5">
        <v>3007682024</v>
      </c>
      <c r="N1224" s="6">
        <v>46032</v>
      </c>
      <c r="O1224" s="7">
        <v>0.45833333333333331</v>
      </c>
      <c r="P1224" s="5">
        <v>1</v>
      </c>
      <c r="Q1224" s="5" t="s">
        <v>42</v>
      </c>
      <c r="R1224" s="5">
        <v>0</v>
      </c>
      <c r="S1224" s="5">
        <v>0</v>
      </c>
      <c r="T1224" s="5">
        <v>0</v>
      </c>
      <c r="U1224" s="5">
        <v>0</v>
      </c>
      <c r="V1224" s="5"/>
      <c r="W1224" s="5" t="s">
        <v>36</v>
      </c>
      <c r="X1224" s="5" t="s">
        <v>43</v>
      </c>
      <c r="AA1224" s="5" t="s">
        <v>44</v>
      </c>
      <c r="AB1224" s="5" t="s">
        <v>5735</v>
      </c>
      <c r="AC1224" s="8" t="str">
        <f>HYPERLINK("https://drive.google.com/file/d/1W3Hdb-Ve1CFoKkSCUHEKVeTKLnzSVG0d/view?usp=drivesdk", "Abrir_Factura")</f>
        <v>Abrir_Factura</v>
      </c>
      <c r="AD1224" s="9">
        <v>46031.720358796294</v>
      </c>
    </row>
    <row r="1225" spans="1:30" ht="12.5">
      <c r="A1225" s="4">
        <v>46031.731643101855</v>
      </c>
      <c r="B1225" s="5">
        <v>90962</v>
      </c>
      <c r="C1225" s="5">
        <v>1140881901</v>
      </c>
      <c r="D1225" s="5" t="s">
        <v>5736</v>
      </c>
      <c r="F1225" s="5" t="s">
        <v>2368</v>
      </c>
      <c r="H1225" s="5">
        <v>573012868888</v>
      </c>
      <c r="J1225" s="5" t="s">
        <v>5737</v>
      </c>
      <c r="K1225" s="5" t="s">
        <v>33</v>
      </c>
      <c r="L1225" s="5" t="s">
        <v>34</v>
      </c>
      <c r="M1225" s="5">
        <v>3012868888</v>
      </c>
      <c r="N1225" s="6">
        <v>46031</v>
      </c>
      <c r="O1225" s="7">
        <v>0</v>
      </c>
      <c r="P1225" s="5">
        <v>1</v>
      </c>
      <c r="Q1225" s="5" t="s">
        <v>75</v>
      </c>
      <c r="R1225" s="5">
        <v>70000</v>
      </c>
      <c r="S1225" s="5">
        <v>0</v>
      </c>
      <c r="T1225" s="5">
        <v>0</v>
      </c>
      <c r="U1225" s="5">
        <v>70000</v>
      </c>
      <c r="V1225" s="5" t="s">
        <v>5738</v>
      </c>
      <c r="W1225" s="5" t="s">
        <v>36</v>
      </c>
      <c r="X1225" s="5" t="s">
        <v>67</v>
      </c>
      <c r="Z1225" s="5" t="s">
        <v>5739</v>
      </c>
      <c r="AA1225" s="5" t="s">
        <v>69</v>
      </c>
      <c r="AC1225" s="8" t="str">
        <f>HYPERLINK("https://drive.google.com/file/d/1euDzYPE8Kf3audJp7-6MulYqQsa7LpjK/view?usp=drivesdk", "Abrir_Factura")</f>
        <v>Abrir_Factura</v>
      </c>
      <c r="AD1225" s="9">
        <v>46031.740289351852</v>
      </c>
    </row>
    <row r="1226" spans="1:30" ht="12.5">
      <c r="A1226" s="4">
        <v>46031.739645011578</v>
      </c>
      <c r="B1226" s="5">
        <v>90963</v>
      </c>
      <c r="C1226" s="5">
        <v>1003004414</v>
      </c>
      <c r="D1226" s="5" t="s">
        <v>5740</v>
      </c>
      <c r="F1226" s="5" t="s">
        <v>5741</v>
      </c>
      <c r="H1226" s="5">
        <v>573008080336</v>
      </c>
      <c r="J1226" s="5" t="s">
        <v>5742</v>
      </c>
      <c r="K1226" s="5" t="s">
        <v>161</v>
      </c>
      <c r="L1226" s="5" t="s">
        <v>5743</v>
      </c>
      <c r="M1226" s="5" t="s">
        <v>5744</v>
      </c>
      <c r="N1226" s="6">
        <v>46032</v>
      </c>
      <c r="O1226" s="7">
        <v>0.35416666666666669</v>
      </c>
      <c r="P1226" s="5">
        <v>1</v>
      </c>
      <c r="Q1226" s="5" t="s">
        <v>1111</v>
      </c>
      <c r="R1226" s="5">
        <v>120000</v>
      </c>
      <c r="S1226" s="5">
        <v>0</v>
      </c>
      <c r="T1226" s="5">
        <v>8000</v>
      </c>
      <c r="U1226" s="5">
        <v>128000</v>
      </c>
      <c r="V1226" s="5" t="s">
        <v>5745</v>
      </c>
      <c r="W1226" s="5" t="s">
        <v>36</v>
      </c>
      <c r="X1226" s="5" t="s">
        <v>67</v>
      </c>
      <c r="Z1226" s="5" t="s">
        <v>5746</v>
      </c>
      <c r="AA1226" s="5" t="s">
        <v>44</v>
      </c>
      <c r="AC1226" s="8" t="str">
        <f>HYPERLINK("https://drive.google.com/file/d/1wQgrd0a5-T9shPb3094oj7ql1xFihZRS/view?usp=drivesdk", "Abrir_Factura")</f>
        <v>Abrir_Factura</v>
      </c>
      <c r="AD1226" s="9">
        <v>46031.743877314817</v>
      </c>
    </row>
    <row r="1227" spans="1:30" ht="12.5">
      <c r="A1227" s="4">
        <v>46031.720930370371</v>
      </c>
      <c r="B1227" s="5">
        <v>90964</v>
      </c>
      <c r="C1227" s="5">
        <v>1045740977</v>
      </c>
      <c r="D1227" s="5" t="s">
        <v>5747</v>
      </c>
      <c r="F1227" s="5" t="s">
        <v>5748</v>
      </c>
      <c r="H1227" s="5">
        <v>573014775009</v>
      </c>
      <c r="J1227" s="5" t="s">
        <v>5749</v>
      </c>
      <c r="K1227" s="5" t="s">
        <v>146</v>
      </c>
      <c r="L1227" s="5" t="s">
        <v>5750</v>
      </c>
      <c r="M1227" s="5">
        <v>3014775009</v>
      </c>
      <c r="N1227" s="6">
        <v>46031</v>
      </c>
      <c r="O1227" s="7">
        <v>0.77083333333333337</v>
      </c>
      <c r="P1227" s="5">
        <v>1</v>
      </c>
      <c r="Q1227" s="5" t="s">
        <v>309</v>
      </c>
      <c r="R1227" s="5">
        <v>80000</v>
      </c>
      <c r="S1227" s="5">
        <v>0</v>
      </c>
      <c r="T1227" s="5">
        <v>12000</v>
      </c>
      <c r="U1227" s="5">
        <v>92000</v>
      </c>
      <c r="V1227" s="5" t="s">
        <v>5751</v>
      </c>
      <c r="W1227" s="5" t="s">
        <v>36</v>
      </c>
      <c r="X1227" s="5" t="s">
        <v>67</v>
      </c>
      <c r="Z1227" s="5" t="s">
        <v>5752</v>
      </c>
      <c r="AA1227" s="5" t="s">
        <v>69</v>
      </c>
      <c r="AC1227" s="8" t="str">
        <f>HYPERLINK("https://drive.google.com/file/d/14v8Odp0QhBH5BhfRR3I801txN5FDu7Mw/view?usp=drivesdk", "Abrir_Factura")</f>
        <v>Abrir_Factura</v>
      </c>
      <c r="AD1227" s="9">
        <v>46031.759120370371</v>
      </c>
    </row>
    <row r="1228" spans="1:30" ht="12.5">
      <c r="A1228" s="4">
        <v>46031.769981886573</v>
      </c>
      <c r="B1228" s="5">
        <v>90965</v>
      </c>
      <c r="C1228" s="5">
        <v>9005479092</v>
      </c>
      <c r="D1228" s="5" t="s">
        <v>5753</v>
      </c>
      <c r="F1228" s="5" t="s">
        <v>3330</v>
      </c>
      <c r="H1228" s="5">
        <v>573012722390</v>
      </c>
      <c r="J1228" s="5" t="s">
        <v>5754</v>
      </c>
      <c r="K1228" s="5" t="s">
        <v>4403</v>
      </c>
      <c r="L1228" s="5" t="s">
        <v>5755</v>
      </c>
      <c r="M1228" s="5">
        <v>3234903829</v>
      </c>
      <c r="N1228" s="6">
        <v>46032</v>
      </c>
      <c r="O1228" s="7">
        <v>0.375</v>
      </c>
      <c r="P1228" s="5">
        <v>1</v>
      </c>
      <c r="Q1228" s="5" t="s">
        <v>3892</v>
      </c>
      <c r="R1228" s="5">
        <v>250000</v>
      </c>
      <c r="S1228" s="5">
        <v>47500</v>
      </c>
      <c r="T1228" s="5">
        <v>20000</v>
      </c>
      <c r="U1228" s="5">
        <v>317500</v>
      </c>
      <c r="V1228" s="5" t="s">
        <v>5756</v>
      </c>
      <c r="W1228" s="5" t="s">
        <v>36</v>
      </c>
      <c r="X1228" s="5" t="s">
        <v>2636</v>
      </c>
      <c r="AA1228" s="5" t="s">
        <v>44</v>
      </c>
      <c r="AB1228" s="5" t="s">
        <v>5757</v>
      </c>
      <c r="AC1228" s="8" t="str">
        <f>HYPERLINK("https://drive.google.com/file/d/1NAKfqDB07VkJgzBfXb7HOjnPy92u_yVe/view?usp=drivesdk", "Abrir_Factura")</f>
        <v>Abrir_Factura</v>
      </c>
      <c r="AD1228" s="9">
        <v>46032.382939814815</v>
      </c>
    </row>
    <row r="1229" spans="1:30" ht="12.5">
      <c r="A1229" s="4">
        <v>46032.320594803241</v>
      </c>
      <c r="B1229" s="5">
        <v>90966</v>
      </c>
      <c r="C1229" s="5">
        <v>901739162</v>
      </c>
      <c r="D1229" s="5" t="s">
        <v>5758</v>
      </c>
      <c r="F1229" s="5" t="s">
        <v>5759</v>
      </c>
      <c r="H1229" s="5">
        <v>573012394343</v>
      </c>
      <c r="J1229" s="5" t="s">
        <v>2150</v>
      </c>
      <c r="K1229" s="5" t="s">
        <v>33</v>
      </c>
      <c r="L1229" s="5" t="s">
        <v>34</v>
      </c>
      <c r="M1229" s="5">
        <v>3012394343</v>
      </c>
      <c r="N1229" s="6">
        <v>46032</v>
      </c>
      <c r="O1229" s="7">
        <v>0.41666666666666669</v>
      </c>
      <c r="P1229" s="5">
        <v>1</v>
      </c>
      <c r="Q1229" s="5" t="s">
        <v>42</v>
      </c>
      <c r="R1229" s="5">
        <v>90000</v>
      </c>
      <c r="S1229" s="5">
        <v>0</v>
      </c>
      <c r="T1229" s="5">
        <v>0</v>
      </c>
      <c r="U1229" s="5">
        <v>90000</v>
      </c>
      <c r="V1229" s="5"/>
      <c r="W1229" s="5" t="s">
        <v>36</v>
      </c>
      <c r="X1229" s="5" t="s">
        <v>67</v>
      </c>
      <c r="AA1229" s="5" t="s">
        <v>44</v>
      </c>
      <c r="AB1229" s="5" t="s">
        <v>5760</v>
      </c>
      <c r="AC1229" s="8" t="str">
        <f>HYPERLINK("https://drive.google.com/file/d/1uJigW-OIFdaGZgJAMbhWN0KqXeM3AnD6/view?usp=drivesdk", "Abrir_Factura")</f>
        <v>Abrir_Factura</v>
      </c>
      <c r="AD1229" s="9">
        <v>46032.433993055558</v>
      </c>
    </row>
    <row r="1230" spans="1:30" ht="12.5">
      <c r="A1230" s="4">
        <v>46032.348054062502</v>
      </c>
      <c r="B1230" s="5">
        <v>90967</v>
      </c>
      <c r="C1230" s="5">
        <v>55306103</v>
      </c>
      <c r="D1230" s="5" t="s">
        <v>5761</v>
      </c>
      <c r="F1230" s="5" t="s">
        <v>5762</v>
      </c>
      <c r="H1230" s="5">
        <v>573008039079</v>
      </c>
      <c r="J1230" s="5" t="s">
        <v>5763</v>
      </c>
      <c r="K1230" s="5" t="s">
        <v>307</v>
      </c>
      <c r="L1230" s="5" t="s">
        <v>5764</v>
      </c>
      <c r="M1230" s="5">
        <v>3008039079</v>
      </c>
      <c r="N1230" s="6">
        <v>46032</v>
      </c>
      <c r="O1230" s="7">
        <v>0.41666666666666669</v>
      </c>
      <c r="P1230" s="5">
        <v>1</v>
      </c>
      <c r="Q1230" s="5" t="s">
        <v>361</v>
      </c>
      <c r="R1230" s="5">
        <v>200000</v>
      </c>
      <c r="S1230" s="5">
        <v>0</v>
      </c>
      <c r="T1230" s="5">
        <v>10000</v>
      </c>
      <c r="U1230" s="5">
        <v>210000</v>
      </c>
      <c r="V1230" s="5" t="s">
        <v>5765</v>
      </c>
      <c r="W1230" s="5" t="s">
        <v>36</v>
      </c>
      <c r="X1230" s="5" t="s">
        <v>204</v>
      </c>
      <c r="AA1230" s="5" t="s">
        <v>69</v>
      </c>
      <c r="AB1230" s="5" t="s">
        <v>5766</v>
      </c>
      <c r="AC1230" s="8" t="str">
        <f>HYPERLINK("https://drive.google.com/file/d/1x4SzGD1x4u6pEuRD0-G2WK3Xt06gp0Ab/view?usp=drivesdk", "Abrir_Factura")</f>
        <v>Abrir_Factura</v>
      </c>
      <c r="AD1230" s="9">
        <v>46032.363067129627</v>
      </c>
    </row>
    <row r="1231" spans="1:30" ht="12.5">
      <c r="A1231" s="4">
        <v>46032.352607499997</v>
      </c>
      <c r="B1231" s="5">
        <v>90968</v>
      </c>
      <c r="C1231" s="5">
        <v>72346299</v>
      </c>
      <c r="D1231" s="5" t="s">
        <v>5767</v>
      </c>
      <c r="F1231" s="5" t="s">
        <v>5768</v>
      </c>
      <c r="H1231" s="5">
        <v>573012939818</v>
      </c>
      <c r="J1231" s="5" t="s">
        <v>5769</v>
      </c>
      <c r="K1231" s="5" t="s">
        <v>563</v>
      </c>
      <c r="L1231" s="5" t="s">
        <v>5770</v>
      </c>
      <c r="M1231" s="5">
        <v>3012939818</v>
      </c>
      <c r="N1231" s="6">
        <v>46032</v>
      </c>
      <c r="O1231" s="7">
        <v>0.41666666666666669</v>
      </c>
      <c r="P1231" s="5">
        <v>1</v>
      </c>
      <c r="Q1231" s="5" t="s">
        <v>375</v>
      </c>
      <c r="R1231" s="5">
        <v>70000</v>
      </c>
      <c r="S1231" s="5">
        <v>0</v>
      </c>
      <c r="T1231" s="5">
        <v>12000</v>
      </c>
      <c r="U1231" s="5">
        <v>82000</v>
      </c>
      <c r="V1231" s="5" t="s">
        <v>5771</v>
      </c>
      <c r="W1231" s="5" t="s">
        <v>36</v>
      </c>
      <c r="X1231" s="5" t="s">
        <v>67</v>
      </c>
      <c r="Z1231" s="5" t="s">
        <v>5772</v>
      </c>
      <c r="AA1231" s="5" t="s">
        <v>44</v>
      </c>
      <c r="AB1231" s="5" t="s">
        <v>5773</v>
      </c>
      <c r="AC1231" s="8" t="str">
        <f>HYPERLINK("https://drive.google.com/file/d/101DqjtrY-r252tqmkTrLXEHzVPPvdErH/view?usp=drivesdk", "Abrir_Factura")</f>
        <v>Abrir_Factura</v>
      </c>
      <c r="AD1231" s="9">
        <v>46032.365902777776</v>
      </c>
    </row>
    <row r="1232" spans="1:30" ht="12.5">
      <c r="A1232" s="4">
        <v>46032.360793969907</v>
      </c>
      <c r="B1232" s="5">
        <v>90969</v>
      </c>
      <c r="C1232" s="5">
        <v>1022334797</v>
      </c>
      <c r="D1232" s="5" t="s">
        <v>5774</v>
      </c>
      <c r="F1232" s="5" t="s">
        <v>5775</v>
      </c>
      <c r="H1232" s="5">
        <v>573105467269</v>
      </c>
      <c r="J1232" s="5" t="s">
        <v>5776</v>
      </c>
      <c r="K1232" s="5" t="s">
        <v>110</v>
      </c>
      <c r="L1232" s="5" t="s">
        <v>5777</v>
      </c>
      <c r="M1232" s="5">
        <v>3175175537</v>
      </c>
      <c r="N1232" s="6">
        <v>46032</v>
      </c>
      <c r="O1232" s="7">
        <v>0</v>
      </c>
      <c r="P1232" s="5">
        <v>1</v>
      </c>
      <c r="Q1232" s="5" t="s">
        <v>50</v>
      </c>
      <c r="R1232" s="5">
        <v>200000</v>
      </c>
      <c r="S1232" s="5">
        <v>0</v>
      </c>
      <c r="T1232" s="5">
        <v>6000</v>
      </c>
      <c r="U1232" s="5">
        <v>206000</v>
      </c>
      <c r="V1232" s="5" t="s">
        <v>5778</v>
      </c>
      <c r="W1232" s="5" t="s">
        <v>36</v>
      </c>
      <c r="X1232" s="5" t="s">
        <v>67</v>
      </c>
      <c r="Z1232" s="5" t="s">
        <v>5779</v>
      </c>
      <c r="AA1232" s="5" t="s">
        <v>44</v>
      </c>
      <c r="AB1232" s="5" t="s">
        <v>5780</v>
      </c>
      <c r="AC1232" s="8" t="str">
        <f>HYPERLINK("https://drive.google.com/file/d/1q4RCd2IGXN08ekk2ILfvCln8BPGbuHEk/view?usp=drivesdk", "Abrir_Factura")</f>
        <v>Abrir_Factura</v>
      </c>
      <c r="AD1232" s="9">
        <v>46032.373807870368</v>
      </c>
    </row>
    <row r="1233" spans="1:30" ht="12.5">
      <c r="A1233" s="4">
        <v>46032.378006967592</v>
      </c>
      <c r="B1233" s="5">
        <v>90970</v>
      </c>
      <c r="C1233" s="5">
        <v>1005280742</v>
      </c>
      <c r="D1233" s="5" t="s">
        <v>968</v>
      </c>
      <c r="F1233" s="5" t="s">
        <v>5781</v>
      </c>
      <c r="H1233" s="5">
        <v>573123838194</v>
      </c>
      <c r="J1233" s="5" t="s">
        <v>5782</v>
      </c>
      <c r="K1233" s="5" t="s">
        <v>103</v>
      </c>
      <c r="L1233" s="5" t="s">
        <v>5783</v>
      </c>
      <c r="M1233" s="5">
        <v>3184113718</v>
      </c>
      <c r="N1233" s="6">
        <v>46032</v>
      </c>
      <c r="O1233" s="7">
        <v>0</v>
      </c>
      <c r="P1233" s="5">
        <v>1</v>
      </c>
      <c r="Q1233" s="5" t="s">
        <v>42</v>
      </c>
      <c r="R1233" s="5">
        <v>40000</v>
      </c>
      <c r="S1233" s="5">
        <v>0</v>
      </c>
      <c r="T1233" s="5">
        <v>10000</v>
      </c>
      <c r="U1233" s="5">
        <v>50000</v>
      </c>
      <c r="V1233" s="5" t="s">
        <v>5784</v>
      </c>
      <c r="W1233" s="5" t="s">
        <v>36</v>
      </c>
      <c r="X1233" s="5" t="s">
        <v>67</v>
      </c>
      <c r="Z1233" s="5" t="s">
        <v>5785</v>
      </c>
      <c r="AA1233" s="5" t="s">
        <v>44</v>
      </c>
      <c r="AB1233" s="5" t="s">
        <v>5786</v>
      </c>
      <c r="AC1233" s="8" t="str">
        <f>HYPERLINK("https://drive.google.com/file/d/17eqoh2uOEI_T6fOHyqLHOAw1a0X1-_Ey/view?usp=drivesdk", "Abrir_Factura")</f>
        <v>Abrir_Factura</v>
      </c>
      <c r="AD1233" s="9">
        <v>46032.391782407409</v>
      </c>
    </row>
    <row r="1234" spans="1:30" ht="12.5">
      <c r="A1234" s="4">
        <v>46032.393492604169</v>
      </c>
      <c r="B1234" s="5">
        <v>90971</v>
      </c>
      <c r="C1234" s="5">
        <v>1234091634</v>
      </c>
      <c r="D1234" s="5" t="s">
        <v>5787</v>
      </c>
      <c r="F1234" s="5" t="s">
        <v>1295</v>
      </c>
      <c r="H1234" s="5">
        <v>573234230230</v>
      </c>
      <c r="J1234" s="5" t="s">
        <v>5788</v>
      </c>
      <c r="K1234" s="5" t="s">
        <v>79</v>
      </c>
      <c r="L1234" s="5" t="s">
        <v>5789</v>
      </c>
      <c r="M1234" s="5">
        <v>3205294335</v>
      </c>
      <c r="N1234" s="6">
        <v>46032</v>
      </c>
      <c r="O1234" s="7">
        <v>0.45833333333333331</v>
      </c>
      <c r="P1234" s="5">
        <v>1</v>
      </c>
      <c r="Q1234" s="5" t="s">
        <v>187</v>
      </c>
      <c r="R1234" s="5">
        <v>200000</v>
      </c>
      <c r="S1234" s="5">
        <v>0</v>
      </c>
      <c r="T1234" s="5">
        <v>10000</v>
      </c>
      <c r="U1234" s="5">
        <v>210000</v>
      </c>
      <c r="V1234" s="5" t="s">
        <v>5790</v>
      </c>
      <c r="W1234" s="5" t="s">
        <v>36</v>
      </c>
      <c r="X1234" s="5" t="s">
        <v>67</v>
      </c>
      <c r="Z1234" s="5" t="s">
        <v>5791</v>
      </c>
      <c r="AA1234" s="5" t="s">
        <v>69</v>
      </c>
      <c r="AC1234" s="8" t="str">
        <f>HYPERLINK("https://drive.google.com/file/d/1uTMmH5QIuq0Niq4GPGUlYXaummIsIUoB/view?usp=drivesdk", "Abrir_Factura")</f>
        <v>Abrir_Factura</v>
      </c>
      <c r="AD1234" s="9">
        <v>46032.410127314812</v>
      </c>
    </row>
    <row r="1235" spans="1:30" ht="12.5">
      <c r="A1235" s="4">
        <v>46032.400471261572</v>
      </c>
      <c r="B1235" s="5">
        <v>90972</v>
      </c>
      <c r="C1235" s="5">
        <v>72261782</v>
      </c>
      <c r="D1235" s="5" t="s">
        <v>5792</v>
      </c>
      <c r="F1235" s="5" t="s">
        <v>5793</v>
      </c>
      <c r="H1235" s="5">
        <v>573106328734</v>
      </c>
      <c r="J1235" s="5" t="s">
        <v>5794</v>
      </c>
      <c r="K1235" s="5" t="s">
        <v>73</v>
      </c>
      <c r="L1235" s="5" t="s">
        <v>5795</v>
      </c>
      <c r="M1235" s="5">
        <v>3135045877</v>
      </c>
      <c r="N1235" s="6">
        <v>46033</v>
      </c>
      <c r="O1235" s="7">
        <v>0.45833333333333331</v>
      </c>
      <c r="P1235" s="5">
        <v>1</v>
      </c>
      <c r="Q1235" s="5" t="s">
        <v>178</v>
      </c>
      <c r="R1235" s="5">
        <v>100000</v>
      </c>
      <c r="S1235" s="5">
        <v>0</v>
      </c>
      <c r="T1235" s="5">
        <v>8000</v>
      </c>
      <c r="U1235" s="5">
        <v>108000</v>
      </c>
      <c r="V1235" s="5" t="s">
        <v>5796</v>
      </c>
      <c r="W1235" s="5" t="s">
        <v>36</v>
      </c>
      <c r="X1235" s="5" t="s">
        <v>67</v>
      </c>
      <c r="Z1235" s="5" t="s">
        <v>686</v>
      </c>
      <c r="AA1235" s="5" t="s">
        <v>69</v>
      </c>
      <c r="AC1235" s="8" t="str">
        <f>HYPERLINK("https://drive.google.com/file/d/1HLITDvGHgCmt2diiW-az01NXXaun0OT1/view?usp=drivesdk", "Abrir_Factura")</f>
        <v>Abrir_Factura</v>
      </c>
      <c r="AD1235" s="9">
        <v>46032.410798611112</v>
      </c>
    </row>
    <row r="1236" spans="1:30" ht="12.5">
      <c r="A1236" s="4">
        <v>46032.446433888894</v>
      </c>
      <c r="B1236" s="5">
        <v>90973</v>
      </c>
      <c r="C1236" s="5">
        <v>1002378612</v>
      </c>
      <c r="D1236" s="5" t="s">
        <v>5797</v>
      </c>
      <c r="F1236" s="5" t="s">
        <v>5798</v>
      </c>
      <c r="H1236" s="5">
        <v>573005080797</v>
      </c>
      <c r="J1236" s="5" t="s">
        <v>5799</v>
      </c>
      <c r="K1236" s="5" t="s">
        <v>103</v>
      </c>
      <c r="L1236" s="5" t="s">
        <v>5800</v>
      </c>
      <c r="M1236" s="5">
        <v>3148762110</v>
      </c>
      <c r="N1236" s="6">
        <v>46032</v>
      </c>
      <c r="O1236" s="7">
        <v>0</v>
      </c>
      <c r="P1236" s="5">
        <v>1</v>
      </c>
      <c r="Q1236" s="5" t="s">
        <v>3111</v>
      </c>
      <c r="R1236" s="5">
        <v>190000</v>
      </c>
      <c r="S1236" s="5">
        <v>0</v>
      </c>
      <c r="T1236" s="5">
        <v>10000</v>
      </c>
      <c r="U1236" s="5">
        <v>200000</v>
      </c>
      <c r="V1236" s="5" t="s">
        <v>5801</v>
      </c>
      <c r="W1236" s="5" t="s">
        <v>36</v>
      </c>
      <c r="X1236" s="5" t="s">
        <v>67</v>
      </c>
      <c r="Z1236" s="5" t="s">
        <v>5802</v>
      </c>
      <c r="AA1236" s="5" t="s">
        <v>69</v>
      </c>
      <c r="AC1236" s="8" t="str">
        <f>HYPERLINK("https://drive.google.com/file/d/1CJrXmVtR5i9P5lK7r68RHoFse2iBGiRZ/view?usp=drivesdk", "Abrir_Factura")</f>
        <v>Abrir_Factura</v>
      </c>
      <c r="AD1236" s="9">
        <v>46032.450960648152</v>
      </c>
    </row>
    <row r="1237" spans="1:30" ht="12.5">
      <c r="A1237" s="4">
        <v>46032.454867175926</v>
      </c>
      <c r="B1237" s="5">
        <v>90974</v>
      </c>
      <c r="C1237" s="5">
        <v>1140835866</v>
      </c>
      <c r="D1237" s="5" t="s">
        <v>825</v>
      </c>
      <c r="F1237" s="5" t="s">
        <v>2153</v>
      </c>
      <c r="H1237" s="5">
        <v>57321815170808</v>
      </c>
      <c r="J1237" s="5" t="s">
        <v>2154</v>
      </c>
      <c r="K1237" s="5" t="s">
        <v>964</v>
      </c>
      <c r="L1237" s="5" t="s">
        <v>5803</v>
      </c>
      <c r="M1237" s="5"/>
      <c r="N1237" s="6">
        <v>46032</v>
      </c>
      <c r="O1237" s="7">
        <v>0</v>
      </c>
      <c r="P1237" s="5">
        <v>1</v>
      </c>
      <c r="Q1237" s="5" t="s">
        <v>384</v>
      </c>
      <c r="R1237" s="5">
        <v>180000</v>
      </c>
      <c r="S1237" s="5">
        <v>0</v>
      </c>
      <c r="T1237" s="5">
        <v>12000</v>
      </c>
      <c r="U1237" s="5">
        <v>192000</v>
      </c>
      <c r="V1237" s="5"/>
      <c r="W1237" s="5" t="s">
        <v>36</v>
      </c>
      <c r="X1237" s="5" t="s">
        <v>1937</v>
      </c>
      <c r="AA1237" s="5" t="s">
        <v>69</v>
      </c>
      <c r="AC1237" s="8" t="str">
        <f>HYPERLINK("https://drive.google.com/file/d/1yGo5zpjZaDvHOUU62nwjb3EkR7FMb5bd/view?usp=drivesdk", "Abrir_Factura")</f>
        <v>Abrir_Factura</v>
      </c>
      <c r="AD1237" s="9">
        <v>46032.460949074077</v>
      </c>
    </row>
    <row r="1238" spans="1:30" ht="12.5">
      <c r="A1238" s="4">
        <v>46032.476059004628</v>
      </c>
      <c r="B1238" s="5">
        <v>90975</v>
      </c>
      <c r="C1238" s="5">
        <v>1143252028</v>
      </c>
      <c r="D1238" s="5" t="s">
        <v>3893</v>
      </c>
      <c r="F1238" s="5" t="s">
        <v>3894</v>
      </c>
      <c r="H1238" s="5">
        <v>573167483308</v>
      </c>
      <c r="J1238" s="5" t="s">
        <v>5804</v>
      </c>
      <c r="K1238" s="5" t="s">
        <v>1124</v>
      </c>
      <c r="L1238" s="5" t="s">
        <v>5805</v>
      </c>
      <c r="M1238" s="5"/>
      <c r="N1238" s="6">
        <v>46032</v>
      </c>
      <c r="O1238" s="7">
        <v>0</v>
      </c>
      <c r="P1238" s="5">
        <v>1</v>
      </c>
      <c r="Q1238" s="5" t="s">
        <v>112</v>
      </c>
      <c r="R1238" s="5">
        <v>260000</v>
      </c>
      <c r="S1238" s="5">
        <v>0</v>
      </c>
      <c r="T1238" s="5">
        <v>20000</v>
      </c>
      <c r="U1238" s="5">
        <v>280000</v>
      </c>
      <c r="V1238" s="5" t="s">
        <v>5806</v>
      </c>
      <c r="W1238" s="5" t="s">
        <v>36</v>
      </c>
      <c r="X1238" s="5" t="s">
        <v>67</v>
      </c>
      <c r="AA1238" s="5" t="s">
        <v>44</v>
      </c>
      <c r="AC1238" s="8" t="str">
        <f>HYPERLINK("https://drive.google.com/file/d/1HJgIyb2Nu9ZhivcuhYE0cuORBVRZdIqp/view?usp=drivesdk", "Abrir_Factura")</f>
        <v>Abrir_Factura</v>
      </c>
      <c r="AD1238" s="9">
        <v>46032.476504629631</v>
      </c>
    </row>
    <row r="1239" spans="1:30" ht="12.5">
      <c r="A1239" s="4">
        <v>46032.467526770837</v>
      </c>
      <c r="B1239" s="5">
        <v>90976</v>
      </c>
      <c r="C1239" s="5">
        <v>41504500</v>
      </c>
      <c r="D1239" s="5" t="s">
        <v>5807</v>
      </c>
      <c r="F1239" s="5" t="s">
        <v>5808</v>
      </c>
      <c r="H1239" s="5">
        <v>573106985916</v>
      </c>
      <c r="J1239" s="5" t="s">
        <v>5809</v>
      </c>
      <c r="K1239" s="5" t="s">
        <v>73</v>
      </c>
      <c r="L1239" s="5" t="s">
        <v>5810</v>
      </c>
      <c r="M1239" s="5">
        <v>3002466173</v>
      </c>
      <c r="N1239" s="6">
        <v>46033</v>
      </c>
      <c r="O1239" s="7">
        <v>0</v>
      </c>
      <c r="P1239" s="5">
        <v>1</v>
      </c>
      <c r="Q1239" s="5" t="s">
        <v>707</v>
      </c>
      <c r="R1239" s="5">
        <v>320000</v>
      </c>
      <c r="S1239" s="5">
        <v>0</v>
      </c>
      <c r="T1239" s="5">
        <v>8000</v>
      </c>
      <c r="U1239" s="5">
        <v>328000</v>
      </c>
      <c r="V1239" s="5" t="s">
        <v>5811</v>
      </c>
      <c r="W1239" s="5" t="s">
        <v>36</v>
      </c>
      <c r="X1239" s="5" t="s">
        <v>180</v>
      </c>
      <c r="AA1239" s="5" t="s">
        <v>44</v>
      </c>
      <c r="AB1239" s="5" t="s">
        <v>5812</v>
      </c>
      <c r="AC1239" s="8" t="str">
        <f>HYPERLINK("https://drive.google.com/file/d/1z-ReDO7sIqnokN4r2fQM7yvC4a1-J1la/view?usp=drivesdk", "Abrir_Factura")</f>
        <v>Abrir_Factura</v>
      </c>
      <c r="AD1239" s="9">
        <v>46032.480729166666</v>
      </c>
    </row>
    <row r="1240" spans="1:30" ht="12.5">
      <c r="A1240" s="4">
        <v>46032.490091562504</v>
      </c>
      <c r="B1240" s="5">
        <v>90977</v>
      </c>
      <c r="C1240" s="5">
        <v>55150847</v>
      </c>
      <c r="D1240" s="5" t="s">
        <v>5813</v>
      </c>
      <c r="F1240" s="5" t="s">
        <v>5814</v>
      </c>
      <c r="H1240" s="5">
        <v>573102709637</v>
      </c>
      <c r="J1240" s="5" t="s">
        <v>5815</v>
      </c>
      <c r="K1240" s="5" t="s">
        <v>33</v>
      </c>
      <c r="L1240" s="5" t="s">
        <v>34</v>
      </c>
      <c r="M1240" s="5">
        <v>3102709637</v>
      </c>
      <c r="N1240" s="6">
        <v>46032</v>
      </c>
      <c r="O1240" s="7">
        <v>0</v>
      </c>
      <c r="P1240" s="5">
        <v>1</v>
      </c>
      <c r="Q1240" s="5" t="s">
        <v>42</v>
      </c>
      <c r="R1240" s="5">
        <v>47500</v>
      </c>
      <c r="S1240" s="5">
        <v>0</v>
      </c>
      <c r="T1240" s="5">
        <v>0</v>
      </c>
      <c r="U1240" s="5">
        <v>47500</v>
      </c>
      <c r="V1240" s="5"/>
      <c r="W1240" s="5" t="s">
        <v>36</v>
      </c>
      <c r="X1240" s="5" t="s">
        <v>1705</v>
      </c>
      <c r="AA1240" s="5" t="s">
        <v>1717</v>
      </c>
      <c r="AB1240" s="5" t="s">
        <v>5816</v>
      </c>
      <c r="AC1240" s="8" t="str">
        <f>HYPERLINK("https://drive.google.com/file/d/1_eDCqLZ0G9HYedLrmGvrvcwzbEemcLHk/view?usp=drivesdk", "Abrir_Factura")</f>
        <v>Abrir_Factura</v>
      </c>
      <c r="AD1240" s="9">
        <v>46032.491550925923</v>
      </c>
    </row>
    <row r="1241" spans="1:30" ht="12.5">
      <c r="A1241" s="4">
        <v>46032.478844201389</v>
      </c>
      <c r="B1241" s="5">
        <v>90978</v>
      </c>
      <c r="C1241" s="5">
        <v>22732485</v>
      </c>
      <c r="D1241" s="5" t="s">
        <v>2856</v>
      </c>
      <c r="F1241" s="5" t="s">
        <v>5817</v>
      </c>
      <c r="H1241" s="5">
        <v>573006787585</v>
      </c>
      <c r="J1241" s="5" t="s">
        <v>5818</v>
      </c>
      <c r="K1241" s="5" t="s">
        <v>63</v>
      </c>
      <c r="L1241" s="5" t="s">
        <v>5819</v>
      </c>
      <c r="M1241" s="5"/>
      <c r="N1241" s="6">
        <v>46032</v>
      </c>
      <c r="O1241" s="7">
        <v>0</v>
      </c>
      <c r="P1241" s="5">
        <v>1</v>
      </c>
      <c r="Q1241" s="5" t="s">
        <v>309</v>
      </c>
      <c r="R1241" s="5">
        <v>80000</v>
      </c>
      <c r="S1241" s="5">
        <v>0</v>
      </c>
      <c r="T1241" s="5">
        <v>15000</v>
      </c>
      <c r="U1241" s="5">
        <v>95000</v>
      </c>
      <c r="V1241" s="5" t="s">
        <v>5820</v>
      </c>
      <c r="W1241" s="5" t="s">
        <v>36</v>
      </c>
      <c r="X1241" s="5" t="s">
        <v>67</v>
      </c>
      <c r="Z1241" s="5" t="s">
        <v>5821</v>
      </c>
      <c r="AA1241" s="5" t="s">
        <v>69</v>
      </c>
      <c r="AC1241" s="8" t="str">
        <f>HYPERLINK("https://drive.google.com/file/d/1uAcro3ngCgo4hyp4vsVgQiTD_Bx176QW/view?usp=drivesdk", "Abrir_Factura")</f>
        <v>Abrir_Factura</v>
      </c>
      <c r="AD1241" s="9">
        <v>46032.505543981482</v>
      </c>
    </row>
    <row r="1242" spans="1:30" ht="12.5">
      <c r="A1242" s="4">
        <v>46032.486858993056</v>
      </c>
      <c r="B1242" s="5">
        <v>90979</v>
      </c>
      <c r="C1242" s="5">
        <v>1129569990</v>
      </c>
      <c r="D1242" s="5" t="s">
        <v>290</v>
      </c>
      <c r="F1242" s="5" t="s">
        <v>4350</v>
      </c>
      <c r="H1242" s="5">
        <v>573008148314</v>
      </c>
      <c r="J1242" s="5" t="s">
        <v>4351</v>
      </c>
      <c r="K1242" s="5" t="s">
        <v>33</v>
      </c>
      <c r="L1242" s="5" t="s">
        <v>34</v>
      </c>
      <c r="M1242" s="5">
        <v>3008148314</v>
      </c>
      <c r="N1242" s="6">
        <v>46032</v>
      </c>
      <c r="O1242" s="7">
        <v>0</v>
      </c>
      <c r="P1242" s="5">
        <v>1</v>
      </c>
      <c r="Q1242" s="5" t="s">
        <v>42</v>
      </c>
      <c r="R1242" s="5">
        <v>80000</v>
      </c>
      <c r="S1242" s="5">
        <v>0</v>
      </c>
      <c r="T1242" s="5">
        <v>0</v>
      </c>
      <c r="U1242" s="5">
        <v>80000</v>
      </c>
      <c r="V1242" s="5"/>
      <c r="W1242" s="5" t="s">
        <v>36</v>
      </c>
      <c r="X1242" s="5" t="s">
        <v>1705</v>
      </c>
      <c r="AA1242" s="5" t="s">
        <v>1717</v>
      </c>
      <c r="AB1242" s="5" t="s">
        <v>525</v>
      </c>
      <c r="AC1242" s="8" t="str">
        <f>HYPERLINK("https://drive.google.com/file/d/1hVjpy4n4CccHLMXztMEdzOjF2rT7f-Tb/view?usp=drivesdk", "Abrir_Factura")</f>
        <v>Abrir_Factura</v>
      </c>
      <c r="AD1242" s="9">
        <v>46032.68613425926</v>
      </c>
    </row>
    <row r="1243" spans="1:30" ht="12.5">
      <c r="A1243" s="4">
        <v>46032.50228799769</v>
      </c>
      <c r="B1243" s="5">
        <v>90980</v>
      </c>
      <c r="C1243" s="5">
        <v>49772950</v>
      </c>
      <c r="D1243" s="5" t="s">
        <v>5822</v>
      </c>
      <c r="F1243" s="5" t="s">
        <v>2904</v>
      </c>
      <c r="H1243" s="5">
        <v>573166972341</v>
      </c>
      <c r="J1243" s="5" t="s">
        <v>5823</v>
      </c>
      <c r="K1243" s="5" t="s">
        <v>185</v>
      </c>
      <c r="L1243" s="5" t="s">
        <v>5824</v>
      </c>
      <c r="M1243" s="5" t="s">
        <v>25421</v>
      </c>
      <c r="N1243" s="6">
        <v>46032</v>
      </c>
      <c r="O1243" s="7">
        <v>0.625</v>
      </c>
      <c r="P1243" s="5">
        <v>1</v>
      </c>
      <c r="Q1243" s="5" t="s">
        <v>89</v>
      </c>
      <c r="R1243" s="5">
        <v>150000</v>
      </c>
      <c r="S1243" s="5">
        <v>0</v>
      </c>
      <c r="T1243" s="5">
        <v>8000</v>
      </c>
      <c r="U1243" s="5">
        <v>158000</v>
      </c>
      <c r="V1243" s="5" t="s">
        <v>5825</v>
      </c>
      <c r="W1243" s="5" t="s">
        <v>36</v>
      </c>
      <c r="X1243" s="5" t="s">
        <v>67</v>
      </c>
      <c r="AA1243" s="5" t="s">
        <v>69</v>
      </c>
      <c r="AC1243" s="8" t="str">
        <f>HYPERLINK("https://drive.google.com/file/d/1E52NWvbfSufkqeh88VmxPFAF3M-U_HXH/view?usp=drivesdk", "Abrir_Factura")</f>
        <v>Abrir_Factura</v>
      </c>
      <c r="AD1243" s="9">
        <v>46032.511018518519</v>
      </c>
    </row>
    <row r="1244" spans="1:30" ht="12.5">
      <c r="A1244" s="4">
        <v>46032.507661111114</v>
      </c>
      <c r="B1244" s="5">
        <v>90981</v>
      </c>
      <c r="C1244" s="5">
        <v>1001999529</v>
      </c>
      <c r="D1244" s="5" t="s">
        <v>1038</v>
      </c>
      <c r="F1244" s="5" t="s">
        <v>5826</v>
      </c>
      <c r="H1244" s="5">
        <v>573205526103</v>
      </c>
      <c r="J1244" s="5" t="s">
        <v>5827</v>
      </c>
      <c r="K1244" s="5" t="s">
        <v>33</v>
      </c>
      <c r="L1244" s="5" t="s">
        <v>5828</v>
      </c>
      <c r="M1244" s="5">
        <v>3205526103</v>
      </c>
      <c r="N1244" s="6">
        <v>46032</v>
      </c>
      <c r="O1244" s="7">
        <v>0.16666666666666666</v>
      </c>
      <c r="P1244" s="5">
        <v>1</v>
      </c>
      <c r="Q1244" s="5" t="s">
        <v>1085</v>
      </c>
      <c r="R1244" s="5">
        <v>130000</v>
      </c>
      <c r="S1244" s="5">
        <v>0</v>
      </c>
      <c r="T1244" s="5">
        <v>0</v>
      </c>
      <c r="U1244" s="5">
        <v>130000</v>
      </c>
      <c r="V1244" s="5"/>
      <c r="W1244" s="5" t="s">
        <v>36</v>
      </c>
      <c r="X1244" s="5" t="s">
        <v>1705</v>
      </c>
      <c r="Z1244" s="5" t="s">
        <v>5829</v>
      </c>
      <c r="AA1244" s="5" t="s">
        <v>44</v>
      </c>
      <c r="AC1244" s="8" t="str">
        <f>HYPERLINK("https://drive.google.com/file/d/1e9S3BF58-QYrK9hdhBP9l62hqjTRLDp6/view?usp=drivesdk", "Abrir_Factura")</f>
        <v>Abrir_Factura</v>
      </c>
      <c r="AD1244" s="9">
        <v>46032.704918981479</v>
      </c>
    </row>
    <row r="1245" spans="1:30" ht="12.5">
      <c r="A1245" s="4">
        <v>46032.546410775467</v>
      </c>
      <c r="B1245" s="5">
        <v>90982</v>
      </c>
      <c r="C1245" s="5">
        <v>1140882985</v>
      </c>
      <c r="D1245" s="5" t="s">
        <v>5830</v>
      </c>
      <c r="F1245" s="5" t="s">
        <v>5831</v>
      </c>
      <c r="H1245" s="5">
        <v>573005040045</v>
      </c>
      <c r="J1245" s="5" t="s">
        <v>5832</v>
      </c>
      <c r="K1245" s="5" t="s">
        <v>33</v>
      </c>
      <c r="L1245" s="5" t="s">
        <v>34</v>
      </c>
      <c r="M1245" s="5" t="s">
        <v>5833</v>
      </c>
      <c r="N1245" s="6">
        <v>46032</v>
      </c>
      <c r="O1245" s="7">
        <v>0</v>
      </c>
      <c r="P1245" s="5">
        <v>1</v>
      </c>
      <c r="Q1245" s="5" t="s">
        <v>42</v>
      </c>
      <c r="R1245" s="5">
        <v>60000</v>
      </c>
      <c r="S1245" s="5">
        <v>0</v>
      </c>
      <c r="T1245" s="5">
        <v>0</v>
      </c>
      <c r="U1245" s="5">
        <v>60000</v>
      </c>
      <c r="V1245" s="5"/>
      <c r="W1245" s="5" t="s">
        <v>36</v>
      </c>
      <c r="X1245" s="5" t="s">
        <v>1705</v>
      </c>
      <c r="AA1245" s="5" t="s">
        <v>1717</v>
      </c>
      <c r="AB1245" s="5" t="s">
        <v>5834</v>
      </c>
      <c r="AC1245" s="8" t="str">
        <f>HYPERLINK("https://drive.google.com/file/d/1vYDrdieio_0YxrsOoJJYFz2eBCQV2vPu/view?usp=drivesdk", "Abrir_Factura")</f>
        <v>Abrir_Factura</v>
      </c>
      <c r="AD1245" s="9">
        <v>46032.547048611108</v>
      </c>
    </row>
    <row r="1246" spans="1:30" ht="12.5">
      <c r="A1246" s="4">
        <v>46032.570201006944</v>
      </c>
      <c r="B1246" s="5">
        <v>90983</v>
      </c>
      <c r="C1246" s="5">
        <v>55303645</v>
      </c>
      <c r="D1246" s="5" t="s">
        <v>1779</v>
      </c>
      <c r="F1246" s="5" t="s">
        <v>1780</v>
      </c>
      <c r="H1246" s="5">
        <v>573205425252</v>
      </c>
      <c r="J1246" s="5" t="s">
        <v>5835</v>
      </c>
      <c r="K1246" s="5" t="s">
        <v>307</v>
      </c>
      <c r="L1246" s="5" t="s">
        <v>5836</v>
      </c>
      <c r="M1246" s="5">
        <v>3205425252</v>
      </c>
      <c r="N1246" s="6">
        <v>46032</v>
      </c>
      <c r="O1246" s="7">
        <v>0</v>
      </c>
      <c r="P1246" s="5">
        <v>1</v>
      </c>
      <c r="Q1246" s="5" t="s">
        <v>42</v>
      </c>
      <c r="R1246" s="5">
        <v>70000</v>
      </c>
      <c r="S1246" s="5">
        <v>0</v>
      </c>
      <c r="T1246" s="5">
        <v>10000</v>
      </c>
      <c r="U1246" s="5">
        <v>80000</v>
      </c>
      <c r="V1246" s="5"/>
      <c r="W1246" s="5" t="s">
        <v>36</v>
      </c>
      <c r="X1246" s="5" t="s">
        <v>67</v>
      </c>
      <c r="AA1246" s="5" t="s">
        <v>44</v>
      </c>
      <c r="AB1246" s="5" t="s">
        <v>5837</v>
      </c>
      <c r="AC1246" s="8" t="str">
        <f>HYPERLINK("https://drive.google.com/file/d/1I7Lr_RylRJJ10SPOL3brIgYNbmr_YORz/view?usp=drivesdk", "Abrir_Factura")</f>
        <v>Abrir_Factura</v>
      </c>
      <c r="AD1246" s="9">
        <v>46032.578125</v>
      </c>
    </row>
    <row r="1247" spans="1:30" ht="12.5">
      <c r="A1247" s="4">
        <v>46032.571663032402</v>
      </c>
      <c r="B1247" s="5">
        <v>90984</v>
      </c>
      <c r="C1247" s="5">
        <v>1001994102</v>
      </c>
      <c r="D1247" s="5" t="s">
        <v>115</v>
      </c>
      <c r="F1247" s="5" t="s">
        <v>5838</v>
      </c>
      <c r="H1247" s="5">
        <v>573122437496</v>
      </c>
      <c r="J1247" s="5" t="s">
        <v>5839</v>
      </c>
      <c r="K1247" s="5" t="s">
        <v>161</v>
      </c>
      <c r="L1247" s="5" t="s">
        <v>5840</v>
      </c>
      <c r="M1247" s="5" t="s">
        <v>5841</v>
      </c>
      <c r="N1247" s="6">
        <v>46034</v>
      </c>
      <c r="O1247" s="7">
        <v>0</v>
      </c>
      <c r="P1247" s="5">
        <v>1</v>
      </c>
      <c r="Q1247" s="5" t="s">
        <v>309</v>
      </c>
      <c r="R1247" s="5">
        <v>80000</v>
      </c>
      <c r="S1247" s="5">
        <v>0</v>
      </c>
      <c r="T1247" s="5">
        <v>8000</v>
      </c>
      <c r="U1247" s="5">
        <v>88000</v>
      </c>
      <c r="V1247" s="5" t="s">
        <v>5842</v>
      </c>
      <c r="W1247" s="5" t="s">
        <v>36</v>
      </c>
      <c r="X1247" s="5" t="s">
        <v>1937</v>
      </c>
      <c r="Z1247" s="5" t="s">
        <v>5843</v>
      </c>
      <c r="AA1247" s="5" t="s">
        <v>69</v>
      </c>
      <c r="AC1247" s="8" t="str">
        <f>HYPERLINK("https://drive.google.com/file/d/14y7WRhZ8dLGfNCn4EWHPNSCpG76hGKlb/view?usp=drivesdk", "Abrir_Factura")</f>
        <v>Abrir_Factura</v>
      </c>
      <c r="AD1247" s="9">
        <v>46032.581388888888</v>
      </c>
    </row>
    <row r="1248" spans="1:30" ht="12.5">
      <c r="A1248" s="4">
        <v>46032.575405682874</v>
      </c>
      <c r="B1248" s="5">
        <v>90985</v>
      </c>
      <c r="C1248" s="5">
        <v>8634647</v>
      </c>
      <c r="D1248" s="5" t="s">
        <v>5844</v>
      </c>
      <c r="F1248" s="5" t="s">
        <v>5845</v>
      </c>
      <c r="H1248" s="5">
        <v>573244414544</v>
      </c>
      <c r="J1248" s="5" t="s">
        <v>5846</v>
      </c>
      <c r="K1248" s="5" t="s">
        <v>420</v>
      </c>
      <c r="L1248" s="5" t="s">
        <v>5847</v>
      </c>
      <c r="M1248" s="5" t="s">
        <v>5848</v>
      </c>
      <c r="N1248" s="6">
        <v>46032</v>
      </c>
      <c r="O1248" s="7">
        <v>0</v>
      </c>
      <c r="P1248" s="5">
        <v>1</v>
      </c>
      <c r="Q1248" s="5" t="s">
        <v>75</v>
      </c>
      <c r="R1248" s="5">
        <v>70000</v>
      </c>
      <c r="S1248" s="5">
        <v>0</v>
      </c>
      <c r="T1248" s="5">
        <v>16000</v>
      </c>
      <c r="U1248" s="5">
        <v>86000</v>
      </c>
      <c r="V1248" s="5" t="s">
        <v>5849</v>
      </c>
      <c r="W1248" s="5" t="s">
        <v>36</v>
      </c>
      <c r="X1248" s="5" t="s">
        <v>67</v>
      </c>
      <c r="Z1248" s="5" t="s">
        <v>1051</v>
      </c>
      <c r="AA1248" s="5" t="s">
        <v>69</v>
      </c>
      <c r="AB1248" s="5" t="s">
        <v>5850</v>
      </c>
      <c r="AC1248" s="8" t="str">
        <f>HYPERLINK("https://drive.google.com/file/d/1Sh8jlT_Dl_muN0JrDpOZw9YUREykvT-B/view?usp=drivesdk", "Abrir_Factura")</f>
        <v>Abrir_Factura</v>
      </c>
      <c r="AD1248" s="9">
        <v>46032.602673611109</v>
      </c>
    </row>
    <row r="1249" spans="1:30" ht="12.5">
      <c r="A1249" s="4">
        <v>46032.630958796297</v>
      </c>
      <c r="B1249" s="5">
        <v>90986</v>
      </c>
      <c r="C1249" s="5">
        <v>1029720257</v>
      </c>
      <c r="D1249" s="5" t="s">
        <v>2209</v>
      </c>
      <c r="F1249" s="5" t="s">
        <v>2210</v>
      </c>
      <c r="H1249" s="5">
        <v>573177320217</v>
      </c>
      <c r="J1249" s="5" t="s">
        <v>5851</v>
      </c>
      <c r="K1249" s="5" t="s">
        <v>154</v>
      </c>
      <c r="L1249" s="5" t="s">
        <v>5852</v>
      </c>
      <c r="M1249" s="5" t="s">
        <v>5853</v>
      </c>
      <c r="N1249" s="6">
        <v>46032</v>
      </c>
      <c r="O1249" s="7">
        <v>0</v>
      </c>
      <c r="P1249" s="5">
        <v>1</v>
      </c>
      <c r="Q1249" s="5" t="s">
        <v>156</v>
      </c>
      <c r="R1249" s="5">
        <v>70000</v>
      </c>
      <c r="S1249" s="5">
        <v>0</v>
      </c>
      <c r="T1249" s="5">
        <v>8000</v>
      </c>
      <c r="U1249" s="5">
        <v>78000</v>
      </c>
      <c r="V1249" s="5" t="s">
        <v>5854</v>
      </c>
      <c r="W1249" s="5" t="s">
        <v>36</v>
      </c>
      <c r="X1249" s="5" t="s">
        <v>67</v>
      </c>
      <c r="Z1249" s="5" t="s">
        <v>5855</v>
      </c>
      <c r="AA1249" s="5" t="s">
        <v>69</v>
      </c>
      <c r="AC1249" s="8" t="str">
        <f>HYPERLINK("https://drive.google.com/file/d/119fLBC1EAYJQ3d-h5pJDS8maOkxmm-HR/view?usp=drivesdk", "Abrir_Factura")</f>
        <v>Abrir_Factura</v>
      </c>
      <c r="AD1249" s="9">
        <v>46032.639664351853</v>
      </c>
    </row>
    <row r="1250" spans="1:30" ht="12.5">
      <c r="A1250" s="4">
        <v>46032.644905740744</v>
      </c>
      <c r="B1250" s="5">
        <v>90987</v>
      </c>
      <c r="C1250" s="5">
        <v>1020731745</v>
      </c>
      <c r="D1250" s="5" t="s">
        <v>5856</v>
      </c>
      <c r="F1250" s="5" t="s">
        <v>5857</v>
      </c>
      <c r="H1250" s="5">
        <v>573215695053</v>
      </c>
      <c r="J1250" s="5" t="s">
        <v>5858</v>
      </c>
      <c r="K1250" s="5" t="s">
        <v>4403</v>
      </c>
      <c r="L1250" s="5" t="s">
        <v>5859</v>
      </c>
      <c r="M1250" s="5"/>
      <c r="N1250" s="6">
        <v>46032</v>
      </c>
      <c r="O1250" s="7">
        <v>0</v>
      </c>
      <c r="P1250" s="5">
        <v>1</v>
      </c>
      <c r="Q1250" s="5" t="s">
        <v>2059</v>
      </c>
      <c r="R1250" s="5">
        <v>250000</v>
      </c>
      <c r="S1250" s="5">
        <v>0</v>
      </c>
      <c r="T1250" s="5">
        <v>20000</v>
      </c>
      <c r="U1250" s="5">
        <v>270000</v>
      </c>
      <c r="V1250" s="5" t="s">
        <v>5860</v>
      </c>
      <c r="W1250" s="5" t="s">
        <v>36</v>
      </c>
      <c r="X1250" s="5" t="s">
        <v>67</v>
      </c>
      <c r="AA1250" s="5" t="s">
        <v>44</v>
      </c>
      <c r="AC1250" s="8" t="str">
        <f>HYPERLINK("https://drive.google.com/file/d/16VhF3_DJBp9Q-H2WCiyE5cs5R0GHe9jv/view?usp=drivesdk", "Abrir_Factura")</f>
        <v>Abrir_Factura</v>
      </c>
      <c r="AD1250" s="9">
        <v>46032.64539351852</v>
      </c>
    </row>
    <row r="1251" spans="1:30" ht="12.5">
      <c r="A1251" s="4">
        <v>46032.650336886574</v>
      </c>
      <c r="B1251" s="5">
        <v>90988</v>
      </c>
      <c r="C1251" s="5">
        <v>1140851297</v>
      </c>
      <c r="D1251" s="5" t="s">
        <v>217</v>
      </c>
      <c r="F1251" s="5" t="s">
        <v>5861</v>
      </c>
      <c r="H1251" s="5">
        <v>573508337141</v>
      </c>
      <c r="J1251" s="5" t="s">
        <v>5862</v>
      </c>
      <c r="K1251" s="5" t="s">
        <v>1497</v>
      </c>
      <c r="L1251" s="5" t="s">
        <v>5863</v>
      </c>
      <c r="M1251" s="5">
        <v>3005533279</v>
      </c>
      <c r="N1251" s="6">
        <v>46035</v>
      </c>
      <c r="O1251" s="7">
        <v>0.375</v>
      </c>
      <c r="P1251" s="5">
        <v>1</v>
      </c>
      <c r="Q1251" s="5" t="s">
        <v>559</v>
      </c>
      <c r="R1251" s="5">
        <v>90000</v>
      </c>
      <c r="S1251" s="5">
        <v>0</v>
      </c>
      <c r="T1251" s="5">
        <v>12000</v>
      </c>
      <c r="U1251" s="5">
        <v>102000</v>
      </c>
      <c r="V1251" s="5" t="s">
        <v>5864</v>
      </c>
      <c r="W1251" s="5" t="s">
        <v>36</v>
      </c>
      <c r="X1251" s="5" t="s">
        <v>1705</v>
      </c>
      <c r="AA1251" s="5" t="s">
        <v>1717</v>
      </c>
      <c r="AC1251" s="8" t="str">
        <f>HYPERLINK("https://drive.google.com/file/d/16l1jY9Ctmcrv7Btlt03YD6EK0lH9keSs/view?usp=drivesdk", "Abrir_Factura")</f>
        <v>Abrir_Factura</v>
      </c>
      <c r="AD1251" s="9">
        <v>46032.652222222219</v>
      </c>
    </row>
    <row r="1252" spans="1:30" ht="12.5">
      <c r="A1252" s="4">
        <v>46032.608624548608</v>
      </c>
      <c r="B1252" s="5">
        <v>90989</v>
      </c>
      <c r="C1252" s="5">
        <v>1193218694</v>
      </c>
      <c r="D1252" s="5" t="s">
        <v>182</v>
      </c>
      <c r="F1252" s="5" t="s">
        <v>1585</v>
      </c>
      <c r="H1252" s="5">
        <v>573016646459</v>
      </c>
      <c r="J1252" s="5" t="s">
        <v>5865</v>
      </c>
      <c r="K1252" s="5" t="s">
        <v>33</v>
      </c>
      <c r="L1252" s="5" t="s">
        <v>34</v>
      </c>
      <c r="M1252" s="5"/>
      <c r="N1252" s="6">
        <v>46033</v>
      </c>
      <c r="O1252" s="7">
        <v>0</v>
      </c>
      <c r="P1252" s="5">
        <v>1</v>
      </c>
      <c r="Q1252" s="5" t="s">
        <v>57</v>
      </c>
      <c r="R1252" s="5">
        <v>120000</v>
      </c>
      <c r="S1252" s="5">
        <v>0</v>
      </c>
      <c r="T1252" s="5">
        <v>0</v>
      </c>
      <c r="U1252" s="5">
        <v>120000</v>
      </c>
      <c r="V1252" s="5" t="s">
        <v>5866</v>
      </c>
      <c r="W1252" s="5" t="s">
        <v>36</v>
      </c>
      <c r="X1252" s="5" t="s">
        <v>67</v>
      </c>
      <c r="Z1252" s="5" t="s">
        <v>182</v>
      </c>
      <c r="AA1252" s="5" t="s">
        <v>44</v>
      </c>
      <c r="AC1252" s="8" t="str">
        <f>HYPERLINK("https://drive.google.com/file/d/1VttG55MKom1ebv0AuGpcUbPYxfxvOGbQ/view?usp=drivesdk", "Abrir_Factura")</f>
        <v>Abrir_Factura</v>
      </c>
      <c r="AD1252" s="9">
        <v>46032.660763888889</v>
      </c>
    </row>
    <row r="1253" spans="1:30" ht="12.5">
      <c r="A1253" s="4">
        <v>46032.658587962964</v>
      </c>
      <c r="B1253" s="5">
        <v>90990</v>
      </c>
      <c r="C1253" s="5">
        <v>1047454713</v>
      </c>
      <c r="D1253" s="5" t="s">
        <v>4241</v>
      </c>
      <c r="F1253" s="5" t="s">
        <v>5867</v>
      </c>
      <c r="H1253" s="5">
        <v>573008100681</v>
      </c>
      <c r="J1253" s="5" t="s">
        <v>5868</v>
      </c>
      <c r="K1253" s="5" t="s">
        <v>892</v>
      </c>
      <c r="L1253" s="5" t="s">
        <v>5869</v>
      </c>
      <c r="M1253" s="5">
        <v>3178550949</v>
      </c>
      <c r="N1253" s="6">
        <v>46035</v>
      </c>
      <c r="O1253" s="7">
        <v>0.75</v>
      </c>
      <c r="P1253" s="5">
        <v>1</v>
      </c>
      <c r="Q1253" s="5" t="s">
        <v>156</v>
      </c>
      <c r="R1253" s="5">
        <v>70000</v>
      </c>
      <c r="S1253" s="5">
        <v>0</v>
      </c>
      <c r="T1253" s="5">
        <v>10000</v>
      </c>
      <c r="U1253" s="5">
        <v>80000</v>
      </c>
      <c r="V1253" s="5" t="s">
        <v>5870</v>
      </c>
      <c r="W1253" s="5" t="s">
        <v>36</v>
      </c>
      <c r="X1253" s="5" t="s">
        <v>67</v>
      </c>
      <c r="Z1253" s="5" t="s">
        <v>5871</v>
      </c>
      <c r="AA1253" s="5" t="s">
        <v>44</v>
      </c>
      <c r="AB1253" s="5" t="s">
        <v>5872</v>
      </c>
      <c r="AC1253" s="8" t="str">
        <f>HYPERLINK("https://drive.google.com/file/d/1aWFfsEAC2POISLYaCtHQgTKyBEUvDnPm/view?usp=drivesdk", "Abrir_Factura")</f>
        <v>Abrir_Factura</v>
      </c>
      <c r="AD1253" s="9">
        <v>46032.665844907409</v>
      </c>
    </row>
    <row r="1254" spans="1:30" ht="12.5">
      <c r="A1254" s="4">
        <v>46032.689168761572</v>
      </c>
      <c r="B1254" s="5">
        <v>90991</v>
      </c>
      <c r="C1254" s="5">
        <v>1048075537</v>
      </c>
      <c r="D1254" s="5" t="s">
        <v>3126</v>
      </c>
      <c r="F1254" s="5" t="s">
        <v>5873</v>
      </c>
      <c r="H1254" s="5">
        <v>57301243813791</v>
      </c>
      <c r="J1254" s="5" t="s">
        <v>5874</v>
      </c>
      <c r="K1254" s="5" t="s">
        <v>33</v>
      </c>
      <c r="L1254" s="5" t="s">
        <v>34</v>
      </c>
      <c r="M1254" s="5">
        <v>301243813791</v>
      </c>
      <c r="N1254" s="6">
        <v>46032</v>
      </c>
      <c r="O1254" s="7">
        <v>0</v>
      </c>
      <c r="P1254" s="5">
        <v>1</v>
      </c>
      <c r="Q1254" s="5" t="s">
        <v>42</v>
      </c>
      <c r="R1254" s="5">
        <v>100000</v>
      </c>
      <c r="S1254" s="5">
        <v>0</v>
      </c>
      <c r="T1254" s="5">
        <v>0</v>
      </c>
      <c r="U1254" s="5">
        <v>100000</v>
      </c>
      <c r="V1254" s="5"/>
      <c r="W1254" s="5" t="s">
        <v>36</v>
      </c>
      <c r="X1254" s="5" t="s">
        <v>196</v>
      </c>
      <c r="AA1254" s="5" t="s">
        <v>1717</v>
      </c>
      <c r="AC1254" s="8" t="str">
        <f>HYPERLINK("https://drive.google.com/file/d/1EJMhqlb2mugraH1Qy_7nd8mdafLh-OBT/view?usp=drivesdk", "Abrir_Factura")</f>
        <v>Abrir_Factura</v>
      </c>
      <c r="AD1254" s="9">
        <v>46032.689930555556</v>
      </c>
    </row>
    <row r="1255" spans="1:30" ht="12.5">
      <c r="A1255" s="4">
        <v>46032.696119699074</v>
      </c>
      <c r="B1255" s="5">
        <v>90992</v>
      </c>
      <c r="C1255" s="5">
        <v>1083034537</v>
      </c>
      <c r="D1255" s="5" t="s">
        <v>5875</v>
      </c>
      <c r="F1255" s="5" t="s">
        <v>5876</v>
      </c>
      <c r="H1255" s="5">
        <v>573012157433</v>
      </c>
      <c r="J1255" s="5" t="s">
        <v>5877</v>
      </c>
      <c r="K1255" s="5" t="s">
        <v>33</v>
      </c>
      <c r="L1255" s="5" t="s">
        <v>34</v>
      </c>
      <c r="M1255" s="5">
        <v>3012157433</v>
      </c>
      <c r="N1255" s="6">
        <v>46032</v>
      </c>
      <c r="O1255" s="7">
        <v>0</v>
      </c>
      <c r="P1255" s="5">
        <v>1</v>
      </c>
      <c r="Q1255" s="5" t="s">
        <v>5878</v>
      </c>
      <c r="R1255" s="5">
        <v>110000</v>
      </c>
      <c r="S1255" s="5">
        <v>0</v>
      </c>
      <c r="T1255" s="5">
        <v>0</v>
      </c>
      <c r="U1255" s="5">
        <v>110000</v>
      </c>
      <c r="V1255" s="5"/>
      <c r="W1255" s="5" t="s">
        <v>36</v>
      </c>
      <c r="X1255" s="5" t="s">
        <v>67</v>
      </c>
      <c r="AA1255" s="5" t="s">
        <v>1717</v>
      </c>
      <c r="AC1255" s="8" t="str">
        <f>HYPERLINK("https://drive.google.com/file/d/1jhIAg0CenTdFDd0ophJxfbZNyZkx7RR5/view?usp=drivesdk", "Abrir_Factura")</f>
        <v>Abrir_Factura</v>
      </c>
      <c r="AD1255" s="9">
        <v>46032.703368055554</v>
      </c>
    </row>
    <row r="1256" spans="1:30" ht="12.5">
      <c r="A1256" s="4">
        <v>46034.524611076384</v>
      </c>
      <c r="B1256" s="5">
        <v>90993</v>
      </c>
      <c r="C1256" s="5">
        <v>1001915010</v>
      </c>
      <c r="D1256" s="5" t="s">
        <v>2385</v>
      </c>
      <c r="F1256" s="5" t="s">
        <v>591</v>
      </c>
      <c r="H1256" s="5">
        <v>573206886831</v>
      </c>
      <c r="J1256" s="5" t="s">
        <v>5879</v>
      </c>
      <c r="K1256" s="5" t="s">
        <v>405</v>
      </c>
      <c r="L1256" s="5" t="s">
        <v>5880</v>
      </c>
      <c r="M1256" s="5">
        <v>3103530229</v>
      </c>
      <c r="N1256" s="6">
        <v>46035</v>
      </c>
      <c r="O1256" s="7">
        <v>0</v>
      </c>
      <c r="P1256" s="5">
        <v>1</v>
      </c>
      <c r="Q1256" s="5" t="s">
        <v>210</v>
      </c>
      <c r="R1256" s="5">
        <v>150000</v>
      </c>
      <c r="S1256" s="5">
        <v>0</v>
      </c>
      <c r="T1256" s="5">
        <v>30000</v>
      </c>
      <c r="U1256" s="5">
        <v>180000</v>
      </c>
      <c r="V1256" s="5" t="s">
        <v>5881</v>
      </c>
      <c r="W1256" s="5" t="s">
        <v>36</v>
      </c>
      <c r="X1256" s="5" t="s">
        <v>67</v>
      </c>
      <c r="Z1256" s="5" t="s">
        <v>5882</v>
      </c>
      <c r="AA1256" s="5" t="s">
        <v>69</v>
      </c>
      <c r="AB1256" s="5" t="s">
        <v>5883</v>
      </c>
      <c r="AC1256" s="8" t="str">
        <f>HYPERLINK("https://drive.google.com/file/d/109X1HnmeOFIOVm3zql8DwR2HT0xqzkCg/view?usp=drivesdk", "Abrir_Factura")</f>
        <v>Abrir_Factura</v>
      </c>
      <c r="AD1256" s="9">
        <v>46035.308715277781</v>
      </c>
    </row>
    <row r="1257" spans="1:30" ht="12.5">
      <c r="A1257" s="4">
        <v>46035.359918692135</v>
      </c>
      <c r="B1257" s="5">
        <v>90994</v>
      </c>
      <c r="C1257" s="5">
        <v>3126578363</v>
      </c>
      <c r="D1257" s="5" t="s">
        <v>5884</v>
      </c>
      <c r="F1257" s="5" t="s">
        <v>5885</v>
      </c>
      <c r="H1257" s="5">
        <v>573126578363</v>
      </c>
      <c r="J1257" s="5" t="s">
        <v>5886</v>
      </c>
      <c r="K1257" s="5" t="s">
        <v>33</v>
      </c>
      <c r="L1257" s="5" t="s">
        <v>34</v>
      </c>
      <c r="M1257" s="5"/>
      <c r="N1257" s="6">
        <v>46035</v>
      </c>
      <c r="O1257" s="7">
        <v>0.375</v>
      </c>
      <c r="P1257" s="5">
        <v>1</v>
      </c>
      <c r="Q1257" s="5" t="s">
        <v>75</v>
      </c>
      <c r="R1257" s="5">
        <v>70000</v>
      </c>
      <c r="S1257" s="5">
        <v>0</v>
      </c>
      <c r="T1257" s="5">
        <v>0</v>
      </c>
      <c r="U1257" s="5">
        <v>70000</v>
      </c>
      <c r="V1257" s="5"/>
      <c r="W1257" s="5" t="s">
        <v>36</v>
      </c>
      <c r="X1257" s="5" t="s">
        <v>43</v>
      </c>
      <c r="AA1257" s="5" t="s">
        <v>37</v>
      </c>
      <c r="AB1257" s="5" t="s">
        <v>5887</v>
      </c>
      <c r="AC1257" s="8" t="str">
        <f>HYPERLINK("https://drive.google.com/file/d/1JWtu1ojSTWSj7RuitesDV16_OUxJe7qg/view?usp=drivesdk", "Abrir_Factura")</f>
        <v>Abrir_Factura</v>
      </c>
      <c r="AD1257" s="9">
        <v>46035.360578703701</v>
      </c>
    </row>
    <row r="1258" spans="1:30" ht="12.5">
      <c r="A1258" s="4">
        <v>46035.354604953704</v>
      </c>
      <c r="B1258" s="5">
        <v>90995</v>
      </c>
      <c r="C1258" s="5">
        <v>1140820692</v>
      </c>
      <c r="D1258" s="5" t="s">
        <v>825</v>
      </c>
      <c r="F1258" s="5" t="s">
        <v>5888</v>
      </c>
      <c r="H1258" s="5">
        <v>573013501441</v>
      </c>
      <c r="J1258" s="5" t="s">
        <v>5889</v>
      </c>
      <c r="K1258" s="5" t="s">
        <v>103</v>
      </c>
      <c r="L1258" s="5" t="s">
        <v>5890</v>
      </c>
      <c r="M1258" s="5">
        <v>3013501441</v>
      </c>
      <c r="N1258" s="6">
        <v>46038</v>
      </c>
      <c r="O1258" s="7">
        <v>0.41666666666666669</v>
      </c>
      <c r="P1258" s="5">
        <v>1</v>
      </c>
      <c r="Q1258" s="5" t="s">
        <v>576</v>
      </c>
      <c r="R1258" s="5">
        <v>120000</v>
      </c>
      <c r="S1258" s="5">
        <v>0</v>
      </c>
      <c r="T1258" s="5">
        <v>10000</v>
      </c>
      <c r="U1258" s="5">
        <v>130000</v>
      </c>
      <c r="V1258" s="5" t="s">
        <v>2526</v>
      </c>
      <c r="W1258" s="5" t="s">
        <v>36</v>
      </c>
      <c r="X1258" s="5" t="s">
        <v>67</v>
      </c>
      <c r="Z1258" s="5" t="s">
        <v>5891</v>
      </c>
      <c r="AA1258" s="5" t="s">
        <v>44</v>
      </c>
      <c r="AC1258" s="8" t="str">
        <f>HYPERLINK("https://drive.google.com/file/d/1h0tTseP3op6J_UZkkJ9dg4kzOqnTYLUr/view?usp=drivesdk", "Abrir_Factura")</f>
        <v>Abrir_Factura</v>
      </c>
      <c r="AD1258" s="9">
        <v>46035.363506944443</v>
      </c>
    </row>
    <row r="1259" spans="1:30" ht="12.5">
      <c r="A1259" s="4">
        <v>46035.375838055552</v>
      </c>
      <c r="B1259" s="5">
        <v>90996</v>
      </c>
      <c r="C1259" s="5">
        <v>1140815178</v>
      </c>
      <c r="D1259" s="5" t="s">
        <v>5176</v>
      </c>
      <c r="F1259" s="5" t="s">
        <v>5177</v>
      </c>
      <c r="H1259" s="5">
        <v>573003851130</v>
      </c>
      <c r="J1259" s="5" t="s">
        <v>5892</v>
      </c>
      <c r="K1259" s="5"/>
      <c r="L1259" s="5" t="s">
        <v>5893</v>
      </c>
      <c r="M1259" s="5">
        <v>3003851130</v>
      </c>
      <c r="N1259" s="6">
        <v>46035</v>
      </c>
      <c r="O1259" s="7">
        <v>0</v>
      </c>
      <c r="P1259" s="5">
        <v>1</v>
      </c>
      <c r="Q1259" s="5" t="s">
        <v>42</v>
      </c>
      <c r="R1259" s="5">
        <v>190000</v>
      </c>
      <c r="S1259" s="5">
        <v>0</v>
      </c>
      <c r="T1259" s="5"/>
      <c r="U1259" s="5">
        <v>190000</v>
      </c>
      <c r="V1259" s="5"/>
      <c r="W1259" s="5" t="s">
        <v>36</v>
      </c>
      <c r="X1259" s="5" t="s">
        <v>83</v>
      </c>
      <c r="AA1259" s="5" t="s">
        <v>1717</v>
      </c>
      <c r="AB1259" s="5" t="s">
        <v>5894</v>
      </c>
      <c r="AC1259" s="8" t="str">
        <f>HYPERLINK("https://drive.google.com/file/d/1IMq_psL6QpECiYQhZ7K4zQLucn_mLU2j/view?usp=drivesdk", "Abrir_Factura")</f>
        <v>Abrir_Factura</v>
      </c>
      <c r="AD1259" s="9">
        <v>46035.688252314816</v>
      </c>
    </row>
    <row r="1260" spans="1:30" ht="12.5">
      <c r="A1260" s="4">
        <v>46035.371596851852</v>
      </c>
      <c r="B1260" s="5">
        <v>90997</v>
      </c>
      <c r="C1260" s="5">
        <v>1047485147</v>
      </c>
      <c r="D1260" s="5" t="s">
        <v>5895</v>
      </c>
      <c r="F1260" s="5" t="s">
        <v>5896</v>
      </c>
      <c r="H1260" s="5">
        <v>573214871570</v>
      </c>
      <c r="J1260" s="5" t="s">
        <v>5897</v>
      </c>
      <c r="K1260" s="5" t="s">
        <v>5898</v>
      </c>
      <c r="L1260" s="5" t="s">
        <v>5899</v>
      </c>
      <c r="M1260" s="5">
        <v>3014787645</v>
      </c>
      <c r="N1260" s="6">
        <v>46035</v>
      </c>
      <c r="O1260" s="7">
        <v>0.41666666666666669</v>
      </c>
      <c r="P1260" s="5">
        <v>1</v>
      </c>
      <c r="Q1260" s="5" t="s">
        <v>65</v>
      </c>
      <c r="R1260" s="5">
        <v>70000</v>
      </c>
      <c r="S1260" s="5">
        <v>0</v>
      </c>
      <c r="T1260" s="5">
        <v>17000</v>
      </c>
      <c r="U1260" s="5">
        <v>87000</v>
      </c>
      <c r="V1260" s="5" t="s">
        <v>5900</v>
      </c>
      <c r="W1260" s="5" t="s">
        <v>36</v>
      </c>
      <c r="X1260" s="5" t="s">
        <v>67</v>
      </c>
      <c r="Z1260" s="5" t="s">
        <v>1069</v>
      </c>
      <c r="AA1260" s="5" t="s">
        <v>44</v>
      </c>
      <c r="AB1260" s="5" t="s">
        <v>5901</v>
      </c>
      <c r="AC1260" s="8" t="str">
        <f>HYPERLINK("https://drive.google.com/file/d/1Mv3SsGQonG-kM9xEkdFn_bcuwY8wLoGd/view?usp=drivesdk", "Abrir_Factura")</f>
        <v>Abrir_Factura</v>
      </c>
      <c r="AD1260" s="9">
        <v>46035.399201388886</v>
      </c>
    </row>
    <row r="1261" spans="1:30" ht="12.5">
      <c r="A1261" s="4">
        <v>46035.390273958328</v>
      </c>
      <c r="B1261" s="5">
        <v>90998</v>
      </c>
      <c r="C1261" s="5">
        <v>84039979</v>
      </c>
      <c r="D1261" s="5" t="s">
        <v>1702</v>
      </c>
      <c r="F1261" s="5" t="s">
        <v>5902</v>
      </c>
      <c r="H1261" s="5">
        <v>573007073426</v>
      </c>
      <c r="J1261" s="5" t="s">
        <v>5903</v>
      </c>
      <c r="K1261" s="5" t="s">
        <v>33</v>
      </c>
      <c r="L1261" s="5" t="s">
        <v>34</v>
      </c>
      <c r="M1261" s="5">
        <v>3007073426</v>
      </c>
      <c r="N1261" s="6">
        <v>46035</v>
      </c>
      <c r="O1261" s="7">
        <v>0.39583333333333331</v>
      </c>
      <c r="P1261" s="5">
        <v>1</v>
      </c>
      <c r="Q1261" s="5" t="s">
        <v>178</v>
      </c>
      <c r="R1261" s="5">
        <v>100000</v>
      </c>
      <c r="S1261" s="5">
        <v>0</v>
      </c>
      <c r="T1261" s="5">
        <v>0</v>
      </c>
      <c r="U1261" s="5">
        <v>100000</v>
      </c>
      <c r="V1261" s="5"/>
      <c r="W1261" s="5" t="s">
        <v>36</v>
      </c>
      <c r="X1261" s="5" t="s">
        <v>67</v>
      </c>
      <c r="AA1261" s="5" t="s">
        <v>44</v>
      </c>
      <c r="AC1261" s="8" t="str">
        <f>HYPERLINK("https://drive.google.com/file/d/12C2cQCIyU_j3n7L0uS8y24zJTVfoIzTw/view?usp=drivesdk", "Abrir_Factura")</f>
        <v>Abrir_Factura</v>
      </c>
      <c r="AD1261" s="9">
        <v>46035.391006944446</v>
      </c>
    </row>
    <row r="1262" spans="1:30" ht="12.5">
      <c r="A1262" s="4">
        <v>46035.386189062498</v>
      </c>
      <c r="B1262" s="5">
        <v>90999</v>
      </c>
      <c r="C1262" s="5">
        <v>80054549</v>
      </c>
      <c r="D1262" s="5" t="s">
        <v>2575</v>
      </c>
      <c r="F1262" s="5" t="s">
        <v>5904</v>
      </c>
      <c r="H1262" s="5">
        <v>573202432446</v>
      </c>
      <c r="J1262" s="5" t="s">
        <v>5905</v>
      </c>
      <c r="K1262" s="5" t="s">
        <v>33</v>
      </c>
      <c r="L1262" s="5" t="s">
        <v>34</v>
      </c>
      <c r="M1262" s="5">
        <v>3202432446</v>
      </c>
      <c r="N1262" s="6">
        <v>46035</v>
      </c>
      <c r="O1262" s="7">
        <v>0.45833333333333331</v>
      </c>
      <c r="P1262" s="5">
        <v>1</v>
      </c>
      <c r="Q1262" s="5" t="s">
        <v>5906</v>
      </c>
      <c r="R1262" s="5">
        <v>220000</v>
      </c>
      <c r="S1262" s="5">
        <v>0</v>
      </c>
      <c r="T1262" s="5">
        <v>0</v>
      </c>
      <c r="U1262" s="5">
        <v>220000</v>
      </c>
      <c r="V1262" s="5"/>
      <c r="W1262" s="5" t="s">
        <v>36</v>
      </c>
      <c r="X1262" s="5" t="s">
        <v>67</v>
      </c>
      <c r="AA1262" s="5" t="s">
        <v>44</v>
      </c>
      <c r="AC1262" s="8" t="str">
        <f>HYPERLINK("https://drive.google.com/file/d/1mgQrb515YIvGAMqDsD4vWk4e9j0qJ8-0/view?usp=drivesdk", "Abrir_Factura")</f>
        <v>Abrir_Factura</v>
      </c>
      <c r="AD1262" s="9">
        <v>46035.393865740742</v>
      </c>
    </row>
    <row r="1263" spans="1:30" ht="12.5">
      <c r="A1263" s="4">
        <v>46035.398441180558</v>
      </c>
      <c r="B1263" s="5">
        <v>91000</v>
      </c>
      <c r="C1263" s="5">
        <v>900916475</v>
      </c>
      <c r="D1263" s="5" t="s">
        <v>4674</v>
      </c>
      <c r="F1263" s="10" t="s">
        <v>3330</v>
      </c>
      <c r="H1263" s="5">
        <v>573002627762</v>
      </c>
      <c r="J1263" s="5" t="s">
        <v>4674</v>
      </c>
      <c r="K1263" s="5" t="s">
        <v>33</v>
      </c>
      <c r="L1263" s="5" t="s">
        <v>34</v>
      </c>
      <c r="M1263" s="5">
        <v>3002627762</v>
      </c>
      <c r="N1263" s="6">
        <v>46035</v>
      </c>
      <c r="O1263" s="7">
        <v>0</v>
      </c>
      <c r="P1263" s="5">
        <v>1</v>
      </c>
      <c r="Q1263" s="5" t="s">
        <v>42</v>
      </c>
      <c r="R1263" s="5">
        <v>180000</v>
      </c>
      <c r="S1263" s="5">
        <v>0</v>
      </c>
      <c r="T1263" s="5">
        <v>0</v>
      </c>
      <c r="U1263" s="5">
        <v>180000</v>
      </c>
      <c r="V1263" s="5"/>
      <c r="W1263" s="5" t="s">
        <v>36</v>
      </c>
      <c r="X1263" s="5" t="s">
        <v>43</v>
      </c>
      <c r="AA1263" s="5" t="s">
        <v>44</v>
      </c>
      <c r="AB1263" s="5" t="s">
        <v>4274</v>
      </c>
      <c r="AC1263" s="8" t="str">
        <f>HYPERLINK("https://drive.google.com/file/d/1dWAS-Hpo6LBXcpmOYUCrphdKWgHnwIJ9/view?usp=drivesdk", "Abrir_Factura")</f>
        <v>Abrir_Factura</v>
      </c>
      <c r="AD1263" s="9">
        <v>46035.399004629631</v>
      </c>
    </row>
    <row r="1264" spans="1:30" ht="12.5">
      <c r="A1264" s="4">
        <v>46035.382885914354</v>
      </c>
      <c r="B1264" s="5">
        <v>91001</v>
      </c>
      <c r="C1264" s="5">
        <v>1047040080</v>
      </c>
      <c r="D1264" s="5" t="s">
        <v>5907</v>
      </c>
      <c r="F1264" s="5" t="s">
        <v>5908</v>
      </c>
      <c r="H1264" s="5">
        <v>573044900659</v>
      </c>
      <c r="J1264" s="5" t="s">
        <v>5909</v>
      </c>
      <c r="K1264" s="5" t="s">
        <v>161</v>
      </c>
      <c r="L1264" s="5" t="s">
        <v>5910</v>
      </c>
      <c r="M1264" s="5">
        <v>3023618030</v>
      </c>
      <c r="N1264" s="6">
        <v>46035</v>
      </c>
      <c r="O1264" s="7">
        <v>0.45833333333333331</v>
      </c>
      <c r="P1264" s="5">
        <v>1</v>
      </c>
      <c r="Q1264" s="5" t="s">
        <v>309</v>
      </c>
      <c r="R1264" s="5">
        <v>80000</v>
      </c>
      <c r="S1264" s="5">
        <v>0</v>
      </c>
      <c r="T1264" s="5">
        <v>8000</v>
      </c>
      <c r="U1264" s="5">
        <v>88000</v>
      </c>
      <c r="V1264" s="5"/>
      <c r="W1264" s="5" t="s">
        <v>36</v>
      </c>
      <c r="X1264" s="5" t="s">
        <v>67</v>
      </c>
      <c r="AA1264" s="5" t="s">
        <v>44</v>
      </c>
      <c r="AC1264" s="8" t="str">
        <f>HYPERLINK("https://drive.google.com/file/d/1owWSPii9JD3Fh3CC0BTXpCij9R_dnoIN/view?usp=drivesdk", "Abrir_Factura")</f>
        <v>Abrir_Factura</v>
      </c>
      <c r="AD1264" s="9">
        <v>46035.402361111112</v>
      </c>
    </row>
    <row r="1265" spans="1:30" ht="12.5">
      <c r="A1265" s="4">
        <v>46035.403776458334</v>
      </c>
      <c r="B1265" s="5">
        <v>91002</v>
      </c>
      <c r="C1265" s="5">
        <v>1001853523</v>
      </c>
      <c r="D1265" s="5" t="s">
        <v>638</v>
      </c>
      <c r="F1265" s="5" t="s">
        <v>5911</v>
      </c>
      <c r="H1265" s="5">
        <v>573011561394</v>
      </c>
      <c r="J1265" s="5" t="s">
        <v>5912</v>
      </c>
      <c r="K1265" s="5" t="s">
        <v>464</v>
      </c>
      <c r="L1265" s="5" t="s">
        <v>5913</v>
      </c>
      <c r="M1265" s="5">
        <v>3245334967</v>
      </c>
      <c r="N1265" s="6">
        <v>46035</v>
      </c>
      <c r="O1265" s="7">
        <v>0</v>
      </c>
      <c r="P1265" s="5">
        <v>1</v>
      </c>
      <c r="Q1265" s="5" t="s">
        <v>75</v>
      </c>
      <c r="R1265" s="5">
        <v>70000</v>
      </c>
      <c r="S1265" s="5">
        <v>0</v>
      </c>
      <c r="T1265" s="5">
        <v>20000</v>
      </c>
      <c r="U1265" s="5">
        <v>90000</v>
      </c>
      <c r="V1265" s="5"/>
      <c r="W1265" s="5" t="s">
        <v>36</v>
      </c>
      <c r="X1265" s="5" t="s">
        <v>67</v>
      </c>
      <c r="AA1265" s="5" t="s">
        <v>44</v>
      </c>
      <c r="AC1265" s="8" t="str">
        <f>HYPERLINK("https://drive.google.com/file/d/198MuHrUDYXyVIiznWcLKGX2891TzNs-j/view?usp=drivesdk", "Abrir_Factura")</f>
        <v>Abrir_Factura</v>
      </c>
      <c r="AD1265" s="9">
        <v>46035.407465277778</v>
      </c>
    </row>
    <row r="1266" spans="1:30" ht="12.5">
      <c r="A1266" s="4">
        <v>46035.420305879627</v>
      </c>
      <c r="B1266" s="5">
        <v>91003</v>
      </c>
      <c r="C1266" s="5">
        <v>1140839996</v>
      </c>
      <c r="D1266" s="5" t="s">
        <v>2721</v>
      </c>
      <c r="F1266" s="5" t="s">
        <v>2722</v>
      </c>
      <c r="H1266" s="5">
        <v>573145783942</v>
      </c>
      <c r="J1266" s="5" t="s">
        <v>5914</v>
      </c>
      <c r="K1266" s="5"/>
      <c r="L1266" s="5" t="s">
        <v>5915</v>
      </c>
      <c r="M1266" s="5">
        <v>3145783942</v>
      </c>
      <c r="N1266" s="6">
        <v>46035</v>
      </c>
      <c r="O1266" s="7">
        <v>0.45833333333333331</v>
      </c>
      <c r="P1266" s="5">
        <v>1</v>
      </c>
      <c r="Q1266" s="5" t="s">
        <v>239</v>
      </c>
      <c r="R1266" s="5">
        <v>380000</v>
      </c>
      <c r="S1266" s="5">
        <v>0</v>
      </c>
      <c r="T1266" s="5"/>
      <c r="U1266" s="5">
        <v>380000</v>
      </c>
      <c r="V1266" s="5" t="s">
        <v>5916</v>
      </c>
      <c r="W1266" s="5" t="s">
        <v>36</v>
      </c>
      <c r="X1266" s="5" t="s">
        <v>67</v>
      </c>
      <c r="AA1266" s="5" t="s">
        <v>44</v>
      </c>
      <c r="AB1266" s="5" t="s">
        <v>5294</v>
      </c>
      <c r="AC1266" s="8" t="str">
        <f>HYPERLINK("https://drive.google.com/file/d/1oqw9EDZ--PT-XKGqcVzaaC8bROspsw53/view?usp=drivesdk", "Abrir_Factura")</f>
        <v>Abrir_Factura</v>
      </c>
      <c r="AD1266" s="9">
        <v>46035.421493055554</v>
      </c>
    </row>
    <row r="1267" spans="1:30" ht="12.5">
      <c r="A1267" s="4">
        <v>46035.422642488425</v>
      </c>
      <c r="B1267" s="5">
        <v>91004</v>
      </c>
      <c r="C1267" s="5">
        <v>72167595</v>
      </c>
      <c r="D1267" s="5" t="s">
        <v>5917</v>
      </c>
      <c r="F1267" s="5" t="s">
        <v>4646</v>
      </c>
      <c r="H1267" s="5">
        <v>573184559976</v>
      </c>
      <c r="J1267" s="5" t="s">
        <v>5918</v>
      </c>
      <c r="K1267" s="5" t="s">
        <v>185</v>
      </c>
      <c r="L1267" s="5" t="s">
        <v>5919</v>
      </c>
      <c r="M1267" s="5">
        <v>3205660688</v>
      </c>
      <c r="N1267" s="6">
        <v>46035</v>
      </c>
      <c r="O1267" s="7">
        <v>0</v>
      </c>
      <c r="P1267" s="5">
        <v>1</v>
      </c>
      <c r="Q1267" s="5" t="s">
        <v>380</v>
      </c>
      <c r="R1267" s="5">
        <v>300000</v>
      </c>
      <c r="S1267" s="5">
        <v>0</v>
      </c>
      <c r="T1267" s="5">
        <v>8000</v>
      </c>
      <c r="U1267" s="5">
        <v>308000</v>
      </c>
      <c r="V1267" s="5" t="s">
        <v>5920</v>
      </c>
      <c r="W1267" s="5" t="s">
        <v>36</v>
      </c>
      <c r="X1267" s="5" t="s">
        <v>67</v>
      </c>
      <c r="Z1267" s="5" t="s">
        <v>5921</v>
      </c>
      <c r="AA1267" s="5" t="s">
        <v>44</v>
      </c>
      <c r="AB1267" s="5" t="s">
        <v>5922</v>
      </c>
      <c r="AC1267" s="8" t="str">
        <f>HYPERLINK("https://drive.google.com/file/d/1QZz7ih-rjRS8tC8kUic1lIDhoti_e4b-/view?usp=drivesdk", "Abrir_Factura")</f>
        <v>Abrir_Factura</v>
      </c>
      <c r="AD1267" s="9">
        <v>46035.433506944442</v>
      </c>
    </row>
    <row r="1268" spans="1:30" ht="12.5">
      <c r="A1268" s="4">
        <v>46035.433911354165</v>
      </c>
      <c r="B1268" s="5">
        <v>91005</v>
      </c>
      <c r="C1268" s="5">
        <v>85470895</v>
      </c>
      <c r="D1268" s="5" t="s">
        <v>5182</v>
      </c>
      <c r="F1268" s="5" t="s">
        <v>5923</v>
      </c>
      <c r="H1268" s="5">
        <v>573006624819</v>
      </c>
      <c r="J1268" s="5" t="s">
        <v>5924</v>
      </c>
      <c r="K1268" s="5" t="s">
        <v>73</v>
      </c>
      <c r="L1268" s="5" t="s">
        <v>5925</v>
      </c>
      <c r="M1268" s="5"/>
      <c r="N1268" s="6">
        <v>46035</v>
      </c>
      <c r="O1268" s="7">
        <v>0.45833333333333331</v>
      </c>
      <c r="P1268" s="5">
        <v>1</v>
      </c>
      <c r="Q1268" s="5" t="s">
        <v>384</v>
      </c>
      <c r="R1268" s="5">
        <v>180000</v>
      </c>
      <c r="S1268" s="5">
        <v>0</v>
      </c>
      <c r="T1268" s="5">
        <v>8000</v>
      </c>
      <c r="U1268" s="5">
        <v>188000</v>
      </c>
      <c r="V1268" s="5" t="s">
        <v>5926</v>
      </c>
      <c r="W1268" s="5" t="s">
        <v>36</v>
      </c>
      <c r="X1268" s="5" t="s">
        <v>1937</v>
      </c>
      <c r="AA1268" s="5" t="s">
        <v>44</v>
      </c>
      <c r="AC1268" s="8" t="str">
        <f>HYPERLINK("https://drive.google.com/file/d/15FwilmAJlLx2M03gYhR4VuwFjX9-VmLw/view?usp=drivesdk", "Abrir_Factura")</f>
        <v>Abrir_Factura</v>
      </c>
      <c r="AD1268" s="9">
        <v>46035.434710648151</v>
      </c>
    </row>
    <row r="1269" spans="1:30" ht="12.5">
      <c r="A1269" s="4">
        <v>46035.424833703699</v>
      </c>
      <c r="B1269" s="5">
        <v>91006</v>
      </c>
      <c r="C1269" s="5">
        <v>1127226502</v>
      </c>
      <c r="D1269" s="5" t="s">
        <v>5927</v>
      </c>
      <c r="F1269" s="5" t="s">
        <v>5928</v>
      </c>
      <c r="H1269" s="5">
        <v>17863293183</v>
      </c>
      <c r="J1269" s="5" t="s">
        <v>5929</v>
      </c>
      <c r="K1269" s="5" t="s">
        <v>161</v>
      </c>
      <c r="L1269" s="5" t="s">
        <v>5930</v>
      </c>
      <c r="M1269" s="5"/>
      <c r="N1269" s="6">
        <v>46035</v>
      </c>
      <c r="O1269" s="7">
        <v>0.45833333333333331</v>
      </c>
      <c r="P1269" s="5">
        <v>1</v>
      </c>
      <c r="Q1269" s="5" t="s">
        <v>81</v>
      </c>
      <c r="R1269" s="5">
        <v>350000</v>
      </c>
      <c r="S1269" s="5">
        <v>0</v>
      </c>
      <c r="T1269" s="5">
        <v>8000</v>
      </c>
      <c r="U1269" s="5">
        <v>358000</v>
      </c>
      <c r="V1269" s="5" t="s">
        <v>5931</v>
      </c>
      <c r="W1269" s="5" t="s">
        <v>36</v>
      </c>
      <c r="X1269" s="5" t="s">
        <v>67</v>
      </c>
      <c r="Z1269" s="5" t="s">
        <v>5932</v>
      </c>
      <c r="AA1269" s="5" t="s">
        <v>44</v>
      </c>
      <c r="AC1269" s="8" t="str">
        <f>HYPERLINK("https://drive.google.com/file/d/1rlHINypetQYNdDenFJanOToJZ4HT4Zeu/view?usp=drivesdk", "Abrir_Factura")</f>
        <v>Abrir_Factura</v>
      </c>
      <c r="AD1269" s="9">
        <v>46035.450162037036</v>
      </c>
    </row>
    <row r="1270" spans="1:30" ht="12.5">
      <c r="A1270" s="4">
        <v>46035.471114548607</v>
      </c>
      <c r="B1270" s="5">
        <v>91007</v>
      </c>
      <c r="C1270" s="5">
        <v>1140846621</v>
      </c>
      <c r="D1270" s="5" t="s">
        <v>3650</v>
      </c>
      <c r="F1270" s="5" t="s">
        <v>5933</v>
      </c>
      <c r="H1270" s="5" t="s">
        <v>25421</v>
      </c>
      <c r="J1270" s="5" t="s">
        <v>5934</v>
      </c>
      <c r="K1270" s="5" t="s">
        <v>33</v>
      </c>
      <c r="L1270" s="5" t="s">
        <v>34</v>
      </c>
      <c r="M1270" s="5" t="s">
        <v>5935</v>
      </c>
      <c r="N1270" s="6">
        <v>46035</v>
      </c>
      <c r="O1270" s="7">
        <v>0</v>
      </c>
      <c r="P1270" s="5">
        <v>1</v>
      </c>
      <c r="Q1270" s="5" t="s">
        <v>75</v>
      </c>
      <c r="R1270" s="5">
        <v>70000</v>
      </c>
      <c r="S1270" s="5">
        <v>0</v>
      </c>
      <c r="T1270" s="5">
        <v>0</v>
      </c>
      <c r="U1270" s="5">
        <v>70000</v>
      </c>
      <c r="V1270" s="5"/>
      <c r="W1270" s="5" t="s">
        <v>36</v>
      </c>
      <c r="X1270" s="5" t="s">
        <v>43</v>
      </c>
      <c r="AA1270" s="5" t="s">
        <v>37</v>
      </c>
      <c r="AB1270" s="5" t="s">
        <v>5936</v>
      </c>
      <c r="AC1270" s="8" t="str">
        <f>HYPERLINK("https://drive.google.com/file/d/1U21-RaynAwBJUDGpt1-e66EtfqICfB45/view?usp=drivesdk", "Abrir_Factura")</f>
        <v>Abrir_Factura</v>
      </c>
      <c r="AD1270" s="9">
        <v>46035.471863425926</v>
      </c>
    </row>
    <row r="1271" spans="1:30" ht="12.5">
      <c r="A1271" s="4">
        <v>46035.473032349539</v>
      </c>
      <c r="B1271" s="5">
        <v>91008</v>
      </c>
      <c r="C1271" s="5">
        <v>1140870084</v>
      </c>
      <c r="D1271" s="5" t="s">
        <v>532</v>
      </c>
      <c r="F1271" s="5" t="s">
        <v>2729</v>
      </c>
      <c r="H1271" s="5">
        <v>573017487511</v>
      </c>
      <c r="J1271" s="5" t="s">
        <v>5937</v>
      </c>
      <c r="K1271" s="5" t="s">
        <v>73</v>
      </c>
      <c r="L1271" s="5" t="s">
        <v>5938</v>
      </c>
      <c r="M1271" s="5"/>
      <c r="N1271" s="6">
        <v>46035</v>
      </c>
      <c r="O1271" s="7">
        <v>0</v>
      </c>
      <c r="P1271" s="5">
        <v>1</v>
      </c>
      <c r="Q1271" s="5" t="s">
        <v>112</v>
      </c>
      <c r="R1271" s="5">
        <v>260000</v>
      </c>
      <c r="S1271" s="5">
        <v>0</v>
      </c>
      <c r="T1271" s="5">
        <v>8000</v>
      </c>
      <c r="U1271" s="5">
        <v>268000</v>
      </c>
      <c r="V1271" s="5" t="s">
        <v>5939</v>
      </c>
      <c r="W1271" s="5" t="s">
        <v>36</v>
      </c>
      <c r="X1271" s="5" t="s">
        <v>1937</v>
      </c>
      <c r="Z1271" s="5" t="s">
        <v>5940</v>
      </c>
      <c r="AA1271" s="5" t="s">
        <v>44</v>
      </c>
      <c r="AC1271" s="8" t="str">
        <f>HYPERLINK("https://drive.google.com/file/d/1XY9BU0cjXQ1q16AEcugzz2lbFrJcnAGy/view?usp=drivesdk", "Abrir_Factura")</f>
        <v>Abrir_Factura</v>
      </c>
      <c r="AD1271" s="9">
        <v>46035.479039351849</v>
      </c>
    </row>
    <row r="1272" spans="1:30" ht="12.5">
      <c r="A1272" s="4">
        <v>46035.473332199079</v>
      </c>
      <c r="B1272" s="5">
        <v>91009</v>
      </c>
      <c r="C1272" s="5">
        <v>72247284</v>
      </c>
      <c r="D1272" s="5" t="s">
        <v>968</v>
      </c>
      <c r="F1272" s="5" t="s">
        <v>5941</v>
      </c>
      <c r="H1272" s="5">
        <v>573014069141</v>
      </c>
      <c r="J1272" s="5" t="s">
        <v>5942</v>
      </c>
      <c r="K1272" s="5" t="s">
        <v>5943</v>
      </c>
      <c r="L1272" s="5" t="s">
        <v>5944</v>
      </c>
      <c r="M1272" s="5">
        <v>3002781302</v>
      </c>
      <c r="N1272" s="6">
        <v>46035</v>
      </c>
      <c r="O1272" s="7">
        <v>0.54166666666666663</v>
      </c>
      <c r="P1272" s="5">
        <v>1</v>
      </c>
      <c r="Q1272" s="5" t="s">
        <v>89</v>
      </c>
      <c r="R1272" s="5">
        <v>150000</v>
      </c>
      <c r="S1272" s="5">
        <v>0</v>
      </c>
      <c r="T1272" s="5">
        <v>35000</v>
      </c>
      <c r="U1272" s="5">
        <v>185000</v>
      </c>
      <c r="V1272" s="5" t="s">
        <v>5945</v>
      </c>
      <c r="W1272" s="5" t="s">
        <v>36</v>
      </c>
      <c r="X1272" s="5" t="s">
        <v>1937</v>
      </c>
      <c r="Z1272" s="5" t="s">
        <v>5946</v>
      </c>
      <c r="AA1272" s="5" t="s">
        <v>44</v>
      </c>
      <c r="AC1272" s="8" t="str">
        <f>HYPERLINK("https://drive.google.com/file/d/1MXHdDEE9Bn3A0-Xo29tBdG_6TgV2_ALZ/view?usp=drivesdk", "Abrir_Factura")</f>
        <v>Abrir_Factura</v>
      </c>
      <c r="AD1272" s="9">
        <v>46035.481527777774</v>
      </c>
    </row>
    <row r="1273" spans="1:30" ht="12.5">
      <c r="A1273" s="4">
        <v>46035.479155729168</v>
      </c>
      <c r="B1273" s="5">
        <v>91010</v>
      </c>
      <c r="C1273" s="5">
        <v>1140884635</v>
      </c>
      <c r="D1273" s="5" t="s">
        <v>3398</v>
      </c>
      <c r="F1273" s="5" t="s">
        <v>5947</v>
      </c>
      <c r="H1273" s="5">
        <v>573147755621</v>
      </c>
      <c r="J1273" s="5" t="s">
        <v>5948</v>
      </c>
      <c r="K1273" s="5" t="s">
        <v>563</v>
      </c>
      <c r="L1273" s="5" t="s">
        <v>5949</v>
      </c>
      <c r="M1273" s="5">
        <v>3023107660</v>
      </c>
      <c r="N1273" s="6">
        <v>46041</v>
      </c>
      <c r="O1273" s="7">
        <v>0</v>
      </c>
      <c r="P1273" s="5">
        <v>1</v>
      </c>
      <c r="Q1273" s="5" t="s">
        <v>375</v>
      </c>
      <c r="R1273" s="5">
        <v>70000</v>
      </c>
      <c r="S1273" s="5">
        <v>0</v>
      </c>
      <c r="T1273" s="5">
        <v>12000</v>
      </c>
      <c r="U1273" s="5">
        <v>82000</v>
      </c>
      <c r="V1273" s="5" t="s">
        <v>5950</v>
      </c>
      <c r="W1273" s="5" t="s">
        <v>36</v>
      </c>
      <c r="X1273" s="5" t="s">
        <v>67</v>
      </c>
      <c r="Z1273" s="5" t="s">
        <v>5951</v>
      </c>
      <c r="AA1273" s="5" t="s">
        <v>69</v>
      </c>
      <c r="AC1273" s="8" t="str">
        <f>HYPERLINK("https://drive.google.com/file/d/1_vfsi0q6Qg8xnyxxOjnj8rW9VXoUdPVM/view?usp=drivesdk", "Abrir_Factura")</f>
        <v>Abrir_Factura</v>
      </c>
      <c r="AD1273" s="9">
        <v>46035.48337962963</v>
      </c>
    </row>
    <row r="1274" spans="1:30" ht="12.5">
      <c r="A1274" s="4">
        <v>46035.493039710651</v>
      </c>
      <c r="B1274" s="5">
        <v>91011</v>
      </c>
      <c r="C1274" s="5">
        <v>1167839399</v>
      </c>
      <c r="D1274" s="5" t="s">
        <v>968</v>
      </c>
      <c r="F1274" s="5" t="s">
        <v>4193</v>
      </c>
      <c r="H1274" s="5">
        <v>573012574632</v>
      </c>
      <c r="J1274" s="5" t="s">
        <v>5952</v>
      </c>
      <c r="K1274" s="5" t="s">
        <v>185</v>
      </c>
      <c r="L1274" s="5" t="s">
        <v>5953</v>
      </c>
      <c r="M1274" s="5" t="s">
        <v>25421</v>
      </c>
      <c r="N1274" s="6">
        <v>46035</v>
      </c>
      <c r="O1274" s="7">
        <v>0.55763888888888891</v>
      </c>
      <c r="P1274" s="5">
        <v>1</v>
      </c>
      <c r="Q1274" s="5" t="s">
        <v>330</v>
      </c>
      <c r="R1274" s="5">
        <v>180000</v>
      </c>
      <c r="S1274" s="5">
        <v>0</v>
      </c>
      <c r="T1274" s="5">
        <v>8000</v>
      </c>
      <c r="U1274" s="5">
        <v>188000</v>
      </c>
      <c r="V1274" s="5" t="s">
        <v>5954</v>
      </c>
      <c r="W1274" s="5" t="s">
        <v>36</v>
      </c>
      <c r="X1274" s="5" t="s">
        <v>67</v>
      </c>
      <c r="AA1274" s="5" t="s">
        <v>69</v>
      </c>
      <c r="AC1274" s="8" t="str">
        <f>HYPERLINK("https://drive.google.com/file/d/1aflM2ry-smgq9KFuYBbxWTt1u9oMOwwD/view?usp=drivesdk", "Abrir_Factura")</f>
        <v>Abrir_Factura</v>
      </c>
      <c r="AD1274" s="9">
        <v>46035.551296296297</v>
      </c>
    </row>
    <row r="1275" spans="1:30" ht="12.5">
      <c r="A1275" s="4">
        <v>46035.515999571755</v>
      </c>
      <c r="B1275" s="5">
        <v>91012</v>
      </c>
      <c r="C1275" s="5">
        <v>1045686183</v>
      </c>
      <c r="D1275" s="5" t="s">
        <v>4856</v>
      </c>
      <c r="F1275" s="5" t="s">
        <v>2368</v>
      </c>
      <c r="H1275" s="5">
        <v>573012153002</v>
      </c>
      <c r="J1275" s="5" t="s">
        <v>5955</v>
      </c>
      <c r="K1275" s="5" t="s">
        <v>33</v>
      </c>
      <c r="L1275" s="5" t="s">
        <v>34</v>
      </c>
      <c r="M1275" s="5">
        <v>3012153002</v>
      </c>
      <c r="N1275" s="6">
        <v>46035</v>
      </c>
      <c r="O1275" s="7">
        <v>0</v>
      </c>
      <c r="P1275" s="5">
        <v>1</v>
      </c>
      <c r="Q1275" s="5" t="s">
        <v>5956</v>
      </c>
      <c r="R1275" s="5">
        <v>220000</v>
      </c>
      <c r="S1275" s="5">
        <v>0</v>
      </c>
      <c r="T1275" s="5">
        <v>0</v>
      </c>
      <c r="U1275" s="5">
        <v>220000</v>
      </c>
      <c r="V1275" s="5" t="s">
        <v>5957</v>
      </c>
      <c r="W1275" s="5" t="s">
        <v>36</v>
      </c>
      <c r="X1275" s="5" t="s">
        <v>67</v>
      </c>
      <c r="AA1275" s="5" t="s">
        <v>1717</v>
      </c>
      <c r="AB1275" s="5" t="s">
        <v>5958</v>
      </c>
      <c r="AC1275" s="8" t="str">
        <f>HYPERLINK("https://drive.google.com/file/d/1uYw2vpKamZGRIdUg1on5SFxacY8DzneF/view?usp=drivesdk", "Abrir_Factura")</f>
        <v>Abrir_Factura</v>
      </c>
      <c r="AD1275" s="9">
        <v>46035.519930555558</v>
      </c>
    </row>
    <row r="1276" spans="1:30" ht="12.5">
      <c r="A1276" s="4">
        <v>46035.54350320602</v>
      </c>
      <c r="B1276" s="5">
        <v>91013</v>
      </c>
      <c r="C1276" s="5">
        <v>15047046</v>
      </c>
      <c r="D1276" s="5" t="s">
        <v>5959</v>
      </c>
      <c r="F1276" s="5" t="s">
        <v>5960</v>
      </c>
      <c r="H1276" s="5">
        <v>573205426073</v>
      </c>
      <c r="J1276" s="5" t="s">
        <v>5961</v>
      </c>
      <c r="K1276" s="5" t="s">
        <v>5574</v>
      </c>
      <c r="L1276" s="5" t="s">
        <v>5962</v>
      </c>
      <c r="M1276" s="5">
        <v>3174372770</v>
      </c>
      <c r="N1276" s="6">
        <v>46035</v>
      </c>
      <c r="O1276" s="7">
        <v>0.625</v>
      </c>
      <c r="P1276" s="5">
        <v>1</v>
      </c>
      <c r="Q1276" s="5" t="s">
        <v>251</v>
      </c>
      <c r="R1276" s="5">
        <v>170000</v>
      </c>
      <c r="S1276" s="5">
        <v>0</v>
      </c>
      <c r="T1276" s="5">
        <v>10000</v>
      </c>
      <c r="U1276" s="5">
        <v>180000</v>
      </c>
      <c r="V1276" s="5" t="s">
        <v>5963</v>
      </c>
      <c r="W1276" s="5" t="s">
        <v>36</v>
      </c>
      <c r="X1276" s="5" t="s">
        <v>67</v>
      </c>
      <c r="Z1276" s="5" t="s">
        <v>1773</v>
      </c>
      <c r="AA1276" s="5" t="s">
        <v>44</v>
      </c>
      <c r="AC1276" s="8" t="str">
        <f>HYPERLINK("https://drive.google.com/file/d/1Rh-d4Nz8JNYGXL4ZAMEMIsXITYCPPj6X/view?usp=drivesdk", "Abrir_Factura")</f>
        <v>Abrir_Factura</v>
      </c>
      <c r="AD1276" s="9">
        <v>46035.547777777778</v>
      </c>
    </row>
    <row r="1277" spans="1:30" ht="12.5">
      <c r="A1277" s="4">
        <v>46035.54622290509</v>
      </c>
      <c r="B1277" s="5">
        <v>91014</v>
      </c>
      <c r="C1277" s="5">
        <v>87171359</v>
      </c>
      <c r="D1277" s="5" t="s">
        <v>226</v>
      </c>
      <c r="F1277" s="5" t="s">
        <v>5964</v>
      </c>
      <c r="H1277" s="5">
        <v>50766773802</v>
      </c>
      <c r="J1277" s="5" t="s">
        <v>5965</v>
      </c>
      <c r="K1277" s="5" t="s">
        <v>249</v>
      </c>
      <c r="L1277" s="5" t="s">
        <v>5966</v>
      </c>
      <c r="M1277" s="5">
        <v>3244169271</v>
      </c>
      <c r="N1277" s="6">
        <v>46038</v>
      </c>
      <c r="O1277" s="7">
        <v>0.34236111111111112</v>
      </c>
      <c r="P1277" s="5">
        <v>1</v>
      </c>
      <c r="Q1277" s="5" t="s">
        <v>5967</v>
      </c>
      <c r="R1277" s="5">
        <v>220000</v>
      </c>
      <c r="S1277" s="5">
        <v>0</v>
      </c>
      <c r="T1277" s="5">
        <v>10000</v>
      </c>
      <c r="U1277" s="5">
        <v>230000</v>
      </c>
      <c r="V1277" s="5" t="s">
        <v>5968</v>
      </c>
      <c r="W1277" s="5" t="s">
        <v>36</v>
      </c>
      <c r="X1277" s="5" t="s">
        <v>1705</v>
      </c>
      <c r="AA1277" s="5" t="s">
        <v>1717</v>
      </c>
      <c r="AB1277" s="5" t="s">
        <v>5969</v>
      </c>
      <c r="AC1277" s="8" t="str">
        <f>HYPERLINK("https://drive.google.com/file/d/1NTNQXn9Jk3VpGK7XxnX2ZUJdzz_uBZyI/view?usp=drivesdk", "Abrir_Factura")</f>
        <v>Abrir_Factura</v>
      </c>
      <c r="AD1277" s="9">
        <v>46035.548113425924</v>
      </c>
    </row>
    <row r="1278" spans="1:30" ht="12.5">
      <c r="A1278" s="4">
        <v>46035.545894988427</v>
      </c>
      <c r="B1278" s="5">
        <v>91015</v>
      </c>
      <c r="C1278" s="5">
        <v>1048067299</v>
      </c>
      <c r="D1278" s="5" t="s">
        <v>825</v>
      </c>
      <c r="F1278" s="5" t="s">
        <v>1033</v>
      </c>
      <c r="H1278" s="5">
        <v>19303337910</v>
      </c>
      <c r="J1278" s="5" t="s">
        <v>1034</v>
      </c>
      <c r="K1278" s="5" t="s">
        <v>73</v>
      </c>
      <c r="L1278" s="5" t="s">
        <v>5970</v>
      </c>
      <c r="M1278" s="5">
        <v>3183477256</v>
      </c>
      <c r="N1278" s="6">
        <v>46035</v>
      </c>
      <c r="O1278" s="7">
        <v>0.59444444444444444</v>
      </c>
      <c r="P1278" s="5">
        <v>1</v>
      </c>
      <c r="Q1278" s="5" t="s">
        <v>187</v>
      </c>
      <c r="R1278" s="5">
        <v>200000</v>
      </c>
      <c r="S1278" s="5">
        <v>0</v>
      </c>
      <c r="T1278" s="5">
        <v>8000</v>
      </c>
      <c r="U1278" s="5">
        <v>208000</v>
      </c>
      <c r="V1278" s="5" t="s">
        <v>1806</v>
      </c>
      <c r="W1278" s="5" t="s">
        <v>36</v>
      </c>
      <c r="X1278" s="5" t="s">
        <v>67</v>
      </c>
      <c r="Z1278" s="5" t="s">
        <v>825</v>
      </c>
      <c r="AA1278" s="5" t="s">
        <v>44</v>
      </c>
      <c r="AC1278" s="8" t="str">
        <f>HYPERLINK("https://drive.google.com/file/d/19W5FheLSEnKnjhJjj1Lep-l6ShU-kKa4/view?usp=drivesdk", "Abrir_Factura")</f>
        <v>Abrir_Factura</v>
      </c>
      <c r="AD1278" s="9">
        <v>46035.554895833331</v>
      </c>
    </row>
    <row r="1279" spans="1:30" ht="12.5">
      <c r="A1279" s="4">
        <v>46035.568093645838</v>
      </c>
      <c r="B1279" s="5">
        <v>91016</v>
      </c>
      <c r="C1279" s="5">
        <v>22467419</v>
      </c>
      <c r="D1279" s="5" t="s">
        <v>5971</v>
      </c>
      <c r="F1279" s="5" t="s">
        <v>5119</v>
      </c>
      <c r="H1279" s="5">
        <v>573164733317</v>
      </c>
      <c r="J1279" s="5" t="s">
        <v>5972</v>
      </c>
      <c r="K1279" s="5" t="s">
        <v>33</v>
      </c>
      <c r="L1279" s="5" t="s">
        <v>34</v>
      </c>
      <c r="M1279" s="5">
        <v>3164733317</v>
      </c>
      <c r="N1279" s="6">
        <v>46035</v>
      </c>
      <c r="O1279" s="7">
        <v>0</v>
      </c>
      <c r="P1279" s="5">
        <v>1</v>
      </c>
      <c r="Q1279" s="5" t="s">
        <v>42</v>
      </c>
      <c r="R1279" s="5">
        <v>200000</v>
      </c>
      <c r="S1279" s="5">
        <v>0</v>
      </c>
      <c r="T1279" s="5">
        <v>0</v>
      </c>
      <c r="U1279" s="5">
        <v>200000</v>
      </c>
      <c r="V1279" s="5" t="s">
        <v>5973</v>
      </c>
      <c r="W1279" s="5" t="s">
        <v>36</v>
      </c>
      <c r="X1279" s="5" t="s">
        <v>1705</v>
      </c>
      <c r="AA1279" s="5" t="s">
        <v>1717</v>
      </c>
      <c r="AB1279" s="5" t="s">
        <v>5974</v>
      </c>
      <c r="AC1279" s="8" t="str">
        <f>HYPERLINK("https://drive.google.com/file/d/1WPgO2-x2-beXevTiEO31GuG0LVaxOLxt/view?usp=drivesdk", "Abrir_Factura")</f>
        <v>Abrir_Factura</v>
      </c>
      <c r="AD1279" s="9">
        <v>46035.575381944444</v>
      </c>
    </row>
    <row r="1280" spans="1:30" ht="12.5">
      <c r="A1280" s="4">
        <v>46035.599314884261</v>
      </c>
      <c r="B1280" s="5">
        <v>91017</v>
      </c>
      <c r="C1280" s="5">
        <v>8737574</v>
      </c>
      <c r="D1280" s="5" t="s">
        <v>5975</v>
      </c>
      <c r="F1280" s="5" t="s">
        <v>5976</v>
      </c>
      <c r="H1280" s="5">
        <v>573182111248</v>
      </c>
      <c r="J1280" s="5" t="s">
        <v>5977</v>
      </c>
      <c r="K1280" s="5"/>
      <c r="L1280" s="5" t="s">
        <v>5978</v>
      </c>
      <c r="M1280" s="5"/>
      <c r="N1280" s="6">
        <v>46035</v>
      </c>
      <c r="O1280" s="7">
        <v>0.64583333333333337</v>
      </c>
      <c r="P1280" s="5">
        <v>1</v>
      </c>
      <c r="Q1280" s="5" t="s">
        <v>5730</v>
      </c>
      <c r="R1280" s="5">
        <v>300000</v>
      </c>
      <c r="S1280" s="5">
        <v>0</v>
      </c>
      <c r="T1280" s="5"/>
      <c r="U1280" s="5">
        <v>300000</v>
      </c>
      <c r="V1280" s="5" t="s">
        <v>5979</v>
      </c>
      <c r="W1280" s="5" t="s">
        <v>36</v>
      </c>
      <c r="X1280" s="5" t="s">
        <v>1705</v>
      </c>
      <c r="AA1280" s="5" t="s">
        <v>1717</v>
      </c>
      <c r="AC1280" s="8" t="str">
        <f>HYPERLINK("https://drive.google.com/file/d/1KVFYEzVfi0nzzoQfDZwXdSUeQbziWLdD/view?usp=drivesdk", "Abrir_Factura")</f>
        <v>Abrir_Factura</v>
      </c>
      <c r="AD1280" s="9">
        <v>46035.600335648145</v>
      </c>
    </row>
    <row r="1281" spans="1:30" ht="12.5">
      <c r="A1281" s="4">
        <v>46035.561210740736</v>
      </c>
      <c r="B1281" s="5">
        <v>91018</v>
      </c>
      <c r="C1281" s="5">
        <v>1052953084</v>
      </c>
      <c r="D1281" s="5" t="s">
        <v>5980</v>
      </c>
      <c r="F1281" s="5" t="s">
        <v>5981</v>
      </c>
      <c r="H1281" s="5">
        <v>573232913037</v>
      </c>
      <c r="J1281" s="5" t="s">
        <v>5982</v>
      </c>
      <c r="K1281" s="5" t="s">
        <v>33</v>
      </c>
      <c r="L1281" s="5" t="s">
        <v>34</v>
      </c>
      <c r="M1281" s="5">
        <v>3232913037</v>
      </c>
      <c r="N1281" s="6">
        <v>46036</v>
      </c>
      <c r="O1281" s="7">
        <v>0.375</v>
      </c>
      <c r="P1281" s="5">
        <v>1</v>
      </c>
      <c r="Q1281" s="5" t="s">
        <v>89</v>
      </c>
      <c r="R1281" s="5">
        <v>150000</v>
      </c>
      <c r="S1281" s="5">
        <v>0</v>
      </c>
      <c r="T1281" s="5">
        <v>0</v>
      </c>
      <c r="U1281" s="5">
        <v>150000</v>
      </c>
      <c r="V1281" s="5" t="s">
        <v>5983</v>
      </c>
      <c r="W1281" s="5" t="s">
        <v>36</v>
      </c>
      <c r="X1281" s="5" t="s">
        <v>83</v>
      </c>
      <c r="Z1281" s="5" t="s">
        <v>5984</v>
      </c>
      <c r="AA1281" s="5" t="s">
        <v>44</v>
      </c>
      <c r="AC1281" s="8" t="str">
        <f>HYPERLINK("https://drive.google.com/file/d/1hs0ki7VIBT3GlflgDHGodsAEE7GqB8_K/view?usp=drivesdk", "Abrir_Factura")</f>
        <v>Abrir_Factura</v>
      </c>
      <c r="AD1281" s="9">
        <v>46035.605092592596</v>
      </c>
    </row>
    <row r="1282" spans="1:30" ht="12.5">
      <c r="A1282" s="4">
        <v>46035.578054687503</v>
      </c>
      <c r="B1282" s="5">
        <v>91019</v>
      </c>
      <c r="C1282" s="5">
        <v>1047473800</v>
      </c>
      <c r="D1282" s="5" t="s">
        <v>84</v>
      </c>
      <c r="F1282" s="5" t="s">
        <v>5985</v>
      </c>
      <c r="H1282" s="5">
        <v>573116853400</v>
      </c>
      <c r="J1282" s="5" t="s">
        <v>5986</v>
      </c>
      <c r="K1282" s="5" t="s">
        <v>185</v>
      </c>
      <c r="L1282" s="5" t="s">
        <v>5987</v>
      </c>
      <c r="M1282" s="5">
        <v>3116853400</v>
      </c>
      <c r="N1282" s="6">
        <v>46035</v>
      </c>
      <c r="O1282" s="7">
        <v>0</v>
      </c>
      <c r="P1282" s="5">
        <v>1</v>
      </c>
      <c r="Q1282" s="5" t="s">
        <v>384</v>
      </c>
      <c r="R1282" s="5">
        <v>180000</v>
      </c>
      <c r="S1282" s="5">
        <v>0</v>
      </c>
      <c r="T1282" s="5">
        <v>8000</v>
      </c>
      <c r="U1282" s="5">
        <v>188000</v>
      </c>
      <c r="V1282" s="5"/>
      <c r="W1282" s="5" t="s">
        <v>36</v>
      </c>
      <c r="X1282" s="5" t="s">
        <v>83</v>
      </c>
      <c r="Z1282" s="5" t="s">
        <v>5988</v>
      </c>
      <c r="AA1282" s="5" t="s">
        <v>44</v>
      </c>
      <c r="AC1282" s="8" t="str">
        <f>HYPERLINK("https://drive.google.com/file/d/1zvX-BbRHhKQAas4wluV-ZmiACeVZtTdF/view?usp=drivesdk", "Abrir_Factura")</f>
        <v>Abrir_Factura</v>
      </c>
      <c r="AD1282" s="9">
        <v>46035.606342592589</v>
      </c>
    </row>
    <row r="1283" spans="1:30" ht="12.5">
      <c r="A1283" s="4">
        <v>46035.608635208337</v>
      </c>
      <c r="B1283" s="5">
        <v>91020</v>
      </c>
      <c r="C1283" s="5">
        <v>1140855686</v>
      </c>
      <c r="D1283" s="5" t="s">
        <v>4809</v>
      </c>
      <c r="F1283" s="5" t="s">
        <v>5989</v>
      </c>
      <c r="H1283" s="5">
        <v>573104382746</v>
      </c>
      <c r="J1283" s="5" t="s">
        <v>5990</v>
      </c>
      <c r="K1283" s="5" t="s">
        <v>63</v>
      </c>
      <c r="L1283" s="5" t="s">
        <v>5991</v>
      </c>
      <c r="M1283" s="5">
        <v>3104382746</v>
      </c>
      <c r="N1283" s="6">
        <v>46035</v>
      </c>
      <c r="O1283" s="7">
        <v>0.6875</v>
      </c>
      <c r="P1283" s="5">
        <v>1</v>
      </c>
      <c r="Q1283" s="5" t="s">
        <v>309</v>
      </c>
      <c r="R1283" s="5">
        <v>80000</v>
      </c>
      <c r="S1283" s="5">
        <v>0</v>
      </c>
      <c r="T1283" s="5">
        <v>15000</v>
      </c>
      <c r="U1283" s="5">
        <v>95000</v>
      </c>
      <c r="V1283" s="5" t="s">
        <v>5992</v>
      </c>
      <c r="W1283" s="5" t="s">
        <v>36</v>
      </c>
      <c r="X1283" s="5" t="s">
        <v>83</v>
      </c>
      <c r="Z1283" s="5" t="s">
        <v>5993</v>
      </c>
      <c r="AA1283" s="5" t="s">
        <v>44</v>
      </c>
      <c r="AB1283" s="5" t="s">
        <v>5994</v>
      </c>
      <c r="AC1283" s="8" t="str">
        <f>HYPERLINK("https://drive.google.com/file/d/11iBFWSmfDJHcjmZRUPicpjxLN2DrpHMH/view?usp=drivesdk", "Abrir_Factura")</f>
        <v>Abrir_Factura</v>
      </c>
      <c r="AD1283" s="9">
        <v>46035.611770833333</v>
      </c>
    </row>
    <row r="1284" spans="1:30" ht="12.5">
      <c r="A1284" s="4">
        <v>46035.634384293982</v>
      </c>
      <c r="B1284" s="5">
        <v>91021</v>
      </c>
      <c r="C1284" s="5">
        <v>1140849759</v>
      </c>
      <c r="D1284" s="5" t="s">
        <v>843</v>
      </c>
      <c r="F1284" s="5" t="s">
        <v>5995</v>
      </c>
      <c r="H1284" s="5">
        <v>573006014269</v>
      </c>
      <c r="J1284" s="5" t="s">
        <v>5996</v>
      </c>
      <c r="K1284" s="5" t="s">
        <v>265</v>
      </c>
      <c r="L1284" s="5" t="s">
        <v>5997</v>
      </c>
      <c r="M1284" s="5">
        <v>3046565333</v>
      </c>
      <c r="N1284" s="6">
        <v>46035</v>
      </c>
      <c r="O1284" s="7">
        <v>0.66666666666666663</v>
      </c>
      <c r="P1284" s="5">
        <v>1</v>
      </c>
      <c r="Q1284" s="5" t="s">
        <v>65</v>
      </c>
      <c r="R1284" s="5">
        <v>70000</v>
      </c>
      <c r="S1284" s="5">
        <v>0</v>
      </c>
      <c r="T1284" s="5">
        <v>17000</v>
      </c>
      <c r="U1284" s="5">
        <v>87000</v>
      </c>
      <c r="V1284" s="5" t="s">
        <v>5998</v>
      </c>
      <c r="W1284" s="5" t="s">
        <v>36</v>
      </c>
      <c r="X1284" s="5" t="s">
        <v>83</v>
      </c>
      <c r="Z1284" s="5" t="s">
        <v>5999</v>
      </c>
      <c r="AA1284" s="5" t="s">
        <v>69</v>
      </c>
      <c r="AC1284" s="8" t="str">
        <f>HYPERLINK("https://drive.google.com/file/d/1xVJIlyjA9YYKU5S_C6u2ge7iZz9_DnMs/view?usp=drivesdk", "Abrir_Factura")</f>
        <v>Abrir_Factura</v>
      </c>
      <c r="AD1284" s="9">
        <v>46035.645775462966</v>
      </c>
    </row>
    <row r="1285" spans="1:30" ht="12.5">
      <c r="A1285" s="4">
        <v>46035.652204571757</v>
      </c>
      <c r="B1285" s="5">
        <v>91022</v>
      </c>
      <c r="C1285" s="5">
        <v>1140879902</v>
      </c>
      <c r="D1285" s="5" t="s">
        <v>4482</v>
      </c>
      <c r="F1285" s="5" t="s">
        <v>6000</v>
      </c>
      <c r="H1285" s="5">
        <v>573106127160</v>
      </c>
      <c r="J1285" s="5" t="s">
        <v>6001</v>
      </c>
      <c r="K1285" s="5" t="s">
        <v>33</v>
      </c>
      <c r="L1285" s="5" t="s">
        <v>34</v>
      </c>
      <c r="M1285" s="5">
        <v>3106127160</v>
      </c>
      <c r="N1285" s="6">
        <v>46035</v>
      </c>
      <c r="O1285" s="7">
        <v>0</v>
      </c>
      <c r="P1285" s="5">
        <v>1</v>
      </c>
      <c r="Q1285" s="5" t="s">
        <v>178</v>
      </c>
      <c r="R1285" s="5">
        <v>100000</v>
      </c>
      <c r="S1285" s="5">
        <v>0</v>
      </c>
      <c r="T1285" s="5">
        <v>0</v>
      </c>
      <c r="U1285" s="5">
        <v>100000</v>
      </c>
      <c r="V1285" s="5"/>
      <c r="W1285" s="5" t="s">
        <v>36</v>
      </c>
      <c r="X1285" s="5" t="s">
        <v>196</v>
      </c>
      <c r="AA1285" s="5" t="s">
        <v>1717</v>
      </c>
      <c r="AC1285" s="8" t="str">
        <f>HYPERLINK("https://drive.google.com/file/d/1-vxYdbdGV6oss7UIc7-PVgr7Vsxr5hYn/view?usp=drivesdk", "Abrir_Factura")</f>
        <v>Abrir_Factura</v>
      </c>
      <c r="AD1285" s="9">
        <v>46035.652627314812</v>
      </c>
    </row>
    <row r="1286" spans="1:30" ht="12.5">
      <c r="A1286" s="4">
        <v>46035.656333078703</v>
      </c>
      <c r="B1286" s="5">
        <v>91023</v>
      </c>
      <c r="C1286" s="5">
        <v>1140851590</v>
      </c>
      <c r="D1286" s="5" t="s">
        <v>968</v>
      </c>
      <c r="F1286" s="5" t="s">
        <v>6002</v>
      </c>
      <c r="H1286" s="5">
        <v>573004941665</v>
      </c>
      <c r="J1286" s="5" t="s">
        <v>6003</v>
      </c>
      <c r="K1286" s="5" t="s">
        <v>1815</v>
      </c>
      <c r="L1286" s="5" t="s">
        <v>6004</v>
      </c>
      <c r="M1286" s="5">
        <v>3004941665</v>
      </c>
      <c r="N1286" s="6">
        <v>46035</v>
      </c>
      <c r="O1286" s="7">
        <v>0.70833333333333337</v>
      </c>
      <c r="P1286" s="5">
        <v>1</v>
      </c>
      <c r="Q1286" s="5" t="s">
        <v>1111</v>
      </c>
      <c r="R1286" s="5">
        <v>120000</v>
      </c>
      <c r="S1286" s="5">
        <v>0</v>
      </c>
      <c r="T1286" s="5">
        <v>18000</v>
      </c>
      <c r="U1286" s="5">
        <v>138000</v>
      </c>
      <c r="V1286" s="5" t="s">
        <v>6005</v>
      </c>
      <c r="W1286" s="5" t="s">
        <v>36</v>
      </c>
      <c r="X1286" s="5" t="s">
        <v>83</v>
      </c>
      <c r="Z1286" s="5" t="s">
        <v>6006</v>
      </c>
      <c r="AA1286" s="5" t="s">
        <v>44</v>
      </c>
      <c r="AB1286" s="5" t="s">
        <v>6007</v>
      </c>
      <c r="AC1286" s="8" t="str">
        <f>HYPERLINK("https://drive.google.com/file/d/1k7llGfhzFmYuw642fmb94RIJd5k4IuA_/view?usp=drivesdk", "Abrir_Factura")</f>
        <v>Abrir_Factura</v>
      </c>
      <c r="AD1286" s="9">
        <v>46035.659618055557</v>
      </c>
    </row>
    <row r="1287" spans="1:30" ht="12.5">
      <c r="A1287" s="4">
        <v>46035.661772754625</v>
      </c>
      <c r="B1287" s="5">
        <v>91024</v>
      </c>
      <c r="C1287" s="5">
        <v>32606436</v>
      </c>
      <c r="D1287" s="5" t="s">
        <v>6008</v>
      </c>
      <c r="F1287" s="5" t="s">
        <v>6009</v>
      </c>
      <c r="H1287" s="5">
        <v>573126608647</v>
      </c>
      <c r="J1287" s="5" t="s">
        <v>6010</v>
      </c>
      <c r="K1287" s="5" t="s">
        <v>33</v>
      </c>
      <c r="L1287" s="5" t="s">
        <v>34</v>
      </c>
      <c r="M1287" s="5" t="s">
        <v>6011</v>
      </c>
      <c r="N1287" s="6">
        <v>46035</v>
      </c>
      <c r="O1287" s="7">
        <v>0</v>
      </c>
      <c r="P1287" s="5">
        <v>1</v>
      </c>
      <c r="Q1287" s="5" t="s">
        <v>42</v>
      </c>
      <c r="R1287" s="5">
        <v>70000</v>
      </c>
      <c r="S1287" s="5">
        <v>0</v>
      </c>
      <c r="T1287" s="5">
        <v>0</v>
      </c>
      <c r="U1287" s="5">
        <v>70000</v>
      </c>
      <c r="V1287" s="5"/>
      <c r="W1287" s="5" t="s">
        <v>36</v>
      </c>
      <c r="X1287" s="5" t="s">
        <v>196</v>
      </c>
      <c r="AA1287" s="5" t="s">
        <v>1717</v>
      </c>
      <c r="AB1287" s="5" t="s">
        <v>1286</v>
      </c>
      <c r="AC1287" s="8" t="str">
        <f>HYPERLINK("https://drive.google.com/file/d/1A80_REoLEan7w-qaGXEQz9x_Mp49upKn/view?usp=drivesdk", "Abrir_Factura")</f>
        <v>Abrir_Factura</v>
      </c>
      <c r="AD1287" s="9">
        <v>46035.662222222221</v>
      </c>
    </row>
    <row r="1288" spans="1:30" ht="12.5">
      <c r="A1288" s="4">
        <v>46035.686539803239</v>
      </c>
      <c r="B1288" s="5">
        <v>91025</v>
      </c>
      <c r="C1288" s="5">
        <v>1051363393</v>
      </c>
      <c r="D1288" s="5" t="s">
        <v>6012</v>
      </c>
      <c r="F1288" s="5" t="s">
        <v>6013</v>
      </c>
      <c r="H1288" s="5">
        <v>57324471139292</v>
      </c>
      <c r="J1288" s="5" t="s">
        <v>6014</v>
      </c>
      <c r="K1288" s="5" t="s">
        <v>33</v>
      </c>
      <c r="L1288" s="5" t="s">
        <v>34</v>
      </c>
      <c r="M1288" s="5">
        <v>324471139292</v>
      </c>
      <c r="N1288" s="6">
        <v>46035</v>
      </c>
      <c r="O1288" s="7">
        <v>0.70833333333333337</v>
      </c>
      <c r="P1288" s="5">
        <v>1</v>
      </c>
      <c r="Q1288" s="5" t="s">
        <v>42</v>
      </c>
      <c r="R1288" s="5">
        <v>130000</v>
      </c>
      <c r="S1288" s="5">
        <v>0</v>
      </c>
      <c r="T1288" s="5">
        <v>0</v>
      </c>
      <c r="U1288" s="5">
        <v>130000</v>
      </c>
      <c r="V1288" s="5" t="s">
        <v>6015</v>
      </c>
      <c r="W1288" s="5" t="s">
        <v>36</v>
      </c>
      <c r="X1288" s="5" t="s">
        <v>83</v>
      </c>
      <c r="Z1288" s="5" t="s">
        <v>1224</v>
      </c>
      <c r="AA1288" s="5" t="s">
        <v>44</v>
      </c>
      <c r="AC1288" s="8" t="str">
        <f>HYPERLINK("https://drive.google.com/file/d/14PC_b3jqSoywad0grC5bQ3cIK_VEYVPu/view?usp=drivesdk", "Abrir_Factura")</f>
        <v>Abrir_Factura</v>
      </c>
      <c r="AD1288" s="9">
        <v>46035.692523148151</v>
      </c>
    </row>
    <row r="1289" spans="1:30" ht="12.5">
      <c r="A1289" s="4">
        <v>46035.693861574073</v>
      </c>
      <c r="B1289" s="5">
        <v>91026</v>
      </c>
      <c r="C1289" s="5">
        <v>64744882</v>
      </c>
      <c r="D1289" s="5" t="s">
        <v>6016</v>
      </c>
      <c r="F1289" s="5" t="s">
        <v>6017</v>
      </c>
      <c r="H1289" s="5">
        <v>573146543482</v>
      </c>
      <c r="J1289" s="5" t="s">
        <v>6018</v>
      </c>
      <c r="K1289" s="5" t="s">
        <v>33</v>
      </c>
      <c r="L1289" s="5" t="s">
        <v>34</v>
      </c>
      <c r="M1289" s="5">
        <v>3146543482</v>
      </c>
      <c r="N1289" s="6">
        <v>46035</v>
      </c>
      <c r="O1289" s="7">
        <v>0</v>
      </c>
      <c r="P1289" s="5">
        <v>1</v>
      </c>
      <c r="Q1289" s="5" t="s">
        <v>42</v>
      </c>
      <c r="R1289" s="5">
        <v>40000</v>
      </c>
      <c r="S1289" s="5">
        <v>0</v>
      </c>
      <c r="T1289" s="5">
        <v>0</v>
      </c>
      <c r="U1289" s="5">
        <v>40000</v>
      </c>
      <c r="V1289" s="5"/>
      <c r="W1289" s="5" t="s">
        <v>36</v>
      </c>
      <c r="X1289" s="5" t="s">
        <v>196</v>
      </c>
      <c r="AA1289" s="5" t="s">
        <v>1717</v>
      </c>
      <c r="AB1289" s="5" t="s">
        <v>120</v>
      </c>
      <c r="AC1289" s="8" t="str">
        <f>HYPERLINK("https://drive.google.com/file/d/1ZXEwZOoBIzIa-Z0PbMZ3nguHsLC5xvD4/view?usp=drivesdk", "Abrir_Factura")</f>
        <v>Abrir_Factura</v>
      </c>
      <c r="AD1289" s="9">
        <v>46035.695081018515</v>
      </c>
    </row>
    <row r="1290" spans="1:30" ht="12.5">
      <c r="A1290" s="4">
        <v>46035.697193402782</v>
      </c>
      <c r="B1290" s="5">
        <v>91027</v>
      </c>
      <c r="C1290" s="5">
        <v>1105461498</v>
      </c>
      <c r="D1290" s="5" t="s">
        <v>6019</v>
      </c>
      <c r="F1290" s="5" t="s">
        <v>6020</v>
      </c>
      <c r="H1290" s="5" t="s">
        <v>25421</v>
      </c>
      <c r="J1290" s="5" t="s">
        <v>6021</v>
      </c>
      <c r="K1290" s="5" t="s">
        <v>33</v>
      </c>
      <c r="L1290" s="5" t="s">
        <v>34</v>
      </c>
      <c r="M1290" s="5" t="s">
        <v>6022</v>
      </c>
      <c r="N1290" s="6">
        <v>46035</v>
      </c>
      <c r="O1290" s="7">
        <v>0</v>
      </c>
      <c r="P1290" s="5">
        <v>1</v>
      </c>
      <c r="Q1290" s="5" t="s">
        <v>178</v>
      </c>
      <c r="R1290" s="5">
        <v>100000</v>
      </c>
      <c r="S1290" s="5">
        <v>0</v>
      </c>
      <c r="T1290" s="5">
        <v>0</v>
      </c>
      <c r="U1290" s="5">
        <v>100000</v>
      </c>
      <c r="V1290" s="5"/>
      <c r="W1290" s="5" t="s">
        <v>36</v>
      </c>
      <c r="X1290" s="5" t="s">
        <v>43</v>
      </c>
      <c r="AA1290" s="5" t="s">
        <v>37</v>
      </c>
      <c r="AB1290" s="5" t="s">
        <v>6023</v>
      </c>
      <c r="AC1290" s="8" t="str">
        <f>HYPERLINK("https://drive.google.com/file/d/1IkRsIVH3xj8pcHiophtURhesgTbcjxZn/view?usp=drivesdk", "Abrir_Factura")</f>
        <v>Abrir_Factura</v>
      </c>
      <c r="AD1290" s="9">
        <v>46035.69767361111</v>
      </c>
    </row>
    <row r="1291" spans="1:30" ht="12.5">
      <c r="A1291" s="4">
        <v>46035.758387337963</v>
      </c>
      <c r="B1291" s="5">
        <v>91028</v>
      </c>
      <c r="C1291" s="5">
        <v>32873283</v>
      </c>
      <c r="D1291" s="5" t="s">
        <v>3357</v>
      </c>
      <c r="F1291" s="5" t="s">
        <v>6024</v>
      </c>
      <c r="H1291" s="5">
        <v>573008108213</v>
      </c>
      <c r="J1291" s="5" t="s">
        <v>6025</v>
      </c>
      <c r="K1291" s="5" t="s">
        <v>33</v>
      </c>
      <c r="L1291" s="5" t="s">
        <v>34</v>
      </c>
      <c r="M1291" s="5">
        <v>3008108213</v>
      </c>
      <c r="N1291" s="6">
        <v>46035</v>
      </c>
      <c r="O1291" s="7">
        <v>0</v>
      </c>
      <c r="P1291" s="5">
        <v>1</v>
      </c>
      <c r="Q1291" s="5" t="s">
        <v>42</v>
      </c>
      <c r="R1291" s="5">
        <v>120000</v>
      </c>
      <c r="S1291" s="5">
        <v>0</v>
      </c>
      <c r="T1291" s="5">
        <v>0</v>
      </c>
      <c r="U1291" s="5">
        <v>120000</v>
      </c>
      <c r="V1291" s="5"/>
      <c r="W1291" s="5" t="s">
        <v>36</v>
      </c>
      <c r="X1291" s="5" t="s">
        <v>1705</v>
      </c>
      <c r="AA1291" s="5" t="s">
        <v>1717</v>
      </c>
      <c r="AB1291" s="5" t="s">
        <v>6026</v>
      </c>
      <c r="AC1291" s="8" t="str">
        <f>HYPERLINK("https://drive.google.com/file/d/1ffR5Nilaec2e0Y8_pdfKyYntXwRI3lZg/view?usp=drivesdk", "Abrir_Factura")</f>
        <v>Abrir_Factura</v>
      </c>
      <c r="AD1291" s="9">
        <v>46035.759409722225</v>
      </c>
    </row>
    <row r="1292" spans="1:30" ht="12.5">
      <c r="A1292" s="4">
        <v>46035.763635914351</v>
      </c>
      <c r="B1292" s="5">
        <v>91029</v>
      </c>
      <c r="C1292" s="5">
        <v>51884372</v>
      </c>
      <c r="D1292" s="5" t="s">
        <v>6027</v>
      </c>
      <c r="F1292" s="5" t="s">
        <v>6028</v>
      </c>
      <c r="H1292" s="5">
        <v>5716107161764</v>
      </c>
      <c r="J1292" s="5" t="s">
        <v>6029</v>
      </c>
      <c r="K1292" s="5" t="s">
        <v>33</v>
      </c>
      <c r="L1292" s="5" t="s">
        <v>34</v>
      </c>
      <c r="M1292" s="5" t="s">
        <v>6030</v>
      </c>
      <c r="N1292" s="6">
        <v>46038</v>
      </c>
      <c r="O1292" s="7">
        <v>0</v>
      </c>
      <c r="P1292" s="5">
        <v>1</v>
      </c>
      <c r="Q1292" s="5" t="s">
        <v>42</v>
      </c>
      <c r="R1292" s="5">
        <v>60000</v>
      </c>
      <c r="S1292" s="5">
        <v>0</v>
      </c>
      <c r="T1292" s="5">
        <v>0</v>
      </c>
      <c r="U1292" s="5">
        <v>60000</v>
      </c>
      <c r="V1292" s="5"/>
      <c r="W1292" s="5" t="s">
        <v>36</v>
      </c>
      <c r="X1292" s="5" t="s">
        <v>2438</v>
      </c>
      <c r="AA1292" s="5" t="s">
        <v>44</v>
      </c>
      <c r="AB1292" s="5" t="s">
        <v>6031</v>
      </c>
      <c r="AC1292" s="8" t="str">
        <f>HYPERLINK("https://drive.google.com/file/d/1nIeRZ8FONO2eA7VPXad9e2X15JniTVN9/view?usp=drivesdk", "Abrir_Factura")</f>
        <v>Abrir_Factura</v>
      </c>
      <c r="AD1292" s="9">
        <v>46035.764305555553</v>
      </c>
    </row>
    <row r="1293" spans="1:30" ht="12.5">
      <c r="A1293" s="4">
        <v>46035.761040648147</v>
      </c>
      <c r="B1293" s="5">
        <v>91030</v>
      </c>
      <c r="C1293" s="5">
        <v>1140886787</v>
      </c>
      <c r="D1293" s="5" t="s">
        <v>6032</v>
      </c>
      <c r="F1293" s="5" t="s">
        <v>2429</v>
      </c>
      <c r="H1293" s="5">
        <v>17642993108</v>
      </c>
      <c r="J1293" s="5" t="s">
        <v>6033</v>
      </c>
      <c r="K1293" s="5" t="s">
        <v>146</v>
      </c>
      <c r="L1293" s="5" t="s">
        <v>6034</v>
      </c>
      <c r="M1293" s="5">
        <v>3215029384</v>
      </c>
      <c r="N1293" s="6">
        <v>46036</v>
      </c>
      <c r="O1293" s="7">
        <v>0.375</v>
      </c>
      <c r="P1293" s="5">
        <v>1</v>
      </c>
      <c r="Q1293" s="5" t="s">
        <v>422</v>
      </c>
      <c r="R1293" s="5">
        <v>130000</v>
      </c>
      <c r="S1293" s="5">
        <v>0</v>
      </c>
      <c r="T1293" s="5">
        <v>12000</v>
      </c>
      <c r="U1293" s="5">
        <v>142000</v>
      </c>
      <c r="V1293" s="5" t="s">
        <v>6035</v>
      </c>
      <c r="W1293" s="5" t="s">
        <v>36</v>
      </c>
      <c r="X1293" s="5" t="s">
        <v>83</v>
      </c>
      <c r="Z1293" s="5" t="s">
        <v>6036</v>
      </c>
      <c r="AA1293" s="5" t="s">
        <v>44</v>
      </c>
      <c r="AC1293" s="8" t="str">
        <f>HYPERLINK("https://drive.google.com/file/d/1ZVGBnGeYlYZzBMtzSznKn6cZ-_GzusIC/view?usp=drivesdk", "Abrir_Factura")</f>
        <v>Abrir_Factura</v>
      </c>
      <c r="AD1293" s="9">
        <v>46035.772233796299</v>
      </c>
    </row>
    <row r="1294" spans="1:30" ht="12.5">
      <c r="A1294" s="4">
        <v>46035.949891180557</v>
      </c>
      <c r="B1294" s="5">
        <v>91031</v>
      </c>
      <c r="C1294" s="5">
        <v>582933056</v>
      </c>
      <c r="D1294" s="5" t="s">
        <v>6037</v>
      </c>
      <c r="F1294" s="5" t="s">
        <v>6038</v>
      </c>
      <c r="H1294" s="5">
        <v>14076278462</v>
      </c>
      <c r="J1294" s="5" t="s">
        <v>4843</v>
      </c>
      <c r="K1294" s="5" t="s">
        <v>249</v>
      </c>
      <c r="L1294" s="5" t="s">
        <v>6039</v>
      </c>
      <c r="M1294" s="5" t="s">
        <v>25421</v>
      </c>
      <c r="N1294" s="6">
        <v>46038</v>
      </c>
      <c r="O1294" s="7">
        <v>0.375</v>
      </c>
      <c r="P1294" s="5">
        <v>1</v>
      </c>
      <c r="Q1294" s="5" t="s">
        <v>380</v>
      </c>
      <c r="R1294" s="5">
        <v>300000</v>
      </c>
      <c r="S1294" s="5">
        <v>0</v>
      </c>
      <c r="T1294" s="5">
        <v>10000</v>
      </c>
      <c r="U1294" s="5">
        <v>310000</v>
      </c>
      <c r="V1294" s="5" t="s">
        <v>6040</v>
      </c>
      <c r="W1294" s="5" t="s">
        <v>36</v>
      </c>
      <c r="X1294" s="5" t="s">
        <v>83</v>
      </c>
      <c r="Z1294" s="5" t="s">
        <v>6041</v>
      </c>
      <c r="AA1294" s="5" t="s">
        <v>44</v>
      </c>
      <c r="AC1294" s="8" t="str">
        <f>HYPERLINK("https://drive.google.com/file/d/1WwZbSK-GtwQdmPQGA41yEdQ0aK9U8R4K/view?usp=drivesdk", "Abrir_Factura")</f>
        <v>Abrir_Factura</v>
      </c>
      <c r="AD1294" s="9">
        <v>46036.340115740742</v>
      </c>
    </row>
    <row r="1295" spans="1:30" ht="12.5">
      <c r="A1295" s="4">
        <v>46036.381454803239</v>
      </c>
      <c r="B1295" s="5">
        <v>91032</v>
      </c>
      <c r="C1295" s="5">
        <v>1140897556</v>
      </c>
      <c r="D1295" s="5" t="s">
        <v>2293</v>
      </c>
      <c r="F1295" s="5" t="s">
        <v>6042</v>
      </c>
      <c r="H1295" s="5">
        <v>573103937807</v>
      </c>
      <c r="J1295" s="5" t="s">
        <v>6043</v>
      </c>
      <c r="K1295" s="5" t="s">
        <v>73</v>
      </c>
      <c r="L1295" s="5" t="s">
        <v>6044</v>
      </c>
      <c r="M1295" s="5">
        <v>3206511229</v>
      </c>
      <c r="N1295" s="6">
        <v>46036</v>
      </c>
      <c r="O1295" s="7">
        <v>0.41666666666666669</v>
      </c>
      <c r="P1295" s="5">
        <v>1</v>
      </c>
      <c r="Q1295" s="5" t="s">
        <v>50</v>
      </c>
      <c r="R1295" s="5">
        <v>200000</v>
      </c>
      <c r="S1295" s="5">
        <v>0</v>
      </c>
      <c r="T1295" s="5">
        <v>8000</v>
      </c>
      <c r="U1295" s="5">
        <v>208000</v>
      </c>
      <c r="V1295" s="5" t="s">
        <v>6045</v>
      </c>
      <c r="W1295" s="5" t="s">
        <v>36</v>
      </c>
      <c r="X1295" s="5" t="s">
        <v>67</v>
      </c>
      <c r="Z1295" s="5" t="s">
        <v>6046</v>
      </c>
      <c r="AA1295" s="5" t="s">
        <v>44</v>
      </c>
      <c r="AC1295" s="8" t="str">
        <f>HYPERLINK("https://drive.google.com/file/d/1_7hXl8BGF9l4hrhD63XuvTRXZ_MfjFf6/view?usp=drivesdk", "Abrir_Factura")</f>
        <v>Abrir_Factura</v>
      </c>
      <c r="AD1295" s="9">
        <v>46036.386053240742</v>
      </c>
    </row>
    <row r="1296" spans="1:30" ht="12.5">
      <c r="A1296" s="4">
        <v>46036.407802500005</v>
      </c>
      <c r="B1296" s="5">
        <v>91033</v>
      </c>
      <c r="C1296" s="5">
        <v>886476</v>
      </c>
      <c r="D1296" s="5" t="s">
        <v>6047</v>
      </c>
      <c r="F1296" s="5" t="s">
        <v>6048</v>
      </c>
      <c r="H1296" s="5">
        <v>573127047545</v>
      </c>
      <c r="J1296" s="5" t="s">
        <v>6049</v>
      </c>
      <c r="K1296" s="5"/>
      <c r="L1296" s="5" t="s">
        <v>6050</v>
      </c>
      <c r="M1296" s="5"/>
      <c r="N1296" s="6">
        <v>46036</v>
      </c>
      <c r="O1296" s="7">
        <v>0.45833333333333331</v>
      </c>
      <c r="P1296" s="5">
        <v>1</v>
      </c>
      <c r="Q1296" s="5" t="s">
        <v>42</v>
      </c>
      <c r="R1296" s="5">
        <v>130000</v>
      </c>
      <c r="S1296" s="5">
        <v>0</v>
      </c>
      <c r="T1296" s="5"/>
      <c r="U1296" s="5">
        <v>130000</v>
      </c>
      <c r="V1296" s="5" t="s">
        <v>6051</v>
      </c>
      <c r="W1296" s="5" t="s">
        <v>36</v>
      </c>
      <c r="X1296" s="5" t="s">
        <v>1705</v>
      </c>
      <c r="AA1296" s="5" t="s">
        <v>1717</v>
      </c>
      <c r="AC1296" s="8" t="str">
        <f>HYPERLINK("https://drive.google.com/file/d/1Fc1VmJ5iIGAL7vS7uGzkQ6Xgqy09IVZK/view?usp=drivesdk", "Abrir_Factura")</f>
        <v>Abrir_Factura</v>
      </c>
      <c r="AD1296" s="9">
        <v>46036.40865740741</v>
      </c>
    </row>
    <row r="1297" spans="1:30" ht="12.5">
      <c r="A1297" s="4">
        <v>46036.401494699079</v>
      </c>
      <c r="B1297" s="5">
        <v>91034</v>
      </c>
      <c r="C1297" s="5">
        <v>52690019</v>
      </c>
      <c r="D1297" s="5" t="s">
        <v>6052</v>
      </c>
      <c r="F1297" s="5" t="s">
        <v>6053</v>
      </c>
      <c r="H1297" s="5">
        <v>573183118706</v>
      </c>
      <c r="J1297" s="5" t="s">
        <v>6054</v>
      </c>
      <c r="K1297" s="5" t="s">
        <v>185</v>
      </c>
      <c r="L1297" s="5" t="s">
        <v>6055</v>
      </c>
      <c r="M1297" s="5">
        <v>3157116084</v>
      </c>
      <c r="N1297" s="6">
        <v>46037</v>
      </c>
      <c r="O1297" s="7">
        <v>0.375</v>
      </c>
      <c r="P1297" s="5">
        <v>1</v>
      </c>
      <c r="Q1297" s="5" t="s">
        <v>81</v>
      </c>
      <c r="R1297" s="5">
        <v>350000</v>
      </c>
      <c r="S1297" s="5">
        <v>0</v>
      </c>
      <c r="T1297" s="5">
        <v>8000</v>
      </c>
      <c r="U1297" s="5">
        <v>358000</v>
      </c>
      <c r="V1297" s="5" t="s">
        <v>6056</v>
      </c>
      <c r="W1297" s="5" t="s">
        <v>36</v>
      </c>
      <c r="X1297" s="5" t="s">
        <v>67</v>
      </c>
      <c r="Z1297" s="5" t="s">
        <v>6057</v>
      </c>
      <c r="AA1297" s="5" t="s">
        <v>44</v>
      </c>
      <c r="AC1297" s="8" t="str">
        <f>HYPERLINK("https://drive.google.com/file/d/14LyZ-JLfBeXIcLZmlUvP__Psd7dPHk1J/view?usp=drivesdk", "Abrir_Factura")</f>
        <v>Abrir_Factura</v>
      </c>
      <c r="AD1297" s="9">
        <v>46036.429861111108</v>
      </c>
    </row>
    <row r="1298" spans="1:30" ht="12.5">
      <c r="A1298" s="4">
        <v>46036.427105405091</v>
      </c>
      <c r="B1298" s="5">
        <v>91035</v>
      </c>
      <c r="C1298" s="5">
        <v>1005236159</v>
      </c>
      <c r="D1298" s="5" t="s">
        <v>3965</v>
      </c>
      <c r="F1298" s="5" t="s">
        <v>6058</v>
      </c>
      <c r="H1298" s="5">
        <v>573003415463</v>
      </c>
      <c r="J1298" s="5" t="s">
        <v>6059</v>
      </c>
      <c r="K1298" s="5" t="s">
        <v>103</v>
      </c>
      <c r="L1298" s="5" t="s">
        <v>6060</v>
      </c>
      <c r="M1298" s="5">
        <v>3117683490</v>
      </c>
      <c r="N1298" s="6">
        <v>46036</v>
      </c>
      <c r="O1298" s="7">
        <v>0</v>
      </c>
      <c r="P1298" s="5">
        <v>1</v>
      </c>
      <c r="Q1298" s="5" t="s">
        <v>42</v>
      </c>
      <c r="R1298" s="5">
        <v>0</v>
      </c>
      <c r="S1298" s="5">
        <v>0</v>
      </c>
      <c r="T1298" s="5">
        <v>10000</v>
      </c>
      <c r="U1298" s="5">
        <v>10000</v>
      </c>
      <c r="V1298" s="5" t="s">
        <v>6061</v>
      </c>
      <c r="W1298" s="5" t="s">
        <v>36</v>
      </c>
      <c r="X1298" s="5" t="s">
        <v>67</v>
      </c>
      <c r="Z1298" s="5" t="s">
        <v>6062</v>
      </c>
      <c r="AA1298" s="5" t="s">
        <v>69</v>
      </c>
      <c r="AB1298" s="5" t="s">
        <v>6063</v>
      </c>
      <c r="AC1298" s="8" t="str">
        <f>HYPERLINK("https://drive.google.com/file/d/1JBy1S-kTFPRKpdVhcfLLkrNJ-gXYw62X/view?usp=drivesdk", "Abrir_Factura")</f>
        <v>Abrir_Factura</v>
      </c>
      <c r="AD1298" s="9">
        <v>46036.430879629632</v>
      </c>
    </row>
    <row r="1299" spans="1:30" ht="12.5">
      <c r="A1299" s="4">
        <v>46036.442579351853</v>
      </c>
      <c r="B1299" s="5">
        <v>91036</v>
      </c>
      <c r="C1299" s="5">
        <v>72303526</v>
      </c>
      <c r="D1299" s="5" t="s">
        <v>3405</v>
      </c>
      <c r="F1299" s="5" t="s">
        <v>116</v>
      </c>
      <c r="H1299" s="5">
        <v>573157555579</v>
      </c>
      <c r="J1299" s="5" t="s">
        <v>3406</v>
      </c>
      <c r="K1299" s="5" t="s">
        <v>33</v>
      </c>
      <c r="L1299" s="5" t="s">
        <v>34</v>
      </c>
      <c r="M1299" s="5">
        <v>3157555579</v>
      </c>
      <c r="N1299" s="6">
        <v>46036</v>
      </c>
      <c r="O1299" s="7">
        <v>0</v>
      </c>
      <c r="P1299" s="5">
        <v>1</v>
      </c>
      <c r="Q1299" s="5" t="s">
        <v>42</v>
      </c>
      <c r="R1299" s="5">
        <v>100000</v>
      </c>
      <c r="S1299" s="5">
        <v>0</v>
      </c>
      <c r="T1299" s="5">
        <v>0</v>
      </c>
      <c r="U1299" s="5">
        <v>100000</v>
      </c>
      <c r="V1299" s="5"/>
      <c r="W1299" s="5" t="s">
        <v>36</v>
      </c>
      <c r="X1299" s="5" t="s">
        <v>83</v>
      </c>
      <c r="AA1299" s="5" t="s">
        <v>1717</v>
      </c>
      <c r="AC1299" s="8" t="str">
        <f>HYPERLINK("https://drive.google.com/file/d/1Q3EnfweNuDwJRphw9pxNbp3JYhUrJ9WB/view?usp=drivesdk", "Abrir_Factura")</f>
        <v>Abrir_Factura</v>
      </c>
      <c r="AD1299" s="9">
        <v>46036.694490740738</v>
      </c>
    </row>
    <row r="1300" spans="1:30" ht="12.5">
      <c r="A1300" s="4">
        <v>46036.449854178238</v>
      </c>
      <c r="B1300" s="5">
        <v>91037</v>
      </c>
      <c r="C1300" s="5">
        <v>1000942483</v>
      </c>
      <c r="D1300" s="5" t="s">
        <v>595</v>
      </c>
      <c r="F1300" s="5" t="s">
        <v>6064</v>
      </c>
      <c r="H1300" s="5">
        <v>573115169827</v>
      </c>
      <c r="J1300" s="5" t="s">
        <v>6065</v>
      </c>
      <c r="K1300" s="5" t="s">
        <v>33</v>
      </c>
      <c r="L1300" s="5" t="s">
        <v>34</v>
      </c>
      <c r="M1300" s="5">
        <v>3115169827</v>
      </c>
      <c r="N1300" s="6">
        <v>46036</v>
      </c>
      <c r="O1300" s="7">
        <v>0</v>
      </c>
      <c r="P1300" s="5">
        <v>1</v>
      </c>
      <c r="Q1300" s="5" t="s">
        <v>42</v>
      </c>
      <c r="R1300" s="5">
        <v>170000</v>
      </c>
      <c r="S1300" s="5">
        <v>0</v>
      </c>
      <c r="T1300" s="5">
        <v>0</v>
      </c>
      <c r="U1300" s="5">
        <v>170000</v>
      </c>
      <c r="V1300" s="5"/>
      <c r="W1300" s="5" t="s">
        <v>36</v>
      </c>
      <c r="X1300" s="5" t="s">
        <v>1481</v>
      </c>
      <c r="AA1300" s="5" t="s">
        <v>44</v>
      </c>
      <c r="AB1300" s="5" t="s">
        <v>6066</v>
      </c>
      <c r="AC1300" s="8" t="str">
        <f>HYPERLINK("https://drive.google.com/file/d/1mjj2L-SHvnuUtrA3MlaEEd12I9w7l5NA/view?usp=drivesdk", "Abrir_Factura")</f>
        <v>Abrir_Factura</v>
      </c>
      <c r="AD1300" s="9">
        <v>46036.450601851851</v>
      </c>
    </row>
    <row r="1301" spans="1:30" ht="12.5">
      <c r="A1301" s="4">
        <v>46036.453307048607</v>
      </c>
      <c r="B1301" s="5">
        <v>91038</v>
      </c>
      <c r="C1301" s="5">
        <v>1140872166</v>
      </c>
      <c r="D1301" s="5" t="s">
        <v>1194</v>
      </c>
      <c r="F1301" s="5" t="s">
        <v>6067</v>
      </c>
      <c r="H1301" s="5">
        <v>573015710880</v>
      </c>
      <c r="J1301" s="5" t="s">
        <v>6068</v>
      </c>
      <c r="K1301" s="5" t="s">
        <v>33</v>
      </c>
      <c r="L1301" s="5" t="s">
        <v>34</v>
      </c>
      <c r="M1301" s="5">
        <v>3015710880</v>
      </c>
      <c r="N1301" s="6">
        <v>46036</v>
      </c>
      <c r="O1301" s="7">
        <v>0</v>
      </c>
      <c r="P1301" s="5">
        <v>1</v>
      </c>
      <c r="Q1301" s="5" t="s">
        <v>542</v>
      </c>
      <c r="R1301" s="5">
        <v>140000</v>
      </c>
      <c r="S1301" s="5">
        <v>0</v>
      </c>
      <c r="T1301" s="5">
        <v>0</v>
      </c>
      <c r="U1301" s="5">
        <v>140000</v>
      </c>
      <c r="V1301" s="5" t="s">
        <v>6069</v>
      </c>
      <c r="W1301" s="5" t="s">
        <v>36</v>
      </c>
      <c r="X1301" s="5" t="s">
        <v>1705</v>
      </c>
      <c r="AA1301" s="5" t="s">
        <v>44</v>
      </c>
      <c r="AC1301" s="8" t="str">
        <f>HYPERLINK("https://drive.google.com/file/d/1zR2BzKnHP0pYkiDsRlZM3LqRd0qKAUJg/view?usp=drivesdk", "Abrir_Factura")</f>
        <v>Abrir_Factura</v>
      </c>
      <c r="AD1301" s="9">
        <v>46036.454386574071</v>
      </c>
    </row>
    <row r="1302" spans="1:30" ht="12.5">
      <c r="A1302" s="4">
        <v>46036.479813287035</v>
      </c>
      <c r="B1302" s="5">
        <v>91039</v>
      </c>
      <c r="C1302" s="5">
        <v>79980622</v>
      </c>
      <c r="D1302" s="5" t="s">
        <v>6070</v>
      </c>
      <c r="F1302" s="5" t="s">
        <v>31</v>
      </c>
      <c r="H1302" s="5">
        <v>573153997339</v>
      </c>
      <c r="J1302" s="5" t="s">
        <v>6071</v>
      </c>
      <c r="K1302" s="5" t="s">
        <v>33</v>
      </c>
      <c r="L1302" s="5" t="s">
        <v>34</v>
      </c>
      <c r="M1302" s="5">
        <v>3153997339</v>
      </c>
      <c r="N1302" s="6">
        <v>46036</v>
      </c>
      <c r="O1302" s="7">
        <v>0</v>
      </c>
      <c r="P1302" s="5">
        <v>1</v>
      </c>
      <c r="Q1302" s="5" t="s">
        <v>133</v>
      </c>
      <c r="R1302" s="5">
        <v>140000</v>
      </c>
      <c r="S1302" s="5">
        <v>0</v>
      </c>
      <c r="T1302" s="5">
        <v>0</v>
      </c>
      <c r="U1302" s="5">
        <v>140000</v>
      </c>
      <c r="V1302" s="5"/>
      <c r="W1302" s="5" t="s">
        <v>36</v>
      </c>
      <c r="X1302" s="5" t="s">
        <v>37</v>
      </c>
      <c r="AA1302" s="5" t="s">
        <v>37</v>
      </c>
      <c r="AB1302" s="5" t="s">
        <v>6072</v>
      </c>
      <c r="AC1302" s="8" t="str">
        <f>HYPERLINK("https://drive.google.com/file/d/1zz5_IbTRgRsbeTrZFVCMOWJg8PUZLN3y/view?usp=drivesdk", "Abrir_Factura")</f>
        <v>Abrir_Factura</v>
      </c>
      <c r="AD1302" s="9">
        <v>46036.480381944442</v>
      </c>
    </row>
    <row r="1303" spans="1:30" ht="12.5">
      <c r="A1303" s="4">
        <v>46036.491382673616</v>
      </c>
      <c r="B1303" s="5">
        <v>91040</v>
      </c>
      <c r="C1303" s="5">
        <v>80121984</v>
      </c>
      <c r="D1303" s="5" t="s">
        <v>2894</v>
      </c>
      <c r="F1303" s="5" t="s">
        <v>2677</v>
      </c>
      <c r="H1303" s="5">
        <v>573202911103</v>
      </c>
      <c r="J1303" s="5" t="s">
        <v>6073</v>
      </c>
      <c r="K1303" s="5" t="s">
        <v>33</v>
      </c>
      <c r="L1303" s="5" t="s">
        <v>34</v>
      </c>
      <c r="M1303" s="5">
        <v>3202911103</v>
      </c>
      <c r="N1303" s="6">
        <v>46036</v>
      </c>
      <c r="O1303" s="7">
        <v>0</v>
      </c>
      <c r="P1303" s="5">
        <v>1</v>
      </c>
      <c r="Q1303" s="5" t="s">
        <v>65</v>
      </c>
      <c r="R1303" s="5">
        <v>70000</v>
      </c>
      <c r="S1303" s="5">
        <v>0</v>
      </c>
      <c r="T1303" s="5">
        <v>0</v>
      </c>
      <c r="U1303" s="5">
        <v>70000</v>
      </c>
      <c r="V1303" s="5"/>
      <c r="W1303" s="5" t="s">
        <v>36</v>
      </c>
      <c r="X1303" s="5" t="s">
        <v>1705</v>
      </c>
      <c r="AA1303" s="5" t="s">
        <v>1717</v>
      </c>
      <c r="AC1303" s="8" t="str">
        <f>HYPERLINK("https://drive.google.com/file/d/1L9DUKnkMJjrq7S0WDASytaVTxy3qRBsa/view?usp=drivesdk", "Abrir_Factura")</f>
        <v>Abrir_Factura</v>
      </c>
      <c r="AD1303" s="9">
        <v>46036.493310185186</v>
      </c>
    </row>
    <row r="1304" spans="1:30" ht="12.5">
      <c r="A1304" s="4">
        <v>46036.491808784718</v>
      </c>
      <c r="B1304" s="5">
        <v>91041</v>
      </c>
      <c r="C1304" s="5">
        <v>1140848869</v>
      </c>
      <c r="D1304" s="5" t="s">
        <v>158</v>
      </c>
      <c r="F1304" s="5" t="s">
        <v>4847</v>
      </c>
      <c r="H1304" s="5">
        <v>17864246373</v>
      </c>
      <c r="J1304" s="5" t="s">
        <v>6074</v>
      </c>
      <c r="K1304" s="5" t="s">
        <v>103</v>
      </c>
      <c r="L1304" s="5" t="s">
        <v>6075</v>
      </c>
      <c r="M1304" s="5" t="s">
        <v>6076</v>
      </c>
      <c r="N1304" s="6">
        <v>46038</v>
      </c>
      <c r="O1304" s="7">
        <v>0</v>
      </c>
      <c r="P1304" s="5">
        <v>1</v>
      </c>
      <c r="Q1304" s="5" t="s">
        <v>330</v>
      </c>
      <c r="R1304" s="5">
        <v>180000</v>
      </c>
      <c r="S1304" s="5">
        <v>0</v>
      </c>
      <c r="T1304" s="5">
        <v>10000</v>
      </c>
      <c r="U1304" s="5">
        <v>190000</v>
      </c>
      <c r="V1304" s="5" t="s">
        <v>6077</v>
      </c>
      <c r="W1304" s="5" t="s">
        <v>36</v>
      </c>
      <c r="X1304" s="5" t="s">
        <v>67</v>
      </c>
      <c r="Z1304" s="5" t="s">
        <v>6078</v>
      </c>
      <c r="AA1304" s="5" t="s">
        <v>44</v>
      </c>
      <c r="AB1304" s="5" t="s">
        <v>6079</v>
      </c>
      <c r="AC1304" s="8" t="str">
        <f>HYPERLINK("https://drive.google.com/file/d/16V--CnIt0_koNXsshY2e7ApxMEi9BDyx/view?usp=drivesdk", "Abrir_Factura")</f>
        <v>Abrir_Factura</v>
      </c>
      <c r="AD1304" s="9">
        <v>46036.504675925928</v>
      </c>
    </row>
    <row r="1305" spans="1:30" ht="12.5">
      <c r="A1305" s="4">
        <v>46036.509005532411</v>
      </c>
      <c r="B1305" s="5">
        <v>91042</v>
      </c>
      <c r="C1305" s="5">
        <v>55306342</v>
      </c>
      <c r="D1305" s="5" t="s">
        <v>2973</v>
      </c>
      <c r="F1305" s="5" t="s">
        <v>2419</v>
      </c>
      <c r="H1305" s="5">
        <v>573004772457</v>
      </c>
      <c r="J1305" s="5" t="s">
        <v>6080</v>
      </c>
      <c r="K1305" s="5" t="s">
        <v>33</v>
      </c>
      <c r="L1305" s="5" t="s">
        <v>34</v>
      </c>
      <c r="M1305" s="5">
        <v>3004772457</v>
      </c>
      <c r="N1305" s="6">
        <v>46036</v>
      </c>
      <c r="O1305" s="7">
        <v>0</v>
      </c>
      <c r="P1305" s="5">
        <v>1</v>
      </c>
      <c r="Q1305" s="5" t="s">
        <v>42</v>
      </c>
      <c r="R1305" s="5">
        <v>37000</v>
      </c>
      <c r="S1305" s="5">
        <v>0</v>
      </c>
      <c r="T1305" s="5">
        <v>0</v>
      </c>
      <c r="U1305" s="5">
        <v>37000</v>
      </c>
      <c r="V1305" s="5"/>
      <c r="W1305" s="5" t="s">
        <v>36</v>
      </c>
      <c r="X1305" s="5" t="s">
        <v>1705</v>
      </c>
      <c r="AA1305" s="5" t="s">
        <v>1717</v>
      </c>
      <c r="AC1305" s="8" t="str">
        <f>HYPERLINK("https://drive.google.com/file/d/189YgDyINWHtwnbgERAan6RFxIrqAJoA3/view?usp=drivesdk", "Abrir_Factura")</f>
        <v>Abrir_Factura</v>
      </c>
      <c r="AD1305" s="9">
        <v>46036.510810185187</v>
      </c>
    </row>
    <row r="1306" spans="1:30" ht="12.5">
      <c r="A1306" s="4">
        <v>46036.508291828708</v>
      </c>
      <c r="B1306" s="5">
        <v>91043</v>
      </c>
      <c r="C1306" s="5">
        <v>1002212186</v>
      </c>
      <c r="D1306" s="5" t="s">
        <v>270</v>
      </c>
      <c r="F1306" s="5" t="s">
        <v>6081</v>
      </c>
      <c r="H1306" s="5">
        <v>573046354329</v>
      </c>
      <c r="J1306" s="5" t="s">
        <v>6082</v>
      </c>
      <c r="K1306" s="5" t="s">
        <v>33</v>
      </c>
      <c r="L1306" s="5" t="s">
        <v>34</v>
      </c>
      <c r="M1306" s="5">
        <v>3046354329</v>
      </c>
      <c r="N1306" s="6">
        <v>46036</v>
      </c>
      <c r="O1306" s="7">
        <v>0</v>
      </c>
      <c r="P1306" s="5">
        <v>1</v>
      </c>
      <c r="Q1306" s="5" t="s">
        <v>42</v>
      </c>
      <c r="R1306" s="5">
        <v>90000</v>
      </c>
      <c r="S1306" s="5">
        <v>0</v>
      </c>
      <c r="T1306" s="5">
        <v>0</v>
      </c>
      <c r="U1306" s="5">
        <v>90000</v>
      </c>
      <c r="V1306" s="5" t="s">
        <v>6083</v>
      </c>
      <c r="W1306" s="5" t="s">
        <v>36</v>
      </c>
      <c r="X1306" s="5" t="s">
        <v>67</v>
      </c>
      <c r="Z1306" s="5" t="s">
        <v>6084</v>
      </c>
      <c r="AA1306" s="5" t="s">
        <v>69</v>
      </c>
      <c r="AB1306" s="5" t="s">
        <v>6085</v>
      </c>
      <c r="AC1306" s="8" t="str">
        <f>HYPERLINK("https://drive.google.com/file/d/1Z9eBObfGyVLowwIxl62JuHdw2U9vN4Hq/view?usp=drivesdk", "Abrir_Factura")</f>
        <v>Abrir_Factura</v>
      </c>
      <c r="AD1306" s="9">
        <v>46036.567349537036</v>
      </c>
    </row>
    <row r="1307" spans="1:30" ht="12.5">
      <c r="A1307" s="4">
        <v>46036.529220648154</v>
      </c>
      <c r="B1307" s="5">
        <v>91044</v>
      </c>
      <c r="C1307" s="5">
        <v>1020741786</v>
      </c>
      <c r="D1307" s="5" t="s">
        <v>6086</v>
      </c>
      <c r="F1307" s="5" t="s">
        <v>6087</v>
      </c>
      <c r="H1307" s="5">
        <v>573004614501</v>
      </c>
      <c r="J1307" s="5" t="s">
        <v>6087</v>
      </c>
      <c r="K1307" s="5" t="s">
        <v>33</v>
      </c>
      <c r="L1307" s="5" t="s">
        <v>34</v>
      </c>
      <c r="M1307" s="5" t="s">
        <v>6088</v>
      </c>
      <c r="N1307" s="6">
        <v>46036</v>
      </c>
      <c r="O1307" s="7">
        <v>0</v>
      </c>
      <c r="P1307" s="5">
        <v>1</v>
      </c>
      <c r="Q1307" s="5" t="s">
        <v>42</v>
      </c>
      <c r="R1307" s="5">
        <v>125000</v>
      </c>
      <c r="S1307" s="5">
        <v>0</v>
      </c>
      <c r="T1307" s="5">
        <v>0</v>
      </c>
      <c r="U1307" s="5">
        <v>125000</v>
      </c>
      <c r="V1307" s="5"/>
      <c r="W1307" s="5" t="s">
        <v>36</v>
      </c>
      <c r="X1307" s="5" t="s">
        <v>67</v>
      </c>
      <c r="AA1307" s="5" t="s">
        <v>44</v>
      </c>
      <c r="AB1307" s="5" t="s">
        <v>525</v>
      </c>
      <c r="AC1307" s="8" t="str">
        <f>HYPERLINK("https://drive.google.com/file/d/11_jYul5i6y2iStsgR0xfIthUgHXJKRuu/view?usp=drivesdk", "Abrir_Factura")</f>
        <v>Abrir_Factura</v>
      </c>
      <c r="AD1307" s="9">
        <v>46036.532222222224</v>
      </c>
    </row>
    <row r="1308" spans="1:30" ht="12.5">
      <c r="A1308" s="4">
        <v>46036.541140474539</v>
      </c>
      <c r="B1308" s="5">
        <v>91045</v>
      </c>
      <c r="C1308" s="5">
        <v>1118866787</v>
      </c>
      <c r="D1308" s="5" t="s">
        <v>6089</v>
      </c>
      <c r="F1308" s="5" t="s">
        <v>6090</v>
      </c>
      <c r="H1308" s="5">
        <v>573146846722</v>
      </c>
      <c r="J1308" s="5" t="s">
        <v>6091</v>
      </c>
      <c r="K1308" s="5" t="s">
        <v>103</v>
      </c>
      <c r="L1308" s="5" t="s">
        <v>6092</v>
      </c>
      <c r="M1308" s="5"/>
      <c r="N1308" s="6">
        <v>46036</v>
      </c>
      <c r="O1308" s="7">
        <v>0.64583333333333337</v>
      </c>
      <c r="P1308" s="5">
        <v>1</v>
      </c>
      <c r="Q1308" s="5" t="s">
        <v>918</v>
      </c>
      <c r="R1308" s="5">
        <v>250000</v>
      </c>
      <c r="S1308" s="5">
        <v>0</v>
      </c>
      <c r="T1308" s="5">
        <v>10000</v>
      </c>
      <c r="U1308" s="5">
        <v>260000</v>
      </c>
      <c r="V1308" s="5" t="s">
        <v>6093</v>
      </c>
      <c r="W1308" s="5" t="s">
        <v>36</v>
      </c>
      <c r="X1308" s="5" t="s">
        <v>1937</v>
      </c>
      <c r="Z1308" s="5" t="s">
        <v>6094</v>
      </c>
      <c r="AA1308" s="5" t="s">
        <v>44</v>
      </c>
      <c r="AB1308" s="5" t="s">
        <v>6095</v>
      </c>
      <c r="AC1308" s="8" t="str">
        <f>HYPERLINK("https://drive.google.com/file/d/1gOhJ0L3g5n-akpOIkj1S7mWZ1fGea-yH/view?usp=drivesdk", "Abrir_Factura")</f>
        <v>Abrir_Factura</v>
      </c>
      <c r="AD1308" s="9">
        <v>46036.547881944447</v>
      </c>
    </row>
    <row r="1309" spans="1:30" ht="12.5">
      <c r="A1309" s="4">
        <v>46036.55861630787</v>
      </c>
      <c r="B1309" s="5">
        <v>91046</v>
      </c>
      <c r="C1309" s="5">
        <v>1045710345</v>
      </c>
      <c r="D1309" s="5" t="s">
        <v>6096</v>
      </c>
      <c r="F1309" s="5" t="s">
        <v>6097</v>
      </c>
      <c r="H1309" s="5">
        <v>573166909508</v>
      </c>
      <c r="J1309" s="5" t="s">
        <v>6098</v>
      </c>
      <c r="K1309" s="5" t="s">
        <v>33</v>
      </c>
      <c r="L1309" s="5" t="s">
        <v>34</v>
      </c>
      <c r="M1309" s="5">
        <v>3166909508</v>
      </c>
      <c r="N1309" s="6">
        <v>46039</v>
      </c>
      <c r="O1309" s="7">
        <v>0.64583333333333337</v>
      </c>
      <c r="P1309" s="5">
        <v>1</v>
      </c>
      <c r="Q1309" s="5" t="s">
        <v>559</v>
      </c>
      <c r="R1309" s="5">
        <v>90000</v>
      </c>
      <c r="S1309" s="5">
        <v>0</v>
      </c>
      <c r="T1309" s="5">
        <v>0</v>
      </c>
      <c r="U1309" s="5">
        <v>90000</v>
      </c>
      <c r="V1309" s="5" t="s">
        <v>6099</v>
      </c>
      <c r="W1309" s="5" t="s">
        <v>36</v>
      </c>
      <c r="X1309" s="5" t="s">
        <v>67</v>
      </c>
      <c r="Z1309" s="5" t="s">
        <v>6100</v>
      </c>
      <c r="AA1309" s="5" t="s">
        <v>44</v>
      </c>
      <c r="AC1309" s="8" t="str">
        <f>HYPERLINK("https://drive.google.com/file/d/1RU4lQAJTeVmGbGs6pTNXPVe1cmBUj_dP/view?usp=drivesdk", "Abrir_Factura")</f>
        <v>Abrir_Factura</v>
      </c>
      <c r="AD1309" s="9">
        <v>46036.569745370369</v>
      </c>
    </row>
    <row r="1310" spans="1:30" ht="12.5">
      <c r="A1310" s="4">
        <v>46036.57256936343</v>
      </c>
      <c r="B1310" s="5">
        <v>91047</v>
      </c>
      <c r="C1310" s="5">
        <v>0</v>
      </c>
      <c r="D1310" s="5" t="s">
        <v>5538</v>
      </c>
      <c r="F1310" s="5" t="s">
        <v>5539</v>
      </c>
      <c r="H1310" s="5">
        <v>5700000</v>
      </c>
      <c r="J1310" s="5" t="s">
        <v>5540</v>
      </c>
      <c r="K1310" s="5" t="s">
        <v>33</v>
      </c>
      <c r="L1310" s="5" t="s">
        <v>34</v>
      </c>
      <c r="M1310" s="5">
        <v>0</v>
      </c>
      <c r="N1310" s="6">
        <v>46036</v>
      </c>
      <c r="O1310" s="7">
        <v>0</v>
      </c>
      <c r="P1310" s="5">
        <v>1</v>
      </c>
      <c r="Q1310" s="5" t="s">
        <v>1085</v>
      </c>
      <c r="R1310" s="5">
        <v>130000</v>
      </c>
      <c r="S1310" s="5">
        <v>0</v>
      </c>
      <c r="T1310" s="5">
        <v>0</v>
      </c>
      <c r="U1310" s="5">
        <v>130000</v>
      </c>
      <c r="V1310" s="5"/>
      <c r="W1310" s="5" t="s">
        <v>36</v>
      </c>
      <c r="X1310" s="5" t="s">
        <v>196</v>
      </c>
      <c r="AA1310" s="5" t="s">
        <v>1717</v>
      </c>
      <c r="AC1310" s="8" t="str">
        <f>HYPERLINK("https://drive.google.com/file/d/1zNAJY-DjjVOWp8mhySEYn6MDOSHJukRk/view?usp=drivesdk", "Abrir_Factura")</f>
        <v>Abrir_Factura</v>
      </c>
      <c r="AD1310" s="9">
        <v>46036.572951388887</v>
      </c>
    </row>
    <row r="1311" spans="1:30" ht="12.5">
      <c r="A1311" s="4">
        <v>46036.562817106482</v>
      </c>
      <c r="B1311" s="5">
        <v>91048</v>
      </c>
      <c r="C1311" s="5">
        <v>1032383688</v>
      </c>
      <c r="D1311" s="5" t="s">
        <v>6101</v>
      </c>
      <c r="F1311" s="5" t="s">
        <v>1264</v>
      </c>
      <c r="H1311" s="5">
        <v>573002223118</v>
      </c>
      <c r="J1311" s="5" t="s">
        <v>6102</v>
      </c>
      <c r="K1311" s="5" t="s">
        <v>103</v>
      </c>
      <c r="L1311" s="5" t="s">
        <v>6103</v>
      </c>
      <c r="M1311" s="5">
        <v>3106554089</v>
      </c>
      <c r="N1311" s="6">
        <v>46036</v>
      </c>
      <c r="O1311" s="7">
        <v>0.5</v>
      </c>
      <c r="P1311" s="5">
        <v>1</v>
      </c>
      <c r="Q1311" s="5" t="s">
        <v>3111</v>
      </c>
      <c r="R1311" s="5">
        <v>190000</v>
      </c>
      <c r="S1311" s="5">
        <v>0</v>
      </c>
      <c r="T1311" s="5">
        <v>10000</v>
      </c>
      <c r="U1311" s="5">
        <v>200000</v>
      </c>
      <c r="V1311" s="5" t="s">
        <v>6104</v>
      </c>
      <c r="W1311" s="5" t="s">
        <v>36</v>
      </c>
      <c r="X1311" s="5" t="s">
        <v>180</v>
      </c>
      <c r="Z1311" s="5" t="s">
        <v>6105</v>
      </c>
      <c r="AA1311" s="5" t="s">
        <v>44</v>
      </c>
      <c r="AC1311" s="8" t="str">
        <f>HYPERLINK("https://drive.google.com/file/d/1okAIibDwDYqQ4oAjeVt7xQJIVs3YQ7cZ/view?usp=drivesdk", "Abrir_Factura")</f>
        <v>Abrir_Factura</v>
      </c>
      <c r="AD1311" s="9">
        <v>46036.581388888888</v>
      </c>
    </row>
    <row r="1312" spans="1:30" ht="12.5">
      <c r="A1312" s="4">
        <v>46036.578731469912</v>
      </c>
      <c r="B1312" s="5">
        <v>91049</v>
      </c>
      <c r="C1312" s="5">
        <v>140826078</v>
      </c>
      <c r="D1312" s="5" t="s">
        <v>584</v>
      </c>
      <c r="F1312" s="5" t="s">
        <v>1947</v>
      </c>
      <c r="H1312" s="5">
        <v>5700000</v>
      </c>
      <c r="J1312" s="5" t="s">
        <v>6106</v>
      </c>
      <c r="K1312" s="5" t="s">
        <v>33</v>
      </c>
      <c r="L1312" s="5" t="s">
        <v>34</v>
      </c>
      <c r="M1312" s="5">
        <v>0</v>
      </c>
      <c r="N1312" s="6">
        <v>46036</v>
      </c>
      <c r="O1312" s="7">
        <v>0</v>
      </c>
      <c r="P1312" s="5">
        <v>1</v>
      </c>
      <c r="Q1312" s="5" t="s">
        <v>42</v>
      </c>
      <c r="R1312" s="5">
        <v>25000</v>
      </c>
      <c r="S1312" s="5">
        <v>0</v>
      </c>
      <c r="T1312" s="5">
        <v>0</v>
      </c>
      <c r="U1312" s="5">
        <v>25000</v>
      </c>
      <c r="V1312" s="5"/>
      <c r="W1312" s="5" t="s">
        <v>36</v>
      </c>
      <c r="X1312" s="5" t="s">
        <v>1705</v>
      </c>
      <c r="AA1312" s="5" t="s">
        <v>1717</v>
      </c>
      <c r="AC1312" s="8" t="str">
        <f>HYPERLINK("https://drive.google.com/file/d/161iuK4HJHvxvpCpeLJifb0HgsLTMb654/view?usp=drivesdk", "Abrir_Factura")</f>
        <v>Abrir_Factura</v>
      </c>
      <c r="AD1312" s="9">
        <v>46036.586157407408</v>
      </c>
    </row>
    <row r="1313" spans="1:30" ht="12.5">
      <c r="A1313" s="4">
        <v>46036.569153321761</v>
      </c>
      <c r="B1313" s="5">
        <v>91050</v>
      </c>
      <c r="C1313" s="5">
        <v>1140869999</v>
      </c>
      <c r="D1313" s="5" t="s">
        <v>5541</v>
      </c>
      <c r="F1313" s="5" t="s">
        <v>6107</v>
      </c>
      <c r="H1313" s="5">
        <v>573127923687</v>
      </c>
      <c r="J1313" s="5" t="s">
        <v>6108</v>
      </c>
      <c r="K1313" s="5" t="s">
        <v>63</v>
      </c>
      <c r="L1313" s="5" t="s">
        <v>6109</v>
      </c>
      <c r="M1313" s="5" t="s">
        <v>25421</v>
      </c>
      <c r="N1313" s="6">
        <v>46036</v>
      </c>
      <c r="O1313" s="7">
        <v>0</v>
      </c>
      <c r="P1313" s="5">
        <v>1</v>
      </c>
      <c r="Q1313" s="5" t="s">
        <v>422</v>
      </c>
      <c r="R1313" s="5">
        <v>130000</v>
      </c>
      <c r="S1313" s="5">
        <v>0</v>
      </c>
      <c r="T1313" s="5">
        <v>15000</v>
      </c>
      <c r="U1313" s="5">
        <v>145000</v>
      </c>
      <c r="V1313" s="5" t="s">
        <v>6110</v>
      </c>
      <c r="W1313" s="5" t="s">
        <v>36</v>
      </c>
      <c r="X1313" s="5" t="s">
        <v>67</v>
      </c>
      <c r="Z1313" s="5" t="s">
        <v>6111</v>
      </c>
      <c r="AA1313" s="5" t="s">
        <v>69</v>
      </c>
      <c r="AC1313" s="8" t="str">
        <f>HYPERLINK("https://drive.google.com/file/d/1AtG017KdqacibLvz7vWP0pcI3G8_iAO0/view?usp=drivesdk", "Abrir_Factura")</f>
        <v>Abrir_Factura</v>
      </c>
      <c r="AD1313" s="9">
        <v>46036.587673611109</v>
      </c>
    </row>
    <row r="1314" spans="1:30" ht="12.5">
      <c r="A1314" s="4">
        <v>46036.633417569443</v>
      </c>
      <c r="B1314" s="5">
        <v>91051</v>
      </c>
      <c r="C1314" s="5">
        <v>900521807</v>
      </c>
      <c r="D1314" s="5" t="s">
        <v>1231</v>
      </c>
      <c r="F1314" s="5" t="s">
        <v>2159</v>
      </c>
      <c r="H1314" s="5">
        <v>573007682024</v>
      </c>
      <c r="J1314" s="5" t="s">
        <v>6112</v>
      </c>
      <c r="K1314" s="5" t="s">
        <v>5898</v>
      </c>
      <c r="L1314" s="5" t="s">
        <v>6113</v>
      </c>
      <c r="M1314" s="5"/>
      <c r="N1314" s="6">
        <v>46037</v>
      </c>
      <c r="O1314" s="7">
        <v>0.375</v>
      </c>
      <c r="P1314" s="5">
        <v>1</v>
      </c>
      <c r="Q1314" s="5" t="s">
        <v>42</v>
      </c>
      <c r="R1314" s="5">
        <v>119000</v>
      </c>
      <c r="S1314" s="5">
        <v>0</v>
      </c>
      <c r="T1314" s="5">
        <v>17000</v>
      </c>
      <c r="U1314" s="5">
        <v>136000</v>
      </c>
      <c r="V1314" s="5"/>
      <c r="W1314" s="5" t="s">
        <v>36</v>
      </c>
      <c r="X1314" s="5" t="s">
        <v>43</v>
      </c>
      <c r="AA1314" s="5" t="s">
        <v>44</v>
      </c>
      <c r="AB1314" s="5" t="s">
        <v>6114</v>
      </c>
      <c r="AC1314" s="8" t="str">
        <f>HYPERLINK("https://drive.google.com/file/d/1ahTpfU5B3ZFhufMsfCBrbL0K3EgEe39f/view?usp=drivesdk", "Abrir_Factura")</f>
        <v>Abrir_Factura</v>
      </c>
      <c r="AD1314" s="9">
        <v>46036.635011574072</v>
      </c>
    </row>
    <row r="1315" spans="1:30" ht="12.5">
      <c r="A1315" s="4">
        <v>46036.652007743054</v>
      </c>
      <c r="B1315" s="5">
        <v>91052</v>
      </c>
      <c r="C1315" s="5">
        <v>41491258</v>
      </c>
      <c r="D1315" s="5" t="s">
        <v>6115</v>
      </c>
      <c r="F1315" s="5" t="s">
        <v>2386</v>
      </c>
      <c r="H1315" s="5">
        <v>573106374225</v>
      </c>
      <c r="J1315" s="5" t="s">
        <v>6116</v>
      </c>
      <c r="K1315" s="5" t="s">
        <v>33</v>
      </c>
      <c r="L1315" s="5" t="s">
        <v>34</v>
      </c>
      <c r="M1315" s="5">
        <v>3106374225</v>
      </c>
      <c r="N1315" s="6">
        <v>46036</v>
      </c>
      <c r="O1315" s="7">
        <v>0</v>
      </c>
      <c r="P1315" s="5">
        <v>1</v>
      </c>
      <c r="Q1315" s="5" t="s">
        <v>42</v>
      </c>
      <c r="R1315" s="5">
        <v>25000</v>
      </c>
      <c r="S1315" s="5">
        <v>0</v>
      </c>
      <c r="T1315" s="5">
        <v>0</v>
      </c>
      <c r="U1315" s="5">
        <v>25000</v>
      </c>
      <c r="V1315" s="5"/>
      <c r="W1315" s="5" t="s">
        <v>36</v>
      </c>
      <c r="X1315" s="5" t="s">
        <v>1705</v>
      </c>
      <c r="AA1315" s="5" t="s">
        <v>1717</v>
      </c>
      <c r="AC1315" s="8" t="str">
        <f>HYPERLINK("https://drive.google.com/file/d/1E8zXwU2nLHFStycO4Gb7Pt-lKyORcKw-/view?usp=drivesdk", "Abrir_Factura")</f>
        <v>Abrir_Factura</v>
      </c>
      <c r="AD1315" s="9">
        <v>46036.654236111113</v>
      </c>
    </row>
    <row r="1316" spans="1:30" ht="12.5">
      <c r="A1316" s="4">
        <v>46036.667995231481</v>
      </c>
      <c r="B1316" s="5">
        <v>91053</v>
      </c>
      <c r="C1316" s="5">
        <v>1020801474</v>
      </c>
      <c r="D1316" s="5" t="s">
        <v>6117</v>
      </c>
      <c r="F1316" s="5" t="s">
        <v>6118</v>
      </c>
      <c r="H1316" s="5">
        <v>573023488724</v>
      </c>
      <c r="J1316" s="5" t="s">
        <v>6119</v>
      </c>
      <c r="K1316" s="5" t="s">
        <v>229</v>
      </c>
      <c r="L1316" s="5" t="s">
        <v>6120</v>
      </c>
      <c r="M1316" s="5">
        <v>3222566121</v>
      </c>
      <c r="N1316" s="6">
        <v>46036</v>
      </c>
      <c r="O1316" s="7">
        <v>0.70833333333333337</v>
      </c>
      <c r="P1316" s="5">
        <v>1</v>
      </c>
      <c r="Q1316" s="5" t="s">
        <v>422</v>
      </c>
      <c r="R1316" s="5">
        <v>130000</v>
      </c>
      <c r="S1316" s="5">
        <v>0</v>
      </c>
      <c r="T1316" s="5">
        <v>11000</v>
      </c>
      <c r="U1316" s="5">
        <v>141000</v>
      </c>
      <c r="V1316" s="5" t="s">
        <v>6121</v>
      </c>
      <c r="W1316" s="5" t="s">
        <v>36</v>
      </c>
      <c r="X1316" s="5" t="s">
        <v>180</v>
      </c>
      <c r="Z1316" s="5" t="s">
        <v>6122</v>
      </c>
      <c r="AA1316" s="5" t="s">
        <v>44</v>
      </c>
      <c r="AC1316" s="8" t="str">
        <f>HYPERLINK("https://drive.google.com/file/d/1GWd-FUrFunchLmKOU_LsLwYsyv31sypJ/view?usp=drivesdk", "Abrir_Factura")</f>
        <v>Abrir_Factura</v>
      </c>
      <c r="AD1316" s="9">
        <v>46036.676805555559</v>
      </c>
    </row>
    <row r="1317" spans="1:30" ht="12.5">
      <c r="A1317" s="4">
        <v>46036.688138414349</v>
      </c>
      <c r="B1317" s="5">
        <v>91054</v>
      </c>
      <c r="C1317" s="5">
        <v>1001782466</v>
      </c>
      <c r="D1317" s="5" t="s">
        <v>6123</v>
      </c>
      <c r="F1317" s="5" t="s">
        <v>6124</v>
      </c>
      <c r="H1317" s="5">
        <v>573183762807</v>
      </c>
      <c r="J1317" s="5" t="s">
        <v>6125</v>
      </c>
      <c r="K1317" s="5" t="s">
        <v>33</v>
      </c>
      <c r="L1317" s="5" t="s">
        <v>34</v>
      </c>
      <c r="M1317" s="5">
        <v>3183762807</v>
      </c>
      <c r="N1317" s="6">
        <v>46036</v>
      </c>
      <c r="O1317" s="7">
        <v>0</v>
      </c>
      <c r="P1317" s="5">
        <v>1</v>
      </c>
      <c r="Q1317" s="5" t="s">
        <v>210</v>
      </c>
      <c r="R1317" s="5">
        <v>150000</v>
      </c>
      <c r="S1317" s="5">
        <v>0</v>
      </c>
      <c r="T1317" s="5">
        <v>0</v>
      </c>
      <c r="U1317" s="5">
        <v>150000</v>
      </c>
      <c r="V1317" s="5"/>
      <c r="W1317" s="5" t="s">
        <v>36</v>
      </c>
      <c r="X1317" s="5" t="s">
        <v>1705</v>
      </c>
      <c r="AA1317" s="5" t="s">
        <v>1717</v>
      </c>
      <c r="AC1317" s="8" t="str">
        <f>HYPERLINK("https://drive.google.com/file/d/1gnt-YMqAf38XERCIb5MZf7AGIJiFEMrW/view?usp=drivesdk", "Abrir_Factura")</f>
        <v>Abrir_Factura</v>
      </c>
      <c r="AD1317" s="9">
        <v>46036.68855324074</v>
      </c>
    </row>
    <row r="1318" spans="1:30" ht="12.5">
      <c r="A1318" s="4">
        <v>46036.684757812502</v>
      </c>
      <c r="B1318" s="5">
        <v>91055</v>
      </c>
      <c r="C1318" s="5">
        <v>1129522150</v>
      </c>
      <c r="D1318" s="5" t="s">
        <v>6126</v>
      </c>
      <c r="F1318" s="5" t="s">
        <v>1540</v>
      </c>
      <c r="H1318" s="5">
        <v>573152433843</v>
      </c>
      <c r="J1318" s="5" t="s">
        <v>6127</v>
      </c>
      <c r="K1318" s="5" t="s">
        <v>33</v>
      </c>
      <c r="L1318" s="5" t="s">
        <v>34</v>
      </c>
      <c r="M1318" s="5">
        <v>3152433843</v>
      </c>
      <c r="N1318" s="6">
        <v>46036</v>
      </c>
      <c r="O1318" s="7">
        <v>0.75</v>
      </c>
      <c r="P1318" s="5">
        <v>1</v>
      </c>
      <c r="Q1318" s="5" t="s">
        <v>42</v>
      </c>
      <c r="R1318" s="5">
        <v>200000</v>
      </c>
      <c r="S1318" s="5">
        <v>0</v>
      </c>
      <c r="T1318" s="5">
        <v>0</v>
      </c>
      <c r="U1318" s="5">
        <v>200000</v>
      </c>
      <c r="V1318" s="5" t="s">
        <v>6128</v>
      </c>
      <c r="W1318" s="5" t="s">
        <v>36</v>
      </c>
      <c r="X1318" s="5" t="s">
        <v>83</v>
      </c>
      <c r="Z1318" s="5" t="s">
        <v>6129</v>
      </c>
      <c r="AA1318" s="5" t="s">
        <v>44</v>
      </c>
      <c r="AB1318" s="5" t="s">
        <v>6130</v>
      </c>
      <c r="AC1318" s="8" t="str">
        <f>HYPERLINK("https://drive.google.com/file/d/1XaLFzAfm0R3gvthZgLq-tsxRLgnizHta/view?usp=drivesdk", "Abrir_Factura")</f>
        <v>Abrir_Factura</v>
      </c>
      <c r="AD1318" s="9">
        <v>46036.694814814815</v>
      </c>
    </row>
    <row r="1319" spans="1:30" ht="12.5">
      <c r="A1319" s="4">
        <v>46036.696752928241</v>
      </c>
      <c r="B1319" s="5">
        <v>91056</v>
      </c>
      <c r="C1319" s="5">
        <v>1007738491</v>
      </c>
      <c r="D1319" s="5" t="s">
        <v>190</v>
      </c>
      <c r="F1319" s="5" t="s">
        <v>6131</v>
      </c>
      <c r="H1319" s="5">
        <v>573103673789</v>
      </c>
      <c r="J1319" s="5" t="s">
        <v>6132</v>
      </c>
      <c r="K1319" s="5" t="s">
        <v>33</v>
      </c>
      <c r="L1319" s="5" t="s">
        <v>34</v>
      </c>
      <c r="M1319" s="5" t="s">
        <v>6133</v>
      </c>
      <c r="N1319" s="6">
        <v>46036</v>
      </c>
      <c r="O1319" s="7">
        <v>0</v>
      </c>
      <c r="P1319" s="5">
        <v>1</v>
      </c>
      <c r="Q1319" s="5" t="s">
        <v>65</v>
      </c>
      <c r="R1319" s="5">
        <v>70000</v>
      </c>
      <c r="S1319" s="5">
        <v>0</v>
      </c>
      <c r="T1319" s="5">
        <v>0</v>
      </c>
      <c r="U1319" s="5">
        <v>70000</v>
      </c>
      <c r="V1319" s="5"/>
      <c r="W1319" s="5" t="s">
        <v>36</v>
      </c>
      <c r="X1319" s="5" t="s">
        <v>67</v>
      </c>
      <c r="AA1319" s="5" t="s">
        <v>44</v>
      </c>
      <c r="AC1319" s="8" t="str">
        <f>HYPERLINK("https://drive.google.com/file/d/17ZMlZEpEY0wOGR-pAowhBHBuuy_7PhNz/view?usp=drivesdk", "Abrir_Factura")</f>
        <v>Abrir_Factura</v>
      </c>
      <c r="AD1319" s="9">
        <v>46036.697233796294</v>
      </c>
    </row>
    <row r="1320" spans="1:30" ht="12.5">
      <c r="A1320" s="4">
        <v>46036.688979039347</v>
      </c>
      <c r="B1320" s="5">
        <v>91057</v>
      </c>
      <c r="C1320" s="5">
        <v>8713794</v>
      </c>
      <c r="D1320" s="5" t="s">
        <v>4026</v>
      </c>
      <c r="F1320" s="5" t="s">
        <v>6134</v>
      </c>
      <c r="H1320" s="5">
        <v>573102276409</v>
      </c>
      <c r="J1320" s="5" t="s">
        <v>6135</v>
      </c>
      <c r="K1320" s="5" t="s">
        <v>185</v>
      </c>
      <c r="L1320" s="5" t="s">
        <v>6136</v>
      </c>
      <c r="M1320" s="5">
        <v>3102276409</v>
      </c>
      <c r="N1320" s="6">
        <v>46036</v>
      </c>
      <c r="O1320" s="7">
        <v>0.35416666666666669</v>
      </c>
      <c r="P1320" s="5">
        <v>1</v>
      </c>
      <c r="Q1320" s="5" t="s">
        <v>747</v>
      </c>
      <c r="R1320" s="5">
        <v>300000</v>
      </c>
      <c r="S1320" s="5">
        <v>0</v>
      </c>
      <c r="T1320" s="5">
        <v>8000</v>
      </c>
      <c r="U1320" s="5">
        <v>308000</v>
      </c>
      <c r="V1320" s="5" t="s">
        <v>6137</v>
      </c>
      <c r="W1320" s="5" t="s">
        <v>36</v>
      </c>
      <c r="X1320" s="5" t="s">
        <v>1937</v>
      </c>
      <c r="Z1320" s="5" t="s">
        <v>6138</v>
      </c>
      <c r="AA1320" s="5" t="s">
        <v>44</v>
      </c>
      <c r="AB1320" s="5" t="s">
        <v>6139</v>
      </c>
      <c r="AC1320" s="8" t="str">
        <f>HYPERLINK("https://drive.google.com/file/d/1JsPbJCv2-yW9HJtvx8sSDK885zOertNp/view?usp=drivesdk", "Abrir_Factura")</f>
        <v>Abrir_Factura</v>
      </c>
      <c r="AD1320" s="9">
        <v>46036.698831018519</v>
      </c>
    </row>
    <row r="1321" spans="1:30" ht="12.5">
      <c r="A1321" s="4">
        <v>46036.696553888891</v>
      </c>
      <c r="B1321" s="5">
        <v>91058</v>
      </c>
      <c r="C1321" s="5">
        <v>80852240</v>
      </c>
      <c r="D1321" s="5" t="s">
        <v>2545</v>
      </c>
      <c r="F1321" s="5" t="s">
        <v>6140</v>
      </c>
      <c r="H1321" s="5">
        <v>573017925741</v>
      </c>
      <c r="J1321" s="5" t="s">
        <v>6141</v>
      </c>
      <c r="K1321" s="5" t="s">
        <v>229</v>
      </c>
      <c r="L1321" s="5" t="s">
        <v>6142</v>
      </c>
      <c r="M1321" s="5">
        <v>3226042812</v>
      </c>
      <c r="N1321" s="6">
        <v>46036</v>
      </c>
      <c r="O1321" s="7">
        <v>0.75</v>
      </c>
      <c r="P1321" s="5">
        <v>1</v>
      </c>
      <c r="Q1321" s="5" t="s">
        <v>81</v>
      </c>
      <c r="R1321" s="5">
        <v>350000</v>
      </c>
      <c r="S1321" s="5">
        <v>0</v>
      </c>
      <c r="T1321" s="5">
        <v>11000</v>
      </c>
      <c r="U1321" s="5">
        <v>361000</v>
      </c>
      <c r="V1321" s="5" t="s">
        <v>6143</v>
      </c>
      <c r="W1321" s="5" t="s">
        <v>36</v>
      </c>
      <c r="X1321" s="5" t="s">
        <v>83</v>
      </c>
      <c r="Z1321" s="5" t="s">
        <v>6144</v>
      </c>
      <c r="AA1321" s="5" t="s">
        <v>44</v>
      </c>
      <c r="AC1321" s="8" t="str">
        <f>HYPERLINK("https://drive.google.com/file/d/1_e1jlaFQMOry8Jghwi-3Zc4T7If4-kfH/view?usp=drivesdk", "Abrir_Factura")</f>
        <v>Abrir_Factura</v>
      </c>
      <c r="AD1321" s="9">
        <v>46036.717766203707</v>
      </c>
    </row>
    <row r="1322" spans="1:30" ht="12.5">
      <c r="A1322" s="4">
        <v>46036.765130196756</v>
      </c>
      <c r="B1322" s="5">
        <v>91059</v>
      </c>
      <c r="C1322" s="5">
        <v>1002134500</v>
      </c>
      <c r="D1322" s="5" t="s">
        <v>6145</v>
      </c>
      <c r="F1322" s="5" t="s">
        <v>6146</v>
      </c>
      <c r="H1322" s="5">
        <v>573023112460</v>
      </c>
      <c r="J1322" s="5" t="s">
        <v>6147</v>
      </c>
      <c r="K1322" s="5" t="s">
        <v>33</v>
      </c>
      <c r="L1322" s="5" t="s">
        <v>34</v>
      </c>
      <c r="M1322" s="5">
        <v>3023112460</v>
      </c>
      <c r="N1322" s="6">
        <v>46036</v>
      </c>
      <c r="O1322" s="7">
        <v>0</v>
      </c>
      <c r="P1322" s="5">
        <v>1</v>
      </c>
      <c r="Q1322" s="5" t="s">
        <v>178</v>
      </c>
      <c r="R1322" s="5">
        <v>100000</v>
      </c>
      <c r="S1322" s="5">
        <v>0</v>
      </c>
      <c r="T1322" s="5">
        <v>0</v>
      </c>
      <c r="U1322" s="5">
        <v>100000</v>
      </c>
      <c r="V1322" s="5"/>
      <c r="W1322" s="5" t="s">
        <v>36</v>
      </c>
      <c r="X1322" s="5" t="s">
        <v>1705</v>
      </c>
      <c r="AA1322" s="5" t="s">
        <v>1717</v>
      </c>
      <c r="AC1322" s="8" t="str">
        <f>HYPERLINK("https://drive.google.com/file/d/1LmHXoGe8NhZSvACi4cV1szwhPBNr0Ym3/view?usp=drivesdk", "Abrir_Factura")</f>
        <v>Abrir_Factura</v>
      </c>
      <c r="AD1322" s="9">
        <v>46036.766053240739</v>
      </c>
    </row>
    <row r="1323" spans="1:30" ht="12.5">
      <c r="A1323" s="4">
        <v>46036.76568542824</v>
      </c>
      <c r="B1323" s="5">
        <v>91060</v>
      </c>
      <c r="C1323" s="5">
        <v>22462773</v>
      </c>
      <c r="D1323" s="5" t="s">
        <v>521</v>
      </c>
      <c r="F1323" s="5" t="s">
        <v>561</v>
      </c>
      <c r="H1323" s="5">
        <v>573174986262</v>
      </c>
      <c r="J1323" s="5" t="s">
        <v>2679</v>
      </c>
      <c r="K1323" s="5" t="s">
        <v>33</v>
      </c>
      <c r="L1323" s="5" t="s">
        <v>34</v>
      </c>
      <c r="M1323" s="5">
        <v>3174986262</v>
      </c>
      <c r="N1323" s="6">
        <v>46036</v>
      </c>
      <c r="O1323" s="7">
        <v>0</v>
      </c>
      <c r="P1323" s="5">
        <v>1</v>
      </c>
      <c r="Q1323" s="5" t="s">
        <v>42</v>
      </c>
      <c r="R1323" s="5">
        <v>40000</v>
      </c>
      <c r="S1323" s="5">
        <v>0</v>
      </c>
      <c r="T1323" s="5">
        <v>0</v>
      </c>
      <c r="U1323" s="5">
        <v>40000</v>
      </c>
      <c r="V1323" s="5"/>
      <c r="W1323" s="5" t="s">
        <v>36</v>
      </c>
      <c r="X1323" s="5" t="s">
        <v>1705</v>
      </c>
      <c r="AA1323" s="5" t="s">
        <v>1717</v>
      </c>
      <c r="AC1323" s="8" t="str">
        <f>HYPERLINK("https://drive.google.com/file/d/1hojO3-9qjRWccrsLGHYSYZGqYQ7hqnMI/view?usp=drivesdk", "Abrir_Factura")</f>
        <v>Abrir_Factura</v>
      </c>
      <c r="AD1323" s="9">
        <v>46036.76635416667</v>
      </c>
    </row>
    <row r="1324" spans="1:30" ht="12.5">
      <c r="A1324" s="4">
        <v>46037.327875219911</v>
      </c>
      <c r="B1324" s="5">
        <v>91061</v>
      </c>
      <c r="C1324" s="5">
        <v>1140891384</v>
      </c>
      <c r="D1324" s="5" t="s">
        <v>6148</v>
      </c>
      <c r="F1324" s="5" t="s">
        <v>6149</v>
      </c>
      <c r="H1324" s="5">
        <v>573017255296</v>
      </c>
      <c r="J1324" s="5" t="s">
        <v>6150</v>
      </c>
      <c r="K1324" s="5" t="s">
        <v>33</v>
      </c>
      <c r="L1324" s="5" t="s">
        <v>34</v>
      </c>
      <c r="M1324" s="5">
        <v>3017255296</v>
      </c>
      <c r="N1324" s="6">
        <v>46037</v>
      </c>
      <c r="O1324" s="7">
        <v>0</v>
      </c>
      <c r="P1324" s="5">
        <v>1</v>
      </c>
      <c r="Q1324" s="5" t="s">
        <v>178</v>
      </c>
      <c r="R1324" s="5">
        <v>100000</v>
      </c>
      <c r="S1324" s="5">
        <v>0</v>
      </c>
      <c r="T1324" s="5">
        <v>0</v>
      </c>
      <c r="U1324" s="5">
        <v>100000</v>
      </c>
      <c r="V1324" s="5" t="s">
        <v>6151</v>
      </c>
      <c r="W1324" s="5" t="s">
        <v>36</v>
      </c>
      <c r="X1324" s="5" t="s">
        <v>83</v>
      </c>
      <c r="Z1324" s="5" t="s">
        <v>6152</v>
      </c>
      <c r="AA1324" s="5" t="s">
        <v>44</v>
      </c>
      <c r="AC1324" s="8" t="str">
        <f>HYPERLINK("https://drive.google.com/file/d/1oSMDWFRglNY80eaJd15yxhqXInO0fTOI/view?usp=drivesdk", "Abrir_Factura")</f>
        <v>Abrir_Factura</v>
      </c>
      <c r="AD1324" s="9">
        <v>46037.334583333337</v>
      </c>
    </row>
    <row r="1325" spans="1:30" ht="12.5">
      <c r="A1325" s="4">
        <v>46037.372505694446</v>
      </c>
      <c r="B1325" s="5">
        <v>91062</v>
      </c>
      <c r="C1325" s="5">
        <v>1208818</v>
      </c>
      <c r="D1325" s="5" t="s">
        <v>6153</v>
      </c>
      <c r="F1325" s="5" t="s">
        <v>3101</v>
      </c>
      <c r="H1325" s="5">
        <v>573012688823</v>
      </c>
      <c r="J1325" s="5" t="s">
        <v>6154</v>
      </c>
      <c r="K1325" s="5" t="s">
        <v>726</v>
      </c>
      <c r="L1325" s="5" t="s">
        <v>6155</v>
      </c>
      <c r="M1325" s="5">
        <v>3108072534</v>
      </c>
      <c r="N1325" s="6">
        <v>46037</v>
      </c>
      <c r="O1325" s="7">
        <v>0.41666666666666669</v>
      </c>
      <c r="P1325" s="5">
        <v>1</v>
      </c>
      <c r="Q1325" s="5" t="s">
        <v>65</v>
      </c>
      <c r="R1325" s="5">
        <v>80000</v>
      </c>
      <c r="S1325" s="5">
        <v>0</v>
      </c>
      <c r="T1325" s="5">
        <v>9000</v>
      </c>
      <c r="U1325" s="5">
        <v>89000</v>
      </c>
      <c r="V1325" s="5" t="s">
        <v>6156</v>
      </c>
      <c r="W1325" s="5" t="s">
        <v>36</v>
      </c>
      <c r="X1325" s="5" t="s">
        <v>196</v>
      </c>
      <c r="AA1325" s="5" t="s">
        <v>1717</v>
      </c>
      <c r="AC1325" s="8" t="str">
        <f>HYPERLINK("https://drive.google.com/file/d/10pKSjCkQZ7KPuPz-spnnd-QOtd21WEOr/view?usp=drivesdk", "Abrir_Factura")</f>
        <v>Abrir_Factura</v>
      </c>
      <c r="AD1325" s="9">
        <v>46037.372939814813</v>
      </c>
    </row>
    <row r="1326" spans="1:30" ht="12.5">
      <c r="A1326" s="4">
        <v>46037.405383356483</v>
      </c>
      <c r="B1326" s="5">
        <v>91063</v>
      </c>
      <c r="C1326" s="5">
        <v>32608060</v>
      </c>
      <c r="D1326" s="5" t="s">
        <v>4904</v>
      </c>
      <c r="F1326" s="5" t="s">
        <v>4905</v>
      </c>
      <c r="H1326" s="5">
        <v>573183607759</v>
      </c>
      <c r="J1326" s="5" t="s">
        <v>4906</v>
      </c>
      <c r="K1326" s="5" t="s">
        <v>33</v>
      </c>
      <c r="L1326" s="5" t="s">
        <v>34</v>
      </c>
      <c r="M1326" s="5">
        <v>3183607759</v>
      </c>
      <c r="N1326" s="6">
        <v>46037</v>
      </c>
      <c r="O1326" s="7">
        <v>0</v>
      </c>
      <c r="P1326" s="5">
        <v>1</v>
      </c>
      <c r="Q1326" s="5" t="s">
        <v>42</v>
      </c>
      <c r="R1326" s="5">
        <v>90000</v>
      </c>
      <c r="S1326" s="5">
        <v>0</v>
      </c>
      <c r="T1326" s="5">
        <v>0</v>
      </c>
      <c r="U1326" s="5">
        <v>90000</v>
      </c>
      <c r="V1326" s="5"/>
      <c r="W1326" s="5" t="s">
        <v>36</v>
      </c>
      <c r="X1326" s="5" t="s">
        <v>67</v>
      </c>
      <c r="AA1326" s="5" t="s">
        <v>44</v>
      </c>
      <c r="AB1326" s="5" t="s">
        <v>525</v>
      </c>
      <c r="AC1326" s="8" t="str">
        <f>HYPERLINK("https://drive.google.com/file/d/1fiEQjYKWsw8NvIHsEr9UBC7OYMxO2CvL/view?usp=drivesdk", "Abrir_Factura")</f>
        <v>Abrir_Factura</v>
      </c>
      <c r="AD1326" s="9">
        <v>46037.724641203706</v>
      </c>
    </row>
    <row r="1327" spans="1:30" ht="12.5">
      <c r="A1327" s="4">
        <v>46037.414099895832</v>
      </c>
      <c r="B1327" s="5">
        <v>91064</v>
      </c>
      <c r="C1327" s="5">
        <v>1034281565</v>
      </c>
      <c r="D1327" s="5" t="s">
        <v>595</v>
      </c>
      <c r="F1327" s="5" t="s">
        <v>3442</v>
      </c>
      <c r="H1327" s="5">
        <v>573105190535</v>
      </c>
      <c r="J1327" s="5" t="s">
        <v>6157</v>
      </c>
      <c r="K1327" s="5" t="s">
        <v>886</v>
      </c>
      <c r="L1327" s="5" t="s">
        <v>6158</v>
      </c>
      <c r="M1327" s="5">
        <v>3105190535</v>
      </c>
      <c r="N1327" s="6">
        <v>46037</v>
      </c>
      <c r="O1327" s="7">
        <v>0.45833333333333331</v>
      </c>
      <c r="P1327" s="5">
        <v>1</v>
      </c>
      <c r="Q1327" s="5" t="s">
        <v>42</v>
      </c>
      <c r="R1327" s="5">
        <v>50000</v>
      </c>
      <c r="S1327" s="5">
        <v>0</v>
      </c>
      <c r="T1327" s="5">
        <v>12000</v>
      </c>
      <c r="U1327" s="5">
        <v>62000</v>
      </c>
      <c r="V1327" s="5" t="s">
        <v>6159</v>
      </c>
      <c r="W1327" s="5" t="s">
        <v>36</v>
      </c>
      <c r="X1327" s="5" t="s">
        <v>67</v>
      </c>
      <c r="Z1327" s="5" t="s">
        <v>6160</v>
      </c>
      <c r="AA1327" s="5" t="s">
        <v>44</v>
      </c>
      <c r="AB1327" s="5" t="s">
        <v>6161</v>
      </c>
      <c r="AC1327" s="8" t="str">
        <f>HYPERLINK("https://drive.google.com/file/d/1Ow30vyMxPO9onKx9L2EJEmQ96HIigWcP/view?usp=drivesdk", "Abrir_Factura")</f>
        <v>Abrir_Factura</v>
      </c>
      <c r="AD1327" s="9">
        <v>46037.418553240743</v>
      </c>
    </row>
    <row r="1328" spans="1:30" ht="12.5">
      <c r="A1328" s="4">
        <v>46037.416275416668</v>
      </c>
      <c r="B1328" s="5">
        <v>91065</v>
      </c>
      <c r="C1328" s="5">
        <v>1043876320</v>
      </c>
      <c r="D1328" s="5" t="s">
        <v>3217</v>
      </c>
      <c r="F1328" s="5" t="s">
        <v>6162</v>
      </c>
      <c r="H1328" s="5">
        <v>573046426864</v>
      </c>
      <c r="J1328" s="5" t="s">
        <v>6163</v>
      </c>
      <c r="K1328" s="5" t="s">
        <v>103</v>
      </c>
      <c r="L1328" s="5" t="s">
        <v>6164</v>
      </c>
      <c r="M1328" s="5" t="s">
        <v>6165</v>
      </c>
      <c r="N1328" s="6">
        <v>46037</v>
      </c>
      <c r="O1328" s="7">
        <v>0.46944444444444444</v>
      </c>
      <c r="P1328" s="5">
        <v>1</v>
      </c>
      <c r="Q1328" s="5" t="s">
        <v>375</v>
      </c>
      <c r="R1328" s="5">
        <v>80000</v>
      </c>
      <c r="S1328" s="5">
        <v>0</v>
      </c>
      <c r="T1328" s="5">
        <v>10000</v>
      </c>
      <c r="U1328" s="5">
        <v>90000</v>
      </c>
      <c r="V1328" s="5" t="s">
        <v>6166</v>
      </c>
      <c r="W1328" s="5" t="s">
        <v>36</v>
      </c>
      <c r="X1328" s="5" t="s">
        <v>67</v>
      </c>
      <c r="Z1328" s="5" t="s">
        <v>6167</v>
      </c>
      <c r="AA1328" s="5" t="s">
        <v>44</v>
      </c>
      <c r="AB1328" s="5" t="s">
        <v>6167</v>
      </c>
      <c r="AC1328" s="8" t="str">
        <f>HYPERLINK("https://drive.google.com/file/d/1jmUQW0tICoGsua_LZ7EMOBSBscOom3ZD/view?usp=drivesdk", "Abrir_Factura")</f>
        <v>Abrir_Factura</v>
      </c>
      <c r="AD1328" s="9">
        <v>46037.42019675926</v>
      </c>
    </row>
    <row r="1329" spans="1:30" ht="12.5">
      <c r="A1329" s="4">
        <v>46037.413098773148</v>
      </c>
      <c r="B1329" s="5">
        <v>91066</v>
      </c>
      <c r="C1329" s="5">
        <v>1140855363</v>
      </c>
      <c r="D1329" s="5" t="s">
        <v>6168</v>
      </c>
      <c r="F1329" s="5" t="s">
        <v>3280</v>
      </c>
      <c r="H1329" s="5">
        <v>573234155972</v>
      </c>
      <c r="J1329" s="5" t="s">
        <v>6169</v>
      </c>
      <c r="K1329" s="5"/>
      <c r="L1329" s="5" t="s">
        <v>6170</v>
      </c>
      <c r="M1329" s="5" t="s">
        <v>25421</v>
      </c>
      <c r="N1329" s="6">
        <v>46039</v>
      </c>
      <c r="O1329" s="7">
        <v>0.41666666666666669</v>
      </c>
      <c r="P1329" s="5">
        <v>1</v>
      </c>
      <c r="Q1329" s="5" t="s">
        <v>6171</v>
      </c>
      <c r="R1329" s="5">
        <v>360000</v>
      </c>
      <c r="S1329" s="5">
        <v>0</v>
      </c>
      <c r="T1329" s="5"/>
      <c r="U1329" s="5">
        <v>360000</v>
      </c>
      <c r="V1329" s="5" t="s">
        <v>6172</v>
      </c>
      <c r="W1329" s="5" t="s">
        <v>36</v>
      </c>
      <c r="X1329" s="5" t="s">
        <v>67</v>
      </c>
      <c r="Z1329" s="5" t="s">
        <v>1026</v>
      </c>
      <c r="AA1329" s="5" t="s">
        <v>44</v>
      </c>
      <c r="AB1329" s="5" t="s">
        <v>6173</v>
      </c>
      <c r="AC1329" s="8" t="str">
        <f>HYPERLINK("https://drive.google.com/file/d/178WcndYMNBNLohbqT6Aq740Gn7_mva4L/view?usp=drivesdk", "Abrir_Factura")</f>
        <v>Abrir_Factura</v>
      </c>
      <c r="AD1329" s="9">
        <v>46037.425185185188</v>
      </c>
    </row>
    <row r="1330" spans="1:30" ht="12.5">
      <c r="A1330" s="4">
        <v>46037.441273391203</v>
      </c>
      <c r="B1330" s="5">
        <v>91067</v>
      </c>
      <c r="C1330" s="5">
        <v>1143269145</v>
      </c>
      <c r="D1330" s="5" t="s">
        <v>6174</v>
      </c>
      <c r="F1330" s="5" t="s">
        <v>3001</v>
      </c>
      <c r="H1330" s="5" t="s">
        <v>25421</v>
      </c>
      <c r="J1330" s="5" t="s">
        <v>6175</v>
      </c>
      <c r="K1330" s="5" t="s">
        <v>33</v>
      </c>
      <c r="L1330" s="5" t="s">
        <v>34</v>
      </c>
      <c r="M1330" s="5" t="s">
        <v>6176</v>
      </c>
      <c r="N1330" s="6">
        <v>46037</v>
      </c>
      <c r="O1330" s="7">
        <v>0</v>
      </c>
      <c r="P1330" s="5">
        <v>1</v>
      </c>
      <c r="Q1330" s="5" t="s">
        <v>309</v>
      </c>
      <c r="R1330" s="5">
        <v>80000</v>
      </c>
      <c r="S1330" s="5">
        <v>0</v>
      </c>
      <c r="T1330" s="5">
        <v>0</v>
      </c>
      <c r="U1330" s="5">
        <v>80000</v>
      </c>
      <c r="V1330" s="5"/>
      <c r="W1330" s="5" t="s">
        <v>36</v>
      </c>
      <c r="X1330" s="5" t="s">
        <v>37</v>
      </c>
      <c r="AA1330" s="5" t="s">
        <v>37</v>
      </c>
      <c r="AB1330" s="5" t="s">
        <v>6177</v>
      </c>
      <c r="AC1330" s="8" t="str">
        <f>HYPERLINK("https://drive.google.com/file/d/1cBoTy7dMJDJrlB4RKj0Vw1QfiUeDr5LH/view?usp=drivesdk", "Abrir_Factura")</f>
        <v>Abrir_Factura</v>
      </c>
      <c r="AD1330" s="9">
        <v>46037.441990740743</v>
      </c>
    </row>
    <row r="1331" spans="1:30" ht="12.5">
      <c r="A1331" s="4">
        <v>46037.451706678243</v>
      </c>
      <c r="B1331" s="5">
        <v>91068</v>
      </c>
      <c r="C1331" s="5">
        <v>22493188</v>
      </c>
      <c r="D1331" s="5" t="s">
        <v>6178</v>
      </c>
      <c r="F1331" s="5" t="s">
        <v>3345</v>
      </c>
      <c r="H1331" s="5">
        <v>578717222</v>
      </c>
      <c r="J1331" s="5" t="s">
        <v>6179</v>
      </c>
      <c r="K1331" s="5" t="s">
        <v>33</v>
      </c>
      <c r="L1331" s="5" t="s">
        <v>34</v>
      </c>
      <c r="M1331" s="5">
        <v>8717222</v>
      </c>
      <c r="N1331" s="6">
        <v>46037</v>
      </c>
      <c r="O1331" s="7">
        <v>0</v>
      </c>
      <c r="P1331" s="5">
        <v>1</v>
      </c>
      <c r="Q1331" s="5" t="s">
        <v>542</v>
      </c>
      <c r="R1331" s="5">
        <v>150000</v>
      </c>
      <c r="S1331" s="5">
        <v>0</v>
      </c>
      <c r="T1331" s="5">
        <v>0</v>
      </c>
      <c r="U1331" s="5">
        <v>150000</v>
      </c>
      <c r="V1331" s="5"/>
      <c r="W1331" s="5" t="s">
        <v>36</v>
      </c>
      <c r="X1331" s="5" t="s">
        <v>67</v>
      </c>
      <c r="AA1331" s="5" t="s">
        <v>1717</v>
      </c>
      <c r="AC1331" s="8" t="str">
        <f>HYPERLINK("https://drive.google.com/file/d/1daWqdTBMjdF6B7c7aTUAb2w71g4FBauX/view?usp=drivesdk", "Abrir_Factura")</f>
        <v>Abrir_Factura</v>
      </c>
      <c r="AD1331" s="9">
        <v>46037.452384259261</v>
      </c>
    </row>
    <row r="1332" spans="1:30" ht="12.5">
      <c r="A1332" s="4">
        <v>46037.450538761579</v>
      </c>
      <c r="B1332" s="5">
        <v>91069</v>
      </c>
      <c r="C1332" s="5">
        <v>1007603910</v>
      </c>
      <c r="D1332" s="5" t="s">
        <v>595</v>
      </c>
      <c r="F1332" s="5" t="s">
        <v>6180</v>
      </c>
      <c r="H1332" s="5">
        <v>573156670982</v>
      </c>
      <c r="J1332" s="5" t="s">
        <v>6181</v>
      </c>
      <c r="K1332" s="5" t="s">
        <v>229</v>
      </c>
      <c r="L1332" s="5" t="s">
        <v>6182</v>
      </c>
      <c r="M1332" s="5">
        <v>3146071167</v>
      </c>
      <c r="N1332" s="6">
        <v>46038</v>
      </c>
      <c r="O1332" s="7">
        <v>0</v>
      </c>
      <c r="P1332" s="5">
        <v>1</v>
      </c>
      <c r="Q1332" s="5" t="s">
        <v>6183</v>
      </c>
      <c r="R1332" s="5">
        <v>320000</v>
      </c>
      <c r="S1332" s="5">
        <v>0</v>
      </c>
      <c r="T1332" s="5">
        <v>11000</v>
      </c>
      <c r="U1332" s="5">
        <v>331000</v>
      </c>
      <c r="V1332" s="5" t="s">
        <v>6184</v>
      </c>
      <c r="W1332" s="5" t="s">
        <v>36</v>
      </c>
      <c r="X1332" s="5" t="s">
        <v>67</v>
      </c>
      <c r="Z1332" s="5" t="s">
        <v>6185</v>
      </c>
      <c r="AA1332" s="5" t="s">
        <v>44</v>
      </c>
      <c r="AC1332" s="8" t="str">
        <f>HYPERLINK("https://drive.google.com/file/d/11Y9JJNmSnL7UiJbYUaQjeeKn67_iweFW/view?usp=drivesdk", "Abrir_Factura")</f>
        <v>Abrir_Factura</v>
      </c>
      <c r="AD1332" s="9">
        <v>46037.457546296297</v>
      </c>
    </row>
    <row r="1333" spans="1:30" ht="12.5">
      <c r="A1333" s="4">
        <v>46037.450494027777</v>
      </c>
      <c r="B1333" s="5">
        <v>91070</v>
      </c>
      <c r="C1333" s="5">
        <v>1193561975</v>
      </c>
      <c r="D1333" s="5" t="s">
        <v>182</v>
      </c>
      <c r="F1333" s="5" t="s">
        <v>6186</v>
      </c>
      <c r="H1333" s="5">
        <v>573044625359</v>
      </c>
      <c r="J1333" s="5" t="s">
        <v>6187</v>
      </c>
      <c r="K1333" s="5" t="s">
        <v>33</v>
      </c>
      <c r="L1333" s="5" t="s">
        <v>34</v>
      </c>
      <c r="M1333" s="5">
        <v>3044625359</v>
      </c>
      <c r="N1333" s="6">
        <v>46038</v>
      </c>
      <c r="O1333" s="7">
        <v>0.375</v>
      </c>
      <c r="P1333" s="5">
        <v>1</v>
      </c>
      <c r="Q1333" s="5" t="s">
        <v>156</v>
      </c>
      <c r="R1333" s="5">
        <v>80000</v>
      </c>
      <c r="S1333" s="5">
        <v>0</v>
      </c>
      <c r="T1333" s="5">
        <v>0</v>
      </c>
      <c r="U1333" s="5">
        <v>80000</v>
      </c>
      <c r="V1333" s="5" t="s">
        <v>6188</v>
      </c>
      <c r="W1333" s="5" t="s">
        <v>36</v>
      </c>
      <c r="X1333" s="5" t="s">
        <v>2438</v>
      </c>
      <c r="Z1333" s="5" t="s">
        <v>6189</v>
      </c>
      <c r="AA1333" s="5" t="s">
        <v>44</v>
      </c>
      <c r="AC1333" s="8" t="str">
        <f>HYPERLINK("https://drive.google.com/file/d/13cCwJH4kO1kt2p3_YGTYgtbNSb4-gB9o/view?usp=drivesdk", "Abrir_Factura")</f>
        <v>Abrir_Factura</v>
      </c>
      <c r="AD1333" s="9">
        <v>46037.463587962964</v>
      </c>
    </row>
    <row r="1334" spans="1:30" ht="12.5">
      <c r="A1334" s="4">
        <v>46037.471279143516</v>
      </c>
      <c r="B1334" s="5">
        <v>91071</v>
      </c>
      <c r="C1334" s="5">
        <v>900467904</v>
      </c>
      <c r="D1334" s="5" t="s">
        <v>2178</v>
      </c>
      <c r="F1334" s="5" t="s">
        <v>2159</v>
      </c>
      <c r="H1334" s="5">
        <v>573015669546</v>
      </c>
      <c r="J1334" s="5" t="s">
        <v>6190</v>
      </c>
      <c r="K1334" s="5"/>
      <c r="L1334" s="5" t="s">
        <v>5005</v>
      </c>
      <c r="M1334" s="5"/>
      <c r="N1334" s="6">
        <v>46037</v>
      </c>
      <c r="O1334" s="7">
        <v>0</v>
      </c>
      <c r="P1334" s="5">
        <v>1</v>
      </c>
      <c r="Q1334" s="5" t="s">
        <v>42</v>
      </c>
      <c r="R1334" s="5">
        <v>0</v>
      </c>
      <c r="S1334" s="5">
        <v>0</v>
      </c>
      <c r="T1334" s="5"/>
      <c r="U1334" s="5">
        <v>0</v>
      </c>
      <c r="V1334" s="5"/>
      <c r="W1334" s="5" t="s">
        <v>36</v>
      </c>
      <c r="X1334" s="5" t="s">
        <v>43</v>
      </c>
      <c r="AA1334" s="5" t="s">
        <v>44</v>
      </c>
      <c r="AC1334" s="8" t="str">
        <f>HYPERLINK("https://drive.google.com/file/d/1LAlveUGn10C2wvWF69UBD3inVz8ewhC8/view?usp=drivesdk", "Abrir_Factura")</f>
        <v>Abrir_Factura</v>
      </c>
      <c r="AD1334" s="9">
        <v>46037.47246527778</v>
      </c>
    </row>
    <row r="1335" spans="1:30" ht="12.5">
      <c r="A1335" s="4">
        <v>46037.467809120368</v>
      </c>
      <c r="B1335" s="5">
        <v>91072</v>
      </c>
      <c r="C1335" s="5">
        <v>1042456707</v>
      </c>
      <c r="D1335" s="5" t="s">
        <v>6191</v>
      </c>
      <c r="F1335" s="5" t="s">
        <v>6192</v>
      </c>
      <c r="H1335" s="5">
        <v>573014679879</v>
      </c>
      <c r="J1335" s="5" t="s">
        <v>6193</v>
      </c>
      <c r="K1335" s="5" t="s">
        <v>6194</v>
      </c>
      <c r="L1335" s="5" t="s">
        <v>6195</v>
      </c>
      <c r="M1335" s="5">
        <v>3014679879</v>
      </c>
      <c r="N1335" s="6">
        <v>46037</v>
      </c>
      <c r="O1335" s="7">
        <v>0</v>
      </c>
      <c r="P1335" s="5">
        <v>1</v>
      </c>
      <c r="Q1335" s="5" t="s">
        <v>422</v>
      </c>
      <c r="R1335" s="5">
        <v>150000</v>
      </c>
      <c r="S1335" s="5">
        <v>0</v>
      </c>
      <c r="T1335" s="5">
        <v>18000</v>
      </c>
      <c r="U1335" s="5">
        <v>168000</v>
      </c>
      <c r="V1335" s="5" t="s">
        <v>6196</v>
      </c>
      <c r="W1335" s="5" t="s">
        <v>36</v>
      </c>
      <c r="X1335" s="5" t="s">
        <v>67</v>
      </c>
      <c r="Z1335" s="5" t="s">
        <v>6197</v>
      </c>
      <c r="AA1335" s="5" t="s">
        <v>69</v>
      </c>
      <c r="AC1335" s="8" t="str">
        <f>HYPERLINK("https://drive.google.com/file/d/1rpXj3XRXsE-zPjY3PYqO0InlNqIm-heO/view?usp=drivesdk", "Abrir_Factura")</f>
        <v>Abrir_Factura</v>
      </c>
      <c r="AD1335" s="9">
        <v>46037.475937499999</v>
      </c>
    </row>
    <row r="1336" spans="1:30" ht="12.5">
      <c r="A1336" s="4">
        <v>46045.482986111114</v>
      </c>
      <c r="B1336" s="5">
        <v>91073</v>
      </c>
      <c r="C1336" s="5">
        <v>901127997</v>
      </c>
      <c r="D1336" s="5" t="s">
        <v>6198</v>
      </c>
      <c r="F1336" s="5" t="s">
        <v>6199</v>
      </c>
      <c r="H1336" s="5">
        <v>573205434657</v>
      </c>
      <c r="J1336" s="5" t="s">
        <v>6200</v>
      </c>
      <c r="K1336" s="5" t="s">
        <v>33</v>
      </c>
      <c r="L1336" s="5" t="s">
        <v>34</v>
      </c>
      <c r="M1336" s="5"/>
      <c r="N1336" s="6">
        <v>46037</v>
      </c>
      <c r="O1336" s="7">
        <v>0</v>
      </c>
      <c r="P1336" s="5">
        <v>1</v>
      </c>
      <c r="Q1336" s="5" t="s">
        <v>42</v>
      </c>
      <c r="R1336" s="5">
        <v>71400</v>
      </c>
      <c r="S1336" s="5">
        <v>0</v>
      </c>
      <c r="T1336" s="5">
        <v>0</v>
      </c>
      <c r="U1336" s="5">
        <v>71400</v>
      </c>
      <c r="V1336" s="5"/>
      <c r="W1336" s="5" t="s">
        <v>36</v>
      </c>
      <c r="X1336" s="5" t="s">
        <v>67</v>
      </c>
      <c r="AA1336" s="5" t="s">
        <v>44</v>
      </c>
      <c r="AB1336" s="5" t="s">
        <v>525</v>
      </c>
      <c r="AC1336" s="8" t="str">
        <f>HYPERLINK("https://drive.google.com/file/d/1mH_VLVvMDIkMIxVD2J76XsUBMpPdNr4h/view?usp=drivesdk", "Abrir_Factura")</f>
        <v>Abrir_Factura</v>
      </c>
      <c r="AD1336" s="9">
        <v>46045.710636574076</v>
      </c>
    </row>
    <row r="1337" spans="1:30" ht="12.5">
      <c r="A1337" s="4">
        <v>46037.493607326389</v>
      </c>
      <c r="B1337" s="5">
        <v>91074</v>
      </c>
      <c r="C1337" s="5">
        <v>1003500788</v>
      </c>
      <c r="D1337" s="5" t="s">
        <v>3450</v>
      </c>
      <c r="F1337" s="5" t="s">
        <v>6201</v>
      </c>
      <c r="H1337" s="5">
        <v>573242829109</v>
      </c>
      <c r="J1337" s="5" t="s">
        <v>6202</v>
      </c>
      <c r="K1337" s="5" t="s">
        <v>103</v>
      </c>
      <c r="L1337" s="5" t="s">
        <v>6203</v>
      </c>
      <c r="M1337" s="5">
        <v>3242829109</v>
      </c>
      <c r="N1337" s="6">
        <v>46037</v>
      </c>
      <c r="O1337" s="7">
        <v>0</v>
      </c>
      <c r="P1337" s="5">
        <v>1</v>
      </c>
      <c r="Q1337" s="5" t="s">
        <v>422</v>
      </c>
      <c r="R1337" s="5">
        <v>150000</v>
      </c>
      <c r="S1337" s="5">
        <v>0</v>
      </c>
      <c r="T1337" s="5">
        <v>10000</v>
      </c>
      <c r="U1337" s="5">
        <v>160000</v>
      </c>
      <c r="V1337" s="5"/>
      <c r="W1337" s="5" t="s">
        <v>36</v>
      </c>
      <c r="X1337" s="5" t="s">
        <v>67</v>
      </c>
      <c r="Z1337" s="5" t="s">
        <v>6204</v>
      </c>
      <c r="AA1337" s="5" t="s">
        <v>44</v>
      </c>
      <c r="AB1337" s="5" t="s">
        <v>6205</v>
      </c>
      <c r="AC1337" s="8" t="str">
        <f>HYPERLINK("https://drive.google.com/file/d/1OwXFnNN0XBx9pI06vcZOG8b6Q6_cKR9e/view?usp=drivesdk", "Abrir_Factura")</f>
        <v>Abrir_Factura</v>
      </c>
      <c r="AD1337" s="9">
        <v>46037.509155092594</v>
      </c>
    </row>
    <row r="1338" spans="1:30" ht="12.5">
      <c r="A1338" s="4">
        <v>46037.51062862268</v>
      </c>
      <c r="B1338" s="5">
        <v>91075</v>
      </c>
      <c r="C1338" s="5">
        <v>22467419</v>
      </c>
      <c r="D1338" s="5" t="s">
        <v>5971</v>
      </c>
      <c r="F1338" s="5" t="s">
        <v>5119</v>
      </c>
      <c r="H1338" s="5">
        <v>573164733317</v>
      </c>
      <c r="J1338" s="5" t="s">
        <v>5972</v>
      </c>
      <c r="K1338" s="5" t="s">
        <v>33</v>
      </c>
      <c r="L1338" s="5" t="s">
        <v>34</v>
      </c>
      <c r="M1338" s="5">
        <v>3164733317</v>
      </c>
      <c r="N1338" s="6">
        <v>46037</v>
      </c>
      <c r="O1338" s="7">
        <v>3.472222222222222E-3</v>
      </c>
      <c r="P1338" s="5">
        <v>1</v>
      </c>
      <c r="Q1338" s="5" t="s">
        <v>42</v>
      </c>
      <c r="R1338" s="5">
        <v>250000</v>
      </c>
      <c r="S1338" s="5">
        <v>0</v>
      </c>
      <c r="T1338" s="5">
        <v>0</v>
      </c>
      <c r="U1338" s="5">
        <v>250000</v>
      </c>
      <c r="V1338" s="5"/>
      <c r="W1338" s="5" t="s">
        <v>36</v>
      </c>
      <c r="X1338" s="5" t="s">
        <v>1705</v>
      </c>
      <c r="AA1338" s="5" t="s">
        <v>1717</v>
      </c>
      <c r="AB1338" s="5" t="s">
        <v>6206</v>
      </c>
      <c r="AC1338" s="8" t="str">
        <f>HYPERLINK("https://drive.google.com/file/d/1nnwzHb2_Uj0RoEOsphdOKqWte4Nb4xB_/view?usp=drivesdk", "Abrir_Factura")</f>
        <v>Abrir_Factura</v>
      </c>
      <c r="AD1338" s="9">
        <v>46037.513333333336</v>
      </c>
    </row>
    <row r="1339" spans="1:30" ht="12.5">
      <c r="A1339" s="4">
        <v>46037.518878784722</v>
      </c>
      <c r="B1339" s="5">
        <v>91076</v>
      </c>
      <c r="C1339" s="5">
        <v>1053322811</v>
      </c>
      <c r="D1339" s="5" t="s">
        <v>6207</v>
      </c>
      <c r="F1339" s="5" t="s">
        <v>6208</v>
      </c>
      <c r="H1339" s="5">
        <v>573204122777</v>
      </c>
      <c r="J1339" s="5" t="s">
        <v>4302</v>
      </c>
      <c r="K1339" s="5"/>
      <c r="L1339" s="5" t="s">
        <v>6209</v>
      </c>
      <c r="M1339" s="5"/>
      <c r="N1339" s="6">
        <v>46037</v>
      </c>
      <c r="O1339" s="7">
        <v>0.625</v>
      </c>
      <c r="P1339" s="5">
        <v>1</v>
      </c>
      <c r="Q1339" s="5" t="s">
        <v>1696</v>
      </c>
      <c r="R1339" s="5">
        <v>800000</v>
      </c>
      <c r="S1339" s="5">
        <v>0</v>
      </c>
      <c r="T1339" s="5"/>
      <c r="U1339" s="5">
        <v>800000</v>
      </c>
      <c r="V1339" s="5" t="s">
        <v>6210</v>
      </c>
      <c r="W1339" s="5" t="s">
        <v>36</v>
      </c>
      <c r="X1339" s="5" t="s">
        <v>83</v>
      </c>
      <c r="AA1339" s="5" t="s">
        <v>69</v>
      </c>
      <c r="AC1339" s="8" t="str">
        <f>HYPERLINK("https://drive.google.com/file/d/1Xe00a0s0TCJGLRGeYKmOOvxQC0cGL67b/view?usp=drivesdk", "Abrir_Factura")</f>
        <v>Abrir_Factura</v>
      </c>
      <c r="AD1339" s="9">
        <v>46037.519652777781</v>
      </c>
    </row>
    <row r="1340" spans="1:30" ht="12.5">
      <c r="A1340" s="4">
        <v>46037.560570092595</v>
      </c>
      <c r="B1340" s="5">
        <v>91077</v>
      </c>
      <c r="C1340" s="5">
        <v>1140842452</v>
      </c>
      <c r="D1340" s="5" t="s">
        <v>445</v>
      </c>
      <c r="F1340" s="5" t="s">
        <v>6211</v>
      </c>
      <c r="H1340" s="5">
        <v>573128485110</v>
      </c>
      <c r="J1340" s="5" t="s">
        <v>6212</v>
      </c>
      <c r="K1340" s="5" t="s">
        <v>33</v>
      </c>
      <c r="L1340" s="5" t="s">
        <v>34</v>
      </c>
      <c r="M1340" s="5">
        <v>3128485110</v>
      </c>
      <c r="N1340" s="6">
        <v>46037</v>
      </c>
      <c r="O1340" s="7">
        <v>0</v>
      </c>
      <c r="P1340" s="5">
        <v>1</v>
      </c>
      <c r="Q1340" s="5" t="s">
        <v>309</v>
      </c>
      <c r="R1340" s="5">
        <v>88000</v>
      </c>
      <c r="S1340" s="5">
        <v>0</v>
      </c>
      <c r="T1340" s="5">
        <v>0</v>
      </c>
      <c r="U1340" s="5">
        <v>88000</v>
      </c>
      <c r="V1340" s="5"/>
      <c r="W1340" s="5" t="s">
        <v>36</v>
      </c>
      <c r="X1340" s="5" t="s">
        <v>43</v>
      </c>
      <c r="AA1340" s="5" t="s">
        <v>37</v>
      </c>
      <c r="AB1340" s="5" t="s">
        <v>6213</v>
      </c>
      <c r="AC1340" s="8" t="str">
        <f>HYPERLINK("https://drive.google.com/file/d/1Qk11jYEwQa0GvpBgUz95rYRUsq9Pe1fe/view?usp=drivesdk", "Abrir_Factura")</f>
        <v>Abrir_Factura</v>
      </c>
      <c r="AD1340" s="9">
        <v>46037.561203703706</v>
      </c>
    </row>
    <row r="1341" spans="1:30" ht="12.5">
      <c r="A1341" s="4">
        <v>46037.55400679398</v>
      </c>
      <c r="B1341" s="5">
        <v>91078</v>
      </c>
      <c r="C1341" s="5">
        <v>1085042527</v>
      </c>
      <c r="D1341" s="5" t="s">
        <v>6214</v>
      </c>
      <c r="F1341" s="5" t="s">
        <v>6215</v>
      </c>
      <c r="H1341" s="5">
        <v>573023169038</v>
      </c>
      <c r="J1341" s="5" t="s">
        <v>6216</v>
      </c>
      <c r="K1341" s="5" t="s">
        <v>726</v>
      </c>
      <c r="L1341" s="5" t="s">
        <v>6217</v>
      </c>
      <c r="M1341" s="5">
        <v>3022666926</v>
      </c>
      <c r="N1341" s="6">
        <v>46037</v>
      </c>
      <c r="O1341" s="7">
        <v>0.625</v>
      </c>
      <c r="P1341" s="5">
        <v>1</v>
      </c>
      <c r="Q1341" s="5" t="s">
        <v>210</v>
      </c>
      <c r="R1341" s="5">
        <v>170000</v>
      </c>
      <c r="S1341" s="5">
        <v>0</v>
      </c>
      <c r="T1341" s="5">
        <v>9000</v>
      </c>
      <c r="U1341" s="5">
        <v>179000</v>
      </c>
      <c r="V1341" s="5" t="s">
        <v>6218</v>
      </c>
      <c r="W1341" s="5" t="s">
        <v>36</v>
      </c>
      <c r="X1341" s="5" t="s">
        <v>180</v>
      </c>
      <c r="Z1341" s="5" t="s">
        <v>6214</v>
      </c>
      <c r="AA1341" s="5" t="s">
        <v>44</v>
      </c>
      <c r="AC1341" s="8" t="str">
        <f>HYPERLINK("https://drive.google.com/file/d/1I6yvUlYO8StCu5O1vBeLvk5eKVcXLLNa/view?usp=drivesdk", "Abrir_Factura")</f>
        <v>Abrir_Factura</v>
      </c>
      <c r="AD1341" s="9">
        <v>46037.56554398148</v>
      </c>
    </row>
    <row r="1342" spans="1:30" ht="12.5">
      <c r="A1342" s="4">
        <v>46037.550902164352</v>
      </c>
      <c r="B1342" s="5">
        <v>91079</v>
      </c>
      <c r="C1342" s="5">
        <v>1100249730</v>
      </c>
      <c r="D1342" s="5" t="s">
        <v>6219</v>
      </c>
      <c r="F1342" s="5" t="s">
        <v>6220</v>
      </c>
      <c r="H1342" s="5">
        <v>573118892998</v>
      </c>
      <c r="J1342" s="5" t="s">
        <v>6221</v>
      </c>
      <c r="K1342" s="5" t="s">
        <v>124</v>
      </c>
      <c r="L1342" s="5" t="s">
        <v>6222</v>
      </c>
      <c r="M1342" s="5">
        <v>3118892998</v>
      </c>
      <c r="N1342" s="6">
        <v>46037</v>
      </c>
      <c r="O1342" s="7">
        <v>0.625</v>
      </c>
      <c r="P1342" s="5">
        <v>1</v>
      </c>
      <c r="Q1342" s="5" t="s">
        <v>309</v>
      </c>
      <c r="R1342" s="5">
        <v>88000</v>
      </c>
      <c r="S1342" s="5">
        <v>0</v>
      </c>
      <c r="T1342" s="5">
        <v>12000</v>
      </c>
      <c r="U1342" s="5">
        <v>100000</v>
      </c>
      <c r="V1342" s="5" t="s">
        <v>6223</v>
      </c>
      <c r="W1342" s="5" t="s">
        <v>36</v>
      </c>
      <c r="X1342" s="5" t="s">
        <v>196</v>
      </c>
      <c r="Z1342" s="5" t="s">
        <v>6224</v>
      </c>
      <c r="AA1342" s="5" t="s">
        <v>44</v>
      </c>
      <c r="AC1342" s="8" t="str">
        <f>HYPERLINK("https://drive.google.com/file/d/13plczy_AqLte1VTvZX2zTz3l5Q1wAJo8/view?usp=drivesdk", "Abrir_Factura")</f>
        <v>Abrir_Factura</v>
      </c>
      <c r="AD1342" s="9">
        <v>46037.768761574072</v>
      </c>
    </row>
    <row r="1343" spans="1:30" ht="12.5">
      <c r="A1343" s="4">
        <v>46037.577223425928</v>
      </c>
      <c r="B1343" s="5">
        <v>91080</v>
      </c>
      <c r="C1343" s="5">
        <v>1006743325</v>
      </c>
      <c r="D1343" s="5" t="s">
        <v>6225</v>
      </c>
      <c r="F1343" s="5" t="s">
        <v>6226</v>
      </c>
      <c r="H1343" s="5">
        <v>573105279112</v>
      </c>
      <c r="J1343" s="5" t="s">
        <v>6227</v>
      </c>
      <c r="K1343" s="5" t="s">
        <v>103</v>
      </c>
      <c r="L1343" s="5" t="s">
        <v>6228</v>
      </c>
      <c r="M1343" s="5" t="s">
        <v>25421</v>
      </c>
      <c r="N1343" s="6">
        <v>46038</v>
      </c>
      <c r="O1343" s="7">
        <v>0.41666666666666669</v>
      </c>
      <c r="P1343" s="5">
        <v>1</v>
      </c>
      <c r="Q1343" s="5" t="s">
        <v>330</v>
      </c>
      <c r="R1343" s="5">
        <v>200000</v>
      </c>
      <c r="S1343" s="5">
        <v>0</v>
      </c>
      <c r="T1343" s="5">
        <v>10000</v>
      </c>
      <c r="U1343" s="5">
        <v>210000</v>
      </c>
      <c r="V1343" s="5" t="s">
        <v>6229</v>
      </c>
      <c r="W1343" s="5" t="s">
        <v>36</v>
      </c>
      <c r="X1343" s="5" t="s">
        <v>67</v>
      </c>
      <c r="Z1343" s="5" t="s">
        <v>6230</v>
      </c>
      <c r="AA1343" s="5" t="s">
        <v>44</v>
      </c>
      <c r="AB1343" s="5" t="s">
        <v>6231</v>
      </c>
      <c r="AC1343" s="8" t="str">
        <f>HYPERLINK("https://drive.google.com/file/d/1ELpa-XyllkS8UOwFsSF57WsvRqmIehlc/view?usp=drivesdk", "Abrir_Factura")</f>
        <v>Abrir_Factura</v>
      </c>
      <c r="AD1343" s="9">
        <v>46037.581053240741</v>
      </c>
    </row>
    <row r="1344" spans="1:30" ht="12.5">
      <c r="A1344" s="4">
        <v>46037.588593935187</v>
      </c>
      <c r="B1344" s="5">
        <v>91081</v>
      </c>
      <c r="C1344" s="5">
        <v>1193586286</v>
      </c>
      <c r="D1344" s="5" t="s">
        <v>6232</v>
      </c>
      <c r="F1344" s="5" t="s">
        <v>6233</v>
      </c>
      <c r="H1344" s="5">
        <v>573127248481</v>
      </c>
      <c r="J1344" s="5" t="s">
        <v>6234</v>
      </c>
      <c r="K1344" s="5" t="s">
        <v>33</v>
      </c>
      <c r="L1344" s="5" t="s">
        <v>34</v>
      </c>
      <c r="M1344" s="5">
        <v>3127248481</v>
      </c>
      <c r="N1344" s="6">
        <v>46037</v>
      </c>
      <c r="O1344" s="7">
        <v>0</v>
      </c>
      <c r="P1344" s="5">
        <v>1</v>
      </c>
      <c r="Q1344" s="5" t="s">
        <v>42</v>
      </c>
      <c r="R1344" s="5">
        <v>336000</v>
      </c>
      <c r="S1344" s="5">
        <v>0</v>
      </c>
      <c r="T1344" s="5">
        <v>0</v>
      </c>
      <c r="U1344" s="5">
        <v>336000</v>
      </c>
      <c r="V1344" s="5"/>
      <c r="W1344" s="5" t="s">
        <v>36</v>
      </c>
      <c r="X1344" s="5" t="s">
        <v>1705</v>
      </c>
      <c r="AA1344" s="5" t="s">
        <v>1717</v>
      </c>
      <c r="AC1344" s="8" t="str">
        <f>HYPERLINK("https://drive.google.com/file/d/1MGDCZanyCJDjJLFHGMicTAbQ62RoYXyU/view?usp=drivesdk", "Abrir_Factura")</f>
        <v>Abrir_Factura</v>
      </c>
      <c r="AD1344" s="9">
        <v>46037.59171296296</v>
      </c>
    </row>
    <row r="1345" spans="1:30" ht="12.5">
      <c r="A1345" s="4">
        <v>46037.590080995375</v>
      </c>
      <c r="B1345" s="5">
        <v>91082</v>
      </c>
      <c r="C1345" s="5">
        <v>1140876898</v>
      </c>
      <c r="D1345" s="5" t="s">
        <v>1349</v>
      </c>
      <c r="F1345" s="5" t="s">
        <v>6235</v>
      </c>
      <c r="H1345" s="5">
        <v>573014728290</v>
      </c>
      <c r="J1345" s="5" t="s">
        <v>6236</v>
      </c>
      <c r="K1345" s="5" t="s">
        <v>307</v>
      </c>
      <c r="L1345" s="5" t="s">
        <v>6237</v>
      </c>
      <c r="M1345" s="5">
        <v>3014728290</v>
      </c>
      <c r="N1345" s="6">
        <v>46037</v>
      </c>
      <c r="O1345" s="7">
        <v>0.64583333333333337</v>
      </c>
      <c r="P1345" s="5">
        <v>1</v>
      </c>
      <c r="Q1345" s="5" t="s">
        <v>156</v>
      </c>
      <c r="R1345" s="5">
        <v>80000</v>
      </c>
      <c r="S1345" s="5">
        <v>0</v>
      </c>
      <c r="T1345" s="5">
        <v>10000</v>
      </c>
      <c r="U1345" s="5">
        <v>90000</v>
      </c>
      <c r="V1345" s="5" t="s">
        <v>6238</v>
      </c>
      <c r="W1345" s="5" t="s">
        <v>36</v>
      </c>
      <c r="X1345" s="5" t="s">
        <v>83</v>
      </c>
      <c r="Z1345" s="5" t="s">
        <v>686</v>
      </c>
      <c r="AA1345" s="5" t="s">
        <v>44</v>
      </c>
      <c r="AB1345" s="5" t="s">
        <v>6239</v>
      </c>
      <c r="AC1345" s="8" t="str">
        <f>HYPERLINK("https://drive.google.com/file/d/1wsfLKJ9oFdFuyDHPXR82hiiKc_hnr-aI/view?usp=drivesdk", "Abrir_Factura")</f>
        <v>Abrir_Factura</v>
      </c>
      <c r="AD1345" s="9">
        <v>46037.603032407409</v>
      </c>
    </row>
    <row r="1346" spans="1:30" ht="12.5">
      <c r="A1346" s="4">
        <v>46037.651848217589</v>
      </c>
      <c r="B1346" s="5">
        <v>91083</v>
      </c>
      <c r="C1346" s="5">
        <v>1042242436</v>
      </c>
      <c r="D1346" s="5" t="s">
        <v>4254</v>
      </c>
      <c r="F1346" s="5" t="s">
        <v>4255</v>
      </c>
      <c r="H1346" s="5">
        <v>573166212722</v>
      </c>
      <c r="J1346" s="5" t="s">
        <v>6240</v>
      </c>
      <c r="K1346" s="5" t="s">
        <v>185</v>
      </c>
      <c r="L1346" s="5" t="s">
        <v>6241</v>
      </c>
      <c r="M1346" s="5">
        <v>3166212722</v>
      </c>
      <c r="N1346" s="6">
        <v>46037</v>
      </c>
      <c r="O1346" s="7">
        <v>0.66666666666666663</v>
      </c>
      <c r="P1346" s="5">
        <v>1</v>
      </c>
      <c r="Q1346" s="5" t="s">
        <v>75</v>
      </c>
      <c r="R1346" s="5">
        <v>80000</v>
      </c>
      <c r="S1346" s="5">
        <v>0</v>
      </c>
      <c r="T1346" s="5">
        <v>8000</v>
      </c>
      <c r="U1346" s="5">
        <v>88000</v>
      </c>
      <c r="V1346" s="5" t="s">
        <v>6242</v>
      </c>
      <c r="W1346" s="5" t="s">
        <v>36</v>
      </c>
      <c r="X1346" s="5" t="s">
        <v>196</v>
      </c>
      <c r="AA1346" s="5" t="s">
        <v>44</v>
      </c>
      <c r="AC1346" s="8" t="str">
        <f>HYPERLINK("https://drive.google.com/file/d/1-ri2q0nk2XVV3PQph4VdrDzsTP71hO6F/view?usp=drivesdk", "Abrir_Factura")</f>
        <v>Abrir_Factura</v>
      </c>
      <c r="AD1346" s="9">
        <v>46037.776712962965</v>
      </c>
    </row>
    <row r="1347" spans="1:30" ht="12.5">
      <c r="A1347" s="4">
        <v>46037.673826365739</v>
      </c>
      <c r="B1347" s="5">
        <v>91084</v>
      </c>
      <c r="C1347" s="5">
        <v>1044422266</v>
      </c>
      <c r="D1347" s="5" t="s">
        <v>2783</v>
      </c>
      <c r="F1347" s="5" t="s">
        <v>6243</v>
      </c>
      <c r="H1347" s="5">
        <v>573003900766</v>
      </c>
      <c r="J1347" s="5" t="s">
        <v>6244</v>
      </c>
      <c r="K1347" s="5" t="s">
        <v>33</v>
      </c>
      <c r="L1347" s="5" t="s">
        <v>34</v>
      </c>
      <c r="M1347" s="5">
        <v>3003900766</v>
      </c>
      <c r="N1347" s="6">
        <v>46037</v>
      </c>
      <c r="O1347" s="7">
        <v>0</v>
      </c>
      <c r="P1347" s="5">
        <v>1</v>
      </c>
      <c r="Q1347" s="5" t="s">
        <v>178</v>
      </c>
      <c r="R1347" s="5">
        <v>110000</v>
      </c>
      <c r="S1347" s="5">
        <v>0</v>
      </c>
      <c r="T1347" s="5">
        <v>0</v>
      </c>
      <c r="U1347" s="5">
        <v>110000</v>
      </c>
      <c r="V1347" s="5"/>
      <c r="W1347" s="5" t="s">
        <v>36</v>
      </c>
      <c r="X1347" s="5" t="s">
        <v>43</v>
      </c>
      <c r="AA1347" s="5" t="s">
        <v>37</v>
      </c>
      <c r="AC1347" s="8" t="str">
        <f>HYPERLINK("https://drive.google.com/file/d/12qluZdJHpaEB6eit0B9WZLnlt_Gz8D9n/view?usp=drivesdk", "Abrir_Factura")</f>
        <v>Abrir_Factura</v>
      </c>
      <c r="AD1347" s="9">
        <v>46037.674768518518</v>
      </c>
    </row>
    <row r="1348" spans="1:30" ht="12.5">
      <c r="A1348" s="4">
        <v>46037.68591487268</v>
      </c>
      <c r="B1348" s="5">
        <v>91085</v>
      </c>
      <c r="C1348" s="5">
        <v>52451702</v>
      </c>
      <c r="D1348" s="5" t="s">
        <v>6245</v>
      </c>
      <c r="F1348" s="5" t="s">
        <v>6246</v>
      </c>
      <c r="H1348" s="5">
        <v>573153490919</v>
      </c>
      <c r="J1348" s="5" t="s">
        <v>6247</v>
      </c>
      <c r="K1348" s="5" t="s">
        <v>2865</v>
      </c>
      <c r="L1348" s="5" t="s">
        <v>6248</v>
      </c>
      <c r="M1348" s="5" t="s">
        <v>6249</v>
      </c>
      <c r="N1348" s="6">
        <v>46038</v>
      </c>
      <c r="O1348" s="7">
        <v>0.375</v>
      </c>
      <c r="P1348" s="5">
        <v>1</v>
      </c>
      <c r="Q1348" s="5" t="s">
        <v>679</v>
      </c>
      <c r="R1348" s="5">
        <v>360000</v>
      </c>
      <c r="S1348" s="5">
        <v>0</v>
      </c>
      <c r="T1348" s="5">
        <v>12000</v>
      </c>
      <c r="U1348" s="5">
        <v>372000</v>
      </c>
      <c r="V1348" s="5" t="s">
        <v>6250</v>
      </c>
      <c r="W1348" s="5" t="s">
        <v>36</v>
      </c>
      <c r="X1348" s="5" t="s">
        <v>67</v>
      </c>
      <c r="AA1348" s="5" t="s">
        <v>69</v>
      </c>
      <c r="AB1348" s="5" t="s">
        <v>6251</v>
      </c>
      <c r="AC1348" s="8" t="str">
        <f>HYPERLINK("https://drive.google.com/file/d/1gVRKR7_WvPewW3mKa75OBOvdFsLxvSqe/view?usp=drivesdk", "Abrir_Factura")</f>
        <v>Abrir_Factura</v>
      </c>
      <c r="AD1348" s="9">
        <v>46037.686967592592</v>
      </c>
    </row>
    <row r="1349" spans="1:30" ht="12.5">
      <c r="A1349" s="4">
        <v>46037.683322488425</v>
      </c>
      <c r="B1349" s="5">
        <v>91086</v>
      </c>
      <c r="C1349" s="5">
        <v>1044432074</v>
      </c>
      <c r="D1349" s="5" t="s">
        <v>639</v>
      </c>
      <c r="F1349" s="5" t="s">
        <v>6252</v>
      </c>
      <c r="H1349" s="5">
        <v>573014550986</v>
      </c>
      <c r="J1349" s="5" t="s">
        <v>6253</v>
      </c>
      <c r="K1349" s="5" t="s">
        <v>103</v>
      </c>
      <c r="L1349" s="5" t="s">
        <v>6254</v>
      </c>
      <c r="M1349" s="5">
        <v>3002385894</v>
      </c>
      <c r="N1349" s="6">
        <v>46038</v>
      </c>
      <c r="O1349" s="7">
        <v>0</v>
      </c>
      <c r="P1349" s="5">
        <v>1</v>
      </c>
      <c r="Q1349" s="5" t="s">
        <v>309</v>
      </c>
      <c r="R1349" s="5">
        <v>88000</v>
      </c>
      <c r="S1349" s="5">
        <v>0</v>
      </c>
      <c r="T1349" s="5">
        <v>10000</v>
      </c>
      <c r="U1349" s="5">
        <v>98000</v>
      </c>
      <c r="V1349" s="5" t="s">
        <v>6255</v>
      </c>
      <c r="W1349" s="5" t="s">
        <v>36</v>
      </c>
      <c r="X1349" s="5" t="s">
        <v>67</v>
      </c>
      <c r="Z1349" s="5" t="s">
        <v>6256</v>
      </c>
      <c r="AA1349" s="5" t="s">
        <v>69</v>
      </c>
      <c r="AB1349" s="5" t="s">
        <v>6257</v>
      </c>
      <c r="AC1349" s="8" t="str">
        <f>HYPERLINK("https://drive.google.com/file/d/1e8sVgrJwOZUaASc6yKbv5Bc85laQdNzz/view?usp=drivesdk", "Abrir_Factura")</f>
        <v>Abrir_Factura</v>
      </c>
      <c r="AD1349" s="9">
        <v>46037.697569444441</v>
      </c>
    </row>
    <row r="1350" spans="1:30" ht="12.5">
      <c r="A1350" s="4">
        <v>46037.715902268523</v>
      </c>
      <c r="B1350" s="5">
        <v>91087</v>
      </c>
      <c r="C1350" s="5">
        <v>22479384</v>
      </c>
      <c r="D1350" s="5" t="s">
        <v>6258</v>
      </c>
      <c r="F1350" s="5" t="s">
        <v>6259</v>
      </c>
      <c r="H1350" s="5">
        <v>573016616953</v>
      </c>
      <c r="J1350" s="5" t="s">
        <v>6260</v>
      </c>
      <c r="K1350" s="5" t="s">
        <v>33</v>
      </c>
      <c r="L1350" s="5" t="s">
        <v>34</v>
      </c>
      <c r="M1350" s="5">
        <v>3016616953</v>
      </c>
      <c r="N1350" s="6">
        <v>46038</v>
      </c>
      <c r="O1350" s="7">
        <v>0.33333333333333331</v>
      </c>
      <c r="P1350" s="5">
        <v>1</v>
      </c>
      <c r="Q1350" s="5" t="s">
        <v>309</v>
      </c>
      <c r="R1350" s="5">
        <v>88000</v>
      </c>
      <c r="S1350" s="5">
        <v>0</v>
      </c>
      <c r="T1350" s="5">
        <v>0</v>
      </c>
      <c r="U1350" s="5">
        <v>88000</v>
      </c>
      <c r="V1350" s="5" t="s">
        <v>6261</v>
      </c>
      <c r="W1350" s="5" t="s">
        <v>36</v>
      </c>
      <c r="X1350" s="5" t="s">
        <v>1705</v>
      </c>
      <c r="AA1350" s="5" t="s">
        <v>1717</v>
      </c>
      <c r="AC1350" s="8" t="str">
        <f>HYPERLINK("https://drive.google.com/file/d/1fsJIiVXWgwb7f26X7K5h0rV7dDxR8MWf/view?usp=drivesdk", "Abrir_Factura")</f>
        <v>Abrir_Factura</v>
      </c>
      <c r="AD1350" s="9">
        <v>46037.716979166667</v>
      </c>
    </row>
    <row r="1351" spans="1:30" ht="12.5">
      <c r="A1351" s="4">
        <v>46037.763399502313</v>
      </c>
      <c r="B1351" s="5">
        <v>91088</v>
      </c>
      <c r="C1351" s="5">
        <v>88141883</v>
      </c>
      <c r="D1351" s="5" t="s">
        <v>6262</v>
      </c>
      <c r="F1351" s="5" t="s">
        <v>6263</v>
      </c>
      <c r="H1351" s="5">
        <v>573102307916</v>
      </c>
      <c r="J1351" s="5" t="s">
        <v>6264</v>
      </c>
      <c r="K1351" s="5" t="s">
        <v>161</v>
      </c>
      <c r="L1351" s="5" t="s">
        <v>6265</v>
      </c>
      <c r="M1351" s="5"/>
      <c r="N1351" s="6">
        <v>46038</v>
      </c>
      <c r="O1351" s="7">
        <v>0.375</v>
      </c>
      <c r="P1351" s="5">
        <v>1</v>
      </c>
      <c r="Q1351" s="5" t="s">
        <v>542</v>
      </c>
      <c r="R1351" s="5">
        <v>174000</v>
      </c>
      <c r="S1351" s="5">
        <v>0</v>
      </c>
      <c r="T1351" s="5">
        <v>8000</v>
      </c>
      <c r="U1351" s="5">
        <v>182000</v>
      </c>
      <c r="V1351" s="5"/>
      <c r="W1351" s="5" t="s">
        <v>36</v>
      </c>
      <c r="X1351" s="5" t="s">
        <v>1705</v>
      </c>
      <c r="AA1351" s="5" t="s">
        <v>1717</v>
      </c>
      <c r="AB1351" s="5" t="s">
        <v>6266</v>
      </c>
      <c r="AC1351" s="8" t="str">
        <f>HYPERLINK("https://drive.google.com/file/d/1ybF4aywNTo-bZiJ0nuQeddO5Hf6ZZv7c/view?usp=drivesdk", "Abrir_Factura")</f>
        <v>Abrir_Factura</v>
      </c>
      <c r="AD1351" s="9">
        <v>46037.765729166669</v>
      </c>
    </row>
    <row r="1352" spans="1:30" ht="12.5">
      <c r="A1352" s="4">
        <v>46037.768322847223</v>
      </c>
      <c r="B1352" s="5">
        <v>91089</v>
      </c>
      <c r="C1352" s="5">
        <v>1042242024</v>
      </c>
      <c r="D1352" s="5" t="s">
        <v>6267</v>
      </c>
      <c r="F1352" s="5" t="s">
        <v>2062</v>
      </c>
      <c r="H1352" s="5">
        <v>570000</v>
      </c>
      <c r="J1352" s="5" t="s">
        <v>6268</v>
      </c>
      <c r="K1352" s="5" t="s">
        <v>33</v>
      </c>
      <c r="L1352" s="5" t="s">
        <v>34</v>
      </c>
      <c r="M1352" s="5"/>
      <c r="N1352" s="6">
        <v>46037</v>
      </c>
      <c r="O1352" s="7">
        <v>0</v>
      </c>
      <c r="P1352" s="5">
        <v>1</v>
      </c>
      <c r="Q1352" s="5" t="s">
        <v>42</v>
      </c>
      <c r="R1352" s="5">
        <v>35000</v>
      </c>
      <c r="S1352" s="5">
        <v>0</v>
      </c>
      <c r="T1352" s="5">
        <v>0</v>
      </c>
      <c r="U1352" s="5">
        <v>35000</v>
      </c>
      <c r="V1352" s="5"/>
      <c r="W1352" s="5" t="s">
        <v>36</v>
      </c>
      <c r="X1352" s="5" t="s">
        <v>1705</v>
      </c>
      <c r="AA1352" s="5" t="s">
        <v>1717</v>
      </c>
      <c r="AC1352" s="8" t="str">
        <f>HYPERLINK("https://drive.google.com/file/d/10qnEKxxMJ5t2XCs6r0nD6fGtk1R3JR1V/view?usp=drivesdk", "Abrir_Factura")</f>
        <v>Abrir_Factura</v>
      </c>
      <c r="AD1352" s="9">
        <v>46037.785844907405</v>
      </c>
    </row>
    <row r="1353" spans="1:30" ht="12.5">
      <c r="A1353" s="4">
        <v>46038.253968680554</v>
      </c>
      <c r="B1353" s="5">
        <v>91091</v>
      </c>
      <c r="C1353" s="5">
        <v>1143159063</v>
      </c>
      <c r="D1353" s="5" t="s">
        <v>2095</v>
      </c>
      <c r="F1353" s="5" t="s">
        <v>247</v>
      </c>
      <c r="H1353" s="5">
        <v>573023523898</v>
      </c>
      <c r="J1353" s="5" t="s">
        <v>6269</v>
      </c>
      <c r="K1353" s="5" t="s">
        <v>2880</v>
      </c>
      <c r="L1353" s="5" t="s">
        <v>6270</v>
      </c>
      <c r="M1353" s="5">
        <v>3013174686</v>
      </c>
      <c r="N1353" s="6">
        <v>46038</v>
      </c>
      <c r="O1353" s="7">
        <v>0.41666666666666669</v>
      </c>
      <c r="P1353" s="5">
        <v>1</v>
      </c>
      <c r="Q1353" s="5" t="s">
        <v>347</v>
      </c>
      <c r="R1353" s="5">
        <v>250000</v>
      </c>
      <c r="S1353" s="5">
        <v>0</v>
      </c>
      <c r="T1353" s="5">
        <v>25000</v>
      </c>
      <c r="U1353" s="5">
        <v>275000</v>
      </c>
      <c r="V1353" s="5" t="s">
        <v>6271</v>
      </c>
      <c r="W1353" s="5" t="s">
        <v>36</v>
      </c>
      <c r="X1353" s="5" t="s">
        <v>83</v>
      </c>
      <c r="Z1353" s="5" t="s">
        <v>6272</v>
      </c>
      <c r="AA1353" s="5" t="s">
        <v>44</v>
      </c>
      <c r="AC1353" s="8" t="str">
        <f>HYPERLINK("https://drive.google.com/file/d/1d7ZVGBwWd8jLpRodU-JTGXiRdWx_Y1CM/view?usp=drivesdk", "Abrir_Factura")</f>
        <v>Abrir_Factura</v>
      </c>
      <c r="AD1353" s="9">
        <v>46038.294224537036</v>
      </c>
    </row>
    <row r="1354" spans="1:30" ht="12.5">
      <c r="A1354" s="4">
        <v>46038.320513553241</v>
      </c>
      <c r="B1354" s="5">
        <v>91092</v>
      </c>
      <c r="C1354" s="5">
        <v>37947586</v>
      </c>
      <c r="D1354" s="5" t="s">
        <v>5103</v>
      </c>
      <c r="F1354" s="5" t="s">
        <v>1566</v>
      </c>
      <c r="H1354" s="5">
        <v>573215896376</v>
      </c>
      <c r="J1354" s="5" t="s">
        <v>6273</v>
      </c>
      <c r="K1354" s="5" t="s">
        <v>5574</v>
      </c>
      <c r="L1354" s="5" t="s">
        <v>6274</v>
      </c>
      <c r="M1354" s="5"/>
      <c r="N1354" s="6">
        <v>46038</v>
      </c>
      <c r="O1354" s="7">
        <v>0.45833333333333331</v>
      </c>
      <c r="P1354" s="5">
        <v>1</v>
      </c>
      <c r="Q1354" s="5" t="s">
        <v>370</v>
      </c>
      <c r="R1354" s="5">
        <v>395000</v>
      </c>
      <c r="S1354" s="5">
        <v>0</v>
      </c>
      <c r="T1354" s="5">
        <v>10000</v>
      </c>
      <c r="U1354" s="5">
        <v>405000</v>
      </c>
      <c r="V1354" s="5"/>
      <c r="W1354" s="5" t="s">
        <v>36</v>
      </c>
      <c r="X1354" s="5" t="s">
        <v>83</v>
      </c>
      <c r="AA1354" s="5" t="s">
        <v>44</v>
      </c>
      <c r="AB1354" s="5" t="s">
        <v>6275</v>
      </c>
      <c r="AC1354" s="8" t="str">
        <f>HYPERLINK("https://drive.google.com/file/d/1qRBWmPqjta5WUzmIknulfTztnJNRgYdt/view?usp=drivesdk", "Abrir_Factura")</f>
        <v>Abrir_Factura</v>
      </c>
      <c r="AD1354" s="9">
        <v>46038.321921296294</v>
      </c>
    </row>
    <row r="1355" spans="1:30" ht="12.5">
      <c r="A1355" s="4">
        <v>46038.345438136574</v>
      </c>
      <c r="B1355" s="5">
        <v>91093</v>
      </c>
      <c r="C1355" s="5">
        <v>1042241824</v>
      </c>
      <c r="D1355" s="5" t="s">
        <v>1714</v>
      </c>
      <c r="F1355" s="5" t="s">
        <v>3629</v>
      </c>
      <c r="H1355" s="5">
        <v>573107439266</v>
      </c>
      <c r="J1355" s="5" t="s">
        <v>6276</v>
      </c>
      <c r="K1355" s="5" t="s">
        <v>161</v>
      </c>
      <c r="L1355" s="5" t="s">
        <v>6277</v>
      </c>
      <c r="M1355" s="5">
        <v>3107439266</v>
      </c>
      <c r="N1355" s="6">
        <v>46038</v>
      </c>
      <c r="O1355" s="7">
        <v>0.375</v>
      </c>
      <c r="P1355" s="5">
        <v>1</v>
      </c>
      <c r="Q1355" s="5" t="s">
        <v>65</v>
      </c>
      <c r="R1355" s="5">
        <v>80000</v>
      </c>
      <c r="S1355" s="5">
        <v>0</v>
      </c>
      <c r="T1355" s="5">
        <v>8000</v>
      </c>
      <c r="U1355" s="5">
        <v>88000</v>
      </c>
      <c r="V1355" s="5" t="s">
        <v>6278</v>
      </c>
      <c r="W1355" s="5" t="s">
        <v>36</v>
      </c>
      <c r="X1355" s="5" t="s">
        <v>83</v>
      </c>
      <c r="Z1355" s="5" t="s">
        <v>6279</v>
      </c>
      <c r="AA1355" s="5" t="s">
        <v>44</v>
      </c>
      <c r="AC1355" s="8" t="str">
        <f>HYPERLINK("https://drive.google.com/file/d/1gZ9M-Wg6Wo6nTp6zrvZAaj40wjfax6Tx/view?usp=drivesdk", "Abrir_Factura")</f>
        <v>Abrir_Factura</v>
      </c>
      <c r="AD1355" s="9">
        <v>46038.347986111112</v>
      </c>
    </row>
    <row r="1356" spans="1:30" ht="12.5">
      <c r="A1356" s="4">
        <v>46038.349795312504</v>
      </c>
      <c r="B1356" s="5">
        <v>91094</v>
      </c>
      <c r="C1356" s="5">
        <v>80197134</v>
      </c>
      <c r="D1356" s="5" t="s">
        <v>6280</v>
      </c>
      <c r="F1356" s="5" t="s">
        <v>6281</v>
      </c>
      <c r="H1356" s="5">
        <v>573203473047</v>
      </c>
      <c r="J1356" s="5" t="s">
        <v>6282</v>
      </c>
      <c r="K1356" s="5" t="s">
        <v>79</v>
      </c>
      <c r="L1356" s="5" t="s">
        <v>6283</v>
      </c>
      <c r="M1356" s="5">
        <v>3203473047</v>
      </c>
      <c r="N1356" s="6">
        <v>46038</v>
      </c>
      <c r="O1356" s="7">
        <v>0</v>
      </c>
      <c r="P1356" s="5">
        <v>1</v>
      </c>
      <c r="Q1356" s="5" t="s">
        <v>384</v>
      </c>
      <c r="R1356" s="5">
        <v>200000</v>
      </c>
      <c r="S1356" s="5">
        <v>0</v>
      </c>
      <c r="T1356" s="5">
        <v>10000</v>
      </c>
      <c r="U1356" s="5">
        <v>210000</v>
      </c>
      <c r="V1356" s="5" t="s">
        <v>6284</v>
      </c>
      <c r="W1356" s="5" t="s">
        <v>36</v>
      </c>
      <c r="X1356" s="5" t="s">
        <v>83</v>
      </c>
      <c r="Z1356" s="5" t="s">
        <v>6285</v>
      </c>
      <c r="AA1356" s="5" t="s">
        <v>44</v>
      </c>
      <c r="AB1356" s="5" t="s">
        <v>6286</v>
      </c>
      <c r="AC1356" s="8" t="str">
        <f>HYPERLINK("https://drive.google.com/file/d/1bp1l0SexcRQemrZtFvEbi4K7jIgRZnCC/view?usp=drivesdk", "Abrir_Factura")</f>
        <v>Abrir_Factura</v>
      </c>
      <c r="AD1356" s="9">
        <v>46038.359224537038</v>
      </c>
    </row>
    <row r="1357" spans="1:30" ht="12.5">
      <c r="A1357" s="4">
        <v>46038.362977777782</v>
      </c>
      <c r="B1357" s="5">
        <v>91095</v>
      </c>
      <c r="C1357" s="5">
        <v>1047450213</v>
      </c>
      <c r="D1357" s="5" t="s">
        <v>1321</v>
      </c>
      <c r="F1357" s="5" t="s">
        <v>6287</v>
      </c>
      <c r="H1357" s="5">
        <v>573147737274</v>
      </c>
      <c r="J1357" s="5" t="s">
        <v>6288</v>
      </c>
      <c r="K1357" s="5" t="s">
        <v>2090</v>
      </c>
      <c r="L1357" s="5" t="s">
        <v>6289</v>
      </c>
      <c r="M1357" s="5">
        <v>3147737274</v>
      </c>
      <c r="N1357" s="6">
        <v>46038</v>
      </c>
      <c r="O1357" s="7">
        <v>0.41666666666666669</v>
      </c>
      <c r="P1357" s="5">
        <v>1</v>
      </c>
      <c r="Q1357" s="5" t="s">
        <v>210</v>
      </c>
      <c r="R1357" s="5">
        <v>170000</v>
      </c>
      <c r="S1357" s="5">
        <v>0</v>
      </c>
      <c r="T1357" s="5">
        <v>10000</v>
      </c>
      <c r="U1357" s="5">
        <v>180000</v>
      </c>
      <c r="V1357" s="5" t="s">
        <v>6290</v>
      </c>
      <c r="W1357" s="5" t="s">
        <v>36</v>
      </c>
      <c r="X1357" s="5" t="s">
        <v>83</v>
      </c>
      <c r="Z1357" s="5" t="s">
        <v>6291</v>
      </c>
      <c r="AA1357" s="5" t="s">
        <v>44</v>
      </c>
      <c r="AB1357" s="5" t="s">
        <v>6292</v>
      </c>
      <c r="AC1357" s="8" t="str">
        <f>HYPERLINK("https://drive.google.com/file/d/1A7gZ_J8wN2vSeBfy1jtfgo3eP67O-k2-/view?usp=drivesdk", "Abrir_Factura")</f>
        <v>Abrir_Factura</v>
      </c>
      <c r="AD1357" s="9">
        <v>46038.367488425924</v>
      </c>
    </row>
    <row r="1358" spans="1:30" ht="12.5">
      <c r="A1358" s="4">
        <v>46038.357557430558</v>
      </c>
      <c r="B1358" s="5">
        <v>91096</v>
      </c>
      <c r="C1358" s="5">
        <v>1140904474</v>
      </c>
      <c r="D1358" s="5" t="s">
        <v>6293</v>
      </c>
      <c r="F1358" s="5" t="s">
        <v>6294</v>
      </c>
      <c r="H1358" s="5">
        <v>573106113291</v>
      </c>
      <c r="J1358" s="5" t="s">
        <v>6295</v>
      </c>
      <c r="K1358" s="5" t="s">
        <v>930</v>
      </c>
      <c r="L1358" s="5" t="s">
        <v>6296</v>
      </c>
      <c r="M1358" s="5">
        <v>3017115577</v>
      </c>
      <c r="N1358" s="6">
        <v>46038</v>
      </c>
      <c r="O1358" s="7">
        <v>0.41666666666666669</v>
      </c>
      <c r="P1358" s="5">
        <v>1</v>
      </c>
      <c r="Q1358" s="5" t="s">
        <v>335</v>
      </c>
      <c r="R1358" s="5">
        <v>120000</v>
      </c>
      <c r="S1358" s="5">
        <v>0</v>
      </c>
      <c r="T1358" s="5">
        <v>30000</v>
      </c>
      <c r="U1358" s="5">
        <v>150000</v>
      </c>
      <c r="V1358" s="5" t="s">
        <v>6297</v>
      </c>
      <c r="W1358" s="5" t="s">
        <v>36</v>
      </c>
      <c r="X1358" s="5" t="s">
        <v>1481</v>
      </c>
      <c r="Z1358" s="5" t="s">
        <v>6298</v>
      </c>
      <c r="AA1358" s="5" t="s">
        <v>44</v>
      </c>
      <c r="AB1358" s="5" t="s">
        <v>6299</v>
      </c>
      <c r="AC1358" s="8" t="str">
        <f>HYPERLINK("https://drive.google.com/file/d/1wKKBKrTu7q5nqYf1u8k7T3_Il3Lp0EWk/view?usp=drivesdk", "Abrir_Factura")</f>
        <v>Abrir_Factura</v>
      </c>
      <c r="AD1358" s="9">
        <v>46038.367997685185</v>
      </c>
    </row>
    <row r="1359" spans="1:30" ht="12.5">
      <c r="A1359" s="4">
        <v>46038.371314525459</v>
      </c>
      <c r="B1359" s="5">
        <v>91097</v>
      </c>
      <c r="C1359" s="5">
        <v>2601251222</v>
      </c>
      <c r="D1359" s="5" t="s">
        <v>6300</v>
      </c>
      <c r="F1359" s="5" t="s">
        <v>4346</v>
      </c>
      <c r="H1359" s="5">
        <v>18298293545629</v>
      </c>
      <c r="J1359" s="5" t="s">
        <v>6301</v>
      </c>
      <c r="K1359" s="5" t="s">
        <v>1815</v>
      </c>
      <c r="L1359" s="5" t="s">
        <v>6302</v>
      </c>
      <c r="M1359" s="5">
        <v>573017405738</v>
      </c>
      <c r="N1359" s="6">
        <v>46038</v>
      </c>
      <c r="O1359" s="7">
        <v>0.41666666666666669</v>
      </c>
      <c r="P1359" s="5">
        <v>1</v>
      </c>
      <c r="Q1359" s="5" t="s">
        <v>2586</v>
      </c>
      <c r="R1359" s="5">
        <v>190000</v>
      </c>
      <c r="S1359" s="5">
        <v>0</v>
      </c>
      <c r="T1359" s="5">
        <v>18000</v>
      </c>
      <c r="U1359" s="5">
        <v>208000</v>
      </c>
      <c r="V1359" s="5" t="s">
        <v>6303</v>
      </c>
      <c r="W1359" s="5" t="s">
        <v>36</v>
      </c>
      <c r="X1359" s="5" t="s">
        <v>1937</v>
      </c>
      <c r="Z1359" s="5" t="s">
        <v>6304</v>
      </c>
      <c r="AA1359" s="5" t="s">
        <v>44</v>
      </c>
      <c r="AB1359" s="5" t="s">
        <v>6305</v>
      </c>
      <c r="AC1359" s="8" t="str">
        <f>HYPERLINK("https://drive.google.com/file/d/1Kb04P16OWFMCtKEcy0eVvdSU5j4IXMgT/view?usp=drivesdk", "Abrir_Factura")</f>
        <v>Abrir_Factura</v>
      </c>
      <c r="AD1359" s="9">
        <v>46038.37903935185</v>
      </c>
    </row>
    <row r="1360" spans="1:30" ht="12.5">
      <c r="A1360" s="4">
        <v>46038.399352754626</v>
      </c>
      <c r="B1360" s="5">
        <v>91098</v>
      </c>
      <c r="C1360" s="5">
        <v>7228994</v>
      </c>
      <c r="D1360" s="5" t="s">
        <v>968</v>
      </c>
      <c r="F1360" s="5" t="s">
        <v>455</v>
      </c>
      <c r="H1360" s="5">
        <v>573004142863</v>
      </c>
      <c r="J1360" s="5" t="s">
        <v>6306</v>
      </c>
      <c r="K1360" s="5" t="s">
        <v>33</v>
      </c>
      <c r="L1360" s="5" t="s">
        <v>34</v>
      </c>
      <c r="M1360" s="5">
        <v>3004142863</v>
      </c>
      <c r="N1360" s="6">
        <v>46039</v>
      </c>
      <c r="O1360" s="7">
        <v>0.625</v>
      </c>
      <c r="P1360" s="5">
        <v>1</v>
      </c>
      <c r="Q1360" s="5" t="s">
        <v>649</v>
      </c>
      <c r="R1360" s="5">
        <v>200000</v>
      </c>
      <c r="S1360" s="5">
        <v>0</v>
      </c>
      <c r="T1360" s="5">
        <v>0</v>
      </c>
      <c r="U1360" s="5">
        <v>200000</v>
      </c>
      <c r="V1360" s="5"/>
      <c r="W1360" s="5" t="s">
        <v>36</v>
      </c>
      <c r="X1360" s="5" t="s">
        <v>67</v>
      </c>
      <c r="AA1360" s="5" t="s">
        <v>1717</v>
      </c>
      <c r="AB1360" s="5" t="s">
        <v>6307</v>
      </c>
      <c r="AC1360" s="8" t="str">
        <f>HYPERLINK("https://drive.google.com/file/d/1WGK0B3xIv5pI2mAE8a7yexT4OAl60kJS/view?usp=drivesdk", "Abrir_Factura")</f>
        <v>Abrir_Factura</v>
      </c>
      <c r="AD1360" s="9">
        <v>46041.726018518515</v>
      </c>
    </row>
    <row r="1361" spans="1:30" ht="12.5">
      <c r="A1361" s="4">
        <v>46038.396058587961</v>
      </c>
      <c r="B1361" s="5">
        <v>91099</v>
      </c>
      <c r="C1361" s="5">
        <v>1043497379</v>
      </c>
      <c r="D1361" s="5" t="s">
        <v>1038</v>
      </c>
      <c r="F1361" s="5" t="s">
        <v>6308</v>
      </c>
      <c r="H1361" s="5">
        <v>573156331359</v>
      </c>
      <c r="J1361" s="5" t="s">
        <v>6309</v>
      </c>
      <c r="K1361" s="5" t="s">
        <v>33</v>
      </c>
      <c r="L1361" s="5" t="s">
        <v>34</v>
      </c>
      <c r="M1361" s="5">
        <v>3156331359</v>
      </c>
      <c r="N1361" s="6">
        <v>46038</v>
      </c>
      <c r="O1361" s="7">
        <v>0.60416666666666663</v>
      </c>
      <c r="P1361" s="5">
        <v>1</v>
      </c>
      <c r="Q1361" s="5" t="s">
        <v>65</v>
      </c>
      <c r="R1361" s="5">
        <v>80000</v>
      </c>
      <c r="S1361" s="5">
        <v>0</v>
      </c>
      <c r="T1361" s="5">
        <v>0</v>
      </c>
      <c r="U1361" s="5">
        <v>80000</v>
      </c>
      <c r="V1361" s="5" t="s">
        <v>6310</v>
      </c>
      <c r="W1361" s="5" t="s">
        <v>36</v>
      </c>
      <c r="X1361" s="5" t="s">
        <v>83</v>
      </c>
      <c r="Z1361" s="5" t="s">
        <v>6311</v>
      </c>
      <c r="AA1361" s="5" t="s">
        <v>44</v>
      </c>
      <c r="AB1361" s="5" t="s">
        <v>6312</v>
      </c>
      <c r="AC1361" s="8" t="str">
        <f>HYPERLINK("https://drive.google.com/file/d/145P-NNWOO89q5sfpQ6QUFOcsz_ZFObg8/view?usp=drivesdk", "Abrir_Factura")</f>
        <v>Abrir_Factura</v>
      </c>
      <c r="AD1361" s="9">
        <v>46038.401504629626</v>
      </c>
    </row>
    <row r="1362" spans="1:30" ht="12.5">
      <c r="A1362" s="4">
        <v>46038.407536747683</v>
      </c>
      <c r="B1362" s="5">
        <v>91100</v>
      </c>
      <c r="C1362" s="5">
        <v>1143239898</v>
      </c>
      <c r="D1362" s="5" t="s">
        <v>2783</v>
      </c>
      <c r="F1362" s="5" t="s">
        <v>6313</v>
      </c>
      <c r="H1362" s="5">
        <v>573008810305</v>
      </c>
      <c r="J1362" s="5" t="s">
        <v>6314</v>
      </c>
      <c r="K1362" s="5" t="s">
        <v>33</v>
      </c>
      <c r="L1362" s="5" t="s">
        <v>34</v>
      </c>
      <c r="M1362" s="5">
        <v>3008810305</v>
      </c>
      <c r="N1362" s="6">
        <v>46038</v>
      </c>
      <c r="O1362" s="7">
        <v>0</v>
      </c>
      <c r="P1362" s="5">
        <v>1</v>
      </c>
      <c r="Q1362" s="5" t="s">
        <v>42</v>
      </c>
      <c r="R1362" s="5">
        <v>105000</v>
      </c>
      <c r="S1362" s="5">
        <v>0</v>
      </c>
      <c r="T1362" s="5">
        <v>0</v>
      </c>
      <c r="U1362" s="5">
        <v>105000</v>
      </c>
      <c r="V1362" s="5"/>
      <c r="W1362" s="5" t="s">
        <v>36</v>
      </c>
      <c r="X1362" s="5" t="s">
        <v>1705</v>
      </c>
      <c r="AA1362" s="5" t="s">
        <v>1717</v>
      </c>
      <c r="AC1362" s="8" t="str">
        <f>HYPERLINK("https://drive.google.com/file/d/1kGjczNaJ3Rd-DXTU9BtSQN7F70MB8UpA/view?usp=drivesdk", "Abrir_Factura")</f>
        <v>Abrir_Factura</v>
      </c>
      <c r="AD1362" s="9">
        <v>46038.408310185187</v>
      </c>
    </row>
    <row r="1363" spans="1:30" ht="12.5">
      <c r="A1363" s="4">
        <v>46038.418550208335</v>
      </c>
      <c r="B1363" s="5">
        <v>91101</v>
      </c>
      <c r="C1363" s="5">
        <v>1013671518</v>
      </c>
      <c r="D1363" s="5" t="s">
        <v>270</v>
      </c>
      <c r="F1363" s="5" t="s">
        <v>6315</v>
      </c>
      <c r="H1363" s="5">
        <v>573115689875</v>
      </c>
      <c r="J1363" s="5" t="s">
        <v>6316</v>
      </c>
      <c r="K1363" s="5" t="s">
        <v>33</v>
      </c>
      <c r="L1363" s="5" t="s">
        <v>34</v>
      </c>
      <c r="M1363" s="5">
        <v>3115689875</v>
      </c>
      <c r="N1363" s="6">
        <v>46038</v>
      </c>
      <c r="O1363" s="7">
        <v>0</v>
      </c>
      <c r="P1363" s="5">
        <v>2</v>
      </c>
      <c r="Q1363" s="5" t="s">
        <v>1139</v>
      </c>
      <c r="R1363" s="5">
        <v>160000</v>
      </c>
      <c r="S1363" s="5">
        <v>0</v>
      </c>
      <c r="T1363" s="5">
        <v>0</v>
      </c>
      <c r="U1363" s="5">
        <v>160000</v>
      </c>
      <c r="V1363" s="5"/>
      <c r="W1363" s="5" t="s">
        <v>36</v>
      </c>
      <c r="X1363" s="5" t="s">
        <v>1705</v>
      </c>
      <c r="AA1363" s="5" t="s">
        <v>1717</v>
      </c>
      <c r="AB1363" s="5" t="s">
        <v>6317</v>
      </c>
      <c r="AC1363" s="8" t="str">
        <f>HYPERLINK("https://drive.google.com/file/d/1DJHtHBeVxtXwnUEqB9dR9MZOXJgGoNnR/view?usp=drivesdk", "Abrir_Factura")</f>
        <v>Abrir_Factura</v>
      </c>
      <c r="AD1363" s="9">
        <v>46038.420902777776</v>
      </c>
    </row>
    <row r="1364" spans="1:30" ht="12.5">
      <c r="A1364" s="4">
        <v>46038.424897465273</v>
      </c>
      <c r="B1364" s="5">
        <v>91102</v>
      </c>
      <c r="C1364" s="5">
        <v>1143461721</v>
      </c>
      <c r="D1364" s="5" t="s">
        <v>6318</v>
      </c>
      <c r="F1364" s="5" t="s">
        <v>6319</v>
      </c>
      <c r="H1364" s="5">
        <v>573022265815</v>
      </c>
      <c r="J1364" s="5" t="s">
        <v>6320</v>
      </c>
      <c r="K1364" s="5" t="s">
        <v>33</v>
      </c>
      <c r="L1364" s="5" t="s">
        <v>6321</v>
      </c>
      <c r="M1364" s="5">
        <v>3022265815</v>
      </c>
      <c r="N1364" s="6">
        <v>46041</v>
      </c>
      <c r="O1364" s="7">
        <v>0.29166666666666669</v>
      </c>
      <c r="P1364" s="5">
        <v>1</v>
      </c>
      <c r="Q1364" s="5" t="s">
        <v>65</v>
      </c>
      <c r="R1364" s="5">
        <v>80000</v>
      </c>
      <c r="S1364" s="5">
        <v>0</v>
      </c>
      <c r="T1364" s="5">
        <v>0</v>
      </c>
      <c r="U1364" s="5">
        <v>80000</v>
      </c>
      <c r="V1364" s="5"/>
      <c r="W1364" s="5" t="s">
        <v>36</v>
      </c>
      <c r="X1364" s="5" t="s">
        <v>83</v>
      </c>
      <c r="Z1364" s="5" t="s">
        <v>6322</v>
      </c>
      <c r="AA1364" s="5" t="s">
        <v>44</v>
      </c>
      <c r="AB1364" s="5" t="s">
        <v>6323</v>
      </c>
      <c r="AC1364" s="8" t="str">
        <f>HYPERLINK("https://drive.google.com/file/d/1rr6P4kDIuoDK_cBew3pp9gdSVL9t6wP7/view?usp=drivesdk", "Abrir_Factura")</f>
        <v>Abrir_Factura</v>
      </c>
      <c r="AD1364" s="9">
        <v>46038.440740740742</v>
      </c>
    </row>
    <row r="1365" spans="1:30" ht="12.5">
      <c r="A1365" s="4">
        <v>46038.43905601852</v>
      </c>
      <c r="B1365" s="5">
        <v>91103</v>
      </c>
      <c r="C1365" s="5">
        <v>1020725647</v>
      </c>
      <c r="D1365" s="5" t="s">
        <v>2481</v>
      </c>
      <c r="F1365" s="5" t="s">
        <v>6324</v>
      </c>
      <c r="H1365" s="5">
        <v>573216414503</v>
      </c>
      <c r="J1365" s="5" t="s">
        <v>6325</v>
      </c>
      <c r="K1365" s="5" t="s">
        <v>154</v>
      </c>
      <c r="L1365" s="5" t="s">
        <v>6326</v>
      </c>
      <c r="M1365" s="5">
        <v>3135142698</v>
      </c>
      <c r="N1365" s="6">
        <v>46038</v>
      </c>
      <c r="O1365" s="7">
        <v>0.5</v>
      </c>
      <c r="P1365" s="5">
        <v>1</v>
      </c>
      <c r="Q1365" s="5" t="s">
        <v>458</v>
      </c>
      <c r="R1365" s="5">
        <v>360000</v>
      </c>
      <c r="S1365" s="5">
        <v>0</v>
      </c>
      <c r="T1365" s="5">
        <v>8000</v>
      </c>
      <c r="U1365" s="5">
        <v>368000</v>
      </c>
      <c r="V1365" s="5" t="s">
        <v>6327</v>
      </c>
      <c r="W1365" s="5" t="s">
        <v>36</v>
      </c>
      <c r="X1365" s="5" t="s">
        <v>83</v>
      </c>
      <c r="Z1365" s="5" t="s">
        <v>6328</v>
      </c>
      <c r="AA1365" s="5" t="s">
        <v>44</v>
      </c>
      <c r="AC1365" s="8" t="str">
        <f>HYPERLINK("https://drive.google.com/file/d/1DxfVWtYqt-TjZWSRttUCyR6JrX5saa7j/view?usp=drivesdk", "Abrir_Factura")</f>
        <v>Abrir_Factura</v>
      </c>
      <c r="AD1365" s="9">
        <v>46038.442407407405</v>
      </c>
    </row>
    <row r="1366" spans="1:30" ht="12.5">
      <c r="A1366" s="4">
        <v>46038.463952152779</v>
      </c>
      <c r="B1366" s="5">
        <v>91104</v>
      </c>
      <c r="C1366" s="5">
        <v>1143356372</v>
      </c>
      <c r="D1366" s="5" t="s">
        <v>2293</v>
      </c>
      <c r="F1366" s="5" t="s">
        <v>6329</v>
      </c>
      <c r="H1366" s="5">
        <v>573226803890</v>
      </c>
      <c r="J1366" s="5" t="s">
        <v>6330</v>
      </c>
      <c r="K1366" s="5" t="s">
        <v>63</v>
      </c>
      <c r="L1366" s="5" t="s">
        <v>6331</v>
      </c>
      <c r="M1366" s="5"/>
      <c r="N1366" s="6">
        <v>46038</v>
      </c>
      <c r="O1366" s="7">
        <v>0.60416666666666663</v>
      </c>
      <c r="P1366" s="5">
        <v>1</v>
      </c>
      <c r="Q1366" s="5" t="s">
        <v>187</v>
      </c>
      <c r="R1366" s="5">
        <v>250000</v>
      </c>
      <c r="S1366" s="5">
        <v>0</v>
      </c>
      <c r="T1366" s="5">
        <v>15000</v>
      </c>
      <c r="U1366" s="5">
        <v>265000</v>
      </c>
      <c r="V1366" s="5" t="s">
        <v>6332</v>
      </c>
      <c r="W1366" s="5" t="s">
        <v>36</v>
      </c>
      <c r="X1366" s="5" t="s">
        <v>83</v>
      </c>
      <c r="Z1366" s="5" t="s">
        <v>6333</v>
      </c>
      <c r="AA1366" s="5" t="s">
        <v>44</v>
      </c>
      <c r="AB1366" s="5" t="s">
        <v>6334</v>
      </c>
      <c r="AC1366" s="8" t="str">
        <f>HYPERLINK("https://drive.google.com/file/d/1Xtq2STavOEnMMxmPTZSuY1QZIunnWdNB/view?usp=drivesdk", "Abrir_Factura")</f>
        <v>Abrir_Factura</v>
      </c>
      <c r="AD1366" s="9">
        <v>46038.484247685185</v>
      </c>
    </row>
    <row r="1367" spans="1:30" ht="12.5">
      <c r="A1367" s="4">
        <v>46038.477331898146</v>
      </c>
      <c r="B1367" s="5">
        <v>91105</v>
      </c>
      <c r="C1367" s="5">
        <v>1098651751</v>
      </c>
      <c r="D1367" s="5" t="s">
        <v>1287</v>
      </c>
      <c r="F1367" s="5" t="s">
        <v>6335</v>
      </c>
      <c r="H1367" s="5">
        <v>573113191571</v>
      </c>
      <c r="J1367" s="5" t="s">
        <v>6336</v>
      </c>
      <c r="K1367" s="5" t="s">
        <v>307</v>
      </c>
      <c r="L1367" s="5" t="s">
        <v>6337</v>
      </c>
      <c r="M1367" s="5"/>
      <c r="N1367" s="6">
        <v>46038</v>
      </c>
      <c r="O1367" s="7">
        <v>0.54166666666666663</v>
      </c>
      <c r="P1367" s="5">
        <v>2</v>
      </c>
      <c r="Q1367" s="5" t="s">
        <v>6338</v>
      </c>
      <c r="R1367" s="5">
        <v>340000</v>
      </c>
      <c r="S1367" s="5">
        <v>0</v>
      </c>
      <c r="T1367" s="5">
        <v>10000</v>
      </c>
      <c r="U1367" s="5">
        <v>350000</v>
      </c>
      <c r="V1367" s="5"/>
      <c r="W1367" s="5" t="s">
        <v>36</v>
      </c>
      <c r="X1367" s="5" t="s">
        <v>83</v>
      </c>
      <c r="AA1367" s="5" t="s">
        <v>44</v>
      </c>
      <c r="AC1367" s="8" t="str">
        <f>HYPERLINK("https://drive.google.com/file/d/1DMac-jRQLrCFKjM0O_MoJ5_Dpo5R3p4u/view?usp=drivesdk", "Abrir_Factura")</f>
        <v>Abrir_Factura</v>
      </c>
      <c r="AD1367" s="9">
        <v>46038.485590277778</v>
      </c>
    </row>
    <row r="1368" spans="1:30" ht="12.5">
      <c r="A1368" s="4">
        <v>46038.513156655092</v>
      </c>
      <c r="B1368" s="5">
        <v>91106</v>
      </c>
      <c r="C1368" s="5">
        <v>1140879851</v>
      </c>
      <c r="D1368" s="5" t="s">
        <v>6339</v>
      </c>
      <c r="F1368" s="5" t="s">
        <v>6340</v>
      </c>
      <c r="H1368" s="5">
        <v>573004966065</v>
      </c>
      <c r="J1368" s="5" t="s">
        <v>6341</v>
      </c>
      <c r="K1368" s="5" t="s">
        <v>249</v>
      </c>
      <c r="L1368" s="5" t="s">
        <v>6342</v>
      </c>
      <c r="M1368" s="5">
        <v>3054833197</v>
      </c>
      <c r="N1368" s="6">
        <v>46038</v>
      </c>
      <c r="O1368" s="7">
        <v>0.625</v>
      </c>
      <c r="P1368" s="5">
        <v>1</v>
      </c>
      <c r="Q1368" s="5" t="s">
        <v>375</v>
      </c>
      <c r="R1368" s="5">
        <v>80000</v>
      </c>
      <c r="S1368" s="5">
        <v>0</v>
      </c>
      <c r="T1368" s="5">
        <v>10000</v>
      </c>
      <c r="U1368" s="5">
        <v>90000</v>
      </c>
      <c r="V1368" s="5" t="s">
        <v>6343</v>
      </c>
      <c r="W1368" s="5" t="s">
        <v>36</v>
      </c>
      <c r="X1368" s="5" t="s">
        <v>180</v>
      </c>
      <c r="Z1368" s="5" t="s">
        <v>6344</v>
      </c>
      <c r="AA1368" s="5" t="s">
        <v>69</v>
      </c>
      <c r="AC1368" s="8" t="str">
        <f>HYPERLINK("https://drive.google.com/file/d/1wgq4fgyB7Oadc7n9MJ_z5g0zrNBcMk0g/view?usp=drivesdk", "Abrir_Factura")</f>
        <v>Abrir_Factura</v>
      </c>
      <c r="AD1368" s="9">
        <v>46038.517835648148</v>
      </c>
    </row>
    <row r="1369" spans="1:30" ht="12.5">
      <c r="A1369" s="4">
        <v>46045.551342592589</v>
      </c>
      <c r="B1369" s="5">
        <v>91107</v>
      </c>
      <c r="C1369" s="5">
        <v>79748098</v>
      </c>
      <c r="D1369" s="5" t="s">
        <v>6345</v>
      </c>
      <c r="F1369" s="5" t="s">
        <v>6346</v>
      </c>
      <c r="H1369" s="5">
        <v>570000</v>
      </c>
      <c r="J1369" s="5" t="s">
        <v>6347</v>
      </c>
      <c r="K1369" s="5" t="s">
        <v>33</v>
      </c>
      <c r="L1369" s="5" t="s">
        <v>34</v>
      </c>
      <c r="M1369" s="5">
        <v>0</v>
      </c>
      <c r="N1369" s="6">
        <v>46038</v>
      </c>
      <c r="O1369" s="7">
        <v>0</v>
      </c>
      <c r="P1369" s="5">
        <v>1</v>
      </c>
      <c r="Q1369" s="5" t="s">
        <v>42</v>
      </c>
      <c r="R1369" s="5">
        <v>90000</v>
      </c>
      <c r="S1369" s="5">
        <v>0</v>
      </c>
      <c r="T1369" s="5">
        <v>0</v>
      </c>
      <c r="U1369" s="5">
        <v>90000</v>
      </c>
      <c r="V1369" s="5"/>
      <c r="W1369" s="5" t="s">
        <v>36</v>
      </c>
      <c r="X1369" s="5" t="s">
        <v>67</v>
      </c>
      <c r="AA1369" s="5" t="s">
        <v>44</v>
      </c>
      <c r="AB1369" s="5" t="s">
        <v>525</v>
      </c>
      <c r="AC1369" s="8" t="str">
        <f>HYPERLINK("https://drive.google.com/file/d/1cBAWFtPZBNLc-ack5OkrXBRTl7bJ-8Rv/view?usp=drivesdk", "Abrir_Factura")</f>
        <v>Abrir_Factura</v>
      </c>
      <c r="AD1369" s="9">
        <v>46045.562986111108</v>
      </c>
    </row>
    <row r="1370" spans="1:30" ht="12.5">
      <c r="A1370" s="4">
        <v>46038.565862407406</v>
      </c>
      <c r="B1370" s="5">
        <v>91108</v>
      </c>
      <c r="C1370" s="5">
        <v>1042249174</v>
      </c>
      <c r="D1370" s="5" t="s">
        <v>6348</v>
      </c>
      <c r="F1370" s="5" t="s">
        <v>6349</v>
      </c>
      <c r="H1370" s="5">
        <v>573184094610</v>
      </c>
      <c r="J1370" s="5" t="s">
        <v>6350</v>
      </c>
      <c r="K1370" s="5" t="s">
        <v>63</v>
      </c>
      <c r="L1370" s="5" t="s">
        <v>6351</v>
      </c>
      <c r="M1370" s="5" t="s">
        <v>6352</v>
      </c>
      <c r="N1370" s="6">
        <v>46038</v>
      </c>
      <c r="O1370" s="7">
        <v>0.66666666666666663</v>
      </c>
      <c r="P1370" s="5">
        <v>1</v>
      </c>
      <c r="Q1370" s="5" t="s">
        <v>1126</v>
      </c>
      <c r="R1370" s="5">
        <v>352000</v>
      </c>
      <c r="S1370" s="5">
        <v>0</v>
      </c>
      <c r="T1370" s="5">
        <v>15000</v>
      </c>
      <c r="U1370" s="5">
        <v>367000</v>
      </c>
      <c r="V1370" s="5"/>
      <c r="W1370" s="5" t="s">
        <v>36</v>
      </c>
      <c r="X1370" s="5" t="s">
        <v>180</v>
      </c>
      <c r="AA1370" s="5" t="s">
        <v>44</v>
      </c>
      <c r="AC1370" s="8" t="str">
        <f>HYPERLINK("https://drive.google.com/file/d/1xv8yl7tlRL8Zf_oK86MIfwvVvxvtzzFL/view?usp=drivesdk", "Abrir_Factura")</f>
        <v>Abrir_Factura</v>
      </c>
      <c r="AD1370" s="9">
        <v>46038.756550925929</v>
      </c>
    </row>
    <row r="1371" spans="1:30" ht="12.5">
      <c r="A1371" s="4">
        <v>46037.388746666664</v>
      </c>
      <c r="B1371" s="5">
        <v>91109</v>
      </c>
      <c r="C1371" s="5">
        <v>1002024210</v>
      </c>
      <c r="D1371" s="5" t="s">
        <v>6353</v>
      </c>
      <c r="F1371" s="5" t="s">
        <v>6354</v>
      </c>
      <c r="H1371" s="5">
        <v>573006470265</v>
      </c>
      <c r="J1371" s="5" t="s">
        <v>6355</v>
      </c>
      <c r="K1371" s="5"/>
      <c r="L1371" s="5" t="s">
        <v>579</v>
      </c>
      <c r="M1371" s="5"/>
      <c r="N1371" s="6">
        <v>46039</v>
      </c>
      <c r="O1371" s="7">
        <v>0.35416666666666669</v>
      </c>
      <c r="P1371" s="5">
        <v>1</v>
      </c>
      <c r="Q1371" s="5" t="s">
        <v>2270</v>
      </c>
      <c r="R1371" s="5">
        <v>170000</v>
      </c>
      <c r="S1371" s="5">
        <v>0</v>
      </c>
      <c r="T1371" s="5"/>
      <c r="U1371" s="5">
        <v>170000</v>
      </c>
      <c r="V1371" s="5" t="s">
        <v>6356</v>
      </c>
      <c r="W1371" s="5" t="s">
        <v>36</v>
      </c>
      <c r="X1371" s="5" t="s">
        <v>67</v>
      </c>
      <c r="Z1371" s="5" t="s">
        <v>6357</v>
      </c>
      <c r="AA1371" s="5" t="s">
        <v>44</v>
      </c>
      <c r="AC1371" s="8" t="str">
        <f>HYPERLINK("https://drive.google.com/file/d/18fraL-OX3q0UOsfk33zYP7YPHWlZx8Z-/view?usp=drivesdk", "Abrir_Factura")</f>
        <v>Abrir_Factura</v>
      </c>
      <c r="AD1371" s="9">
        <v>46038.586527777778</v>
      </c>
    </row>
    <row r="1372" spans="1:30" ht="12.5">
      <c r="A1372" s="4">
        <v>46038.58768084491</v>
      </c>
      <c r="B1372" s="5">
        <v>91110</v>
      </c>
      <c r="C1372" s="5">
        <v>1082881812</v>
      </c>
      <c r="D1372" s="5" t="s">
        <v>6358</v>
      </c>
      <c r="F1372" s="5" t="s">
        <v>6359</v>
      </c>
      <c r="H1372" s="5">
        <v>573104123627</v>
      </c>
      <c r="J1372" s="5" t="s">
        <v>6360</v>
      </c>
      <c r="K1372" s="5" t="s">
        <v>73</v>
      </c>
      <c r="L1372" s="5" t="s">
        <v>6361</v>
      </c>
      <c r="M1372" s="5">
        <v>3104123627</v>
      </c>
      <c r="N1372" s="6">
        <v>46038</v>
      </c>
      <c r="O1372" s="7">
        <v>0.625</v>
      </c>
      <c r="P1372" s="5">
        <v>1</v>
      </c>
      <c r="Q1372" s="5" t="s">
        <v>375</v>
      </c>
      <c r="R1372" s="5">
        <v>80000</v>
      </c>
      <c r="S1372" s="5">
        <v>0</v>
      </c>
      <c r="T1372" s="5">
        <v>8000</v>
      </c>
      <c r="U1372" s="5">
        <v>88000</v>
      </c>
      <c r="V1372" s="5" t="s">
        <v>6362</v>
      </c>
      <c r="W1372" s="5" t="s">
        <v>36</v>
      </c>
      <c r="X1372" s="5" t="s">
        <v>83</v>
      </c>
      <c r="Z1372" s="5" t="s">
        <v>6363</v>
      </c>
      <c r="AA1372" s="5" t="s">
        <v>44</v>
      </c>
      <c r="AC1372" s="8" t="str">
        <f>HYPERLINK("https://drive.google.com/file/d/1W_75FhT4OcNE2mP5NFjZ2TYWMbb0js6C/view?usp=drivesdk", "Abrir_Factura")</f>
        <v>Abrir_Factura</v>
      </c>
      <c r="AD1372" s="9">
        <v>46038.594826388886</v>
      </c>
    </row>
    <row r="1373" spans="1:30" ht="12.5">
      <c r="A1373" s="4">
        <v>46038.611822499995</v>
      </c>
      <c r="B1373" s="5">
        <v>91111</v>
      </c>
      <c r="C1373" s="5">
        <v>9010011477</v>
      </c>
      <c r="D1373" s="5" t="s">
        <v>6364</v>
      </c>
      <c r="F1373" s="5" t="s">
        <v>4113</v>
      </c>
      <c r="H1373" s="5">
        <v>573003006459</v>
      </c>
      <c r="J1373" s="5" t="s">
        <v>6365</v>
      </c>
      <c r="K1373" s="5" t="s">
        <v>33</v>
      </c>
      <c r="L1373" s="5" t="s">
        <v>34</v>
      </c>
      <c r="M1373" s="5" t="s">
        <v>6366</v>
      </c>
      <c r="N1373" s="6">
        <v>46038</v>
      </c>
      <c r="O1373" s="7">
        <v>0.64583333333333337</v>
      </c>
      <c r="P1373" s="5">
        <v>1</v>
      </c>
      <c r="Q1373" s="5" t="s">
        <v>1111</v>
      </c>
      <c r="R1373" s="5">
        <v>140000</v>
      </c>
      <c r="S1373" s="5">
        <v>26600</v>
      </c>
      <c r="T1373" s="5">
        <v>0</v>
      </c>
      <c r="U1373" s="5">
        <v>166600</v>
      </c>
      <c r="V1373" s="5"/>
      <c r="W1373" s="5" t="s">
        <v>36</v>
      </c>
      <c r="X1373" s="5" t="s">
        <v>1705</v>
      </c>
      <c r="AA1373" s="5" t="s">
        <v>69</v>
      </c>
      <c r="AB1373" s="5" t="s">
        <v>6367</v>
      </c>
      <c r="AC1373" s="8" t="str">
        <f>HYPERLINK("https://drive.google.com/file/d/1ZTLF-wzfXQLbwvHYxttpduFQ2qGUuVmA/view?usp=drivesdk", "Abrir_Factura")</f>
        <v>Abrir_Factura</v>
      </c>
      <c r="AD1373" s="9">
        <v>46038.612546296295</v>
      </c>
    </row>
    <row r="1374" spans="1:30" ht="12.5">
      <c r="A1374" s="4">
        <v>46038.624567997686</v>
      </c>
      <c r="B1374" s="5">
        <v>91112</v>
      </c>
      <c r="C1374" s="5">
        <v>1128228492</v>
      </c>
      <c r="D1374" s="5" t="s">
        <v>4261</v>
      </c>
      <c r="F1374" s="5" t="s">
        <v>6368</v>
      </c>
      <c r="H1374" s="5">
        <v>573215599552</v>
      </c>
      <c r="J1374" s="5" t="s">
        <v>6369</v>
      </c>
      <c r="K1374" s="5" t="s">
        <v>33</v>
      </c>
      <c r="L1374" s="5" t="s">
        <v>34</v>
      </c>
      <c r="M1374" s="5">
        <v>3215599552</v>
      </c>
      <c r="N1374" s="6">
        <v>46038</v>
      </c>
      <c r="O1374" s="7">
        <v>0.625</v>
      </c>
      <c r="P1374" s="5">
        <v>1</v>
      </c>
      <c r="Q1374" s="5" t="s">
        <v>6370</v>
      </c>
      <c r="R1374" s="5">
        <v>12000</v>
      </c>
      <c r="S1374" s="5">
        <v>0</v>
      </c>
      <c r="T1374" s="5">
        <v>0</v>
      </c>
      <c r="U1374" s="5">
        <v>12000</v>
      </c>
      <c r="V1374" s="5"/>
      <c r="W1374" s="5" t="s">
        <v>36</v>
      </c>
      <c r="X1374" s="5" t="s">
        <v>196</v>
      </c>
      <c r="AA1374" s="5" t="s">
        <v>1717</v>
      </c>
      <c r="AC1374" s="8" t="str">
        <f>HYPERLINK("https://drive.google.com/file/d/1pqMOO_2vlCosAMgXXB3mdao34zYaSSNs/view?usp=drivesdk", "Abrir_Factura")</f>
        <v>Abrir_Factura</v>
      </c>
      <c r="AD1374" s="9">
        <v>46038.625185185185</v>
      </c>
    </row>
    <row r="1375" spans="1:30" ht="12.5">
      <c r="A1375" s="4">
        <v>46038.633918067135</v>
      </c>
      <c r="B1375" s="5">
        <v>91113</v>
      </c>
      <c r="C1375" s="5">
        <v>1234091922</v>
      </c>
      <c r="D1375" s="5" t="s">
        <v>297</v>
      </c>
      <c r="F1375" s="5" t="s">
        <v>6371</v>
      </c>
      <c r="H1375" s="5">
        <v>573002466767</v>
      </c>
      <c r="J1375" s="5" t="s">
        <v>6372</v>
      </c>
      <c r="K1375" s="5" t="s">
        <v>124</v>
      </c>
      <c r="L1375" s="5" t="s">
        <v>6373</v>
      </c>
      <c r="M1375" s="5">
        <v>3006795505</v>
      </c>
      <c r="N1375" s="6">
        <v>46039</v>
      </c>
      <c r="O1375" s="7">
        <v>0.375</v>
      </c>
      <c r="P1375" s="5">
        <v>1</v>
      </c>
      <c r="Q1375" s="5" t="s">
        <v>375</v>
      </c>
      <c r="R1375" s="5">
        <v>80000</v>
      </c>
      <c r="S1375" s="5">
        <v>0</v>
      </c>
      <c r="T1375" s="5">
        <v>12000</v>
      </c>
      <c r="U1375" s="5">
        <v>92000</v>
      </c>
      <c r="V1375" s="5" t="s">
        <v>6374</v>
      </c>
      <c r="W1375" s="5" t="s">
        <v>36</v>
      </c>
      <c r="X1375" s="5" t="s">
        <v>83</v>
      </c>
      <c r="Z1375" s="5" t="s">
        <v>6375</v>
      </c>
      <c r="AA1375" s="5" t="s">
        <v>44</v>
      </c>
      <c r="AB1375" s="5" t="s">
        <v>6376</v>
      </c>
      <c r="AC1375" s="8" t="str">
        <f>HYPERLINK("https://drive.google.com/file/d/1lzAQvOeYUaCYXoCfYGWuAPnr8ajZ6vN1/view?usp=drivesdk", "Abrir_Factura")</f>
        <v>Abrir_Factura</v>
      </c>
      <c r="AD1375" s="9">
        <v>46038.64707175926</v>
      </c>
    </row>
    <row r="1376" spans="1:30" ht="12.5">
      <c r="A1376" s="4">
        <v>46038.66072274305</v>
      </c>
      <c r="B1376" s="5">
        <v>91114</v>
      </c>
      <c r="C1376" s="5">
        <v>1002207604</v>
      </c>
      <c r="D1376" s="5" t="s">
        <v>6377</v>
      </c>
      <c r="F1376" s="5" t="s">
        <v>6378</v>
      </c>
      <c r="H1376" s="5">
        <v>573168725230</v>
      </c>
      <c r="J1376" s="5" t="s">
        <v>6379</v>
      </c>
      <c r="K1376" s="5" t="s">
        <v>249</v>
      </c>
      <c r="L1376" s="5" t="s">
        <v>6380</v>
      </c>
      <c r="M1376" s="5"/>
      <c r="N1376" s="6">
        <v>46046</v>
      </c>
      <c r="O1376" s="7">
        <v>0</v>
      </c>
      <c r="P1376" s="5">
        <v>1</v>
      </c>
      <c r="Q1376" s="5" t="s">
        <v>3111</v>
      </c>
      <c r="R1376" s="5">
        <v>220000</v>
      </c>
      <c r="S1376" s="5">
        <v>0</v>
      </c>
      <c r="T1376" s="5">
        <v>10000</v>
      </c>
      <c r="U1376" s="5">
        <v>230000</v>
      </c>
      <c r="V1376" s="5" t="s">
        <v>6381</v>
      </c>
      <c r="W1376" s="5" t="s">
        <v>36</v>
      </c>
      <c r="X1376" s="5" t="s">
        <v>1705</v>
      </c>
      <c r="AA1376" s="5" t="s">
        <v>1717</v>
      </c>
      <c r="AB1376" s="5" t="s">
        <v>6382</v>
      </c>
      <c r="AC1376" s="8" t="str">
        <f>HYPERLINK("https://drive.google.com/file/d/1zNUCcZBMQQuEcPkZgGNlJtGf4BQRpAqM/view?usp=drivesdk", "Abrir_Factura")</f>
        <v>Abrir_Factura</v>
      </c>
      <c r="AD1376" s="9">
        <v>46038.661157407405</v>
      </c>
    </row>
    <row r="1377" spans="1:30" ht="12.5">
      <c r="A1377" s="4">
        <v>46038.665045428235</v>
      </c>
      <c r="B1377" s="5">
        <v>91115</v>
      </c>
      <c r="C1377" s="5">
        <v>32757435</v>
      </c>
      <c r="D1377" s="5" t="s">
        <v>6383</v>
      </c>
      <c r="F1377" s="5" t="s">
        <v>6384</v>
      </c>
      <c r="H1377" s="5">
        <v>573126705497</v>
      </c>
      <c r="J1377" s="5" t="s">
        <v>6385</v>
      </c>
      <c r="K1377" s="5" t="s">
        <v>33</v>
      </c>
      <c r="L1377" s="5" t="s">
        <v>34</v>
      </c>
      <c r="M1377" s="5"/>
      <c r="N1377" s="6">
        <v>46038</v>
      </c>
      <c r="O1377" s="7">
        <v>0</v>
      </c>
      <c r="P1377" s="5">
        <v>1</v>
      </c>
      <c r="Q1377" s="5" t="s">
        <v>42</v>
      </c>
      <c r="R1377" s="5">
        <v>65000</v>
      </c>
      <c r="S1377" s="5">
        <v>0</v>
      </c>
      <c r="T1377" s="5">
        <v>0</v>
      </c>
      <c r="U1377" s="5">
        <v>65000</v>
      </c>
      <c r="V1377" s="5"/>
      <c r="W1377" s="5" t="s">
        <v>36</v>
      </c>
      <c r="X1377" s="5" t="s">
        <v>1705</v>
      </c>
      <c r="AA1377" s="5" t="s">
        <v>1717</v>
      </c>
      <c r="AB1377" s="5" t="s">
        <v>525</v>
      </c>
      <c r="AC1377" s="8" t="str">
        <f>HYPERLINK("https://drive.google.com/file/d/1RDmTx8gHusAJ0y6041nEijYzBmLEp6G3/view?usp=drivesdk", "Abrir_Factura")</f>
        <v>Abrir_Factura</v>
      </c>
      <c r="AD1377" s="9">
        <v>46038.667129629626</v>
      </c>
    </row>
    <row r="1378" spans="1:30" ht="12.5">
      <c r="A1378" s="4">
        <v>46038.666305833336</v>
      </c>
      <c r="B1378" s="5">
        <v>91116</v>
      </c>
      <c r="C1378" s="5">
        <v>1129572954</v>
      </c>
      <c r="D1378" s="5" t="s">
        <v>2471</v>
      </c>
      <c r="F1378" s="5" t="s">
        <v>6386</v>
      </c>
      <c r="H1378" s="5">
        <v>573113043191</v>
      </c>
      <c r="J1378" s="5" t="s">
        <v>6387</v>
      </c>
      <c r="K1378" s="5" t="s">
        <v>33</v>
      </c>
      <c r="L1378" s="5" t="s">
        <v>34</v>
      </c>
      <c r="M1378" s="5" t="s">
        <v>2474</v>
      </c>
      <c r="N1378" s="6">
        <v>46038</v>
      </c>
      <c r="O1378" s="7">
        <v>0</v>
      </c>
      <c r="P1378" s="5">
        <v>1</v>
      </c>
      <c r="Q1378" s="5" t="s">
        <v>42</v>
      </c>
      <c r="R1378" s="5">
        <v>86000</v>
      </c>
      <c r="S1378" s="5">
        <v>0</v>
      </c>
      <c r="T1378" s="5">
        <v>0</v>
      </c>
      <c r="U1378" s="5">
        <v>86000</v>
      </c>
      <c r="V1378" s="5"/>
      <c r="W1378" s="5" t="s">
        <v>36</v>
      </c>
      <c r="X1378" s="5" t="s">
        <v>1705</v>
      </c>
      <c r="AA1378" s="5" t="s">
        <v>1717</v>
      </c>
      <c r="AB1378" s="5" t="s">
        <v>525</v>
      </c>
      <c r="AC1378" s="8" t="str">
        <f>HYPERLINK("https://drive.google.com/file/d/19CIRTsl9p_TyFZxGWOr7P3LpuhgDUkQn/view?usp=drivesdk", "Abrir_Factura")</f>
        <v>Abrir_Factura</v>
      </c>
      <c r="AD1378" s="9">
        <v>46038.667604166665</v>
      </c>
    </row>
    <row r="1379" spans="1:30" ht="12.5">
      <c r="A1379" s="4">
        <v>46038.66665835648</v>
      </c>
      <c r="B1379" s="5">
        <v>91117</v>
      </c>
      <c r="C1379" s="5">
        <v>55304262</v>
      </c>
      <c r="D1379" s="5" t="s">
        <v>3737</v>
      </c>
      <c r="F1379" s="5" t="s">
        <v>2419</v>
      </c>
      <c r="H1379" s="5">
        <v>576956024</v>
      </c>
      <c r="J1379" s="5" t="s">
        <v>3738</v>
      </c>
      <c r="K1379" s="5" t="s">
        <v>33</v>
      </c>
      <c r="L1379" s="5" t="s">
        <v>34</v>
      </c>
      <c r="M1379" s="5">
        <v>6956024</v>
      </c>
      <c r="N1379" s="6">
        <v>46038</v>
      </c>
      <c r="O1379" s="7">
        <v>0</v>
      </c>
      <c r="P1379" s="5">
        <v>1</v>
      </c>
      <c r="Q1379" s="5" t="s">
        <v>42</v>
      </c>
      <c r="R1379" s="5">
        <v>75000</v>
      </c>
      <c r="S1379" s="5">
        <v>0</v>
      </c>
      <c r="T1379" s="5">
        <v>0</v>
      </c>
      <c r="U1379" s="5">
        <v>75000</v>
      </c>
      <c r="V1379" s="5"/>
      <c r="W1379" s="5" t="s">
        <v>36</v>
      </c>
      <c r="X1379" s="5" t="s">
        <v>196</v>
      </c>
      <c r="AA1379" s="5" t="s">
        <v>1717</v>
      </c>
      <c r="AB1379" s="5" t="s">
        <v>525</v>
      </c>
      <c r="AC1379" s="8" t="str">
        <f>HYPERLINK("https://drive.google.com/file/d/1iUM9ZP2hL2E3eUuDQwAqSRkjr3J7Pb7l/view?usp=drivesdk", "Abrir_Factura")</f>
        <v>Abrir_Factura</v>
      </c>
      <c r="AD1379" s="9">
        <v>46038.667905092596</v>
      </c>
    </row>
    <row r="1380" spans="1:30" ht="12.5">
      <c r="A1380" s="4">
        <v>46038.67640055556</v>
      </c>
      <c r="B1380" s="5">
        <v>91118</v>
      </c>
      <c r="C1380" s="5">
        <v>1235253373</v>
      </c>
      <c r="D1380" s="5" t="s">
        <v>6388</v>
      </c>
      <c r="F1380" s="5" t="s">
        <v>6389</v>
      </c>
      <c r="H1380" s="5">
        <v>573155827751</v>
      </c>
      <c r="J1380" s="5" t="s">
        <v>6390</v>
      </c>
      <c r="K1380" s="5" t="s">
        <v>33</v>
      </c>
      <c r="L1380" s="5" t="s">
        <v>34</v>
      </c>
      <c r="M1380" s="5">
        <v>3155827751</v>
      </c>
      <c r="N1380" s="6">
        <v>46038</v>
      </c>
      <c r="O1380" s="7">
        <v>0.67638888888888893</v>
      </c>
      <c r="P1380" s="5">
        <v>1</v>
      </c>
      <c r="Q1380" s="5" t="s">
        <v>42</v>
      </c>
      <c r="R1380" s="5">
        <v>41000</v>
      </c>
      <c r="S1380" s="5">
        <v>0</v>
      </c>
      <c r="T1380" s="5">
        <v>0</v>
      </c>
      <c r="U1380" s="5">
        <v>41000</v>
      </c>
      <c r="V1380" s="5"/>
      <c r="W1380" s="5" t="s">
        <v>36</v>
      </c>
      <c r="X1380" s="5" t="s">
        <v>196</v>
      </c>
      <c r="AA1380" s="5" t="s">
        <v>1717</v>
      </c>
      <c r="AB1380" s="5" t="s">
        <v>525</v>
      </c>
      <c r="AC1380" s="8" t="str">
        <f>HYPERLINK("https://drive.google.com/file/d/1VnZtXTrRgO38ifYVTJBYYozv5-3RuYtT/view?usp=drivesdk", "Abrir_Factura")</f>
        <v>Abrir_Factura</v>
      </c>
      <c r="AD1380" s="9">
        <v>46038.67690972222</v>
      </c>
    </row>
    <row r="1381" spans="1:30" ht="12.5">
      <c r="A1381" s="4">
        <v>46038.687643564816</v>
      </c>
      <c r="B1381" s="5">
        <v>91119</v>
      </c>
      <c r="C1381" s="5">
        <v>1235253373</v>
      </c>
      <c r="D1381" s="5" t="s">
        <v>6388</v>
      </c>
      <c r="F1381" s="5" t="s">
        <v>6389</v>
      </c>
      <c r="H1381" s="5">
        <v>573155827751</v>
      </c>
      <c r="J1381" s="5" t="s">
        <v>6390</v>
      </c>
      <c r="K1381" s="5" t="s">
        <v>33</v>
      </c>
      <c r="L1381" s="5" t="s">
        <v>34</v>
      </c>
      <c r="M1381" s="5">
        <v>3155827751</v>
      </c>
      <c r="N1381" s="6">
        <v>46038</v>
      </c>
      <c r="O1381" s="7">
        <v>0</v>
      </c>
      <c r="P1381" s="5">
        <v>1</v>
      </c>
      <c r="Q1381" s="5" t="s">
        <v>42</v>
      </c>
      <c r="R1381" s="5">
        <v>4000</v>
      </c>
      <c r="S1381" s="5">
        <v>0</v>
      </c>
      <c r="T1381" s="5">
        <v>0</v>
      </c>
      <c r="U1381" s="5">
        <v>4000</v>
      </c>
      <c r="V1381" s="5"/>
      <c r="W1381" s="5" t="s">
        <v>36</v>
      </c>
      <c r="X1381" s="5" t="s">
        <v>196</v>
      </c>
      <c r="AA1381" s="5" t="s">
        <v>1717</v>
      </c>
      <c r="AB1381" s="5" t="s">
        <v>1143</v>
      </c>
      <c r="AC1381" s="8" t="str">
        <f>HYPERLINK("https://drive.google.com/file/d/11Ixlw8U9P1kqm8sWECSMm1P327XEtna5/view?usp=drivesdk", "Abrir_Factura")</f>
        <v>Abrir_Factura</v>
      </c>
      <c r="AD1381" s="9">
        <v>46038.688321759262</v>
      </c>
    </row>
    <row r="1382" spans="1:30" ht="12.5">
      <c r="A1382" s="4">
        <v>46038.692857777773</v>
      </c>
      <c r="B1382" s="5">
        <v>91120</v>
      </c>
      <c r="C1382" s="5">
        <v>1048068735</v>
      </c>
      <c r="D1382" s="5" t="s">
        <v>1140</v>
      </c>
      <c r="F1382" s="5" t="s">
        <v>6391</v>
      </c>
      <c r="H1382" s="5">
        <v>573150472213</v>
      </c>
      <c r="J1382" s="5" t="s">
        <v>6392</v>
      </c>
      <c r="K1382" s="5" t="s">
        <v>33</v>
      </c>
      <c r="L1382" s="5" t="s">
        <v>34</v>
      </c>
      <c r="M1382" s="5">
        <v>3150472213</v>
      </c>
      <c r="N1382" s="6">
        <v>46038</v>
      </c>
      <c r="O1382" s="7">
        <v>0.69374999999999998</v>
      </c>
      <c r="P1382" s="5">
        <v>1</v>
      </c>
      <c r="Q1382" s="5" t="s">
        <v>42</v>
      </c>
      <c r="R1382" s="5">
        <v>34000</v>
      </c>
      <c r="S1382" s="5">
        <v>0</v>
      </c>
      <c r="T1382" s="5">
        <v>0</v>
      </c>
      <c r="U1382" s="5">
        <v>34000</v>
      </c>
      <c r="V1382" s="5"/>
      <c r="W1382" s="5" t="s">
        <v>36</v>
      </c>
      <c r="X1382" s="5" t="s">
        <v>67</v>
      </c>
      <c r="AA1382" s="5" t="s">
        <v>1717</v>
      </c>
      <c r="AC1382" s="8" t="str">
        <f>HYPERLINK("https://drive.google.com/file/d/1kvM-D-g49nud8PooHAg2py7CkNZt_7xP/view?usp=drivesdk", "Abrir_Factura")</f>
        <v>Abrir_Factura</v>
      </c>
      <c r="AD1382" s="9">
        <v>46038.694155092591</v>
      </c>
    </row>
    <row r="1383" spans="1:30" ht="12.5">
      <c r="A1383" s="4">
        <v>46038.653477094907</v>
      </c>
      <c r="B1383" s="5">
        <v>91121</v>
      </c>
      <c r="C1383" s="5">
        <v>900495470</v>
      </c>
      <c r="D1383" s="5" t="s">
        <v>6393</v>
      </c>
      <c r="F1383" s="5" t="s">
        <v>6394</v>
      </c>
      <c r="H1383" s="5">
        <v>573137820782</v>
      </c>
      <c r="J1383" s="5" t="s">
        <v>6395</v>
      </c>
      <c r="K1383" s="5" t="s">
        <v>124</v>
      </c>
      <c r="L1383" s="5" t="s">
        <v>6396</v>
      </c>
      <c r="M1383" s="5" t="s">
        <v>6397</v>
      </c>
      <c r="N1383" s="6">
        <v>46043</v>
      </c>
      <c r="O1383" s="7">
        <v>0.375</v>
      </c>
      <c r="P1383" s="5">
        <v>1</v>
      </c>
      <c r="Q1383" s="5" t="s">
        <v>384</v>
      </c>
      <c r="R1383" s="5">
        <v>200000</v>
      </c>
      <c r="S1383" s="5">
        <v>38000</v>
      </c>
      <c r="T1383" s="5">
        <v>12000</v>
      </c>
      <c r="U1383" s="5">
        <v>250000</v>
      </c>
      <c r="V1383" s="5"/>
      <c r="W1383" s="5" t="s">
        <v>36</v>
      </c>
      <c r="X1383" s="5" t="s">
        <v>1937</v>
      </c>
      <c r="Z1383" s="5" t="s">
        <v>6398</v>
      </c>
      <c r="AA1383" s="5" t="s">
        <v>44</v>
      </c>
      <c r="AB1383" s="5" t="s">
        <v>6399</v>
      </c>
      <c r="AC1383" s="8" t="str">
        <f>HYPERLINK("https://drive.google.com/file/d/1vPU1WmD_3s2cArEKavyootkUPTMq6LeQ/view?usp=drivesdk", "Abrir_Factura")</f>
        <v>Abrir_Factura</v>
      </c>
      <c r="AD1383" s="9">
        <v>46038.699513888889</v>
      </c>
    </row>
    <row r="1384" spans="1:30" ht="12.5">
      <c r="A1384" s="4">
        <v>46038.707623402777</v>
      </c>
      <c r="B1384" s="5">
        <v>91122</v>
      </c>
      <c r="C1384" s="5">
        <v>1002210872</v>
      </c>
      <c r="D1384" s="5" t="s">
        <v>2938</v>
      </c>
      <c r="F1384" s="5" t="s">
        <v>3620</v>
      </c>
      <c r="H1384" s="5">
        <v>573158063644</v>
      </c>
      <c r="J1384" s="5" t="s">
        <v>2940</v>
      </c>
      <c r="K1384" s="5" t="s">
        <v>33</v>
      </c>
      <c r="L1384" s="5" t="s">
        <v>34</v>
      </c>
      <c r="M1384" s="5">
        <v>3158063644</v>
      </c>
      <c r="N1384" s="6">
        <v>46038</v>
      </c>
      <c r="O1384" s="7">
        <v>0.70833333333333337</v>
      </c>
      <c r="P1384" s="5">
        <v>1</v>
      </c>
      <c r="Q1384" s="5" t="s">
        <v>42</v>
      </c>
      <c r="R1384" s="5">
        <v>31000</v>
      </c>
      <c r="S1384" s="5">
        <v>0</v>
      </c>
      <c r="T1384" s="5">
        <v>0</v>
      </c>
      <c r="U1384" s="5">
        <v>31000</v>
      </c>
      <c r="V1384" s="5"/>
      <c r="W1384" s="5" t="s">
        <v>36</v>
      </c>
      <c r="X1384" s="5" t="s">
        <v>83</v>
      </c>
      <c r="AA1384" s="5" t="s">
        <v>44</v>
      </c>
      <c r="AB1384" s="5" t="s">
        <v>525</v>
      </c>
      <c r="AC1384" s="8" t="str">
        <f>HYPERLINK("https://drive.google.com/file/d/1c3roO-mE4n6pibcGVQw3zqPmjHEVthqT/view?usp=drivesdk", "Abrir_Factura")</f>
        <v>Abrir_Factura</v>
      </c>
      <c r="AD1384" s="9">
        <v>46038.70994212963</v>
      </c>
    </row>
    <row r="1385" spans="1:30" ht="12.5">
      <c r="A1385" s="4">
        <v>46038.701827500001</v>
      </c>
      <c r="B1385" s="5">
        <v>91123</v>
      </c>
      <c r="C1385" s="5">
        <v>1082995260</v>
      </c>
      <c r="D1385" s="5" t="s">
        <v>6400</v>
      </c>
      <c r="F1385" s="5" t="s">
        <v>255</v>
      </c>
      <c r="H1385" s="5">
        <v>573116035211</v>
      </c>
      <c r="J1385" s="5" t="s">
        <v>6401</v>
      </c>
      <c r="K1385" s="5" t="s">
        <v>886</v>
      </c>
      <c r="L1385" s="5" t="s">
        <v>6402</v>
      </c>
      <c r="M1385" s="5">
        <v>3233439360</v>
      </c>
      <c r="N1385" s="6">
        <v>46041</v>
      </c>
      <c r="O1385" s="7">
        <v>0.375</v>
      </c>
      <c r="P1385" s="5">
        <v>1</v>
      </c>
      <c r="Q1385" s="5" t="s">
        <v>210</v>
      </c>
      <c r="R1385" s="5">
        <v>170000</v>
      </c>
      <c r="S1385" s="5">
        <v>0</v>
      </c>
      <c r="T1385" s="5">
        <v>12000</v>
      </c>
      <c r="U1385" s="5">
        <v>182000</v>
      </c>
      <c r="V1385" s="5" t="s">
        <v>6403</v>
      </c>
      <c r="W1385" s="5" t="s">
        <v>36</v>
      </c>
      <c r="X1385" s="5" t="s">
        <v>83</v>
      </c>
      <c r="Z1385" s="5" t="s">
        <v>6404</v>
      </c>
      <c r="AA1385" s="5" t="s">
        <v>44</v>
      </c>
      <c r="AC1385" s="8" t="str">
        <f>HYPERLINK("https://drive.google.com/file/d/1kUFJHQYScidQnwybr7GyAzRD4hIslacw/view?usp=drivesdk", "Abrir_Factura")</f>
        <v>Abrir_Factura</v>
      </c>
      <c r="AD1385" s="9">
        <v>46038.712083333332</v>
      </c>
    </row>
    <row r="1386" spans="1:30" ht="12.5">
      <c r="A1386" s="4">
        <v>46038.713856898146</v>
      </c>
      <c r="B1386" s="5">
        <v>91124</v>
      </c>
      <c r="C1386" s="5">
        <v>22461210</v>
      </c>
      <c r="D1386" s="5" t="s">
        <v>6405</v>
      </c>
      <c r="F1386" s="5" t="s">
        <v>2837</v>
      </c>
      <c r="H1386" s="5">
        <v>573152358173</v>
      </c>
      <c r="J1386" s="5" t="s">
        <v>6406</v>
      </c>
      <c r="K1386" s="5" t="s">
        <v>33</v>
      </c>
      <c r="L1386" s="5" t="s">
        <v>34</v>
      </c>
      <c r="M1386" s="5">
        <v>3152358173</v>
      </c>
      <c r="N1386" s="6">
        <v>46038</v>
      </c>
      <c r="O1386" s="7">
        <v>0.71388888888888891</v>
      </c>
      <c r="P1386" s="5">
        <v>1</v>
      </c>
      <c r="Q1386" s="5" t="s">
        <v>42</v>
      </c>
      <c r="R1386" s="5">
        <v>48000</v>
      </c>
      <c r="S1386" s="5">
        <v>0</v>
      </c>
      <c r="T1386" s="5">
        <v>0</v>
      </c>
      <c r="U1386" s="5">
        <v>48000</v>
      </c>
      <c r="V1386" s="5"/>
      <c r="W1386" s="5" t="s">
        <v>36</v>
      </c>
      <c r="X1386" s="5" t="s">
        <v>67</v>
      </c>
      <c r="AA1386" s="5" t="s">
        <v>1717</v>
      </c>
      <c r="AB1386" s="5" t="s">
        <v>6407</v>
      </c>
      <c r="AC1386" s="8" t="str">
        <f>HYPERLINK("https://drive.google.com/file/d/1JwJjjraSIwUlxa5x6c3DwVk5Cy9XBQd2/view?usp=drivesdk", "Abrir_Factura")</f>
        <v>Abrir_Factura</v>
      </c>
      <c r="AD1386" s="9">
        <v>46038.714386574073</v>
      </c>
    </row>
    <row r="1387" spans="1:30" ht="12.5">
      <c r="A1387" s="4">
        <v>46038.715974016202</v>
      </c>
      <c r="B1387" s="5">
        <v>91125</v>
      </c>
      <c r="C1387" s="5">
        <v>32759037</v>
      </c>
      <c r="D1387" s="5" t="s">
        <v>5076</v>
      </c>
      <c r="F1387" s="5" t="s">
        <v>6408</v>
      </c>
      <c r="H1387" s="5">
        <v>573504574956</v>
      </c>
      <c r="J1387" s="5" t="s">
        <v>6409</v>
      </c>
      <c r="K1387" s="5" t="s">
        <v>33</v>
      </c>
      <c r="L1387" s="5" t="s">
        <v>34</v>
      </c>
      <c r="M1387" s="5" t="s">
        <v>6410</v>
      </c>
      <c r="N1387" s="6">
        <v>46038</v>
      </c>
      <c r="O1387" s="7">
        <v>0.71597222222222223</v>
      </c>
      <c r="P1387" s="5">
        <v>1</v>
      </c>
      <c r="Q1387" s="5" t="s">
        <v>42</v>
      </c>
      <c r="R1387" s="5">
        <v>237000</v>
      </c>
      <c r="S1387" s="5">
        <v>0</v>
      </c>
      <c r="T1387" s="5">
        <v>0</v>
      </c>
      <c r="U1387" s="5">
        <v>237000</v>
      </c>
      <c r="V1387" s="5"/>
      <c r="W1387" s="5" t="s">
        <v>36</v>
      </c>
      <c r="X1387" s="5" t="s">
        <v>196</v>
      </c>
      <c r="AA1387" s="5" t="s">
        <v>1717</v>
      </c>
      <c r="AB1387" s="5" t="s">
        <v>525</v>
      </c>
      <c r="AC1387" s="8" t="str">
        <f>HYPERLINK("https://drive.google.com/file/d/1C0kS-7n9LcrUWpxEM6WbmBfFlO2LRfDC/view?usp=drivesdk", "Abrir_Factura")</f>
        <v>Abrir_Factura</v>
      </c>
      <c r="AD1387" s="9">
        <v>46038.716643518521</v>
      </c>
    </row>
    <row r="1388" spans="1:30" ht="12.5">
      <c r="A1388" s="4">
        <v>46038.720588425931</v>
      </c>
      <c r="B1388" s="5">
        <v>91126</v>
      </c>
      <c r="C1388" s="5">
        <v>1042257968</v>
      </c>
      <c r="D1388" s="5" t="s">
        <v>5975</v>
      </c>
      <c r="F1388" s="5" t="s">
        <v>6411</v>
      </c>
      <c r="H1388" s="5">
        <v>573157354515</v>
      </c>
      <c r="J1388" s="5" t="s">
        <v>6412</v>
      </c>
      <c r="K1388" s="5" t="s">
        <v>33</v>
      </c>
      <c r="L1388" s="5" t="s">
        <v>34</v>
      </c>
      <c r="M1388" s="5">
        <v>3157354515</v>
      </c>
      <c r="N1388" s="6">
        <v>46038</v>
      </c>
      <c r="O1388" s="7">
        <v>0</v>
      </c>
      <c r="P1388" s="5">
        <v>1</v>
      </c>
      <c r="Q1388" s="5" t="s">
        <v>42</v>
      </c>
      <c r="R1388" s="5">
        <v>40000</v>
      </c>
      <c r="S1388" s="5">
        <v>0</v>
      </c>
      <c r="T1388" s="5">
        <v>0</v>
      </c>
      <c r="U1388" s="5">
        <v>40000</v>
      </c>
      <c r="V1388" s="5"/>
      <c r="W1388" s="5" t="s">
        <v>36</v>
      </c>
      <c r="X1388" s="5" t="s">
        <v>1705</v>
      </c>
      <c r="AA1388" s="5" t="s">
        <v>1717</v>
      </c>
      <c r="AB1388" s="5" t="s">
        <v>120</v>
      </c>
      <c r="AC1388" s="8" t="str">
        <f>HYPERLINK("https://drive.google.com/file/d/1i3j2yJHy6kelAKcyVRldpP--WdZUaZTn/view?usp=drivesdk", "Abrir_Factura")</f>
        <v>Abrir_Factura</v>
      </c>
      <c r="AD1388" s="9">
        <v>46038.721122685187</v>
      </c>
    </row>
    <row r="1389" spans="1:30" ht="12.5">
      <c r="A1389" s="4">
        <v>46038.717899583338</v>
      </c>
      <c r="B1389" s="5">
        <v>91127</v>
      </c>
      <c r="C1389" s="5">
        <v>1129567097</v>
      </c>
      <c r="D1389" s="5" t="s">
        <v>1051</v>
      </c>
      <c r="F1389" s="5" t="s">
        <v>6413</v>
      </c>
      <c r="H1389" s="5">
        <v>573013892260</v>
      </c>
      <c r="J1389" s="5" t="s">
        <v>6414</v>
      </c>
      <c r="K1389" s="5" t="s">
        <v>4558</v>
      </c>
      <c r="L1389" s="5" t="s">
        <v>6415</v>
      </c>
      <c r="M1389" s="5">
        <v>3013892260</v>
      </c>
      <c r="N1389" s="6">
        <v>46039</v>
      </c>
      <c r="O1389" s="7">
        <v>0.375</v>
      </c>
      <c r="P1389" s="5">
        <v>1</v>
      </c>
      <c r="Q1389" s="5" t="s">
        <v>3142</v>
      </c>
      <c r="R1389" s="5">
        <v>300000</v>
      </c>
      <c r="S1389" s="5">
        <v>0</v>
      </c>
      <c r="T1389" s="5">
        <v>10000</v>
      </c>
      <c r="U1389" s="5">
        <v>310000</v>
      </c>
      <c r="V1389" s="5" t="s">
        <v>6416</v>
      </c>
      <c r="W1389" s="5" t="s">
        <v>36</v>
      </c>
      <c r="X1389" s="5" t="s">
        <v>83</v>
      </c>
      <c r="Z1389" s="5" t="s">
        <v>6417</v>
      </c>
      <c r="AA1389" s="5" t="s">
        <v>44</v>
      </c>
      <c r="AC1389" s="8" t="str">
        <f>HYPERLINK("https://drive.google.com/file/d/1Zm9FaCWB0bFprSYDWT_BdGw_UcSNHIUf/view?usp=drivesdk", "Abrir_Factura")</f>
        <v>Abrir_Factura</v>
      </c>
      <c r="AD1389" s="9">
        <v>46038.722291666665</v>
      </c>
    </row>
    <row r="1390" spans="1:30" ht="12.5">
      <c r="A1390" s="4">
        <v>46038.729815613427</v>
      </c>
      <c r="B1390" s="5">
        <v>91128</v>
      </c>
      <c r="C1390" s="5">
        <v>1029720002</v>
      </c>
      <c r="D1390" s="5" t="s">
        <v>6418</v>
      </c>
      <c r="F1390" s="5" t="s">
        <v>6419</v>
      </c>
      <c r="H1390" s="5" t="s">
        <v>6420</v>
      </c>
      <c r="J1390" s="5" t="s">
        <v>6421</v>
      </c>
      <c r="K1390" s="5" t="s">
        <v>249</v>
      </c>
      <c r="L1390" s="5" t="s">
        <v>6422</v>
      </c>
      <c r="M1390" s="5" t="s">
        <v>6423</v>
      </c>
      <c r="N1390" s="6">
        <v>46038</v>
      </c>
      <c r="O1390" s="7">
        <v>0.75</v>
      </c>
      <c r="P1390" s="5">
        <v>1</v>
      </c>
      <c r="Q1390" s="5" t="s">
        <v>380</v>
      </c>
      <c r="R1390" s="5">
        <v>340000</v>
      </c>
      <c r="S1390" s="5">
        <v>0</v>
      </c>
      <c r="T1390" s="5">
        <v>10000</v>
      </c>
      <c r="U1390" s="5">
        <v>350000</v>
      </c>
      <c r="V1390" s="5" t="s">
        <v>6424</v>
      </c>
      <c r="W1390" s="5" t="s">
        <v>36</v>
      </c>
      <c r="X1390" s="5" t="s">
        <v>83</v>
      </c>
      <c r="AA1390" s="5" t="s">
        <v>69</v>
      </c>
      <c r="AC1390" s="8" t="str">
        <f>HYPERLINK("https://drive.google.com/file/d/1gmz3Nztq1Ib8xIHpW_sGhgtodo10nlSx/view?usp=drivesdk", "Abrir_Factura")</f>
        <v>Abrir_Factura</v>
      </c>
      <c r="AD1390" s="9">
        <v>46038.731168981481</v>
      </c>
    </row>
    <row r="1391" spans="1:30" ht="12.5">
      <c r="A1391" s="4">
        <v>46038.772594722221</v>
      </c>
      <c r="B1391" s="5">
        <v>91129</v>
      </c>
      <c r="C1391" s="5">
        <v>1140878169</v>
      </c>
      <c r="D1391" s="5" t="s">
        <v>6425</v>
      </c>
      <c r="F1391" s="5" t="s">
        <v>6426</v>
      </c>
      <c r="H1391" s="5">
        <v>573003978829</v>
      </c>
      <c r="J1391" s="5" t="s">
        <v>6427</v>
      </c>
      <c r="K1391" s="5" t="s">
        <v>351</v>
      </c>
      <c r="L1391" s="5" t="s">
        <v>6428</v>
      </c>
      <c r="M1391" s="5">
        <v>3008237221</v>
      </c>
      <c r="N1391" s="6">
        <v>46039</v>
      </c>
      <c r="O1391" s="7">
        <v>0.45833333333333331</v>
      </c>
      <c r="P1391" s="5">
        <v>1</v>
      </c>
      <c r="Q1391" s="5" t="s">
        <v>576</v>
      </c>
      <c r="R1391" s="5">
        <v>140000</v>
      </c>
      <c r="S1391" s="5">
        <v>0</v>
      </c>
      <c r="T1391" s="5">
        <v>12000</v>
      </c>
      <c r="U1391" s="5">
        <v>152000</v>
      </c>
      <c r="V1391" s="5" t="s">
        <v>6429</v>
      </c>
      <c r="W1391" s="5" t="s">
        <v>36</v>
      </c>
      <c r="X1391" s="5" t="s">
        <v>83</v>
      </c>
      <c r="Z1391" s="5" t="s">
        <v>6430</v>
      </c>
      <c r="AA1391" s="5" t="s">
        <v>44</v>
      </c>
      <c r="AC1391" s="8" t="str">
        <f>HYPERLINK("https://drive.google.com/file/d/1uC5AqBsz2duUEuKGn-si7n-u8F_prwJz/view?usp=drivesdk", "Abrir_Factura")</f>
        <v>Abrir_Factura</v>
      </c>
      <c r="AD1391" s="9">
        <v>46039.318935185183</v>
      </c>
    </row>
    <row r="1392" spans="1:30" ht="12.5">
      <c r="A1392" s="4">
        <v>46039.328447037042</v>
      </c>
      <c r="B1392" s="5">
        <v>91130</v>
      </c>
      <c r="C1392" s="5">
        <v>1143123378</v>
      </c>
      <c r="D1392" s="5" t="s">
        <v>6431</v>
      </c>
      <c r="F1392" s="5" t="s">
        <v>6432</v>
      </c>
      <c r="H1392" s="5">
        <v>573024528978</v>
      </c>
      <c r="J1392" s="5" t="s">
        <v>2856</v>
      </c>
      <c r="K1392" s="5" t="s">
        <v>307</v>
      </c>
      <c r="L1392" s="5" t="s">
        <v>6433</v>
      </c>
      <c r="M1392" s="5">
        <v>3017866052</v>
      </c>
      <c r="N1392" s="6">
        <v>46039</v>
      </c>
      <c r="O1392" s="7">
        <v>0.41666666666666669</v>
      </c>
      <c r="P1392" s="5">
        <v>1</v>
      </c>
      <c r="Q1392" s="5" t="s">
        <v>458</v>
      </c>
      <c r="R1392" s="5">
        <v>360000</v>
      </c>
      <c r="S1392" s="5">
        <v>0</v>
      </c>
      <c r="T1392" s="5">
        <v>10000</v>
      </c>
      <c r="U1392" s="5">
        <v>370000</v>
      </c>
      <c r="V1392" s="5" t="s">
        <v>6434</v>
      </c>
      <c r="W1392" s="5" t="s">
        <v>36</v>
      </c>
      <c r="X1392" s="5" t="s">
        <v>83</v>
      </c>
      <c r="Z1392" s="5" t="s">
        <v>6435</v>
      </c>
      <c r="AA1392" s="5" t="s">
        <v>44</v>
      </c>
      <c r="AC1392" s="8" t="str">
        <f>HYPERLINK("https://drive.google.com/file/d/1nHoBsqfl_-2rL93UElvygESjbhPZKVfp/view?usp=drivesdk", "Abrir_Factura")</f>
        <v>Abrir_Factura</v>
      </c>
      <c r="AD1392" s="9">
        <v>46039.341550925928</v>
      </c>
    </row>
    <row r="1393" spans="1:30" ht="12.5">
      <c r="A1393" s="4">
        <v>46039.340882141201</v>
      </c>
      <c r="B1393" s="5">
        <v>91131</v>
      </c>
      <c r="C1393" s="5">
        <v>1045727436</v>
      </c>
      <c r="D1393" s="5" t="s">
        <v>1056</v>
      </c>
      <c r="F1393" s="5" t="s">
        <v>6436</v>
      </c>
      <c r="H1393" s="5">
        <v>573235855703</v>
      </c>
      <c r="J1393" s="5" t="s">
        <v>6437</v>
      </c>
      <c r="K1393" s="5" t="s">
        <v>1047</v>
      </c>
      <c r="L1393" s="5" t="s">
        <v>6438</v>
      </c>
      <c r="M1393" s="5">
        <v>3005154140</v>
      </c>
      <c r="N1393" s="6">
        <v>46039</v>
      </c>
      <c r="O1393" s="7">
        <v>0.58333333333333337</v>
      </c>
      <c r="P1393" s="5">
        <v>1</v>
      </c>
      <c r="Q1393" s="5" t="s">
        <v>309</v>
      </c>
      <c r="R1393" s="5">
        <v>88000</v>
      </c>
      <c r="S1393" s="5">
        <v>0</v>
      </c>
      <c r="T1393" s="5">
        <v>15000</v>
      </c>
      <c r="U1393" s="5">
        <v>103000</v>
      </c>
      <c r="V1393" s="5" t="s">
        <v>6439</v>
      </c>
      <c r="W1393" s="5" t="s">
        <v>36</v>
      </c>
      <c r="X1393" s="5" t="s">
        <v>83</v>
      </c>
      <c r="Z1393" s="5" t="s">
        <v>6440</v>
      </c>
      <c r="AA1393" s="5" t="s">
        <v>44</v>
      </c>
      <c r="AC1393" s="8" t="str">
        <f>HYPERLINK("https://drive.google.com/file/d/12IQKTKTgjJ4gihhBEkHop4X5N2nY_CHz/view?usp=drivesdk", "Abrir_Factura")</f>
        <v>Abrir_Factura</v>
      </c>
      <c r="AD1393" s="9">
        <v>46039.347719907404</v>
      </c>
    </row>
    <row r="1394" spans="1:30" ht="12.5">
      <c r="A1394" s="4">
        <v>46039.342461481487</v>
      </c>
      <c r="B1394" s="5">
        <v>91132</v>
      </c>
      <c r="C1394" s="5">
        <v>1042850218</v>
      </c>
      <c r="D1394" s="5" t="s">
        <v>2293</v>
      </c>
      <c r="F1394" s="5" t="s">
        <v>6441</v>
      </c>
      <c r="H1394" s="5">
        <v>573041481574</v>
      </c>
      <c r="J1394" s="5" t="s">
        <v>2347</v>
      </c>
      <c r="K1394" s="5" t="s">
        <v>892</v>
      </c>
      <c r="L1394" s="5" t="s">
        <v>6442</v>
      </c>
      <c r="M1394" s="5">
        <v>3008082769</v>
      </c>
      <c r="N1394" s="6">
        <v>46039</v>
      </c>
      <c r="O1394" s="7">
        <v>0.45833333333333331</v>
      </c>
      <c r="P1394" s="5">
        <v>1</v>
      </c>
      <c r="Q1394" s="5" t="s">
        <v>375</v>
      </c>
      <c r="R1394" s="5">
        <v>80000</v>
      </c>
      <c r="S1394" s="5">
        <v>0</v>
      </c>
      <c r="T1394" s="5">
        <v>10000</v>
      </c>
      <c r="U1394" s="5">
        <v>90000</v>
      </c>
      <c r="V1394" s="5" t="s">
        <v>6443</v>
      </c>
      <c r="W1394" s="5" t="s">
        <v>36</v>
      </c>
      <c r="X1394" s="5" t="s">
        <v>83</v>
      </c>
      <c r="Z1394" s="5" t="s">
        <v>2350</v>
      </c>
      <c r="AA1394" s="5" t="s">
        <v>44</v>
      </c>
      <c r="AC1394" s="8" t="str">
        <f>HYPERLINK("https://drive.google.com/file/d/1LUScTyuw9fRcHitv-MdkQmN7tZ9YmZRO/view?usp=drivesdk", "Abrir_Factura")</f>
        <v>Abrir_Factura</v>
      </c>
      <c r="AD1394" s="9">
        <v>46039.350381944445</v>
      </c>
    </row>
    <row r="1395" spans="1:30" ht="12.5">
      <c r="A1395" s="4">
        <v>46039.36839231482</v>
      </c>
      <c r="B1395" s="5">
        <v>91133</v>
      </c>
      <c r="C1395" s="5">
        <v>1140868847</v>
      </c>
      <c r="D1395" s="5" t="s">
        <v>3503</v>
      </c>
      <c r="F1395" s="5" t="s">
        <v>6444</v>
      </c>
      <c r="H1395" s="5">
        <v>573004631989</v>
      </c>
      <c r="J1395" s="5" t="s">
        <v>6445</v>
      </c>
      <c r="K1395" s="5" t="s">
        <v>229</v>
      </c>
      <c r="L1395" s="5" t="s">
        <v>6446</v>
      </c>
      <c r="M1395" s="5">
        <v>3013548310</v>
      </c>
      <c r="N1395" s="6">
        <v>46045</v>
      </c>
      <c r="O1395" s="7">
        <v>0.375</v>
      </c>
      <c r="P1395" s="5">
        <v>1</v>
      </c>
      <c r="Q1395" s="5" t="s">
        <v>210</v>
      </c>
      <c r="R1395" s="5">
        <v>170000</v>
      </c>
      <c r="S1395" s="5">
        <v>0</v>
      </c>
      <c r="T1395" s="5">
        <v>11000</v>
      </c>
      <c r="U1395" s="5">
        <v>181000</v>
      </c>
      <c r="V1395" s="5" t="s">
        <v>6447</v>
      </c>
      <c r="W1395" s="5" t="s">
        <v>36</v>
      </c>
      <c r="X1395" s="5" t="s">
        <v>83</v>
      </c>
      <c r="Z1395" s="5" t="s">
        <v>6448</v>
      </c>
      <c r="AA1395" s="5" t="s">
        <v>44</v>
      </c>
      <c r="AC1395" s="8" t="str">
        <f>HYPERLINK("https://drive.google.com/file/d/1YkTwsmDGe2-KGGW0sYwj5dzZD9TehOKn/view?usp=drivesdk", "Abrir_Factura")</f>
        <v>Abrir_Factura</v>
      </c>
      <c r="AD1395" s="9">
        <v>46039.373703703706</v>
      </c>
    </row>
    <row r="1396" spans="1:30" ht="12.5">
      <c r="A1396" s="4">
        <v>46039.40782508102</v>
      </c>
      <c r="B1396" s="5">
        <v>91134</v>
      </c>
      <c r="C1396" s="5">
        <v>8684255</v>
      </c>
      <c r="D1396" s="5" t="s">
        <v>2894</v>
      </c>
      <c r="F1396" s="5" t="s">
        <v>6449</v>
      </c>
      <c r="H1396" s="5">
        <v>573106327688</v>
      </c>
      <c r="J1396" s="5" t="s">
        <v>6450</v>
      </c>
      <c r="K1396" s="5" t="s">
        <v>185</v>
      </c>
      <c r="L1396" s="5" t="s">
        <v>6451</v>
      </c>
      <c r="M1396" s="5"/>
      <c r="N1396" s="6">
        <v>46039</v>
      </c>
      <c r="O1396" s="7">
        <v>0.66666666666666663</v>
      </c>
      <c r="P1396" s="5">
        <v>1</v>
      </c>
      <c r="Q1396" s="5" t="s">
        <v>75</v>
      </c>
      <c r="R1396" s="5">
        <v>80000</v>
      </c>
      <c r="S1396" s="5">
        <v>0</v>
      </c>
      <c r="T1396" s="5">
        <v>8000</v>
      </c>
      <c r="U1396" s="5">
        <v>88000</v>
      </c>
      <c r="V1396" s="5" t="s">
        <v>5162</v>
      </c>
      <c r="W1396" s="5" t="s">
        <v>36</v>
      </c>
      <c r="X1396" s="5" t="s">
        <v>1705</v>
      </c>
      <c r="AA1396" s="5" t="s">
        <v>1717</v>
      </c>
      <c r="AC1396" s="8" t="str">
        <f>HYPERLINK("https://drive.google.com/file/d/1DXpg6jI2LOfMlidw4-9XdlSi_30PwA8b/view?usp=drivesdk", "Abrir_Factura")</f>
        <v>Abrir_Factura</v>
      </c>
      <c r="AD1396" s="9">
        <v>46039.409085648149</v>
      </c>
    </row>
    <row r="1397" spans="1:30" ht="12.5">
      <c r="A1397" s="4">
        <v>46039.384228854164</v>
      </c>
      <c r="B1397" s="5">
        <v>91135</v>
      </c>
      <c r="C1397" s="5">
        <v>1140875146</v>
      </c>
      <c r="D1397" s="5" t="s">
        <v>3641</v>
      </c>
      <c r="F1397" s="5" t="s">
        <v>6452</v>
      </c>
      <c r="H1397" s="5">
        <v>576552436</v>
      </c>
      <c r="J1397" s="5" t="s">
        <v>6453</v>
      </c>
      <c r="K1397" s="5" t="s">
        <v>124</v>
      </c>
      <c r="L1397" s="5" t="s">
        <v>6454</v>
      </c>
      <c r="M1397" s="5">
        <v>3168248436</v>
      </c>
      <c r="N1397" s="6">
        <v>46039</v>
      </c>
      <c r="O1397" s="7">
        <v>0.45833333333333331</v>
      </c>
      <c r="P1397" s="5">
        <v>1</v>
      </c>
      <c r="Q1397" s="5" t="s">
        <v>2586</v>
      </c>
      <c r="R1397" s="5">
        <v>190000</v>
      </c>
      <c r="S1397" s="5">
        <v>0</v>
      </c>
      <c r="T1397" s="5">
        <v>12000</v>
      </c>
      <c r="U1397" s="5">
        <v>202000</v>
      </c>
      <c r="V1397" s="5" t="s">
        <v>6455</v>
      </c>
      <c r="W1397" s="5" t="s">
        <v>36</v>
      </c>
      <c r="X1397" s="5" t="s">
        <v>83</v>
      </c>
      <c r="Z1397" s="5" t="s">
        <v>6456</v>
      </c>
      <c r="AA1397" s="5" t="s">
        <v>44</v>
      </c>
      <c r="AC1397" s="8" t="str">
        <f>HYPERLINK("https://drive.google.com/file/d/1P3_NXtyOiGIlTGCTAe3wvj6MgSSgwmAn/view?usp=drivesdk", "Abrir_Factura")</f>
        <v>Abrir_Factura</v>
      </c>
      <c r="AD1397" s="9">
        <v>46039.41002314815</v>
      </c>
    </row>
    <row r="1398" spans="1:30" ht="12.5">
      <c r="A1398" s="4">
        <v>46038.858429467597</v>
      </c>
      <c r="B1398" s="5">
        <v>91136</v>
      </c>
      <c r="C1398" s="5">
        <v>49795016</v>
      </c>
      <c r="D1398" s="5" t="s">
        <v>5541</v>
      </c>
      <c r="F1398" s="5" t="s">
        <v>4957</v>
      </c>
      <c r="H1398" s="5">
        <v>573164388124</v>
      </c>
      <c r="J1398" s="5" t="s">
        <v>6457</v>
      </c>
      <c r="K1398" s="5" t="s">
        <v>2631</v>
      </c>
      <c r="L1398" s="5" t="s">
        <v>6458</v>
      </c>
      <c r="M1398" s="5" t="s">
        <v>25421</v>
      </c>
      <c r="N1398" s="6">
        <v>46039</v>
      </c>
      <c r="O1398" s="7">
        <v>0.45833333333333331</v>
      </c>
      <c r="P1398" s="5">
        <v>1</v>
      </c>
      <c r="Q1398" s="5" t="s">
        <v>6459</v>
      </c>
      <c r="R1398" s="5">
        <v>245000</v>
      </c>
      <c r="S1398" s="5">
        <v>0</v>
      </c>
      <c r="T1398" s="5">
        <v>12000</v>
      </c>
      <c r="U1398" s="5">
        <v>257000</v>
      </c>
      <c r="V1398" s="5" t="s">
        <v>6460</v>
      </c>
      <c r="W1398" s="5" t="s">
        <v>36</v>
      </c>
      <c r="X1398" s="5" t="s">
        <v>83</v>
      </c>
      <c r="Z1398" s="5" t="s">
        <v>6461</v>
      </c>
      <c r="AA1398" s="5" t="s">
        <v>44</v>
      </c>
      <c r="AB1398" s="5" t="s">
        <v>6462</v>
      </c>
      <c r="AC1398" s="8" t="str">
        <f>HYPERLINK("https://drive.google.com/file/d/1vwqYppFaw6RzwqAbQFYSpEkrLq0mIZiL/view?usp=drivesdk", "Abrir_Factura")</f>
        <v>Abrir_Factura</v>
      </c>
      <c r="AD1398" s="9">
        <v>46039.411458333336</v>
      </c>
    </row>
    <row r="1399" spans="1:30" ht="12.5">
      <c r="A1399" s="4">
        <v>46039.435186145834</v>
      </c>
      <c r="B1399" s="5">
        <v>91137</v>
      </c>
      <c r="C1399" s="5">
        <v>1029860780</v>
      </c>
      <c r="D1399" s="5" t="s">
        <v>3588</v>
      </c>
      <c r="F1399" s="5" t="s">
        <v>4169</v>
      </c>
      <c r="H1399" s="5">
        <v>573005587285</v>
      </c>
      <c r="J1399" s="5" t="s">
        <v>6463</v>
      </c>
      <c r="K1399" s="5" t="s">
        <v>33</v>
      </c>
      <c r="L1399" s="5" t="s">
        <v>34</v>
      </c>
      <c r="M1399" s="5">
        <v>3005587285</v>
      </c>
      <c r="N1399" s="6">
        <v>46039</v>
      </c>
      <c r="O1399" s="7">
        <v>0</v>
      </c>
      <c r="P1399" s="5">
        <v>1</v>
      </c>
      <c r="Q1399" s="5" t="s">
        <v>42</v>
      </c>
      <c r="R1399" s="5">
        <v>25000</v>
      </c>
      <c r="S1399" s="5">
        <v>0</v>
      </c>
      <c r="T1399" s="5">
        <v>0</v>
      </c>
      <c r="U1399" s="5">
        <v>25000</v>
      </c>
      <c r="V1399" s="5"/>
      <c r="W1399" s="5" t="s">
        <v>36</v>
      </c>
      <c r="X1399" s="5" t="s">
        <v>83</v>
      </c>
      <c r="AA1399" s="5" t="s">
        <v>44</v>
      </c>
      <c r="AC1399" s="8" t="str">
        <f>HYPERLINK("https://drive.google.com/file/d/1jcca4OAWCtrf4ABY64HljOIkUWCYQdvR/view?usp=drivesdk", "Abrir_Factura")</f>
        <v>Abrir_Factura</v>
      </c>
      <c r="AD1399" s="9">
        <v>46039.435578703706</v>
      </c>
    </row>
    <row r="1400" spans="1:30" ht="12.5">
      <c r="A1400" s="4">
        <v>46039.437372083332</v>
      </c>
      <c r="B1400" s="5">
        <v>91138</v>
      </c>
      <c r="C1400" s="5">
        <v>22461210</v>
      </c>
      <c r="D1400" s="5" t="s">
        <v>6405</v>
      </c>
      <c r="F1400" s="5" t="s">
        <v>2837</v>
      </c>
      <c r="H1400" s="5">
        <v>573152358173</v>
      </c>
      <c r="J1400" s="5" t="s">
        <v>6406</v>
      </c>
      <c r="K1400" s="5"/>
      <c r="L1400" s="5" t="s">
        <v>6464</v>
      </c>
      <c r="M1400" s="5">
        <v>3152358173</v>
      </c>
      <c r="N1400" s="6">
        <v>46039</v>
      </c>
      <c r="O1400" s="7">
        <v>0</v>
      </c>
      <c r="P1400" s="5">
        <v>1</v>
      </c>
      <c r="Q1400" s="5" t="s">
        <v>525</v>
      </c>
      <c r="R1400" s="5">
        <v>58500</v>
      </c>
      <c r="S1400" s="5">
        <v>0</v>
      </c>
      <c r="T1400" s="5"/>
      <c r="U1400" s="5">
        <v>58500</v>
      </c>
      <c r="V1400" s="5"/>
      <c r="W1400" s="5" t="s">
        <v>36</v>
      </c>
      <c r="X1400" s="5" t="s">
        <v>67</v>
      </c>
      <c r="AA1400" s="5" t="s">
        <v>1717</v>
      </c>
      <c r="AC1400" s="8" t="str">
        <f>HYPERLINK("https://drive.google.com/file/d/1ur8u7FKdO75ZdWIWDYsoQlunNu9ra6gl/view?usp=drivesdk", "Abrir_Factura")</f>
        <v>Abrir_Factura</v>
      </c>
      <c r="AD1400" s="9">
        <v>46039.454664351855</v>
      </c>
    </row>
    <row r="1401" spans="1:30" ht="12.5">
      <c r="A1401" s="4">
        <v>46039.419760486111</v>
      </c>
      <c r="B1401" s="5">
        <v>91139</v>
      </c>
      <c r="C1401" s="5">
        <v>1140896581</v>
      </c>
      <c r="D1401" s="5" t="s">
        <v>6465</v>
      </c>
      <c r="F1401" s="5" t="s">
        <v>6466</v>
      </c>
      <c r="H1401" s="5">
        <v>13054292214</v>
      </c>
      <c r="J1401" s="5" t="s">
        <v>6467</v>
      </c>
      <c r="K1401" s="5" t="s">
        <v>161</v>
      </c>
      <c r="L1401" s="5" t="s">
        <v>6468</v>
      </c>
      <c r="M1401" s="5" t="s">
        <v>25421</v>
      </c>
      <c r="N1401" s="6">
        <v>46039</v>
      </c>
      <c r="O1401" s="7">
        <v>0.47916666666666669</v>
      </c>
      <c r="P1401" s="5">
        <v>1</v>
      </c>
      <c r="Q1401" s="5" t="s">
        <v>50</v>
      </c>
      <c r="R1401" s="5">
        <v>220000</v>
      </c>
      <c r="S1401" s="5">
        <v>0</v>
      </c>
      <c r="T1401" s="5">
        <v>8000</v>
      </c>
      <c r="U1401" s="5">
        <v>228000</v>
      </c>
      <c r="V1401" s="5" t="s">
        <v>6469</v>
      </c>
      <c r="W1401" s="5" t="s">
        <v>36</v>
      </c>
      <c r="X1401" s="5" t="s">
        <v>1705</v>
      </c>
      <c r="AA1401" s="5" t="s">
        <v>44</v>
      </c>
      <c r="AC1401" s="8" t="str">
        <f>HYPERLINK("https://drive.google.com/file/d/1zaRDw16keA76E2nY_miWvPXKkvcDTOFj/view?usp=drivesdk", "Abrir_Factura")</f>
        <v>Abrir_Factura</v>
      </c>
      <c r="AD1401" s="9">
        <v>46039.439456018517</v>
      </c>
    </row>
    <row r="1402" spans="1:30" ht="12.5">
      <c r="A1402" s="4">
        <v>46039.461186793982</v>
      </c>
      <c r="B1402" s="5">
        <v>91140</v>
      </c>
      <c r="C1402" s="5">
        <v>1045755742</v>
      </c>
      <c r="D1402" s="5" t="s">
        <v>6470</v>
      </c>
      <c r="F1402" s="5" t="s">
        <v>6471</v>
      </c>
      <c r="H1402" s="5">
        <v>570000</v>
      </c>
      <c r="J1402" s="5" t="s">
        <v>6471</v>
      </c>
      <c r="K1402" s="5" t="s">
        <v>33</v>
      </c>
      <c r="L1402" s="5" t="s">
        <v>34</v>
      </c>
      <c r="M1402" s="5">
        <v>0</v>
      </c>
      <c r="N1402" s="6">
        <v>46039</v>
      </c>
      <c r="O1402" s="7">
        <v>0</v>
      </c>
      <c r="P1402" s="5">
        <v>1</v>
      </c>
      <c r="Q1402" s="5" t="s">
        <v>42</v>
      </c>
      <c r="R1402" s="5">
        <v>15000</v>
      </c>
      <c r="S1402" s="5">
        <v>0</v>
      </c>
      <c r="T1402" s="5">
        <v>0</v>
      </c>
      <c r="U1402" s="5">
        <v>15000</v>
      </c>
      <c r="V1402" s="5"/>
      <c r="W1402" s="5" t="s">
        <v>36</v>
      </c>
      <c r="X1402" s="5" t="s">
        <v>196</v>
      </c>
      <c r="AA1402" s="5" t="s">
        <v>1717</v>
      </c>
      <c r="AB1402" s="5" t="s">
        <v>5325</v>
      </c>
      <c r="AC1402" s="8" t="str">
        <f>HYPERLINK("https://drive.google.com/file/d/1kCihUhTG2OCfyQSbQWjLhAGtuzjdSqpQ/view?usp=drivesdk", "Abrir_Factura")</f>
        <v>Abrir_Factura</v>
      </c>
      <c r="AD1402" s="9">
        <v>46039.461747685185</v>
      </c>
    </row>
    <row r="1403" spans="1:30" ht="12.5">
      <c r="A1403" s="4">
        <v>46039.462384513885</v>
      </c>
      <c r="B1403" s="5">
        <v>91141</v>
      </c>
      <c r="C1403" s="5">
        <v>1140819602</v>
      </c>
      <c r="D1403" s="5" t="s">
        <v>182</v>
      </c>
      <c r="F1403" s="5" t="s">
        <v>1226</v>
      </c>
      <c r="H1403" s="5">
        <v>573017540552</v>
      </c>
      <c r="J1403" s="5" t="s">
        <v>6472</v>
      </c>
      <c r="K1403" s="5" t="s">
        <v>185</v>
      </c>
      <c r="L1403" s="5" t="s">
        <v>6473</v>
      </c>
      <c r="M1403" s="5"/>
      <c r="N1403" s="6">
        <v>46039</v>
      </c>
      <c r="O1403" s="7">
        <v>0.54166666666666663</v>
      </c>
      <c r="P1403" s="5">
        <v>1</v>
      </c>
      <c r="Q1403" s="5" t="s">
        <v>178</v>
      </c>
      <c r="R1403" s="5">
        <v>110000</v>
      </c>
      <c r="S1403" s="5">
        <v>0</v>
      </c>
      <c r="T1403" s="5">
        <v>8000</v>
      </c>
      <c r="U1403" s="5">
        <v>118000</v>
      </c>
      <c r="V1403" s="5" t="s">
        <v>6474</v>
      </c>
      <c r="W1403" s="5" t="s">
        <v>36</v>
      </c>
      <c r="X1403" s="5" t="s">
        <v>67</v>
      </c>
      <c r="Z1403" s="5" t="s">
        <v>6475</v>
      </c>
      <c r="AA1403" s="5" t="s">
        <v>44</v>
      </c>
      <c r="AC1403" s="8" t="str">
        <f>HYPERLINK("https://drive.google.com/file/d/1ytGUUSr38zQYS2hGQykebhx7R9wPI59p/view?usp=drivesdk", "Abrir_Factura")</f>
        <v>Abrir_Factura</v>
      </c>
      <c r="AD1403" s="9">
        <v>46039.470208333332</v>
      </c>
    </row>
    <row r="1404" spans="1:30" ht="12.5">
      <c r="A1404" s="4">
        <v>46039.491496111106</v>
      </c>
      <c r="B1404" s="5">
        <v>91142</v>
      </c>
      <c r="C1404" s="5">
        <v>1143437105</v>
      </c>
      <c r="D1404" s="5" t="s">
        <v>6476</v>
      </c>
      <c r="F1404" s="5" t="s">
        <v>6477</v>
      </c>
      <c r="H1404" s="5">
        <v>573008496429</v>
      </c>
      <c r="J1404" s="5" t="s">
        <v>6478</v>
      </c>
      <c r="K1404" s="5" t="s">
        <v>33</v>
      </c>
      <c r="L1404" s="5" t="s">
        <v>34</v>
      </c>
      <c r="M1404" s="5">
        <v>3008496429</v>
      </c>
      <c r="N1404" s="6">
        <v>46039</v>
      </c>
      <c r="O1404" s="7">
        <v>0</v>
      </c>
      <c r="P1404" s="5">
        <v>1</v>
      </c>
      <c r="Q1404" s="5" t="s">
        <v>42</v>
      </c>
      <c r="R1404" s="5">
        <v>80000</v>
      </c>
      <c r="S1404" s="5">
        <v>0</v>
      </c>
      <c r="T1404" s="5">
        <v>0</v>
      </c>
      <c r="U1404" s="5">
        <v>80000</v>
      </c>
      <c r="V1404" s="5"/>
      <c r="W1404" s="5" t="s">
        <v>36</v>
      </c>
      <c r="X1404" s="5" t="s">
        <v>1705</v>
      </c>
      <c r="AA1404" s="5" t="s">
        <v>1717</v>
      </c>
      <c r="AB1404" s="5" t="s">
        <v>525</v>
      </c>
      <c r="AC1404" s="8" t="str">
        <f>HYPERLINK("https://drive.google.com/file/d/12PJxbU-_1rW2F3C7d1YOcGR1xVfyqNlU/view?usp=drivesdk", "Abrir_Factura")</f>
        <v>Abrir_Factura</v>
      </c>
      <c r="AD1404" s="9">
        <v>46039.492129629631</v>
      </c>
    </row>
    <row r="1405" spans="1:30" ht="12.5">
      <c r="A1405" s="4">
        <v>46039.493529293977</v>
      </c>
      <c r="B1405" s="5">
        <v>91143</v>
      </c>
      <c r="C1405" s="5">
        <v>1141516120</v>
      </c>
      <c r="D1405" s="5" t="s">
        <v>6479</v>
      </c>
      <c r="F1405" s="5" t="s">
        <v>6480</v>
      </c>
      <c r="H1405" s="5">
        <v>573122546838</v>
      </c>
      <c r="J1405" s="5" t="s">
        <v>6481</v>
      </c>
      <c r="K1405" s="5" t="s">
        <v>33</v>
      </c>
      <c r="L1405" s="5" t="s">
        <v>34</v>
      </c>
      <c r="M1405" s="5">
        <v>3122546838</v>
      </c>
      <c r="N1405" s="6">
        <v>46039</v>
      </c>
      <c r="O1405" s="7">
        <v>0</v>
      </c>
      <c r="P1405" s="5">
        <v>1</v>
      </c>
      <c r="Q1405" s="5" t="s">
        <v>42</v>
      </c>
      <c r="R1405" s="5">
        <v>185000</v>
      </c>
      <c r="S1405" s="5">
        <v>0</v>
      </c>
      <c r="T1405" s="5">
        <v>0</v>
      </c>
      <c r="U1405" s="5">
        <v>185000</v>
      </c>
      <c r="V1405" s="5"/>
      <c r="W1405" s="5" t="s">
        <v>36</v>
      </c>
      <c r="X1405" s="5" t="s">
        <v>1705</v>
      </c>
      <c r="AA1405" s="5" t="s">
        <v>1717</v>
      </c>
      <c r="AB1405" s="5" t="s">
        <v>525</v>
      </c>
      <c r="AC1405" s="8" t="str">
        <f>HYPERLINK("https://drive.google.com/file/d/1IQo9QFdkg6ZMhCEVEcO9XIjLWO4rbF_G/view?usp=drivesdk", "Abrir_Factura")</f>
        <v>Abrir_Factura</v>
      </c>
      <c r="AD1405" s="9">
        <v>46039.494340277779</v>
      </c>
    </row>
    <row r="1406" spans="1:30" ht="12.5">
      <c r="A1406" s="4">
        <v>46039.468191527776</v>
      </c>
      <c r="B1406" s="5">
        <v>91144</v>
      </c>
      <c r="C1406" s="5">
        <v>22462984</v>
      </c>
      <c r="D1406" s="5" t="s">
        <v>6482</v>
      </c>
      <c r="F1406" s="5" t="s">
        <v>382</v>
      </c>
      <c r="H1406" s="5">
        <v>573203854828</v>
      </c>
      <c r="J1406" s="5" t="s">
        <v>6483</v>
      </c>
      <c r="K1406" s="5" t="s">
        <v>154</v>
      </c>
      <c r="L1406" s="5" t="s">
        <v>6484</v>
      </c>
      <c r="M1406" s="5"/>
      <c r="N1406" s="6">
        <v>46039</v>
      </c>
      <c r="O1406" s="7">
        <v>0.54166666666666663</v>
      </c>
      <c r="P1406" s="5">
        <v>1</v>
      </c>
      <c r="Q1406" s="5" t="s">
        <v>576</v>
      </c>
      <c r="R1406" s="5">
        <v>140000</v>
      </c>
      <c r="S1406" s="5">
        <v>0</v>
      </c>
      <c r="T1406" s="5">
        <v>8000</v>
      </c>
      <c r="U1406" s="5">
        <v>148000</v>
      </c>
      <c r="V1406" s="5" t="s">
        <v>6485</v>
      </c>
      <c r="W1406" s="5" t="s">
        <v>36</v>
      </c>
      <c r="X1406" s="5" t="s">
        <v>83</v>
      </c>
      <c r="Z1406" s="5" t="s">
        <v>6486</v>
      </c>
      <c r="AA1406" s="5" t="s">
        <v>44</v>
      </c>
      <c r="AC1406" s="8" t="str">
        <f>HYPERLINK("https://drive.google.com/file/d/19rEwInJSRu6dpYOoJXPpk3yT446Efdyz/view?usp=drivesdk", "Abrir_Factura")</f>
        <v>Abrir_Factura</v>
      </c>
      <c r="AD1406" s="9">
        <v>46039.49832175926</v>
      </c>
    </row>
    <row r="1407" spans="1:30" ht="12.5">
      <c r="A1407" s="4">
        <v>46039.502993344911</v>
      </c>
      <c r="B1407" s="5">
        <v>91145</v>
      </c>
      <c r="C1407" s="5">
        <v>26201340</v>
      </c>
      <c r="D1407" s="5" t="s">
        <v>6487</v>
      </c>
      <c r="F1407" s="5" t="s">
        <v>6488</v>
      </c>
      <c r="H1407" s="5">
        <v>573122995559</v>
      </c>
      <c r="J1407" s="5" t="s">
        <v>6489</v>
      </c>
      <c r="K1407" s="5" t="s">
        <v>33</v>
      </c>
      <c r="L1407" s="5" t="s">
        <v>34</v>
      </c>
      <c r="M1407" s="5">
        <v>3122995559</v>
      </c>
      <c r="N1407" s="6">
        <v>46039</v>
      </c>
      <c r="O1407" s="7">
        <v>0</v>
      </c>
      <c r="P1407" s="5">
        <v>1</v>
      </c>
      <c r="Q1407" s="5" t="s">
        <v>42</v>
      </c>
      <c r="R1407" s="5">
        <v>34000</v>
      </c>
      <c r="S1407" s="5">
        <v>0</v>
      </c>
      <c r="T1407" s="5">
        <v>0</v>
      </c>
      <c r="U1407" s="5">
        <v>34000</v>
      </c>
      <c r="V1407" s="5"/>
      <c r="W1407" s="5" t="s">
        <v>36</v>
      </c>
      <c r="X1407" s="5" t="s">
        <v>83</v>
      </c>
      <c r="AA1407" s="5" t="s">
        <v>1717</v>
      </c>
      <c r="AB1407" s="5" t="s">
        <v>525</v>
      </c>
      <c r="AC1407" s="8" t="str">
        <f>HYPERLINK("https://drive.google.com/file/d/1-ikFITCcZ-nsTUkCdb2UQjKoeS7r2Xhz/view?usp=drivesdk", "Abrir_Factura")</f>
        <v>Abrir_Factura</v>
      </c>
      <c r="AD1407" s="9">
        <v>46039.504155092596</v>
      </c>
    </row>
    <row r="1408" spans="1:30" ht="12.5">
      <c r="A1408" s="4">
        <v>46039.504222511576</v>
      </c>
      <c r="B1408" s="5">
        <v>91146</v>
      </c>
      <c r="C1408" s="5">
        <v>1081929456</v>
      </c>
      <c r="D1408" s="5" t="s">
        <v>1038</v>
      </c>
      <c r="F1408" s="5" t="s">
        <v>6490</v>
      </c>
      <c r="H1408" s="5">
        <v>573136478008</v>
      </c>
      <c r="J1408" s="5" t="s">
        <v>6491</v>
      </c>
      <c r="K1408" s="5" t="s">
        <v>249</v>
      </c>
      <c r="L1408" s="5" t="s">
        <v>6492</v>
      </c>
      <c r="M1408" s="5">
        <v>3104032481</v>
      </c>
      <c r="N1408" s="6">
        <v>46039</v>
      </c>
      <c r="O1408" s="7">
        <v>0</v>
      </c>
      <c r="P1408" s="5">
        <v>1</v>
      </c>
      <c r="Q1408" s="5" t="s">
        <v>6493</v>
      </c>
      <c r="R1408" s="5">
        <v>110000</v>
      </c>
      <c r="S1408" s="5">
        <v>0</v>
      </c>
      <c r="T1408" s="5">
        <v>10000</v>
      </c>
      <c r="U1408" s="5">
        <v>120000</v>
      </c>
      <c r="V1408" s="5" t="s">
        <v>6494</v>
      </c>
      <c r="W1408" s="5" t="s">
        <v>36</v>
      </c>
      <c r="X1408" s="5" t="s">
        <v>83</v>
      </c>
      <c r="Z1408" s="5" t="s">
        <v>6291</v>
      </c>
      <c r="AA1408" s="5" t="s">
        <v>44</v>
      </c>
      <c r="AB1408" s="5" t="s">
        <v>6495</v>
      </c>
      <c r="AC1408" s="8" t="str">
        <f>HYPERLINK("https://drive.google.com/file/d/14WHYFDlkoIRNx32ym0KlCslBWT_Ogqtd/view?usp=drivesdk", "Abrir_Factura")</f>
        <v>Abrir_Factura</v>
      </c>
      <c r="AD1408" s="9">
        <v>46039.507511574076</v>
      </c>
    </row>
    <row r="1409" spans="1:30" ht="12.5">
      <c r="A1409" s="4">
        <v>46039.503574108792</v>
      </c>
      <c r="B1409" s="5">
        <v>91147</v>
      </c>
      <c r="C1409" s="5">
        <v>1045741744</v>
      </c>
      <c r="D1409" s="5" t="s">
        <v>6496</v>
      </c>
      <c r="F1409" s="5" t="s">
        <v>6497</v>
      </c>
      <c r="H1409" s="5">
        <v>573162790617</v>
      </c>
      <c r="J1409" s="5" t="s">
        <v>6498</v>
      </c>
      <c r="K1409" s="5"/>
      <c r="L1409" s="5" t="s">
        <v>6499</v>
      </c>
      <c r="M1409" s="5" t="s">
        <v>25421</v>
      </c>
      <c r="N1409" s="6">
        <v>46039</v>
      </c>
      <c r="O1409" s="7">
        <v>0.625</v>
      </c>
      <c r="P1409" s="5">
        <v>1</v>
      </c>
      <c r="Q1409" s="5" t="s">
        <v>5730</v>
      </c>
      <c r="R1409" s="5">
        <v>358000</v>
      </c>
      <c r="S1409" s="5">
        <v>0</v>
      </c>
      <c r="T1409" s="5"/>
      <c r="U1409" s="5">
        <v>358000</v>
      </c>
      <c r="V1409" s="5" t="s">
        <v>6500</v>
      </c>
      <c r="W1409" s="5" t="s">
        <v>36</v>
      </c>
      <c r="X1409" s="5" t="s">
        <v>83</v>
      </c>
      <c r="Z1409" s="5" t="s">
        <v>4694</v>
      </c>
      <c r="AA1409" s="5" t="s">
        <v>44</v>
      </c>
      <c r="AC1409" s="8" t="str">
        <f>HYPERLINK("https://drive.google.com/file/d/1JTqsd_YTwXwMlOd2hmcWxhCyKo-tZ2je/view?usp=drivesdk", "Abrir_Factura")</f>
        <v>Abrir_Factura</v>
      </c>
      <c r="AD1409" s="9">
        <v>46039.52275462963</v>
      </c>
    </row>
    <row r="1410" spans="1:30" ht="12.5">
      <c r="A1410" s="4">
        <v>46039.513369918983</v>
      </c>
      <c r="B1410" s="5">
        <v>91148</v>
      </c>
      <c r="C1410" s="5">
        <v>1042463465</v>
      </c>
      <c r="D1410" s="5" t="s">
        <v>670</v>
      </c>
      <c r="F1410" s="5" t="s">
        <v>6501</v>
      </c>
      <c r="H1410" s="5">
        <v>573002182349</v>
      </c>
      <c r="J1410" s="5" t="s">
        <v>6502</v>
      </c>
      <c r="K1410" s="5" t="s">
        <v>33</v>
      </c>
      <c r="L1410" s="5" t="s">
        <v>34</v>
      </c>
      <c r="M1410" s="5">
        <v>3002182349</v>
      </c>
      <c r="N1410" s="6">
        <v>46039</v>
      </c>
      <c r="O1410" s="7">
        <v>0.58333333333333337</v>
      </c>
      <c r="P1410" s="5">
        <v>1</v>
      </c>
      <c r="Q1410" s="5" t="s">
        <v>649</v>
      </c>
      <c r="R1410" s="5">
        <v>200000</v>
      </c>
      <c r="S1410" s="5">
        <v>0</v>
      </c>
      <c r="T1410" s="5">
        <v>0</v>
      </c>
      <c r="U1410" s="5">
        <v>200000</v>
      </c>
      <c r="V1410" s="5" t="s">
        <v>6503</v>
      </c>
      <c r="W1410" s="5" t="s">
        <v>36</v>
      </c>
      <c r="X1410" s="5" t="s">
        <v>83</v>
      </c>
      <c r="Z1410" s="5" t="s">
        <v>6504</v>
      </c>
      <c r="AA1410" s="5" t="s">
        <v>44</v>
      </c>
      <c r="AC1410" s="8" t="str">
        <f>HYPERLINK("https://drive.google.com/file/d/167u9Mf7UNlaqRbpNbvw--i145p8AzGzV/view?usp=drivesdk", "Abrir_Factura")</f>
        <v>Abrir_Factura</v>
      </c>
      <c r="AD1410" s="9">
        <v>46039.520833333336</v>
      </c>
    </row>
    <row r="1411" spans="1:30" ht="12.5">
      <c r="A1411" s="4">
        <v>46039.527586712968</v>
      </c>
      <c r="B1411" s="5">
        <v>91149</v>
      </c>
      <c r="C1411" s="5">
        <v>1140850867</v>
      </c>
      <c r="D1411" s="5" t="s">
        <v>6348</v>
      </c>
      <c r="F1411" s="5" t="s">
        <v>6505</v>
      </c>
      <c r="H1411" s="5">
        <v>573185530632</v>
      </c>
      <c r="J1411" s="5" t="s">
        <v>6506</v>
      </c>
      <c r="K1411" s="5" t="s">
        <v>33</v>
      </c>
      <c r="L1411" s="5" t="s">
        <v>34</v>
      </c>
      <c r="M1411" s="5">
        <v>3185530632</v>
      </c>
      <c r="N1411" s="6">
        <v>46039</v>
      </c>
      <c r="O1411" s="7">
        <v>0</v>
      </c>
      <c r="P1411" s="5">
        <v>1</v>
      </c>
      <c r="Q1411" s="5" t="s">
        <v>42</v>
      </c>
      <c r="R1411" s="5">
        <v>105000</v>
      </c>
      <c r="S1411" s="5">
        <v>0</v>
      </c>
      <c r="T1411" s="5">
        <v>0</v>
      </c>
      <c r="U1411" s="5">
        <v>105000</v>
      </c>
      <c r="V1411" s="5"/>
      <c r="W1411" s="5" t="s">
        <v>36</v>
      </c>
      <c r="X1411" s="5" t="s">
        <v>1705</v>
      </c>
      <c r="AA1411" s="5" t="s">
        <v>1717</v>
      </c>
      <c r="AB1411" s="5" t="s">
        <v>6507</v>
      </c>
      <c r="AC1411" s="8" t="str">
        <f>HYPERLINK("https://drive.google.com/file/d/1sC5At8DaNIRAqu_2q3I0QGsY6ZYnmsj2/view?usp=drivesdk", "Abrir_Factura")</f>
        <v>Abrir_Factura</v>
      </c>
      <c r="AD1411" s="9">
        <v>46039.528310185182</v>
      </c>
    </row>
    <row r="1412" spans="1:30" ht="12.5">
      <c r="A1412" s="4">
        <v>46039.532401562501</v>
      </c>
      <c r="B1412" s="5">
        <v>91150</v>
      </c>
      <c r="C1412" s="5">
        <v>52413165</v>
      </c>
      <c r="D1412" s="5" t="s">
        <v>6508</v>
      </c>
      <c r="F1412" s="5" t="s">
        <v>6509</v>
      </c>
      <c r="H1412" s="5">
        <v>573143302416</v>
      </c>
      <c r="J1412" s="5" t="s">
        <v>6510</v>
      </c>
      <c r="K1412" s="5" t="s">
        <v>103</v>
      </c>
      <c r="L1412" s="5" t="s">
        <v>6511</v>
      </c>
      <c r="M1412" s="5" t="s">
        <v>6512</v>
      </c>
      <c r="N1412" s="6">
        <v>46039</v>
      </c>
      <c r="O1412" s="7">
        <v>0</v>
      </c>
      <c r="P1412" s="5">
        <v>1</v>
      </c>
      <c r="Q1412" s="5" t="s">
        <v>42</v>
      </c>
      <c r="R1412" s="5">
        <v>70000</v>
      </c>
      <c r="S1412" s="5">
        <v>0</v>
      </c>
      <c r="T1412" s="5">
        <v>10000</v>
      </c>
      <c r="U1412" s="5">
        <v>80000</v>
      </c>
      <c r="V1412" s="5"/>
      <c r="W1412" s="5" t="s">
        <v>36</v>
      </c>
      <c r="X1412" s="5" t="s">
        <v>83</v>
      </c>
      <c r="AA1412" s="5" t="s">
        <v>44</v>
      </c>
      <c r="AB1412" s="5" t="s">
        <v>6513</v>
      </c>
      <c r="AC1412" s="8" t="str">
        <f>HYPERLINK("https://drive.google.com/file/d/1JjFssk4xgR_qdorHUYgGd2ApDRwFnsFF/view?usp=drivesdk", "Abrir_Factura")</f>
        <v>Abrir_Factura</v>
      </c>
      <c r="AD1412" s="9">
        <v>46039.547546296293</v>
      </c>
    </row>
    <row r="1413" spans="1:30" ht="12.5">
      <c r="A1413" s="4">
        <v>46039.537875358801</v>
      </c>
      <c r="B1413" s="5">
        <v>91151</v>
      </c>
      <c r="C1413" s="5">
        <v>1042850272</v>
      </c>
      <c r="D1413" s="5" t="s">
        <v>6514</v>
      </c>
      <c r="F1413" s="5" t="s">
        <v>6515</v>
      </c>
      <c r="H1413" s="5">
        <v>57000000</v>
      </c>
      <c r="J1413" s="5" t="s">
        <v>6516</v>
      </c>
      <c r="K1413" s="5" t="s">
        <v>33</v>
      </c>
      <c r="L1413" s="5" t="s">
        <v>34</v>
      </c>
      <c r="M1413" s="5"/>
      <c r="N1413" s="6">
        <v>46039</v>
      </c>
      <c r="O1413" s="7">
        <v>0</v>
      </c>
      <c r="P1413" s="5">
        <v>1</v>
      </c>
      <c r="Q1413" s="5" t="s">
        <v>42</v>
      </c>
      <c r="R1413" s="5">
        <v>100000</v>
      </c>
      <c r="S1413" s="5">
        <v>0</v>
      </c>
      <c r="T1413" s="5">
        <v>0</v>
      </c>
      <c r="U1413" s="5">
        <v>100000</v>
      </c>
      <c r="V1413" s="5"/>
      <c r="W1413" s="5" t="s">
        <v>36</v>
      </c>
      <c r="X1413" s="5" t="s">
        <v>1705</v>
      </c>
      <c r="AA1413" s="5" t="s">
        <v>1717</v>
      </c>
      <c r="AB1413" s="5" t="s">
        <v>120</v>
      </c>
      <c r="AC1413" s="8" t="str">
        <f>HYPERLINK("https://drive.google.com/file/d/1h330hqQbkmk3u_VfxghxlVcOz4vus1O0/view?usp=drivesdk", "Abrir_Factura")</f>
        <v>Abrir_Factura</v>
      </c>
      <c r="AD1413" s="9">
        <v>46039.538252314815</v>
      </c>
    </row>
    <row r="1414" spans="1:30" ht="12.5">
      <c r="A1414" s="4">
        <v>46039.539527743051</v>
      </c>
      <c r="B1414" s="5">
        <v>91152</v>
      </c>
      <c r="C1414" s="5">
        <v>1044616446</v>
      </c>
      <c r="D1414" s="5" t="s">
        <v>6517</v>
      </c>
      <c r="F1414" s="5" t="s">
        <v>3188</v>
      </c>
      <c r="H1414" s="5">
        <v>570000</v>
      </c>
      <c r="J1414" s="5" t="s">
        <v>6518</v>
      </c>
      <c r="K1414" s="5" t="s">
        <v>33</v>
      </c>
      <c r="L1414" s="5" t="s">
        <v>34</v>
      </c>
      <c r="M1414" s="5">
        <v>0</v>
      </c>
      <c r="N1414" s="6">
        <v>46039</v>
      </c>
      <c r="O1414" s="7">
        <v>0</v>
      </c>
      <c r="P1414" s="5">
        <v>1</v>
      </c>
      <c r="Q1414" s="5" t="s">
        <v>42</v>
      </c>
      <c r="R1414" s="5">
        <v>19000</v>
      </c>
      <c r="S1414" s="5">
        <v>0</v>
      </c>
      <c r="T1414" s="5">
        <v>0</v>
      </c>
      <c r="U1414" s="5">
        <v>19000</v>
      </c>
      <c r="V1414" s="5"/>
      <c r="W1414" s="5" t="s">
        <v>36</v>
      </c>
      <c r="X1414" s="5" t="s">
        <v>196</v>
      </c>
      <c r="AA1414" s="5" t="s">
        <v>1717</v>
      </c>
      <c r="AB1414" s="5" t="s">
        <v>525</v>
      </c>
      <c r="AC1414" s="8" t="str">
        <f>HYPERLINK("https://drive.google.com/file/d/1ejvCPaBVTVMuEabL3S_STzEmfH2CNPHx/view?usp=drivesdk", "Abrir_Factura")</f>
        <v>Abrir_Factura</v>
      </c>
      <c r="AD1414" s="9">
        <v>46039.540162037039</v>
      </c>
    </row>
    <row r="1415" spans="1:30" ht="12.5">
      <c r="A1415" s="4">
        <v>46039.504764270838</v>
      </c>
      <c r="B1415" s="5">
        <v>91153</v>
      </c>
      <c r="C1415" s="5">
        <v>1140893698</v>
      </c>
      <c r="D1415" s="5" t="s">
        <v>6519</v>
      </c>
      <c r="F1415" s="5" t="s">
        <v>6520</v>
      </c>
      <c r="H1415" s="5">
        <v>573126600519</v>
      </c>
      <c r="J1415" s="5" t="s">
        <v>6521</v>
      </c>
      <c r="K1415" s="5" t="s">
        <v>124</v>
      </c>
      <c r="L1415" s="5" t="s">
        <v>6522</v>
      </c>
      <c r="M1415" s="5" t="s">
        <v>25421</v>
      </c>
      <c r="N1415" s="6">
        <v>46039</v>
      </c>
      <c r="O1415" s="7">
        <v>0.58333333333333337</v>
      </c>
      <c r="P1415" s="5">
        <v>1</v>
      </c>
      <c r="Q1415" s="5" t="s">
        <v>148</v>
      </c>
      <c r="R1415" s="5">
        <v>220000</v>
      </c>
      <c r="S1415" s="5">
        <v>0</v>
      </c>
      <c r="T1415" s="5">
        <v>12000</v>
      </c>
      <c r="U1415" s="5">
        <v>232000</v>
      </c>
      <c r="V1415" s="5" t="s">
        <v>6523</v>
      </c>
      <c r="W1415" s="5" t="s">
        <v>36</v>
      </c>
      <c r="X1415" s="5" t="s">
        <v>83</v>
      </c>
      <c r="Z1415" s="5" t="s">
        <v>6524</v>
      </c>
      <c r="AA1415" s="5" t="s">
        <v>44</v>
      </c>
      <c r="AB1415" s="5" t="s">
        <v>6525</v>
      </c>
      <c r="AC1415" s="8" t="str">
        <f>HYPERLINK("https://drive.google.com/file/d/1hd8ZWQLOuUDL0607vsgNFU4M63xr_2HE/view?usp=drivesdk", "Abrir_Factura")</f>
        <v>Abrir_Factura</v>
      </c>
      <c r="AD1415" s="9">
        <v>46039.54179398148</v>
      </c>
    </row>
    <row r="1416" spans="1:30" ht="12.5">
      <c r="A1416" s="4">
        <v>46039.531579363422</v>
      </c>
      <c r="B1416" s="5">
        <v>91154</v>
      </c>
      <c r="C1416" s="5">
        <v>1139574702</v>
      </c>
      <c r="D1416" s="5" t="s">
        <v>6526</v>
      </c>
      <c r="F1416" s="5" t="s">
        <v>6527</v>
      </c>
      <c r="H1416" s="5">
        <v>573015587628</v>
      </c>
      <c r="J1416" s="5" t="s">
        <v>6528</v>
      </c>
      <c r="K1416" s="5" t="s">
        <v>73</v>
      </c>
      <c r="L1416" s="5" t="s">
        <v>6529</v>
      </c>
      <c r="M1416" s="5"/>
      <c r="N1416" s="6">
        <v>46039</v>
      </c>
      <c r="O1416" s="7">
        <v>0.625</v>
      </c>
      <c r="P1416" s="5">
        <v>1</v>
      </c>
      <c r="Q1416" s="5" t="s">
        <v>6530</v>
      </c>
      <c r="R1416" s="5">
        <v>160000</v>
      </c>
      <c r="S1416" s="5">
        <v>0</v>
      </c>
      <c r="T1416" s="5">
        <v>8000</v>
      </c>
      <c r="U1416" s="5">
        <v>168000</v>
      </c>
      <c r="V1416" s="5"/>
      <c r="W1416" s="5" t="s">
        <v>36</v>
      </c>
      <c r="X1416" s="5" t="s">
        <v>180</v>
      </c>
      <c r="AA1416" s="5" t="s">
        <v>44</v>
      </c>
      <c r="AC1416" s="8" t="str">
        <f>HYPERLINK("https://drive.google.com/file/d/12toPyAFwgHDYyxzH74jwF6pdBs-pUMQe/view?usp=drivesdk", "Abrir_Factura")</f>
        <v>Abrir_Factura</v>
      </c>
      <c r="AD1416" s="9">
        <v>46039.54278935185</v>
      </c>
    </row>
    <row r="1417" spans="1:30" ht="12.5">
      <c r="A1417" s="4">
        <v>46039.498756597226</v>
      </c>
      <c r="B1417" s="5">
        <v>91155</v>
      </c>
      <c r="C1417" s="5">
        <v>901276595</v>
      </c>
      <c r="D1417" s="5" t="s">
        <v>1742</v>
      </c>
      <c r="F1417" s="5" t="s">
        <v>93</v>
      </c>
      <c r="H1417" s="5">
        <v>573008463114</v>
      </c>
      <c r="J1417" s="5" t="s">
        <v>6531</v>
      </c>
      <c r="K1417" s="5" t="s">
        <v>103</v>
      </c>
      <c r="L1417" s="5" t="s">
        <v>6532</v>
      </c>
      <c r="M1417" s="5">
        <v>3008463114</v>
      </c>
      <c r="N1417" s="6">
        <v>46040</v>
      </c>
      <c r="O1417" s="7">
        <v>0.66666666666666663</v>
      </c>
      <c r="P1417" s="5">
        <v>1</v>
      </c>
      <c r="Q1417" s="5" t="s">
        <v>187</v>
      </c>
      <c r="R1417" s="5">
        <v>220000</v>
      </c>
      <c r="S1417" s="5">
        <v>41800</v>
      </c>
      <c r="T1417" s="5">
        <v>10000</v>
      </c>
      <c r="U1417" s="5">
        <v>271800</v>
      </c>
      <c r="V1417" s="5" t="s">
        <v>6533</v>
      </c>
      <c r="W1417" s="5" t="s">
        <v>36</v>
      </c>
      <c r="X1417" s="5" t="s">
        <v>67</v>
      </c>
      <c r="Z1417" s="5" t="s">
        <v>6534</v>
      </c>
      <c r="AA1417" s="5" t="s">
        <v>44</v>
      </c>
      <c r="AC1417" s="8" t="str">
        <f>HYPERLINK("https://drive.google.com/file/d/1SdKqPM6ep47saLvridyafvZR1C5-ntMJ/view?usp=drivesdk", "Abrir_Factura")</f>
        <v>Abrir_Factura</v>
      </c>
      <c r="AD1417" s="9">
        <v>46039.552152777775</v>
      </c>
    </row>
    <row r="1418" spans="1:30" ht="12.5">
      <c r="A1418" s="4">
        <v>46039.579787847222</v>
      </c>
      <c r="B1418" s="5">
        <v>91156</v>
      </c>
      <c r="C1418" s="5">
        <v>72276221</v>
      </c>
      <c r="D1418" s="5" t="s">
        <v>526</v>
      </c>
      <c r="F1418" s="5" t="s">
        <v>689</v>
      </c>
      <c r="H1418" s="5">
        <v>573015021488</v>
      </c>
      <c r="J1418" s="5" t="s">
        <v>6535</v>
      </c>
      <c r="K1418" s="5" t="s">
        <v>33</v>
      </c>
      <c r="L1418" s="5" t="s">
        <v>34</v>
      </c>
      <c r="M1418" s="5">
        <v>3015021488</v>
      </c>
      <c r="N1418" s="6">
        <v>46039</v>
      </c>
      <c r="O1418" s="7">
        <v>0</v>
      </c>
      <c r="P1418" s="5">
        <v>1</v>
      </c>
      <c r="Q1418" s="5" t="s">
        <v>42</v>
      </c>
      <c r="R1418" s="5">
        <v>40000</v>
      </c>
      <c r="S1418" s="5">
        <v>0</v>
      </c>
      <c r="T1418" s="5">
        <v>0</v>
      </c>
      <c r="U1418" s="5">
        <v>40000</v>
      </c>
      <c r="V1418" s="5"/>
      <c r="W1418" s="5" t="s">
        <v>36</v>
      </c>
      <c r="X1418" s="5" t="s">
        <v>1705</v>
      </c>
      <c r="AA1418" s="5" t="s">
        <v>1717</v>
      </c>
      <c r="AC1418" s="8" t="str">
        <f>HYPERLINK("https://drive.google.com/file/d/173IGs-T2rhkiAGPpODYcVzdo2oLhuiDk/view?usp=drivesdk", "Abrir_Factura")</f>
        <v>Abrir_Factura</v>
      </c>
      <c r="AD1418" s="9">
        <v>46039.580347222225</v>
      </c>
    </row>
    <row r="1419" spans="1:30" ht="12.5">
      <c r="A1419" s="4">
        <v>46039.586172881944</v>
      </c>
      <c r="B1419" s="5">
        <v>91157</v>
      </c>
      <c r="C1419" s="5">
        <v>32738879</v>
      </c>
      <c r="D1419" s="5" t="s">
        <v>6536</v>
      </c>
      <c r="F1419" s="5" t="s">
        <v>6537</v>
      </c>
      <c r="H1419" s="5">
        <v>573205438136</v>
      </c>
      <c r="J1419" s="5" t="s">
        <v>6538</v>
      </c>
      <c r="K1419" s="5" t="s">
        <v>1047</v>
      </c>
      <c r="L1419" s="5" t="s">
        <v>6539</v>
      </c>
      <c r="M1419" s="5"/>
      <c r="N1419" s="6">
        <v>46039</v>
      </c>
      <c r="O1419" s="7">
        <v>0.70833333333333337</v>
      </c>
      <c r="P1419" s="5">
        <v>1</v>
      </c>
      <c r="Q1419" s="5" t="s">
        <v>370</v>
      </c>
      <c r="R1419" s="5">
        <v>290000</v>
      </c>
      <c r="S1419" s="5">
        <v>0</v>
      </c>
      <c r="T1419" s="5">
        <v>15000</v>
      </c>
      <c r="U1419" s="5">
        <v>305000</v>
      </c>
      <c r="V1419" s="5" t="s">
        <v>6540</v>
      </c>
      <c r="W1419" s="5" t="s">
        <v>36</v>
      </c>
      <c r="X1419" s="5" t="s">
        <v>1705</v>
      </c>
      <c r="AA1419" s="5" t="s">
        <v>1717</v>
      </c>
      <c r="AC1419" s="8" t="str">
        <f>HYPERLINK("https://drive.google.com/file/d/1zXw3dW31jSRgXoVpW3fEnbrqSiuAgijN/view?usp=drivesdk", "Abrir_Factura")</f>
        <v>Abrir_Factura</v>
      </c>
      <c r="AD1419" s="9">
        <v>46039.587268518517</v>
      </c>
    </row>
    <row r="1420" spans="1:30" ht="12.5">
      <c r="A1420" s="4">
        <v>46039.610381168983</v>
      </c>
      <c r="B1420" s="5">
        <v>91158</v>
      </c>
      <c r="C1420" s="5">
        <v>1082885578</v>
      </c>
      <c r="D1420" s="5" t="s">
        <v>6541</v>
      </c>
      <c r="F1420" s="5" t="s">
        <v>6542</v>
      </c>
      <c r="H1420" s="5">
        <v>573045405174</v>
      </c>
      <c r="J1420" s="5" t="s">
        <v>6543</v>
      </c>
      <c r="K1420" s="5" t="s">
        <v>73</v>
      </c>
      <c r="L1420" s="5" t="s">
        <v>6544</v>
      </c>
      <c r="M1420" s="5"/>
      <c r="N1420" s="6">
        <v>46041</v>
      </c>
      <c r="O1420" s="7">
        <v>0.375</v>
      </c>
      <c r="P1420" s="5">
        <v>1</v>
      </c>
      <c r="Q1420" s="5" t="s">
        <v>874</v>
      </c>
      <c r="R1420" s="5">
        <v>230000</v>
      </c>
      <c r="S1420" s="5">
        <v>0</v>
      </c>
      <c r="T1420" s="5">
        <v>8000</v>
      </c>
      <c r="U1420" s="5">
        <v>238000</v>
      </c>
      <c r="V1420" s="5">
        <v>3112969038</v>
      </c>
      <c r="W1420" s="5" t="s">
        <v>36</v>
      </c>
      <c r="X1420" s="5" t="s">
        <v>67</v>
      </c>
      <c r="Z1420" s="5" t="s">
        <v>6545</v>
      </c>
      <c r="AA1420" s="5" t="s">
        <v>44</v>
      </c>
      <c r="AB1420" s="5" t="s">
        <v>6546</v>
      </c>
      <c r="AC1420" s="8" t="str">
        <f>HYPERLINK("https://drive.google.com/file/d/1Vmajh2R3zCX_VXPYj33UMbg0N4hJwTpH/view?usp=drivesdk", "Abrir_Factura")</f>
        <v>Abrir_Factura</v>
      </c>
      <c r="AD1420" s="9">
        <v>46039.614502314813</v>
      </c>
    </row>
    <row r="1421" spans="1:30" ht="12.5">
      <c r="A1421" s="4">
        <v>46039.629806249999</v>
      </c>
      <c r="B1421" s="5">
        <v>91159</v>
      </c>
      <c r="C1421" s="5">
        <v>1234090331</v>
      </c>
      <c r="D1421" s="5" t="s">
        <v>6547</v>
      </c>
      <c r="F1421" s="5" t="s">
        <v>1221</v>
      </c>
      <c r="H1421" s="5">
        <v>573006377973</v>
      </c>
      <c r="J1421" s="5" t="s">
        <v>6548</v>
      </c>
      <c r="K1421" s="5" t="s">
        <v>964</v>
      </c>
      <c r="L1421" s="5" t="s">
        <v>6549</v>
      </c>
      <c r="M1421" s="5"/>
      <c r="N1421" s="6">
        <v>46043</v>
      </c>
      <c r="O1421" s="7">
        <v>0.375</v>
      </c>
      <c r="P1421" s="5">
        <v>1</v>
      </c>
      <c r="Q1421" s="5" t="s">
        <v>42</v>
      </c>
      <c r="R1421" s="5">
        <v>250000</v>
      </c>
      <c r="S1421" s="5">
        <v>0</v>
      </c>
      <c r="T1421" s="5">
        <v>12000</v>
      </c>
      <c r="U1421" s="5">
        <v>262000</v>
      </c>
      <c r="V1421" s="5" t="s">
        <v>6550</v>
      </c>
      <c r="W1421" s="5" t="s">
        <v>36</v>
      </c>
      <c r="X1421" s="5" t="s">
        <v>67</v>
      </c>
      <c r="AA1421" s="5" t="s">
        <v>69</v>
      </c>
      <c r="AB1421" s="5" t="s">
        <v>6551</v>
      </c>
      <c r="AC1421" s="8" t="str">
        <f>HYPERLINK("https://drive.google.com/file/d/1YkoYDBtKWumyCtGZy-wADpkzaA5l8mh8/view?usp=drivesdk", "Abrir_Factura")</f>
        <v>Abrir_Factura</v>
      </c>
      <c r="AD1421" s="9">
        <v>46039.639606481483</v>
      </c>
    </row>
    <row r="1422" spans="1:30" ht="12.5">
      <c r="A1422" s="4">
        <v>46039.570704143523</v>
      </c>
      <c r="B1422" s="5">
        <v>91160</v>
      </c>
      <c r="C1422" s="5">
        <v>1047337051</v>
      </c>
      <c r="D1422" s="5" t="s">
        <v>3398</v>
      </c>
      <c r="F1422" s="5" t="s">
        <v>6107</v>
      </c>
      <c r="H1422" s="5">
        <v>573166569808</v>
      </c>
      <c r="J1422" s="5" t="s">
        <v>6552</v>
      </c>
      <c r="K1422" s="5" t="s">
        <v>265</v>
      </c>
      <c r="L1422" s="5" t="s">
        <v>6553</v>
      </c>
      <c r="M1422" s="5">
        <v>3166569808</v>
      </c>
      <c r="N1422" s="6">
        <v>46041</v>
      </c>
      <c r="O1422" s="7">
        <v>0.41666666666666669</v>
      </c>
      <c r="P1422" s="5">
        <v>1</v>
      </c>
      <c r="Q1422" s="5" t="s">
        <v>89</v>
      </c>
      <c r="R1422" s="5">
        <v>170000</v>
      </c>
      <c r="S1422" s="5">
        <v>0</v>
      </c>
      <c r="T1422" s="5">
        <v>17000</v>
      </c>
      <c r="U1422" s="5">
        <v>187000</v>
      </c>
      <c r="V1422" s="5" t="s">
        <v>6554</v>
      </c>
      <c r="W1422" s="5" t="s">
        <v>36</v>
      </c>
      <c r="X1422" s="5" t="s">
        <v>1705</v>
      </c>
      <c r="Z1422" s="5" t="s">
        <v>6555</v>
      </c>
      <c r="AA1422" s="5" t="s">
        <v>44</v>
      </c>
      <c r="AB1422" s="5" t="s">
        <v>6556</v>
      </c>
      <c r="AC1422" s="8" t="str">
        <f>HYPERLINK("https://drive.google.com/file/d/1jaVRMX04j6kk6swZurFfUs3OqDR5V3fC/view?usp=drivesdk", "Abrir_Factura")</f>
        <v>Abrir_Factura</v>
      </c>
      <c r="AD1422" s="9">
        <v>46039.642384259256</v>
      </c>
    </row>
    <row r="1423" spans="1:30" ht="12.5">
      <c r="A1423" s="4">
        <v>46039.651800740743</v>
      </c>
      <c r="B1423" s="5">
        <v>91161</v>
      </c>
      <c r="C1423" s="5">
        <v>22449309</v>
      </c>
      <c r="D1423" s="5" t="s">
        <v>6557</v>
      </c>
      <c r="F1423" s="5" t="s">
        <v>3862</v>
      </c>
      <c r="H1423" s="5">
        <v>573103616155</v>
      </c>
      <c r="J1423" s="5" t="s">
        <v>6558</v>
      </c>
      <c r="K1423" s="5" t="s">
        <v>33</v>
      </c>
      <c r="L1423" s="5" t="s">
        <v>34</v>
      </c>
      <c r="M1423" s="5">
        <v>3103616155</v>
      </c>
      <c r="N1423" s="6">
        <v>46039</v>
      </c>
      <c r="O1423" s="7">
        <v>0.66666666666666663</v>
      </c>
      <c r="P1423" s="5">
        <v>1</v>
      </c>
      <c r="Q1423" s="5" t="s">
        <v>42</v>
      </c>
      <c r="R1423" s="5">
        <v>40000</v>
      </c>
      <c r="S1423" s="5">
        <v>0</v>
      </c>
      <c r="T1423" s="5">
        <v>0</v>
      </c>
      <c r="U1423" s="5">
        <v>40000</v>
      </c>
      <c r="V1423" s="5"/>
      <c r="W1423" s="5" t="s">
        <v>36</v>
      </c>
      <c r="X1423" s="5" t="s">
        <v>1705</v>
      </c>
      <c r="AA1423" s="5" t="s">
        <v>1717</v>
      </c>
      <c r="AB1423" s="5" t="s">
        <v>6559</v>
      </c>
      <c r="AC1423" s="8" t="str">
        <f>HYPERLINK("https://drive.google.com/file/d/11GGdmQwwaQITrO2HBLALPKg7jImh5yaO/view?usp=drivesdk", "Abrir_Factura")</f>
        <v>Abrir_Factura</v>
      </c>
      <c r="AD1423" s="9">
        <v>46039.65415509259</v>
      </c>
    </row>
    <row r="1424" spans="1:30" ht="12.5">
      <c r="A1424" s="4">
        <v>46044.659560185188</v>
      </c>
      <c r="B1424" s="5">
        <v>91162</v>
      </c>
      <c r="C1424" s="5">
        <v>32747062</v>
      </c>
      <c r="D1424" s="5" t="s">
        <v>4215</v>
      </c>
      <c r="F1424" s="5" t="s">
        <v>6560</v>
      </c>
      <c r="H1424" s="5">
        <v>573103633466</v>
      </c>
      <c r="J1424" s="5" t="s">
        <v>6561</v>
      </c>
      <c r="K1424" s="5"/>
      <c r="L1424" s="5" t="s">
        <v>6562</v>
      </c>
      <c r="M1424" s="5"/>
      <c r="N1424" s="6">
        <v>46041</v>
      </c>
      <c r="O1424" s="7">
        <v>0.375</v>
      </c>
      <c r="P1424" s="5">
        <v>1</v>
      </c>
      <c r="Q1424" s="5" t="s">
        <v>42</v>
      </c>
      <c r="R1424" s="5">
        <v>85000</v>
      </c>
      <c r="S1424" s="5">
        <v>0</v>
      </c>
      <c r="T1424" s="5"/>
      <c r="U1424" s="5">
        <v>85000</v>
      </c>
      <c r="V1424" s="5"/>
      <c r="W1424" s="5" t="s">
        <v>36</v>
      </c>
      <c r="X1424" s="5" t="s">
        <v>1705</v>
      </c>
      <c r="AA1424" s="5" t="s">
        <v>1717</v>
      </c>
      <c r="AB1424" s="5" t="s">
        <v>6563</v>
      </c>
      <c r="AC1424" s="8" t="str">
        <f>HYPERLINK("https://drive.google.com/file/d/1CzP8CtMOk9DE90f_zUN0v4Mr85QZX4_G/view?usp=drivesdk", "Abrir_Factura")</f>
        <v>Abrir_Factura</v>
      </c>
      <c r="AD1424" s="9">
        <v>46044.742037037038</v>
      </c>
    </row>
    <row r="1425" spans="1:30" ht="12.5">
      <c r="A1425" s="4">
        <v>46039.674713703702</v>
      </c>
      <c r="B1425" s="5">
        <v>91163</v>
      </c>
      <c r="C1425" s="5">
        <v>22656186</v>
      </c>
      <c r="D1425" s="5" t="s">
        <v>6564</v>
      </c>
      <c r="F1425" s="5" t="s">
        <v>3825</v>
      </c>
      <c r="H1425" s="5">
        <v>573013390482</v>
      </c>
      <c r="J1425" s="5" t="s">
        <v>6565</v>
      </c>
      <c r="K1425" s="5" t="s">
        <v>63</v>
      </c>
      <c r="L1425" s="5" t="s">
        <v>6566</v>
      </c>
      <c r="M1425" s="5"/>
      <c r="N1425" s="6">
        <v>46039</v>
      </c>
      <c r="O1425" s="7">
        <v>0</v>
      </c>
      <c r="P1425" s="5">
        <v>1</v>
      </c>
      <c r="Q1425" s="5" t="s">
        <v>65</v>
      </c>
      <c r="R1425" s="5">
        <v>80000</v>
      </c>
      <c r="S1425" s="5">
        <v>0</v>
      </c>
      <c r="T1425" s="5">
        <v>15000</v>
      </c>
      <c r="U1425" s="5">
        <v>95000</v>
      </c>
      <c r="V1425" s="5" t="s">
        <v>6567</v>
      </c>
      <c r="W1425" s="5" t="s">
        <v>36</v>
      </c>
      <c r="X1425" s="5" t="s">
        <v>67</v>
      </c>
      <c r="AA1425" s="5" t="s">
        <v>69</v>
      </c>
      <c r="AC1425" s="8" t="str">
        <f>HYPERLINK("https://drive.google.com/file/d/1SFTH8owz73MTy8ogPOHRK8m58OplElNL/view?usp=drivesdk", "Abrir_Factura")</f>
        <v>Abrir_Factura</v>
      </c>
      <c r="AD1425" s="9">
        <v>46039.675243055557</v>
      </c>
    </row>
    <row r="1426" spans="1:30" ht="12.5">
      <c r="A1426" s="4">
        <v>46039.674348993052</v>
      </c>
      <c r="B1426" s="5">
        <v>91164</v>
      </c>
      <c r="C1426" s="5">
        <v>32686138</v>
      </c>
      <c r="D1426" s="5" t="s">
        <v>6568</v>
      </c>
      <c r="F1426" s="5" t="s">
        <v>6569</v>
      </c>
      <c r="H1426" s="5">
        <v>19549946278</v>
      </c>
      <c r="J1426" s="5" t="s">
        <v>6570</v>
      </c>
      <c r="K1426" s="5" t="s">
        <v>401</v>
      </c>
      <c r="L1426" s="5" t="s">
        <v>6571</v>
      </c>
      <c r="M1426" s="5" t="s">
        <v>6572</v>
      </c>
      <c r="N1426" s="6">
        <v>46039</v>
      </c>
      <c r="O1426" s="7">
        <v>0.70833333333333337</v>
      </c>
      <c r="P1426" s="5">
        <v>1</v>
      </c>
      <c r="Q1426" s="5" t="s">
        <v>156</v>
      </c>
      <c r="R1426" s="5">
        <v>80000</v>
      </c>
      <c r="S1426" s="5">
        <v>0</v>
      </c>
      <c r="T1426" s="5">
        <v>12000</v>
      </c>
      <c r="U1426" s="5">
        <v>92000</v>
      </c>
      <c r="V1426" s="5" t="s">
        <v>6573</v>
      </c>
      <c r="W1426" s="5" t="s">
        <v>36</v>
      </c>
      <c r="X1426" s="5" t="s">
        <v>67</v>
      </c>
      <c r="Z1426" s="5" t="s">
        <v>6574</v>
      </c>
      <c r="AA1426" s="5" t="s">
        <v>44</v>
      </c>
      <c r="AC1426" s="8" t="str">
        <f>HYPERLINK("https://drive.google.com/file/d/1hJAHoL3XSbivhf586iLTVHslpUUSzF09/view?usp=drivesdk", "Abrir_Factura")</f>
        <v>Abrir_Factura</v>
      </c>
      <c r="AD1426" s="9">
        <v>46039.6794212963</v>
      </c>
    </row>
    <row r="1427" spans="1:30" ht="12.5">
      <c r="A1427" s="4">
        <v>46039.691324861109</v>
      </c>
      <c r="B1427" s="5">
        <v>91165</v>
      </c>
      <c r="C1427" s="5">
        <v>1140844784</v>
      </c>
      <c r="D1427" s="5" t="s">
        <v>6575</v>
      </c>
      <c r="F1427" s="5" t="s">
        <v>6576</v>
      </c>
      <c r="H1427" s="5">
        <v>573006237979</v>
      </c>
      <c r="J1427" s="5" t="s">
        <v>6577</v>
      </c>
      <c r="K1427" s="5" t="s">
        <v>185</v>
      </c>
      <c r="L1427" s="5" t="s">
        <v>6578</v>
      </c>
      <c r="M1427" s="5"/>
      <c r="N1427" s="6">
        <v>46039</v>
      </c>
      <c r="O1427" s="7">
        <v>0</v>
      </c>
      <c r="P1427" s="5">
        <v>1</v>
      </c>
      <c r="Q1427" s="5" t="s">
        <v>42</v>
      </c>
      <c r="R1427" s="5">
        <v>60000</v>
      </c>
      <c r="S1427" s="5">
        <v>0</v>
      </c>
      <c r="T1427" s="5">
        <v>8000</v>
      </c>
      <c r="U1427" s="5">
        <v>68000</v>
      </c>
      <c r="V1427" s="5"/>
      <c r="W1427" s="5" t="s">
        <v>36</v>
      </c>
      <c r="X1427" s="5" t="s">
        <v>180</v>
      </c>
      <c r="AA1427" s="5" t="s">
        <v>69</v>
      </c>
      <c r="AC1427" s="8" t="str">
        <f>HYPERLINK("https://drive.google.com/file/d/1sLPKATASJEfXYyapi_mlwzSClUp-fyUx/view?usp=drivesdk", "Abrir_Factura")</f>
        <v>Abrir_Factura</v>
      </c>
      <c r="AD1427" s="9">
        <v>46039.691712962966</v>
      </c>
    </row>
    <row r="1428" spans="1:30" ht="12.5">
      <c r="A1428" s="4">
        <v>46041.291885949075</v>
      </c>
      <c r="B1428" s="5">
        <v>91166</v>
      </c>
      <c r="C1428" s="5">
        <v>1140874138</v>
      </c>
      <c r="D1428" s="5" t="s">
        <v>6579</v>
      </c>
      <c r="F1428" s="5" t="s">
        <v>6580</v>
      </c>
      <c r="H1428" s="5">
        <v>573232844922</v>
      </c>
      <c r="J1428" s="5" t="s">
        <v>6581</v>
      </c>
      <c r="K1428" s="5" t="s">
        <v>33</v>
      </c>
      <c r="L1428" s="5" t="s">
        <v>34</v>
      </c>
      <c r="M1428" s="5">
        <v>3232844922</v>
      </c>
      <c r="N1428" s="6">
        <v>46041</v>
      </c>
      <c r="O1428" s="7">
        <v>0.35416666666666669</v>
      </c>
      <c r="P1428" s="5">
        <v>1</v>
      </c>
      <c r="Q1428" s="5" t="s">
        <v>435</v>
      </c>
      <c r="R1428" s="5">
        <v>65000</v>
      </c>
      <c r="S1428" s="5">
        <v>0</v>
      </c>
      <c r="T1428" s="5">
        <v>0</v>
      </c>
      <c r="U1428" s="5">
        <v>65000</v>
      </c>
      <c r="V1428" s="5"/>
      <c r="W1428" s="5" t="s">
        <v>36</v>
      </c>
      <c r="X1428" s="5" t="s">
        <v>43</v>
      </c>
      <c r="AA1428" s="5" t="s">
        <v>37</v>
      </c>
      <c r="AB1428" s="5" t="s">
        <v>6582</v>
      </c>
      <c r="AC1428" s="8" t="str">
        <f>HYPERLINK("https://drive.google.com/file/d/11nQAUFIvd8-FBCgrDkzuEZJ3aiqiZNLf/view?usp=drivesdk", "Abrir_Factura")</f>
        <v>Abrir_Factura</v>
      </c>
      <c r="AD1428" s="9">
        <v>46041.292384259257</v>
      </c>
    </row>
    <row r="1429" spans="1:30" ht="12.5">
      <c r="A1429" s="4">
        <v>46041.294515833331</v>
      </c>
      <c r="B1429" s="5">
        <v>91167</v>
      </c>
      <c r="C1429" s="5">
        <v>1064842277</v>
      </c>
      <c r="D1429" s="5" t="s">
        <v>1304</v>
      </c>
      <c r="F1429" s="5" t="s">
        <v>6583</v>
      </c>
      <c r="H1429" s="5" t="s">
        <v>25421</v>
      </c>
      <c r="J1429" s="5" t="s">
        <v>6584</v>
      </c>
      <c r="K1429" s="5" t="s">
        <v>33</v>
      </c>
      <c r="L1429" s="5" t="s">
        <v>34</v>
      </c>
      <c r="M1429" s="5" t="s">
        <v>6585</v>
      </c>
      <c r="N1429" s="6">
        <v>46041</v>
      </c>
      <c r="O1429" s="7">
        <v>0</v>
      </c>
      <c r="P1429" s="5">
        <v>1</v>
      </c>
      <c r="Q1429" s="5" t="s">
        <v>133</v>
      </c>
      <c r="R1429" s="5">
        <v>150000</v>
      </c>
      <c r="S1429" s="5">
        <v>0</v>
      </c>
      <c r="T1429" s="5">
        <v>0</v>
      </c>
      <c r="U1429" s="5">
        <v>150000</v>
      </c>
      <c r="V1429" s="5"/>
      <c r="W1429" s="5" t="s">
        <v>36</v>
      </c>
      <c r="X1429" s="5" t="s">
        <v>43</v>
      </c>
      <c r="AA1429" s="5" t="s">
        <v>37</v>
      </c>
      <c r="AB1429" s="5" t="s">
        <v>6586</v>
      </c>
      <c r="AC1429" s="8" t="str">
        <f>HYPERLINK("https://drive.google.com/file/d/1-Ll9RH0pLMcTotCvEBK5XBfKTO8NRlNC/view?usp=drivesdk", "Abrir_Factura")</f>
        <v>Abrir_Factura</v>
      </c>
      <c r="AD1429" s="9">
        <v>46041.294965277775</v>
      </c>
    </row>
    <row r="1430" spans="1:30" ht="12.5">
      <c r="A1430" s="4">
        <v>46040.532207951386</v>
      </c>
      <c r="B1430" s="5">
        <v>91168</v>
      </c>
      <c r="C1430" s="5">
        <v>1143162431</v>
      </c>
      <c r="D1430" s="5" t="s">
        <v>4445</v>
      </c>
      <c r="F1430" s="5" t="s">
        <v>1855</v>
      </c>
      <c r="H1430" s="5">
        <v>573016380968</v>
      </c>
      <c r="J1430" s="5" t="s">
        <v>6587</v>
      </c>
      <c r="K1430" s="5" t="s">
        <v>103</v>
      </c>
      <c r="L1430" s="5" t="s">
        <v>6588</v>
      </c>
      <c r="M1430" s="5">
        <v>3232936869</v>
      </c>
      <c r="N1430" s="6">
        <v>46041</v>
      </c>
      <c r="O1430" s="7">
        <v>0.375</v>
      </c>
      <c r="P1430" s="5">
        <v>1</v>
      </c>
      <c r="Q1430" s="5" t="s">
        <v>178</v>
      </c>
      <c r="R1430" s="5">
        <v>110000</v>
      </c>
      <c r="S1430" s="5">
        <v>0</v>
      </c>
      <c r="T1430" s="5">
        <v>10000</v>
      </c>
      <c r="U1430" s="5">
        <v>120000</v>
      </c>
      <c r="V1430" s="5" t="s">
        <v>6589</v>
      </c>
      <c r="W1430" s="5" t="s">
        <v>36</v>
      </c>
      <c r="X1430" s="5" t="s">
        <v>83</v>
      </c>
      <c r="Z1430" s="5" t="s">
        <v>6590</v>
      </c>
      <c r="AA1430" s="5" t="s">
        <v>44</v>
      </c>
      <c r="AC1430" s="8" t="str">
        <f>HYPERLINK("https://drive.google.com/file/d/1xM5jmWy0F0dps4__MtdYRbAJFnkyttGQ/view?usp=drivesdk", "Abrir_Factura")</f>
        <v>Abrir_Factura</v>
      </c>
      <c r="AD1430" s="9">
        <v>46041.313159722224</v>
      </c>
    </row>
    <row r="1431" spans="1:30" ht="12.5">
      <c r="A1431" s="4">
        <v>46041.318000694446</v>
      </c>
      <c r="B1431" s="5">
        <v>91169</v>
      </c>
      <c r="C1431" s="5">
        <v>1002136743</v>
      </c>
      <c r="D1431" s="5" t="s">
        <v>6591</v>
      </c>
      <c r="F1431" s="5" t="s">
        <v>6592</v>
      </c>
      <c r="H1431" s="5">
        <v>393518417532</v>
      </c>
      <c r="J1431" s="5" t="s">
        <v>6593</v>
      </c>
      <c r="K1431" s="5" t="s">
        <v>229</v>
      </c>
      <c r="L1431" s="5" t="s">
        <v>6594</v>
      </c>
      <c r="M1431" s="5">
        <v>3156764196</v>
      </c>
      <c r="N1431" s="6">
        <v>46045</v>
      </c>
      <c r="O1431" s="7">
        <v>0</v>
      </c>
      <c r="P1431" s="5">
        <v>1</v>
      </c>
      <c r="Q1431" s="5" t="s">
        <v>1126</v>
      </c>
      <c r="R1431" s="5">
        <v>340000</v>
      </c>
      <c r="S1431" s="5">
        <v>0</v>
      </c>
      <c r="T1431" s="5">
        <v>11000</v>
      </c>
      <c r="U1431" s="5">
        <v>351000</v>
      </c>
      <c r="V1431" s="5" t="s">
        <v>6595</v>
      </c>
      <c r="W1431" s="5" t="s">
        <v>36</v>
      </c>
      <c r="X1431" s="5" t="s">
        <v>83</v>
      </c>
      <c r="Z1431" s="5" t="s">
        <v>6596</v>
      </c>
      <c r="AA1431" s="5" t="s">
        <v>44</v>
      </c>
      <c r="AC1431" s="8" t="str">
        <f>HYPERLINK("https://drive.google.com/file/d/1X0xMVatrdBLGtugmcX_xzRdkv-nRA6bI/view?usp=drivesdk", "Abrir_Factura")</f>
        <v>Abrir_Factura</v>
      </c>
      <c r="AD1431" s="9">
        <v>46041.325474537036</v>
      </c>
    </row>
    <row r="1432" spans="1:30" ht="12.5">
      <c r="A1432" s="4">
        <v>46041.361003981481</v>
      </c>
      <c r="B1432" s="5">
        <v>91170</v>
      </c>
      <c r="C1432" s="5">
        <v>10218661</v>
      </c>
      <c r="D1432" s="5" t="s">
        <v>6597</v>
      </c>
      <c r="F1432" s="5" t="s">
        <v>6598</v>
      </c>
      <c r="H1432" s="5">
        <v>573148213832</v>
      </c>
      <c r="J1432" s="5" t="s">
        <v>6599</v>
      </c>
      <c r="K1432" s="5" t="s">
        <v>103</v>
      </c>
      <c r="L1432" s="5" t="s">
        <v>6600</v>
      </c>
      <c r="M1432" s="5"/>
      <c r="N1432" s="6">
        <v>46041</v>
      </c>
      <c r="O1432" s="7">
        <v>0.58333333333333337</v>
      </c>
      <c r="P1432" s="5">
        <v>1</v>
      </c>
      <c r="Q1432" s="5" t="s">
        <v>6601</v>
      </c>
      <c r="R1432" s="5">
        <v>370000</v>
      </c>
      <c r="S1432" s="5">
        <v>0</v>
      </c>
      <c r="T1432" s="5">
        <v>10000</v>
      </c>
      <c r="U1432" s="5">
        <v>380000</v>
      </c>
      <c r="V1432" s="5" t="s">
        <v>6602</v>
      </c>
      <c r="W1432" s="5" t="s">
        <v>36</v>
      </c>
      <c r="X1432" s="5" t="s">
        <v>196</v>
      </c>
      <c r="AA1432" s="5" t="s">
        <v>1717</v>
      </c>
      <c r="AC1432" s="8" t="str">
        <f>HYPERLINK("https://drive.google.com/file/d/1WNGWOjpoyaIIVJW5VgvhYLKyD0g7eB0a/view?usp=drivesdk", "Abrir_Factura")</f>
        <v>Abrir_Factura</v>
      </c>
      <c r="AD1432" s="9">
        <v>46041.361446759256</v>
      </c>
    </row>
    <row r="1433" spans="1:30" ht="12.5">
      <c r="A1433" s="4">
        <v>46041.365883032406</v>
      </c>
      <c r="B1433" s="5">
        <v>91171</v>
      </c>
      <c r="C1433" s="5">
        <v>1010076902</v>
      </c>
      <c r="D1433" s="5" t="s">
        <v>6603</v>
      </c>
      <c r="F1433" s="5" t="s">
        <v>6604</v>
      </c>
      <c r="H1433" s="5">
        <v>573137458850</v>
      </c>
      <c r="J1433" s="5" t="s">
        <v>6605</v>
      </c>
      <c r="K1433" s="5" t="s">
        <v>73</v>
      </c>
      <c r="L1433" s="5" t="s">
        <v>6606</v>
      </c>
      <c r="M1433" s="5">
        <v>3002054429</v>
      </c>
      <c r="N1433" s="6">
        <v>46041</v>
      </c>
      <c r="O1433" s="7">
        <v>0.41666666666666669</v>
      </c>
      <c r="P1433" s="5">
        <v>1</v>
      </c>
      <c r="Q1433" s="5" t="s">
        <v>294</v>
      </c>
      <c r="R1433" s="5">
        <v>180000</v>
      </c>
      <c r="S1433" s="5">
        <v>0</v>
      </c>
      <c r="T1433" s="5">
        <v>8000</v>
      </c>
      <c r="U1433" s="5">
        <v>188000</v>
      </c>
      <c r="V1433" s="5" t="s">
        <v>6607</v>
      </c>
      <c r="W1433" s="5" t="s">
        <v>36</v>
      </c>
      <c r="X1433" s="5" t="s">
        <v>83</v>
      </c>
      <c r="Z1433" s="5" t="s">
        <v>6608</v>
      </c>
      <c r="AA1433" s="5" t="s">
        <v>44</v>
      </c>
      <c r="AC1433" s="8" t="str">
        <f>HYPERLINK("https://drive.google.com/file/d/1QbMN8iUCW7sQe7ySxd9-el4RJIgFpb5I/view?usp=drivesdk", "Abrir_Factura")</f>
        <v>Abrir_Factura</v>
      </c>
      <c r="AD1433" s="9">
        <v>46041.375219907408</v>
      </c>
    </row>
    <row r="1434" spans="1:30" ht="12.5">
      <c r="A1434" s="4">
        <v>46041.360961076389</v>
      </c>
      <c r="B1434" s="5">
        <v>91172</v>
      </c>
      <c r="C1434" s="5">
        <v>1143456366</v>
      </c>
      <c r="D1434" s="5" t="s">
        <v>6609</v>
      </c>
      <c r="F1434" s="5" t="s">
        <v>6610</v>
      </c>
      <c r="H1434" s="5">
        <v>573008396748</v>
      </c>
      <c r="J1434" s="5" t="s">
        <v>6611</v>
      </c>
      <c r="K1434" s="5" t="s">
        <v>6612</v>
      </c>
      <c r="L1434" s="5" t="s">
        <v>6613</v>
      </c>
      <c r="M1434" s="5">
        <v>3008396748</v>
      </c>
      <c r="N1434" s="6">
        <v>46041</v>
      </c>
      <c r="O1434" s="7">
        <v>0.45833333333333331</v>
      </c>
      <c r="P1434" s="5">
        <v>1</v>
      </c>
      <c r="Q1434" s="5" t="s">
        <v>322</v>
      </c>
      <c r="R1434" s="5">
        <v>135000</v>
      </c>
      <c r="S1434" s="5">
        <v>0</v>
      </c>
      <c r="T1434" s="5">
        <v>25000</v>
      </c>
      <c r="U1434" s="5">
        <v>160000</v>
      </c>
      <c r="V1434" s="5" t="s">
        <v>6614</v>
      </c>
      <c r="W1434" s="5" t="s">
        <v>36</v>
      </c>
      <c r="X1434" s="5" t="s">
        <v>83</v>
      </c>
      <c r="Z1434" s="5" t="s">
        <v>6615</v>
      </c>
      <c r="AA1434" s="5" t="s">
        <v>69</v>
      </c>
      <c r="AC1434" s="8" t="str">
        <f>HYPERLINK("https://drive.google.com/file/d/1b70D987X0woY1eIVBzGnxQ8H7fma7o3Z/view?usp=drivesdk", "Abrir_Factura")</f>
        <v>Abrir_Factura</v>
      </c>
      <c r="AD1434" s="9">
        <v>46041.376597222225</v>
      </c>
    </row>
    <row r="1435" spans="1:30" ht="12.5">
      <c r="A1435" s="4">
        <v>46041.361103831019</v>
      </c>
      <c r="B1435" s="5">
        <v>91173</v>
      </c>
      <c r="C1435" s="5">
        <v>1234095399</v>
      </c>
      <c r="D1435" s="5" t="s">
        <v>6616</v>
      </c>
      <c r="F1435" s="5" t="s">
        <v>6617</v>
      </c>
      <c r="H1435" s="5">
        <v>573022132088</v>
      </c>
      <c r="J1435" s="5" t="s">
        <v>6618</v>
      </c>
      <c r="K1435" s="5" t="s">
        <v>185</v>
      </c>
      <c r="L1435" s="5" t="s">
        <v>6619</v>
      </c>
      <c r="M1435" s="5">
        <v>3022132088</v>
      </c>
      <c r="N1435" s="6">
        <v>46046</v>
      </c>
      <c r="O1435" s="7">
        <v>0.41666666666666669</v>
      </c>
      <c r="P1435" s="5">
        <v>1</v>
      </c>
      <c r="Q1435" s="5" t="s">
        <v>65</v>
      </c>
      <c r="R1435" s="5">
        <v>80000</v>
      </c>
      <c r="S1435" s="5">
        <v>0</v>
      </c>
      <c r="T1435" s="5">
        <v>8000</v>
      </c>
      <c r="U1435" s="5">
        <v>88000</v>
      </c>
      <c r="V1435" s="5" t="s">
        <v>6620</v>
      </c>
      <c r="W1435" s="5" t="s">
        <v>36</v>
      </c>
      <c r="X1435" s="5" t="s">
        <v>83</v>
      </c>
      <c r="Z1435" s="5" t="s">
        <v>6621</v>
      </c>
      <c r="AA1435" s="5" t="s">
        <v>44</v>
      </c>
      <c r="AB1435" s="5" t="s">
        <v>6622</v>
      </c>
      <c r="AC1435" s="8" t="str">
        <f>HYPERLINK("https://drive.google.com/file/d/1V2QSJu_r_UBhjk2rRxy9f8SJtd8cx0EP/view?usp=drivesdk", "Abrir_Factura")</f>
        <v>Abrir_Factura</v>
      </c>
      <c r="AD1435" s="9">
        <v>46041.379293981481</v>
      </c>
    </row>
    <row r="1436" spans="1:30" ht="12.5">
      <c r="A1436" s="4">
        <v>46041.379091192124</v>
      </c>
      <c r="B1436" s="5">
        <v>91174</v>
      </c>
      <c r="C1436" s="5">
        <v>1046701410</v>
      </c>
      <c r="D1436" s="5" t="s">
        <v>6623</v>
      </c>
      <c r="F1436" s="5" t="s">
        <v>6624</v>
      </c>
      <c r="H1436" s="5">
        <v>573003289100</v>
      </c>
      <c r="J1436" s="5" t="s">
        <v>6625</v>
      </c>
      <c r="K1436" s="5" t="s">
        <v>185</v>
      </c>
      <c r="L1436" s="5" t="s">
        <v>6626</v>
      </c>
      <c r="M1436" s="5">
        <v>3003289100</v>
      </c>
      <c r="N1436" s="6">
        <v>46041</v>
      </c>
      <c r="O1436" s="7">
        <v>0</v>
      </c>
      <c r="P1436" s="5">
        <v>1</v>
      </c>
      <c r="Q1436" s="5" t="s">
        <v>156</v>
      </c>
      <c r="R1436" s="5">
        <v>80000</v>
      </c>
      <c r="S1436" s="5">
        <v>0</v>
      </c>
      <c r="T1436" s="5">
        <v>8000</v>
      </c>
      <c r="U1436" s="5">
        <v>88000</v>
      </c>
      <c r="V1436" s="5" t="s">
        <v>6627</v>
      </c>
      <c r="W1436" s="5" t="s">
        <v>36</v>
      </c>
      <c r="X1436" s="5" t="s">
        <v>196</v>
      </c>
      <c r="Z1436" s="5" t="s">
        <v>6628</v>
      </c>
      <c r="AA1436" s="5" t="s">
        <v>44</v>
      </c>
      <c r="AB1436" s="5" t="s">
        <v>6629</v>
      </c>
      <c r="AC1436" s="8" t="str">
        <f>HYPERLINK("https://drive.google.com/file/d/1jKfkAy5l1kZr5zqt1gJks6cOFhry8cGf/view?usp=drivesdk", "Abrir_Factura")</f>
        <v>Abrir_Factura</v>
      </c>
      <c r="AD1436" s="9">
        <v>46041.583622685182</v>
      </c>
    </row>
    <row r="1437" spans="1:30" ht="12.5">
      <c r="A1437" s="4">
        <v>46041.373937928242</v>
      </c>
      <c r="B1437" s="5">
        <v>91175</v>
      </c>
      <c r="C1437" s="5">
        <v>1002209627</v>
      </c>
      <c r="D1437" s="5" t="s">
        <v>158</v>
      </c>
      <c r="F1437" s="5" t="s">
        <v>6201</v>
      </c>
      <c r="H1437" s="5">
        <v>573004520064</v>
      </c>
      <c r="J1437" s="5" t="s">
        <v>6630</v>
      </c>
      <c r="K1437" s="5" t="s">
        <v>4558</v>
      </c>
      <c r="L1437" s="5" t="s">
        <v>6631</v>
      </c>
      <c r="M1437" s="5" t="s">
        <v>6632</v>
      </c>
      <c r="N1437" s="6">
        <v>46041</v>
      </c>
      <c r="O1437" s="7">
        <v>0.41666666666666669</v>
      </c>
      <c r="P1437" s="5">
        <v>1</v>
      </c>
      <c r="Q1437" s="5" t="s">
        <v>422</v>
      </c>
      <c r="R1437" s="5">
        <v>150000</v>
      </c>
      <c r="S1437" s="5">
        <v>0</v>
      </c>
      <c r="T1437" s="5">
        <v>10000</v>
      </c>
      <c r="U1437" s="5">
        <v>160000</v>
      </c>
      <c r="V1437" s="5" t="s">
        <v>6633</v>
      </c>
      <c r="W1437" s="5" t="s">
        <v>36</v>
      </c>
      <c r="X1437" s="5" t="s">
        <v>1937</v>
      </c>
      <c r="Z1437" s="5" t="s">
        <v>6634</v>
      </c>
      <c r="AA1437" s="5" t="s">
        <v>44</v>
      </c>
      <c r="AC1437" s="8" t="str">
        <f>HYPERLINK("https://drive.google.com/file/d/141eRo3SYBPGEDbRI7NgSKXnuGqvHlsYP/view?usp=drivesdk", "Abrir_Factura")</f>
        <v>Abrir_Factura</v>
      </c>
      <c r="AD1437" s="9">
        <v>46041.387233796297</v>
      </c>
    </row>
    <row r="1438" spans="1:30" ht="12.5">
      <c r="A1438" s="4">
        <v>46041.377170613428</v>
      </c>
      <c r="B1438" s="5">
        <v>91176</v>
      </c>
      <c r="C1438" s="5">
        <v>72311041</v>
      </c>
      <c r="D1438" s="5" t="s">
        <v>5182</v>
      </c>
      <c r="F1438" s="5" t="s">
        <v>6635</v>
      </c>
      <c r="H1438" s="5">
        <v>573004079805</v>
      </c>
      <c r="J1438" s="5" t="s">
        <v>6636</v>
      </c>
      <c r="K1438" s="5" t="s">
        <v>249</v>
      </c>
      <c r="L1438" s="5" t="s">
        <v>6637</v>
      </c>
      <c r="M1438" s="5">
        <v>3183976746</v>
      </c>
      <c r="N1438" s="6">
        <v>46041</v>
      </c>
      <c r="O1438" s="7">
        <v>0.41666666666666669</v>
      </c>
      <c r="P1438" s="5">
        <v>1</v>
      </c>
      <c r="Q1438" s="5" t="s">
        <v>384</v>
      </c>
      <c r="R1438" s="5">
        <v>200000</v>
      </c>
      <c r="S1438" s="5">
        <v>0</v>
      </c>
      <c r="T1438" s="5">
        <v>10000</v>
      </c>
      <c r="U1438" s="5">
        <v>210000</v>
      </c>
      <c r="V1438" s="5" t="s">
        <v>6638</v>
      </c>
      <c r="W1438" s="5" t="s">
        <v>36</v>
      </c>
      <c r="X1438" s="5" t="s">
        <v>83</v>
      </c>
      <c r="AA1438" s="5" t="s">
        <v>44</v>
      </c>
      <c r="AC1438" s="8" t="str">
        <f>HYPERLINK("https://drive.google.com/file/d/1RRvwwG1zmLq6DS6bpc-Xf8nTS3Dl31xn/view?usp=drivesdk", "Abrir_Factura")</f>
        <v>Abrir_Factura</v>
      </c>
      <c r="AD1438" s="9">
        <v>46041.388981481483</v>
      </c>
    </row>
    <row r="1439" spans="1:30" ht="12.5">
      <c r="A1439" s="4">
        <v>46041.400025405092</v>
      </c>
      <c r="B1439" s="5">
        <v>91177</v>
      </c>
      <c r="C1439" s="5">
        <v>2420237323</v>
      </c>
      <c r="D1439" s="5" t="s">
        <v>6639</v>
      </c>
      <c r="F1439" s="5" t="s">
        <v>2699</v>
      </c>
      <c r="H1439" s="5">
        <v>5700000</v>
      </c>
      <c r="J1439" s="5" t="s">
        <v>6640</v>
      </c>
      <c r="K1439" s="5" t="s">
        <v>33</v>
      </c>
      <c r="L1439" s="5" t="s">
        <v>34</v>
      </c>
      <c r="M1439" s="5"/>
      <c r="N1439" s="6">
        <v>46041</v>
      </c>
      <c r="O1439" s="7">
        <v>0</v>
      </c>
      <c r="P1439" s="5">
        <v>1</v>
      </c>
      <c r="Q1439" s="5" t="s">
        <v>178</v>
      </c>
      <c r="R1439" s="5">
        <v>110000</v>
      </c>
      <c r="S1439" s="5">
        <v>0</v>
      </c>
      <c r="T1439" s="5">
        <v>0</v>
      </c>
      <c r="U1439" s="5">
        <v>110000</v>
      </c>
      <c r="V1439" s="5"/>
      <c r="W1439" s="5" t="s">
        <v>36</v>
      </c>
      <c r="X1439" s="5" t="s">
        <v>37</v>
      </c>
      <c r="AA1439" s="5" t="s">
        <v>37</v>
      </c>
      <c r="AB1439" s="5" t="s">
        <v>6641</v>
      </c>
      <c r="AC1439" s="8" t="str">
        <f>HYPERLINK("https://drive.google.com/file/d/16m6E2IZmjqLEZeBWU2kPZWR36XFR32o2/view?usp=drivesdk", "Abrir_Factura")</f>
        <v>Abrir_Factura</v>
      </c>
      <c r="AD1439" s="9">
        <v>46041.400578703702</v>
      </c>
    </row>
    <row r="1440" spans="1:30" ht="12.5">
      <c r="A1440" s="4">
        <v>46041.408882002317</v>
      </c>
      <c r="B1440" s="5">
        <v>91178</v>
      </c>
      <c r="C1440" s="5">
        <v>11851590</v>
      </c>
      <c r="D1440" s="5" t="s">
        <v>4445</v>
      </c>
      <c r="F1440" s="5" t="s">
        <v>6642</v>
      </c>
      <c r="H1440" s="5">
        <v>5711111</v>
      </c>
      <c r="J1440" s="5" t="s">
        <v>6643</v>
      </c>
      <c r="K1440" s="5" t="s">
        <v>33</v>
      </c>
      <c r="L1440" s="5" t="s">
        <v>34</v>
      </c>
      <c r="M1440" s="5">
        <v>11111</v>
      </c>
      <c r="N1440" s="6">
        <v>46041</v>
      </c>
      <c r="O1440" s="7">
        <v>0</v>
      </c>
      <c r="P1440" s="5">
        <v>1</v>
      </c>
      <c r="Q1440" s="5" t="s">
        <v>75</v>
      </c>
      <c r="R1440" s="5">
        <v>80000</v>
      </c>
      <c r="S1440" s="5">
        <v>0</v>
      </c>
      <c r="T1440" s="5">
        <v>0</v>
      </c>
      <c r="U1440" s="5">
        <v>80000</v>
      </c>
      <c r="V1440" s="5"/>
      <c r="W1440" s="5" t="s">
        <v>36</v>
      </c>
      <c r="X1440" s="5" t="s">
        <v>1705</v>
      </c>
      <c r="AA1440" s="5" t="s">
        <v>1717</v>
      </c>
      <c r="AC1440" s="8" t="str">
        <f>HYPERLINK("https://drive.google.com/file/d/1t27rAl7toCuHDO53cTpd348X--7hfIWG/view?usp=drivesdk", "Abrir_Factura")</f>
        <v>Abrir_Factura</v>
      </c>
      <c r="AD1440" s="9">
        <v>46041.409270833334</v>
      </c>
    </row>
    <row r="1441" spans="1:30" ht="12.5">
      <c r="A1441" s="4">
        <v>46041.425358865745</v>
      </c>
      <c r="B1441" s="5">
        <v>91179</v>
      </c>
      <c r="C1441" s="5">
        <v>22423671</v>
      </c>
      <c r="D1441" s="5" t="s">
        <v>6644</v>
      </c>
      <c r="F1441" s="5" t="s">
        <v>6645</v>
      </c>
      <c r="H1441" s="5">
        <v>573218046491</v>
      </c>
      <c r="J1441" s="5" t="s">
        <v>6646</v>
      </c>
      <c r="K1441" s="5"/>
      <c r="L1441" s="5" t="s">
        <v>6647</v>
      </c>
      <c r="M1441" s="5"/>
      <c r="N1441" s="6">
        <v>46041</v>
      </c>
      <c r="O1441" s="7">
        <v>0</v>
      </c>
      <c r="P1441" s="5">
        <v>1</v>
      </c>
      <c r="Q1441" s="5" t="s">
        <v>1696</v>
      </c>
      <c r="R1441" s="5">
        <v>800000</v>
      </c>
      <c r="S1441" s="5">
        <v>0</v>
      </c>
      <c r="T1441" s="5"/>
      <c r="U1441" s="5">
        <v>800000</v>
      </c>
      <c r="V1441" s="5" t="s">
        <v>6648</v>
      </c>
      <c r="W1441" s="5" t="s">
        <v>36</v>
      </c>
      <c r="X1441" s="5" t="s">
        <v>180</v>
      </c>
      <c r="AA1441" s="5" t="s">
        <v>44</v>
      </c>
      <c r="AC1441" s="8" t="str">
        <f>HYPERLINK("https://drive.google.com/file/d/1BQva9N-mmEpzDp84l9yFF_6-Pk3bj2n-/view?usp=drivesdk", "Abrir_Factura")</f>
        <v>Abrir_Factura</v>
      </c>
      <c r="AD1441" s="9">
        <v>46041.431701388887</v>
      </c>
    </row>
    <row r="1442" spans="1:30" ht="12.5">
      <c r="A1442" s="4">
        <v>46041.414976365741</v>
      </c>
      <c r="B1442" s="5">
        <v>91180</v>
      </c>
      <c r="C1442" s="5">
        <v>1088327752</v>
      </c>
      <c r="D1442" s="5" t="s">
        <v>595</v>
      </c>
      <c r="F1442" s="5" t="s">
        <v>6649</v>
      </c>
      <c r="H1442" s="5">
        <v>573002805372</v>
      </c>
      <c r="J1442" s="5" t="s">
        <v>6650</v>
      </c>
      <c r="K1442" s="5" t="s">
        <v>73</v>
      </c>
      <c r="L1442" s="5" t="s">
        <v>6651</v>
      </c>
      <c r="M1442" s="5" t="s">
        <v>25421</v>
      </c>
      <c r="N1442" s="6">
        <v>46041</v>
      </c>
      <c r="O1442" s="7">
        <v>0.45833333333333331</v>
      </c>
      <c r="P1442" s="5">
        <v>1</v>
      </c>
      <c r="Q1442" s="5" t="s">
        <v>42</v>
      </c>
      <c r="R1442" s="5">
        <v>50000</v>
      </c>
      <c r="S1442" s="5">
        <v>0</v>
      </c>
      <c r="T1442" s="5">
        <v>8000</v>
      </c>
      <c r="U1442" s="5">
        <v>58000</v>
      </c>
      <c r="V1442" s="5" t="s">
        <v>6652</v>
      </c>
      <c r="W1442" s="5" t="s">
        <v>36</v>
      </c>
      <c r="X1442" s="5" t="s">
        <v>83</v>
      </c>
      <c r="Z1442" s="5" t="s">
        <v>6653</v>
      </c>
      <c r="AA1442" s="5" t="s">
        <v>44</v>
      </c>
      <c r="AC1442" s="8" t="str">
        <f>HYPERLINK("https://drive.google.com/file/d/1RfzrM3yJivXlkfTR1VsB2UznJlLewcu1/view?usp=drivesdk", "Abrir_Factura")</f>
        <v>Abrir_Factura</v>
      </c>
      <c r="AD1442" s="9">
        <v>46041.442337962966</v>
      </c>
    </row>
    <row r="1443" spans="1:30" ht="12.5">
      <c r="A1443" s="4">
        <v>46041.393184618057</v>
      </c>
      <c r="B1443" s="5">
        <v>91181</v>
      </c>
      <c r="C1443" s="5">
        <v>1053006509</v>
      </c>
      <c r="D1443" s="5" t="s">
        <v>6654</v>
      </c>
      <c r="F1443" s="5" t="s">
        <v>6655</v>
      </c>
      <c r="H1443" s="5">
        <v>573150669065</v>
      </c>
      <c r="J1443" s="5" t="s">
        <v>6656</v>
      </c>
      <c r="K1443" s="5" t="s">
        <v>124</v>
      </c>
      <c r="L1443" s="5" t="s">
        <v>6657</v>
      </c>
      <c r="M1443" s="5">
        <v>3002349492</v>
      </c>
      <c r="N1443" s="6">
        <v>46042</v>
      </c>
      <c r="O1443" s="7">
        <v>0.375</v>
      </c>
      <c r="P1443" s="5">
        <v>1</v>
      </c>
      <c r="Q1443" s="5" t="s">
        <v>42</v>
      </c>
      <c r="R1443" s="5">
        <v>60000</v>
      </c>
      <c r="S1443" s="5">
        <v>0</v>
      </c>
      <c r="T1443" s="5">
        <v>12000</v>
      </c>
      <c r="U1443" s="5">
        <v>72000</v>
      </c>
      <c r="V1443" s="5" t="s">
        <v>6658</v>
      </c>
      <c r="W1443" s="5" t="s">
        <v>36</v>
      </c>
      <c r="X1443" s="5" t="s">
        <v>83</v>
      </c>
      <c r="Z1443" s="5" t="s">
        <v>6659</v>
      </c>
      <c r="AA1443" s="5" t="s">
        <v>69</v>
      </c>
      <c r="AB1443" s="5" t="s">
        <v>6660</v>
      </c>
      <c r="AC1443" s="8" t="str">
        <f>HYPERLINK("https://drive.google.com/file/d/1XLPW0WIdqTSXJIzwZV-Xt7nSHQunOIqE/view?usp=drivesdk", "Abrir_Factura")</f>
        <v>Abrir_Factura</v>
      </c>
      <c r="AD1443" s="9">
        <v>46041.444120370368</v>
      </c>
    </row>
    <row r="1444" spans="1:30" ht="12.5">
      <c r="A1444" s="4">
        <v>46041.446288344909</v>
      </c>
      <c r="B1444" s="5">
        <v>91182</v>
      </c>
      <c r="C1444" s="5">
        <v>1140888822</v>
      </c>
      <c r="D1444" s="5" t="s">
        <v>3075</v>
      </c>
      <c r="F1444" s="5" t="s">
        <v>4323</v>
      </c>
      <c r="H1444" s="5">
        <v>573006906441</v>
      </c>
      <c r="J1444" s="5" t="s">
        <v>6661</v>
      </c>
      <c r="K1444" s="5" t="s">
        <v>6662</v>
      </c>
      <c r="L1444" s="5" t="s">
        <v>6663</v>
      </c>
      <c r="M1444" s="5">
        <v>3006906441</v>
      </c>
      <c r="N1444" s="6">
        <v>46042</v>
      </c>
      <c r="O1444" s="7">
        <v>0.72916666666666663</v>
      </c>
      <c r="P1444" s="5">
        <v>1</v>
      </c>
      <c r="Q1444" s="5" t="s">
        <v>6664</v>
      </c>
      <c r="R1444" s="5">
        <v>180000</v>
      </c>
      <c r="S1444" s="5">
        <v>0</v>
      </c>
      <c r="T1444" s="5">
        <v>15000</v>
      </c>
      <c r="U1444" s="5">
        <v>195000</v>
      </c>
      <c r="V1444" s="5" t="s">
        <v>6665</v>
      </c>
      <c r="W1444" s="5" t="s">
        <v>36</v>
      </c>
      <c r="X1444" s="5" t="s">
        <v>83</v>
      </c>
      <c r="Z1444" s="5" t="s">
        <v>6666</v>
      </c>
      <c r="AA1444" s="5" t="s">
        <v>44</v>
      </c>
      <c r="AC1444" s="8" t="str">
        <f>HYPERLINK("https://drive.google.com/file/d/1783-YFq9UjsQCwAeFzq1J__jPx5qPhiq/view?usp=drivesdk", "Abrir_Factura")</f>
        <v>Abrir_Factura</v>
      </c>
      <c r="AD1444" s="9">
        <v>46041.463854166665</v>
      </c>
    </row>
    <row r="1445" spans="1:30" ht="12.5">
      <c r="A1445" s="4">
        <v>46041.467198240745</v>
      </c>
      <c r="B1445" s="5">
        <v>91183</v>
      </c>
      <c r="C1445" s="5">
        <v>1234091764</v>
      </c>
      <c r="D1445" s="5" t="s">
        <v>1973</v>
      </c>
      <c r="F1445" s="5" t="s">
        <v>6667</v>
      </c>
      <c r="H1445" s="5">
        <v>573212304332</v>
      </c>
      <c r="J1445" s="5" t="s">
        <v>6668</v>
      </c>
      <c r="K1445" s="5" t="s">
        <v>110</v>
      </c>
      <c r="L1445" s="5" t="s">
        <v>6669</v>
      </c>
      <c r="M1445" s="5">
        <v>3212304332</v>
      </c>
      <c r="N1445" s="6">
        <v>46042</v>
      </c>
      <c r="O1445" s="7">
        <v>0</v>
      </c>
      <c r="P1445" s="5">
        <v>1</v>
      </c>
      <c r="Q1445" s="5" t="s">
        <v>75</v>
      </c>
      <c r="R1445" s="5">
        <v>80000</v>
      </c>
      <c r="S1445" s="5">
        <v>0</v>
      </c>
      <c r="T1445" s="5">
        <v>6000</v>
      </c>
      <c r="U1445" s="5">
        <v>86000</v>
      </c>
      <c r="V1445" s="5" t="s">
        <v>6670</v>
      </c>
      <c r="W1445" s="5" t="s">
        <v>36</v>
      </c>
      <c r="X1445" s="5" t="s">
        <v>1481</v>
      </c>
      <c r="Z1445" s="5" t="s">
        <v>6671</v>
      </c>
      <c r="AA1445" s="5" t="s">
        <v>69</v>
      </c>
      <c r="AB1445" s="5" t="s">
        <v>6672</v>
      </c>
      <c r="AC1445" s="8" t="str">
        <f>HYPERLINK("https://drive.google.com/file/d/1WkU8LtaZsYfOuJtBn7yxAOouN-fVwdJg/view?usp=drivesdk", "Abrir_Factura")</f>
        <v>Abrir_Factura</v>
      </c>
      <c r="AD1445" s="9">
        <v>46041.473333333335</v>
      </c>
    </row>
    <row r="1446" spans="1:30" ht="12.5">
      <c r="A1446" s="4">
        <v>46041.472287766199</v>
      </c>
      <c r="B1446" s="5">
        <v>91184</v>
      </c>
      <c r="C1446" s="5">
        <v>1020820445</v>
      </c>
      <c r="D1446" s="5" t="s">
        <v>338</v>
      </c>
      <c r="F1446" s="5" t="s">
        <v>6673</v>
      </c>
      <c r="H1446" s="5">
        <v>573143649035</v>
      </c>
      <c r="J1446" s="5" t="s">
        <v>6674</v>
      </c>
      <c r="K1446" s="5" t="s">
        <v>103</v>
      </c>
      <c r="L1446" s="5" t="s">
        <v>6675</v>
      </c>
      <c r="M1446" s="5"/>
      <c r="N1446" s="6">
        <v>46041</v>
      </c>
      <c r="O1446" s="7">
        <v>0</v>
      </c>
      <c r="P1446" s="5">
        <v>1</v>
      </c>
      <c r="Q1446" s="5" t="s">
        <v>542</v>
      </c>
      <c r="R1446" s="5">
        <v>150000</v>
      </c>
      <c r="S1446" s="5">
        <v>0</v>
      </c>
      <c r="T1446" s="5">
        <v>10000</v>
      </c>
      <c r="U1446" s="5">
        <v>160000</v>
      </c>
      <c r="V1446" s="5" t="s">
        <v>6676</v>
      </c>
      <c r="W1446" s="5" t="s">
        <v>36</v>
      </c>
      <c r="X1446" s="5" t="s">
        <v>1705</v>
      </c>
      <c r="Z1446" s="5" t="s">
        <v>6677</v>
      </c>
      <c r="AA1446" s="5" t="s">
        <v>44</v>
      </c>
      <c r="AC1446" s="8" t="str">
        <f>HYPERLINK("https://drive.google.com/file/d/1wnXQJC1F6pUDW1PQpnHn_f4_Zghf_57x/view?usp=drivesdk", "Abrir_Factura")</f>
        <v>Abrir_Factura</v>
      </c>
      <c r="AD1446" s="9">
        <v>46041.489293981482</v>
      </c>
    </row>
    <row r="1447" spans="1:30" ht="12.5">
      <c r="A1447" s="4">
        <v>46041.498200532413</v>
      </c>
      <c r="B1447" s="5">
        <v>91185</v>
      </c>
      <c r="C1447" s="5">
        <v>1193228261</v>
      </c>
      <c r="D1447" s="5" t="s">
        <v>6678</v>
      </c>
      <c r="F1447" s="5" t="s">
        <v>6679</v>
      </c>
      <c r="H1447" s="5">
        <v>573042717531</v>
      </c>
      <c r="J1447" s="5" t="s">
        <v>6680</v>
      </c>
      <c r="K1447" s="5"/>
      <c r="L1447" s="5" t="s">
        <v>34</v>
      </c>
      <c r="M1447" s="5">
        <v>3042717531</v>
      </c>
      <c r="N1447" s="6">
        <v>46041</v>
      </c>
      <c r="O1447" s="7">
        <v>0.54166666666666663</v>
      </c>
      <c r="P1447" s="5">
        <v>1</v>
      </c>
      <c r="Q1447" s="5" t="s">
        <v>559</v>
      </c>
      <c r="R1447" s="5">
        <v>90000</v>
      </c>
      <c r="S1447" s="5">
        <v>0</v>
      </c>
      <c r="T1447" s="5"/>
      <c r="U1447" s="5">
        <v>90000</v>
      </c>
      <c r="V1447" s="5" t="s">
        <v>6681</v>
      </c>
      <c r="W1447" s="5" t="s">
        <v>36</v>
      </c>
      <c r="X1447" s="5" t="s">
        <v>196</v>
      </c>
      <c r="Z1447" s="5" t="s">
        <v>6682</v>
      </c>
      <c r="AA1447" s="5" t="s">
        <v>44</v>
      </c>
      <c r="AC1447" s="8" t="str">
        <f>HYPERLINK("https://drive.google.com/file/d/1FinbLM03YbAMYL6JntDsNew5zxsQ0kGS/view?usp=drivesdk", "Abrir_Factura")</f>
        <v>Abrir_Factura</v>
      </c>
      <c r="AD1447" s="9">
        <v>46041.581597222219</v>
      </c>
    </row>
    <row r="1448" spans="1:30" ht="12.5">
      <c r="A1448" s="4">
        <v>46041.501207997688</v>
      </c>
      <c r="B1448" s="5">
        <v>91186</v>
      </c>
      <c r="C1448" s="5">
        <v>1001998619</v>
      </c>
      <c r="D1448" s="5" t="s">
        <v>6683</v>
      </c>
      <c r="F1448" s="5" t="s">
        <v>6684</v>
      </c>
      <c r="H1448" s="5">
        <v>573004473832</v>
      </c>
      <c r="J1448" s="5" t="s">
        <v>6685</v>
      </c>
      <c r="K1448" s="5" t="s">
        <v>401</v>
      </c>
      <c r="L1448" s="5" t="s">
        <v>6686</v>
      </c>
      <c r="M1448" s="5">
        <v>3143663864</v>
      </c>
      <c r="N1448" s="6">
        <v>46041</v>
      </c>
      <c r="O1448" s="7">
        <v>0</v>
      </c>
      <c r="P1448" s="5">
        <v>1</v>
      </c>
      <c r="Q1448" s="5" t="s">
        <v>309</v>
      </c>
      <c r="R1448" s="5">
        <v>88000</v>
      </c>
      <c r="S1448" s="5">
        <v>0</v>
      </c>
      <c r="T1448" s="5">
        <v>12000</v>
      </c>
      <c r="U1448" s="5">
        <v>100000</v>
      </c>
      <c r="V1448" s="5" t="s">
        <v>6687</v>
      </c>
      <c r="W1448" s="5" t="s">
        <v>36</v>
      </c>
      <c r="X1448" s="5" t="s">
        <v>83</v>
      </c>
      <c r="Z1448" s="5" t="s">
        <v>6688</v>
      </c>
      <c r="AA1448" s="5" t="s">
        <v>44</v>
      </c>
      <c r="AC1448" s="8" t="str">
        <f>HYPERLINK("https://drive.google.com/file/d/1P_LgaYwTf0Qp95aXZAQKbn93ZRNxyZOi/view?usp=drivesdk", "Abrir_Factura")</f>
        <v>Abrir_Factura</v>
      </c>
      <c r="AD1448" s="9">
        <v>46041.512754629628</v>
      </c>
    </row>
    <row r="1449" spans="1:30" ht="12.5">
      <c r="A1449" s="4">
        <v>46041.498349131944</v>
      </c>
      <c r="B1449" s="5">
        <v>91187</v>
      </c>
      <c r="C1449" s="5">
        <v>1083048017</v>
      </c>
      <c r="D1449" s="5" t="s">
        <v>6689</v>
      </c>
      <c r="F1449" s="5" t="s">
        <v>6690</v>
      </c>
      <c r="H1449" s="5">
        <v>573234404745</v>
      </c>
      <c r="J1449" s="5" t="s">
        <v>6691</v>
      </c>
      <c r="K1449" s="5" t="s">
        <v>6692</v>
      </c>
      <c r="L1449" s="5" t="s">
        <v>6693</v>
      </c>
      <c r="M1449" s="5" t="s">
        <v>25421</v>
      </c>
      <c r="N1449" s="6">
        <v>46041</v>
      </c>
      <c r="O1449" s="7">
        <v>0.625</v>
      </c>
      <c r="P1449" s="5">
        <v>1</v>
      </c>
      <c r="Q1449" s="5" t="s">
        <v>375</v>
      </c>
      <c r="R1449" s="5">
        <v>80000</v>
      </c>
      <c r="S1449" s="5">
        <v>0</v>
      </c>
      <c r="T1449" s="5">
        <v>20000</v>
      </c>
      <c r="U1449" s="5">
        <v>100000</v>
      </c>
      <c r="V1449" s="5" t="s">
        <v>6694</v>
      </c>
      <c r="W1449" s="5" t="s">
        <v>36</v>
      </c>
      <c r="X1449" s="5" t="s">
        <v>83</v>
      </c>
      <c r="Z1449" s="5" t="s">
        <v>6695</v>
      </c>
      <c r="AA1449" s="5" t="s">
        <v>44</v>
      </c>
      <c r="AC1449" s="8" t="str">
        <f>HYPERLINK("https://drive.google.com/file/d/1d1NCVgStSt0wbELGlZbyfEZPcumMs3_v/view?usp=drivesdk", "Abrir_Factura")</f>
        <v>Abrir_Factura</v>
      </c>
      <c r="AD1449" s="9">
        <v>46041.516527777778</v>
      </c>
    </row>
    <row r="1450" spans="1:30" ht="12.5">
      <c r="A1450" s="4">
        <v>46041.513912187496</v>
      </c>
      <c r="B1450" s="5">
        <v>91188</v>
      </c>
      <c r="C1450" s="5">
        <v>1010013476</v>
      </c>
      <c r="D1450" s="5" t="s">
        <v>6696</v>
      </c>
      <c r="F1450" s="5" t="s">
        <v>6697</v>
      </c>
      <c r="H1450" s="5">
        <v>573104712536</v>
      </c>
      <c r="J1450" s="5" t="s">
        <v>6698</v>
      </c>
      <c r="K1450" s="5" t="s">
        <v>73</v>
      </c>
      <c r="L1450" s="5" t="s">
        <v>6699</v>
      </c>
      <c r="M1450" s="5">
        <v>3214568515</v>
      </c>
      <c r="N1450" s="6">
        <v>46041</v>
      </c>
      <c r="O1450" s="7">
        <v>0.625</v>
      </c>
      <c r="P1450" s="5">
        <v>1</v>
      </c>
      <c r="Q1450" s="5" t="s">
        <v>384</v>
      </c>
      <c r="R1450" s="5">
        <v>200000</v>
      </c>
      <c r="S1450" s="5">
        <v>0</v>
      </c>
      <c r="T1450" s="5">
        <v>8000</v>
      </c>
      <c r="U1450" s="5">
        <v>208000</v>
      </c>
      <c r="V1450" s="5" t="s">
        <v>6700</v>
      </c>
      <c r="W1450" s="5" t="s">
        <v>36</v>
      </c>
      <c r="X1450" s="5" t="s">
        <v>83</v>
      </c>
      <c r="Z1450" s="5" t="s">
        <v>6701</v>
      </c>
      <c r="AA1450" s="5" t="s">
        <v>44</v>
      </c>
      <c r="AC1450" s="8" t="str">
        <f>HYPERLINK("https://drive.google.com/file/d/1U3VMs06i8CJjwfDmAS7tyYmpOzDIWzIy/view?usp=drivesdk", "Abrir_Factura")</f>
        <v>Abrir_Factura</v>
      </c>
      <c r="AD1450" s="9">
        <v>46041.525787037041</v>
      </c>
    </row>
    <row r="1451" spans="1:30" ht="12.5">
      <c r="A1451" s="4">
        <v>46041.567781921302</v>
      </c>
      <c r="B1451" s="5">
        <v>91189</v>
      </c>
      <c r="C1451" s="5">
        <v>1127913645</v>
      </c>
      <c r="D1451" s="5" t="s">
        <v>6702</v>
      </c>
      <c r="F1451" s="5" t="s">
        <v>6703</v>
      </c>
      <c r="H1451" s="5">
        <v>573162121020</v>
      </c>
      <c r="J1451" s="5" t="s">
        <v>6704</v>
      </c>
      <c r="K1451" s="5" t="s">
        <v>307</v>
      </c>
      <c r="L1451" s="5" t="s">
        <v>6705</v>
      </c>
      <c r="M1451" s="5">
        <v>3162121020</v>
      </c>
      <c r="N1451" s="6">
        <v>46043</v>
      </c>
      <c r="O1451" s="7">
        <v>0.375</v>
      </c>
      <c r="P1451" s="5">
        <v>1</v>
      </c>
      <c r="Q1451" s="5" t="s">
        <v>1111</v>
      </c>
      <c r="R1451" s="5">
        <v>140000</v>
      </c>
      <c r="S1451" s="5">
        <v>0</v>
      </c>
      <c r="T1451" s="5">
        <v>10000</v>
      </c>
      <c r="U1451" s="5">
        <v>150000</v>
      </c>
      <c r="V1451" s="5" t="s">
        <v>6706</v>
      </c>
      <c r="W1451" s="5" t="s">
        <v>36</v>
      </c>
      <c r="X1451" s="5" t="s">
        <v>83</v>
      </c>
      <c r="Z1451" s="5" t="s">
        <v>6707</v>
      </c>
      <c r="AA1451" s="5" t="s">
        <v>44</v>
      </c>
      <c r="AB1451" s="5" t="s">
        <v>6708</v>
      </c>
      <c r="AC1451" s="8" t="str">
        <f>HYPERLINK("https://drive.google.com/file/d/1whZvUAb7QUVNYSRtcHOJhsO-Zvdr_6sK/view?usp=drivesdk", "Abrir_Factura")</f>
        <v>Abrir_Factura</v>
      </c>
      <c r="AD1451" s="9">
        <v>46041.572627314818</v>
      </c>
    </row>
    <row r="1452" spans="1:30" ht="12.5">
      <c r="A1452" s="4">
        <v>46041.552100983798</v>
      </c>
      <c r="B1452" s="5">
        <v>91190</v>
      </c>
      <c r="C1452" s="5">
        <v>1044610480</v>
      </c>
      <c r="D1452" s="5" t="s">
        <v>297</v>
      </c>
      <c r="F1452" s="5" t="s">
        <v>4625</v>
      </c>
      <c r="H1452" s="5">
        <v>573024496529</v>
      </c>
      <c r="J1452" s="5" t="s">
        <v>6709</v>
      </c>
      <c r="K1452" s="5" t="s">
        <v>33</v>
      </c>
      <c r="L1452" s="5" t="s">
        <v>34</v>
      </c>
      <c r="M1452" s="5">
        <v>3024496529</v>
      </c>
      <c r="N1452" s="6">
        <v>46042</v>
      </c>
      <c r="O1452" s="7">
        <v>0.66666666666666663</v>
      </c>
      <c r="P1452" s="5">
        <v>1</v>
      </c>
      <c r="Q1452" s="5" t="s">
        <v>375</v>
      </c>
      <c r="R1452" s="5">
        <v>80000</v>
      </c>
      <c r="S1452" s="5">
        <v>0</v>
      </c>
      <c r="T1452" s="5">
        <v>0</v>
      </c>
      <c r="U1452" s="5">
        <v>80000</v>
      </c>
      <c r="V1452" s="5"/>
      <c r="W1452" s="5" t="s">
        <v>36</v>
      </c>
      <c r="X1452" s="5" t="s">
        <v>83</v>
      </c>
      <c r="Z1452" s="5" t="s">
        <v>6710</v>
      </c>
      <c r="AA1452" s="5" t="s">
        <v>44</v>
      </c>
      <c r="AC1452" s="8" t="str">
        <f>HYPERLINK("https://drive.google.com/file/d/1c9_bDJ1mh_VvuXnhL2ORi1PtKjSrU-da/view?usp=drivesdk", "Abrir_Factura")</f>
        <v>Abrir_Factura</v>
      </c>
      <c r="AD1452" s="9">
        <v>46041.579317129632</v>
      </c>
    </row>
    <row r="1453" spans="1:30" ht="12.5">
      <c r="A1453" s="4">
        <v>46041.576439444441</v>
      </c>
      <c r="B1453" s="5">
        <v>91191</v>
      </c>
      <c r="C1453" s="5">
        <v>1001854962</v>
      </c>
      <c r="D1453" s="5" t="s">
        <v>158</v>
      </c>
      <c r="F1453" s="5" t="s">
        <v>6711</v>
      </c>
      <c r="H1453" s="5">
        <v>573015406760</v>
      </c>
      <c r="J1453" s="5" t="s">
        <v>6712</v>
      </c>
      <c r="K1453" s="5" t="s">
        <v>73</v>
      </c>
      <c r="L1453" s="5" t="s">
        <v>6713</v>
      </c>
      <c r="M1453" s="5">
        <v>3022456820</v>
      </c>
      <c r="N1453" s="6">
        <v>46041</v>
      </c>
      <c r="O1453" s="7">
        <v>0.66666666666666663</v>
      </c>
      <c r="P1453" s="5">
        <v>1</v>
      </c>
      <c r="Q1453" s="5" t="s">
        <v>335</v>
      </c>
      <c r="R1453" s="5">
        <v>120000</v>
      </c>
      <c r="S1453" s="5">
        <v>0</v>
      </c>
      <c r="T1453" s="5">
        <v>8000</v>
      </c>
      <c r="U1453" s="5">
        <v>128000</v>
      </c>
      <c r="V1453" s="5" t="s">
        <v>6714</v>
      </c>
      <c r="W1453" s="5" t="s">
        <v>36</v>
      </c>
      <c r="X1453" s="5" t="s">
        <v>204</v>
      </c>
      <c r="Z1453" s="5" t="s">
        <v>6715</v>
      </c>
      <c r="AA1453" s="5" t="s">
        <v>44</v>
      </c>
      <c r="AB1453" s="5" t="s">
        <v>6716</v>
      </c>
      <c r="AC1453" s="8" t="str">
        <f>HYPERLINK("https://drive.google.com/file/d/1wHD7hQxEIl1-J_c2OLJJmv6IjBp3YS-z/view?usp=drivesdk", "Abrir_Factura")</f>
        <v>Abrir_Factura</v>
      </c>
      <c r="AD1453" s="9">
        <v>46041.58053240741</v>
      </c>
    </row>
    <row r="1454" spans="1:30" ht="12.5">
      <c r="A1454" s="4">
        <v>46041.615649687505</v>
      </c>
      <c r="B1454" s="5">
        <v>91192</v>
      </c>
      <c r="C1454" s="5">
        <v>8737403</v>
      </c>
      <c r="D1454" s="5" t="s">
        <v>2061</v>
      </c>
      <c r="F1454" s="5" t="s">
        <v>2062</v>
      </c>
      <c r="H1454" s="5">
        <v>573106304282</v>
      </c>
      <c r="J1454" s="5" t="s">
        <v>2063</v>
      </c>
      <c r="K1454" s="5" t="s">
        <v>33</v>
      </c>
      <c r="L1454" s="5" t="s">
        <v>34</v>
      </c>
      <c r="M1454" s="5">
        <v>3106304282</v>
      </c>
      <c r="N1454" s="6">
        <v>46041</v>
      </c>
      <c r="O1454" s="7">
        <v>0</v>
      </c>
      <c r="P1454" s="5">
        <v>1</v>
      </c>
      <c r="Q1454" s="5" t="s">
        <v>42</v>
      </c>
      <c r="R1454" s="5">
        <v>40000</v>
      </c>
      <c r="S1454" s="5">
        <v>0</v>
      </c>
      <c r="T1454" s="5">
        <v>0</v>
      </c>
      <c r="U1454" s="5">
        <v>40000</v>
      </c>
      <c r="V1454" s="5"/>
      <c r="W1454" s="5" t="s">
        <v>36</v>
      </c>
      <c r="X1454" s="5" t="s">
        <v>196</v>
      </c>
      <c r="AA1454" s="5" t="s">
        <v>1717</v>
      </c>
      <c r="AC1454" s="8" t="str">
        <f>HYPERLINK("https://drive.google.com/file/d/1APJqbPzRQTXuGLC72vT1iQfjOtM0mn4d/view?usp=drivesdk", "Abrir_Factura")</f>
        <v>Abrir_Factura</v>
      </c>
      <c r="AD1454" s="9">
        <v>46041.616249999999</v>
      </c>
    </row>
    <row r="1455" spans="1:30" ht="12.5">
      <c r="A1455" s="4">
        <v>46041.628404583331</v>
      </c>
      <c r="B1455" s="5">
        <v>91193</v>
      </c>
      <c r="C1455" s="5">
        <v>22463875</v>
      </c>
      <c r="D1455" s="5" t="s">
        <v>6717</v>
      </c>
      <c r="F1455" s="5" t="s">
        <v>2341</v>
      </c>
      <c r="H1455" s="5">
        <v>573006254255</v>
      </c>
      <c r="J1455" s="5" t="s">
        <v>6718</v>
      </c>
      <c r="K1455" s="5" t="s">
        <v>307</v>
      </c>
      <c r="L1455" s="5" t="s">
        <v>6719</v>
      </c>
      <c r="M1455" s="5"/>
      <c r="N1455" s="6">
        <v>46041</v>
      </c>
      <c r="O1455" s="7">
        <v>0.6875</v>
      </c>
      <c r="P1455" s="5">
        <v>1</v>
      </c>
      <c r="Q1455" s="5" t="s">
        <v>1696</v>
      </c>
      <c r="R1455" s="5">
        <v>800000</v>
      </c>
      <c r="S1455" s="5">
        <v>0</v>
      </c>
      <c r="T1455" s="5">
        <v>10000</v>
      </c>
      <c r="U1455" s="5">
        <v>810000</v>
      </c>
      <c r="V1455" s="5"/>
      <c r="W1455" s="5" t="s">
        <v>36</v>
      </c>
      <c r="X1455" s="5" t="s">
        <v>83</v>
      </c>
      <c r="AA1455" s="5" t="s">
        <v>69</v>
      </c>
      <c r="AC1455" s="8" t="str">
        <f>HYPERLINK("https://drive.google.com/file/d/1yqIhCC6Sl8L3Er0IvRJpfjmJL9Fqv5nP/view?usp=drivesdk", "Abrir_Factura")</f>
        <v>Abrir_Factura</v>
      </c>
      <c r="AD1455" s="9">
        <v>46041.629282407404</v>
      </c>
    </row>
    <row r="1456" spans="1:30" ht="12.5">
      <c r="A1456" s="4">
        <v>46041.617760752313</v>
      </c>
      <c r="B1456" s="5">
        <v>91194</v>
      </c>
      <c r="C1456" s="5">
        <v>1140825501</v>
      </c>
      <c r="D1456" s="5" t="s">
        <v>1459</v>
      </c>
      <c r="F1456" s="5" t="s">
        <v>1460</v>
      </c>
      <c r="H1456" s="5">
        <v>573012238829</v>
      </c>
      <c r="J1456" s="5" t="s">
        <v>1461</v>
      </c>
      <c r="K1456" s="5" t="s">
        <v>63</v>
      </c>
      <c r="L1456" s="5" t="s">
        <v>6720</v>
      </c>
      <c r="M1456" s="5">
        <v>3012238829</v>
      </c>
      <c r="N1456" s="6">
        <v>46042</v>
      </c>
      <c r="O1456" s="7">
        <v>0.875</v>
      </c>
      <c r="P1456" s="5">
        <v>1</v>
      </c>
      <c r="Q1456" s="5" t="s">
        <v>178</v>
      </c>
      <c r="R1456" s="5">
        <v>110000</v>
      </c>
      <c r="S1456" s="5">
        <v>0</v>
      </c>
      <c r="T1456" s="5">
        <v>15000</v>
      </c>
      <c r="U1456" s="5">
        <v>125000</v>
      </c>
      <c r="V1456" s="5" t="s">
        <v>6721</v>
      </c>
      <c r="W1456" s="5" t="s">
        <v>36</v>
      </c>
      <c r="X1456" s="5" t="s">
        <v>83</v>
      </c>
      <c r="Z1456" s="5" t="s">
        <v>1464</v>
      </c>
      <c r="AA1456" s="5" t="s">
        <v>69</v>
      </c>
      <c r="AC1456" s="8" t="str">
        <f>HYPERLINK("https://drive.google.com/file/d/1Y3s6pyghWrIqaHm8TiTBekIuHsGnJSLv/view?usp=drivesdk", "Abrir_Factura")</f>
        <v>Abrir_Factura</v>
      </c>
      <c r="AD1456" s="9">
        <v>46041.63113425926</v>
      </c>
    </row>
    <row r="1457" spans="1:30" ht="12.5">
      <c r="A1457" s="4">
        <v>46041.64882667824</v>
      </c>
      <c r="B1457" s="5">
        <v>91195</v>
      </c>
      <c r="C1457" s="5">
        <v>22733029</v>
      </c>
      <c r="D1457" s="5" t="s">
        <v>6722</v>
      </c>
      <c r="F1457" s="5" t="s">
        <v>561</v>
      </c>
      <c r="H1457" s="5">
        <v>573003476056</v>
      </c>
      <c r="J1457" s="5" t="s">
        <v>6723</v>
      </c>
      <c r="K1457" s="5" t="s">
        <v>33</v>
      </c>
      <c r="L1457" s="5" t="s">
        <v>34</v>
      </c>
      <c r="M1457" s="5" t="s">
        <v>6724</v>
      </c>
      <c r="N1457" s="6">
        <v>46041</v>
      </c>
      <c r="O1457" s="7">
        <v>0</v>
      </c>
      <c r="P1457" s="5">
        <v>1</v>
      </c>
      <c r="Q1457" s="5" t="s">
        <v>42</v>
      </c>
      <c r="R1457" s="5">
        <v>30000</v>
      </c>
      <c r="S1457" s="5">
        <v>0</v>
      </c>
      <c r="T1457" s="5">
        <v>0</v>
      </c>
      <c r="U1457" s="5">
        <v>30000</v>
      </c>
      <c r="V1457" s="5"/>
      <c r="W1457" s="5" t="s">
        <v>36</v>
      </c>
      <c r="X1457" s="5" t="s">
        <v>83</v>
      </c>
      <c r="AA1457" s="5" t="s">
        <v>1717</v>
      </c>
      <c r="AC1457" s="8" t="str">
        <f>HYPERLINK("https://drive.google.com/file/d/1Zat7ZXFK_dsftrD3MiFaADiUh_mGEiiu/view?usp=drivesdk", "Abrir_Factura")</f>
        <v>Abrir_Factura</v>
      </c>
      <c r="AD1457" s="9">
        <v>46041.649340277778</v>
      </c>
    </row>
    <row r="1458" spans="1:30" ht="12.5">
      <c r="A1458" s="4">
        <v>46041.654959467589</v>
      </c>
      <c r="B1458" s="5">
        <v>91196</v>
      </c>
      <c r="C1458" s="5">
        <v>1043121569</v>
      </c>
      <c r="D1458" s="5" t="s">
        <v>6725</v>
      </c>
      <c r="F1458" s="5" t="s">
        <v>4346</v>
      </c>
      <c r="H1458" s="5">
        <v>573004593474</v>
      </c>
      <c r="J1458" s="5" t="s">
        <v>6726</v>
      </c>
      <c r="K1458" s="5" t="s">
        <v>1647</v>
      </c>
      <c r="L1458" s="5" t="s">
        <v>6727</v>
      </c>
      <c r="M1458" s="5" t="s">
        <v>25421</v>
      </c>
      <c r="N1458" s="6">
        <v>46041</v>
      </c>
      <c r="O1458" s="7">
        <v>0.75</v>
      </c>
      <c r="P1458" s="5">
        <v>1</v>
      </c>
      <c r="Q1458" s="5" t="s">
        <v>375</v>
      </c>
      <c r="R1458" s="5">
        <v>80000</v>
      </c>
      <c r="S1458" s="5">
        <v>0</v>
      </c>
      <c r="T1458" s="5">
        <v>18000</v>
      </c>
      <c r="U1458" s="5">
        <v>98000</v>
      </c>
      <c r="V1458" s="5" t="s">
        <v>6728</v>
      </c>
      <c r="W1458" s="5" t="s">
        <v>36</v>
      </c>
      <c r="X1458" s="5" t="s">
        <v>83</v>
      </c>
      <c r="AA1458" s="5" t="s">
        <v>44</v>
      </c>
      <c r="AC1458" s="8" t="str">
        <f>HYPERLINK("https://drive.google.com/file/d/14SMUpsnE3vxu_c8Kje19cFtTibEtqZjY/view?usp=drivesdk", "Abrir_Factura")</f>
        <v>Abrir_Factura</v>
      </c>
      <c r="AD1458" s="9">
        <v>46041.660995370374</v>
      </c>
    </row>
    <row r="1459" spans="1:30" ht="12.5">
      <c r="A1459" s="4">
        <v>46041.664516597222</v>
      </c>
      <c r="B1459" s="5">
        <v>91197</v>
      </c>
      <c r="C1459" s="5">
        <v>1129569559</v>
      </c>
      <c r="D1459" s="5" t="s">
        <v>6729</v>
      </c>
      <c r="F1459" s="5" t="s">
        <v>6730</v>
      </c>
      <c r="H1459" s="5">
        <v>573003862231</v>
      </c>
      <c r="J1459" s="5" t="s">
        <v>6731</v>
      </c>
      <c r="K1459" s="5" t="s">
        <v>33</v>
      </c>
      <c r="L1459" s="5" t="s">
        <v>34</v>
      </c>
      <c r="M1459" s="5">
        <v>3003862231</v>
      </c>
      <c r="N1459" s="6">
        <v>46041</v>
      </c>
      <c r="O1459" s="7">
        <v>0</v>
      </c>
      <c r="P1459" s="5">
        <v>1</v>
      </c>
      <c r="Q1459" s="5" t="s">
        <v>57</v>
      </c>
      <c r="R1459" s="5">
        <v>120000</v>
      </c>
      <c r="S1459" s="5">
        <v>0</v>
      </c>
      <c r="T1459" s="5">
        <v>0</v>
      </c>
      <c r="U1459" s="5">
        <v>120000</v>
      </c>
      <c r="V1459" s="5"/>
      <c r="W1459" s="5" t="s">
        <v>36</v>
      </c>
      <c r="X1459" s="5" t="s">
        <v>1705</v>
      </c>
      <c r="AA1459" s="5" t="s">
        <v>1717</v>
      </c>
      <c r="AC1459" s="8" t="str">
        <f>HYPERLINK("https://drive.google.com/file/d/1dIgR4JYOTzA1Ker8p8s4D8Sw18VFFfow/view?usp=drivesdk", "Abrir_Factura")</f>
        <v>Abrir_Factura</v>
      </c>
      <c r="AD1459" s="9">
        <v>46041.66510416667</v>
      </c>
    </row>
    <row r="1460" spans="1:30" ht="12.5">
      <c r="A1460" s="4">
        <v>46041.663734224538</v>
      </c>
      <c r="B1460" s="5">
        <v>91198</v>
      </c>
      <c r="C1460" s="5">
        <v>1043004949</v>
      </c>
      <c r="D1460" s="5" t="s">
        <v>4840</v>
      </c>
      <c r="F1460" s="5" t="s">
        <v>6732</v>
      </c>
      <c r="H1460" s="5">
        <v>573014135878</v>
      </c>
      <c r="J1460" s="5" t="s">
        <v>6733</v>
      </c>
      <c r="K1460" s="5" t="s">
        <v>783</v>
      </c>
      <c r="L1460" s="5" t="s">
        <v>6734</v>
      </c>
      <c r="M1460" s="5">
        <v>3006836054</v>
      </c>
      <c r="N1460" s="6">
        <v>46042</v>
      </c>
      <c r="O1460" s="7">
        <v>0.77083333333333337</v>
      </c>
      <c r="P1460" s="5">
        <v>1</v>
      </c>
      <c r="Q1460" s="5" t="s">
        <v>422</v>
      </c>
      <c r="R1460" s="5">
        <v>150000</v>
      </c>
      <c r="S1460" s="5">
        <v>0</v>
      </c>
      <c r="T1460" s="5">
        <v>17000</v>
      </c>
      <c r="U1460" s="5">
        <v>167000</v>
      </c>
      <c r="V1460" s="5" t="s">
        <v>6735</v>
      </c>
      <c r="W1460" s="5" t="s">
        <v>36</v>
      </c>
      <c r="X1460" s="5" t="s">
        <v>180</v>
      </c>
      <c r="Z1460" s="5" t="s">
        <v>6736</v>
      </c>
      <c r="AA1460" s="5" t="s">
        <v>44</v>
      </c>
      <c r="AB1460" s="5" t="s">
        <v>6737</v>
      </c>
      <c r="AC1460" s="8" t="str">
        <f>HYPERLINK("https://drive.google.com/file/d/1FjTJz7aTcK7bKnqwNcoiQQIE-lY4QUn7/view?usp=drivesdk", "Abrir_Factura")</f>
        <v>Abrir_Factura</v>
      </c>
      <c r="AD1460" s="9">
        <v>46041.685069444444</v>
      </c>
    </row>
    <row r="1461" spans="1:30" ht="12.5">
      <c r="A1461" s="4">
        <v>46041.701827129626</v>
      </c>
      <c r="B1461" s="5">
        <v>91199</v>
      </c>
      <c r="C1461" s="5">
        <v>9011335286</v>
      </c>
      <c r="D1461" s="5" t="s">
        <v>6738</v>
      </c>
      <c r="F1461" s="5" t="s">
        <v>2159</v>
      </c>
      <c r="H1461" s="5">
        <v>573228890463</v>
      </c>
      <c r="J1461" s="5" t="s">
        <v>6739</v>
      </c>
      <c r="K1461" s="5" t="s">
        <v>73</v>
      </c>
      <c r="L1461" s="5" t="s">
        <v>6740</v>
      </c>
      <c r="M1461" s="5">
        <v>3107164602</v>
      </c>
      <c r="N1461" s="6">
        <v>46041</v>
      </c>
      <c r="O1461" s="7">
        <v>0.73124999999999996</v>
      </c>
      <c r="P1461" s="5">
        <v>1</v>
      </c>
      <c r="Q1461" s="5" t="s">
        <v>251</v>
      </c>
      <c r="R1461" s="5">
        <v>190000</v>
      </c>
      <c r="S1461" s="5">
        <v>36100</v>
      </c>
      <c r="T1461" s="5">
        <v>8000</v>
      </c>
      <c r="U1461" s="5">
        <v>234100</v>
      </c>
      <c r="V1461" s="5"/>
      <c r="W1461" s="5" t="s">
        <v>36</v>
      </c>
      <c r="X1461" s="5" t="s">
        <v>1705</v>
      </c>
      <c r="AA1461" s="5" t="s">
        <v>1717</v>
      </c>
      <c r="AB1461" s="5" t="s">
        <v>6741</v>
      </c>
      <c r="AC1461" s="8" t="str">
        <f>HYPERLINK("https://drive.google.com/file/d/1Cwh0qkQ4HR7ry-cS8Mav_cQdh5_ASEJV/view?usp=drivesdk", "Abrir_Factura")</f>
        <v>Abrir_Factura</v>
      </c>
      <c r="AD1461" s="9">
        <v>46041.704050925924</v>
      </c>
    </row>
    <row r="1462" spans="1:30" ht="12.5">
      <c r="A1462" s="4">
        <v>46041.71320726852</v>
      </c>
      <c r="B1462" s="5">
        <v>91200</v>
      </c>
      <c r="C1462" s="5">
        <v>77025113</v>
      </c>
      <c r="D1462" s="5" t="s">
        <v>1471</v>
      </c>
      <c r="F1462" s="5" t="s">
        <v>1472</v>
      </c>
      <c r="H1462" s="5">
        <v>57164531944</v>
      </c>
      <c r="J1462" s="5" t="s">
        <v>1473</v>
      </c>
      <c r="K1462" s="5" t="s">
        <v>33</v>
      </c>
      <c r="L1462" s="5" t="s">
        <v>34</v>
      </c>
      <c r="M1462" s="5">
        <v>164531944</v>
      </c>
      <c r="N1462" s="6">
        <v>46041</v>
      </c>
      <c r="O1462" s="7">
        <v>0.75</v>
      </c>
      <c r="P1462" s="5">
        <v>1</v>
      </c>
      <c r="Q1462" s="5" t="s">
        <v>75</v>
      </c>
      <c r="R1462" s="5">
        <v>80000</v>
      </c>
      <c r="S1462" s="5">
        <v>0</v>
      </c>
      <c r="T1462" s="5">
        <v>0</v>
      </c>
      <c r="U1462" s="5">
        <v>80000</v>
      </c>
      <c r="V1462" s="5"/>
      <c r="W1462" s="5" t="s">
        <v>36</v>
      </c>
      <c r="X1462" s="5" t="s">
        <v>196</v>
      </c>
      <c r="AA1462" s="5" t="s">
        <v>1717</v>
      </c>
      <c r="AC1462" s="8" t="str">
        <f>HYPERLINK("https://drive.google.com/file/d/1giFcbMCNom8QmUmh98__klbLOy0_e9e-/view?usp=drivesdk", "Abrir_Factura")</f>
        <v>Abrir_Factura</v>
      </c>
      <c r="AD1462" s="9">
        <v>46041.714062500003</v>
      </c>
    </row>
    <row r="1463" spans="1:30" ht="12.5">
      <c r="A1463" s="4">
        <v>46041.650376157406</v>
      </c>
      <c r="B1463" s="5">
        <v>91201</v>
      </c>
      <c r="C1463" s="5">
        <v>1127792233</v>
      </c>
      <c r="D1463" s="5" t="s">
        <v>158</v>
      </c>
      <c r="F1463" s="5" t="s">
        <v>5129</v>
      </c>
      <c r="H1463" s="5">
        <v>573057058660</v>
      </c>
      <c r="J1463" s="5" t="s">
        <v>6742</v>
      </c>
      <c r="K1463" s="5" t="s">
        <v>307</v>
      </c>
      <c r="L1463" s="5" t="s">
        <v>6743</v>
      </c>
      <c r="M1463" s="5">
        <v>3122171909</v>
      </c>
      <c r="N1463" s="6">
        <v>46044</v>
      </c>
      <c r="O1463" s="7">
        <v>0.33333333333333331</v>
      </c>
      <c r="P1463" s="5">
        <v>1</v>
      </c>
      <c r="Q1463" s="5" t="s">
        <v>375</v>
      </c>
      <c r="R1463" s="5">
        <v>80000</v>
      </c>
      <c r="S1463" s="5">
        <v>0</v>
      </c>
      <c r="T1463" s="5">
        <v>10000</v>
      </c>
      <c r="U1463" s="5">
        <v>90000</v>
      </c>
      <c r="V1463" s="5" t="s">
        <v>6744</v>
      </c>
      <c r="W1463" s="5" t="s">
        <v>36</v>
      </c>
      <c r="X1463" s="5" t="s">
        <v>83</v>
      </c>
      <c r="Z1463" s="5" t="s">
        <v>6745</v>
      </c>
      <c r="AA1463" s="5" t="s">
        <v>44</v>
      </c>
      <c r="AB1463" s="5" t="s">
        <v>6746</v>
      </c>
      <c r="AC1463" s="8" t="str">
        <f>HYPERLINK("https://drive.google.com/file/d/1rXevmfux6Y8pMyZhX22IRbkBvpm-7GEG/view?usp=drivesdk", "Abrir_Factura")</f>
        <v>Abrir_Factura</v>
      </c>
      <c r="AD1463" s="9">
        <v>46041.71570601852</v>
      </c>
    </row>
    <row r="1464" spans="1:30" ht="12.5">
      <c r="A1464" s="4">
        <v>46041.738869363428</v>
      </c>
      <c r="B1464" s="5">
        <v>91202</v>
      </c>
      <c r="C1464" s="5">
        <v>22368091</v>
      </c>
      <c r="D1464" s="5" t="s">
        <v>6717</v>
      </c>
      <c r="F1464" s="5" t="s">
        <v>6747</v>
      </c>
      <c r="H1464" s="5">
        <v>573008305726</v>
      </c>
      <c r="J1464" s="5" t="s">
        <v>6748</v>
      </c>
      <c r="K1464" s="5" t="s">
        <v>33</v>
      </c>
      <c r="L1464" s="5" t="s">
        <v>34</v>
      </c>
      <c r="M1464" s="5" t="s">
        <v>6749</v>
      </c>
      <c r="N1464" s="6">
        <v>46041</v>
      </c>
      <c r="O1464" s="7">
        <v>0.75</v>
      </c>
      <c r="P1464" s="5">
        <v>1</v>
      </c>
      <c r="Q1464" s="5" t="s">
        <v>42</v>
      </c>
      <c r="R1464" s="5">
        <v>20000</v>
      </c>
      <c r="S1464" s="5">
        <v>0</v>
      </c>
      <c r="T1464" s="5">
        <v>0</v>
      </c>
      <c r="U1464" s="5">
        <v>20000</v>
      </c>
      <c r="V1464" s="5"/>
      <c r="W1464" s="5" t="s">
        <v>36</v>
      </c>
      <c r="X1464" s="5" t="s">
        <v>196</v>
      </c>
      <c r="AA1464" s="5" t="s">
        <v>1717</v>
      </c>
      <c r="AB1464" s="5" t="s">
        <v>6750</v>
      </c>
      <c r="AC1464" s="8" t="str">
        <f>HYPERLINK("https://drive.google.com/file/d/1cvJRuB4NcSofS9chJ0tO2s9UQluL7PjQ/view?usp=drivesdk", "Abrir_Factura")</f>
        <v>Abrir_Factura</v>
      </c>
      <c r="AD1464" s="9">
        <v>46041.739756944444</v>
      </c>
    </row>
    <row r="1465" spans="1:30" ht="12.5">
      <c r="A1465" s="4">
        <v>46041.73718246528</v>
      </c>
      <c r="B1465" s="5">
        <v>91203</v>
      </c>
      <c r="C1465" s="5">
        <v>1124034063</v>
      </c>
      <c r="D1465" s="5" t="s">
        <v>3450</v>
      </c>
      <c r="F1465" s="5" t="s">
        <v>6751</v>
      </c>
      <c r="H1465" s="5">
        <v>573215063580</v>
      </c>
      <c r="J1465" s="5" t="s">
        <v>6752</v>
      </c>
      <c r="K1465" s="5" t="s">
        <v>33</v>
      </c>
      <c r="L1465" s="5" t="s">
        <v>34</v>
      </c>
      <c r="M1465" s="5">
        <v>3215063580</v>
      </c>
      <c r="N1465" s="6">
        <v>46041</v>
      </c>
      <c r="O1465" s="7">
        <v>0.75</v>
      </c>
      <c r="P1465" s="5">
        <v>1</v>
      </c>
      <c r="Q1465" s="5" t="s">
        <v>210</v>
      </c>
      <c r="R1465" s="5">
        <v>170000</v>
      </c>
      <c r="S1465" s="5">
        <v>0</v>
      </c>
      <c r="T1465" s="5">
        <v>0</v>
      </c>
      <c r="U1465" s="5">
        <v>170000</v>
      </c>
      <c r="V1465" s="5"/>
      <c r="W1465" s="5" t="s">
        <v>36</v>
      </c>
      <c r="X1465" s="5" t="s">
        <v>196</v>
      </c>
      <c r="AA1465" s="5" t="s">
        <v>1717</v>
      </c>
      <c r="AC1465" s="8" t="str">
        <f>HYPERLINK("https://drive.google.com/file/d/1ZkmKA0KuQlTSxvLfCjhf4XWLc6klmk15/view?usp=drivesdk", "Abrir_Factura")</f>
        <v>Abrir_Factura</v>
      </c>
      <c r="AD1465" s="9">
        <v>46041.748472222222</v>
      </c>
    </row>
    <row r="1466" spans="1:30" ht="12.5">
      <c r="A1466" s="4">
        <v>46041.726922638889</v>
      </c>
      <c r="B1466" s="5">
        <v>91204</v>
      </c>
      <c r="C1466" s="5">
        <v>1140858922</v>
      </c>
      <c r="D1466" s="5" t="s">
        <v>1114</v>
      </c>
      <c r="F1466" s="5" t="s">
        <v>2890</v>
      </c>
      <c r="H1466" s="5">
        <v>573184154455</v>
      </c>
      <c r="J1466" s="5" t="s">
        <v>6753</v>
      </c>
      <c r="K1466" s="5" t="s">
        <v>5574</v>
      </c>
      <c r="L1466" s="5" t="s">
        <v>6754</v>
      </c>
      <c r="M1466" s="5" t="s">
        <v>25421</v>
      </c>
      <c r="N1466" s="6">
        <v>46042</v>
      </c>
      <c r="O1466" s="7">
        <v>0.33333333333333331</v>
      </c>
      <c r="P1466" s="5">
        <v>1</v>
      </c>
      <c r="Q1466" s="5" t="s">
        <v>6755</v>
      </c>
      <c r="R1466" s="5">
        <v>168000</v>
      </c>
      <c r="S1466" s="5">
        <v>0</v>
      </c>
      <c r="T1466" s="5">
        <v>10000</v>
      </c>
      <c r="U1466" s="5">
        <v>178000</v>
      </c>
      <c r="V1466" s="5" t="s">
        <v>6756</v>
      </c>
      <c r="W1466" s="5" t="s">
        <v>36</v>
      </c>
      <c r="X1466" s="5" t="s">
        <v>83</v>
      </c>
      <c r="Z1466" s="5" t="s">
        <v>6757</v>
      </c>
      <c r="AA1466" s="5" t="s">
        <v>69</v>
      </c>
      <c r="AC1466" s="8" t="str">
        <f>HYPERLINK("https://drive.google.com/file/d/1Xy0n6uzSVKB8rypwUlFY0mwstlJ4mpwj/view?usp=drivesdk", "Abrir_Factura")</f>
        <v>Abrir_Factura</v>
      </c>
      <c r="AD1466" s="9">
        <v>46041.756898148145</v>
      </c>
    </row>
    <row r="1467" spans="1:30" ht="12.5">
      <c r="A1467" s="4">
        <v>46042.325674803244</v>
      </c>
      <c r="B1467" s="5">
        <v>91205</v>
      </c>
      <c r="C1467" s="5">
        <v>1140850363</v>
      </c>
      <c r="D1467" s="5" t="s">
        <v>2215</v>
      </c>
      <c r="F1467" s="5" t="s">
        <v>6758</v>
      </c>
      <c r="H1467" s="5">
        <v>573188267302</v>
      </c>
      <c r="J1467" s="5" t="s">
        <v>3398</v>
      </c>
      <c r="K1467" s="5" t="s">
        <v>185</v>
      </c>
      <c r="L1467" s="5" t="s">
        <v>6759</v>
      </c>
      <c r="M1467" s="5" t="s">
        <v>6760</v>
      </c>
      <c r="N1467" s="6">
        <v>46042</v>
      </c>
      <c r="O1467" s="7">
        <v>0</v>
      </c>
      <c r="P1467" s="5">
        <v>1</v>
      </c>
      <c r="Q1467" s="5" t="s">
        <v>2556</v>
      </c>
      <c r="R1467" s="5">
        <v>400000</v>
      </c>
      <c r="S1467" s="5">
        <v>0</v>
      </c>
      <c r="T1467" s="5">
        <v>8000</v>
      </c>
      <c r="U1467" s="5">
        <v>408000</v>
      </c>
      <c r="V1467" s="5" t="s">
        <v>6761</v>
      </c>
      <c r="W1467" s="5" t="s">
        <v>36</v>
      </c>
      <c r="X1467" s="5" t="s">
        <v>83</v>
      </c>
      <c r="AA1467" s="5" t="s">
        <v>44</v>
      </c>
      <c r="AC1467" s="8" t="str">
        <f>HYPERLINK("https://drive.google.com/file/d/1lP6XTPQ45G73cOt6l6b3NRRxJelN9yDL/view?usp=drivesdk", "Abrir_Factura")</f>
        <v>Abrir_Factura</v>
      </c>
      <c r="AD1467" s="9">
        <v>46042.327106481483</v>
      </c>
    </row>
    <row r="1468" spans="1:30" ht="12.5">
      <c r="A1468" s="4">
        <v>46041.783367476848</v>
      </c>
      <c r="B1468" s="5">
        <v>91206</v>
      </c>
      <c r="C1468" s="5">
        <v>1079933713</v>
      </c>
      <c r="D1468" s="5" t="s">
        <v>1555</v>
      </c>
      <c r="F1468" s="5" t="s">
        <v>2642</v>
      </c>
      <c r="H1468" s="5">
        <v>573117099721</v>
      </c>
      <c r="J1468" s="5" t="s">
        <v>6762</v>
      </c>
      <c r="K1468" s="5" t="s">
        <v>892</v>
      </c>
      <c r="L1468" s="5" t="s">
        <v>6763</v>
      </c>
      <c r="M1468" s="5">
        <v>3117099721</v>
      </c>
      <c r="N1468" s="6">
        <v>46042</v>
      </c>
      <c r="O1468" s="7">
        <v>0.41666666666666669</v>
      </c>
      <c r="P1468" s="5">
        <v>1</v>
      </c>
      <c r="Q1468" s="5" t="s">
        <v>330</v>
      </c>
      <c r="R1468" s="5">
        <v>200000</v>
      </c>
      <c r="S1468" s="5">
        <v>0</v>
      </c>
      <c r="T1468" s="5">
        <v>10000</v>
      </c>
      <c r="U1468" s="5">
        <v>210000</v>
      </c>
      <c r="V1468" s="5" t="s">
        <v>6764</v>
      </c>
      <c r="W1468" s="5" t="s">
        <v>36</v>
      </c>
      <c r="X1468" s="5" t="s">
        <v>83</v>
      </c>
      <c r="AA1468" s="5" t="s">
        <v>69</v>
      </c>
      <c r="AC1468" s="8" t="str">
        <f>HYPERLINK("https://drive.google.com/file/d/1j6pX2DhaNwwcNV1jOV_RdQQuVEEP1ZZW/view?usp=drivesdk", "Abrir_Factura")</f>
        <v>Abrir_Factura</v>
      </c>
      <c r="AD1468" s="9">
        <v>46042.350659722222</v>
      </c>
    </row>
    <row r="1469" spans="1:30" ht="12.5">
      <c r="A1469" s="4">
        <v>46042.36534704861</v>
      </c>
      <c r="B1469" s="5">
        <v>91207</v>
      </c>
      <c r="C1469" s="5">
        <v>37947586</v>
      </c>
      <c r="D1469" s="5" t="s">
        <v>5103</v>
      </c>
      <c r="F1469" s="5" t="s">
        <v>1566</v>
      </c>
      <c r="H1469" s="5">
        <v>573215896376</v>
      </c>
      <c r="J1469" s="5" t="s">
        <v>6765</v>
      </c>
      <c r="K1469" s="5" t="s">
        <v>1815</v>
      </c>
      <c r="L1469" s="5" t="s">
        <v>6766</v>
      </c>
      <c r="M1469" s="5"/>
      <c r="N1469" s="6">
        <v>46042</v>
      </c>
      <c r="O1469" s="7">
        <v>0</v>
      </c>
      <c r="P1469" s="5">
        <v>1</v>
      </c>
      <c r="Q1469" s="5" t="s">
        <v>42</v>
      </c>
      <c r="R1469" s="5">
        <v>360000</v>
      </c>
      <c r="S1469" s="5">
        <v>0</v>
      </c>
      <c r="T1469" s="5">
        <v>18000</v>
      </c>
      <c r="U1469" s="5">
        <v>378000</v>
      </c>
      <c r="V1469" s="5" t="s">
        <v>6767</v>
      </c>
      <c r="W1469" s="5" t="s">
        <v>36</v>
      </c>
      <c r="X1469" s="5" t="s">
        <v>83</v>
      </c>
      <c r="AA1469" s="5" t="s">
        <v>44</v>
      </c>
      <c r="AB1469" s="5" t="s">
        <v>6768</v>
      </c>
      <c r="AC1469" s="8" t="str">
        <f>HYPERLINK("https://drive.google.com/file/d/1FogJmDz5Bmc5ocBk3FVgLE6C0v4eNTN9/view?usp=drivesdk", "Abrir_Factura")</f>
        <v>Abrir_Factura</v>
      </c>
      <c r="AD1469" s="9">
        <v>46042.366180555553</v>
      </c>
    </row>
    <row r="1470" spans="1:30" ht="12.5">
      <c r="A1470" s="4">
        <v>46042.374637847221</v>
      </c>
      <c r="B1470" s="5">
        <v>91208</v>
      </c>
      <c r="C1470" s="5">
        <v>1140856033</v>
      </c>
      <c r="D1470" s="5" t="s">
        <v>5051</v>
      </c>
      <c r="F1470" s="5" t="s">
        <v>236</v>
      </c>
      <c r="H1470" s="5">
        <v>573002739717</v>
      </c>
      <c r="J1470" s="5" t="s">
        <v>6769</v>
      </c>
      <c r="K1470" s="5"/>
      <c r="L1470" s="5" t="s">
        <v>6770</v>
      </c>
      <c r="M1470" s="5"/>
      <c r="N1470" s="6">
        <v>46045</v>
      </c>
      <c r="O1470" s="7">
        <v>0.58333333333333337</v>
      </c>
      <c r="P1470" s="5">
        <v>1</v>
      </c>
      <c r="Q1470" s="5" t="s">
        <v>5730</v>
      </c>
      <c r="R1470" s="5">
        <v>350000</v>
      </c>
      <c r="S1470" s="5">
        <v>0</v>
      </c>
      <c r="T1470" s="5"/>
      <c r="U1470" s="5">
        <v>350000</v>
      </c>
      <c r="V1470" s="5"/>
      <c r="W1470" s="5" t="s">
        <v>36</v>
      </c>
      <c r="X1470" s="5" t="s">
        <v>196</v>
      </c>
      <c r="AA1470" s="5" t="s">
        <v>1717</v>
      </c>
      <c r="AC1470" s="8" t="str">
        <f>HYPERLINK("https://drive.google.com/file/d/19c_7y-LYMwD0nNFAa0b0_q2FSS-Bqb18/view?usp=drivesdk", "Abrir_Factura")</f>
        <v>Abrir_Factura</v>
      </c>
      <c r="AD1470" s="9">
        <v>46042.377199074072</v>
      </c>
    </row>
    <row r="1471" spans="1:30" ht="12.5">
      <c r="A1471" s="4">
        <v>46042.385486400468</v>
      </c>
      <c r="B1471" s="5">
        <v>91209</v>
      </c>
      <c r="C1471" s="5">
        <v>1140841267</v>
      </c>
      <c r="D1471" s="5" t="s">
        <v>6771</v>
      </c>
      <c r="F1471" s="5" t="s">
        <v>6772</v>
      </c>
      <c r="H1471" s="5">
        <v>573187169314</v>
      </c>
      <c r="J1471" s="5" t="s">
        <v>4128</v>
      </c>
      <c r="K1471" s="5" t="s">
        <v>103</v>
      </c>
      <c r="L1471" s="5" t="s">
        <v>6773</v>
      </c>
      <c r="M1471" s="5">
        <v>3187164778</v>
      </c>
      <c r="N1471" s="6">
        <v>46042</v>
      </c>
      <c r="O1471" s="7">
        <v>0.45833333333333331</v>
      </c>
      <c r="P1471" s="5">
        <v>1</v>
      </c>
      <c r="Q1471" s="5" t="s">
        <v>422</v>
      </c>
      <c r="R1471" s="5">
        <v>150000</v>
      </c>
      <c r="S1471" s="5">
        <v>0</v>
      </c>
      <c r="T1471" s="5">
        <v>10000</v>
      </c>
      <c r="U1471" s="5">
        <v>160000</v>
      </c>
      <c r="V1471" s="5" t="s">
        <v>6774</v>
      </c>
      <c r="W1471" s="5" t="s">
        <v>36</v>
      </c>
      <c r="X1471" s="5" t="s">
        <v>83</v>
      </c>
      <c r="Z1471" s="5" t="s">
        <v>6775</v>
      </c>
      <c r="AA1471" s="5" t="s">
        <v>44</v>
      </c>
      <c r="AB1471" s="5" t="s">
        <v>6776</v>
      </c>
      <c r="AC1471" s="8" t="str">
        <f>HYPERLINK("https://drive.google.com/file/d/1bQk2HKaf9bWmtKWXonWBuGXdTUqXzun-/view?usp=drivesdk", "Abrir_Factura")</f>
        <v>Abrir_Factura</v>
      </c>
      <c r="AD1471" s="9">
        <v>46042.387986111113</v>
      </c>
    </row>
    <row r="1472" spans="1:30" ht="12.5">
      <c r="A1472" s="4">
        <v>46042.378519004633</v>
      </c>
      <c r="B1472" s="5">
        <v>91210</v>
      </c>
      <c r="C1472" s="5">
        <v>1044423593</v>
      </c>
      <c r="D1472" s="5" t="s">
        <v>6777</v>
      </c>
      <c r="F1472" s="5" t="s">
        <v>6778</v>
      </c>
      <c r="H1472" s="5">
        <v>573105095725</v>
      </c>
      <c r="J1472" s="5" t="s">
        <v>6779</v>
      </c>
      <c r="K1472" s="5" t="s">
        <v>229</v>
      </c>
      <c r="L1472" s="5" t="s">
        <v>6780</v>
      </c>
      <c r="M1472" s="5" t="s">
        <v>6781</v>
      </c>
      <c r="N1472" s="6">
        <v>46043</v>
      </c>
      <c r="O1472" s="7">
        <v>0.35416666666666669</v>
      </c>
      <c r="P1472" s="5">
        <v>1</v>
      </c>
      <c r="Q1472" s="5" t="s">
        <v>384</v>
      </c>
      <c r="R1472" s="5">
        <v>200000</v>
      </c>
      <c r="S1472" s="5">
        <v>0</v>
      </c>
      <c r="T1472" s="5">
        <v>11000</v>
      </c>
      <c r="U1472" s="5">
        <v>211000</v>
      </c>
      <c r="V1472" s="5" t="s">
        <v>6782</v>
      </c>
      <c r="W1472" s="5" t="s">
        <v>36</v>
      </c>
      <c r="X1472" s="5" t="s">
        <v>83</v>
      </c>
      <c r="Z1472" s="5" t="s">
        <v>6783</v>
      </c>
      <c r="AA1472" s="5" t="s">
        <v>44</v>
      </c>
      <c r="AB1472" s="5" t="s">
        <v>6784</v>
      </c>
      <c r="AC1472" s="8" t="str">
        <f>HYPERLINK("https://drive.google.com/file/d/1QV4Lt03FBcrl4sEBPth-828sHmWTapCa/view?usp=drivesdk", "Abrir_Factura")</f>
        <v>Abrir_Factura</v>
      </c>
      <c r="AD1472" s="9">
        <v>46042.389351851853</v>
      </c>
    </row>
    <row r="1473" spans="1:30" ht="12.5">
      <c r="A1473" s="4">
        <v>46042.396408275468</v>
      </c>
      <c r="B1473" s="5">
        <v>91211</v>
      </c>
      <c r="C1473" s="5">
        <v>1127244674</v>
      </c>
      <c r="D1473" s="5" t="s">
        <v>6785</v>
      </c>
      <c r="F1473" s="5" t="s">
        <v>6786</v>
      </c>
      <c r="H1473" s="5">
        <v>573144650611</v>
      </c>
      <c r="J1473" s="5" t="s">
        <v>6787</v>
      </c>
      <c r="K1473" s="5" t="s">
        <v>161</v>
      </c>
      <c r="L1473" s="5" t="s">
        <v>6788</v>
      </c>
      <c r="M1473" s="5">
        <v>3144650611</v>
      </c>
      <c r="N1473" s="6">
        <v>46042</v>
      </c>
      <c r="O1473" s="7">
        <v>0.45833333333333331</v>
      </c>
      <c r="P1473" s="5">
        <v>1</v>
      </c>
      <c r="Q1473" s="5" t="s">
        <v>42</v>
      </c>
      <c r="R1473" s="5">
        <v>130000</v>
      </c>
      <c r="S1473" s="5">
        <v>0</v>
      </c>
      <c r="T1473" s="5">
        <v>8000</v>
      </c>
      <c r="U1473" s="5">
        <v>138000</v>
      </c>
      <c r="V1473" s="5" t="s">
        <v>6789</v>
      </c>
      <c r="W1473" s="5" t="s">
        <v>36</v>
      </c>
      <c r="X1473" s="5" t="s">
        <v>1937</v>
      </c>
      <c r="AA1473" s="5" t="s">
        <v>69</v>
      </c>
      <c r="AC1473" s="8" t="str">
        <f>HYPERLINK("https://drive.google.com/file/d/1AOkEA9-O52-8_fqvhABbjQzOLdgblbyo/view?usp=drivesdk", "Abrir_Factura")</f>
        <v>Abrir_Factura</v>
      </c>
      <c r="AD1473" s="9">
        <v>46042.729814814818</v>
      </c>
    </row>
    <row r="1474" spans="1:30" ht="12.5">
      <c r="A1474" s="4">
        <v>46042.386332037036</v>
      </c>
      <c r="B1474" s="5">
        <v>91212</v>
      </c>
      <c r="C1474" s="5">
        <v>1084451299</v>
      </c>
      <c r="D1474" s="5" t="s">
        <v>6790</v>
      </c>
      <c r="F1474" s="5" t="s">
        <v>4323</v>
      </c>
      <c r="H1474" s="5">
        <v>573002040326</v>
      </c>
      <c r="J1474" s="5" t="s">
        <v>6790</v>
      </c>
      <c r="K1474" s="5" t="s">
        <v>33</v>
      </c>
      <c r="L1474" s="5" t="s">
        <v>34</v>
      </c>
      <c r="M1474" s="5">
        <v>3002040326</v>
      </c>
      <c r="N1474" s="6">
        <v>46042</v>
      </c>
      <c r="O1474" s="7">
        <v>0.45833333333333331</v>
      </c>
      <c r="P1474" s="5">
        <v>1</v>
      </c>
      <c r="Q1474" s="5" t="s">
        <v>50</v>
      </c>
      <c r="R1474" s="5">
        <v>200000</v>
      </c>
      <c r="S1474" s="5">
        <v>0</v>
      </c>
      <c r="T1474" s="5">
        <v>0</v>
      </c>
      <c r="U1474" s="5">
        <v>200000</v>
      </c>
      <c r="V1474" s="5" t="s">
        <v>6791</v>
      </c>
      <c r="W1474" s="5" t="s">
        <v>36</v>
      </c>
      <c r="X1474" s="5" t="s">
        <v>83</v>
      </c>
      <c r="Z1474" s="5" t="s">
        <v>6790</v>
      </c>
      <c r="AA1474" s="5" t="s">
        <v>69</v>
      </c>
      <c r="AC1474" s="8" t="str">
        <f>HYPERLINK("https://drive.google.com/file/d/10PHysmHQYTVs1wLbHyvFcAoDt_5Qt5Sa/view?usp=drivesdk", "Abrir_Factura")</f>
        <v>Abrir_Factura</v>
      </c>
      <c r="AD1474" s="9">
        <v>46042.733298611114</v>
      </c>
    </row>
    <row r="1475" spans="1:30" ht="12.5">
      <c r="A1475" s="4">
        <v>46042.402290543978</v>
      </c>
      <c r="B1475" s="5">
        <v>91213</v>
      </c>
      <c r="C1475" s="5">
        <v>80503496</v>
      </c>
      <c r="D1475" s="5" t="s">
        <v>6792</v>
      </c>
      <c r="F1475" s="5" t="s">
        <v>6793</v>
      </c>
      <c r="H1475" s="5">
        <v>5717864269698</v>
      </c>
      <c r="J1475" s="5" t="s">
        <v>6794</v>
      </c>
      <c r="K1475" s="5" t="s">
        <v>103</v>
      </c>
      <c r="L1475" s="5" t="s">
        <v>6795</v>
      </c>
      <c r="M1475" s="5"/>
      <c r="N1475" s="6">
        <v>46042</v>
      </c>
      <c r="O1475" s="7">
        <v>0.45833333333333331</v>
      </c>
      <c r="P1475" s="5">
        <v>1</v>
      </c>
      <c r="Q1475" s="5" t="s">
        <v>42</v>
      </c>
      <c r="R1475" s="5">
        <v>400000</v>
      </c>
      <c r="S1475" s="5">
        <v>0</v>
      </c>
      <c r="T1475" s="5">
        <v>10000</v>
      </c>
      <c r="U1475" s="5">
        <v>410000</v>
      </c>
      <c r="V1475" s="5" t="s">
        <v>6796</v>
      </c>
      <c r="W1475" s="5" t="s">
        <v>36</v>
      </c>
      <c r="X1475" s="5" t="s">
        <v>83</v>
      </c>
      <c r="AA1475" s="5" t="s">
        <v>44</v>
      </c>
      <c r="AB1475" s="5" t="s">
        <v>6797</v>
      </c>
      <c r="AC1475" s="8" t="str">
        <f>HYPERLINK("https://drive.google.com/file/d/1lJUjXaFMfH4EbA2Jw6Wsg5kLDjaOthKG/view?usp=drivesdk", "Abrir_Factura")</f>
        <v>Abrir_Factura</v>
      </c>
      <c r="AD1475" s="9">
        <v>46042.403877314813</v>
      </c>
    </row>
    <row r="1476" spans="1:30" ht="12.5">
      <c r="A1476" s="4">
        <v>46042.407950381945</v>
      </c>
      <c r="B1476" s="5">
        <v>91214</v>
      </c>
      <c r="C1476" s="5">
        <v>1140859581</v>
      </c>
      <c r="D1476" s="5" t="s">
        <v>6476</v>
      </c>
      <c r="F1476" s="5" t="s">
        <v>6389</v>
      </c>
      <c r="H1476" s="5">
        <v>5703600187</v>
      </c>
      <c r="J1476" s="5" t="s">
        <v>6798</v>
      </c>
      <c r="K1476" s="5" t="s">
        <v>33</v>
      </c>
      <c r="L1476" s="5" t="s">
        <v>34</v>
      </c>
      <c r="M1476" s="5">
        <v>3600187</v>
      </c>
      <c r="N1476" s="6">
        <v>46042</v>
      </c>
      <c r="O1476" s="7">
        <v>0</v>
      </c>
      <c r="P1476" s="5">
        <v>1</v>
      </c>
      <c r="Q1476" s="5" t="s">
        <v>335</v>
      </c>
      <c r="R1476" s="5">
        <v>120000</v>
      </c>
      <c r="S1476" s="5">
        <v>0</v>
      </c>
      <c r="T1476" s="5">
        <v>0</v>
      </c>
      <c r="U1476" s="5">
        <v>120000</v>
      </c>
      <c r="V1476" s="5"/>
      <c r="W1476" s="5" t="s">
        <v>36</v>
      </c>
      <c r="X1476" s="5" t="s">
        <v>204</v>
      </c>
      <c r="AA1476" s="5" t="s">
        <v>1717</v>
      </c>
      <c r="AC1476" s="8" t="str">
        <f>HYPERLINK("https://drive.google.com/file/d/10xx7t24H40LHUelrMCzUzbfAwrvR60kr/view?usp=drivesdk", "Abrir_Factura")</f>
        <v>Abrir_Factura</v>
      </c>
      <c r="AD1476" s="9">
        <v>46042.40829861111</v>
      </c>
    </row>
    <row r="1477" spans="1:30" ht="12.5">
      <c r="A1477" s="4">
        <v>46042.416483969908</v>
      </c>
      <c r="B1477" s="5">
        <v>91215</v>
      </c>
      <c r="C1477" s="5">
        <v>1042455093</v>
      </c>
      <c r="D1477" s="5" t="s">
        <v>6799</v>
      </c>
      <c r="F1477" s="5" t="s">
        <v>6800</v>
      </c>
      <c r="H1477" s="5">
        <v>573228844381</v>
      </c>
      <c r="J1477" s="5" t="s">
        <v>6801</v>
      </c>
      <c r="K1477" s="5" t="s">
        <v>103</v>
      </c>
      <c r="L1477" s="5" t="s">
        <v>6802</v>
      </c>
      <c r="M1477" s="5">
        <v>3004048148</v>
      </c>
      <c r="N1477" s="6">
        <v>46042</v>
      </c>
      <c r="O1477" s="7">
        <v>0</v>
      </c>
      <c r="P1477" s="5">
        <v>1</v>
      </c>
      <c r="Q1477" s="5" t="s">
        <v>42</v>
      </c>
      <c r="R1477" s="5">
        <v>50000</v>
      </c>
      <c r="S1477" s="5">
        <v>0</v>
      </c>
      <c r="T1477" s="5">
        <v>10000</v>
      </c>
      <c r="U1477" s="5">
        <v>60000</v>
      </c>
      <c r="V1477" s="5" t="s">
        <v>6803</v>
      </c>
      <c r="W1477" s="5" t="s">
        <v>36</v>
      </c>
      <c r="X1477" s="5" t="s">
        <v>83</v>
      </c>
      <c r="Z1477" s="5" t="s">
        <v>6804</v>
      </c>
      <c r="AA1477" s="5" t="s">
        <v>44</v>
      </c>
      <c r="AC1477" s="8" t="str">
        <f>HYPERLINK("https://drive.google.com/file/d/1ncQ2RhzzTwhqW9HGYpF2_i02sGafW5TP/view?usp=drivesdk", "Abrir_Factura")</f>
        <v>Abrir_Factura</v>
      </c>
      <c r="AD1477" s="9">
        <v>46042.428032407406</v>
      </c>
    </row>
    <row r="1478" spans="1:30" ht="12.5">
      <c r="A1478" s="4">
        <v>46042.482199837963</v>
      </c>
      <c r="B1478" s="5">
        <v>91216</v>
      </c>
      <c r="C1478" s="5">
        <v>53124125</v>
      </c>
      <c r="D1478" s="5" t="s">
        <v>6805</v>
      </c>
      <c r="F1478" s="5" t="s">
        <v>6806</v>
      </c>
      <c r="H1478" s="5">
        <v>570000</v>
      </c>
      <c r="J1478" s="5" t="s">
        <v>6807</v>
      </c>
      <c r="K1478" s="5" t="s">
        <v>33</v>
      </c>
      <c r="L1478" s="5" t="s">
        <v>34</v>
      </c>
      <c r="M1478" s="5"/>
      <c r="N1478" s="6">
        <v>46042</v>
      </c>
      <c r="O1478" s="7">
        <v>0</v>
      </c>
      <c r="P1478" s="5">
        <v>1</v>
      </c>
      <c r="Q1478" s="5" t="s">
        <v>42</v>
      </c>
      <c r="R1478" s="5">
        <v>32000</v>
      </c>
      <c r="S1478" s="5">
        <v>0</v>
      </c>
      <c r="T1478" s="5">
        <v>0</v>
      </c>
      <c r="U1478" s="5">
        <v>32000</v>
      </c>
      <c r="V1478" s="5"/>
      <c r="W1478" s="5" t="s">
        <v>36</v>
      </c>
      <c r="X1478" s="5" t="s">
        <v>1705</v>
      </c>
      <c r="AA1478" s="5" t="s">
        <v>1717</v>
      </c>
      <c r="AB1478" s="5" t="s">
        <v>525</v>
      </c>
      <c r="AC1478" s="8" t="str">
        <f>HYPERLINK("https://drive.google.com/file/d/1XQZBd2hJ6k_NVpYD80wye3R3FBhkP9aj/view?usp=drivesdk", "Abrir_Factura")</f>
        <v>Abrir_Factura</v>
      </c>
      <c r="AD1478" s="9">
        <v>46042.484027777777</v>
      </c>
    </row>
    <row r="1479" spans="1:30" ht="12.5">
      <c r="A1479" s="4">
        <v>46042.508207777777</v>
      </c>
      <c r="B1479" s="5">
        <v>91217</v>
      </c>
      <c r="C1479" s="5">
        <v>1103741817</v>
      </c>
      <c r="D1479" s="5" t="s">
        <v>2361</v>
      </c>
      <c r="F1479" s="5" t="s">
        <v>5494</v>
      </c>
      <c r="H1479" s="5">
        <v>573012805057</v>
      </c>
      <c r="J1479" s="5" t="s">
        <v>5495</v>
      </c>
      <c r="K1479" s="5" t="s">
        <v>307</v>
      </c>
      <c r="L1479" s="5" t="s">
        <v>648</v>
      </c>
      <c r="M1479" s="5">
        <v>3003946615</v>
      </c>
      <c r="N1479" s="6">
        <v>46043</v>
      </c>
      <c r="O1479" s="7">
        <v>0.375</v>
      </c>
      <c r="P1479" s="5">
        <v>1</v>
      </c>
      <c r="Q1479" s="5" t="s">
        <v>1102</v>
      </c>
      <c r="R1479" s="5">
        <v>220000</v>
      </c>
      <c r="S1479" s="5">
        <v>0</v>
      </c>
      <c r="T1479" s="5">
        <v>10000</v>
      </c>
      <c r="U1479" s="5">
        <v>230000</v>
      </c>
      <c r="V1479" s="5" t="s">
        <v>6808</v>
      </c>
      <c r="W1479" s="5" t="s">
        <v>36</v>
      </c>
      <c r="X1479" s="5" t="s">
        <v>83</v>
      </c>
      <c r="Z1479" s="5" t="s">
        <v>2361</v>
      </c>
      <c r="AA1479" s="5" t="s">
        <v>44</v>
      </c>
      <c r="AC1479" s="8" t="str">
        <f>HYPERLINK("https://drive.google.com/file/d/1CkWLZaDuAxy-ldnls65eecxZTdS2pB6X/view?usp=drivesdk", "Abrir_Factura")</f>
        <v>Abrir_Factura</v>
      </c>
      <c r="AD1479" s="9">
        <v>46042.514791666668</v>
      </c>
    </row>
    <row r="1480" spans="1:30" ht="12.5">
      <c r="A1480" s="4">
        <v>46042.514660902772</v>
      </c>
      <c r="B1480" s="5">
        <v>91218</v>
      </c>
      <c r="C1480" s="5">
        <v>1118824007</v>
      </c>
      <c r="D1480" s="5" t="s">
        <v>6809</v>
      </c>
      <c r="F1480" s="5" t="s">
        <v>6810</v>
      </c>
      <c r="H1480" s="5">
        <v>573007139209</v>
      </c>
      <c r="J1480" s="5" t="s">
        <v>6811</v>
      </c>
      <c r="K1480" s="5" t="s">
        <v>63</v>
      </c>
      <c r="L1480" s="5" t="s">
        <v>6812</v>
      </c>
      <c r="M1480" s="5">
        <v>3007139209</v>
      </c>
      <c r="N1480" s="6">
        <v>46042</v>
      </c>
      <c r="O1480" s="7">
        <v>0.625</v>
      </c>
      <c r="P1480" s="5">
        <v>1</v>
      </c>
      <c r="Q1480" s="5" t="s">
        <v>375</v>
      </c>
      <c r="R1480" s="5">
        <v>80000</v>
      </c>
      <c r="S1480" s="5">
        <v>0</v>
      </c>
      <c r="T1480" s="5">
        <v>17000</v>
      </c>
      <c r="U1480" s="5">
        <v>97000</v>
      </c>
      <c r="V1480" s="5"/>
      <c r="W1480" s="5" t="s">
        <v>36</v>
      </c>
      <c r="X1480" s="5" t="s">
        <v>196</v>
      </c>
      <c r="Z1480" s="5" t="s">
        <v>6813</v>
      </c>
      <c r="AA1480" s="5" t="s">
        <v>44</v>
      </c>
      <c r="AC1480" s="8" t="str">
        <f>HYPERLINK("https://drive.google.com/file/d/1YRdl3SCNyt7TxiYSN5idO10IkjF10-zI/view?usp=drivesdk", "Abrir_Factura")</f>
        <v>Abrir_Factura</v>
      </c>
      <c r="AD1480" s="9">
        <v>46042.669444444444</v>
      </c>
    </row>
    <row r="1481" spans="1:30" ht="12.5">
      <c r="A1481" s="4">
        <v>46042.530510277778</v>
      </c>
      <c r="B1481" s="5">
        <v>91219</v>
      </c>
      <c r="C1481" s="5">
        <v>1128056337</v>
      </c>
      <c r="D1481" s="5" t="s">
        <v>6814</v>
      </c>
      <c r="F1481" s="5" t="s">
        <v>6815</v>
      </c>
      <c r="H1481" s="5">
        <v>573003958306</v>
      </c>
      <c r="J1481" s="5" t="s">
        <v>6816</v>
      </c>
      <c r="K1481" s="5" t="s">
        <v>33</v>
      </c>
      <c r="L1481" s="5" t="s">
        <v>34</v>
      </c>
      <c r="M1481" s="5">
        <v>3003958306</v>
      </c>
      <c r="N1481" s="6">
        <v>46042</v>
      </c>
      <c r="O1481" s="7">
        <v>0</v>
      </c>
      <c r="P1481" s="5">
        <v>1</v>
      </c>
      <c r="Q1481" s="5" t="s">
        <v>435</v>
      </c>
      <c r="R1481" s="5">
        <v>85000</v>
      </c>
      <c r="S1481" s="5">
        <v>0</v>
      </c>
      <c r="T1481" s="5">
        <v>0</v>
      </c>
      <c r="U1481" s="5">
        <v>85000</v>
      </c>
      <c r="V1481" s="5"/>
      <c r="W1481" s="5" t="s">
        <v>36</v>
      </c>
      <c r="X1481" s="5" t="s">
        <v>1705</v>
      </c>
      <c r="AA1481" s="5" t="s">
        <v>1717</v>
      </c>
      <c r="AC1481" s="8" t="str">
        <f>HYPERLINK("https://drive.google.com/file/d/18ngbtl-4ax8SIniRhE22Puj8PWYBd8Av/view?usp=drivesdk", "Abrir_Factura")</f>
        <v>Abrir_Factura</v>
      </c>
      <c r="AD1481" s="9">
        <v>46042.531076388892</v>
      </c>
    </row>
    <row r="1482" spans="1:30" ht="12.5">
      <c r="A1482" s="4">
        <v>46042.421505752311</v>
      </c>
      <c r="B1482" s="5">
        <v>91220</v>
      </c>
      <c r="C1482" s="5">
        <v>1140882525</v>
      </c>
      <c r="D1482" s="5" t="s">
        <v>6817</v>
      </c>
      <c r="F1482" s="5" t="s">
        <v>6818</v>
      </c>
      <c r="H1482" s="5">
        <v>573013383487</v>
      </c>
      <c r="J1482" s="5" t="s">
        <v>6819</v>
      </c>
      <c r="K1482" s="5" t="s">
        <v>33</v>
      </c>
      <c r="L1482" s="5" t="s">
        <v>6820</v>
      </c>
      <c r="M1482" s="5">
        <v>3013383487</v>
      </c>
      <c r="N1482" s="6">
        <v>46043</v>
      </c>
      <c r="O1482" s="7">
        <v>0.54166666666666663</v>
      </c>
      <c r="P1482" s="5">
        <v>1</v>
      </c>
      <c r="Q1482" s="5" t="s">
        <v>210</v>
      </c>
      <c r="R1482" s="5">
        <v>170000</v>
      </c>
      <c r="S1482" s="5">
        <v>0</v>
      </c>
      <c r="T1482" s="5">
        <v>0</v>
      </c>
      <c r="U1482" s="5">
        <v>170000</v>
      </c>
      <c r="V1482" s="5" t="s">
        <v>6821</v>
      </c>
      <c r="W1482" s="5" t="s">
        <v>36</v>
      </c>
      <c r="X1482" s="5" t="s">
        <v>83</v>
      </c>
      <c r="Z1482" s="5" t="s">
        <v>6822</v>
      </c>
      <c r="AA1482" s="5" t="s">
        <v>44</v>
      </c>
      <c r="AC1482" s="8" t="str">
        <f>HYPERLINK("https://drive.google.com/file/d/14eE_R72GGzKO4C64mSVohhwTXhxB-5JK/view?usp=drivesdk", "Abrir_Factura")</f>
        <v>Abrir_Factura</v>
      </c>
      <c r="AD1482" s="9">
        <v>46042.547118055554</v>
      </c>
    </row>
    <row r="1483" spans="1:30" ht="12.5">
      <c r="A1483" s="4">
        <v>46042.499489224538</v>
      </c>
      <c r="B1483" s="5">
        <v>91221</v>
      </c>
      <c r="C1483" s="5">
        <v>1007615881</v>
      </c>
      <c r="D1483" s="5" t="s">
        <v>6823</v>
      </c>
      <c r="F1483" s="5" t="s">
        <v>6824</v>
      </c>
      <c r="H1483" s="5">
        <v>573137182283</v>
      </c>
      <c r="J1483" s="5" t="s">
        <v>6825</v>
      </c>
      <c r="K1483" s="5" t="s">
        <v>73</v>
      </c>
      <c r="L1483" s="5" t="s">
        <v>6826</v>
      </c>
      <c r="M1483" s="5">
        <v>3208683259</v>
      </c>
      <c r="N1483" s="6">
        <v>46042</v>
      </c>
      <c r="O1483" s="7">
        <v>0.625</v>
      </c>
      <c r="P1483" s="5">
        <v>1</v>
      </c>
      <c r="Q1483" s="5" t="s">
        <v>178</v>
      </c>
      <c r="R1483" s="5">
        <v>110000</v>
      </c>
      <c r="S1483" s="5">
        <v>0</v>
      </c>
      <c r="T1483" s="5">
        <v>8000</v>
      </c>
      <c r="U1483" s="5">
        <v>118000</v>
      </c>
      <c r="V1483" s="5" t="s">
        <v>6827</v>
      </c>
      <c r="W1483" s="5" t="s">
        <v>36</v>
      </c>
      <c r="X1483" s="5" t="s">
        <v>83</v>
      </c>
      <c r="Z1483" s="5" t="s">
        <v>6828</v>
      </c>
      <c r="AA1483" s="5" t="s">
        <v>44</v>
      </c>
      <c r="AC1483" s="8" t="str">
        <f>HYPERLINK("https://drive.google.com/file/d/1dtqTKHTyfDeoFSNydQJAp71OJzaTgOU8/view?usp=drivesdk", "Abrir_Factura")</f>
        <v>Abrir_Factura</v>
      </c>
      <c r="AD1483" s="9">
        <v>46042.549583333333</v>
      </c>
    </row>
    <row r="1484" spans="1:30" ht="12.5">
      <c r="A1484" s="4">
        <v>46042.54908921296</v>
      </c>
      <c r="B1484" s="5">
        <v>91222</v>
      </c>
      <c r="C1484" s="5">
        <v>1001997037</v>
      </c>
      <c r="D1484" s="5" t="s">
        <v>6829</v>
      </c>
      <c r="F1484" s="5" t="s">
        <v>1444</v>
      </c>
      <c r="H1484" s="5">
        <v>13057938232</v>
      </c>
      <c r="J1484" s="5" t="s">
        <v>6830</v>
      </c>
      <c r="K1484" s="5" t="s">
        <v>6831</v>
      </c>
      <c r="L1484" s="5" t="s">
        <v>6832</v>
      </c>
      <c r="M1484" s="5">
        <v>13059047883</v>
      </c>
      <c r="N1484" s="6">
        <v>46042</v>
      </c>
      <c r="O1484" s="7">
        <v>0.625</v>
      </c>
      <c r="P1484" s="5">
        <v>1</v>
      </c>
      <c r="Q1484" s="5" t="s">
        <v>375</v>
      </c>
      <c r="R1484" s="5">
        <v>80000</v>
      </c>
      <c r="S1484" s="5">
        <v>0</v>
      </c>
      <c r="T1484" s="5">
        <v>27000</v>
      </c>
      <c r="U1484" s="5">
        <v>107000</v>
      </c>
      <c r="V1484" s="5" t="s">
        <v>6833</v>
      </c>
      <c r="W1484" s="5" t="s">
        <v>36</v>
      </c>
      <c r="X1484" s="5" t="s">
        <v>83</v>
      </c>
      <c r="Z1484" s="5" t="s">
        <v>6834</v>
      </c>
      <c r="AA1484" s="5" t="s">
        <v>44</v>
      </c>
      <c r="AB1484" s="5" t="s">
        <v>6835</v>
      </c>
      <c r="AC1484" s="8" t="str">
        <f>HYPERLINK("https://drive.google.com/file/d/116Bu7k1hd99KrTQLrFKHVTvpTNt_vuhK/view?usp=drivesdk", "Abrir_Factura")</f>
        <v>Abrir_Factura</v>
      </c>
      <c r="AD1484" s="9">
        <v>46042.556469907409</v>
      </c>
    </row>
    <row r="1485" spans="1:30" ht="12.5">
      <c r="A1485" s="4">
        <v>46042.579715590276</v>
      </c>
      <c r="B1485" s="5">
        <v>91223</v>
      </c>
      <c r="C1485" s="5">
        <v>1007353560</v>
      </c>
      <c r="D1485" s="5" t="s">
        <v>825</v>
      </c>
      <c r="F1485" s="5" t="s">
        <v>6836</v>
      </c>
      <c r="H1485" s="5">
        <v>573012548335</v>
      </c>
      <c r="J1485" s="5" t="s">
        <v>6837</v>
      </c>
      <c r="K1485" s="5" t="s">
        <v>3764</v>
      </c>
      <c r="L1485" s="5" t="s">
        <v>6838</v>
      </c>
      <c r="M1485" s="5">
        <v>3163199000</v>
      </c>
      <c r="N1485" s="6">
        <v>46042</v>
      </c>
      <c r="O1485" s="7">
        <v>0.66666666666666663</v>
      </c>
      <c r="P1485" s="5">
        <v>1</v>
      </c>
      <c r="Q1485" s="5" t="s">
        <v>1085</v>
      </c>
      <c r="R1485" s="5">
        <v>131000</v>
      </c>
      <c r="S1485" s="5">
        <v>0</v>
      </c>
      <c r="T1485" s="5">
        <v>9000</v>
      </c>
      <c r="U1485" s="5">
        <v>140000</v>
      </c>
      <c r="V1485" s="5" t="s">
        <v>6839</v>
      </c>
      <c r="W1485" s="5" t="s">
        <v>36</v>
      </c>
      <c r="X1485" s="5" t="s">
        <v>83</v>
      </c>
      <c r="Z1485" s="5" t="s">
        <v>6840</v>
      </c>
      <c r="AA1485" s="5" t="s">
        <v>44</v>
      </c>
      <c r="AC1485" s="8" t="str">
        <f>HYPERLINK("https://drive.google.com/file/d/1DP1d1kP9_gNMANEuCbJT14XwlA5KEyB-/view?usp=drivesdk", "Abrir_Factura")</f>
        <v>Abrir_Factura</v>
      </c>
      <c r="AD1485" s="9">
        <v>46042.753032407411</v>
      </c>
    </row>
    <row r="1486" spans="1:30" ht="12.5">
      <c r="A1486" s="4">
        <v>46042.58686974537</v>
      </c>
      <c r="B1486" s="5">
        <v>91224</v>
      </c>
      <c r="C1486" s="5">
        <v>1143252028</v>
      </c>
      <c r="D1486" s="5" t="s">
        <v>3893</v>
      </c>
      <c r="F1486" s="5" t="s">
        <v>3894</v>
      </c>
      <c r="H1486" s="5">
        <v>573167483308</v>
      </c>
      <c r="J1486" s="5" t="s">
        <v>6841</v>
      </c>
      <c r="K1486" s="5" t="s">
        <v>1124</v>
      </c>
      <c r="L1486" s="5" t="s">
        <v>6842</v>
      </c>
      <c r="M1486" s="5">
        <v>3053816242</v>
      </c>
      <c r="N1486" s="6">
        <v>46044</v>
      </c>
      <c r="O1486" s="7">
        <v>0.375</v>
      </c>
      <c r="P1486" s="5">
        <v>1</v>
      </c>
      <c r="Q1486" s="5" t="s">
        <v>6843</v>
      </c>
      <c r="R1486" s="5">
        <v>220000</v>
      </c>
      <c r="S1486" s="5">
        <v>0</v>
      </c>
      <c r="T1486" s="5">
        <v>20000</v>
      </c>
      <c r="U1486" s="5">
        <v>240000</v>
      </c>
      <c r="V1486" s="5" t="s">
        <v>6844</v>
      </c>
      <c r="W1486" s="5" t="s">
        <v>36</v>
      </c>
      <c r="X1486" s="5" t="s">
        <v>83</v>
      </c>
      <c r="Z1486" s="5" t="s">
        <v>6845</v>
      </c>
      <c r="AA1486" s="5" t="s">
        <v>44</v>
      </c>
      <c r="AC1486" s="8" t="str">
        <f>HYPERLINK("https://drive.google.com/file/d/1bzzmPo8dpukOQbswXwuJZz5XLljXWP8a/view?usp=drivesdk", "Abrir_Factura")</f>
        <v>Abrir_Factura</v>
      </c>
      <c r="AD1486" s="9">
        <v>46042.597337962965</v>
      </c>
    </row>
    <row r="1487" spans="1:30" ht="12.5">
      <c r="A1487" s="4">
        <v>46042.598910347224</v>
      </c>
      <c r="B1487" s="5">
        <v>91225</v>
      </c>
      <c r="C1487" s="5">
        <v>1002033831</v>
      </c>
      <c r="D1487" s="5" t="s">
        <v>6846</v>
      </c>
      <c r="F1487" s="5" t="s">
        <v>6847</v>
      </c>
      <c r="H1487" s="5">
        <v>573054397088</v>
      </c>
      <c r="J1487" s="5" t="s">
        <v>6848</v>
      </c>
      <c r="K1487" s="5" t="s">
        <v>33</v>
      </c>
      <c r="L1487" s="5" t="s">
        <v>34</v>
      </c>
      <c r="M1487" s="5">
        <v>3054397088</v>
      </c>
      <c r="N1487" s="6">
        <v>46042</v>
      </c>
      <c r="O1487" s="7">
        <v>0.75</v>
      </c>
      <c r="P1487" s="5">
        <v>1</v>
      </c>
      <c r="Q1487" s="5" t="s">
        <v>75</v>
      </c>
      <c r="R1487" s="5">
        <v>80000</v>
      </c>
      <c r="S1487" s="5">
        <v>0</v>
      </c>
      <c r="T1487" s="5">
        <v>0</v>
      </c>
      <c r="U1487" s="5">
        <v>80000</v>
      </c>
      <c r="V1487" s="5"/>
      <c r="W1487" s="5" t="s">
        <v>36</v>
      </c>
      <c r="X1487" s="5" t="s">
        <v>1705</v>
      </c>
      <c r="AA1487" s="5" t="s">
        <v>1717</v>
      </c>
      <c r="AC1487" s="8" t="str">
        <f>HYPERLINK("https://drive.google.com/file/d/1ApgCWanRbwxFBntW79HAK-VGRlQyemOz/view?usp=drivesdk", "Abrir_Factura")</f>
        <v>Abrir_Factura</v>
      </c>
      <c r="AD1487" s="9">
        <v>46042.599629629629</v>
      </c>
    </row>
    <row r="1488" spans="1:30" ht="12.5">
      <c r="A1488" s="4">
        <v>46042.650717604163</v>
      </c>
      <c r="B1488" s="5">
        <v>91226</v>
      </c>
      <c r="C1488" s="5">
        <v>72251565</v>
      </c>
      <c r="D1488" s="5" t="s">
        <v>2533</v>
      </c>
      <c r="F1488" s="5" t="s">
        <v>2277</v>
      </c>
      <c r="H1488" s="5">
        <v>573243095056</v>
      </c>
      <c r="J1488" s="5" t="s">
        <v>6849</v>
      </c>
      <c r="K1488" s="5" t="s">
        <v>33</v>
      </c>
      <c r="L1488" s="5" t="s">
        <v>34</v>
      </c>
      <c r="M1488" s="5">
        <v>3243095056</v>
      </c>
      <c r="N1488" s="6">
        <v>46042</v>
      </c>
      <c r="O1488" s="7">
        <v>0</v>
      </c>
      <c r="P1488" s="5">
        <v>1</v>
      </c>
      <c r="Q1488" s="5" t="s">
        <v>42</v>
      </c>
      <c r="R1488" s="5">
        <v>180000</v>
      </c>
      <c r="S1488" s="5">
        <v>0</v>
      </c>
      <c r="T1488" s="5">
        <v>0</v>
      </c>
      <c r="U1488" s="5">
        <v>180000</v>
      </c>
      <c r="V1488" s="5"/>
      <c r="W1488" s="5" t="s">
        <v>36</v>
      </c>
      <c r="X1488" s="5" t="s">
        <v>196</v>
      </c>
      <c r="AA1488" s="5" t="s">
        <v>1717</v>
      </c>
      <c r="AC1488" s="8" t="str">
        <f>HYPERLINK("https://drive.google.com/file/d/1Gx18waxpqLWmTl6jrwUJYYnheRf8x2i6/view?usp=drivesdk", "Abrir_Factura")</f>
        <v>Abrir_Factura</v>
      </c>
      <c r="AD1488" s="9">
        <v>46042.651979166665</v>
      </c>
    </row>
    <row r="1489" spans="1:30" ht="12.5">
      <c r="A1489" s="4">
        <v>46042.635515104164</v>
      </c>
      <c r="B1489" s="5">
        <v>91227</v>
      </c>
      <c r="C1489" s="5">
        <v>901624240</v>
      </c>
      <c r="D1489" s="5" t="s">
        <v>6850</v>
      </c>
      <c r="F1489" s="5" t="s">
        <v>6851</v>
      </c>
      <c r="H1489" s="5">
        <v>573151760837</v>
      </c>
      <c r="J1489" s="5" t="s">
        <v>6852</v>
      </c>
      <c r="K1489" s="5" t="s">
        <v>103</v>
      </c>
      <c r="L1489" s="5" t="s">
        <v>6853</v>
      </c>
      <c r="M1489" s="5">
        <v>3004657077</v>
      </c>
      <c r="N1489" s="6">
        <v>46042</v>
      </c>
      <c r="O1489" s="7">
        <v>0.70833333333333337</v>
      </c>
      <c r="P1489" s="5">
        <v>1</v>
      </c>
      <c r="Q1489" s="5" t="s">
        <v>251</v>
      </c>
      <c r="R1489" s="5">
        <v>190000</v>
      </c>
      <c r="S1489" s="5">
        <v>36100</v>
      </c>
      <c r="T1489" s="5">
        <v>10000</v>
      </c>
      <c r="U1489" s="5">
        <v>236100</v>
      </c>
      <c r="V1489" s="5" t="s">
        <v>6854</v>
      </c>
      <c r="W1489" s="5" t="s">
        <v>36</v>
      </c>
      <c r="X1489" s="5" t="s">
        <v>67</v>
      </c>
      <c r="Z1489" s="5" t="s">
        <v>6855</v>
      </c>
      <c r="AA1489" s="5" t="s">
        <v>44</v>
      </c>
      <c r="AC1489" s="8" t="str">
        <f>HYPERLINK("https://drive.google.com/file/d/1kwGiWdtoQKEiSwm1RKyeQeubkoWlZcnM/view?usp=drivesdk", "Abrir_Factura")</f>
        <v>Abrir_Factura</v>
      </c>
      <c r="AD1489" s="9">
        <v>46042.657268518517</v>
      </c>
    </row>
    <row r="1490" spans="1:30" ht="12.5">
      <c r="A1490" s="4">
        <v>46042.64836457176</v>
      </c>
      <c r="B1490" s="5">
        <v>91228</v>
      </c>
      <c r="C1490" s="5">
        <v>114088460</v>
      </c>
      <c r="D1490" s="5" t="s">
        <v>297</v>
      </c>
      <c r="F1490" s="5" t="s">
        <v>6856</v>
      </c>
      <c r="H1490" s="5">
        <v>34675382414</v>
      </c>
      <c r="J1490" s="5" t="s">
        <v>6857</v>
      </c>
      <c r="K1490" s="5" t="s">
        <v>249</v>
      </c>
      <c r="L1490" s="5" t="s">
        <v>6858</v>
      </c>
      <c r="M1490" s="5">
        <v>3506573758</v>
      </c>
      <c r="N1490" s="6">
        <v>46042</v>
      </c>
      <c r="O1490" s="7">
        <v>0</v>
      </c>
      <c r="P1490" s="5">
        <v>1</v>
      </c>
      <c r="Q1490" s="5" t="s">
        <v>375</v>
      </c>
      <c r="R1490" s="5">
        <v>80000</v>
      </c>
      <c r="S1490" s="5">
        <v>0</v>
      </c>
      <c r="T1490" s="5">
        <v>10000</v>
      </c>
      <c r="U1490" s="5">
        <v>90000</v>
      </c>
      <c r="V1490" s="5" t="s">
        <v>6859</v>
      </c>
      <c r="W1490" s="5" t="s">
        <v>36</v>
      </c>
      <c r="X1490" s="5" t="s">
        <v>83</v>
      </c>
      <c r="Z1490" s="5" t="s">
        <v>6860</v>
      </c>
      <c r="AA1490" s="5" t="s">
        <v>44</v>
      </c>
      <c r="AC1490" s="8" t="str">
        <f>HYPERLINK("https://drive.google.com/file/d/1ecEqNQYCZvEdtVTipbDXR9df6xrbG77f/view?usp=drivesdk", "Abrir_Factura")</f>
        <v>Abrir_Factura</v>
      </c>
      <c r="AD1490" s="9">
        <v>46042.66202546296</v>
      </c>
    </row>
    <row r="1491" spans="1:30" ht="12.5">
      <c r="A1491" s="4">
        <v>46042.667875960644</v>
      </c>
      <c r="B1491" s="5">
        <v>91229</v>
      </c>
      <c r="C1491" s="5">
        <v>890101691</v>
      </c>
      <c r="D1491" s="5" t="s">
        <v>1913</v>
      </c>
      <c r="F1491" s="5" t="s">
        <v>1914</v>
      </c>
      <c r="H1491" s="5">
        <v>573003598301</v>
      </c>
      <c r="J1491" s="5" t="s">
        <v>6861</v>
      </c>
      <c r="K1491" s="5" t="s">
        <v>964</v>
      </c>
      <c r="L1491" s="5" t="s">
        <v>6862</v>
      </c>
      <c r="M1491" s="5">
        <v>3183379722</v>
      </c>
      <c r="N1491" s="6">
        <v>46043</v>
      </c>
      <c r="O1491" s="7">
        <v>0.375</v>
      </c>
      <c r="P1491" s="5">
        <v>1</v>
      </c>
      <c r="Q1491" s="5" t="s">
        <v>42</v>
      </c>
      <c r="R1491" s="5">
        <v>119000</v>
      </c>
      <c r="S1491" s="5">
        <v>0</v>
      </c>
      <c r="T1491" s="5">
        <v>12000</v>
      </c>
      <c r="U1491" s="5">
        <v>131000</v>
      </c>
      <c r="V1491" s="5"/>
      <c r="W1491" s="5" t="s">
        <v>36</v>
      </c>
      <c r="X1491" s="5" t="s">
        <v>43</v>
      </c>
      <c r="AA1491" s="5" t="s">
        <v>44</v>
      </c>
      <c r="AB1491" s="5" t="s">
        <v>6863</v>
      </c>
      <c r="AC1491" s="8" t="str">
        <f>HYPERLINK("https://drive.google.com/file/d/1usMtrvj2ZmdEI2AscwaQv9ZpCbWdlBVw/view?usp=drivesdk", "Abrir_Factura")</f>
        <v>Abrir_Factura</v>
      </c>
      <c r="AD1491" s="9">
        <v>46042.668935185182</v>
      </c>
    </row>
    <row r="1492" spans="1:30" ht="12.5">
      <c r="A1492" s="4">
        <v>46042.708443807875</v>
      </c>
      <c r="B1492" s="5">
        <v>91230</v>
      </c>
      <c r="C1492" s="5">
        <v>1002133439</v>
      </c>
      <c r="D1492" s="5" t="s">
        <v>6864</v>
      </c>
      <c r="F1492" s="5" t="s">
        <v>3616</v>
      </c>
      <c r="H1492" s="5">
        <v>573005594993</v>
      </c>
      <c r="J1492" s="5" t="s">
        <v>6865</v>
      </c>
      <c r="K1492" s="5" t="s">
        <v>33</v>
      </c>
      <c r="L1492" s="5" t="s">
        <v>34</v>
      </c>
      <c r="M1492" s="5">
        <v>3005594993</v>
      </c>
      <c r="N1492" s="6">
        <v>46042</v>
      </c>
      <c r="O1492" s="7">
        <v>0.71944444444444444</v>
      </c>
      <c r="P1492" s="5">
        <v>1</v>
      </c>
      <c r="Q1492" s="5" t="s">
        <v>42</v>
      </c>
      <c r="R1492" s="5">
        <v>50000</v>
      </c>
      <c r="S1492" s="5">
        <v>0</v>
      </c>
      <c r="T1492" s="5">
        <v>0</v>
      </c>
      <c r="U1492" s="5">
        <v>50000</v>
      </c>
      <c r="V1492" s="5"/>
      <c r="W1492" s="5" t="s">
        <v>36</v>
      </c>
      <c r="X1492" s="5" t="s">
        <v>1705</v>
      </c>
      <c r="AA1492" s="5" t="s">
        <v>1717</v>
      </c>
      <c r="AB1492" s="5" t="s">
        <v>120</v>
      </c>
      <c r="AC1492" s="8" t="str">
        <f>HYPERLINK("https://drive.google.com/file/d/1SaYUgYq1JZxO9mUFkS4G3bJY3pO2Albr/view?usp=drivesdk", "Abrir_Factura")</f>
        <v>Abrir_Factura</v>
      </c>
      <c r="AD1492" s="9">
        <v>46042.709131944444</v>
      </c>
    </row>
    <row r="1493" spans="1:30" ht="12.5">
      <c r="A1493" s="4">
        <v>46043.71570601852</v>
      </c>
      <c r="B1493" s="5">
        <v>91231</v>
      </c>
      <c r="C1493" s="5">
        <v>37270681</v>
      </c>
      <c r="D1493" s="5" t="s">
        <v>1682</v>
      </c>
      <c r="F1493" s="5" t="s">
        <v>1683</v>
      </c>
      <c r="H1493" s="5">
        <v>573173672739</v>
      </c>
      <c r="J1493" s="5" t="s">
        <v>1685</v>
      </c>
      <c r="K1493" s="5" t="s">
        <v>33</v>
      </c>
      <c r="L1493" s="5" t="s">
        <v>34</v>
      </c>
      <c r="M1493" s="5">
        <v>3173672739</v>
      </c>
      <c r="N1493" s="6">
        <v>46043</v>
      </c>
      <c r="O1493" s="7">
        <v>0.41666666666666669</v>
      </c>
      <c r="P1493" s="5">
        <v>1</v>
      </c>
      <c r="Q1493" s="5" t="s">
        <v>42</v>
      </c>
      <c r="R1493" s="5">
        <v>120000</v>
      </c>
      <c r="S1493" s="5">
        <v>0</v>
      </c>
      <c r="T1493" s="5">
        <v>0</v>
      </c>
      <c r="U1493" s="5">
        <v>120000</v>
      </c>
      <c r="V1493" s="5"/>
      <c r="W1493" s="5" t="s">
        <v>36</v>
      </c>
      <c r="X1493" s="5" t="s">
        <v>83</v>
      </c>
      <c r="AA1493" s="5" t="s">
        <v>1717</v>
      </c>
      <c r="AB1493" s="5" t="s">
        <v>6866</v>
      </c>
      <c r="AC1493" s="8" t="str">
        <f>HYPERLINK("https://drive.google.com/file/d/1cIzzHpxTRxTNTRRZld7gG1iyxatXle9S/view?usp=drivesdk", "Abrir_Factura")</f>
        <v>Abrir_Factura</v>
      </c>
      <c r="AD1493" s="9">
        <v>46043.658541666664</v>
      </c>
    </row>
    <row r="1494" spans="1:30" ht="12.5">
      <c r="A1494" s="4">
        <v>46042.414355497684</v>
      </c>
      <c r="B1494" s="5">
        <v>91232</v>
      </c>
      <c r="C1494" s="5">
        <v>1082876977</v>
      </c>
      <c r="D1494" s="5" t="s">
        <v>6867</v>
      </c>
      <c r="F1494" s="5" t="s">
        <v>4526</v>
      </c>
      <c r="H1494" s="5">
        <v>573057525677</v>
      </c>
      <c r="J1494" s="5" t="s">
        <v>6868</v>
      </c>
      <c r="K1494" s="5" t="s">
        <v>930</v>
      </c>
      <c r="L1494" s="5" t="s">
        <v>6869</v>
      </c>
      <c r="M1494" s="5">
        <v>3217578008</v>
      </c>
      <c r="N1494" s="6">
        <v>46043</v>
      </c>
      <c r="O1494" s="7">
        <v>0.375</v>
      </c>
      <c r="P1494" s="5">
        <v>1</v>
      </c>
      <c r="Q1494" s="5" t="s">
        <v>361</v>
      </c>
      <c r="R1494" s="5">
        <v>200000</v>
      </c>
      <c r="S1494" s="5">
        <v>0</v>
      </c>
      <c r="T1494" s="5">
        <v>30000</v>
      </c>
      <c r="U1494" s="5">
        <v>230000</v>
      </c>
      <c r="V1494" s="5" t="s">
        <v>6870</v>
      </c>
      <c r="W1494" s="5" t="s">
        <v>36</v>
      </c>
      <c r="X1494" s="5" t="s">
        <v>204</v>
      </c>
      <c r="Z1494" s="5" t="s">
        <v>6871</v>
      </c>
      <c r="AA1494" s="5" t="s">
        <v>69</v>
      </c>
      <c r="AB1494" s="5" t="s">
        <v>6872</v>
      </c>
      <c r="AC1494" s="8" t="str">
        <f>HYPERLINK("https://drive.google.com/file/d/1nELyKGQno2l9LiRRz3-j_E9oOwouJgmq/view?usp=drivesdk", "Abrir_Factura")</f>
        <v>Abrir_Factura</v>
      </c>
      <c r="AD1494" s="9">
        <v>46042.720833333333</v>
      </c>
    </row>
    <row r="1495" spans="1:30" ht="12.5">
      <c r="A1495" s="4">
        <v>46042.701556643515</v>
      </c>
      <c r="B1495" s="5">
        <v>91233</v>
      </c>
      <c r="C1495" s="5">
        <v>1042849973</v>
      </c>
      <c r="D1495" s="5" t="s">
        <v>226</v>
      </c>
      <c r="F1495" s="5" t="s">
        <v>227</v>
      </c>
      <c r="H1495" s="5">
        <v>573106333999</v>
      </c>
      <c r="J1495" s="5" t="s">
        <v>228</v>
      </c>
      <c r="K1495" s="5" t="s">
        <v>229</v>
      </c>
      <c r="L1495" s="5" t="s">
        <v>230</v>
      </c>
      <c r="M1495" s="5" t="s">
        <v>6873</v>
      </c>
      <c r="N1495" s="6">
        <v>46043</v>
      </c>
      <c r="O1495" s="7">
        <v>0.3527777777777778</v>
      </c>
      <c r="P1495" s="5">
        <v>1</v>
      </c>
      <c r="Q1495" s="5" t="s">
        <v>6874</v>
      </c>
      <c r="R1495" s="5">
        <v>110000</v>
      </c>
      <c r="S1495" s="5">
        <v>0</v>
      </c>
      <c r="T1495" s="5">
        <v>11000</v>
      </c>
      <c r="U1495" s="5">
        <v>121000</v>
      </c>
      <c r="V1495" s="5" t="s">
        <v>6875</v>
      </c>
      <c r="W1495" s="5" t="s">
        <v>36</v>
      </c>
      <c r="X1495" s="5" t="s">
        <v>83</v>
      </c>
      <c r="Z1495" s="5" t="s">
        <v>6876</v>
      </c>
      <c r="AA1495" s="5" t="s">
        <v>44</v>
      </c>
      <c r="AB1495" s="5" t="s">
        <v>6877</v>
      </c>
      <c r="AC1495" s="8" t="str">
        <f>HYPERLINK("https://drive.google.com/file/d/1hV6Js_2H5De8qOpNKOgSEnCr30zMmRNo/view?usp=drivesdk", "Abrir_Factura")</f>
        <v>Abrir_Factura</v>
      </c>
      <c r="AD1495" s="9">
        <v>46042.764768518522</v>
      </c>
    </row>
    <row r="1496" spans="1:30" ht="12.5">
      <c r="A1496" s="4">
        <v>46042.767676990741</v>
      </c>
      <c r="B1496" s="5">
        <v>91234</v>
      </c>
      <c r="C1496" s="5">
        <v>900916475</v>
      </c>
      <c r="D1496" s="5" t="s">
        <v>4674</v>
      </c>
      <c r="F1496" s="5" t="s">
        <v>4113</v>
      </c>
      <c r="H1496" s="5">
        <v>573002627762</v>
      </c>
      <c r="J1496" s="5" t="s">
        <v>4674</v>
      </c>
      <c r="K1496" s="5" t="s">
        <v>33</v>
      </c>
      <c r="L1496" s="5" t="s">
        <v>34</v>
      </c>
      <c r="M1496" s="5">
        <v>3002627762</v>
      </c>
      <c r="N1496" s="6">
        <v>46042</v>
      </c>
      <c r="O1496" s="7">
        <v>0</v>
      </c>
      <c r="P1496" s="5">
        <v>1</v>
      </c>
      <c r="Q1496" s="5" t="s">
        <v>42</v>
      </c>
      <c r="R1496" s="5">
        <v>180000</v>
      </c>
      <c r="S1496" s="5">
        <v>0</v>
      </c>
      <c r="T1496" s="5">
        <v>0</v>
      </c>
      <c r="U1496" s="5">
        <v>180000</v>
      </c>
      <c r="V1496" s="5"/>
      <c r="W1496" s="5" t="s">
        <v>36</v>
      </c>
      <c r="X1496" s="5" t="s">
        <v>43</v>
      </c>
      <c r="AA1496" s="5" t="s">
        <v>44</v>
      </c>
      <c r="AB1496" s="5" t="s">
        <v>525</v>
      </c>
      <c r="AC1496" s="8" t="str">
        <f>HYPERLINK("https://drive.google.com/file/d/1ZNUZn9QpUV6TKVeRQL54jUSOZsuPxITq/view?usp=drivesdk", "Abrir_Factura")</f>
        <v>Abrir_Factura</v>
      </c>
      <c r="AD1496" s="9">
        <v>46042.768692129626</v>
      </c>
    </row>
    <row r="1497" spans="1:30" ht="12.5">
      <c r="A1497" s="4">
        <v>46042.887094074074</v>
      </c>
      <c r="B1497" s="5">
        <v>91235</v>
      </c>
      <c r="C1497" s="5">
        <v>1001817657</v>
      </c>
      <c r="D1497" s="5" t="s">
        <v>318</v>
      </c>
      <c r="F1497" s="5" t="s">
        <v>6878</v>
      </c>
      <c r="H1497" s="5">
        <v>573114317772</v>
      </c>
      <c r="J1497" s="5" t="s">
        <v>6879</v>
      </c>
      <c r="K1497" s="5" t="s">
        <v>79</v>
      </c>
      <c r="L1497" s="5" t="s">
        <v>6880</v>
      </c>
      <c r="M1497" s="5"/>
      <c r="N1497" s="6">
        <v>46043</v>
      </c>
      <c r="O1497" s="7">
        <v>0</v>
      </c>
      <c r="P1497" s="5">
        <v>1</v>
      </c>
      <c r="Q1497" s="5" t="s">
        <v>375</v>
      </c>
      <c r="R1497" s="5">
        <v>80000</v>
      </c>
      <c r="S1497" s="5">
        <v>0</v>
      </c>
      <c r="T1497" s="5">
        <v>10000</v>
      </c>
      <c r="U1497" s="5">
        <v>90000</v>
      </c>
      <c r="V1497" s="5" t="s">
        <v>6881</v>
      </c>
      <c r="W1497" s="5" t="s">
        <v>36</v>
      </c>
      <c r="X1497" s="5" t="s">
        <v>180</v>
      </c>
      <c r="Z1497" s="5" t="s">
        <v>6882</v>
      </c>
      <c r="AA1497" s="5" t="s">
        <v>44</v>
      </c>
      <c r="AB1497" s="5" t="s">
        <v>6883</v>
      </c>
      <c r="AC1497" s="8" t="str">
        <f>HYPERLINK("https://drive.google.com/file/d/1hfCPOt9AQ6cN1dBnzaplFVaTdpUcR1JV/view?usp=drivesdk", "Abrir_Factura")</f>
        <v>Abrir_Factura</v>
      </c>
      <c r="AD1497" s="9">
        <v>46043.338472222225</v>
      </c>
    </row>
    <row r="1498" spans="1:30" ht="12.5">
      <c r="A1498" s="4">
        <v>46043.353433356482</v>
      </c>
      <c r="B1498" s="5">
        <v>91236</v>
      </c>
      <c r="C1498" s="5">
        <v>63530515</v>
      </c>
      <c r="D1498" s="5" t="s">
        <v>6884</v>
      </c>
      <c r="F1498" s="5" t="s">
        <v>6885</v>
      </c>
      <c r="H1498" s="5">
        <v>573017457818</v>
      </c>
      <c r="J1498" s="5" t="s">
        <v>6886</v>
      </c>
      <c r="K1498" s="5" t="s">
        <v>249</v>
      </c>
      <c r="L1498" s="5" t="s">
        <v>6887</v>
      </c>
      <c r="M1498" s="5"/>
      <c r="N1498" s="6">
        <v>46043</v>
      </c>
      <c r="O1498" s="7">
        <v>0.41666666666666669</v>
      </c>
      <c r="P1498" s="5">
        <v>1</v>
      </c>
      <c r="Q1498" s="5" t="s">
        <v>6888</v>
      </c>
      <c r="R1498" s="5">
        <v>340000</v>
      </c>
      <c r="S1498" s="5">
        <v>0</v>
      </c>
      <c r="T1498" s="5">
        <v>10000</v>
      </c>
      <c r="U1498" s="5">
        <v>350000</v>
      </c>
      <c r="V1498" s="5" t="s">
        <v>6889</v>
      </c>
      <c r="W1498" s="5" t="s">
        <v>36</v>
      </c>
      <c r="X1498" s="5" t="s">
        <v>83</v>
      </c>
      <c r="AA1498" s="5" t="s">
        <v>44</v>
      </c>
      <c r="AB1498" s="5" t="s">
        <v>6890</v>
      </c>
      <c r="AC1498" s="8" t="str">
        <f>HYPERLINK("https://drive.google.com/file/d/1JNoCtUhCdtYEdee5L-FwuTe2NwkOTYNZ/view?usp=drivesdk", "Abrir_Factura")</f>
        <v>Abrir_Factura</v>
      </c>
      <c r="AD1498" s="9">
        <v>46043.354560185187</v>
      </c>
    </row>
    <row r="1499" spans="1:30" ht="12.5">
      <c r="A1499" s="4">
        <v>46043.337033518517</v>
      </c>
      <c r="B1499" s="5">
        <v>91237</v>
      </c>
      <c r="C1499" s="5">
        <v>1193200909</v>
      </c>
      <c r="D1499" s="5" t="s">
        <v>6891</v>
      </c>
      <c r="F1499" s="5" t="s">
        <v>399</v>
      </c>
      <c r="H1499" s="5">
        <v>573205937079</v>
      </c>
      <c r="J1499" s="5" t="s">
        <v>6892</v>
      </c>
      <c r="K1499" s="5" t="s">
        <v>154</v>
      </c>
      <c r="L1499" s="5" t="s">
        <v>6893</v>
      </c>
      <c r="M1499" s="5">
        <v>3205937079</v>
      </c>
      <c r="N1499" s="6">
        <v>46043</v>
      </c>
      <c r="O1499" s="7">
        <v>0.45833333333333331</v>
      </c>
      <c r="P1499" s="5">
        <v>1</v>
      </c>
      <c r="Q1499" s="5" t="s">
        <v>649</v>
      </c>
      <c r="R1499" s="5">
        <v>200000</v>
      </c>
      <c r="S1499" s="5">
        <v>0</v>
      </c>
      <c r="T1499" s="5">
        <v>8000</v>
      </c>
      <c r="U1499" s="5">
        <v>208000</v>
      </c>
      <c r="V1499" s="5" t="s">
        <v>6894</v>
      </c>
      <c r="W1499" s="5" t="s">
        <v>36</v>
      </c>
      <c r="X1499" s="5" t="s">
        <v>1937</v>
      </c>
      <c r="Z1499" s="5" t="s">
        <v>6895</v>
      </c>
      <c r="AA1499" s="5" t="s">
        <v>44</v>
      </c>
      <c r="AC1499" s="8" t="str">
        <f>HYPERLINK("https://drive.google.com/file/d/1BXOdaGZVMs0TUnFGnUndIjNoF50TTkJq/view?usp=drivesdk", "Abrir_Factura")</f>
        <v>Abrir_Factura</v>
      </c>
      <c r="AD1499" s="9">
        <v>46043.365682870368</v>
      </c>
    </row>
    <row r="1500" spans="1:30" ht="12.5">
      <c r="A1500" s="4">
        <v>46043.363445104165</v>
      </c>
      <c r="B1500" s="5">
        <v>91238</v>
      </c>
      <c r="C1500" s="5">
        <v>1048222781</v>
      </c>
      <c r="D1500" s="5" t="s">
        <v>1376</v>
      </c>
      <c r="F1500" s="5" t="s">
        <v>6896</v>
      </c>
      <c r="H1500" s="5">
        <v>5783257758</v>
      </c>
      <c r="J1500" s="5" t="s">
        <v>6897</v>
      </c>
      <c r="K1500" s="5" t="s">
        <v>1815</v>
      </c>
      <c r="L1500" s="5" t="s">
        <v>6898</v>
      </c>
      <c r="M1500" s="5">
        <v>3013141562</v>
      </c>
      <c r="N1500" s="6">
        <v>46043</v>
      </c>
      <c r="O1500" s="7">
        <v>0.45833333333333331</v>
      </c>
      <c r="P1500" s="5">
        <v>1</v>
      </c>
      <c r="Q1500" s="5" t="s">
        <v>6899</v>
      </c>
      <c r="R1500" s="5">
        <v>90000</v>
      </c>
      <c r="S1500" s="5">
        <v>0</v>
      </c>
      <c r="T1500" s="5">
        <v>18000</v>
      </c>
      <c r="U1500" s="5">
        <v>108000</v>
      </c>
      <c r="V1500" s="5" t="s">
        <v>6900</v>
      </c>
      <c r="W1500" s="5" t="s">
        <v>36</v>
      </c>
      <c r="X1500" s="5" t="s">
        <v>83</v>
      </c>
      <c r="Z1500" s="5" t="s">
        <v>6901</v>
      </c>
      <c r="AA1500" s="5" t="s">
        <v>44</v>
      </c>
      <c r="AC1500" s="8" t="str">
        <f>HYPERLINK("https://drive.google.com/file/d/1MejFfzA5GZWU3M4pwVW6C7b4a3FVMYCr/view?usp=drivesdk", "Abrir_Factura")</f>
        <v>Abrir_Factura</v>
      </c>
      <c r="AD1500" s="9">
        <v>46043.374236111114</v>
      </c>
    </row>
    <row r="1501" spans="1:30" ht="12.5">
      <c r="A1501" s="4">
        <v>46043.42675875</v>
      </c>
      <c r="B1501" s="5">
        <v>91239</v>
      </c>
      <c r="C1501" s="5">
        <v>1140885036</v>
      </c>
      <c r="D1501" s="5" t="s">
        <v>6902</v>
      </c>
      <c r="F1501" s="5" t="s">
        <v>6903</v>
      </c>
      <c r="H1501" s="5">
        <v>573155204525</v>
      </c>
      <c r="J1501" s="5" t="s">
        <v>6904</v>
      </c>
      <c r="K1501" s="5" t="s">
        <v>6905</v>
      </c>
      <c r="L1501" s="5" t="s">
        <v>6906</v>
      </c>
      <c r="M1501" s="5"/>
      <c r="N1501" s="6">
        <v>46043</v>
      </c>
      <c r="O1501" s="7">
        <v>0</v>
      </c>
      <c r="P1501" s="5">
        <v>1</v>
      </c>
      <c r="Q1501" s="5" t="s">
        <v>6601</v>
      </c>
      <c r="R1501" s="5">
        <v>370000</v>
      </c>
      <c r="S1501" s="5">
        <v>0</v>
      </c>
      <c r="T1501" s="5">
        <v>25000</v>
      </c>
      <c r="U1501" s="5">
        <v>395000</v>
      </c>
      <c r="V1501" s="5" t="s">
        <v>6907</v>
      </c>
      <c r="W1501" s="5" t="s">
        <v>36</v>
      </c>
      <c r="X1501" s="5" t="s">
        <v>180</v>
      </c>
      <c r="AA1501" s="5" t="s">
        <v>69</v>
      </c>
      <c r="AC1501" s="8" t="str">
        <f>HYPERLINK("https://drive.google.com/file/d/1uCO35cDCWML1vcvP5RCNAds5sKev7Bm0/view?usp=drivesdk", "Abrir_Factura")</f>
        <v>Abrir_Factura</v>
      </c>
      <c r="AD1501" s="9">
        <v>46043.427233796298</v>
      </c>
    </row>
    <row r="1502" spans="1:30" ht="12.5">
      <c r="A1502" s="4">
        <v>46043.441145219906</v>
      </c>
      <c r="B1502" s="5">
        <v>91240</v>
      </c>
      <c r="C1502" s="5">
        <v>1140876116</v>
      </c>
      <c r="D1502" s="5" t="s">
        <v>6908</v>
      </c>
      <c r="F1502" s="5" t="s">
        <v>6909</v>
      </c>
      <c r="H1502" s="5">
        <v>573102238676</v>
      </c>
      <c r="J1502" s="5" t="s">
        <v>6910</v>
      </c>
      <c r="K1502" s="5" t="s">
        <v>103</v>
      </c>
      <c r="L1502" s="5" t="s">
        <v>6911</v>
      </c>
      <c r="M1502" s="5">
        <v>3162755172</v>
      </c>
      <c r="N1502" s="6">
        <v>46043</v>
      </c>
      <c r="O1502" s="7">
        <v>0</v>
      </c>
      <c r="P1502" s="5">
        <v>1</v>
      </c>
      <c r="Q1502" s="5" t="s">
        <v>422</v>
      </c>
      <c r="R1502" s="5">
        <v>150000</v>
      </c>
      <c r="S1502" s="5">
        <v>0</v>
      </c>
      <c r="T1502" s="5">
        <v>10000</v>
      </c>
      <c r="U1502" s="5">
        <v>160000</v>
      </c>
      <c r="V1502" s="5" t="s">
        <v>6912</v>
      </c>
      <c r="W1502" s="5" t="s">
        <v>36</v>
      </c>
      <c r="X1502" s="5" t="s">
        <v>83</v>
      </c>
      <c r="Z1502" s="5" t="s">
        <v>6913</v>
      </c>
      <c r="AA1502" s="5" t="s">
        <v>44</v>
      </c>
      <c r="AB1502" s="5" t="s">
        <v>3907</v>
      </c>
      <c r="AC1502" s="8" t="str">
        <f>HYPERLINK("https://drive.google.com/file/d/15tu1LWg87mwHrfp0EHJ9pBq6UK3tNKtM/view?usp=drivesdk", "Abrir_Factura")</f>
        <v>Abrir_Factura</v>
      </c>
      <c r="AD1502" s="9">
        <v>46043.444664351853</v>
      </c>
    </row>
    <row r="1503" spans="1:30" ht="12.5">
      <c r="A1503" s="4">
        <v>46043.447441782409</v>
      </c>
      <c r="B1503" s="5">
        <v>91241</v>
      </c>
      <c r="C1503" s="5">
        <v>1140872987</v>
      </c>
      <c r="D1503" s="5" t="s">
        <v>6914</v>
      </c>
      <c r="F1503" s="5" t="s">
        <v>6915</v>
      </c>
      <c r="H1503" s="5">
        <v>573218387622</v>
      </c>
      <c r="J1503" s="5" t="s">
        <v>6916</v>
      </c>
      <c r="K1503" s="5" t="s">
        <v>63</v>
      </c>
      <c r="L1503" s="5" t="s">
        <v>6917</v>
      </c>
      <c r="M1503" s="5">
        <v>3002574672</v>
      </c>
      <c r="N1503" s="6">
        <v>46043</v>
      </c>
      <c r="O1503" s="7">
        <v>0</v>
      </c>
      <c r="P1503" s="5">
        <v>1</v>
      </c>
      <c r="Q1503" s="5" t="s">
        <v>361</v>
      </c>
      <c r="R1503" s="5">
        <v>200000</v>
      </c>
      <c r="S1503" s="5">
        <v>0</v>
      </c>
      <c r="T1503" s="5">
        <v>17000</v>
      </c>
      <c r="U1503" s="5">
        <v>217000</v>
      </c>
      <c r="V1503" s="5" t="s">
        <v>6918</v>
      </c>
      <c r="W1503" s="5" t="s">
        <v>36</v>
      </c>
      <c r="X1503" s="5" t="s">
        <v>204</v>
      </c>
      <c r="Z1503" s="5" t="s">
        <v>6919</v>
      </c>
      <c r="AA1503" s="5" t="s">
        <v>44</v>
      </c>
      <c r="AC1503" s="8" t="str">
        <f>HYPERLINK("https://drive.google.com/file/d/1lDeikCDDgYFEx6EXrHrWn8U1yt5aA6Zv/view?usp=drivesdk", "Abrir_Factura")</f>
        <v>Abrir_Factura</v>
      </c>
      <c r="AD1503" s="9">
        <v>46043.454189814816</v>
      </c>
    </row>
    <row r="1504" spans="1:30" ht="12.5">
      <c r="A1504" s="4">
        <v>46043.466845474541</v>
      </c>
      <c r="B1504" s="5">
        <v>91242</v>
      </c>
      <c r="C1504" s="5">
        <v>19120779</v>
      </c>
      <c r="D1504" s="5" t="s">
        <v>6920</v>
      </c>
      <c r="F1504" s="5" t="s">
        <v>6921</v>
      </c>
      <c r="H1504" s="5">
        <v>573153083288</v>
      </c>
      <c r="J1504" s="5" t="s">
        <v>6922</v>
      </c>
      <c r="K1504" s="5" t="s">
        <v>930</v>
      </c>
      <c r="L1504" s="5" t="s">
        <v>6923</v>
      </c>
      <c r="M1504" s="5">
        <v>3142402578</v>
      </c>
      <c r="N1504" s="6">
        <v>46043</v>
      </c>
      <c r="O1504" s="7">
        <v>0</v>
      </c>
      <c r="P1504" s="5">
        <v>1</v>
      </c>
      <c r="Q1504" s="5" t="s">
        <v>294</v>
      </c>
      <c r="R1504" s="5">
        <v>180000</v>
      </c>
      <c r="S1504" s="5">
        <v>0</v>
      </c>
      <c r="T1504" s="5">
        <v>30000</v>
      </c>
      <c r="U1504" s="5">
        <v>210000</v>
      </c>
      <c r="V1504" s="5" t="s">
        <v>6924</v>
      </c>
      <c r="W1504" s="5" t="s">
        <v>36</v>
      </c>
      <c r="X1504" s="5" t="s">
        <v>1937</v>
      </c>
      <c r="AA1504" s="5" t="s">
        <v>44</v>
      </c>
      <c r="AB1504" s="5" t="s">
        <v>6925</v>
      </c>
      <c r="AC1504" s="8" t="str">
        <f>HYPERLINK("https://drive.google.com/file/d/1nFr6vJGPXRCVt7FHaY4XBcp6bFc1F0p_/view?usp=drivesdk", "Abrir_Factura")</f>
        <v>Abrir_Factura</v>
      </c>
      <c r="AD1504" s="9">
        <v>46043.467407407406</v>
      </c>
    </row>
    <row r="1505" spans="1:30" ht="12.5">
      <c r="A1505" s="4">
        <v>46043.474354942126</v>
      </c>
      <c r="B1505" s="5">
        <v>91243</v>
      </c>
      <c r="C1505" s="5">
        <v>22675223</v>
      </c>
      <c r="D1505" s="5" t="s">
        <v>6926</v>
      </c>
      <c r="F1505" s="5" t="s">
        <v>6927</v>
      </c>
      <c r="H1505" s="5">
        <v>573127908264</v>
      </c>
      <c r="J1505" s="5" t="s">
        <v>6928</v>
      </c>
      <c r="K1505" s="5" t="s">
        <v>33</v>
      </c>
      <c r="L1505" s="5" t="s">
        <v>34</v>
      </c>
      <c r="M1505" s="5">
        <v>3127908264</v>
      </c>
      <c r="N1505" s="6">
        <v>46043</v>
      </c>
      <c r="O1505" s="7">
        <v>0</v>
      </c>
      <c r="P1505" s="5">
        <v>1</v>
      </c>
      <c r="Q1505" s="5" t="s">
        <v>42</v>
      </c>
      <c r="R1505" s="5">
        <v>16000</v>
      </c>
      <c r="S1505" s="5">
        <v>0</v>
      </c>
      <c r="T1505" s="5">
        <v>0</v>
      </c>
      <c r="U1505" s="5">
        <v>16000</v>
      </c>
      <c r="V1505" s="5"/>
      <c r="W1505" s="5" t="s">
        <v>36</v>
      </c>
      <c r="X1505" s="5" t="s">
        <v>196</v>
      </c>
      <c r="AA1505" s="5" t="s">
        <v>1717</v>
      </c>
      <c r="AB1505" s="5" t="s">
        <v>525</v>
      </c>
      <c r="AC1505" s="8" t="str">
        <f>HYPERLINK("https://drive.google.com/file/d/1dfDZ4njP9Q3TPc_N_pOKc7H34XGlT1Rx/view?usp=drivesdk", "Abrir_Factura")</f>
        <v>Abrir_Factura</v>
      </c>
      <c r="AD1505" s="9">
        <v>46043.474791666667</v>
      </c>
    </row>
    <row r="1506" spans="1:30" ht="12.5">
      <c r="A1506" s="4">
        <v>46043.458128217593</v>
      </c>
      <c r="B1506" s="5">
        <v>91244</v>
      </c>
      <c r="C1506" s="5">
        <v>1129575335</v>
      </c>
      <c r="D1506" s="5" t="s">
        <v>6929</v>
      </c>
      <c r="F1506" s="5" t="s">
        <v>6930</v>
      </c>
      <c r="H1506" s="5">
        <v>573012943870</v>
      </c>
      <c r="J1506" s="5" t="s">
        <v>6931</v>
      </c>
      <c r="K1506" s="5" t="s">
        <v>328</v>
      </c>
      <c r="L1506" s="5" t="s">
        <v>6932</v>
      </c>
      <c r="M1506" s="5">
        <v>3008920618</v>
      </c>
      <c r="N1506" s="6">
        <v>46044</v>
      </c>
      <c r="O1506" s="7">
        <v>0.60416666666666663</v>
      </c>
      <c r="P1506" s="5">
        <v>1</v>
      </c>
      <c r="Q1506" s="5" t="s">
        <v>309</v>
      </c>
      <c r="R1506" s="5">
        <v>88000</v>
      </c>
      <c r="S1506" s="5">
        <v>0</v>
      </c>
      <c r="T1506" s="5">
        <v>12000</v>
      </c>
      <c r="U1506" s="5">
        <v>100000</v>
      </c>
      <c r="V1506" s="5" t="s">
        <v>6933</v>
      </c>
      <c r="W1506" s="5" t="s">
        <v>36</v>
      </c>
      <c r="X1506" s="5" t="s">
        <v>83</v>
      </c>
      <c r="Z1506" s="5" t="s">
        <v>6934</v>
      </c>
      <c r="AA1506" s="5" t="s">
        <v>44</v>
      </c>
      <c r="AC1506" s="8" t="str">
        <f>HYPERLINK("https://drive.google.com/file/d/1p2wTd1pv4-G5C6FJOhhFpFqkz_MXbpgA/view?usp=drivesdk", "Abrir_Factura")</f>
        <v>Abrir_Factura</v>
      </c>
      <c r="AD1506" s="9">
        <v>46043.479178240741</v>
      </c>
    </row>
    <row r="1507" spans="1:30" ht="12.5">
      <c r="A1507" s="4">
        <v>46043.480217129632</v>
      </c>
      <c r="B1507" s="5">
        <v>91245</v>
      </c>
      <c r="C1507" s="5">
        <v>1234089508</v>
      </c>
      <c r="D1507" s="5" t="s">
        <v>1588</v>
      </c>
      <c r="F1507" s="5" t="s">
        <v>6935</v>
      </c>
      <c r="H1507" s="5">
        <v>573015418841</v>
      </c>
      <c r="J1507" s="5" t="s">
        <v>6936</v>
      </c>
      <c r="K1507" s="5" t="s">
        <v>249</v>
      </c>
      <c r="L1507" s="5" t="s">
        <v>6937</v>
      </c>
      <c r="M1507" s="5">
        <v>3245446843</v>
      </c>
      <c r="N1507" s="6">
        <v>46043</v>
      </c>
      <c r="O1507" s="7">
        <v>0.60416666666666663</v>
      </c>
      <c r="P1507" s="5">
        <v>1</v>
      </c>
      <c r="Q1507" s="5" t="s">
        <v>375</v>
      </c>
      <c r="R1507" s="5">
        <v>80000</v>
      </c>
      <c r="S1507" s="5">
        <v>0</v>
      </c>
      <c r="T1507" s="5">
        <v>10000</v>
      </c>
      <c r="U1507" s="5">
        <v>90000</v>
      </c>
      <c r="V1507" s="5" t="s">
        <v>6938</v>
      </c>
      <c r="W1507" s="5" t="s">
        <v>36</v>
      </c>
      <c r="X1507" s="5" t="s">
        <v>83</v>
      </c>
      <c r="Z1507" s="5" t="s">
        <v>6939</v>
      </c>
      <c r="AA1507" s="5" t="s">
        <v>44</v>
      </c>
      <c r="AC1507" s="8" t="str">
        <f>HYPERLINK("https://drive.google.com/file/d/1day6OUql6ARX4Nya6tFGulCfZyuJugR4/view?usp=drivesdk", "Abrir_Factura")</f>
        <v>Abrir_Factura</v>
      </c>
      <c r="AD1507" s="9">
        <v>46043.486516203702</v>
      </c>
    </row>
    <row r="1508" spans="1:30" ht="12.5">
      <c r="A1508" s="4">
        <v>46043.484764143519</v>
      </c>
      <c r="B1508" s="5">
        <v>91246</v>
      </c>
      <c r="C1508" s="5">
        <v>1140887536</v>
      </c>
      <c r="D1508" s="5" t="s">
        <v>1779</v>
      </c>
      <c r="F1508" s="5" t="s">
        <v>6940</v>
      </c>
      <c r="H1508" s="5">
        <v>573233994044</v>
      </c>
      <c r="J1508" s="5" t="s">
        <v>6941</v>
      </c>
      <c r="K1508" s="5" t="s">
        <v>185</v>
      </c>
      <c r="L1508" s="5" t="s">
        <v>6942</v>
      </c>
      <c r="M1508" s="5">
        <v>3004322432</v>
      </c>
      <c r="N1508" s="6">
        <v>46043</v>
      </c>
      <c r="O1508" s="7">
        <v>0.58333333333333337</v>
      </c>
      <c r="P1508" s="5">
        <v>1</v>
      </c>
      <c r="Q1508" s="5" t="s">
        <v>6943</v>
      </c>
      <c r="R1508" s="5">
        <v>160000</v>
      </c>
      <c r="S1508" s="5">
        <v>0</v>
      </c>
      <c r="T1508" s="5">
        <v>8000</v>
      </c>
      <c r="U1508" s="5">
        <v>168000</v>
      </c>
      <c r="V1508" s="5" t="s">
        <v>6944</v>
      </c>
      <c r="W1508" s="5" t="s">
        <v>36</v>
      </c>
      <c r="X1508" s="5" t="s">
        <v>83</v>
      </c>
      <c r="Z1508" s="5" t="s">
        <v>6945</v>
      </c>
      <c r="AA1508" s="5" t="s">
        <v>44</v>
      </c>
      <c r="AC1508" s="8" t="str">
        <f>HYPERLINK("https://drive.google.com/file/d/1Caznm3XutcX3bZIrtACo3pJKHjWtsOiN/view?usp=drivesdk", "Abrir_Factura")</f>
        <v>Abrir_Factura</v>
      </c>
      <c r="AD1508" s="9">
        <v>46043.525104166663</v>
      </c>
    </row>
    <row r="1509" spans="1:30" ht="12.5">
      <c r="A1509" s="4">
        <v>46043.524287152773</v>
      </c>
      <c r="B1509" s="5">
        <v>91247</v>
      </c>
      <c r="C1509" s="5">
        <v>1140864273</v>
      </c>
      <c r="D1509" s="5" t="s">
        <v>2466</v>
      </c>
      <c r="F1509" s="5" t="s">
        <v>3641</v>
      </c>
      <c r="H1509" s="5">
        <v>573004873611</v>
      </c>
      <c r="J1509" s="5" t="s">
        <v>6946</v>
      </c>
      <c r="K1509" s="5" t="s">
        <v>185</v>
      </c>
      <c r="L1509" s="5" t="s">
        <v>6947</v>
      </c>
      <c r="M1509" s="5">
        <v>3008760327</v>
      </c>
      <c r="N1509" s="6">
        <v>46043</v>
      </c>
      <c r="O1509" s="7">
        <v>0.625</v>
      </c>
      <c r="P1509" s="5">
        <v>1</v>
      </c>
      <c r="Q1509" s="5" t="s">
        <v>89</v>
      </c>
      <c r="R1509" s="5">
        <v>170000</v>
      </c>
      <c r="S1509" s="5">
        <v>0</v>
      </c>
      <c r="T1509" s="5">
        <v>8000</v>
      </c>
      <c r="U1509" s="5">
        <v>178000</v>
      </c>
      <c r="V1509" s="5" t="s">
        <v>6948</v>
      </c>
      <c r="W1509" s="5" t="s">
        <v>36</v>
      </c>
      <c r="X1509" s="5" t="s">
        <v>83</v>
      </c>
      <c r="Z1509" s="5" t="s">
        <v>6949</v>
      </c>
      <c r="AA1509" s="5" t="s">
        <v>44</v>
      </c>
      <c r="AB1509" s="5" t="s">
        <v>6950</v>
      </c>
      <c r="AC1509" s="8" t="str">
        <f>HYPERLINK("https://drive.google.com/file/d/1xSb44UOFNpGibXw_faxfbFTmlUrhN06E/view?usp=drivesdk", "Abrir_Factura")</f>
        <v>Abrir_Factura</v>
      </c>
      <c r="AD1509" s="9">
        <v>46043.530868055554</v>
      </c>
    </row>
    <row r="1510" spans="1:30" ht="12.5">
      <c r="A1510" s="4">
        <v>46043.537195439814</v>
      </c>
      <c r="B1510" s="5">
        <v>91248</v>
      </c>
      <c r="C1510" s="5">
        <v>19248918</v>
      </c>
      <c r="D1510" s="5" t="s">
        <v>1200</v>
      </c>
      <c r="F1510" s="5" t="s">
        <v>6951</v>
      </c>
      <c r="H1510" s="5">
        <v>573004663960</v>
      </c>
      <c r="J1510" s="5" t="s">
        <v>6952</v>
      </c>
      <c r="K1510" s="5"/>
      <c r="L1510" s="5" t="s">
        <v>6953</v>
      </c>
      <c r="M1510" s="5"/>
      <c r="N1510" s="6">
        <v>46044</v>
      </c>
      <c r="O1510" s="7">
        <v>0.375</v>
      </c>
      <c r="P1510" s="5">
        <v>1</v>
      </c>
      <c r="Q1510" s="5" t="s">
        <v>361</v>
      </c>
      <c r="R1510" s="5">
        <v>200000</v>
      </c>
      <c r="S1510" s="5">
        <v>0</v>
      </c>
      <c r="T1510" s="5"/>
      <c r="U1510" s="5">
        <v>200000</v>
      </c>
      <c r="V1510" s="5" t="s">
        <v>6954</v>
      </c>
      <c r="W1510" s="5" t="s">
        <v>36</v>
      </c>
      <c r="X1510" s="5" t="s">
        <v>1705</v>
      </c>
      <c r="AA1510" s="5" t="s">
        <v>1717</v>
      </c>
      <c r="AC1510" s="8" t="str">
        <f>HYPERLINK("https://drive.google.com/file/d/1veaP5E95wBgDVtacn1iOltz2p2tRIH-F/view?usp=drivesdk", "Abrir_Factura")</f>
        <v>Abrir_Factura</v>
      </c>
      <c r="AD1510" s="9">
        <v>46043.540937500002</v>
      </c>
    </row>
    <row r="1511" spans="1:30" ht="12.5">
      <c r="A1511" s="4">
        <v>46043.553153761575</v>
      </c>
      <c r="B1511" s="5">
        <v>91249</v>
      </c>
      <c r="C1511" s="5">
        <v>22675223</v>
      </c>
      <c r="D1511" s="5" t="s">
        <v>6926</v>
      </c>
      <c r="F1511" s="5" t="s">
        <v>6927</v>
      </c>
      <c r="H1511" s="5">
        <v>573127908264</v>
      </c>
      <c r="J1511" s="5">
        <v>0</v>
      </c>
      <c r="K1511" s="5" t="s">
        <v>33</v>
      </c>
      <c r="L1511" s="5" t="s">
        <v>34</v>
      </c>
      <c r="M1511" s="5"/>
      <c r="N1511" s="6">
        <v>46043</v>
      </c>
      <c r="O1511" s="7">
        <v>0</v>
      </c>
      <c r="P1511" s="5">
        <v>1</v>
      </c>
      <c r="Q1511" s="5" t="s">
        <v>42</v>
      </c>
      <c r="R1511" s="5">
        <v>2000</v>
      </c>
      <c r="S1511" s="5">
        <v>0</v>
      </c>
      <c r="T1511" s="5">
        <v>0</v>
      </c>
      <c r="U1511" s="5">
        <v>2000</v>
      </c>
      <c r="V1511" s="5"/>
      <c r="W1511" s="5" t="s">
        <v>36</v>
      </c>
      <c r="X1511" s="5" t="s">
        <v>196</v>
      </c>
      <c r="AA1511" s="5" t="s">
        <v>1717</v>
      </c>
      <c r="AC1511" s="8" t="str">
        <f>HYPERLINK("https://drive.google.com/file/d/1RDOvGAa8t1dxEk9TIyaV1PTeD6MZtEOT/view?usp=drivesdk", "Abrir_Factura")</f>
        <v>Abrir_Factura</v>
      </c>
      <c r="AD1511" s="9">
        <v>46043.553564814814</v>
      </c>
    </row>
    <row r="1512" spans="1:30" ht="12.5">
      <c r="A1512" s="4">
        <v>46043.57353011574</v>
      </c>
      <c r="B1512" s="5">
        <v>91250</v>
      </c>
      <c r="C1512" s="5">
        <v>80852240</v>
      </c>
      <c r="D1512" s="5" t="s">
        <v>2545</v>
      </c>
      <c r="F1512" s="5" t="s">
        <v>6140</v>
      </c>
      <c r="H1512" s="5">
        <v>573017925741</v>
      </c>
      <c r="J1512" s="5" t="s">
        <v>6955</v>
      </c>
      <c r="K1512" s="5" t="s">
        <v>229</v>
      </c>
      <c r="L1512" s="5" t="s">
        <v>6956</v>
      </c>
      <c r="M1512" s="5">
        <v>3226042812</v>
      </c>
      <c r="N1512" s="6">
        <v>46043</v>
      </c>
      <c r="O1512" s="7">
        <v>0.625</v>
      </c>
      <c r="P1512" s="5">
        <v>1</v>
      </c>
      <c r="Q1512" s="5" t="s">
        <v>1203</v>
      </c>
      <c r="R1512" s="5">
        <v>300000</v>
      </c>
      <c r="S1512" s="5">
        <v>0</v>
      </c>
      <c r="T1512" s="5">
        <v>11000</v>
      </c>
      <c r="U1512" s="5">
        <v>311000</v>
      </c>
      <c r="V1512" s="5" t="s">
        <v>6957</v>
      </c>
      <c r="W1512" s="5" t="s">
        <v>36</v>
      </c>
      <c r="X1512" s="5" t="s">
        <v>83</v>
      </c>
      <c r="Z1512" s="5" t="s">
        <v>6958</v>
      </c>
      <c r="AA1512" s="5" t="s">
        <v>44</v>
      </c>
      <c r="AC1512" s="8" t="str">
        <f>HYPERLINK("https://drive.google.com/file/d/1d8Oz7EA84MlS9VA1OWx0Kv7pfUOkZEmP/view?usp=drivesdk", "Abrir_Factura")</f>
        <v>Abrir_Factura</v>
      </c>
      <c r="AD1512" s="9">
        <v>46043.57912037037</v>
      </c>
    </row>
    <row r="1513" spans="1:30" ht="12.5">
      <c r="A1513" s="4">
        <v>46043.580514155095</v>
      </c>
      <c r="B1513" s="5">
        <v>91251</v>
      </c>
      <c r="C1513" s="5">
        <v>1045695157</v>
      </c>
      <c r="D1513" s="5" t="s">
        <v>2953</v>
      </c>
      <c r="F1513" s="5" t="s">
        <v>4830</v>
      </c>
      <c r="H1513" s="5">
        <v>573004404722</v>
      </c>
      <c r="J1513" s="5" t="s">
        <v>6959</v>
      </c>
      <c r="K1513" s="5" t="s">
        <v>73</v>
      </c>
      <c r="L1513" s="5" t="s">
        <v>6960</v>
      </c>
      <c r="M1513" s="5">
        <v>3004404722</v>
      </c>
      <c r="N1513" s="6">
        <v>46044</v>
      </c>
      <c r="O1513" s="7">
        <v>0.375</v>
      </c>
      <c r="P1513" s="5">
        <v>1</v>
      </c>
      <c r="Q1513" s="5" t="s">
        <v>6961</v>
      </c>
      <c r="R1513" s="5">
        <v>80000</v>
      </c>
      <c r="S1513" s="5">
        <v>0</v>
      </c>
      <c r="T1513" s="5">
        <v>8000</v>
      </c>
      <c r="U1513" s="5">
        <v>88000</v>
      </c>
      <c r="V1513" s="5" t="s">
        <v>6962</v>
      </c>
      <c r="W1513" s="5" t="s">
        <v>36</v>
      </c>
      <c r="X1513" s="5" t="s">
        <v>83</v>
      </c>
      <c r="Z1513" s="5" t="s">
        <v>6963</v>
      </c>
      <c r="AA1513" s="5" t="s">
        <v>44</v>
      </c>
      <c r="AC1513" s="8" t="str">
        <f>HYPERLINK("https://drive.google.com/file/d/11VXG9cdWAKF5FNYBwioVm2fGPuzp5wWY/view?usp=drivesdk", "Abrir_Factura")</f>
        <v>Abrir_Factura</v>
      </c>
      <c r="AD1513" s="9">
        <v>46043.592881944445</v>
      </c>
    </row>
    <row r="1514" spans="1:30" ht="12.5">
      <c r="A1514" s="4">
        <v>46042.748345868051</v>
      </c>
      <c r="B1514" s="5">
        <v>91252</v>
      </c>
      <c r="C1514" s="5">
        <v>1010224863</v>
      </c>
      <c r="D1514" s="5" t="s">
        <v>711</v>
      </c>
      <c r="F1514" s="5" t="s">
        <v>4070</v>
      </c>
      <c r="H1514" s="5">
        <v>573192835538</v>
      </c>
      <c r="J1514" s="5" t="s">
        <v>4071</v>
      </c>
      <c r="K1514" s="5" t="s">
        <v>185</v>
      </c>
      <c r="L1514" s="5" t="s">
        <v>6964</v>
      </c>
      <c r="M1514" s="5">
        <v>3192835538</v>
      </c>
      <c r="N1514" s="6">
        <v>46046</v>
      </c>
      <c r="O1514" s="7">
        <v>0.66666666666666663</v>
      </c>
      <c r="P1514" s="5">
        <v>1</v>
      </c>
      <c r="Q1514" s="5" t="s">
        <v>42</v>
      </c>
      <c r="R1514" s="5">
        <v>80000</v>
      </c>
      <c r="S1514" s="5">
        <v>0</v>
      </c>
      <c r="T1514" s="5">
        <v>8000</v>
      </c>
      <c r="U1514" s="5">
        <v>88000</v>
      </c>
      <c r="V1514" s="5" t="s">
        <v>6965</v>
      </c>
      <c r="W1514" s="5" t="s">
        <v>36</v>
      </c>
      <c r="X1514" s="5" t="s">
        <v>1937</v>
      </c>
      <c r="AA1514" s="5" t="s">
        <v>44</v>
      </c>
      <c r="AB1514" s="5" t="s">
        <v>6966</v>
      </c>
      <c r="AC1514" s="8" t="str">
        <f>HYPERLINK("https://drive.google.com/file/d/1dspwLQp35bWrfBBjnbljHYea5l5zJ5lh/view?usp=drivesdk", "Abrir_Factura")</f>
        <v>Abrir_Factura</v>
      </c>
      <c r="AD1514" s="9">
        <v>46043.637002314812</v>
      </c>
    </row>
    <row r="1515" spans="1:30" ht="12.5">
      <c r="A1515" s="4">
        <v>46043.650903159723</v>
      </c>
      <c r="B1515" s="5">
        <v>91253</v>
      </c>
      <c r="C1515" s="5">
        <v>1071428437</v>
      </c>
      <c r="D1515" s="5" t="s">
        <v>6967</v>
      </c>
      <c r="F1515" s="5" t="s">
        <v>6968</v>
      </c>
      <c r="H1515" s="5">
        <v>573128933100</v>
      </c>
      <c r="J1515" s="5" t="s">
        <v>6969</v>
      </c>
      <c r="K1515" s="5" t="s">
        <v>879</v>
      </c>
      <c r="L1515" s="5" t="s">
        <v>6970</v>
      </c>
      <c r="M1515" s="5" t="s">
        <v>6971</v>
      </c>
      <c r="N1515" s="6">
        <v>46043</v>
      </c>
      <c r="O1515" s="7">
        <v>0.75</v>
      </c>
      <c r="P1515" s="5">
        <v>1</v>
      </c>
      <c r="Q1515" s="5" t="s">
        <v>370</v>
      </c>
      <c r="R1515" s="5">
        <v>290000</v>
      </c>
      <c r="S1515" s="5">
        <v>0</v>
      </c>
      <c r="T1515" s="5">
        <v>20000</v>
      </c>
      <c r="U1515" s="5">
        <v>310000</v>
      </c>
      <c r="V1515" s="5" t="s">
        <v>6972</v>
      </c>
      <c r="W1515" s="5" t="s">
        <v>36</v>
      </c>
      <c r="X1515" s="5" t="s">
        <v>83</v>
      </c>
      <c r="Z1515" s="5" t="s">
        <v>6973</v>
      </c>
      <c r="AA1515" s="5" t="s">
        <v>44</v>
      </c>
      <c r="AB1515" s="5" t="s">
        <v>6974</v>
      </c>
      <c r="AC1515" s="8" t="str">
        <f>HYPERLINK("https://drive.google.com/file/d/1Dgqoafwys1YEXlssN9754z9CBFHcGzgr/view?usp=drivesdk", "Abrir_Factura")</f>
        <v>Abrir_Factura</v>
      </c>
      <c r="AD1515" s="9">
        <v>46043.65861111111</v>
      </c>
    </row>
    <row r="1516" spans="1:30" ht="12.5">
      <c r="A1516" s="4">
        <v>46043.662014236106</v>
      </c>
      <c r="B1516" s="5">
        <v>91254</v>
      </c>
      <c r="C1516" s="5">
        <v>31436452</v>
      </c>
      <c r="D1516" s="5" t="s">
        <v>6975</v>
      </c>
      <c r="F1516" s="5" t="s">
        <v>6976</v>
      </c>
      <c r="H1516" s="5">
        <v>573505575430</v>
      </c>
      <c r="J1516" s="5" t="s">
        <v>6977</v>
      </c>
      <c r="K1516" s="5" t="s">
        <v>33</v>
      </c>
      <c r="L1516" s="5" t="s">
        <v>34</v>
      </c>
      <c r="M1516" s="5">
        <v>3505575430</v>
      </c>
      <c r="N1516" s="6">
        <v>46043</v>
      </c>
      <c r="O1516" s="7">
        <v>0</v>
      </c>
      <c r="P1516" s="5">
        <v>1</v>
      </c>
      <c r="Q1516" s="5" t="s">
        <v>42</v>
      </c>
      <c r="R1516" s="5">
        <v>20000</v>
      </c>
      <c r="S1516" s="5">
        <v>0</v>
      </c>
      <c r="T1516" s="5">
        <v>0</v>
      </c>
      <c r="U1516" s="5">
        <v>20000</v>
      </c>
      <c r="V1516" s="5"/>
      <c r="W1516" s="5" t="s">
        <v>36</v>
      </c>
      <c r="X1516" s="5" t="s">
        <v>196</v>
      </c>
      <c r="AA1516" s="5" t="s">
        <v>1717</v>
      </c>
      <c r="AB1516" s="5" t="s">
        <v>1554</v>
      </c>
      <c r="AC1516" s="8" t="str">
        <f>HYPERLINK("https://drive.google.com/file/d/1S9EQvxUr6CwP9lPjl9qZMbe8CycTJbIW/view?usp=drivesdk", "Abrir_Factura")</f>
        <v>Abrir_Factura</v>
      </c>
      <c r="AD1516" s="9">
        <v>46043.662407407406</v>
      </c>
    </row>
    <row r="1517" spans="1:30" ht="12.5">
      <c r="A1517" s="4">
        <v>46043.672297789351</v>
      </c>
      <c r="B1517" s="5">
        <v>91255</v>
      </c>
      <c r="C1517" s="5">
        <v>9017391626</v>
      </c>
      <c r="D1517" s="5" t="s">
        <v>6978</v>
      </c>
      <c r="F1517" s="5" t="s">
        <v>6979</v>
      </c>
      <c r="H1517" s="5">
        <v>573003526130</v>
      </c>
      <c r="J1517" s="5" t="s">
        <v>6980</v>
      </c>
      <c r="K1517" s="5"/>
      <c r="L1517" s="5" t="s">
        <v>6981</v>
      </c>
      <c r="M1517" s="5"/>
      <c r="N1517" s="6">
        <v>46043</v>
      </c>
      <c r="O1517" s="7">
        <v>0</v>
      </c>
      <c r="P1517" s="5">
        <v>1</v>
      </c>
      <c r="Q1517" s="5" t="s">
        <v>42</v>
      </c>
      <c r="R1517" s="5">
        <v>44000</v>
      </c>
      <c r="S1517" s="5">
        <v>0</v>
      </c>
      <c r="T1517" s="5"/>
      <c r="U1517" s="5">
        <v>44000</v>
      </c>
      <c r="V1517" s="5"/>
      <c r="W1517" s="5" t="s">
        <v>36</v>
      </c>
      <c r="X1517" s="5" t="s">
        <v>43</v>
      </c>
      <c r="AA1517" s="5" t="s">
        <v>44</v>
      </c>
      <c r="AB1517" s="5" t="s">
        <v>1286</v>
      </c>
      <c r="AC1517" s="8" t="str">
        <f>HYPERLINK("https://drive.google.com/file/d/1Da8cPOs-2KVhR1o8TjDGCfY8ChOFKane/view?usp=drivesdk", "Abrir_Factura")</f>
        <v>Abrir_Factura</v>
      </c>
      <c r="AD1517" s="9">
        <v>46043.673368055555</v>
      </c>
    </row>
    <row r="1518" spans="1:30" ht="12.5">
      <c r="A1518" s="4">
        <v>46043.680413310183</v>
      </c>
      <c r="B1518" s="5">
        <v>91256</v>
      </c>
      <c r="C1518" s="5">
        <v>1043871758</v>
      </c>
      <c r="D1518" s="5" t="s">
        <v>3105</v>
      </c>
      <c r="F1518" s="5" t="s">
        <v>6778</v>
      </c>
      <c r="H1518" s="5">
        <v>573116303372</v>
      </c>
      <c r="J1518" s="5" t="s">
        <v>6982</v>
      </c>
      <c r="K1518" s="5" t="s">
        <v>307</v>
      </c>
      <c r="L1518" s="5" t="s">
        <v>6983</v>
      </c>
      <c r="M1518" s="5"/>
      <c r="N1518" s="6">
        <v>46046</v>
      </c>
      <c r="O1518" s="7">
        <v>0.64583333333333337</v>
      </c>
      <c r="P1518" s="5">
        <v>1</v>
      </c>
      <c r="Q1518" s="5" t="s">
        <v>6984</v>
      </c>
      <c r="R1518" s="5">
        <v>99000</v>
      </c>
      <c r="S1518" s="5">
        <v>0</v>
      </c>
      <c r="T1518" s="5">
        <v>10000</v>
      </c>
      <c r="U1518" s="5">
        <v>109000</v>
      </c>
      <c r="V1518" s="5" t="s">
        <v>6985</v>
      </c>
      <c r="W1518" s="5" t="s">
        <v>36</v>
      </c>
      <c r="X1518" s="5" t="s">
        <v>83</v>
      </c>
      <c r="AA1518" s="5" t="s">
        <v>44</v>
      </c>
      <c r="AC1518" s="8" t="str">
        <f>HYPERLINK("https://drive.google.com/file/d/1hZGatx__GVaNpM4qeoYp54jbE0NN-oCD/view?usp=drivesdk", "Abrir_Factura")</f>
        <v>Abrir_Factura</v>
      </c>
      <c r="AD1518" s="9">
        <v>46043.681250000001</v>
      </c>
    </row>
    <row r="1519" spans="1:30" ht="12.5">
      <c r="A1519" s="4">
        <v>46043.751954710649</v>
      </c>
      <c r="B1519" s="5">
        <v>91257</v>
      </c>
      <c r="C1519" s="5">
        <v>1044395121</v>
      </c>
      <c r="D1519" s="5" t="s">
        <v>4102</v>
      </c>
      <c r="F1519" s="5" t="s">
        <v>6986</v>
      </c>
      <c r="H1519" s="5">
        <v>573017717509</v>
      </c>
      <c r="J1519" s="5" t="s">
        <v>6987</v>
      </c>
      <c r="K1519" s="5" t="s">
        <v>33</v>
      </c>
      <c r="L1519" s="5" t="s">
        <v>34</v>
      </c>
      <c r="M1519" s="5">
        <v>3017717509</v>
      </c>
      <c r="N1519" s="6">
        <v>46043</v>
      </c>
      <c r="O1519" s="7">
        <v>0.75</v>
      </c>
      <c r="P1519" s="5">
        <v>1</v>
      </c>
      <c r="Q1519" s="5" t="s">
        <v>1792</v>
      </c>
      <c r="R1519" s="5">
        <v>160000</v>
      </c>
      <c r="S1519" s="5">
        <v>0</v>
      </c>
      <c r="T1519" s="5">
        <v>0</v>
      </c>
      <c r="U1519" s="5">
        <v>160000</v>
      </c>
      <c r="V1519" s="5"/>
      <c r="W1519" s="5" t="s">
        <v>36</v>
      </c>
      <c r="X1519" s="5" t="s">
        <v>196</v>
      </c>
      <c r="AA1519" s="5" t="s">
        <v>1717</v>
      </c>
      <c r="AC1519" s="8" t="str">
        <f>HYPERLINK("https://drive.google.com/file/d/1dqvF50UITWGsA5JpPsfuXwX08X1f3xaI/view?usp=drivesdk", "Abrir_Factura")</f>
        <v>Abrir_Factura</v>
      </c>
      <c r="AD1519" s="9">
        <v>46043.752557870372</v>
      </c>
    </row>
    <row r="1520" spans="1:30" ht="12.5">
      <c r="A1520" s="4">
        <v>46043.760545879632</v>
      </c>
      <c r="B1520" s="5">
        <v>91258</v>
      </c>
      <c r="C1520" s="5">
        <v>85468505</v>
      </c>
      <c r="D1520" s="5" t="s">
        <v>6790</v>
      </c>
      <c r="F1520" s="5" t="s">
        <v>387</v>
      </c>
      <c r="H1520" s="5">
        <v>573013812886</v>
      </c>
      <c r="J1520" s="5" t="s">
        <v>6988</v>
      </c>
      <c r="K1520" s="5" t="s">
        <v>185</v>
      </c>
      <c r="L1520" s="5" t="s">
        <v>6989</v>
      </c>
      <c r="M1520" s="5">
        <v>3013812886</v>
      </c>
      <c r="N1520" s="6">
        <v>46044</v>
      </c>
      <c r="O1520" s="7">
        <v>0.33333333333333331</v>
      </c>
      <c r="P1520" s="5">
        <v>1</v>
      </c>
      <c r="Q1520" s="5" t="s">
        <v>1251</v>
      </c>
      <c r="R1520" s="5">
        <v>580000</v>
      </c>
      <c r="S1520" s="5">
        <v>0</v>
      </c>
      <c r="T1520" s="5">
        <v>8000</v>
      </c>
      <c r="U1520" s="5">
        <v>588000</v>
      </c>
      <c r="V1520" s="5" t="s">
        <v>6990</v>
      </c>
      <c r="W1520" s="5" t="s">
        <v>36</v>
      </c>
      <c r="X1520" s="5" t="s">
        <v>196</v>
      </c>
      <c r="AA1520" s="5" t="s">
        <v>1717</v>
      </c>
      <c r="AC1520" s="8" t="str">
        <f>HYPERLINK("https://drive.google.com/file/d/159tuiTQDjhixjXfr1SqhNRNQ7tnhjrjx/view?usp=drivesdk", "Abrir_Factura")</f>
        <v>Abrir_Factura</v>
      </c>
      <c r="AD1520" s="9">
        <v>46043.774131944447</v>
      </c>
    </row>
    <row r="1521" spans="1:30" ht="12.5">
      <c r="A1521" s="4">
        <v>46044.718738425923</v>
      </c>
      <c r="B1521" s="5">
        <v>91259</v>
      </c>
      <c r="C1521" s="5">
        <v>1129576839</v>
      </c>
      <c r="D1521" s="5" t="s">
        <v>6991</v>
      </c>
      <c r="F1521" s="5" t="s">
        <v>6992</v>
      </c>
      <c r="H1521" s="5">
        <v>573005507682</v>
      </c>
      <c r="J1521" s="5" t="s">
        <v>6993</v>
      </c>
      <c r="K1521" s="5" t="s">
        <v>1057</v>
      </c>
      <c r="L1521" s="5" t="s">
        <v>6994</v>
      </c>
      <c r="M1521" s="5">
        <v>3135238805</v>
      </c>
      <c r="N1521" s="6">
        <v>46044</v>
      </c>
      <c r="O1521" s="7">
        <v>0.33888888888888891</v>
      </c>
      <c r="P1521" s="5">
        <v>1</v>
      </c>
      <c r="Q1521" s="5" t="s">
        <v>6995</v>
      </c>
      <c r="R1521" s="5">
        <v>120000</v>
      </c>
      <c r="S1521" s="5">
        <v>0</v>
      </c>
      <c r="T1521" s="5">
        <v>14000</v>
      </c>
      <c r="U1521" s="5">
        <v>134000</v>
      </c>
      <c r="V1521" s="5" t="s">
        <v>6996</v>
      </c>
      <c r="W1521" s="5" t="s">
        <v>36</v>
      </c>
      <c r="X1521" s="5" t="s">
        <v>83</v>
      </c>
      <c r="Z1521" s="5" t="s">
        <v>6997</v>
      </c>
      <c r="AA1521" s="5" t="s">
        <v>44</v>
      </c>
      <c r="AB1521" s="5"/>
      <c r="AC1521" s="8" t="str">
        <f>HYPERLINK("https://drive.google.com/file/d/16dvV4EUDuHLtZcFLpKwBWMaR_5c3estt/view?usp=drivesdk", "Abrir_Factura")</f>
        <v>Abrir_Factura</v>
      </c>
      <c r="AD1521" s="9">
        <v>46044.733553240738</v>
      </c>
    </row>
    <row r="1522" spans="1:30" ht="12.5">
      <c r="A1522" s="4">
        <v>46043.75967486111</v>
      </c>
      <c r="B1522" s="5">
        <v>91260</v>
      </c>
      <c r="C1522" s="5">
        <v>1047489451</v>
      </c>
      <c r="D1522" s="5" t="s">
        <v>1719</v>
      </c>
      <c r="F1522" s="5" t="s">
        <v>6998</v>
      </c>
      <c r="H1522" s="5">
        <v>573205173778</v>
      </c>
      <c r="J1522" s="5" t="s">
        <v>6999</v>
      </c>
      <c r="K1522" s="5" t="s">
        <v>161</v>
      </c>
      <c r="L1522" s="5" t="s">
        <v>7000</v>
      </c>
      <c r="M1522" s="5">
        <v>3107243152</v>
      </c>
      <c r="N1522" s="6">
        <v>46044</v>
      </c>
      <c r="O1522" s="7">
        <v>0.33333333333333331</v>
      </c>
      <c r="P1522" s="5">
        <v>1</v>
      </c>
      <c r="Q1522" s="5" t="s">
        <v>707</v>
      </c>
      <c r="R1522" s="5">
        <v>360000</v>
      </c>
      <c r="S1522" s="5">
        <v>0</v>
      </c>
      <c r="T1522" s="5">
        <v>8000</v>
      </c>
      <c r="U1522" s="5">
        <v>368000</v>
      </c>
      <c r="V1522" s="5" t="s">
        <v>7001</v>
      </c>
      <c r="W1522" s="5" t="s">
        <v>36</v>
      </c>
      <c r="X1522" s="5" t="s">
        <v>83</v>
      </c>
      <c r="Z1522" s="5" t="s">
        <v>7002</v>
      </c>
      <c r="AA1522" s="5" t="s">
        <v>44</v>
      </c>
      <c r="AC1522" s="8" t="str">
        <f>HYPERLINK("https://drive.google.com/file/d/1A26fMxJkxL0nqHujjJyiwSX5GgpOTHVx/view?usp=drivesdk", "Abrir_Factura")</f>
        <v>Abrir_Factura</v>
      </c>
      <c r="AD1522" s="9">
        <v>46043.773599537039</v>
      </c>
    </row>
    <row r="1523" spans="1:30" ht="12.5">
      <c r="A1523" s="4">
        <v>46044.287215034725</v>
      </c>
      <c r="B1523" s="5">
        <v>91261</v>
      </c>
      <c r="C1523" s="5">
        <v>1234088977</v>
      </c>
      <c r="D1523" s="5" t="s">
        <v>5685</v>
      </c>
      <c r="F1523" s="5" t="s">
        <v>7003</v>
      </c>
      <c r="H1523" s="5">
        <v>573014566336</v>
      </c>
      <c r="J1523" s="5" t="s">
        <v>7004</v>
      </c>
      <c r="K1523" s="5" t="s">
        <v>73</v>
      </c>
      <c r="L1523" s="5" t="s">
        <v>7005</v>
      </c>
      <c r="M1523" s="5">
        <v>3014566336</v>
      </c>
      <c r="N1523" s="6">
        <v>46044</v>
      </c>
      <c r="O1523" s="7">
        <v>0.41666666666666669</v>
      </c>
      <c r="P1523" s="5">
        <v>1</v>
      </c>
      <c r="Q1523" s="5" t="s">
        <v>1610</v>
      </c>
      <c r="R1523" s="5">
        <v>230000</v>
      </c>
      <c r="S1523" s="5">
        <v>0</v>
      </c>
      <c r="T1523" s="5">
        <v>8000</v>
      </c>
      <c r="U1523" s="5">
        <v>238000</v>
      </c>
      <c r="V1523" s="5" t="s">
        <v>7006</v>
      </c>
      <c r="W1523" s="5" t="s">
        <v>36</v>
      </c>
      <c r="X1523" s="5" t="s">
        <v>83</v>
      </c>
      <c r="Z1523" s="5" t="s">
        <v>7007</v>
      </c>
      <c r="AA1523" s="5" t="s">
        <v>44</v>
      </c>
      <c r="AC1523" s="8" t="str">
        <f>HYPERLINK("https://drive.google.com/file/d/1Ssac8w3xJd7YazVKCnXYIwXnX3isL_Bb/view?usp=drivesdk", "Abrir_Factura")</f>
        <v>Abrir_Factura</v>
      </c>
      <c r="AD1523" s="9">
        <v>46044.308148148149</v>
      </c>
    </row>
    <row r="1524" spans="1:30" ht="12.5">
      <c r="A1524" s="4">
        <v>46044.314725636577</v>
      </c>
      <c r="B1524" s="5">
        <v>91262</v>
      </c>
      <c r="C1524" s="5">
        <v>1103109897</v>
      </c>
      <c r="D1524" s="5" t="s">
        <v>2466</v>
      </c>
      <c r="F1524" s="5" t="s">
        <v>7008</v>
      </c>
      <c r="H1524" s="5">
        <v>573005757847</v>
      </c>
      <c r="J1524" s="5" t="s">
        <v>7009</v>
      </c>
      <c r="K1524" s="5" t="s">
        <v>103</v>
      </c>
      <c r="L1524" s="5" t="s">
        <v>7010</v>
      </c>
      <c r="M1524" s="5">
        <v>3215638486</v>
      </c>
      <c r="N1524" s="6">
        <v>46044</v>
      </c>
      <c r="O1524" s="7">
        <v>0.41666666666666669</v>
      </c>
      <c r="P1524" s="5">
        <v>1</v>
      </c>
      <c r="Q1524" s="5" t="s">
        <v>42</v>
      </c>
      <c r="R1524" s="5">
        <v>130000</v>
      </c>
      <c r="S1524" s="5">
        <v>0</v>
      </c>
      <c r="T1524" s="5">
        <v>10000</v>
      </c>
      <c r="U1524" s="5">
        <v>140000</v>
      </c>
      <c r="V1524" s="5" t="s">
        <v>7011</v>
      </c>
      <c r="W1524" s="5" t="s">
        <v>36</v>
      </c>
      <c r="X1524" s="5" t="s">
        <v>83</v>
      </c>
      <c r="AA1524" s="5" t="s">
        <v>44</v>
      </c>
      <c r="AB1524" s="5" t="s">
        <v>7012</v>
      </c>
      <c r="AC1524" s="8" t="str">
        <f>HYPERLINK("https://drive.google.com/file/d/1OEI9S7NFtTX1gMb0vRavt7Ts08JcBPXc/view?usp=drivesdk", "Abrir_Factura")</f>
        <v>Abrir_Factura</v>
      </c>
      <c r="AD1524" s="9">
        <v>46044.320625</v>
      </c>
    </row>
    <row r="1525" spans="1:30" ht="12.5">
      <c r="A1525" s="4">
        <v>46044.32273</v>
      </c>
      <c r="B1525" s="5">
        <v>91263</v>
      </c>
      <c r="C1525" s="5">
        <v>1045754324</v>
      </c>
      <c r="D1525" s="5" t="s">
        <v>7013</v>
      </c>
      <c r="F1525" s="5" t="s">
        <v>7014</v>
      </c>
      <c r="H1525" s="5">
        <v>573013119871</v>
      </c>
      <c r="J1525" s="5" t="s">
        <v>7015</v>
      </c>
      <c r="K1525" s="5" t="s">
        <v>5574</v>
      </c>
      <c r="L1525" s="5" t="s">
        <v>7016</v>
      </c>
      <c r="M1525" s="5" t="s">
        <v>25421</v>
      </c>
      <c r="N1525" s="6">
        <v>46044</v>
      </c>
      <c r="O1525" s="7">
        <v>0.45833333333333331</v>
      </c>
      <c r="P1525" s="5">
        <v>1</v>
      </c>
      <c r="Q1525" s="5" t="s">
        <v>89</v>
      </c>
      <c r="R1525" s="5">
        <v>170000</v>
      </c>
      <c r="S1525" s="5">
        <v>0</v>
      </c>
      <c r="T1525" s="5">
        <v>10000</v>
      </c>
      <c r="U1525" s="5">
        <v>180000</v>
      </c>
      <c r="V1525" s="5" t="s">
        <v>7017</v>
      </c>
      <c r="W1525" s="5" t="s">
        <v>36</v>
      </c>
      <c r="X1525" s="5" t="s">
        <v>1937</v>
      </c>
      <c r="AA1525" s="5" t="s">
        <v>44</v>
      </c>
      <c r="AC1525" s="8" t="str">
        <f>HYPERLINK("https://drive.google.com/file/d/1PJZO6Ioi1E9jHiyXcjmw7eUrqtJdi8Yu/view?usp=drivesdk", "Abrir_Factura")</f>
        <v>Abrir_Factura</v>
      </c>
      <c r="AD1525" s="9">
        <v>46044.323368055557</v>
      </c>
    </row>
    <row r="1526" spans="1:30" ht="12.5">
      <c r="A1526" s="4">
        <v>46044.350851550931</v>
      </c>
      <c r="B1526" s="5">
        <v>91264</v>
      </c>
      <c r="C1526" s="5">
        <v>53122448</v>
      </c>
      <c r="D1526" s="5" t="s">
        <v>6178</v>
      </c>
      <c r="F1526" s="5" t="s">
        <v>7018</v>
      </c>
      <c r="H1526" s="5">
        <v>57351919397039</v>
      </c>
      <c r="J1526" s="5" t="s">
        <v>7019</v>
      </c>
      <c r="K1526" s="5" t="s">
        <v>33</v>
      </c>
      <c r="L1526" s="5" t="s">
        <v>34</v>
      </c>
      <c r="M1526" s="5">
        <v>351919397039</v>
      </c>
      <c r="N1526" s="6">
        <v>46046</v>
      </c>
      <c r="O1526" s="7">
        <v>0.66666666666666663</v>
      </c>
      <c r="P1526" s="5">
        <v>1</v>
      </c>
      <c r="Q1526" s="5" t="s">
        <v>7020</v>
      </c>
      <c r="R1526" s="5">
        <v>160000</v>
      </c>
      <c r="S1526" s="5">
        <v>0</v>
      </c>
      <c r="T1526" s="5">
        <v>0</v>
      </c>
      <c r="U1526" s="5">
        <v>160000</v>
      </c>
      <c r="V1526" s="5"/>
      <c r="W1526" s="5" t="s">
        <v>36</v>
      </c>
      <c r="X1526" s="5" t="s">
        <v>1705</v>
      </c>
      <c r="AA1526" s="5" t="s">
        <v>1717</v>
      </c>
      <c r="AB1526" s="5" t="s">
        <v>7021</v>
      </c>
      <c r="AC1526" s="8" t="str">
        <f>HYPERLINK("https://drive.google.com/file/d/1BGa2mTl_Y_WwUvyirqgTfLPi_Vp7542w/view?usp=drivesdk", "Abrir_Factura")</f>
        <v>Abrir_Factura</v>
      </c>
      <c r="AD1526" s="9">
        <v>46044.352199074077</v>
      </c>
    </row>
    <row r="1527" spans="1:30" ht="12.5">
      <c r="A1527" s="4">
        <v>46043.841363321757</v>
      </c>
      <c r="B1527" s="5">
        <v>91265</v>
      </c>
      <c r="C1527" s="5">
        <v>1003381583</v>
      </c>
      <c r="D1527" s="5" t="s">
        <v>2287</v>
      </c>
      <c r="F1527" s="5" t="s">
        <v>1377</v>
      </c>
      <c r="H1527" s="5">
        <v>573017429329</v>
      </c>
      <c r="J1527" s="5" t="s">
        <v>7022</v>
      </c>
      <c r="K1527" s="5" t="s">
        <v>63</v>
      </c>
      <c r="L1527" s="5" t="s">
        <v>7023</v>
      </c>
      <c r="M1527" s="5">
        <v>3502830859</v>
      </c>
      <c r="N1527" s="6">
        <v>46044</v>
      </c>
      <c r="O1527" s="7">
        <v>0.45833333333333331</v>
      </c>
      <c r="P1527" s="5">
        <v>1</v>
      </c>
      <c r="Q1527" s="5" t="s">
        <v>7024</v>
      </c>
      <c r="R1527" s="5">
        <v>99000</v>
      </c>
      <c r="S1527" s="5">
        <v>0</v>
      </c>
      <c r="T1527" s="5">
        <v>17000</v>
      </c>
      <c r="U1527" s="5">
        <v>116000</v>
      </c>
      <c r="V1527" s="5" t="s">
        <v>7025</v>
      </c>
      <c r="W1527" s="5" t="s">
        <v>36</v>
      </c>
      <c r="X1527" s="5" t="s">
        <v>83</v>
      </c>
      <c r="Z1527" s="5" t="s">
        <v>7026</v>
      </c>
      <c r="AA1527" s="5" t="s">
        <v>44</v>
      </c>
      <c r="AC1527" s="8" t="str">
        <f>HYPERLINK("https://drive.google.com/file/d/1TmDucZEm31TQdJ5mGGmm4tSw7VWma1sy/view?usp=drivesdk", "Abrir_Factura")</f>
        <v>Abrir_Factura</v>
      </c>
      <c r="AD1527" s="9">
        <v>46044.410567129627</v>
      </c>
    </row>
    <row r="1528" spans="1:30" ht="12.5">
      <c r="A1528" s="4">
        <v>46044.421135717595</v>
      </c>
      <c r="B1528" s="5">
        <v>91266</v>
      </c>
      <c r="C1528" s="5">
        <v>1140815137</v>
      </c>
      <c r="D1528" s="5" t="s">
        <v>7027</v>
      </c>
      <c r="F1528" s="5" t="s">
        <v>7028</v>
      </c>
      <c r="H1528" s="5">
        <v>573004856816</v>
      </c>
      <c r="J1528" s="5" t="s">
        <v>7029</v>
      </c>
      <c r="K1528" s="5" t="s">
        <v>208</v>
      </c>
      <c r="L1528" s="5" t="s">
        <v>7030</v>
      </c>
      <c r="M1528" s="5">
        <v>3004311075</v>
      </c>
      <c r="N1528" s="6">
        <v>46044</v>
      </c>
      <c r="O1528" s="7">
        <v>0.45833333333333331</v>
      </c>
      <c r="P1528" s="5">
        <v>1</v>
      </c>
      <c r="Q1528" s="5" t="s">
        <v>1111</v>
      </c>
      <c r="R1528" s="5">
        <v>140000</v>
      </c>
      <c r="S1528" s="5">
        <v>0</v>
      </c>
      <c r="T1528" s="5">
        <v>10000</v>
      </c>
      <c r="U1528" s="5">
        <v>150000</v>
      </c>
      <c r="V1528" s="5" t="s">
        <v>7031</v>
      </c>
      <c r="W1528" s="5" t="s">
        <v>36</v>
      </c>
      <c r="X1528" s="5" t="s">
        <v>83</v>
      </c>
      <c r="Z1528" s="5" t="s">
        <v>7032</v>
      </c>
      <c r="AA1528" s="5" t="s">
        <v>44</v>
      </c>
      <c r="AC1528" s="8" t="str">
        <f>HYPERLINK("https://drive.google.com/file/d/155rfv4f55Nf3-WrZolF88LG0Jq1NPVrq/view?usp=drivesdk", "Abrir_Factura")</f>
        <v>Abrir_Factura</v>
      </c>
      <c r="AD1528" s="9">
        <v>46044.422858796293</v>
      </c>
    </row>
    <row r="1529" spans="1:30" ht="12.5">
      <c r="A1529" s="4">
        <v>46044.40548799769</v>
      </c>
      <c r="B1529" s="5">
        <v>91267</v>
      </c>
      <c r="C1529" s="5">
        <v>1042246743</v>
      </c>
      <c r="D1529" s="5" t="s">
        <v>590</v>
      </c>
      <c r="F1529" s="5" t="s">
        <v>7033</v>
      </c>
      <c r="H1529" s="5">
        <v>573185234008</v>
      </c>
      <c r="J1529" s="5" t="s">
        <v>7034</v>
      </c>
      <c r="K1529" s="5" t="s">
        <v>33</v>
      </c>
      <c r="L1529" s="5" t="s">
        <v>34</v>
      </c>
      <c r="M1529" s="5">
        <v>3185234008</v>
      </c>
      <c r="N1529" s="6">
        <v>46060</v>
      </c>
      <c r="O1529" s="7">
        <v>0</v>
      </c>
      <c r="P1529" s="5">
        <v>1</v>
      </c>
      <c r="Q1529" s="5" t="s">
        <v>1111</v>
      </c>
      <c r="R1529" s="5">
        <v>140000</v>
      </c>
      <c r="S1529" s="5">
        <v>0</v>
      </c>
      <c r="T1529" s="5">
        <v>0</v>
      </c>
      <c r="U1529" s="5">
        <v>140000</v>
      </c>
      <c r="V1529" s="5" t="s">
        <v>7035</v>
      </c>
      <c r="W1529" s="5" t="s">
        <v>36</v>
      </c>
      <c r="X1529" s="5" t="s">
        <v>83</v>
      </c>
      <c r="Z1529" s="5" t="s">
        <v>7036</v>
      </c>
      <c r="AA1529" s="5" t="s">
        <v>69</v>
      </c>
      <c r="AB1529" s="5" t="s">
        <v>7037</v>
      </c>
      <c r="AC1529" s="8" t="str">
        <f>HYPERLINK("https://drive.google.com/file/d/1hmZKMHwSuopxIdDI5fgOtVvuRgN3yaPT/view?usp=drivesdk", "Abrir_Factura")</f>
        <v>Abrir_Factura</v>
      </c>
      <c r="AD1529" s="9">
        <v>46044.424884259257</v>
      </c>
    </row>
    <row r="1530" spans="1:30" ht="12.5">
      <c r="A1530" s="4">
        <v>46044.425602418982</v>
      </c>
      <c r="B1530" s="5">
        <v>91268</v>
      </c>
      <c r="C1530" s="5">
        <v>1001881030</v>
      </c>
      <c r="D1530" s="5" t="s">
        <v>7038</v>
      </c>
      <c r="F1530" s="5" t="s">
        <v>3223</v>
      </c>
      <c r="H1530" s="5">
        <v>573186670707</v>
      </c>
      <c r="J1530" s="5" t="s">
        <v>7039</v>
      </c>
      <c r="K1530" s="5" t="s">
        <v>103</v>
      </c>
      <c r="L1530" s="5" t="s">
        <v>7040</v>
      </c>
      <c r="M1530" s="5"/>
      <c r="N1530" s="6">
        <v>46044</v>
      </c>
      <c r="O1530" s="7">
        <v>0.45833333333333331</v>
      </c>
      <c r="P1530" s="5">
        <v>1</v>
      </c>
      <c r="Q1530" s="5" t="s">
        <v>178</v>
      </c>
      <c r="R1530" s="5">
        <v>110000</v>
      </c>
      <c r="S1530" s="5">
        <v>0</v>
      </c>
      <c r="T1530" s="5">
        <v>10000</v>
      </c>
      <c r="U1530" s="5">
        <v>120000</v>
      </c>
      <c r="V1530" s="5" t="s">
        <v>7041</v>
      </c>
      <c r="W1530" s="5" t="s">
        <v>36</v>
      </c>
      <c r="X1530" s="5" t="s">
        <v>83</v>
      </c>
      <c r="Z1530" s="5" t="s">
        <v>7042</v>
      </c>
      <c r="AA1530" s="5" t="s">
        <v>44</v>
      </c>
      <c r="AC1530" s="8" t="str">
        <f>HYPERLINK("https://drive.google.com/file/d/1UnW8q8hE_PcfoomJAY7FaHUhPZ_L6pWW/view?usp=drivesdk", "Abrir_Factura")</f>
        <v>Abrir_Factura</v>
      </c>
      <c r="AD1530" s="9">
        <v>46044.429722222223</v>
      </c>
    </row>
    <row r="1531" spans="1:30" ht="12.5">
      <c r="A1531" s="4">
        <v>46044.436043645837</v>
      </c>
      <c r="B1531" s="5">
        <v>91269</v>
      </c>
      <c r="C1531" s="5">
        <v>64545259</v>
      </c>
      <c r="D1531" s="5" t="s">
        <v>4004</v>
      </c>
      <c r="F1531" s="5" t="s">
        <v>5022</v>
      </c>
      <c r="H1531" s="5">
        <v>573157264794</v>
      </c>
      <c r="J1531" s="5" t="s">
        <v>5023</v>
      </c>
      <c r="K1531" s="5" t="s">
        <v>33</v>
      </c>
      <c r="L1531" s="5" t="s">
        <v>34</v>
      </c>
      <c r="M1531" s="5">
        <v>3157264794</v>
      </c>
      <c r="N1531" s="6">
        <v>46044</v>
      </c>
      <c r="O1531" s="7">
        <v>0</v>
      </c>
      <c r="P1531" s="5">
        <v>1</v>
      </c>
      <c r="Q1531" s="5" t="s">
        <v>42</v>
      </c>
      <c r="R1531" s="5">
        <v>150000</v>
      </c>
      <c r="S1531" s="5">
        <v>0</v>
      </c>
      <c r="T1531" s="5">
        <v>0</v>
      </c>
      <c r="U1531" s="5">
        <v>150000</v>
      </c>
      <c r="V1531" s="5"/>
      <c r="W1531" s="5" t="s">
        <v>36</v>
      </c>
      <c r="X1531" s="5" t="s">
        <v>196</v>
      </c>
      <c r="AA1531" s="5" t="s">
        <v>44</v>
      </c>
      <c r="AB1531" s="5" t="s">
        <v>525</v>
      </c>
      <c r="AC1531" s="8" t="str">
        <f>HYPERLINK("https://drive.google.com/file/d/1mthtfq3IpgDn-ygEm2u227sZrtAgaWFZ/view?usp=drivesdk", "Abrir_Factura")</f>
        <v>Abrir_Factura</v>
      </c>
      <c r="AD1531" s="9">
        <v>46044.436585648145</v>
      </c>
    </row>
    <row r="1532" spans="1:30" ht="12.5">
      <c r="A1532" s="4">
        <v>46044.428022835651</v>
      </c>
      <c r="B1532" s="5">
        <v>91270</v>
      </c>
      <c r="C1532" s="5">
        <v>1124020431</v>
      </c>
      <c r="D1532" s="5" t="s">
        <v>2889</v>
      </c>
      <c r="F1532" s="5" t="s">
        <v>7043</v>
      </c>
      <c r="H1532" s="5">
        <v>573226927831</v>
      </c>
      <c r="J1532" s="5" t="s">
        <v>7044</v>
      </c>
      <c r="K1532" s="5" t="s">
        <v>73</v>
      </c>
      <c r="L1532" s="5" t="s">
        <v>7045</v>
      </c>
      <c r="M1532" s="5">
        <v>3014177805</v>
      </c>
      <c r="N1532" s="6">
        <v>46044</v>
      </c>
      <c r="O1532" s="7">
        <v>0.45833333333333331</v>
      </c>
      <c r="P1532" s="5">
        <v>1</v>
      </c>
      <c r="Q1532" s="5" t="s">
        <v>380</v>
      </c>
      <c r="R1532" s="5">
        <v>340000</v>
      </c>
      <c r="S1532" s="5">
        <v>0</v>
      </c>
      <c r="T1532" s="5">
        <v>8000</v>
      </c>
      <c r="U1532" s="5">
        <v>348000</v>
      </c>
      <c r="V1532" s="5" t="s">
        <v>7046</v>
      </c>
      <c r="W1532" s="5" t="s">
        <v>36</v>
      </c>
      <c r="X1532" s="5" t="s">
        <v>83</v>
      </c>
      <c r="AA1532" s="5" t="s">
        <v>44</v>
      </c>
      <c r="AB1532" s="5" t="s">
        <v>7047</v>
      </c>
      <c r="AC1532" s="8" t="str">
        <f>HYPERLINK("https://drive.google.com/file/d/11Qlegq6a7nfcD7h4m_zU6hY6d6NNwOwd/view?usp=drivesdk", "Abrir_Factura")</f>
        <v>Abrir_Factura</v>
      </c>
      <c r="AD1532" s="9">
        <v>46044.438020833331</v>
      </c>
    </row>
    <row r="1533" spans="1:30" ht="12.5">
      <c r="A1533" s="4">
        <v>46044.429164884263</v>
      </c>
      <c r="B1533" s="5">
        <v>91271</v>
      </c>
      <c r="C1533" s="5">
        <v>1043604800</v>
      </c>
      <c r="D1533" s="5" t="s">
        <v>7048</v>
      </c>
      <c r="F1533" s="5" t="s">
        <v>7049</v>
      </c>
      <c r="H1533" s="5">
        <v>15714409464</v>
      </c>
      <c r="J1533" s="5" t="s">
        <v>7050</v>
      </c>
      <c r="K1533" s="5" t="s">
        <v>185</v>
      </c>
      <c r="L1533" s="5" t="s">
        <v>7051</v>
      </c>
      <c r="M1533" s="5"/>
      <c r="N1533" s="6">
        <v>46044</v>
      </c>
      <c r="O1533" s="7">
        <v>0</v>
      </c>
      <c r="P1533" s="5">
        <v>1</v>
      </c>
      <c r="Q1533" s="5" t="s">
        <v>1126</v>
      </c>
      <c r="R1533" s="5">
        <v>340000</v>
      </c>
      <c r="S1533" s="5">
        <v>0</v>
      </c>
      <c r="T1533" s="5">
        <v>8000</v>
      </c>
      <c r="U1533" s="5">
        <v>348000</v>
      </c>
      <c r="V1533" s="5" t="s">
        <v>7052</v>
      </c>
      <c r="W1533" s="5" t="s">
        <v>36</v>
      </c>
      <c r="X1533" s="5" t="s">
        <v>83</v>
      </c>
      <c r="Z1533" s="5" t="s">
        <v>7053</v>
      </c>
      <c r="AA1533" s="5" t="s">
        <v>44</v>
      </c>
      <c r="AC1533" s="8" t="str">
        <f>HYPERLINK("https://drive.google.com/file/d/1BMFLcHE6zSSy9OZw7UrjfNs3uN-MVP0K/view?usp=drivesdk", "Abrir_Factura")</f>
        <v>Abrir_Factura</v>
      </c>
      <c r="AD1533" s="9">
        <v>46044.45207175926</v>
      </c>
    </row>
    <row r="1534" spans="1:30" ht="12.5">
      <c r="A1534" s="4">
        <v>46044.446775150464</v>
      </c>
      <c r="B1534" s="5">
        <v>91272</v>
      </c>
      <c r="C1534" s="5">
        <v>1193504447</v>
      </c>
      <c r="D1534" s="5" t="s">
        <v>7054</v>
      </c>
      <c r="F1534" s="5" t="s">
        <v>7055</v>
      </c>
      <c r="H1534" s="5">
        <v>573045422750</v>
      </c>
      <c r="J1534" s="5" t="s">
        <v>7056</v>
      </c>
      <c r="K1534" s="5" t="s">
        <v>103</v>
      </c>
      <c r="L1534" s="5" t="s">
        <v>7057</v>
      </c>
      <c r="M1534" s="5">
        <v>3008104804</v>
      </c>
      <c r="N1534" s="6">
        <v>46045</v>
      </c>
      <c r="O1534" s="7">
        <v>0.375</v>
      </c>
      <c r="P1534" s="5">
        <v>1</v>
      </c>
      <c r="Q1534" s="5" t="s">
        <v>1610</v>
      </c>
      <c r="R1534" s="5">
        <v>230000</v>
      </c>
      <c r="S1534" s="5">
        <v>0</v>
      </c>
      <c r="T1534" s="5">
        <v>10000</v>
      </c>
      <c r="U1534" s="5">
        <v>240000</v>
      </c>
      <c r="V1534" s="5" t="s">
        <v>7058</v>
      </c>
      <c r="W1534" s="5" t="s">
        <v>36</v>
      </c>
      <c r="X1534" s="5" t="s">
        <v>83</v>
      </c>
      <c r="AA1534" s="5" t="s">
        <v>44</v>
      </c>
      <c r="AC1534" s="8" t="str">
        <f>HYPERLINK("https://drive.google.com/file/d/1jd5_j8rf708r3zgCje1D-UZZ8681UfRq/view?usp=drivesdk", "Abrir_Factura")</f>
        <v>Abrir_Factura</v>
      </c>
      <c r="AD1534" s="9">
        <v>46044.471145833333</v>
      </c>
    </row>
    <row r="1535" spans="1:30" ht="12.5">
      <c r="A1535" s="4">
        <v>46044.553860486107</v>
      </c>
      <c r="B1535" s="5">
        <v>91273</v>
      </c>
      <c r="C1535" s="5">
        <v>52086656</v>
      </c>
      <c r="D1535" s="5" t="s">
        <v>2710</v>
      </c>
      <c r="F1535" s="5" t="s">
        <v>7059</v>
      </c>
      <c r="H1535" s="5">
        <v>573218082485</v>
      </c>
      <c r="J1535" s="5" t="s">
        <v>7060</v>
      </c>
      <c r="K1535" s="5" t="s">
        <v>103</v>
      </c>
      <c r="L1535" s="5" t="s">
        <v>7061</v>
      </c>
      <c r="M1535" s="5"/>
      <c r="N1535" s="6">
        <v>46045</v>
      </c>
      <c r="O1535" s="7">
        <v>0</v>
      </c>
      <c r="P1535" s="5">
        <v>1</v>
      </c>
      <c r="Q1535" s="5" t="s">
        <v>375</v>
      </c>
      <c r="R1535" s="5">
        <v>80000</v>
      </c>
      <c r="S1535" s="5">
        <v>0</v>
      </c>
      <c r="T1535" s="5">
        <v>10000</v>
      </c>
      <c r="U1535" s="5">
        <v>90000</v>
      </c>
      <c r="V1535" s="5" t="s">
        <v>7062</v>
      </c>
      <c r="W1535" s="5" t="s">
        <v>36</v>
      </c>
      <c r="X1535" s="5" t="s">
        <v>67</v>
      </c>
      <c r="AA1535" s="5" t="s">
        <v>44</v>
      </c>
      <c r="AC1535" s="8" t="str">
        <f>HYPERLINK("https://drive.google.com/file/d/1x39cpKh7O5o4SddEkRBD-plnCnRA6pW6/view?usp=drivesdk", "Abrir_Factura")</f>
        <v>Abrir_Factura</v>
      </c>
      <c r="AD1535" s="9">
        <v>46044.554525462961</v>
      </c>
    </row>
    <row r="1536" spans="1:30" ht="12.5">
      <c r="A1536" s="4">
        <v>46044.561066539347</v>
      </c>
      <c r="B1536" s="5">
        <v>91274</v>
      </c>
      <c r="C1536" s="5">
        <v>73074069</v>
      </c>
      <c r="D1536" s="5" t="s">
        <v>7063</v>
      </c>
      <c r="F1536" s="5" t="s">
        <v>6346</v>
      </c>
      <c r="H1536" s="5">
        <v>57</v>
      </c>
      <c r="J1536" s="5" t="s">
        <v>7064</v>
      </c>
      <c r="K1536" s="5" t="s">
        <v>33</v>
      </c>
      <c r="L1536" s="5" t="s">
        <v>34</v>
      </c>
      <c r="M1536" s="5">
        <v>0</v>
      </c>
      <c r="N1536" s="6">
        <v>46044</v>
      </c>
      <c r="O1536" s="7">
        <v>0</v>
      </c>
      <c r="P1536" s="5">
        <v>1</v>
      </c>
      <c r="Q1536" s="5" t="s">
        <v>42</v>
      </c>
      <c r="R1536" s="5">
        <v>200000</v>
      </c>
      <c r="S1536" s="5">
        <v>0</v>
      </c>
      <c r="T1536" s="5">
        <v>0</v>
      </c>
      <c r="U1536" s="5">
        <v>200000</v>
      </c>
      <c r="V1536" s="5"/>
      <c r="W1536" s="5" t="s">
        <v>36</v>
      </c>
      <c r="X1536" s="5" t="s">
        <v>2151</v>
      </c>
      <c r="AA1536" s="5" t="s">
        <v>332</v>
      </c>
      <c r="AC1536" s="8" t="str">
        <f>HYPERLINK("https://drive.google.com/file/d/1BWA7MtN8b0k3BSlcTqh-ET40NI-Tk1N1/view?usp=drivesdk", "Abrir_Factura")</f>
        <v>Abrir_Factura</v>
      </c>
      <c r="AD1536" s="9">
        <v>46044.561724537038</v>
      </c>
    </row>
    <row r="1537" spans="1:30" ht="12.5">
      <c r="A1537" s="4">
        <v>46044.596812916665</v>
      </c>
      <c r="B1537" s="5">
        <v>91275</v>
      </c>
      <c r="C1537" s="5">
        <v>1001915823</v>
      </c>
      <c r="D1537" s="5" t="s">
        <v>7065</v>
      </c>
      <c r="F1537" s="5" t="s">
        <v>1336</v>
      </c>
      <c r="H1537" s="5">
        <v>573005452756</v>
      </c>
      <c r="J1537" s="5" t="s">
        <v>7066</v>
      </c>
      <c r="K1537" s="5" t="s">
        <v>229</v>
      </c>
      <c r="L1537" s="5" t="s">
        <v>7067</v>
      </c>
      <c r="M1537" s="5">
        <v>3168285148</v>
      </c>
      <c r="N1537" s="6">
        <v>46052</v>
      </c>
      <c r="O1537" s="7">
        <v>0.33333333333333331</v>
      </c>
      <c r="P1537" s="5">
        <v>1</v>
      </c>
      <c r="Q1537" s="5" t="s">
        <v>375</v>
      </c>
      <c r="R1537" s="5">
        <v>80000</v>
      </c>
      <c r="S1537" s="5">
        <v>0</v>
      </c>
      <c r="T1537" s="5">
        <v>11000</v>
      </c>
      <c r="U1537" s="5">
        <v>91000</v>
      </c>
      <c r="V1537" s="5" t="s">
        <v>7068</v>
      </c>
      <c r="W1537" s="5" t="s">
        <v>36</v>
      </c>
      <c r="X1537" s="5" t="s">
        <v>67</v>
      </c>
      <c r="Z1537" s="5" t="s">
        <v>7069</v>
      </c>
      <c r="AA1537" s="5" t="s">
        <v>44</v>
      </c>
      <c r="AC1537" s="8" t="str">
        <f>HYPERLINK("https://drive.google.com/file/d/1-9pC0mEj0vbyuLXRUFh6S1lbIDHKUh_r/view?usp=drivesdk", "Abrir_Factura")</f>
        <v>Abrir_Factura</v>
      </c>
      <c r="AD1537" s="9">
        <v>46044.60769675926</v>
      </c>
    </row>
    <row r="1538" spans="1:30" ht="12.5">
      <c r="A1538" s="4">
        <v>46044.614780729171</v>
      </c>
      <c r="B1538" s="5">
        <v>91276</v>
      </c>
      <c r="C1538" s="5">
        <v>1010079016</v>
      </c>
      <c r="D1538" s="5" t="s">
        <v>6425</v>
      </c>
      <c r="F1538" s="5" t="s">
        <v>7070</v>
      </c>
      <c r="H1538" s="5">
        <v>575144309591</v>
      </c>
      <c r="J1538" s="5" t="s">
        <v>7071</v>
      </c>
      <c r="K1538" s="5" t="s">
        <v>307</v>
      </c>
      <c r="L1538" s="5" t="s">
        <v>7072</v>
      </c>
      <c r="M1538" s="5" t="s">
        <v>25421</v>
      </c>
      <c r="N1538" s="6">
        <v>46045</v>
      </c>
      <c r="O1538" s="7">
        <v>0.375</v>
      </c>
      <c r="P1538" s="5">
        <v>1</v>
      </c>
      <c r="Q1538" s="5" t="s">
        <v>239</v>
      </c>
      <c r="R1538" s="5">
        <v>420000</v>
      </c>
      <c r="S1538" s="5">
        <v>0</v>
      </c>
      <c r="T1538" s="5">
        <v>10000</v>
      </c>
      <c r="U1538" s="5">
        <v>430000</v>
      </c>
      <c r="V1538" s="5" t="s">
        <v>7073</v>
      </c>
      <c r="W1538" s="5" t="s">
        <v>36</v>
      </c>
      <c r="X1538" s="5" t="s">
        <v>180</v>
      </c>
      <c r="AA1538" s="5" t="s">
        <v>44</v>
      </c>
      <c r="AC1538" s="8" t="str">
        <f>HYPERLINK("https://drive.google.com/file/d/1_3JGjIwtmje71eubXlWS1PHxo4Z-JUT7/view?usp=drivesdk", "Abrir_Factura")</f>
        <v>Abrir_Factura</v>
      </c>
      <c r="AD1538" s="9">
        <v>46044.615706018521</v>
      </c>
    </row>
    <row r="1539" spans="1:30" ht="12.5">
      <c r="A1539" s="4">
        <v>46044.631595995372</v>
      </c>
      <c r="B1539" s="5">
        <v>91277</v>
      </c>
      <c r="C1539" s="5">
        <v>1234089896</v>
      </c>
      <c r="D1539" s="5" t="s">
        <v>417</v>
      </c>
      <c r="F1539" s="5" t="s">
        <v>2368</v>
      </c>
      <c r="H1539" s="5">
        <v>573145448072</v>
      </c>
      <c r="J1539" s="5" t="s">
        <v>7074</v>
      </c>
      <c r="K1539" s="5" t="s">
        <v>307</v>
      </c>
      <c r="L1539" s="5" t="s">
        <v>7075</v>
      </c>
      <c r="M1539" s="5">
        <v>3008674617</v>
      </c>
      <c r="N1539" s="6">
        <v>46046</v>
      </c>
      <c r="O1539" s="7">
        <v>0.375</v>
      </c>
      <c r="P1539" s="5">
        <v>1</v>
      </c>
      <c r="Q1539" s="5" t="s">
        <v>133</v>
      </c>
      <c r="R1539" s="5">
        <v>150000</v>
      </c>
      <c r="S1539" s="5">
        <v>0</v>
      </c>
      <c r="T1539" s="5">
        <v>10000</v>
      </c>
      <c r="U1539" s="5">
        <v>160000</v>
      </c>
      <c r="V1539" s="5" t="s">
        <v>7076</v>
      </c>
      <c r="W1539" s="5" t="s">
        <v>36</v>
      </c>
      <c r="X1539" s="5" t="s">
        <v>67</v>
      </c>
      <c r="Z1539" s="5" t="s">
        <v>7077</v>
      </c>
      <c r="AA1539" s="5" t="s">
        <v>44</v>
      </c>
      <c r="AB1539" s="5" t="s">
        <v>7078</v>
      </c>
      <c r="AC1539" s="8" t="str">
        <f>HYPERLINK("https://drive.google.com/file/d/1T_6ZxjZ1Ja1wLUawXGaAH8LUR-lcXCHh/view?usp=drivesdk", "Abrir_Factura")</f>
        <v>Abrir_Factura</v>
      </c>
      <c r="AD1539" s="9">
        <v>46044.635023148148</v>
      </c>
    </row>
    <row r="1540" spans="1:30" ht="12.5">
      <c r="A1540" s="4">
        <v>46043.761476400468</v>
      </c>
      <c r="B1540" s="5">
        <v>91278</v>
      </c>
      <c r="C1540" s="5">
        <v>860504495</v>
      </c>
      <c r="D1540" s="5" t="s">
        <v>7079</v>
      </c>
      <c r="F1540" s="5" t="s">
        <v>7080</v>
      </c>
      <c r="H1540" s="5">
        <v>573176683426</v>
      </c>
      <c r="J1540" s="5" t="s">
        <v>7081</v>
      </c>
      <c r="K1540" s="5" t="s">
        <v>4749</v>
      </c>
      <c r="L1540" s="5" t="s">
        <v>7082</v>
      </c>
      <c r="M1540" s="5">
        <v>3183379722</v>
      </c>
      <c r="N1540" s="6">
        <v>46045</v>
      </c>
      <c r="O1540" s="7">
        <v>0.33333333333333331</v>
      </c>
      <c r="P1540" s="5">
        <v>1</v>
      </c>
      <c r="Q1540" s="5" t="s">
        <v>361</v>
      </c>
      <c r="R1540" s="5">
        <v>200000</v>
      </c>
      <c r="S1540" s="5">
        <v>38000</v>
      </c>
      <c r="T1540" s="5">
        <v>17000</v>
      </c>
      <c r="U1540" s="5">
        <v>255000</v>
      </c>
      <c r="V1540" s="5" t="s">
        <v>7083</v>
      </c>
      <c r="W1540" s="5" t="s">
        <v>36</v>
      </c>
      <c r="X1540" s="5" t="s">
        <v>67</v>
      </c>
      <c r="Z1540" s="5" t="s">
        <v>7084</v>
      </c>
      <c r="AA1540" s="5" t="s">
        <v>44</v>
      </c>
      <c r="AC1540" s="8" t="str">
        <f>HYPERLINK("https://drive.google.com/file/d/1m-OSWY9jKf_Fu0NtDVG3ulTKeO5FA2CC/view?usp=drivesdk", "Abrir_Factura")</f>
        <v>Abrir_Factura</v>
      </c>
      <c r="AD1540" s="9">
        <v>46044.699421296296</v>
      </c>
    </row>
    <row r="1541" spans="1:30" ht="12.5">
      <c r="A1541" s="4">
        <v>46044.695937048615</v>
      </c>
      <c r="B1541" s="5">
        <v>91279</v>
      </c>
      <c r="C1541" s="5">
        <v>1140861498</v>
      </c>
      <c r="D1541" s="5" t="s">
        <v>7085</v>
      </c>
      <c r="F1541" s="5" t="s">
        <v>7086</v>
      </c>
      <c r="H1541" s="5">
        <v>573003200692</v>
      </c>
      <c r="J1541" s="5" t="s">
        <v>7087</v>
      </c>
      <c r="K1541" s="5" t="s">
        <v>185</v>
      </c>
      <c r="L1541" s="5" t="s">
        <v>7088</v>
      </c>
      <c r="M1541" s="5">
        <v>3003200692</v>
      </c>
      <c r="N1541" s="6">
        <v>46045</v>
      </c>
      <c r="O1541" s="7">
        <v>0.625</v>
      </c>
      <c r="P1541" s="5">
        <v>1</v>
      </c>
      <c r="Q1541" s="5" t="s">
        <v>7089</v>
      </c>
      <c r="R1541" s="5">
        <v>65000</v>
      </c>
      <c r="S1541" s="5">
        <v>0</v>
      </c>
      <c r="T1541" s="5">
        <v>8000</v>
      </c>
      <c r="U1541" s="5">
        <v>73000</v>
      </c>
      <c r="V1541" s="5" t="s">
        <v>7090</v>
      </c>
      <c r="W1541" s="5" t="s">
        <v>36</v>
      </c>
      <c r="X1541" s="5" t="s">
        <v>2163</v>
      </c>
      <c r="Z1541" s="5" t="s">
        <v>4673</v>
      </c>
      <c r="AA1541" s="5" t="s">
        <v>44</v>
      </c>
      <c r="AB1541" s="5" t="s">
        <v>7091</v>
      </c>
      <c r="AC1541" s="8" t="str">
        <f>HYPERLINK("https://drive.google.com/file/d/1uHLMXevQM7nWdkyV99VVLFAm-ntXfQLR/view?usp=drivesdk", "Abrir_Factura")</f>
        <v>Abrir_Factura</v>
      </c>
      <c r="AD1541" s="9">
        <v>46044.717534722222</v>
      </c>
    </row>
    <row r="1542" spans="1:30" ht="12.5">
      <c r="A1542" s="4">
        <v>46044.638056875003</v>
      </c>
      <c r="B1542" s="5">
        <v>91280</v>
      </c>
      <c r="C1542" s="5">
        <v>1234089353</v>
      </c>
      <c r="D1542" s="5" t="s">
        <v>297</v>
      </c>
      <c r="F1542" s="5" t="s">
        <v>1747</v>
      </c>
      <c r="H1542" s="5">
        <v>573007266661</v>
      </c>
      <c r="J1542" s="5" t="s">
        <v>7092</v>
      </c>
      <c r="K1542" s="5" t="s">
        <v>2865</v>
      </c>
      <c r="L1542" s="5" t="s">
        <v>7093</v>
      </c>
      <c r="M1542" s="5">
        <v>3157820343</v>
      </c>
      <c r="N1542" s="6">
        <v>46044</v>
      </c>
      <c r="O1542" s="7">
        <v>0.70972222222222225</v>
      </c>
      <c r="P1542" s="5">
        <v>1</v>
      </c>
      <c r="Q1542" s="5" t="s">
        <v>65</v>
      </c>
      <c r="R1542" s="5">
        <v>80000</v>
      </c>
      <c r="S1542" s="5">
        <v>0</v>
      </c>
      <c r="T1542" s="5">
        <v>12000</v>
      </c>
      <c r="U1542" s="5">
        <v>92000</v>
      </c>
      <c r="V1542" s="5" t="s">
        <v>7094</v>
      </c>
      <c r="W1542" s="5" t="s">
        <v>36</v>
      </c>
      <c r="X1542" s="5" t="s">
        <v>2163</v>
      </c>
      <c r="Z1542" s="5" t="s">
        <v>7095</v>
      </c>
      <c r="AA1542" s="5" t="s">
        <v>44</v>
      </c>
      <c r="AC1542" s="8" t="str">
        <f>HYPERLINK("https://drive.google.com/file/d/1Q3SBeKw3wy1ds86nT8JgQ6vA6Ne_fSpR/view?usp=drivesdk", "Abrir_Factura")</f>
        <v>Abrir_Factura</v>
      </c>
      <c r="AD1542" s="9">
        <v>46044.703414351854</v>
      </c>
    </row>
    <row r="1543" spans="1:30" ht="12.5">
      <c r="A1543" s="4">
        <v>46044.717510011571</v>
      </c>
      <c r="B1543" s="5">
        <v>91281</v>
      </c>
      <c r="C1543" s="5">
        <v>1152438586</v>
      </c>
      <c r="D1543" s="5" t="s">
        <v>3584</v>
      </c>
      <c r="F1543" s="5" t="s">
        <v>7096</v>
      </c>
      <c r="H1543" s="5">
        <v>573246871637</v>
      </c>
      <c r="J1543" s="5" t="s">
        <v>7097</v>
      </c>
      <c r="K1543" s="5" t="s">
        <v>307</v>
      </c>
      <c r="L1543" s="5" t="s">
        <v>7098</v>
      </c>
      <c r="M1543" s="5">
        <v>3246871637</v>
      </c>
      <c r="N1543" s="6">
        <v>46045</v>
      </c>
      <c r="O1543" s="7">
        <v>0.35069444444444442</v>
      </c>
      <c r="P1543" s="5">
        <v>1</v>
      </c>
      <c r="Q1543" s="5" t="s">
        <v>42</v>
      </c>
      <c r="R1543" s="5">
        <v>200000</v>
      </c>
      <c r="S1543" s="5">
        <v>0</v>
      </c>
      <c r="T1543" s="5">
        <v>10000</v>
      </c>
      <c r="U1543" s="5">
        <v>210000</v>
      </c>
      <c r="V1543" s="5" t="s">
        <v>7099</v>
      </c>
      <c r="W1543" s="5" t="s">
        <v>36</v>
      </c>
      <c r="X1543" s="5" t="s">
        <v>67</v>
      </c>
      <c r="Z1543" s="5" t="s">
        <v>7100</v>
      </c>
      <c r="AA1543" s="5" t="s">
        <v>44</v>
      </c>
      <c r="AB1543" s="5" t="s">
        <v>7101</v>
      </c>
      <c r="AC1543" s="8" t="str">
        <f>HYPERLINK("https://drive.google.com/file/d/1Kh2JwRRdVkfAnagio_DMBpX_-6LCSdDb/view?usp=drivesdk", "Abrir_Factura")</f>
        <v>Abrir_Factura</v>
      </c>
      <c r="AD1543" s="9">
        <v>46044.736620370371</v>
      </c>
    </row>
    <row r="1544" spans="1:30" ht="12.5">
      <c r="A1544" s="4">
        <v>46044.716887523144</v>
      </c>
      <c r="B1544" s="5">
        <v>91282</v>
      </c>
      <c r="C1544" s="5">
        <v>1001818109</v>
      </c>
      <c r="D1544" s="5" t="s">
        <v>2466</v>
      </c>
      <c r="F1544" s="5" t="s">
        <v>7102</v>
      </c>
      <c r="H1544" s="5">
        <v>573143663864</v>
      </c>
      <c r="J1544" s="5" t="s">
        <v>7103</v>
      </c>
      <c r="K1544" s="5" t="s">
        <v>265</v>
      </c>
      <c r="L1544" s="5" t="s">
        <v>7104</v>
      </c>
      <c r="M1544" s="5">
        <v>3004473832</v>
      </c>
      <c r="N1544" s="6">
        <v>46045</v>
      </c>
      <c r="O1544" s="7">
        <v>0.375</v>
      </c>
      <c r="P1544" s="5">
        <v>1</v>
      </c>
      <c r="Q1544" s="5" t="s">
        <v>42</v>
      </c>
      <c r="R1544" s="5">
        <v>90000</v>
      </c>
      <c r="S1544" s="5">
        <v>0</v>
      </c>
      <c r="T1544" s="5">
        <v>17000</v>
      </c>
      <c r="U1544" s="5">
        <v>107000</v>
      </c>
      <c r="V1544" s="5" t="s">
        <v>7105</v>
      </c>
      <c r="W1544" s="5" t="s">
        <v>36</v>
      </c>
      <c r="X1544" s="5" t="s">
        <v>67</v>
      </c>
      <c r="Z1544" s="5" t="s">
        <v>7106</v>
      </c>
      <c r="AA1544" s="5" t="s">
        <v>44</v>
      </c>
      <c r="AB1544" s="5" t="s">
        <v>7107</v>
      </c>
      <c r="AC1544" s="8" t="str">
        <f>HYPERLINK("https://drive.google.com/file/d/1NBA7yfoftYpnj7YUiF7nWFN5EpLbOy4h/view?usp=drivesdk", "Abrir_Factura")</f>
        <v>Abrir_Factura</v>
      </c>
      <c r="AD1544" s="9">
        <v>46044.728750000002</v>
      </c>
    </row>
    <row r="1545" spans="1:30" ht="12.5">
      <c r="A1545" s="4">
        <v>46044.764831759254</v>
      </c>
      <c r="B1545" s="5">
        <v>91283</v>
      </c>
      <c r="C1545" s="5">
        <v>1129568300</v>
      </c>
      <c r="D1545" s="5" t="s">
        <v>7108</v>
      </c>
      <c r="F1545" s="5" t="s">
        <v>7109</v>
      </c>
      <c r="H1545" s="5">
        <v>573188278550</v>
      </c>
      <c r="J1545" s="5" t="s">
        <v>7110</v>
      </c>
      <c r="K1545" s="5"/>
      <c r="L1545" s="5" t="s">
        <v>7111</v>
      </c>
      <c r="M1545" s="5">
        <v>3188278550</v>
      </c>
      <c r="N1545" s="6">
        <v>46046</v>
      </c>
      <c r="O1545" s="7">
        <v>0.66666666666666663</v>
      </c>
      <c r="P1545" s="5">
        <v>1</v>
      </c>
      <c r="Q1545" s="5" t="s">
        <v>42</v>
      </c>
      <c r="R1545" s="5">
        <v>50000</v>
      </c>
      <c r="S1545" s="5">
        <v>0</v>
      </c>
      <c r="T1545" s="5"/>
      <c r="U1545" s="5">
        <v>50000</v>
      </c>
      <c r="V1545" s="5"/>
      <c r="W1545" s="5" t="s">
        <v>36</v>
      </c>
      <c r="X1545" s="5" t="s">
        <v>2163</v>
      </c>
      <c r="AA1545" s="5" t="s">
        <v>332</v>
      </c>
      <c r="AB1545" s="5" t="s">
        <v>7112</v>
      </c>
      <c r="AC1545" s="8" t="str">
        <f>HYPERLINK("https://drive.google.com/file/d/1Il6ydGb_9eM5OFEIbyiFrwZhXQyFco_F/view?usp=drivesdk", "Abrir_Factura")</f>
        <v>Abrir_Factura</v>
      </c>
      <c r="AD1545" s="9">
        <v>46044.767523148148</v>
      </c>
    </row>
    <row r="1546" spans="1:30" ht="12.5">
      <c r="A1546" s="4">
        <v>46045.346392118052</v>
      </c>
      <c r="B1546" s="5">
        <v>91284</v>
      </c>
      <c r="C1546" s="5">
        <v>1001998619</v>
      </c>
      <c r="D1546" s="5" t="s">
        <v>7113</v>
      </c>
      <c r="F1546" s="5" t="s">
        <v>6684</v>
      </c>
      <c r="H1546" s="5">
        <v>573004473832</v>
      </c>
      <c r="J1546" s="5" t="s">
        <v>6685</v>
      </c>
      <c r="K1546" s="5" t="s">
        <v>401</v>
      </c>
      <c r="L1546" s="5" t="s">
        <v>6686</v>
      </c>
      <c r="M1546" s="5">
        <v>3143663864</v>
      </c>
      <c r="N1546" s="6">
        <v>46045</v>
      </c>
      <c r="O1546" s="7">
        <v>0.41666666666666669</v>
      </c>
      <c r="P1546" s="5">
        <v>1</v>
      </c>
      <c r="Q1546" s="5" t="s">
        <v>649</v>
      </c>
      <c r="R1546" s="5">
        <v>200000</v>
      </c>
      <c r="S1546" s="5">
        <v>0</v>
      </c>
      <c r="T1546" s="5">
        <v>12000</v>
      </c>
      <c r="U1546" s="5">
        <v>212000</v>
      </c>
      <c r="V1546" s="5" t="s">
        <v>7114</v>
      </c>
      <c r="W1546" s="5" t="s">
        <v>36</v>
      </c>
      <c r="X1546" s="5" t="s">
        <v>67</v>
      </c>
      <c r="Z1546" s="5" t="s">
        <v>6688</v>
      </c>
      <c r="AA1546" s="5" t="s">
        <v>44</v>
      </c>
      <c r="AC1546" s="8" t="str">
        <f>HYPERLINK("https://drive.google.com/file/d/1AvLL9jO1uIrVziVaLviFuaw_zj8mDYET/view?usp=drivesdk", "Abrir_Factura")</f>
        <v>Abrir_Factura</v>
      </c>
      <c r="AD1546" s="9">
        <v>46045.350613425922</v>
      </c>
    </row>
    <row r="1547" spans="1:30" ht="12.5">
      <c r="A1547" s="4">
        <v>46045.340267118052</v>
      </c>
      <c r="B1547" s="5">
        <v>91285</v>
      </c>
      <c r="C1547" s="5">
        <v>1047042098</v>
      </c>
      <c r="D1547" s="5" t="s">
        <v>7115</v>
      </c>
      <c r="F1547" s="5" t="s">
        <v>7116</v>
      </c>
      <c r="H1547" s="5">
        <v>573008719083</v>
      </c>
      <c r="J1547" s="5" t="s">
        <v>7117</v>
      </c>
      <c r="K1547" s="5" t="s">
        <v>1057</v>
      </c>
      <c r="L1547" s="5" t="s">
        <v>7118</v>
      </c>
      <c r="M1547" s="5">
        <v>3008719083</v>
      </c>
      <c r="N1547" s="6">
        <v>46045</v>
      </c>
      <c r="O1547" s="7">
        <v>0.41666666666666669</v>
      </c>
      <c r="P1547" s="5">
        <v>1</v>
      </c>
      <c r="Q1547" s="5" t="s">
        <v>65</v>
      </c>
      <c r="R1547" s="5">
        <v>80000</v>
      </c>
      <c r="S1547" s="5">
        <v>0</v>
      </c>
      <c r="T1547" s="5">
        <v>14000</v>
      </c>
      <c r="U1547" s="5">
        <v>94000</v>
      </c>
      <c r="V1547" s="5" t="s">
        <v>7119</v>
      </c>
      <c r="W1547" s="5" t="s">
        <v>36</v>
      </c>
      <c r="X1547" s="5" t="s">
        <v>67</v>
      </c>
      <c r="Z1547" s="5" t="s">
        <v>7120</v>
      </c>
      <c r="AA1547" s="5" t="s">
        <v>69</v>
      </c>
      <c r="AC1547" s="8" t="str">
        <f>HYPERLINK("https://drive.google.com/file/d/1MgVcbrAzkhbHhSNeUWQWckOfZ-E9K64g/view?usp=drivesdk", "Abrir_Factura")</f>
        <v>Abrir_Factura</v>
      </c>
      <c r="AD1547" s="9">
        <v>46045.354074074072</v>
      </c>
    </row>
    <row r="1548" spans="1:30" ht="12.5">
      <c r="A1548" s="4">
        <v>46045.374090717596</v>
      </c>
      <c r="B1548" s="5">
        <v>91286</v>
      </c>
      <c r="C1548" s="5">
        <v>1042247722</v>
      </c>
      <c r="D1548" s="5" t="s">
        <v>7121</v>
      </c>
      <c r="F1548" s="5" t="s">
        <v>7122</v>
      </c>
      <c r="H1548" s="5">
        <v>573022464356</v>
      </c>
      <c r="J1548" s="5" t="s">
        <v>7123</v>
      </c>
      <c r="K1548" s="5" t="s">
        <v>33</v>
      </c>
      <c r="L1548" s="5" t="s">
        <v>34</v>
      </c>
      <c r="M1548" s="5">
        <v>3022464356</v>
      </c>
      <c r="N1548" s="6">
        <v>46045</v>
      </c>
      <c r="O1548" s="7">
        <v>0</v>
      </c>
      <c r="P1548" s="5">
        <v>1</v>
      </c>
      <c r="Q1548" s="5" t="s">
        <v>375</v>
      </c>
      <c r="R1548" s="5">
        <v>80000</v>
      </c>
      <c r="S1548" s="5">
        <v>0</v>
      </c>
      <c r="T1548" s="5">
        <v>0</v>
      </c>
      <c r="U1548" s="5">
        <v>80000</v>
      </c>
      <c r="V1548" s="5" t="s">
        <v>7124</v>
      </c>
      <c r="W1548" s="5" t="s">
        <v>36</v>
      </c>
      <c r="X1548" s="5" t="s">
        <v>67</v>
      </c>
      <c r="Z1548" s="5" t="s">
        <v>7125</v>
      </c>
      <c r="AA1548" s="5" t="s">
        <v>44</v>
      </c>
      <c r="AB1548" s="5" t="s">
        <v>7126</v>
      </c>
      <c r="AC1548" s="8" t="str">
        <f>HYPERLINK("https://drive.google.com/file/d/1Au8B2JKPYo1_uC9JUAgAR7_eaPiiAswR/view?usp=drivesdk", "Abrir_Factura")</f>
        <v>Abrir_Factura</v>
      </c>
      <c r="AD1548" s="9">
        <v>46045.392210648148</v>
      </c>
    </row>
    <row r="1549" spans="1:30" ht="12.5">
      <c r="A1549" s="4">
        <v>46044.912073263884</v>
      </c>
      <c r="B1549" s="5">
        <v>91287</v>
      </c>
      <c r="C1549" s="5">
        <v>1140872827</v>
      </c>
      <c r="D1549" s="5" t="s">
        <v>7127</v>
      </c>
      <c r="F1549" s="5" t="s">
        <v>7128</v>
      </c>
      <c r="H1549" s="5">
        <v>573118111062</v>
      </c>
      <c r="J1549" s="5" t="s">
        <v>7129</v>
      </c>
      <c r="K1549" s="5" t="s">
        <v>185</v>
      </c>
      <c r="L1549" s="5" t="s">
        <v>7130</v>
      </c>
      <c r="M1549" s="5">
        <v>3003007032</v>
      </c>
      <c r="N1549" s="6">
        <v>46045</v>
      </c>
      <c r="O1549" s="7">
        <v>0.45833333333333331</v>
      </c>
      <c r="P1549" s="5">
        <v>1</v>
      </c>
      <c r="Q1549" s="5" t="s">
        <v>65</v>
      </c>
      <c r="R1549" s="5">
        <v>80000</v>
      </c>
      <c r="S1549" s="5">
        <v>0</v>
      </c>
      <c r="T1549" s="5">
        <v>8000</v>
      </c>
      <c r="U1549" s="5">
        <v>88000</v>
      </c>
      <c r="V1549" s="5" t="s">
        <v>7131</v>
      </c>
      <c r="W1549" s="5" t="s">
        <v>36</v>
      </c>
      <c r="X1549" s="5" t="s">
        <v>67</v>
      </c>
      <c r="Z1549" s="5" t="s">
        <v>7132</v>
      </c>
      <c r="AA1549" s="5" t="s">
        <v>44</v>
      </c>
      <c r="AC1549" s="8" t="str">
        <f>HYPERLINK("https://drive.google.com/file/d/1ot9FnvsJK3bKein6VPVg-47V_f2DGkkg/view?usp=drivesdk", "Abrir_Factura")</f>
        <v>Abrir_Factura</v>
      </c>
      <c r="AD1549" s="9">
        <v>46045.397499999999</v>
      </c>
    </row>
    <row r="1550" spans="1:30" ht="12.5">
      <c r="A1550" s="4">
        <v>46045.391575127316</v>
      </c>
      <c r="B1550" s="5">
        <v>91288</v>
      </c>
      <c r="C1550" s="5">
        <v>1152450057</v>
      </c>
      <c r="D1550" s="5" t="s">
        <v>262</v>
      </c>
      <c r="F1550" s="5" t="s">
        <v>1633</v>
      </c>
      <c r="H1550" s="5">
        <v>113322874387</v>
      </c>
      <c r="J1550" s="5" t="s">
        <v>7133</v>
      </c>
      <c r="K1550" s="5" t="s">
        <v>73</v>
      </c>
      <c r="L1550" s="5" t="s">
        <v>7134</v>
      </c>
      <c r="M1550" s="5"/>
      <c r="N1550" s="6">
        <v>46045</v>
      </c>
      <c r="O1550" s="7">
        <v>0.45833333333333331</v>
      </c>
      <c r="P1550" s="5">
        <v>1</v>
      </c>
      <c r="Q1550" s="5" t="s">
        <v>89</v>
      </c>
      <c r="R1550" s="5">
        <v>170000</v>
      </c>
      <c r="S1550" s="5">
        <v>0</v>
      </c>
      <c r="T1550" s="5">
        <v>8000</v>
      </c>
      <c r="U1550" s="5">
        <v>178000</v>
      </c>
      <c r="V1550" s="5" t="s">
        <v>7135</v>
      </c>
      <c r="W1550" s="5" t="s">
        <v>36</v>
      </c>
      <c r="X1550" s="5" t="s">
        <v>67</v>
      </c>
      <c r="AA1550" s="5" t="s">
        <v>44</v>
      </c>
      <c r="AB1550" s="5" t="s">
        <v>7136</v>
      </c>
      <c r="AC1550" s="8" t="str">
        <f>HYPERLINK("https://drive.google.com/file/d/1b-NzV7ryBDoJZ6nrmBKocBTzDNDMJxf3/view?usp=drivesdk", "Abrir_Factura")</f>
        <v>Abrir_Factura</v>
      </c>
      <c r="AD1550" s="9">
        <v>46045.400625000002</v>
      </c>
    </row>
    <row r="1551" spans="1:30" ht="12.5">
      <c r="A1551" s="4">
        <v>46045.413871342593</v>
      </c>
      <c r="B1551" s="5">
        <v>91289</v>
      </c>
      <c r="C1551" s="5">
        <v>1044614875</v>
      </c>
      <c r="D1551" s="5" t="s">
        <v>290</v>
      </c>
      <c r="F1551" s="5" t="s">
        <v>596</v>
      </c>
      <c r="H1551" s="5">
        <v>573005983168</v>
      </c>
      <c r="J1551" s="5" t="s">
        <v>7137</v>
      </c>
      <c r="K1551" s="5" t="s">
        <v>420</v>
      </c>
      <c r="L1551" s="5" t="s">
        <v>7138</v>
      </c>
      <c r="M1551" s="5"/>
      <c r="N1551" s="6">
        <v>46045</v>
      </c>
      <c r="O1551" s="7">
        <v>0.45833333333333331</v>
      </c>
      <c r="P1551" s="5">
        <v>1</v>
      </c>
      <c r="Q1551" s="5" t="s">
        <v>375</v>
      </c>
      <c r="R1551" s="5">
        <v>80000</v>
      </c>
      <c r="S1551" s="5">
        <v>0</v>
      </c>
      <c r="T1551" s="5">
        <v>16000</v>
      </c>
      <c r="U1551" s="5">
        <v>96000</v>
      </c>
      <c r="V1551" s="5" t="s">
        <v>7139</v>
      </c>
      <c r="W1551" s="5" t="s">
        <v>36</v>
      </c>
      <c r="X1551" s="5" t="s">
        <v>67</v>
      </c>
      <c r="Z1551" s="5" t="s">
        <v>7140</v>
      </c>
      <c r="AA1551" s="5" t="s">
        <v>44</v>
      </c>
      <c r="AC1551" s="8" t="str">
        <f>HYPERLINK("https://drive.google.com/file/d/11m-XjFKJoF3xk7Be4PLmSOKJJPWHmaIX/view?usp=drivesdk", "Abrir_Factura")</f>
        <v>Abrir_Factura</v>
      </c>
      <c r="AD1551" s="9">
        <v>46045.419085648151</v>
      </c>
    </row>
    <row r="1552" spans="1:30" ht="12.5">
      <c r="A1552" s="4">
        <v>46045.419199942131</v>
      </c>
      <c r="B1552" s="5">
        <v>91290</v>
      </c>
      <c r="C1552" s="5">
        <v>1140871854</v>
      </c>
      <c r="D1552" s="5" t="s">
        <v>876</v>
      </c>
      <c r="F1552" s="5" t="s">
        <v>7141</v>
      </c>
      <c r="H1552" s="5">
        <v>57981388055</v>
      </c>
      <c r="J1552" s="5" t="s">
        <v>7142</v>
      </c>
      <c r="K1552" s="5" t="s">
        <v>161</v>
      </c>
      <c r="L1552" s="5" t="s">
        <v>7143</v>
      </c>
      <c r="M1552" s="5">
        <v>0</v>
      </c>
      <c r="N1552" s="6">
        <v>46045</v>
      </c>
      <c r="O1552" s="7">
        <v>0.45833333333333331</v>
      </c>
      <c r="P1552" s="5">
        <v>1</v>
      </c>
      <c r="Q1552" s="5" t="s">
        <v>375</v>
      </c>
      <c r="R1552" s="5">
        <v>80000</v>
      </c>
      <c r="S1552" s="5">
        <v>0</v>
      </c>
      <c r="T1552" s="5">
        <v>8000</v>
      </c>
      <c r="U1552" s="5">
        <v>88000</v>
      </c>
      <c r="V1552" s="5" t="s">
        <v>7144</v>
      </c>
      <c r="W1552" s="5" t="s">
        <v>36</v>
      </c>
      <c r="X1552" s="5" t="s">
        <v>67</v>
      </c>
      <c r="Z1552" s="5" t="s">
        <v>7145</v>
      </c>
      <c r="AA1552" s="5" t="s">
        <v>44</v>
      </c>
      <c r="AC1552" s="8" t="str">
        <f>HYPERLINK("https://drive.google.com/file/d/1IDZOqlMsxcYCvkTY_uUnBfDiKNrXRaoE/view?usp=drivesdk", "Abrir_Factura")</f>
        <v>Abrir_Factura</v>
      </c>
      <c r="AD1552" s="9">
        <v>46045.422650462962</v>
      </c>
    </row>
    <row r="1553" spans="1:30" ht="12.5">
      <c r="A1553" s="4">
        <v>46045.428214166663</v>
      </c>
      <c r="B1553" s="5">
        <v>91291</v>
      </c>
      <c r="C1553" s="5">
        <v>1140887945</v>
      </c>
      <c r="D1553" s="5" t="s">
        <v>1204</v>
      </c>
      <c r="F1553" s="5" t="s">
        <v>7146</v>
      </c>
      <c r="H1553" s="5">
        <v>573159274731</v>
      </c>
      <c r="J1553" s="5" t="s">
        <v>7147</v>
      </c>
      <c r="K1553" s="5"/>
      <c r="L1553" s="5" t="s">
        <v>7148</v>
      </c>
      <c r="M1553" s="5" t="s">
        <v>7149</v>
      </c>
      <c r="N1553" s="6">
        <v>46045</v>
      </c>
      <c r="O1553" s="7">
        <v>0.58333333333333337</v>
      </c>
      <c r="P1553" s="5">
        <v>1</v>
      </c>
      <c r="Q1553" s="5" t="s">
        <v>7150</v>
      </c>
      <c r="R1553" s="5">
        <v>170000</v>
      </c>
      <c r="S1553" s="5">
        <v>0</v>
      </c>
      <c r="T1553" s="5"/>
      <c r="U1553" s="5">
        <v>170000</v>
      </c>
      <c r="V1553" s="5" t="s">
        <v>7151</v>
      </c>
      <c r="W1553" s="5" t="s">
        <v>36</v>
      </c>
      <c r="X1553" s="5" t="s">
        <v>67</v>
      </c>
      <c r="Z1553" s="5" t="s">
        <v>7152</v>
      </c>
      <c r="AA1553" s="5" t="s">
        <v>44</v>
      </c>
      <c r="AC1553" s="8" t="str">
        <f>HYPERLINK("https://drive.google.com/file/d/1Rxgl_TXKdPWsi0PwUmGoRMpdWvoMREbf/view?usp=drivesdk", "Abrir_Factura")</f>
        <v>Abrir_Factura</v>
      </c>
      <c r="AD1553" s="9">
        <v>46045.436041666668</v>
      </c>
    </row>
    <row r="1554" spans="1:30" ht="12.5">
      <c r="A1554" s="4">
        <v>46045.439164201394</v>
      </c>
      <c r="B1554" s="5">
        <v>91292</v>
      </c>
      <c r="C1554" s="5">
        <v>1129572628</v>
      </c>
      <c r="D1554" s="5" t="s">
        <v>7153</v>
      </c>
      <c r="F1554" s="5" t="s">
        <v>1727</v>
      </c>
      <c r="H1554" s="5">
        <v>5930982958009</v>
      </c>
      <c r="J1554" s="5" t="s">
        <v>7154</v>
      </c>
      <c r="K1554" s="5" t="s">
        <v>73</v>
      </c>
      <c r="L1554" s="5" t="s">
        <v>7155</v>
      </c>
      <c r="M1554" s="5">
        <v>3004423543</v>
      </c>
      <c r="N1554" s="6">
        <v>46045</v>
      </c>
      <c r="O1554" s="7">
        <v>0</v>
      </c>
      <c r="P1554" s="5">
        <v>1</v>
      </c>
      <c r="Q1554" s="5" t="s">
        <v>96</v>
      </c>
      <c r="R1554" s="5">
        <v>250000</v>
      </c>
      <c r="S1554" s="5">
        <v>0</v>
      </c>
      <c r="T1554" s="5">
        <v>8000</v>
      </c>
      <c r="U1554" s="5">
        <v>258000</v>
      </c>
      <c r="V1554" s="5" t="s">
        <v>7156</v>
      </c>
      <c r="W1554" s="5" t="s">
        <v>36</v>
      </c>
      <c r="X1554" s="5" t="s">
        <v>1481</v>
      </c>
      <c r="Z1554" s="5" t="s">
        <v>7157</v>
      </c>
      <c r="AA1554" s="5" t="s">
        <v>44</v>
      </c>
      <c r="AC1554" s="8" t="str">
        <f>HYPERLINK("https://drive.google.com/file/d/15-8Bt-pOXjwJ31LzlDqu84EI_fn9VTh5/view?usp=drivesdk", "Abrir_Factura")</f>
        <v>Abrir_Factura</v>
      </c>
      <c r="AD1554" s="9">
        <v>46045.445092592592</v>
      </c>
    </row>
    <row r="1555" spans="1:30" ht="12.5">
      <c r="A1555" s="4">
        <v>46045.451906597227</v>
      </c>
      <c r="B1555" s="5">
        <v>91293</v>
      </c>
      <c r="C1555" s="5">
        <v>1140875620</v>
      </c>
      <c r="D1555" s="5" t="s">
        <v>889</v>
      </c>
      <c r="F1555" s="5" t="s">
        <v>7158</v>
      </c>
      <c r="H1555" s="5">
        <v>573052960945</v>
      </c>
      <c r="J1555" s="5" t="s">
        <v>7159</v>
      </c>
      <c r="K1555" s="5" t="s">
        <v>79</v>
      </c>
      <c r="L1555" s="5" t="s">
        <v>7160</v>
      </c>
      <c r="M1555" s="5" t="s">
        <v>25421</v>
      </c>
      <c r="N1555" s="6">
        <v>46045</v>
      </c>
      <c r="O1555" s="7">
        <v>0</v>
      </c>
      <c r="P1555" s="5">
        <v>1</v>
      </c>
      <c r="Q1555" s="5" t="s">
        <v>57</v>
      </c>
      <c r="R1555" s="5">
        <v>120000</v>
      </c>
      <c r="S1555" s="5">
        <v>0</v>
      </c>
      <c r="T1555" s="5">
        <v>10000</v>
      </c>
      <c r="U1555" s="5">
        <v>130000</v>
      </c>
      <c r="V1555" s="5" t="s">
        <v>7161</v>
      </c>
      <c r="W1555" s="5" t="s">
        <v>36</v>
      </c>
      <c r="X1555" s="5" t="s">
        <v>1481</v>
      </c>
      <c r="Z1555" s="5" t="s">
        <v>7162</v>
      </c>
      <c r="AA1555" s="5" t="s">
        <v>44</v>
      </c>
      <c r="AB1555" s="5" t="s">
        <v>7163</v>
      </c>
      <c r="AC1555" s="8" t="str">
        <f>HYPERLINK("https://drive.google.com/file/d/1Y1oE-NeOPt2QkbzA8s422A323o4HcMCw/view?usp=drivesdk", "Abrir_Factura")</f>
        <v>Abrir_Factura</v>
      </c>
      <c r="AD1555" s="9">
        <v>46045.454583333332</v>
      </c>
    </row>
    <row r="1556" spans="1:30" ht="12.5">
      <c r="A1556" s="4">
        <v>46045.408808518521</v>
      </c>
      <c r="B1556" s="5">
        <v>91294</v>
      </c>
      <c r="C1556" s="5">
        <v>32656168</v>
      </c>
      <c r="D1556" s="5" t="s">
        <v>7164</v>
      </c>
      <c r="F1556" s="5" t="s">
        <v>7165</v>
      </c>
      <c r="H1556" s="5">
        <v>573153325830</v>
      </c>
      <c r="J1556" s="5" t="s">
        <v>7166</v>
      </c>
      <c r="K1556" s="5" t="s">
        <v>33</v>
      </c>
      <c r="L1556" s="5" t="s">
        <v>34</v>
      </c>
      <c r="M1556" s="5">
        <v>3153325830</v>
      </c>
      <c r="N1556" s="6">
        <v>46045</v>
      </c>
      <c r="O1556" s="7">
        <v>0.625</v>
      </c>
      <c r="P1556" s="5">
        <v>1</v>
      </c>
      <c r="Q1556" s="5" t="s">
        <v>525</v>
      </c>
      <c r="R1556" s="5">
        <v>94000</v>
      </c>
      <c r="S1556" s="5">
        <v>0</v>
      </c>
      <c r="T1556" s="5">
        <v>0</v>
      </c>
      <c r="U1556" s="5">
        <v>94000</v>
      </c>
      <c r="V1556" s="5"/>
      <c r="W1556" s="5" t="s">
        <v>36</v>
      </c>
      <c r="X1556" s="5" t="s">
        <v>43</v>
      </c>
      <c r="AA1556" s="5" t="s">
        <v>1717</v>
      </c>
      <c r="AB1556" s="5" t="s">
        <v>7167</v>
      </c>
      <c r="AC1556" s="8" t="str">
        <f>HYPERLINK("https://drive.google.com/file/d/1dYXnF_gbI0HguPxHoWKVTJLag-xT1sog/view?usp=drivesdk", "Abrir_Factura")</f>
        <v>Abrir_Factura</v>
      </c>
      <c r="AD1556" s="9">
        <v>46045.45884259259</v>
      </c>
    </row>
    <row r="1557" spans="1:30" ht="12.5">
      <c r="A1557" s="4">
        <v>46045.461121412038</v>
      </c>
      <c r="B1557" s="5">
        <v>91295</v>
      </c>
      <c r="C1557" s="5">
        <v>1010041258</v>
      </c>
      <c r="D1557" s="5" t="s">
        <v>7168</v>
      </c>
      <c r="F1557" s="5" t="s">
        <v>7043</v>
      </c>
      <c r="H1557" s="5">
        <v>573007290599</v>
      </c>
      <c r="J1557" s="5" t="s">
        <v>7169</v>
      </c>
      <c r="K1557" s="5" t="s">
        <v>33</v>
      </c>
      <c r="L1557" s="5" t="s">
        <v>34</v>
      </c>
      <c r="M1557" s="5"/>
      <c r="N1557" s="6">
        <v>46045</v>
      </c>
      <c r="O1557" s="7">
        <v>0</v>
      </c>
      <c r="P1557" s="5">
        <v>1</v>
      </c>
      <c r="Q1557" s="5" t="s">
        <v>7170</v>
      </c>
      <c r="R1557" s="5">
        <v>170000</v>
      </c>
      <c r="S1557" s="5">
        <v>0</v>
      </c>
      <c r="T1557" s="5">
        <v>0</v>
      </c>
      <c r="U1557" s="5">
        <v>170000</v>
      </c>
      <c r="V1557" s="5" t="s">
        <v>7171</v>
      </c>
      <c r="W1557" s="5" t="s">
        <v>36</v>
      </c>
      <c r="X1557" s="5" t="s">
        <v>1705</v>
      </c>
      <c r="Z1557" s="5" t="s">
        <v>7172</v>
      </c>
      <c r="AA1557" s="5" t="s">
        <v>44</v>
      </c>
      <c r="AB1557" s="5" t="s">
        <v>7173</v>
      </c>
      <c r="AC1557" s="8" t="str">
        <f>HYPERLINK("https://drive.google.com/file/d/1gp4kYrdHeNrAti-hW2a6nmszgMTIhQmt/view?usp=drivesdk", "Abrir_Factura")</f>
        <v>Abrir_Factura</v>
      </c>
      <c r="AD1557" s="9">
        <v>46045.738368055558</v>
      </c>
    </row>
    <row r="1558" spans="1:30" ht="12.5">
      <c r="A1558" s="4">
        <v>46045.478872638894</v>
      </c>
      <c r="B1558" s="5">
        <v>91296</v>
      </c>
      <c r="C1558" s="5">
        <v>1234095334</v>
      </c>
      <c r="D1558" s="5" t="s">
        <v>6639</v>
      </c>
      <c r="F1558" s="5" t="s">
        <v>7174</v>
      </c>
      <c r="H1558" s="5">
        <v>57795430</v>
      </c>
      <c r="J1558" s="5" t="s">
        <v>7175</v>
      </c>
      <c r="K1558" s="5" t="s">
        <v>33</v>
      </c>
      <c r="L1558" s="5" t="s">
        <v>34</v>
      </c>
      <c r="M1558" s="5">
        <v>795430</v>
      </c>
      <c r="N1558" s="6">
        <v>46045</v>
      </c>
      <c r="O1558" s="7">
        <v>0</v>
      </c>
      <c r="P1558" s="5">
        <v>1</v>
      </c>
      <c r="Q1558" s="5" t="s">
        <v>178</v>
      </c>
      <c r="R1558" s="5">
        <v>110000</v>
      </c>
      <c r="S1558" s="5">
        <v>0</v>
      </c>
      <c r="T1558" s="5">
        <v>0</v>
      </c>
      <c r="U1558" s="5">
        <v>110000</v>
      </c>
      <c r="V1558" s="5"/>
      <c r="W1558" s="5" t="s">
        <v>36</v>
      </c>
      <c r="X1558" s="5" t="s">
        <v>2636</v>
      </c>
      <c r="AA1558" s="5" t="s">
        <v>1717</v>
      </c>
      <c r="AC1558" s="8" t="str">
        <f>HYPERLINK("https://drive.google.com/file/d/1rVi1eUWb44YMiuckOdi_EaFjylzodPqi/view?usp=drivesdk", "Abrir_Factura")</f>
        <v>Abrir_Factura</v>
      </c>
      <c r="AD1558" s="9">
        <v>46045.486458333333</v>
      </c>
    </row>
    <row r="1559" spans="1:30" ht="12.5">
      <c r="A1559" s="4">
        <v>46045.533225451392</v>
      </c>
      <c r="B1559" s="5">
        <v>91297</v>
      </c>
      <c r="C1559" s="5">
        <v>900521807</v>
      </c>
      <c r="D1559" s="5" t="s">
        <v>1231</v>
      </c>
      <c r="F1559" s="5" t="s">
        <v>2159</v>
      </c>
      <c r="H1559" s="5">
        <v>573007682024</v>
      </c>
      <c r="J1559" s="5" t="s">
        <v>5734</v>
      </c>
      <c r="K1559" s="5" t="s">
        <v>33</v>
      </c>
      <c r="L1559" s="5" t="s">
        <v>34</v>
      </c>
      <c r="M1559" s="5">
        <v>3007682024</v>
      </c>
      <c r="N1559" s="6">
        <v>46046</v>
      </c>
      <c r="O1559" s="7">
        <v>0.375</v>
      </c>
      <c r="P1559" s="5">
        <v>1</v>
      </c>
      <c r="Q1559" s="5" t="s">
        <v>42</v>
      </c>
      <c r="R1559" s="5">
        <v>0</v>
      </c>
      <c r="S1559" s="5">
        <v>0</v>
      </c>
      <c r="T1559" s="5">
        <v>0</v>
      </c>
      <c r="U1559" s="5">
        <v>0</v>
      </c>
      <c r="V1559" s="5"/>
      <c r="W1559" s="5" t="s">
        <v>36</v>
      </c>
      <c r="X1559" s="5" t="s">
        <v>43</v>
      </c>
      <c r="AA1559" s="5" t="s">
        <v>44</v>
      </c>
      <c r="AB1559" s="5" t="s">
        <v>7176</v>
      </c>
      <c r="AC1559" s="8" t="str">
        <f>HYPERLINK("https://drive.google.com/file/d/1j2MQnDt8_5JZcP7tpBQ-SmPkO0lqIYmK/view?usp=drivesdk", "Abrir_Factura")</f>
        <v>Abrir_Factura</v>
      </c>
      <c r="AD1559" s="9">
        <v>46045.533634259256</v>
      </c>
    </row>
    <row r="1560" spans="1:30" ht="12.5">
      <c r="A1560" s="4">
        <v>46045.547395902773</v>
      </c>
      <c r="B1560" s="5">
        <v>91298</v>
      </c>
      <c r="C1560" s="5">
        <v>32748863</v>
      </c>
      <c r="D1560" s="5" t="s">
        <v>521</v>
      </c>
      <c r="F1560" s="5" t="s">
        <v>3525</v>
      </c>
      <c r="H1560" s="5">
        <v>573174289182</v>
      </c>
      <c r="J1560" s="5" t="s">
        <v>3526</v>
      </c>
      <c r="K1560" s="5"/>
      <c r="L1560" s="5" t="s">
        <v>7177</v>
      </c>
      <c r="M1560" s="5"/>
      <c r="N1560" s="6">
        <v>46045</v>
      </c>
      <c r="O1560" s="7">
        <v>0</v>
      </c>
      <c r="P1560" s="5">
        <v>1</v>
      </c>
      <c r="Q1560" s="5" t="s">
        <v>42</v>
      </c>
      <c r="R1560" s="5">
        <v>8000</v>
      </c>
      <c r="S1560" s="5">
        <v>0</v>
      </c>
      <c r="T1560" s="5"/>
      <c r="U1560" s="5">
        <v>8000</v>
      </c>
      <c r="V1560" s="5"/>
      <c r="W1560" s="5" t="s">
        <v>36</v>
      </c>
      <c r="X1560" s="5" t="s">
        <v>1481</v>
      </c>
      <c r="AA1560" s="5" t="s">
        <v>44</v>
      </c>
      <c r="AB1560" s="5" t="s">
        <v>7178</v>
      </c>
      <c r="AC1560" s="8" t="str">
        <f>HYPERLINK("https://drive.google.com/file/d/1QV2Fnliag6DJs5uxtchAOHwidJKqkWDS/view?usp=drivesdk", "Abrir_Factura")</f>
        <v>Abrir_Factura</v>
      </c>
      <c r="AD1560" s="9">
        <v>46045.548113425924</v>
      </c>
    </row>
    <row r="1561" spans="1:30" ht="12.5">
      <c r="A1561" s="4">
        <v>46045.550765856482</v>
      </c>
      <c r="B1561" s="5">
        <v>91299</v>
      </c>
      <c r="C1561" s="5">
        <v>1140815804</v>
      </c>
      <c r="D1561" s="5" t="s">
        <v>4840</v>
      </c>
      <c r="F1561" s="5" t="s">
        <v>6315</v>
      </c>
      <c r="H1561" s="5">
        <v>573017604108</v>
      </c>
      <c r="J1561" s="5" t="s">
        <v>7179</v>
      </c>
      <c r="K1561" s="5" t="s">
        <v>7180</v>
      </c>
      <c r="L1561" s="5" t="s">
        <v>7181</v>
      </c>
      <c r="M1561" s="5">
        <v>3017604108</v>
      </c>
      <c r="N1561" s="6">
        <v>46045</v>
      </c>
      <c r="O1561" s="7">
        <v>0.60416666666666663</v>
      </c>
      <c r="P1561" s="5">
        <v>1</v>
      </c>
      <c r="Q1561" s="5" t="s">
        <v>7182</v>
      </c>
      <c r="R1561" s="5">
        <v>80000</v>
      </c>
      <c r="S1561" s="5">
        <v>0</v>
      </c>
      <c r="T1561" s="5">
        <v>15000</v>
      </c>
      <c r="U1561" s="5">
        <v>95000</v>
      </c>
      <c r="V1561" s="5" t="s">
        <v>7183</v>
      </c>
      <c r="W1561" s="5" t="s">
        <v>36</v>
      </c>
      <c r="X1561" s="5" t="s">
        <v>180</v>
      </c>
      <c r="Z1561" s="5" t="s">
        <v>4840</v>
      </c>
      <c r="AA1561" s="5" t="s">
        <v>44</v>
      </c>
      <c r="AC1561" s="8" t="str">
        <f>HYPERLINK("https://drive.google.com/file/d/13B0jt3fD4ugrBw8rZB7UTONDej13Q6tx/view?usp=drivesdk", "Abrir_Factura")</f>
        <v>Abrir_Factura</v>
      </c>
      <c r="AD1561" s="9">
        <v>46045.557789351849</v>
      </c>
    </row>
    <row r="1562" spans="1:30" ht="12.5">
      <c r="A1562" s="4">
        <v>46045.542070324074</v>
      </c>
      <c r="B1562" s="5">
        <v>91300</v>
      </c>
      <c r="C1562" s="5">
        <v>1048224551</v>
      </c>
      <c r="D1562" s="5" t="s">
        <v>2080</v>
      </c>
      <c r="F1562" s="5" t="s">
        <v>7184</v>
      </c>
      <c r="H1562" s="5">
        <v>573017367771</v>
      </c>
      <c r="J1562" s="5" t="s">
        <v>7185</v>
      </c>
      <c r="K1562" s="5" t="s">
        <v>937</v>
      </c>
      <c r="L1562" s="5" t="s">
        <v>7186</v>
      </c>
      <c r="M1562" s="5">
        <v>3206886831</v>
      </c>
      <c r="N1562" s="6">
        <v>46049</v>
      </c>
      <c r="O1562" s="7">
        <v>0</v>
      </c>
      <c r="P1562" s="5">
        <v>1</v>
      </c>
      <c r="Q1562" s="5" t="s">
        <v>1792</v>
      </c>
      <c r="R1562" s="5">
        <v>160000</v>
      </c>
      <c r="S1562" s="5">
        <v>0</v>
      </c>
      <c r="T1562" s="5">
        <v>25000</v>
      </c>
      <c r="U1562" s="5">
        <v>185000</v>
      </c>
      <c r="V1562" s="5" t="s">
        <v>7187</v>
      </c>
      <c r="W1562" s="5" t="s">
        <v>36</v>
      </c>
      <c r="X1562" s="5" t="s">
        <v>1481</v>
      </c>
      <c r="Z1562" s="5" t="s">
        <v>2080</v>
      </c>
      <c r="AA1562" s="5" t="s">
        <v>44</v>
      </c>
      <c r="AC1562" s="8" t="str">
        <f>HYPERLINK("https://drive.google.com/file/d/16UMz__XrMSo4d2-z5vraOCO3ATe1UX46/view?usp=drivesdk", "Abrir_Factura")</f>
        <v>Abrir_Factura</v>
      </c>
      <c r="AD1562" s="9">
        <v>46045.562071759261</v>
      </c>
    </row>
    <row r="1563" spans="1:30" ht="12.5">
      <c r="A1563" s="4">
        <v>46045.560195798607</v>
      </c>
      <c r="B1563" s="5">
        <v>91301</v>
      </c>
      <c r="C1563" s="5">
        <v>55230729</v>
      </c>
      <c r="D1563" s="5" t="s">
        <v>1304</v>
      </c>
      <c r="F1563" s="5" t="s">
        <v>3450</v>
      </c>
      <c r="H1563" s="5">
        <v>573012791979</v>
      </c>
      <c r="J1563" s="5" t="s">
        <v>7188</v>
      </c>
      <c r="K1563" s="5" t="s">
        <v>103</v>
      </c>
      <c r="L1563" s="5" t="s">
        <v>7189</v>
      </c>
      <c r="M1563" s="5">
        <v>3012791979</v>
      </c>
      <c r="N1563" s="6">
        <v>46046</v>
      </c>
      <c r="O1563" s="7">
        <v>0.66666666666666663</v>
      </c>
      <c r="P1563" s="5">
        <v>2</v>
      </c>
      <c r="Q1563" s="5" t="s">
        <v>7190</v>
      </c>
      <c r="R1563" s="5">
        <v>100000</v>
      </c>
      <c r="S1563" s="5">
        <v>0</v>
      </c>
      <c r="T1563" s="5">
        <v>10000</v>
      </c>
      <c r="U1563" s="5">
        <v>110000</v>
      </c>
      <c r="V1563" s="5"/>
      <c r="W1563" s="5" t="s">
        <v>36</v>
      </c>
      <c r="X1563" s="5" t="s">
        <v>1481</v>
      </c>
      <c r="Z1563" s="5" t="s">
        <v>7191</v>
      </c>
      <c r="AA1563" s="5" t="s">
        <v>69</v>
      </c>
      <c r="AB1563" s="5" t="s">
        <v>7192</v>
      </c>
      <c r="AC1563" s="8" t="str">
        <f>HYPERLINK("https://drive.google.com/file/d/1IvRYNwjx52R0DXioT_m8boKLOYNhYJ3z/view?usp=drivesdk", "Abrir_Factura")</f>
        <v>Abrir_Factura</v>
      </c>
      <c r="AD1563" s="9">
        <v>46045.573506944442</v>
      </c>
    </row>
    <row r="1564" spans="1:30" ht="12.5">
      <c r="A1564" s="4">
        <v>46045.596991712962</v>
      </c>
      <c r="B1564" s="5">
        <v>91302</v>
      </c>
      <c r="C1564" s="5">
        <v>1140890861</v>
      </c>
      <c r="D1564" s="5" t="s">
        <v>7193</v>
      </c>
      <c r="F1564" s="5" t="s">
        <v>7194</v>
      </c>
      <c r="H1564" s="5">
        <v>573215242839</v>
      </c>
      <c r="J1564" s="5" t="s">
        <v>7195</v>
      </c>
      <c r="K1564" s="5" t="s">
        <v>154</v>
      </c>
      <c r="L1564" s="5" t="s">
        <v>7196</v>
      </c>
      <c r="M1564" s="5"/>
      <c r="N1564" s="6">
        <v>46045</v>
      </c>
      <c r="O1564" s="7">
        <v>0</v>
      </c>
      <c r="P1564" s="5">
        <v>1</v>
      </c>
      <c r="Q1564" s="5" t="s">
        <v>384</v>
      </c>
      <c r="R1564" s="5">
        <v>200000</v>
      </c>
      <c r="S1564" s="5">
        <v>0</v>
      </c>
      <c r="T1564" s="5">
        <v>8000</v>
      </c>
      <c r="U1564" s="5">
        <v>208000</v>
      </c>
      <c r="V1564" s="5" t="s">
        <v>7197</v>
      </c>
      <c r="W1564" s="5" t="s">
        <v>36</v>
      </c>
      <c r="X1564" s="5" t="s">
        <v>1481</v>
      </c>
      <c r="AA1564" s="5" t="s">
        <v>69</v>
      </c>
      <c r="AC1564" s="8" t="str">
        <f>HYPERLINK("https://drive.google.com/file/d/1E5TK_jZwiolKg9GpO4pd_NQrWGjGVJNH/view?usp=drivesdk", "Abrir_Factura")</f>
        <v>Abrir_Factura</v>
      </c>
      <c r="AD1564" s="9">
        <v>46045.598773148151</v>
      </c>
    </row>
    <row r="1565" spans="1:30" ht="12.5">
      <c r="A1565" s="4">
        <v>46045.610870081015</v>
      </c>
      <c r="B1565" s="5">
        <v>91303</v>
      </c>
      <c r="C1565" s="5">
        <v>55306140</v>
      </c>
      <c r="D1565" s="5" t="s">
        <v>7198</v>
      </c>
      <c r="F1565" s="5" t="s">
        <v>3450</v>
      </c>
      <c r="H1565" s="5">
        <v>573108181272</v>
      </c>
      <c r="J1565" s="5" t="s">
        <v>7199</v>
      </c>
      <c r="K1565" s="5" t="s">
        <v>33</v>
      </c>
      <c r="L1565" s="5" t="s">
        <v>34</v>
      </c>
      <c r="M1565" s="5" t="s">
        <v>7200</v>
      </c>
      <c r="N1565" s="6">
        <v>46045</v>
      </c>
      <c r="O1565" s="7">
        <v>0.66666666666666663</v>
      </c>
      <c r="P1565" s="5">
        <v>1</v>
      </c>
      <c r="Q1565" s="5" t="s">
        <v>330</v>
      </c>
      <c r="R1565" s="5">
        <v>200000</v>
      </c>
      <c r="S1565" s="5">
        <v>0</v>
      </c>
      <c r="T1565" s="5">
        <v>0</v>
      </c>
      <c r="U1565" s="5">
        <v>200000</v>
      </c>
      <c r="V1565" s="5" t="s">
        <v>7201</v>
      </c>
      <c r="W1565" s="5" t="s">
        <v>36</v>
      </c>
      <c r="X1565" s="5" t="s">
        <v>1481</v>
      </c>
      <c r="AA1565" s="5" t="s">
        <v>44</v>
      </c>
      <c r="AC1565" s="8" t="str">
        <f>HYPERLINK("https://drive.google.com/file/d/1_wdeIPLMmE3gI5lFrZYRkm5zhImdHqL4/view?usp=drivesdk", "Abrir_Factura")</f>
        <v>Abrir_Factura</v>
      </c>
      <c r="AD1565" s="9">
        <v>46045.63689814815</v>
      </c>
    </row>
    <row r="1566" spans="1:30" ht="12.5">
      <c r="A1566" s="4">
        <v>46045.617871064816</v>
      </c>
      <c r="B1566" s="5">
        <v>91304</v>
      </c>
      <c r="C1566" s="5">
        <v>45762125</v>
      </c>
      <c r="D1566" s="5" t="s">
        <v>7202</v>
      </c>
      <c r="F1566" s="5" t="s">
        <v>7203</v>
      </c>
      <c r="H1566" s="5">
        <v>573008183491</v>
      </c>
      <c r="J1566" s="5" t="s">
        <v>7204</v>
      </c>
      <c r="K1566" s="5"/>
      <c r="L1566" s="5" t="s">
        <v>7205</v>
      </c>
      <c r="M1566" s="5"/>
      <c r="N1566" s="6">
        <v>46045</v>
      </c>
      <c r="O1566" s="7">
        <v>0.66666666666666663</v>
      </c>
      <c r="P1566" s="5">
        <v>1</v>
      </c>
      <c r="Q1566" s="5" t="s">
        <v>42</v>
      </c>
      <c r="R1566" s="5">
        <v>138000</v>
      </c>
      <c r="S1566" s="5">
        <v>0</v>
      </c>
      <c r="T1566" s="5"/>
      <c r="U1566" s="5">
        <v>138000</v>
      </c>
      <c r="V1566" s="5"/>
      <c r="W1566" s="5" t="s">
        <v>36</v>
      </c>
      <c r="X1566" s="5" t="s">
        <v>1481</v>
      </c>
      <c r="AA1566" s="5" t="s">
        <v>44</v>
      </c>
      <c r="AB1566" s="5" t="s">
        <v>7206</v>
      </c>
      <c r="AC1566" s="8" t="str">
        <f>HYPERLINK("https://drive.google.com/file/d/12JC68uEUtL1tTSGXwcgMEsOvf7yDQt7z/view?usp=drivesdk", "Abrir_Factura")</f>
        <v>Abrir_Factura</v>
      </c>
      <c r="AD1566" s="9">
        <v>46045.643391203703</v>
      </c>
    </row>
    <row r="1567" spans="1:30" ht="12.5">
      <c r="A1567" s="4">
        <v>46045.598834155091</v>
      </c>
      <c r="B1567" s="5">
        <v>91305</v>
      </c>
      <c r="C1567" s="5">
        <v>1129527437</v>
      </c>
      <c r="D1567" s="5" t="s">
        <v>7207</v>
      </c>
      <c r="F1567" s="5" t="s">
        <v>7208</v>
      </c>
      <c r="H1567" s="5">
        <v>50763123762</v>
      </c>
      <c r="J1567" s="5" t="s">
        <v>7209</v>
      </c>
      <c r="K1567" s="5" t="s">
        <v>33</v>
      </c>
      <c r="L1567" s="5" t="s">
        <v>34</v>
      </c>
      <c r="M1567" s="5">
        <v>63123762</v>
      </c>
      <c r="N1567" s="6">
        <v>46046</v>
      </c>
      <c r="O1567" s="7">
        <v>0.375</v>
      </c>
      <c r="P1567" s="5">
        <v>1</v>
      </c>
      <c r="Q1567" s="5" t="s">
        <v>422</v>
      </c>
      <c r="R1567" s="5">
        <v>150000</v>
      </c>
      <c r="S1567" s="5">
        <v>0</v>
      </c>
      <c r="T1567" s="5">
        <v>0</v>
      </c>
      <c r="U1567" s="5">
        <v>150000</v>
      </c>
      <c r="V1567" s="5"/>
      <c r="W1567" s="5" t="s">
        <v>36</v>
      </c>
      <c r="X1567" s="5" t="s">
        <v>1481</v>
      </c>
      <c r="Z1567" s="5" t="s">
        <v>7210</v>
      </c>
      <c r="AA1567" s="5" t="s">
        <v>44</v>
      </c>
      <c r="AB1567" s="5" t="s">
        <v>7211</v>
      </c>
      <c r="AC1567" s="8" t="str">
        <f>HYPERLINK("https://drive.google.com/file/d/1G4yWVOuMgUph1imdSr3_Ox_lrX3BIZdu/view?usp=drivesdk", "Abrir_Factura")</f>
        <v>Abrir_Factura</v>
      </c>
      <c r="AD1567" s="9">
        <v>46045.621504629627</v>
      </c>
    </row>
    <row r="1568" spans="1:30" ht="12.5">
      <c r="A1568" s="4">
        <v>46045.632132986109</v>
      </c>
      <c r="B1568" s="5">
        <v>91306</v>
      </c>
      <c r="C1568" s="5">
        <v>22448870</v>
      </c>
      <c r="D1568" s="5" t="s">
        <v>7212</v>
      </c>
      <c r="F1568" s="5" t="s">
        <v>7213</v>
      </c>
      <c r="H1568" s="5">
        <v>573164705834</v>
      </c>
      <c r="J1568" s="5" t="s">
        <v>7214</v>
      </c>
      <c r="K1568" s="5" t="s">
        <v>33</v>
      </c>
      <c r="L1568" s="5" t="s">
        <v>34</v>
      </c>
      <c r="M1568" s="5"/>
      <c r="N1568" s="6">
        <v>46045</v>
      </c>
      <c r="O1568" s="7">
        <v>0.70833333333333337</v>
      </c>
      <c r="P1568" s="5">
        <v>1</v>
      </c>
      <c r="Q1568" s="5" t="s">
        <v>42</v>
      </c>
      <c r="R1568" s="5">
        <v>30000</v>
      </c>
      <c r="S1568" s="5">
        <v>0</v>
      </c>
      <c r="T1568" s="5">
        <v>0</v>
      </c>
      <c r="U1568" s="5">
        <v>30000</v>
      </c>
      <c r="V1568" s="5"/>
      <c r="W1568" s="5" t="s">
        <v>36</v>
      </c>
      <c r="X1568" s="5" t="s">
        <v>1705</v>
      </c>
      <c r="AA1568" s="5" t="s">
        <v>44</v>
      </c>
      <c r="AB1568" s="5" t="s">
        <v>7215</v>
      </c>
      <c r="AC1568" s="8" t="str">
        <f>HYPERLINK("https://drive.google.com/file/d/19ZJrl8hS2-g7Kgrxc2ZT81nwCXkZ9jM0/view?usp=drivesdk", "Abrir_Factura")</f>
        <v>Abrir_Factura</v>
      </c>
      <c r="AD1568" s="9">
        <v>46045.742858796293</v>
      </c>
    </row>
    <row r="1569" spans="1:30" ht="12.5">
      <c r="A1569" s="4">
        <v>46052.634189814817</v>
      </c>
      <c r="B1569" s="5">
        <v>91307</v>
      </c>
      <c r="C1569" s="5">
        <v>901876344</v>
      </c>
      <c r="D1569" s="5" t="s">
        <v>2376</v>
      </c>
      <c r="F1569" s="5" t="s">
        <v>2477</v>
      </c>
      <c r="H1569" s="5">
        <v>573106623313</v>
      </c>
      <c r="J1569" s="5" t="s">
        <v>2376</v>
      </c>
      <c r="K1569" s="5" t="s">
        <v>33</v>
      </c>
      <c r="L1569" s="5" t="s">
        <v>34</v>
      </c>
      <c r="M1569" s="5">
        <v>3106623313</v>
      </c>
      <c r="N1569" s="6">
        <v>46046</v>
      </c>
      <c r="O1569" s="7">
        <v>0.58333333333333337</v>
      </c>
      <c r="P1569" s="5">
        <v>1</v>
      </c>
      <c r="Q1569" s="5" t="s">
        <v>42</v>
      </c>
      <c r="R1569" s="5">
        <v>130000</v>
      </c>
      <c r="S1569" s="5">
        <v>0</v>
      </c>
      <c r="T1569" s="5">
        <v>0</v>
      </c>
      <c r="U1569" s="5">
        <v>130000</v>
      </c>
      <c r="V1569" s="5"/>
      <c r="W1569" s="5" t="s">
        <v>36</v>
      </c>
      <c r="X1569" s="5" t="s">
        <v>2636</v>
      </c>
      <c r="AA1569" s="5" t="s">
        <v>1717</v>
      </c>
      <c r="AB1569" s="5" t="s">
        <v>7216</v>
      </c>
      <c r="AC1569" s="8" t="str">
        <f>HYPERLINK("https://drive.google.com/file/d/1NF2NhQyjXaJ6V7eN74o6tmcl_4oydTjh/view?usp=drivesdk", "Abrir_Factura")</f>
        <v>Abrir_Factura</v>
      </c>
      <c r="AD1569" s="9">
        <v>46052.778645833336</v>
      </c>
    </row>
    <row r="1570" spans="1:30" ht="12.5">
      <c r="A1570" s="4">
        <v>46045.641707152783</v>
      </c>
      <c r="B1570" s="5">
        <v>91308</v>
      </c>
      <c r="C1570" s="5">
        <v>80068931</v>
      </c>
      <c r="D1570" s="5" t="s">
        <v>7217</v>
      </c>
      <c r="F1570" s="5" t="s">
        <v>7218</v>
      </c>
      <c r="H1570" s="5">
        <v>573106306991</v>
      </c>
      <c r="J1570" s="5" t="s">
        <v>1573</v>
      </c>
      <c r="K1570" s="5" t="s">
        <v>110</v>
      </c>
      <c r="L1570" s="5" t="s">
        <v>7219</v>
      </c>
      <c r="M1570" s="5">
        <v>3148289986</v>
      </c>
      <c r="N1570" s="6">
        <v>46045</v>
      </c>
      <c r="O1570" s="7">
        <v>0.6875</v>
      </c>
      <c r="P1570" s="5">
        <v>1</v>
      </c>
      <c r="Q1570" s="5" t="s">
        <v>2556</v>
      </c>
      <c r="R1570" s="5">
        <v>400000</v>
      </c>
      <c r="S1570" s="5">
        <v>0</v>
      </c>
      <c r="T1570" s="5">
        <v>6000</v>
      </c>
      <c r="U1570" s="5">
        <v>406000</v>
      </c>
      <c r="V1570" s="5" t="s">
        <v>7220</v>
      </c>
      <c r="W1570" s="5" t="s">
        <v>36</v>
      </c>
      <c r="X1570" s="5" t="s">
        <v>1481</v>
      </c>
      <c r="Z1570" s="5" t="s">
        <v>7221</v>
      </c>
      <c r="AA1570" s="5" t="s">
        <v>44</v>
      </c>
      <c r="AB1570" s="5" t="s">
        <v>7222</v>
      </c>
      <c r="AC1570" s="8" t="str">
        <f>HYPERLINK("https://drive.google.com/file/d/1cbsq2tlbfvOYe-j6nMyMEkFA0oWZ6aej/view?usp=drivesdk", "Abrir_Factura")</f>
        <v>Abrir_Factura</v>
      </c>
      <c r="AD1570" s="9">
        <v>46045.652951388889</v>
      </c>
    </row>
    <row r="1571" spans="1:30" ht="12.5">
      <c r="A1571" s="4">
        <v>46045.724435405093</v>
      </c>
      <c r="B1571" s="5">
        <v>91309</v>
      </c>
      <c r="C1571" s="5">
        <v>1007814788</v>
      </c>
      <c r="D1571" s="5" t="s">
        <v>7223</v>
      </c>
      <c r="F1571" s="5" t="s">
        <v>7224</v>
      </c>
      <c r="H1571" s="5">
        <v>573243155454</v>
      </c>
      <c r="J1571" s="5" t="s">
        <v>7225</v>
      </c>
      <c r="K1571" s="5" t="s">
        <v>33</v>
      </c>
      <c r="L1571" s="5" t="s">
        <v>34</v>
      </c>
      <c r="M1571" s="5" t="s">
        <v>7226</v>
      </c>
      <c r="N1571" s="6">
        <v>46045</v>
      </c>
      <c r="O1571" s="7">
        <v>0.70833333333333337</v>
      </c>
      <c r="P1571" s="5">
        <v>1</v>
      </c>
      <c r="Q1571" s="5" t="s">
        <v>7227</v>
      </c>
      <c r="R1571" s="5">
        <v>250000</v>
      </c>
      <c r="S1571" s="5">
        <v>0</v>
      </c>
      <c r="T1571" s="5">
        <v>0</v>
      </c>
      <c r="U1571" s="5">
        <v>250000</v>
      </c>
      <c r="V1571" s="5"/>
      <c r="W1571" s="5" t="s">
        <v>36</v>
      </c>
      <c r="X1571" s="5" t="s">
        <v>1481</v>
      </c>
      <c r="AA1571" s="5" t="s">
        <v>44</v>
      </c>
      <c r="AC1571" s="8" t="str">
        <f>HYPERLINK("https://drive.google.com/file/d/1qmzDhSszlb9mAw9rgDeCrPC6DGRJsTjb/view?usp=drivesdk", "Abrir_Factura")</f>
        <v>Abrir_Factura</v>
      </c>
      <c r="AD1571" s="9">
        <v>46045.732870370368</v>
      </c>
    </row>
    <row r="1572" spans="1:30" ht="12.5">
      <c r="A1572" s="4">
        <v>46045.738548310183</v>
      </c>
      <c r="B1572" s="5">
        <v>91310</v>
      </c>
      <c r="C1572" s="5">
        <v>1143392237</v>
      </c>
      <c r="D1572" s="5" t="s">
        <v>7228</v>
      </c>
      <c r="F1572" s="5" t="s">
        <v>7229</v>
      </c>
      <c r="H1572" s="5">
        <v>573157357860</v>
      </c>
      <c r="J1572" s="5" t="s">
        <v>7230</v>
      </c>
      <c r="K1572" s="5" t="s">
        <v>63</v>
      </c>
      <c r="L1572" s="5" t="s">
        <v>7231</v>
      </c>
      <c r="M1572" s="5">
        <v>3145245715</v>
      </c>
      <c r="N1572" s="6">
        <v>46046</v>
      </c>
      <c r="O1572" s="7">
        <v>0.33333333333333331</v>
      </c>
      <c r="P1572" s="5">
        <v>1</v>
      </c>
      <c r="Q1572" s="5" t="s">
        <v>133</v>
      </c>
      <c r="R1572" s="5">
        <v>150000</v>
      </c>
      <c r="S1572" s="5">
        <v>0</v>
      </c>
      <c r="T1572" s="5">
        <v>17000</v>
      </c>
      <c r="U1572" s="5">
        <v>167000</v>
      </c>
      <c r="V1572" s="5" t="s">
        <v>7232</v>
      </c>
      <c r="W1572" s="5" t="s">
        <v>36</v>
      </c>
      <c r="X1572" s="5" t="s">
        <v>1481</v>
      </c>
      <c r="Z1572" s="5" t="s">
        <v>7233</v>
      </c>
      <c r="AA1572" s="5" t="s">
        <v>44</v>
      </c>
      <c r="AC1572" s="8" t="str">
        <f>HYPERLINK("https://drive.google.com/file/d/1BNMnlMFVE4Xu4cMH_IqTTkf56LRVyqtQ/view?usp=drivesdk", "Abrir_Factura")</f>
        <v>Abrir_Factura</v>
      </c>
      <c r="AD1572" s="9">
        <v>46045.746377314812</v>
      </c>
    </row>
    <row r="1573" spans="1:30" ht="12.5">
      <c r="A1573" s="4">
        <v>46045.759209560187</v>
      </c>
      <c r="B1573" s="5">
        <v>91311</v>
      </c>
      <c r="C1573" s="5">
        <v>123228475</v>
      </c>
      <c r="D1573" s="5" t="s">
        <v>7234</v>
      </c>
      <c r="F1573" s="5" t="s">
        <v>7235</v>
      </c>
      <c r="H1573" s="5">
        <v>51967202285</v>
      </c>
      <c r="J1573" s="5" t="s">
        <v>7236</v>
      </c>
      <c r="K1573" s="5" t="s">
        <v>249</v>
      </c>
      <c r="L1573" s="5" t="s">
        <v>7237</v>
      </c>
      <c r="M1573" s="5" t="s">
        <v>25421</v>
      </c>
      <c r="N1573" s="6">
        <v>46046</v>
      </c>
      <c r="O1573" s="7">
        <v>0.33333333333333331</v>
      </c>
      <c r="P1573" s="5">
        <v>1</v>
      </c>
      <c r="Q1573" s="5" t="s">
        <v>65</v>
      </c>
      <c r="R1573" s="5">
        <v>80000</v>
      </c>
      <c r="S1573" s="5">
        <v>15200</v>
      </c>
      <c r="T1573" s="5">
        <v>10000</v>
      </c>
      <c r="U1573" s="5">
        <v>105200</v>
      </c>
      <c r="V1573" s="5"/>
      <c r="W1573" s="5" t="s">
        <v>36</v>
      </c>
      <c r="X1573" s="5" t="s">
        <v>1937</v>
      </c>
      <c r="AA1573" s="5" t="s">
        <v>69</v>
      </c>
      <c r="AB1573" s="5" t="s">
        <v>7238</v>
      </c>
      <c r="AC1573" s="8" t="str">
        <f>HYPERLINK("https://drive.google.com/file/d/1XecSPtAhJSQb20p0yLN3dL0a9PqO2KMu/view?usp=drivesdk", "Abrir_Factura")</f>
        <v>Abrir_Factura</v>
      </c>
      <c r="AD1573" s="9">
        <v>46045.766817129632</v>
      </c>
    </row>
    <row r="1574" spans="1:30" ht="12.5">
      <c r="A1574" s="4">
        <v>46046.366331180558</v>
      </c>
      <c r="B1574" s="5">
        <v>91312</v>
      </c>
      <c r="C1574" s="5">
        <v>1020835642</v>
      </c>
      <c r="D1574" s="5" t="s">
        <v>1719</v>
      </c>
      <c r="F1574" s="5" t="s">
        <v>2729</v>
      </c>
      <c r="H1574" s="5">
        <v>573166922664</v>
      </c>
      <c r="J1574" s="5" t="s">
        <v>7239</v>
      </c>
      <c r="K1574" s="5" t="s">
        <v>110</v>
      </c>
      <c r="L1574" s="5" t="s">
        <v>7240</v>
      </c>
      <c r="M1574" s="5">
        <v>3162905977</v>
      </c>
      <c r="N1574" s="6">
        <v>46046</v>
      </c>
      <c r="O1574" s="7">
        <v>0.45833333333333331</v>
      </c>
      <c r="P1574" s="5">
        <v>1</v>
      </c>
      <c r="Q1574" s="5" t="s">
        <v>309</v>
      </c>
      <c r="R1574" s="5">
        <v>88000</v>
      </c>
      <c r="S1574" s="5">
        <v>0</v>
      </c>
      <c r="T1574" s="5">
        <v>6000</v>
      </c>
      <c r="U1574" s="5">
        <v>94000</v>
      </c>
      <c r="V1574" s="5" t="s">
        <v>7241</v>
      </c>
      <c r="W1574" s="5" t="s">
        <v>36</v>
      </c>
      <c r="X1574" s="5" t="s">
        <v>1481</v>
      </c>
      <c r="Z1574" s="5" t="s">
        <v>7242</v>
      </c>
      <c r="AA1574" s="5" t="s">
        <v>44</v>
      </c>
      <c r="AB1574" s="5" t="s">
        <v>7243</v>
      </c>
      <c r="AC1574" s="8" t="str">
        <f>HYPERLINK("https://drive.google.com/file/d/1GyKnFB2J4rdWDlF3XbSLjTJrRGB35VnT/view?usp=drivesdk", "Abrir_Factura")</f>
        <v>Abrir_Factura</v>
      </c>
      <c r="AD1574" s="9">
        <v>46046.394606481481</v>
      </c>
    </row>
    <row r="1575" spans="1:30" ht="12.5">
      <c r="A1575" s="4">
        <v>46046.419593854167</v>
      </c>
      <c r="B1575" s="5">
        <v>91313</v>
      </c>
      <c r="C1575" s="5">
        <v>63364635</v>
      </c>
      <c r="D1575" s="5" t="s">
        <v>4174</v>
      </c>
      <c r="F1575" s="5" t="s">
        <v>693</v>
      </c>
      <c r="H1575" s="5">
        <v>573158952867</v>
      </c>
      <c r="J1575" s="5" t="s">
        <v>7244</v>
      </c>
      <c r="K1575" s="5" t="s">
        <v>103</v>
      </c>
      <c r="L1575" s="5" t="s">
        <v>7245</v>
      </c>
      <c r="M1575" s="5"/>
      <c r="N1575" s="6">
        <v>46046</v>
      </c>
      <c r="O1575" s="7">
        <v>0</v>
      </c>
      <c r="P1575" s="5">
        <v>1</v>
      </c>
      <c r="Q1575" s="5" t="s">
        <v>559</v>
      </c>
      <c r="R1575" s="5">
        <v>99000</v>
      </c>
      <c r="S1575" s="5">
        <v>0</v>
      </c>
      <c r="T1575" s="5">
        <v>10000</v>
      </c>
      <c r="U1575" s="5">
        <v>109000</v>
      </c>
      <c r="V1575" s="5" t="s">
        <v>7246</v>
      </c>
      <c r="W1575" s="5" t="s">
        <v>36</v>
      </c>
      <c r="X1575" s="5" t="s">
        <v>180</v>
      </c>
      <c r="Z1575" s="5" t="s">
        <v>7247</v>
      </c>
      <c r="AA1575" s="5" t="s">
        <v>44</v>
      </c>
      <c r="AC1575" s="8" t="str">
        <f>HYPERLINK("https://drive.google.com/file/d/1t8RBpRxHyhwBhOezs0M4lGC-n4urwSz1/view?usp=drivesdk", "Abrir_Factura")</f>
        <v>Abrir_Factura</v>
      </c>
      <c r="AD1575" s="9">
        <v>46046.426851851851</v>
      </c>
    </row>
    <row r="1576" spans="1:30" ht="12.5">
      <c r="A1576" s="4">
        <v>46046.432404236111</v>
      </c>
      <c r="B1576" s="5">
        <v>91314</v>
      </c>
      <c r="C1576" s="5">
        <v>1045022336</v>
      </c>
      <c r="D1576" s="5" t="s">
        <v>2710</v>
      </c>
      <c r="F1576" s="5" t="s">
        <v>2890</v>
      </c>
      <c r="H1576" s="5">
        <v>573104311662</v>
      </c>
      <c r="J1576" s="5" t="s">
        <v>7248</v>
      </c>
      <c r="K1576" s="5" t="s">
        <v>249</v>
      </c>
      <c r="L1576" s="5" t="s">
        <v>7249</v>
      </c>
      <c r="M1576" s="5">
        <v>3104311662</v>
      </c>
      <c r="N1576" s="6">
        <v>46046</v>
      </c>
      <c r="O1576" s="7">
        <v>0</v>
      </c>
      <c r="P1576" s="5">
        <v>1</v>
      </c>
      <c r="Q1576" s="5" t="s">
        <v>89</v>
      </c>
      <c r="R1576" s="5">
        <v>170000</v>
      </c>
      <c r="S1576" s="5">
        <v>0</v>
      </c>
      <c r="T1576" s="5">
        <v>10000</v>
      </c>
      <c r="U1576" s="5">
        <v>180000</v>
      </c>
      <c r="V1576" s="5" t="s">
        <v>7250</v>
      </c>
      <c r="W1576" s="5" t="s">
        <v>36</v>
      </c>
      <c r="X1576" s="5" t="s">
        <v>83</v>
      </c>
      <c r="Z1576" s="5" t="s">
        <v>7251</v>
      </c>
      <c r="AA1576" s="5" t="s">
        <v>44</v>
      </c>
      <c r="AC1576" s="8" t="str">
        <f>HYPERLINK("https://drive.google.com/file/d/1vXe0XduS3XYuVnXMvRHKtnEL6B57MeyW/view?usp=drivesdk", "Abrir_Factura")</f>
        <v>Abrir_Factura</v>
      </c>
      <c r="AD1576" s="9">
        <v>46046.443159722221</v>
      </c>
    </row>
    <row r="1577" spans="1:30" ht="12.5">
      <c r="A1577" s="4">
        <v>46046.441845254631</v>
      </c>
      <c r="B1577" s="5">
        <v>91315</v>
      </c>
      <c r="C1577" s="5">
        <v>1129569019</v>
      </c>
      <c r="D1577" s="5" t="s">
        <v>1173</v>
      </c>
      <c r="F1577" s="5" t="s">
        <v>4364</v>
      </c>
      <c r="H1577" s="5">
        <v>573012394343</v>
      </c>
      <c r="J1577" s="5" t="s">
        <v>2150</v>
      </c>
      <c r="K1577" s="5" t="s">
        <v>33</v>
      </c>
      <c r="L1577" s="5" t="s">
        <v>34</v>
      </c>
      <c r="M1577" s="5">
        <v>3012394343</v>
      </c>
      <c r="N1577" s="6">
        <v>46046</v>
      </c>
      <c r="O1577" s="7">
        <v>0.33333333333333331</v>
      </c>
      <c r="P1577" s="5">
        <v>1</v>
      </c>
      <c r="Q1577" s="5" t="s">
        <v>42</v>
      </c>
      <c r="R1577" s="5">
        <v>157000</v>
      </c>
      <c r="S1577" s="5">
        <v>0</v>
      </c>
      <c r="T1577" s="5">
        <v>0</v>
      </c>
      <c r="U1577" s="5">
        <v>157000</v>
      </c>
      <c r="V1577" s="5"/>
      <c r="W1577" s="5" t="s">
        <v>36</v>
      </c>
      <c r="X1577" s="5" t="s">
        <v>43</v>
      </c>
      <c r="AA1577" s="5" t="s">
        <v>44</v>
      </c>
      <c r="AB1577" s="5" t="s">
        <v>7252</v>
      </c>
      <c r="AC1577" s="8" t="str">
        <f>HYPERLINK("https://drive.google.com/file/d/1Nzsaml3hcCklAA_uyO5WtBWZRSuiFHn1/view?usp=drivesdk", "Abrir_Factura")</f>
        <v>Abrir_Factura</v>
      </c>
      <c r="AD1577" s="9">
        <v>46046.448136574072</v>
      </c>
    </row>
    <row r="1578" spans="1:30" ht="12.5">
      <c r="A1578" s="4">
        <v>46046.431294594906</v>
      </c>
      <c r="B1578" s="5">
        <v>91316</v>
      </c>
      <c r="C1578" s="5">
        <v>22468933</v>
      </c>
      <c r="D1578" s="5" t="s">
        <v>7253</v>
      </c>
      <c r="F1578" s="5" t="s">
        <v>3285</v>
      </c>
      <c r="H1578" s="5">
        <v>573006141481</v>
      </c>
      <c r="J1578" s="5" t="s">
        <v>7254</v>
      </c>
      <c r="K1578" s="5" t="s">
        <v>161</v>
      </c>
      <c r="L1578" s="5" t="s">
        <v>7255</v>
      </c>
      <c r="M1578" s="5"/>
      <c r="N1578" s="6">
        <v>46046</v>
      </c>
      <c r="O1578" s="7">
        <v>0.60416666666666663</v>
      </c>
      <c r="P1578" s="5">
        <v>1</v>
      </c>
      <c r="Q1578" s="5" t="s">
        <v>294</v>
      </c>
      <c r="R1578" s="5">
        <v>180000</v>
      </c>
      <c r="S1578" s="5">
        <v>0</v>
      </c>
      <c r="T1578" s="5">
        <v>8000</v>
      </c>
      <c r="U1578" s="5">
        <v>188000</v>
      </c>
      <c r="V1578" s="5" t="s">
        <v>7256</v>
      </c>
      <c r="W1578" s="5" t="s">
        <v>36</v>
      </c>
      <c r="X1578" s="5" t="s">
        <v>83</v>
      </c>
      <c r="Z1578" s="5" t="s">
        <v>7257</v>
      </c>
      <c r="AA1578" s="5" t="s">
        <v>44</v>
      </c>
      <c r="AC1578" s="8" t="str">
        <f>HYPERLINK("https://drive.google.com/file/d/1EiLt3VFuoG3RTzxg9aZwIoGmdr8sc8Rr/view?usp=drivesdk", "Abrir_Factura")</f>
        <v>Abrir_Factura</v>
      </c>
      <c r="AD1578" s="9">
        <v>46046.471689814818</v>
      </c>
    </row>
    <row r="1579" spans="1:30" ht="12.5">
      <c r="A1579" s="4">
        <v>46046.468601967594</v>
      </c>
      <c r="B1579" s="5">
        <v>91317</v>
      </c>
      <c r="C1579" s="5">
        <v>45558419</v>
      </c>
      <c r="D1579" s="5" t="s">
        <v>7258</v>
      </c>
      <c r="F1579" s="5" t="s">
        <v>7259</v>
      </c>
      <c r="H1579" s="5">
        <v>573002167124</v>
      </c>
      <c r="J1579" s="5" t="s">
        <v>7260</v>
      </c>
      <c r="K1579" s="5" t="s">
        <v>79</v>
      </c>
      <c r="L1579" s="5" t="s">
        <v>7261</v>
      </c>
      <c r="M1579" s="5" t="s">
        <v>7262</v>
      </c>
      <c r="N1579" s="6">
        <v>46046</v>
      </c>
      <c r="O1579" s="7">
        <v>0.54166666666666663</v>
      </c>
      <c r="P1579" s="5">
        <v>1</v>
      </c>
      <c r="Q1579" s="5" t="s">
        <v>1203</v>
      </c>
      <c r="R1579" s="5">
        <v>300000</v>
      </c>
      <c r="S1579" s="5">
        <v>0</v>
      </c>
      <c r="T1579" s="5">
        <v>10000</v>
      </c>
      <c r="U1579" s="5">
        <v>310000</v>
      </c>
      <c r="V1579" s="5" t="s">
        <v>7263</v>
      </c>
      <c r="W1579" s="5" t="s">
        <v>36</v>
      </c>
      <c r="X1579" s="5" t="s">
        <v>180</v>
      </c>
      <c r="Z1579" s="5" t="s">
        <v>7264</v>
      </c>
      <c r="AA1579" s="5" t="s">
        <v>44</v>
      </c>
      <c r="AC1579" s="8" t="str">
        <f>HYPERLINK("https://drive.google.com/file/d/1idz9DlyTyO2lbKlw8sebVbl2NNv0Vfmz/view?usp=drivesdk", "Abrir_Factura")</f>
        <v>Abrir_Factura</v>
      </c>
      <c r="AD1579" s="9">
        <v>46046.526458333334</v>
      </c>
    </row>
    <row r="1580" spans="1:30" ht="12.5">
      <c r="A1580" s="4">
        <v>46046.490897037038</v>
      </c>
      <c r="B1580" s="5">
        <v>91318</v>
      </c>
      <c r="C1580" s="5">
        <v>1143463085</v>
      </c>
      <c r="D1580" s="5" t="s">
        <v>486</v>
      </c>
      <c r="F1580" s="5" t="s">
        <v>7265</v>
      </c>
      <c r="H1580" s="5">
        <v>573008773600</v>
      </c>
      <c r="J1580" s="5" t="s">
        <v>7266</v>
      </c>
      <c r="K1580" s="5" t="s">
        <v>33</v>
      </c>
      <c r="L1580" s="5" t="s">
        <v>34</v>
      </c>
      <c r="M1580" s="5">
        <v>3008773600</v>
      </c>
      <c r="N1580" s="6">
        <v>46046</v>
      </c>
      <c r="O1580" s="7">
        <v>0</v>
      </c>
      <c r="P1580" s="5">
        <v>1</v>
      </c>
      <c r="Q1580" s="5" t="s">
        <v>42</v>
      </c>
      <c r="R1580" s="5">
        <v>69000</v>
      </c>
      <c r="S1580" s="5">
        <v>0</v>
      </c>
      <c r="T1580" s="5">
        <v>0</v>
      </c>
      <c r="U1580" s="5">
        <v>69000</v>
      </c>
      <c r="V1580" s="5"/>
      <c r="W1580" s="5" t="s">
        <v>36</v>
      </c>
      <c r="X1580" s="5" t="s">
        <v>83</v>
      </c>
      <c r="AA1580" s="5" t="s">
        <v>44</v>
      </c>
      <c r="AB1580" s="5" t="s">
        <v>7267</v>
      </c>
      <c r="AC1580" s="8" t="str">
        <f>HYPERLINK("https://drive.google.com/file/d/1FcqHQyXbefD-XMH-V_zqG5xp7kaqWVVx/view?usp=drivesdk", "Abrir_Factura")</f>
        <v>Abrir_Factura</v>
      </c>
      <c r="AD1580" s="9">
        <v>46046.510578703703</v>
      </c>
    </row>
    <row r="1581" spans="1:30" ht="12.5">
      <c r="A1581" s="4">
        <v>46052.507824074077</v>
      </c>
      <c r="B1581" s="5">
        <v>91319</v>
      </c>
      <c r="C1581" s="5">
        <v>901876344</v>
      </c>
      <c r="D1581" s="5" t="s">
        <v>2376</v>
      </c>
      <c r="F1581" s="5" t="s">
        <v>2159</v>
      </c>
      <c r="H1581" s="5">
        <v>573106623313</v>
      </c>
      <c r="J1581" s="5" t="s">
        <v>7268</v>
      </c>
      <c r="K1581" s="5" t="s">
        <v>33</v>
      </c>
      <c r="L1581" s="5" t="s">
        <v>34</v>
      </c>
      <c r="M1581" s="5">
        <v>3106623313</v>
      </c>
      <c r="N1581" s="6">
        <v>46046</v>
      </c>
      <c r="O1581" s="7">
        <v>0.58333333333333337</v>
      </c>
      <c r="P1581" s="5">
        <v>1</v>
      </c>
      <c r="Q1581" s="5" t="s">
        <v>42</v>
      </c>
      <c r="R1581" s="5">
        <v>46410</v>
      </c>
      <c r="S1581" s="5">
        <v>0</v>
      </c>
      <c r="T1581" s="5">
        <v>0</v>
      </c>
      <c r="U1581" s="5">
        <v>46410</v>
      </c>
      <c r="V1581" s="5"/>
      <c r="W1581" s="5" t="s">
        <v>36</v>
      </c>
      <c r="X1581" s="5" t="s">
        <v>2636</v>
      </c>
      <c r="AA1581" s="5" t="s">
        <v>1717</v>
      </c>
      <c r="AB1581" s="5" t="s">
        <v>7269</v>
      </c>
      <c r="AC1581" s="8" t="str">
        <f>HYPERLINK("https://drive.google.com/file/d/1EIYurYS8Looueq2TPkyT1PY8rz10KHHB/view?usp=drivesdk", "Abrir_Factura")</f>
        <v>Abrir_Factura</v>
      </c>
      <c r="AD1581" s="9">
        <v>46052.776284722226</v>
      </c>
    </row>
    <row r="1582" spans="1:30" ht="12.5">
      <c r="A1582" s="4">
        <v>46046.39640633102</v>
      </c>
      <c r="B1582" s="5">
        <v>91320</v>
      </c>
      <c r="C1582" s="5">
        <v>32656168</v>
      </c>
      <c r="D1582" s="5" t="s">
        <v>7164</v>
      </c>
      <c r="F1582" s="5" t="s">
        <v>7165</v>
      </c>
      <c r="H1582" s="5">
        <v>573153325830</v>
      </c>
      <c r="J1582" s="5" t="s">
        <v>7166</v>
      </c>
      <c r="K1582" s="5" t="s">
        <v>33</v>
      </c>
      <c r="L1582" s="5" t="s">
        <v>34</v>
      </c>
      <c r="M1582" s="5">
        <v>3153325830</v>
      </c>
      <c r="N1582" s="6">
        <v>46046</v>
      </c>
      <c r="O1582" s="7">
        <v>0</v>
      </c>
      <c r="P1582" s="5">
        <v>1</v>
      </c>
      <c r="Q1582" s="5" t="s">
        <v>42</v>
      </c>
      <c r="R1582" s="5">
        <v>81000</v>
      </c>
      <c r="S1582" s="5">
        <v>0</v>
      </c>
      <c r="T1582" s="5">
        <v>0</v>
      </c>
      <c r="U1582" s="5">
        <v>81000</v>
      </c>
      <c r="V1582" s="5"/>
      <c r="W1582" s="5" t="s">
        <v>36</v>
      </c>
      <c r="X1582" s="5" t="s">
        <v>1705</v>
      </c>
      <c r="AA1582" s="5" t="s">
        <v>44</v>
      </c>
      <c r="AB1582" s="5" t="s">
        <v>7270</v>
      </c>
      <c r="AC1582" s="8" t="str">
        <f>HYPERLINK("https://drive.google.com/file/d/1dBu6x2DQbBflHnp4QK-hRfKIxYSCNUnK/view?usp=drivesdk", "Abrir_Factura")</f>
        <v>Abrir_Factura</v>
      </c>
      <c r="AD1582" s="9">
        <v>46046.513344907406</v>
      </c>
    </row>
    <row r="1583" spans="1:30" ht="12.5">
      <c r="A1583" s="4">
        <v>46046.51077547454</v>
      </c>
      <c r="B1583" s="5">
        <v>91321</v>
      </c>
      <c r="C1583" s="5">
        <v>1010135853</v>
      </c>
      <c r="D1583" s="5" t="s">
        <v>617</v>
      </c>
      <c r="F1583" s="5" t="s">
        <v>7271</v>
      </c>
      <c r="H1583" s="5">
        <v>573002963878</v>
      </c>
      <c r="J1583" s="5" t="s">
        <v>7272</v>
      </c>
      <c r="K1583" s="5" t="s">
        <v>351</v>
      </c>
      <c r="L1583" s="5" t="s">
        <v>7273</v>
      </c>
      <c r="M1583" s="5">
        <v>3002963878</v>
      </c>
      <c r="N1583" s="6">
        <v>46046</v>
      </c>
      <c r="O1583" s="7">
        <v>0</v>
      </c>
      <c r="P1583" s="5">
        <v>1</v>
      </c>
      <c r="Q1583" s="5" t="s">
        <v>375</v>
      </c>
      <c r="R1583" s="5">
        <v>80000</v>
      </c>
      <c r="S1583" s="5">
        <v>0</v>
      </c>
      <c r="T1583" s="5">
        <v>12000</v>
      </c>
      <c r="U1583" s="5">
        <v>92000</v>
      </c>
      <c r="V1583" s="5" t="s">
        <v>7274</v>
      </c>
      <c r="W1583" s="5" t="s">
        <v>36</v>
      </c>
      <c r="X1583" s="5" t="s">
        <v>83</v>
      </c>
      <c r="AA1583" s="5" t="s">
        <v>44</v>
      </c>
      <c r="AC1583" s="8" t="str">
        <f>HYPERLINK("https://drive.google.com/file/d/1G1JOT5MhaexFMtb4ZGCSVB6XEezVFxf_/view?usp=drivesdk", "Abrir_Factura")</f>
        <v>Abrir_Factura</v>
      </c>
      <c r="AD1583" s="9">
        <v>46046.521435185183</v>
      </c>
    </row>
    <row r="1584" spans="1:30" ht="12.5">
      <c r="A1584" s="4">
        <v>46046.507478159721</v>
      </c>
      <c r="B1584" s="5">
        <v>91322</v>
      </c>
      <c r="C1584" s="5">
        <v>1143424957</v>
      </c>
      <c r="D1584" s="5" t="s">
        <v>290</v>
      </c>
      <c r="F1584" s="5" t="s">
        <v>2583</v>
      </c>
      <c r="H1584" s="5">
        <v>971543788341</v>
      </c>
      <c r="J1584" s="5" t="s">
        <v>7275</v>
      </c>
      <c r="K1584" s="5" t="s">
        <v>79</v>
      </c>
      <c r="L1584" s="5" t="s">
        <v>7276</v>
      </c>
      <c r="M1584" s="5">
        <v>3002864979</v>
      </c>
      <c r="N1584" s="6">
        <v>46046</v>
      </c>
      <c r="O1584" s="7">
        <v>0.58333333333333337</v>
      </c>
      <c r="P1584" s="5">
        <v>1</v>
      </c>
      <c r="Q1584" s="5" t="s">
        <v>7277</v>
      </c>
      <c r="R1584" s="5">
        <v>275000</v>
      </c>
      <c r="S1584" s="5">
        <v>0</v>
      </c>
      <c r="T1584" s="5">
        <v>10000</v>
      </c>
      <c r="U1584" s="5">
        <v>285000</v>
      </c>
      <c r="V1584" s="5" t="s">
        <v>7278</v>
      </c>
      <c r="W1584" s="5" t="s">
        <v>36</v>
      </c>
      <c r="X1584" s="5" t="s">
        <v>83</v>
      </c>
      <c r="Z1584" s="5" t="s">
        <v>7279</v>
      </c>
      <c r="AA1584" s="5" t="s">
        <v>44</v>
      </c>
      <c r="AB1584" s="5" t="s">
        <v>7280</v>
      </c>
      <c r="AC1584" s="8" t="str">
        <f>HYPERLINK("https://drive.google.com/file/d/101t31jAt3CyZ1iDm_sAU3bDAfEFXyiRM/view?usp=drivesdk", "Abrir_Factura")</f>
        <v>Abrir_Factura</v>
      </c>
      <c r="AD1584" s="9">
        <v>46046.524710648147</v>
      </c>
    </row>
    <row r="1585" spans="1:30" ht="12.5">
      <c r="A1585" s="4">
        <v>46046.514967199073</v>
      </c>
      <c r="B1585" s="5">
        <v>91323</v>
      </c>
      <c r="C1585" s="5">
        <v>1192784904</v>
      </c>
      <c r="D1585" s="5" t="s">
        <v>961</v>
      </c>
      <c r="F1585" s="5" t="s">
        <v>962</v>
      </c>
      <c r="H1585" s="5">
        <v>573017951042</v>
      </c>
      <c r="J1585" s="5" t="s">
        <v>963</v>
      </c>
      <c r="K1585" s="5" t="s">
        <v>401</v>
      </c>
      <c r="L1585" s="5" t="s">
        <v>7281</v>
      </c>
      <c r="M1585" s="5">
        <v>3015303170</v>
      </c>
      <c r="N1585" s="6">
        <v>46046</v>
      </c>
      <c r="O1585" s="7">
        <v>0.59375</v>
      </c>
      <c r="P1585" s="5">
        <v>1</v>
      </c>
      <c r="Q1585" s="5" t="s">
        <v>178</v>
      </c>
      <c r="R1585" s="5">
        <v>110000</v>
      </c>
      <c r="S1585" s="5">
        <v>0</v>
      </c>
      <c r="T1585" s="5">
        <v>12000</v>
      </c>
      <c r="U1585" s="5">
        <v>122000</v>
      </c>
      <c r="V1585" s="5" t="s">
        <v>7282</v>
      </c>
      <c r="W1585" s="5" t="s">
        <v>36</v>
      </c>
      <c r="X1585" s="5" t="s">
        <v>83</v>
      </c>
      <c r="Z1585" s="5" t="s">
        <v>967</v>
      </c>
      <c r="AA1585" s="5" t="s">
        <v>44</v>
      </c>
      <c r="AC1585" s="8" t="str">
        <f>HYPERLINK("https://drive.google.com/file/d/1I-k30CjPbdC2WlhEjD-OWYxjp5gmJOHt/view?usp=drivesdk", "Abrir_Factura")</f>
        <v>Abrir_Factura</v>
      </c>
      <c r="AD1585" s="9">
        <v>46046.538043981483</v>
      </c>
    </row>
    <row r="1586" spans="1:30" ht="12.5">
      <c r="A1586" s="4">
        <v>46046.536032743054</v>
      </c>
      <c r="B1586" s="5">
        <v>91324</v>
      </c>
      <c r="C1586" s="5">
        <v>1052975112</v>
      </c>
      <c r="D1586" s="5" t="s">
        <v>7283</v>
      </c>
      <c r="F1586" s="5" t="s">
        <v>218</v>
      </c>
      <c r="H1586" s="5">
        <v>573053230353</v>
      </c>
      <c r="J1586" s="5" t="s">
        <v>7284</v>
      </c>
      <c r="K1586" s="5" t="s">
        <v>33</v>
      </c>
      <c r="L1586" s="5" t="s">
        <v>34</v>
      </c>
      <c r="M1586" s="5">
        <v>3053230353</v>
      </c>
      <c r="N1586" s="6">
        <v>46046</v>
      </c>
      <c r="O1586" s="7">
        <v>0</v>
      </c>
      <c r="P1586" s="5">
        <v>1</v>
      </c>
      <c r="Q1586" s="5" t="s">
        <v>210</v>
      </c>
      <c r="R1586" s="5">
        <v>170000</v>
      </c>
      <c r="S1586" s="5">
        <v>0</v>
      </c>
      <c r="T1586" s="5">
        <v>0</v>
      </c>
      <c r="U1586" s="5">
        <v>170000</v>
      </c>
      <c r="V1586" s="5"/>
      <c r="W1586" s="5" t="s">
        <v>36</v>
      </c>
      <c r="X1586" s="5" t="s">
        <v>196</v>
      </c>
      <c r="AA1586" s="5" t="s">
        <v>1717</v>
      </c>
      <c r="AC1586" s="8" t="str">
        <f>HYPERLINK("https://drive.google.com/file/d/1AI87VrFlRjG95lKM8Vc7OmIZ_RcxB1N6/view?usp=drivesdk", "Abrir_Factura")</f>
        <v>Abrir_Factura</v>
      </c>
      <c r="AD1586" s="9">
        <v>46046.536898148152</v>
      </c>
    </row>
    <row r="1587" spans="1:30" ht="12.5">
      <c r="A1587" s="4">
        <v>46046.541159594912</v>
      </c>
      <c r="B1587" s="5">
        <v>91325</v>
      </c>
      <c r="C1587" s="5">
        <v>1140873774</v>
      </c>
      <c r="D1587" s="5" t="s">
        <v>7285</v>
      </c>
      <c r="F1587" s="5" t="s">
        <v>7286</v>
      </c>
      <c r="H1587" s="5">
        <v>573106144621</v>
      </c>
      <c r="J1587" s="5" t="s">
        <v>7287</v>
      </c>
      <c r="K1587" s="5" t="s">
        <v>33</v>
      </c>
      <c r="L1587" s="5" t="s">
        <v>34</v>
      </c>
      <c r="M1587" s="5">
        <v>3106144621</v>
      </c>
      <c r="N1587" s="6">
        <v>46046</v>
      </c>
      <c r="O1587" s="7">
        <v>0.54166666666666663</v>
      </c>
      <c r="P1587" s="5">
        <v>1</v>
      </c>
      <c r="Q1587" s="5" t="s">
        <v>42</v>
      </c>
      <c r="R1587" s="5">
        <v>8500</v>
      </c>
      <c r="S1587" s="5">
        <v>0</v>
      </c>
      <c r="T1587" s="5">
        <v>0</v>
      </c>
      <c r="U1587" s="5">
        <v>8500</v>
      </c>
      <c r="V1587" s="5"/>
      <c r="W1587" s="5" t="s">
        <v>36</v>
      </c>
      <c r="X1587" s="5" t="s">
        <v>1705</v>
      </c>
      <c r="AA1587" s="5" t="s">
        <v>1717</v>
      </c>
      <c r="AB1587" s="5" t="s">
        <v>525</v>
      </c>
      <c r="AC1587" s="8" t="str">
        <f>HYPERLINK("https://drive.google.com/file/d/1kFwmxhSCouJ71YwM1ZJehNK8oBv9BXyM/view?usp=drivesdk", "Abrir_Factura")</f>
        <v>Abrir_Factura</v>
      </c>
      <c r="AD1587" s="9">
        <v>46046.543657407405</v>
      </c>
    </row>
    <row r="1588" spans="1:30" ht="12.5">
      <c r="A1588" s="4">
        <v>46046.553634942131</v>
      </c>
      <c r="B1588" s="5">
        <v>91326</v>
      </c>
      <c r="C1588" s="5">
        <v>1140867368</v>
      </c>
      <c r="D1588" s="5" t="s">
        <v>318</v>
      </c>
      <c r="F1588" s="5" t="s">
        <v>7288</v>
      </c>
      <c r="H1588" s="5">
        <v>573156280239</v>
      </c>
      <c r="J1588" s="5" t="s">
        <v>7289</v>
      </c>
      <c r="K1588" s="5" t="s">
        <v>33</v>
      </c>
      <c r="L1588" s="5" t="s">
        <v>34</v>
      </c>
      <c r="M1588" s="5">
        <v>3156280239</v>
      </c>
      <c r="N1588" s="6">
        <v>46046</v>
      </c>
      <c r="O1588" s="7">
        <v>0.56111111111111112</v>
      </c>
      <c r="P1588" s="5">
        <v>1</v>
      </c>
      <c r="Q1588" s="5" t="s">
        <v>7290</v>
      </c>
      <c r="R1588" s="5">
        <v>120000</v>
      </c>
      <c r="S1588" s="5">
        <v>0</v>
      </c>
      <c r="T1588" s="5">
        <v>0</v>
      </c>
      <c r="U1588" s="5">
        <v>120000</v>
      </c>
      <c r="V1588" s="5"/>
      <c r="W1588" s="5" t="s">
        <v>36</v>
      </c>
      <c r="X1588" s="5" t="s">
        <v>83</v>
      </c>
      <c r="AA1588" s="5" t="s">
        <v>1717</v>
      </c>
      <c r="AB1588" s="5" t="s">
        <v>7291</v>
      </c>
      <c r="AC1588" s="8" t="str">
        <f>HYPERLINK("https://drive.google.com/file/d/1ObOt7Dgo_I9kDTmU9By2NRl3KWd5m-zR/view?usp=drivesdk", "Abrir_Factura")</f>
        <v>Abrir_Factura</v>
      </c>
      <c r="AD1588" s="9">
        <v>46046.559108796297</v>
      </c>
    </row>
    <row r="1589" spans="1:30" ht="12.5">
      <c r="A1589" s="4">
        <v>46046.574383182873</v>
      </c>
      <c r="B1589" s="5">
        <v>91327</v>
      </c>
      <c r="C1589" s="5">
        <v>1143463898</v>
      </c>
      <c r="D1589" s="5" t="s">
        <v>7292</v>
      </c>
      <c r="F1589" s="5" t="s">
        <v>1585</v>
      </c>
      <c r="H1589" s="5">
        <v>573232891009</v>
      </c>
      <c r="J1589" s="5" t="s">
        <v>7293</v>
      </c>
      <c r="K1589" s="5" t="s">
        <v>33</v>
      </c>
      <c r="L1589" s="5" t="s">
        <v>34</v>
      </c>
      <c r="M1589" s="5">
        <v>3232891009</v>
      </c>
      <c r="N1589" s="6">
        <v>46046</v>
      </c>
      <c r="O1589" s="7">
        <v>0.58333333333333337</v>
      </c>
      <c r="P1589" s="5">
        <v>1</v>
      </c>
      <c r="Q1589" s="5" t="s">
        <v>178</v>
      </c>
      <c r="R1589" s="5">
        <v>110000</v>
      </c>
      <c r="S1589" s="5">
        <v>0</v>
      </c>
      <c r="T1589" s="5">
        <v>0</v>
      </c>
      <c r="U1589" s="5">
        <v>110000</v>
      </c>
      <c r="V1589" s="5" t="s">
        <v>7294</v>
      </c>
      <c r="W1589" s="5" t="s">
        <v>36</v>
      </c>
      <c r="X1589" s="5" t="s">
        <v>1705</v>
      </c>
      <c r="AA1589" s="5" t="s">
        <v>1717</v>
      </c>
      <c r="AC1589" s="8" t="str">
        <f>HYPERLINK("https://drive.google.com/file/d/1nj0HADFwBGmfpFuC33564hdvms8L2uIY/view?usp=drivesdk", "Abrir_Factura")</f>
        <v>Abrir_Factura</v>
      </c>
      <c r="AD1589" s="9">
        <v>46046.577418981484</v>
      </c>
    </row>
    <row r="1590" spans="1:30" ht="12.5">
      <c r="A1590" s="4">
        <v>46046.599115231482</v>
      </c>
      <c r="B1590" s="5">
        <v>91328</v>
      </c>
      <c r="C1590" s="5">
        <v>1140814977</v>
      </c>
      <c r="D1590" s="5" t="s">
        <v>5856</v>
      </c>
      <c r="F1590" s="5" t="s">
        <v>7295</v>
      </c>
      <c r="H1590" s="5">
        <v>573174406045</v>
      </c>
      <c r="J1590" s="5" t="s">
        <v>7296</v>
      </c>
      <c r="K1590" s="5" t="s">
        <v>33</v>
      </c>
      <c r="L1590" s="5" t="s">
        <v>34</v>
      </c>
      <c r="M1590" s="5">
        <v>3174406045</v>
      </c>
      <c r="N1590" s="6">
        <v>46046</v>
      </c>
      <c r="O1590" s="7">
        <v>0</v>
      </c>
      <c r="P1590" s="5">
        <v>1</v>
      </c>
      <c r="Q1590" s="5" t="s">
        <v>42</v>
      </c>
      <c r="R1590" s="5">
        <v>40000</v>
      </c>
      <c r="S1590" s="5">
        <v>0</v>
      </c>
      <c r="T1590" s="5">
        <v>0</v>
      </c>
      <c r="U1590" s="5">
        <v>40000</v>
      </c>
      <c r="V1590" s="5"/>
      <c r="W1590" s="5" t="s">
        <v>36</v>
      </c>
      <c r="X1590" s="5" t="s">
        <v>1705</v>
      </c>
      <c r="AA1590" s="5" t="s">
        <v>1717</v>
      </c>
      <c r="AB1590" s="5" t="s">
        <v>120</v>
      </c>
      <c r="AC1590" s="8" t="str">
        <f>HYPERLINK("https://drive.google.com/file/d/1JuxYU2iDnmMgPzZejwRAfNN3NA-soVCY/view?usp=drivesdk", "Abrir_Factura")</f>
        <v>Abrir_Factura</v>
      </c>
      <c r="AD1590" s="9">
        <v>46046.599942129629</v>
      </c>
    </row>
    <row r="1591" spans="1:30" ht="12.5">
      <c r="A1591" s="4">
        <v>46046.592101759263</v>
      </c>
      <c r="B1591" s="5">
        <v>91329</v>
      </c>
      <c r="C1591" s="5">
        <v>55313414</v>
      </c>
      <c r="D1591" s="5" t="s">
        <v>7297</v>
      </c>
      <c r="F1591" s="5" t="s">
        <v>7298</v>
      </c>
      <c r="H1591" s="5">
        <v>573104186705</v>
      </c>
      <c r="J1591" s="5" t="s">
        <v>7299</v>
      </c>
      <c r="K1591" s="5" t="s">
        <v>6905</v>
      </c>
      <c r="L1591" s="5" t="s">
        <v>7300</v>
      </c>
      <c r="M1591" s="5">
        <v>3016505481</v>
      </c>
      <c r="N1591" s="6">
        <v>46046</v>
      </c>
      <c r="O1591" s="7">
        <v>0</v>
      </c>
      <c r="P1591" s="5">
        <v>1</v>
      </c>
      <c r="Q1591" s="5" t="s">
        <v>187</v>
      </c>
      <c r="R1591" s="5">
        <v>220000</v>
      </c>
      <c r="S1591" s="5">
        <v>0</v>
      </c>
      <c r="T1591" s="5">
        <v>25000</v>
      </c>
      <c r="U1591" s="5">
        <v>245000</v>
      </c>
      <c r="V1591" s="5" t="s">
        <v>7301</v>
      </c>
      <c r="W1591" s="5" t="s">
        <v>36</v>
      </c>
      <c r="X1591" s="5" t="s">
        <v>83</v>
      </c>
      <c r="Z1591" s="5" t="s">
        <v>7302</v>
      </c>
      <c r="AA1591" s="5" t="s">
        <v>44</v>
      </c>
      <c r="AB1591" s="5" t="s">
        <v>7303</v>
      </c>
      <c r="AC1591" s="8" t="str">
        <f>HYPERLINK("https://drive.google.com/file/d/1gk1LwlshhIeLIHNqKQ-xE7CYnv3_zhIM/view?usp=drivesdk", "Abrir_Factura")</f>
        <v>Abrir_Factura</v>
      </c>
      <c r="AD1591" s="9">
        <v>46046.608113425929</v>
      </c>
    </row>
    <row r="1592" spans="1:30" ht="12.5">
      <c r="A1592" s="4">
        <v>46046.620232488422</v>
      </c>
      <c r="B1592" s="5">
        <v>91330</v>
      </c>
      <c r="C1592" s="5">
        <v>1140875116</v>
      </c>
      <c r="D1592" s="5" t="s">
        <v>7304</v>
      </c>
      <c r="F1592" s="5" t="s">
        <v>7305</v>
      </c>
      <c r="H1592" s="5">
        <v>573186297234</v>
      </c>
      <c r="J1592" s="5" t="s">
        <v>7306</v>
      </c>
      <c r="K1592" s="5" t="s">
        <v>161</v>
      </c>
      <c r="L1592" s="5" t="s">
        <v>7307</v>
      </c>
      <c r="M1592" s="5"/>
      <c r="N1592" s="6">
        <v>46046</v>
      </c>
      <c r="O1592" s="7">
        <v>0.66666666666666663</v>
      </c>
      <c r="P1592" s="5">
        <v>1</v>
      </c>
      <c r="Q1592" s="5" t="s">
        <v>50</v>
      </c>
      <c r="R1592" s="5">
        <v>220000</v>
      </c>
      <c r="S1592" s="5">
        <v>0</v>
      </c>
      <c r="T1592" s="5">
        <v>8000</v>
      </c>
      <c r="U1592" s="5">
        <v>228000</v>
      </c>
      <c r="V1592" s="5"/>
      <c r="W1592" s="5" t="s">
        <v>36</v>
      </c>
      <c r="X1592" s="5" t="s">
        <v>83</v>
      </c>
      <c r="AA1592" s="5" t="s">
        <v>44</v>
      </c>
      <c r="AC1592" s="8" t="str">
        <f>HYPERLINK("https://drive.google.com/file/d/1RFer8DGz7d5_lbunJwnNTd8VH_f8U9Ql/view?usp=drivesdk", "Abrir_Factura")</f>
        <v>Abrir_Factura</v>
      </c>
      <c r="AD1592" s="9">
        <v>46046.62400462963</v>
      </c>
    </row>
    <row r="1593" spans="1:30" ht="12.5">
      <c r="A1593" s="4">
        <v>46046.649527453701</v>
      </c>
      <c r="B1593" s="5">
        <v>91331</v>
      </c>
      <c r="C1593" s="5">
        <v>22478816</v>
      </c>
      <c r="D1593" s="5" t="s">
        <v>7308</v>
      </c>
      <c r="F1593" s="5" t="s">
        <v>7309</v>
      </c>
      <c r="H1593" s="5">
        <v>573157350200</v>
      </c>
      <c r="J1593" s="5" t="s">
        <v>7310</v>
      </c>
      <c r="K1593" s="5" t="s">
        <v>185</v>
      </c>
      <c r="L1593" s="5" t="s">
        <v>7311</v>
      </c>
      <c r="M1593" s="5">
        <v>3008161372</v>
      </c>
      <c r="N1593" s="6">
        <v>46046</v>
      </c>
      <c r="O1593" s="7">
        <v>0</v>
      </c>
      <c r="P1593" s="5">
        <v>1</v>
      </c>
      <c r="Q1593" s="5" t="s">
        <v>309</v>
      </c>
      <c r="R1593" s="5">
        <v>88000</v>
      </c>
      <c r="S1593" s="5">
        <v>0</v>
      </c>
      <c r="T1593" s="5">
        <v>8000</v>
      </c>
      <c r="U1593" s="5">
        <v>96000</v>
      </c>
      <c r="V1593" s="5" t="s">
        <v>7312</v>
      </c>
      <c r="W1593" s="5" t="s">
        <v>36</v>
      </c>
      <c r="X1593" s="5" t="s">
        <v>83</v>
      </c>
      <c r="Z1593" s="5" t="s">
        <v>7313</v>
      </c>
      <c r="AA1593" s="5" t="s">
        <v>44</v>
      </c>
      <c r="AB1593" s="5" t="s">
        <v>7314</v>
      </c>
      <c r="AC1593" s="8" t="str">
        <f>HYPERLINK("https://drive.google.com/file/d/139PWw1Tu_IeQMyMxZQm-W0WXr48CU8ol/view?usp=drivesdk", "Abrir_Factura")</f>
        <v>Abrir_Factura</v>
      </c>
      <c r="AD1593" s="9">
        <v>46046.65552083333</v>
      </c>
    </row>
    <row r="1594" spans="1:30" ht="12.5">
      <c r="A1594" s="4">
        <v>46046.68742545139</v>
      </c>
      <c r="B1594" s="5">
        <v>91332</v>
      </c>
      <c r="C1594" s="5">
        <v>1234090294</v>
      </c>
      <c r="D1594" s="5" t="s">
        <v>7315</v>
      </c>
      <c r="F1594" s="5" t="s">
        <v>7316</v>
      </c>
      <c r="H1594" s="5">
        <v>573013289177</v>
      </c>
      <c r="J1594" s="5" t="s">
        <v>7317</v>
      </c>
      <c r="K1594" s="5" t="s">
        <v>33</v>
      </c>
      <c r="L1594" s="5" t="s">
        <v>34</v>
      </c>
      <c r="M1594" s="5" t="s">
        <v>7318</v>
      </c>
      <c r="N1594" s="6">
        <v>46046</v>
      </c>
      <c r="O1594" s="7">
        <v>0</v>
      </c>
      <c r="P1594" s="5">
        <v>1</v>
      </c>
      <c r="Q1594" s="5" t="s">
        <v>7319</v>
      </c>
      <c r="R1594" s="5">
        <v>140000</v>
      </c>
      <c r="S1594" s="5">
        <v>0</v>
      </c>
      <c r="T1594" s="5">
        <v>0</v>
      </c>
      <c r="U1594" s="5">
        <v>140000</v>
      </c>
      <c r="V1594" s="5" t="s">
        <v>7320</v>
      </c>
      <c r="W1594" s="5" t="s">
        <v>36</v>
      </c>
      <c r="X1594" s="5" t="s">
        <v>83</v>
      </c>
      <c r="Z1594" s="5" t="s">
        <v>7321</v>
      </c>
      <c r="AA1594" s="5" t="s">
        <v>69</v>
      </c>
      <c r="AC1594" s="8" t="str">
        <f>HYPERLINK("https://drive.google.com/file/d/1o-QP3kX7vSAu2mlW6Pe5IwaeWKBWmgfR/view?usp=drivesdk", "Abrir_Factura")</f>
        <v>Abrir_Factura</v>
      </c>
      <c r="AD1594" s="9">
        <v>46046.688159722224</v>
      </c>
    </row>
    <row r="1595" spans="1:30" ht="12.5">
      <c r="A1595" s="4">
        <v>46046.700694270832</v>
      </c>
      <c r="B1595" s="5">
        <v>91333</v>
      </c>
      <c r="C1595" s="5">
        <v>1038412070</v>
      </c>
      <c r="D1595" s="5" t="s">
        <v>7322</v>
      </c>
      <c r="F1595" s="5" t="s">
        <v>5216</v>
      </c>
      <c r="H1595" s="5">
        <v>573022203516</v>
      </c>
      <c r="J1595" s="5" t="s">
        <v>7323</v>
      </c>
      <c r="K1595" s="5" t="s">
        <v>33</v>
      </c>
      <c r="L1595" s="5" t="s">
        <v>34</v>
      </c>
      <c r="M1595" s="5">
        <v>3022203516</v>
      </c>
      <c r="N1595" s="6">
        <v>46046</v>
      </c>
      <c r="O1595" s="7">
        <v>0</v>
      </c>
      <c r="P1595" s="5">
        <v>1</v>
      </c>
      <c r="Q1595" s="5" t="s">
        <v>42</v>
      </c>
      <c r="R1595" s="5">
        <v>105000</v>
      </c>
      <c r="S1595" s="5">
        <v>0</v>
      </c>
      <c r="T1595" s="5">
        <v>0</v>
      </c>
      <c r="U1595" s="5">
        <v>105000</v>
      </c>
      <c r="V1595" s="5"/>
      <c r="W1595" s="5" t="s">
        <v>36</v>
      </c>
      <c r="X1595" s="5" t="s">
        <v>1705</v>
      </c>
      <c r="AA1595" s="5" t="s">
        <v>1717</v>
      </c>
      <c r="AB1595" s="5" t="s">
        <v>7324</v>
      </c>
      <c r="AC1595" s="8" t="str">
        <f>HYPERLINK("https://drive.google.com/file/d/1mHbJTm01eXfjz25n3Jxrwq8QSufQvPx8/view?usp=drivesdk", "Abrir_Factura")</f>
        <v>Abrir_Factura</v>
      </c>
      <c r="AD1595" s="9">
        <v>46046.701412037037</v>
      </c>
    </row>
    <row r="1596" spans="1:30" ht="12.5">
      <c r="A1596" s="4">
        <v>46048.329281168983</v>
      </c>
      <c r="B1596" s="5">
        <v>91334</v>
      </c>
      <c r="C1596" s="5">
        <v>1143159641</v>
      </c>
      <c r="D1596" s="5" t="s">
        <v>6908</v>
      </c>
      <c r="F1596" s="5" t="s">
        <v>7325</v>
      </c>
      <c r="H1596" s="5">
        <v>573002089175</v>
      </c>
      <c r="J1596" s="5" t="s">
        <v>7326</v>
      </c>
      <c r="K1596" s="5" t="s">
        <v>1595</v>
      </c>
      <c r="L1596" s="5" t="s">
        <v>7327</v>
      </c>
      <c r="M1596" s="5">
        <v>3053523401</v>
      </c>
      <c r="N1596" s="6">
        <v>46050</v>
      </c>
      <c r="O1596" s="7">
        <v>0.41666666666666669</v>
      </c>
      <c r="P1596" s="5">
        <v>1</v>
      </c>
      <c r="Q1596" s="5" t="s">
        <v>559</v>
      </c>
      <c r="R1596" s="5">
        <v>99000</v>
      </c>
      <c r="S1596" s="5">
        <v>0</v>
      </c>
      <c r="T1596" s="5">
        <v>20000</v>
      </c>
      <c r="U1596" s="5">
        <v>119000</v>
      </c>
      <c r="V1596" s="5" t="s">
        <v>7328</v>
      </c>
      <c r="W1596" s="5" t="s">
        <v>36</v>
      </c>
      <c r="X1596" s="5" t="s">
        <v>67</v>
      </c>
      <c r="Z1596" s="5" t="s">
        <v>7329</v>
      </c>
      <c r="AA1596" s="5" t="s">
        <v>44</v>
      </c>
      <c r="AC1596" s="8" t="str">
        <f>HYPERLINK("https://drive.google.com/file/d/1vJzLuJnXraFL2GG2xElUJa0ukXV_qGH1/view?usp=drivesdk", "Abrir_Factura")</f>
        <v>Abrir_Factura</v>
      </c>
      <c r="AD1596" s="9">
        <v>46048.337233796294</v>
      </c>
    </row>
    <row r="1597" spans="1:30" ht="12.5">
      <c r="A1597" s="4">
        <v>46048.325938275462</v>
      </c>
      <c r="B1597" s="5">
        <v>91335</v>
      </c>
      <c r="C1597" s="5">
        <v>1143158154</v>
      </c>
      <c r="D1597" s="5" t="s">
        <v>7330</v>
      </c>
      <c r="F1597" s="5" t="s">
        <v>7331</v>
      </c>
      <c r="H1597" s="5">
        <v>573219480585</v>
      </c>
      <c r="J1597" s="5" t="s">
        <v>7332</v>
      </c>
      <c r="K1597" s="5" t="s">
        <v>249</v>
      </c>
      <c r="L1597" s="5" t="s">
        <v>7333</v>
      </c>
      <c r="M1597" s="5">
        <v>3182852312</v>
      </c>
      <c r="N1597" s="6">
        <v>46050</v>
      </c>
      <c r="O1597" s="7">
        <v>0.32291666666666669</v>
      </c>
      <c r="P1597" s="5">
        <v>1</v>
      </c>
      <c r="Q1597" s="5" t="s">
        <v>65</v>
      </c>
      <c r="R1597" s="5">
        <v>80000</v>
      </c>
      <c r="S1597" s="5">
        <v>0</v>
      </c>
      <c r="T1597" s="5">
        <v>10000</v>
      </c>
      <c r="U1597" s="5">
        <v>90000</v>
      </c>
      <c r="V1597" s="5" t="s">
        <v>7334</v>
      </c>
      <c r="W1597" s="5" t="s">
        <v>36</v>
      </c>
      <c r="X1597" s="5" t="s">
        <v>67</v>
      </c>
      <c r="Z1597" s="5" t="s">
        <v>7335</v>
      </c>
      <c r="AA1597" s="5" t="s">
        <v>44</v>
      </c>
      <c r="AB1597" s="5" t="s">
        <v>7336</v>
      </c>
      <c r="AC1597" s="8" t="str">
        <f>HYPERLINK("https://drive.google.com/file/d/1RKRgqbXB9QMFJPYTSTE9X7QLONezrpT9/view?usp=drivesdk", "Abrir_Factura")</f>
        <v>Abrir_Factura</v>
      </c>
      <c r="AD1597" s="9">
        <v>46048.690729166665</v>
      </c>
    </row>
    <row r="1598" spans="1:30" ht="12.5">
      <c r="A1598" s="4">
        <v>46048.357283900463</v>
      </c>
      <c r="B1598" s="5">
        <v>91336</v>
      </c>
      <c r="C1598" s="5">
        <v>1002357638</v>
      </c>
      <c r="D1598" s="5" t="s">
        <v>5319</v>
      </c>
      <c r="F1598" s="5" t="s">
        <v>7141</v>
      </c>
      <c r="H1598" s="5">
        <v>573117821540</v>
      </c>
      <c r="J1598" s="5" t="s">
        <v>7337</v>
      </c>
      <c r="K1598" s="5" t="s">
        <v>185</v>
      </c>
      <c r="L1598" s="5" t="s">
        <v>7338</v>
      </c>
      <c r="M1598" s="5">
        <v>3117821540</v>
      </c>
      <c r="N1598" s="6">
        <v>46048</v>
      </c>
      <c r="O1598" s="7">
        <v>0.375</v>
      </c>
      <c r="P1598" s="5">
        <v>1</v>
      </c>
      <c r="Q1598" s="5" t="s">
        <v>75</v>
      </c>
      <c r="R1598" s="5">
        <v>72000</v>
      </c>
      <c r="S1598" s="5">
        <v>0</v>
      </c>
      <c r="T1598" s="5">
        <v>8000</v>
      </c>
      <c r="U1598" s="5">
        <v>80000</v>
      </c>
      <c r="V1598" s="5" t="s">
        <v>7339</v>
      </c>
      <c r="W1598" s="5" t="s">
        <v>36</v>
      </c>
      <c r="X1598" s="5" t="s">
        <v>67</v>
      </c>
      <c r="Z1598" s="5" t="s">
        <v>7340</v>
      </c>
      <c r="AA1598" s="5" t="s">
        <v>44</v>
      </c>
      <c r="AC1598" s="8" t="str">
        <f>HYPERLINK("https://drive.google.com/file/d/1Zyt3YaZE3sAA1jL9NxrDD0A9ewQ1GS7Q/view?usp=drivesdk", "Abrir_Factura")</f>
        <v>Abrir_Factura</v>
      </c>
      <c r="AD1598" s="9">
        <v>46048.69835648148</v>
      </c>
    </row>
    <row r="1599" spans="1:30" ht="12.5">
      <c r="A1599" s="4">
        <v>46048.344871041671</v>
      </c>
      <c r="B1599" s="5">
        <v>91337</v>
      </c>
      <c r="C1599" s="5">
        <v>1003382795</v>
      </c>
      <c r="D1599" s="5" t="s">
        <v>7341</v>
      </c>
      <c r="F1599" s="5" t="s">
        <v>7342</v>
      </c>
      <c r="H1599" s="5">
        <v>573104556702</v>
      </c>
      <c r="J1599" s="5" t="s">
        <v>7343</v>
      </c>
      <c r="K1599" s="5" t="s">
        <v>307</v>
      </c>
      <c r="L1599" s="5" t="s">
        <v>7344</v>
      </c>
      <c r="M1599" s="5">
        <v>3104556702</v>
      </c>
      <c r="N1599" s="6">
        <v>46052</v>
      </c>
      <c r="O1599" s="7">
        <v>0.33333333333333331</v>
      </c>
      <c r="P1599" s="5">
        <v>1</v>
      </c>
      <c r="Q1599" s="5" t="s">
        <v>112</v>
      </c>
      <c r="R1599" s="5">
        <v>300000</v>
      </c>
      <c r="S1599" s="5">
        <v>0</v>
      </c>
      <c r="T1599" s="5">
        <v>10000</v>
      </c>
      <c r="U1599" s="5">
        <v>310000</v>
      </c>
      <c r="V1599" s="5" t="s">
        <v>7345</v>
      </c>
      <c r="W1599" s="5" t="s">
        <v>36</v>
      </c>
      <c r="X1599" s="5" t="s">
        <v>83</v>
      </c>
      <c r="Z1599" s="5" t="s">
        <v>7346</v>
      </c>
      <c r="AA1599" s="5" t="s">
        <v>44</v>
      </c>
      <c r="AB1599" s="5" t="s">
        <v>7347</v>
      </c>
      <c r="AC1599" s="8" t="str">
        <f>HYPERLINK("https://drive.google.com/file/d/1Cuud8RMK_KgtWVppkMOOg4vEukCpBlsL/view?usp=drivesdk", "Abrir_Factura")</f>
        <v>Abrir_Factura</v>
      </c>
      <c r="AD1599" s="9">
        <v>46048.38076388889</v>
      </c>
    </row>
    <row r="1600" spans="1:30" ht="12.5">
      <c r="A1600" s="4">
        <v>46048.384520057865</v>
      </c>
      <c r="B1600" s="5">
        <v>91338</v>
      </c>
      <c r="C1600" s="5">
        <v>1081809435</v>
      </c>
      <c r="D1600" s="5" t="s">
        <v>7348</v>
      </c>
      <c r="F1600" s="5" t="s">
        <v>7349</v>
      </c>
      <c r="H1600" s="5" t="s">
        <v>7350</v>
      </c>
      <c r="J1600" s="5" t="s">
        <v>7351</v>
      </c>
      <c r="K1600" s="5" t="s">
        <v>229</v>
      </c>
      <c r="L1600" s="5" t="s">
        <v>7352</v>
      </c>
      <c r="M1600" s="5">
        <v>3005042875</v>
      </c>
      <c r="N1600" s="6">
        <v>46052</v>
      </c>
      <c r="O1600" s="7">
        <v>0.31874999999999998</v>
      </c>
      <c r="P1600" s="5">
        <v>1</v>
      </c>
      <c r="Q1600" s="5" t="s">
        <v>112</v>
      </c>
      <c r="R1600" s="5">
        <v>300000</v>
      </c>
      <c r="S1600" s="5">
        <v>0</v>
      </c>
      <c r="T1600" s="5">
        <v>11000</v>
      </c>
      <c r="U1600" s="5">
        <v>311000</v>
      </c>
      <c r="V1600" s="5" t="s">
        <v>7353</v>
      </c>
      <c r="W1600" s="5" t="s">
        <v>36</v>
      </c>
      <c r="X1600" s="5" t="s">
        <v>67</v>
      </c>
      <c r="Z1600" s="5" t="s">
        <v>7354</v>
      </c>
      <c r="AA1600" s="5" t="s">
        <v>44</v>
      </c>
      <c r="AB1600" s="5" t="s">
        <v>7355</v>
      </c>
      <c r="AC1600" s="8" t="str">
        <f>HYPERLINK("https://drive.google.com/file/d/1k9IzykIt4o_aW2Z_hbTqVw708gwtGsxu/view?usp=drivesdk", "Abrir_Factura")</f>
        <v>Abrir_Factura</v>
      </c>
      <c r="AD1600" s="9">
        <v>46048.389699074076</v>
      </c>
    </row>
    <row r="1601" spans="1:30" ht="12.5">
      <c r="A1601" s="4">
        <v>46048.375238136578</v>
      </c>
      <c r="B1601" s="5">
        <v>91339</v>
      </c>
      <c r="C1601" s="5">
        <v>1010025554</v>
      </c>
      <c r="D1601" s="5" t="s">
        <v>7356</v>
      </c>
      <c r="F1601" s="5" t="s">
        <v>6711</v>
      </c>
      <c r="H1601" s="5">
        <v>573046367532</v>
      </c>
      <c r="J1601" s="5" t="s">
        <v>7357</v>
      </c>
      <c r="K1601" s="5" t="s">
        <v>103</v>
      </c>
      <c r="L1601" s="5" t="s">
        <v>1609</v>
      </c>
      <c r="M1601" s="5">
        <v>3046367532</v>
      </c>
      <c r="N1601" s="6">
        <v>46048</v>
      </c>
      <c r="O1601" s="7">
        <v>0.40277777777777779</v>
      </c>
      <c r="P1601" s="5">
        <v>1</v>
      </c>
      <c r="Q1601" s="5" t="s">
        <v>7358</v>
      </c>
      <c r="R1601" s="5">
        <v>88000</v>
      </c>
      <c r="S1601" s="5">
        <v>0</v>
      </c>
      <c r="T1601" s="5">
        <v>10000</v>
      </c>
      <c r="U1601" s="5">
        <v>98000</v>
      </c>
      <c r="V1601" s="5" t="s">
        <v>7359</v>
      </c>
      <c r="W1601" s="5" t="s">
        <v>36</v>
      </c>
      <c r="X1601" s="5" t="s">
        <v>67</v>
      </c>
      <c r="Z1601" s="5" t="s">
        <v>7360</v>
      </c>
      <c r="AA1601" s="5" t="s">
        <v>44</v>
      </c>
      <c r="AC1601" s="8" t="str">
        <f>HYPERLINK("https://drive.google.com/file/d/1G84dsqB_L5UPzFUBL1Ehc0lW2PenBYya/view?usp=drivesdk", "Abrir_Factura")</f>
        <v>Abrir_Factura</v>
      </c>
      <c r="AD1601" s="9">
        <v>46048.394583333335</v>
      </c>
    </row>
    <row r="1602" spans="1:30" ht="12.5">
      <c r="A1602" s="4">
        <v>46048.386118750001</v>
      </c>
      <c r="B1602" s="5">
        <v>91340</v>
      </c>
      <c r="C1602" s="5">
        <v>1048065258</v>
      </c>
      <c r="D1602" s="5" t="s">
        <v>2209</v>
      </c>
      <c r="F1602" s="5" t="s">
        <v>5981</v>
      </c>
      <c r="H1602" s="5">
        <v>573002605603</v>
      </c>
      <c r="J1602" s="5" t="s">
        <v>7361</v>
      </c>
      <c r="K1602" s="5" t="s">
        <v>33</v>
      </c>
      <c r="L1602" s="5" t="s">
        <v>34</v>
      </c>
      <c r="M1602" s="5">
        <v>3002605603</v>
      </c>
      <c r="N1602" s="6">
        <v>46048</v>
      </c>
      <c r="O1602" s="7">
        <v>0.41666666666666669</v>
      </c>
      <c r="P1602" s="5">
        <v>1</v>
      </c>
      <c r="Q1602" s="5" t="s">
        <v>1102</v>
      </c>
      <c r="R1602" s="5">
        <v>220000</v>
      </c>
      <c r="S1602" s="5">
        <v>0</v>
      </c>
      <c r="T1602" s="5">
        <v>0</v>
      </c>
      <c r="U1602" s="5">
        <v>220000</v>
      </c>
      <c r="V1602" s="5"/>
      <c r="W1602" s="5" t="s">
        <v>36</v>
      </c>
      <c r="X1602" s="5" t="s">
        <v>67</v>
      </c>
      <c r="AA1602" s="5" t="s">
        <v>69</v>
      </c>
      <c r="AB1602" s="5" t="s">
        <v>7362</v>
      </c>
      <c r="AC1602" s="8" t="str">
        <f>HYPERLINK("https://drive.google.com/file/d/1A_-CGkb3ttmF48gIBJp51xIb4zcXi1L1/view?usp=drivesdk", "Abrir_Factura")</f>
        <v>Abrir_Factura</v>
      </c>
      <c r="AD1602" s="9">
        <v>46048.393495370372</v>
      </c>
    </row>
    <row r="1603" spans="1:30" ht="12.5">
      <c r="A1603" s="4">
        <v>46048.442338344903</v>
      </c>
      <c r="B1603" s="5">
        <v>91341</v>
      </c>
      <c r="C1603" s="5">
        <v>55229533</v>
      </c>
      <c r="D1603" s="5" t="s">
        <v>5611</v>
      </c>
      <c r="F1603" s="5" t="s">
        <v>596</v>
      </c>
      <c r="H1603" s="5">
        <v>573003716174</v>
      </c>
      <c r="J1603" s="5" t="s">
        <v>7363</v>
      </c>
      <c r="K1603" s="5" t="s">
        <v>73</v>
      </c>
      <c r="L1603" s="5" t="s">
        <v>7364</v>
      </c>
      <c r="M1603" s="5" t="s">
        <v>25421</v>
      </c>
      <c r="N1603" s="6">
        <v>46048</v>
      </c>
      <c r="O1603" s="7">
        <v>0.45833333333333331</v>
      </c>
      <c r="P1603" s="5">
        <v>1</v>
      </c>
      <c r="Q1603" s="5" t="s">
        <v>734</v>
      </c>
      <c r="R1603" s="5">
        <v>99000</v>
      </c>
      <c r="S1603" s="5">
        <v>0</v>
      </c>
      <c r="T1603" s="5">
        <v>8000</v>
      </c>
      <c r="U1603" s="5">
        <v>107000</v>
      </c>
      <c r="V1603" s="5" t="s">
        <v>7365</v>
      </c>
      <c r="W1603" s="5" t="s">
        <v>36</v>
      </c>
      <c r="X1603" s="5" t="s">
        <v>83</v>
      </c>
      <c r="Z1603" s="5" t="s">
        <v>7366</v>
      </c>
      <c r="AA1603" s="5" t="s">
        <v>44</v>
      </c>
      <c r="AC1603" s="8" t="str">
        <f>HYPERLINK("https://drive.google.com/file/d/1NwZU1XrZC__hHuFReAYONIjyzfa2REl2/view?usp=drivesdk", "Abrir_Factura")</f>
        <v>Abrir_Factura</v>
      </c>
      <c r="AD1603" s="9">
        <v>46048.480439814812</v>
      </c>
    </row>
    <row r="1604" spans="1:30" ht="12.5">
      <c r="A1604" s="4">
        <v>46048.463866747683</v>
      </c>
      <c r="B1604" s="5">
        <v>91342</v>
      </c>
      <c r="C1604" s="5">
        <v>1201213328</v>
      </c>
      <c r="D1604" s="5" t="s">
        <v>100</v>
      </c>
      <c r="F1604" s="5" t="s">
        <v>4625</v>
      </c>
      <c r="H1604" s="5">
        <v>573233385903</v>
      </c>
      <c r="J1604" s="5" t="s">
        <v>7367</v>
      </c>
      <c r="K1604" s="5" t="s">
        <v>73</v>
      </c>
      <c r="L1604" s="5" t="s">
        <v>7368</v>
      </c>
      <c r="M1604" s="5">
        <v>3233385903</v>
      </c>
      <c r="N1604" s="6">
        <v>46048</v>
      </c>
      <c r="O1604" s="7">
        <v>0.49166666666666664</v>
      </c>
      <c r="P1604" s="5">
        <v>1</v>
      </c>
      <c r="Q1604" s="5" t="s">
        <v>178</v>
      </c>
      <c r="R1604" s="5">
        <v>110000</v>
      </c>
      <c r="S1604" s="5">
        <v>0</v>
      </c>
      <c r="T1604" s="5">
        <v>8000</v>
      </c>
      <c r="U1604" s="5">
        <v>118000</v>
      </c>
      <c r="V1604" s="5" t="s">
        <v>7369</v>
      </c>
      <c r="W1604" s="5" t="s">
        <v>36</v>
      </c>
      <c r="X1604" s="5" t="s">
        <v>67</v>
      </c>
      <c r="Z1604" s="5"/>
      <c r="AA1604" s="5" t="s">
        <v>44</v>
      </c>
      <c r="AC1604" s="8" t="str">
        <f>HYPERLINK("https://drive.google.com/file/d/1ANS-JEWpjSSy32I4T4Kj2H4kQorBAONm/view?usp=drivesdk", "Abrir_Factura")</f>
        <v>Abrir_Factura</v>
      </c>
      <c r="AD1604" s="9">
        <v>46048.470671296294</v>
      </c>
    </row>
    <row r="1605" spans="1:30" ht="12.5">
      <c r="A1605" s="4">
        <v>46048.452606469902</v>
      </c>
      <c r="B1605" s="5">
        <v>91343</v>
      </c>
      <c r="C1605" s="5">
        <v>72251403</v>
      </c>
      <c r="D1605" s="5" t="s">
        <v>2889</v>
      </c>
      <c r="F1605" s="5" t="s">
        <v>2890</v>
      </c>
      <c r="H1605" s="5">
        <v>573008100866</v>
      </c>
      <c r="J1605" s="5" t="s">
        <v>2891</v>
      </c>
      <c r="K1605" s="5" t="s">
        <v>975</v>
      </c>
      <c r="L1605" s="5" t="s">
        <v>7370</v>
      </c>
      <c r="M1605" s="5">
        <v>3007274584</v>
      </c>
      <c r="N1605" s="6">
        <v>46049</v>
      </c>
      <c r="O1605" s="7">
        <v>0</v>
      </c>
      <c r="P1605" s="5">
        <v>1</v>
      </c>
      <c r="Q1605" s="5" t="s">
        <v>156</v>
      </c>
      <c r="R1605" s="5">
        <v>80000</v>
      </c>
      <c r="S1605" s="5">
        <v>0</v>
      </c>
      <c r="T1605" s="5">
        <v>10000</v>
      </c>
      <c r="U1605" s="5">
        <v>90000</v>
      </c>
      <c r="V1605" s="5" t="s">
        <v>7371</v>
      </c>
      <c r="W1605" s="5" t="s">
        <v>36</v>
      </c>
      <c r="X1605" s="5" t="s">
        <v>1937</v>
      </c>
      <c r="Z1605" s="5" t="s">
        <v>7372</v>
      </c>
      <c r="AA1605" s="5" t="s">
        <v>44</v>
      </c>
      <c r="AB1605" s="5" t="s">
        <v>7373</v>
      </c>
      <c r="AC1605" s="8" t="str">
        <f>HYPERLINK("https://drive.google.com/file/d/1B7ueE9E7Mr1BdhQeEm9ZwJ68zNIfvvcX/view?usp=drivesdk", "Abrir_Factura")</f>
        <v>Abrir_Factura</v>
      </c>
      <c r="AD1605" s="9">
        <v>46048.481377314813</v>
      </c>
    </row>
    <row r="1606" spans="1:30" ht="12.5">
      <c r="A1606" s="4">
        <v>46048.484230162037</v>
      </c>
      <c r="B1606" s="5">
        <v>91344</v>
      </c>
      <c r="C1606" s="5">
        <v>1140848232</v>
      </c>
      <c r="D1606" s="5" t="s">
        <v>7374</v>
      </c>
      <c r="F1606" s="5" t="s">
        <v>7375</v>
      </c>
      <c r="H1606" s="5">
        <v>5758917936</v>
      </c>
      <c r="J1606" s="5" t="s">
        <v>7376</v>
      </c>
      <c r="K1606" s="5" t="s">
        <v>33</v>
      </c>
      <c r="L1606" s="5" t="s">
        <v>34</v>
      </c>
      <c r="M1606" s="5">
        <v>58917936</v>
      </c>
      <c r="N1606" s="6">
        <v>46048</v>
      </c>
      <c r="O1606" s="7">
        <v>0</v>
      </c>
      <c r="P1606" s="5">
        <v>1</v>
      </c>
      <c r="Q1606" s="5" t="s">
        <v>42</v>
      </c>
      <c r="R1606" s="5">
        <v>24000</v>
      </c>
      <c r="S1606" s="5">
        <v>0</v>
      </c>
      <c r="T1606" s="5">
        <v>0</v>
      </c>
      <c r="U1606" s="5">
        <v>24000</v>
      </c>
      <c r="V1606" s="5"/>
      <c r="W1606" s="5" t="s">
        <v>36</v>
      </c>
      <c r="X1606" s="5" t="s">
        <v>196</v>
      </c>
      <c r="AA1606" s="5" t="s">
        <v>1717</v>
      </c>
      <c r="AC1606" s="8" t="str">
        <f>HYPERLINK("https://drive.google.com/file/d/1D1bsCc6docn_Cb00-6xfXf1nnXWOw44F/view?usp=drivesdk", "Abrir_Factura")</f>
        <v>Abrir_Factura</v>
      </c>
      <c r="AD1606" s="9">
        <v>46048.487627314818</v>
      </c>
    </row>
    <row r="1607" spans="1:30" ht="12.5">
      <c r="A1607" s="4">
        <v>46048.48103520833</v>
      </c>
      <c r="B1607" s="5">
        <v>91345</v>
      </c>
      <c r="C1607" s="5">
        <v>1121045697</v>
      </c>
      <c r="D1607" s="5" t="s">
        <v>7377</v>
      </c>
      <c r="F1607" s="5" t="s">
        <v>7378</v>
      </c>
      <c r="H1607" s="5">
        <v>573107083669</v>
      </c>
      <c r="J1607" s="5" t="s">
        <v>7379</v>
      </c>
      <c r="K1607" s="5" t="s">
        <v>2509</v>
      </c>
      <c r="L1607" s="5" t="s">
        <v>7380</v>
      </c>
      <c r="M1607" s="5" t="s">
        <v>7381</v>
      </c>
      <c r="N1607" s="6">
        <v>46048</v>
      </c>
      <c r="O1607" s="7">
        <v>2.0833333333333333E-3</v>
      </c>
      <c r="P1607" s="5">
        <v>1</v>
      </c>
      <c r="Q1607" s="5" t="s">
        <v>375</v>
      </c>
      <c r="R1607" s="5">
        <v>80000</v>
      </c>
      <c r="S1607" s="5">
        <v>0</v>
      </c>
      <c r="T1607" s="5">
        <v>10000</v>
      </c>
      <c r="U1607" s="5">
        <v>90000</v>
      </c>
      <c r="V1607" s="5" t="s">
        <v>7382</v>
      </c>
      <c r="W1607" s="5" t="s">
        <v>36</v>
      </c>
      <c r="X1607" s="5" t="s">
        <v>67</v>
      </c>
      <c r="Z1607" s="22">
        <v>46079</v>
      </c>
      <c r="AA1607" s="5" t="s">
        <v>44</v>
      </c>
      <c r="AB1607" s="5" t="s">
        <v>7383</v>
      </c>
      <c r="AC1607" s="8" t="str">
        <f>HYPERLINK("https://drive.google.com/file/d/1Yim1t3r0GReoC9i6J2_BF3sdCK-VMr-K/view?usp=drivesdk", "Abrir_Factura")</f>
        <v>Abrir_Factura</v>
      </c>
      <c r="AD1607" s="9">
        <v>46048.487812500003</v>
      </c>
    </row>
    <row r="1608" spans="1:30" ht="12.5">
      <c r="A1608" s="4">
        <v>46048.490657037037</v>
      </c>
      <c r="B1608" s="5">
        <v>91346</v>
      </c>
      <c r="C1608" s="5">
        <v>39785591</v>
      </c>
      <c r="D1608" s="5" t="s">
        <v>7384</v>
      </c>
      <c r="F1608" s="5" t="s">
        <v>1819</v>
      </c>
      <c r="H1608" s="5">
        <v>573107676333</v>
      </c>
      <c r="J1608" s="5" t="s">
        <v>7385</v>
      </c>
      <c r="K1608" s="5" t="s">
        <v>33</v>
      </c>
      <c r="L1608" s="5" t="s">
        <v>34</v>
      </c>
      <c r="M1608" s="5" t="s">
        <v>7386</v>
      </c>
      <c r="N1608" s="6">
        <v>46048</v>
      </c>
      <c r="O1608" s="7">
        <v>0</v>
      </c>
      <c r="P1608" s="5">
        <v>1</v>
      </c>
      <c r="Q1608" s="5" t="s">
        <v>42</v>
      </c>
      <c r="R1608" s="5">
        <v>30000</v>
      </c>
      <c r="S1608" s="5">
        <v>0</v>
      </c>
      <c r="T1608" s="5">
        <v>0</v>
      </c>
      <c r="U1608" s="5">
        <v>30000</v>
      </c>
      <c r="V1608" s="5"/>
      <c r="W1608" s="5" t="s">
        <v>36</v>
      </c>
      <c r="X1608" s="5" t="s">
        <v>196</v>
      </c>
      <c r="AA1608" s="5" t="s">
        <v>1717</v>
      </c>
      <c r="AB1608" s="5" t="s">
        <v>7387</v>
      </c>
      <c r="AC1608" s="8" t="str">
        <f>HYPERLINK("https://drive.google.com/file/d/1v4QM6gyNqWyPDokzrCz1RFmOxB13z7w-/view?usp=drivesdk", "Abrir_Factura")</f>
        <v>Abrir_Factura</v>
      </c>
      <c r="AD1608" s="9">
        <v>46048.491296296299</v>
      </c>
    </row>
    <row r="1609" spans="1:30" ht="12.5">
      <c r="A1609" s="4">
        <v>46048.485503229167</v>
      </c>
      <c r="B1609" s="5">
        <v>91347</v>
      </c>
      <c r="C1609" s="5">
        <v>1015481985</v>
      </c>
      <c r="D1609" s="5" t="s">
        <v>7388</v>
      </c>
      <c r="F1609" s="5" t="s">
        <v>7389</v>
      </c>
      <c r="H1609" s="5">
        <v>573216624895</v>
      </c>
      <c r="J1609" s="5" t="s">
        <v>7390</v>
      </c>
      <c r="K1609" s="5" t="s">
        <v>33</v>
      </c>
      <c r="L1609" s="5" t="s">
        <v>7391</v>
      </c>
      <c r="M1609" s="5">
        <v>3216624895</v>
      </c>
      <c r="N1609" s="6">
        <v>46048</v>
      </c>
      <c r="O1609" s="7">
        <v>1.5277777777777777E-2</v>
      </c>
      <c r="P1609" s="5">
        <v>1</v>
      </c>
      <c r="Q1609" s="5" t="s">
        <v>1792</v>
      </c>
      <c r="R1609" s="5">
        <v>160000</v>
      </c>
      <c r="S1609" s="5">
        <v>0</v>
      </c>
      <c r="T1609" s="5">
        <v>0</v>
      </c>
      <c r="U1609" s="5">
        <v>160000</v>
      </c>
      <c r="V1609" s="5" t="s">
        <v>7392</v>
      </c>
      <c r="W1609" s="5" t="s">
        <v>36</v>
      </c>
      <c r="X1609" s="5" t="s">
        <v>67</v>
      </c>
      <c r="Y1609" s="5" t="s">
        <v>7393</v>
      </c>
      <c r="Z1609" s="5"/>
      <c r="AA1609" s="5" t="s">
        <v>44</v>
      </c>
      <c r="AB1609" s="5"/>
      <c r="AC1609" s="8" t="str">
        <f>HYPERLINK("https://drive.google.com/file/d/1eBz0_dGEuxQ8tNuubraa-ErqqPtWEoxz/view?usp=drivesdk", "Abrir_Factura")</f>
        <v>Abrir_Factura</v>
      </c>
      <c r="AD1609" s="9">
        <v>46048.499212962961</v>
      </c>
    </row>
    <row r="1610" spans="1:30" ht="12.5">
      <c r="A1610" s="4">
        <v>46048.496961608791</v>
      </c>
      <c r="B1610" s="5">
        <v>91348</v>
      </c>
      <c r="C1610" s="5">
        <v>32781752</v>
      </c>
      <c r="D1610" s="5" t="s">
        <v>7394</v>
      </c>
      <c r="F1610" s="5" t="s">
        <v>7395</v>
      </c>
      <c r="H1610" s="5">
        <v>573133463333</v>
      </c>
      <c r="J1610" s="5" t="s">
        <v>7396</v>
      </c>
      <c r="K1610" s="5" t="s">
        <v>103</v>
      </c>
      <c r="L1610" s="5" t="s">
        <v>7397</v>
      </c>
      <c r="M1610" s="5"/>
      <c r="N1610" s="6">
        <v>46048</v>
      </c>
      <c r="O1610" s="7">
        <v>0.54166666666666663</v>
      </c>
      <c r="P1610" s="5">
        <v>1</v>
      </c>
      <c r="Q1610" s="5" t="s">
        <v>133</v>
      </c>
      <c r="R1610" s="5">
        <v>150000</v>
      </c>
      <c r="S1610" s="5">
        <v>0</v>
      </c>
      <c r="T1610" s="5">
        <v>10000</v>
      </c>
      <c r="U1610" s="5">
        <v>160000</v>
      </c>
      <c r="V1610" s="5" t="s">
        <v>7398</v>
      </c>
      <c r="W1610" s="5" t="s">
        <v>36</v>
      </c>
      <c r="X1610" s="5" t="s">
        <v>83</v>
      </c>
      <c r="Z1610" s="5" t="s">
        <v>7399</v>
      </c>
      <c r="AA1610" s="5" t="s">
        <v>44</v>
      </c>
      <c r="AB1610" s="5" t="s">
        <v>7400</v>
      </c>
      <c r="AC1610" s="8" t="str">
        <f>HYPERLINK("https://drive.google.com/file/d/10QaG7wD0H9KNotV6aK1hvemXBeAiM4Oe/view?usp=drivesdk", "Abrir_Factura")</f>
        <v>Abrir_Factura</v>
      </c>
      <c r="AD1610" s="9">
        <v>46048.501354166663</v>
      </c>
    </row>
    <row r="1611" spans="1:30" ht="12.5">
      <c r="A1611" s="4">
        <v>46055.510381944441</v>
      </c>
      <c r="B1611" s="5">
        <v>91349</v>
      </c>
      <c r="C1611" s="5">
        <v>32747062</v>
      </c>
      <c r="D1611" s="5" t="s">
        <v>4215</v>
      </c>
      <c r="F1611" s="5" t="s">
        <v>6560</v>
      </c>
      <c r="H1611" s="5">
        <v>573103633466</v>
      </c>
      <c r="J1611" s="5" t="s">
        <v>6561</v>
      </c>
      <c r="K1611" s="5"/>
      <c r="L1611" s="5" t="s">
        <v>7401</v>
      </c>
      <c r="M1611" s="5"/>
      <c r="N1611" s="6">
        <v>46049</v>
      </c>
      <c r="O1611" s="7">
        <v>0</v>
      </c>
      <c r="P1611" s="5">
        <v>1</v>
      </c>
      <c r="Q1611" s="5" t="s">
        <v>42</v>
      </c>
      <c r="R1611" s="5">
        <v>90000</v>
      </c>
      <c r="S1611" s="5">
        <v>0</v>
      </c>
      <c r="T1611" s="5"/>
      <c r="U1611" s="5">
        <v>90000</v>
      </c>
      <c r="V1611" s="5"/>
      <c r="W1611" s="5" t="s">
        <v>36</v>
      </c>
      <c r="X1611" s="5" t="s">
        <v>43</v>
      </c>
      <c r="AA1611" s="5" t="s">
        <v>1717</v>
      </c>
      <c r="AB1611" s="5" t="s">
        <v>7402</v>
      </c>
      <c r="AC1611" s="8" t="str">
        <f>HYPERLINK("https://drive.google.com/file/d/1yt9YjWbLDDscJALS_kDdJSpcHD3jo0zY/view?usp=drivesdk", "Abrir_Factura")</f>
        <v>Abrir_Factura</v>
      </c>
      <c r="AD1611" s="9">
        <v>46056.526377314818</v>
      </c>
    </row>
    <row r="1612" spans="1:30" ht="12.5">
      <c r="A1612" s="4">
        <v>46048.528553587967</v>
      </c>
      <c r="B1612" s="5">
        <v>91350</v>
      </c>
      <c r="C1612" s="5">
        <v>1044428115</v>
      </c>
      <c r="D1612" s="5" t="s">
        <v>3530</v>
      </c>
      <c r="F1612" s="5" t="s">
        <v>7403</v>
      </c>
      <c r="H1612" s="5">
        <v>573244058616</v>
      </c>
      <c r="J1612" s="5" t="s">
        <v>7404</v>
      </c>
      <c r="K1612" s="5" t="s">
        <v>63</v>
      </c>
      <c r="L1612" s="5" t="s">
        <v>7405</v>
      </c>
      <c r="M1612" s="5" t="s">
        <v>7406</v>
      </c>
      <c r="N1612" s="6">
        <v>46049</v>
      </c>
      <c r="O1612" s="7">
        <v>0.32361111111111113</v>
      </c>
      <c r="P1612" s="5">
        <v>1</v>
      </c>
      <c r="Q1612" s="5" t="s">
        <v>7407</v>
      </c>
      <c r="R1612" s="5">
        <v>168000</v>
      </c>
      <c r="S1612" s="5">
        <v>0</v>
      </c>
      <c r="T1612" s="5">
        <v>17000</v>
      </c>
      <c r="U1612" s="5">
        <v>185000</v>
      </c>
      <c r="V1612" s="5" t="s">
        <v>7408</v>
      </c>
      <c r="W1612" s="5" t="s">
        <v>36</v>
      </c>
      <c r="X1612" s="5" t="s">
        <v>83</v>
      </c>
      <c r="Z1612" s="5" t="s">
        <v>7409</v>
      </c>
      <c r="AA1612" s="5" t="s">
        <v>69</v>
      </c>
      <c r="AB1612" s="5" t="s">
        <v>7410</v>
      </c>
      <c r="AC1612" s="8" t="str">
        <f>HYPERLINK("https://drive.google.com/file/d/1wHSWNZunpK2HeRdBXv6qOuDuPXjHtIH_/view?usp=drivesdk", "Abrir_Factura")</f>
        <v>Abrir_Factura</v>
      </c>
      <c r="AD1612" s="9">
        <v>46048.554525462961</v>
      </c>
    </row>
    <row r="1613" spans="1:30" ht="12.5">
      <c r="A1613" s="4">
        <v>46048.58004325231</v>
      </c>
      <c r="B1613" s="5">
        <v>91351</v>
      </c>
      <c r="C1613" s="5">
        <v>1042423766</v>
      </c>
      <c r="D1613" s="5" t="s">
        <v>7411</v>
      </c>
      <c r="F1613" s="5" t="s">
        <v>387</v>
      </c>
      <c r="H1613" s="5">
        <v>573007656538</v>
      </c>
      <c r="J1613" s="5" t="s">
        <v>7412</v>
      </c>
      <c r="K1613" s="5" t="s">
        <v>249</v>
      </c>
      <c r="L1613" s="5" t="s">
        <v>7413</v>
      </c>
      <c r="M1613" s="5">
        <v>3005032782</v>
      </c>
      <c r="N1613" s="6">
        <v>46049</v>
      </c>
      <c r="O1613" s="7">
        <v>0.33333333333333331</v>
      </c>
      <c r="P1613" s="5">
        <v>1</v>
      </c>
      <c r="Q1613" s="5" t="s">
        <v>89</v>
      </c>
      <c r="R1613" s="5">
        <v>170000</v>
      </c>
      <c r="S1613" s="5">
        <v>0</v>
      </c>
      <c r="T1613" s="5">
        <v>10000</v>
      </c>
      <c r="U1613" s="5">
        <v>180000</v>
      </c>
      <c r="V1613" s="5" t="s">
        <v>7414</v>
      </c>
      <c r="W1613" s="5" t="s">
        <v>36</v>
      </c>
      <c r="X1613" s="5" t="s">
        <v>67</v>
      </c>
      <c r="Z1613" s="5" t="s">
        <v>7415</v>
      </c>
      <c r="AA1613" s="5" t="s">
        <v>44</v>
      </c>
      <c r="AB1613" s="5" t="s">
        <v>7416</v>
      </c>
      <c r="AC1613" s="8" t="str">
        <f>HYPERLINK("https://drive.google.com/file/d/1LG6HnAHYQrC8xuchNtHfholx9OlmSdCq/view?usp=drivesdk", "Abrir_Factura")</f>
        <v>Abrir_Factura</v>
      </c>
      <c r="AD1613" s="9">
        <v>46048.586388888885</v>
      </c>
    </row>
    <row r="1614" spans="1:30" ht="12.5">
      <c r="A1614" s="4">
        <v>46048.587428969906</v>
      </c>
      <c r="B1614" s="5">
        <v>91352</v>
      </c>
      <c r="C1614" s="5">
        <v>33215397</v>
      </c>
      <c r="D1614" s="5" t="s">
        <v>7417</v>
      </c>
      <c r="F1614" s="5" t="s">
        <v>7418</v>
      </c>
      <c r="H1614" s="5">
        <v>573114032961</v>
      </c>
      <c r="J1614" s="5" t="s">
        <v>7419</v>
      </c>
      <c r="K1614" s="5" t="s">
        <v>161</v>
      </c>
      <c r="L1614" s="5" t="s">
        <v>7420</v>
      </c>
      <c r="M1614" s="5">
        <v>3017425195</v>
      </c>
      <c r="N1614" s="6">
        <v>46048</v>
      </c>
      <c r="O1614" s="7">
        <v>0.3125</v>
      </c>
      <c r="P1614" s="5">
        <v>1</v>
      </c>
      <c r="Q1614" s="5" t="s">
        <v>1792</v>
      </c>
      <c r="R1614" s="5">
        <v>160000</v>
      </c>
      <c r="S1614" s="5">
        <v>0</v>
      </c>
      <c r="T1614" s="5">
        <v>8000</v>
      </c>
      <c r="U1614" s="5">
        <v>168000</v>
      </c>
      <c r="V1614" s="5"/>
      <c r="W1614" s="5" t="s">
        <v>36</v>
      </c>
      <c r="X1614" s="5" t="s">
        <v>2438</v>
      </c>
      <c r="AA1614" s="5" t="s">
        <v>44</v>
      </c>
      <c r="AC1614" s="8" t="str">
        <f>HYPERLINK("https://drive.google.com/file/d/1OaRF47qtP21x2-TkibQ8B5w0U-FseBaa/view?usp=drivesdk", "Abrir_Factura")</f>
        <v>Abrir_Factura</v>
      </c>
      <c r="AD1614" s="9">
        <v>46048.632002314815</v>
      </c>
    </row>
    <row r="1615" spans="1:30" ht="12.5">
      <c r="A1615" s="4">
        <v>46048.597084027773</v>
      </c>
      <c r="B1615" s="5">
        <v>91353</v>
      </c>
      <c r="C1615" s="5">
        <v>1140895660</v>
      </c>
      <c r="D1615" s="5" t="s">
        <v>3105</v>
      </c>
      <c r="F1615" s="5" t="s">
        <v>5081</v>
      </c>
      <c r="H1615" s="5">
        <v>573057936226</v>
      </c>
      <c r="J1615" s="5" t="s">
        <v>7421</v>
      </c>
      <c r="K1615" s="5" t="s">
        <v>33</v>
      </c>
      <c r="L1615" s="10" t="s">
        <v>7422</v>
      </c>
      <c r="M1615" s="5"/>
      <c r="N1615" s="6">
        <v>46048</v>
      </c>
      <c r="O1615" s="7">
        <v>0.66666666666666663</v>
      </c>
      <c r="P1615" s="5">
        <v>1</v>
      </c>
      <c r="Q1615" s="5" t="s">
        <v>156</v>
      </c>
      <c r="R1615" s="5">
        <v>80000</v>
      </c>
      <c r="S1615" s="5">
        <v>0</v>
      </c>
      <c r="T1615" s="5">
        <v>0</v>
      </c>
      <c r="U1615" s="5">
        <v>80000</v>
      </c>
      <c r="V1615" s="5" t="s">
        <v>7423</v>
      </c>
      <c r="W1615" s="5" t="s">
        <v>36</v>
      </c>
      <c r="X1615" s="5" t="s">
        <v>67</v>
      </c>
      <c r="AA1615" s="5" t="s">
        <v>69</v>
      </c>
      <c r="AC1615" s="8" t="str">
        <f>HYPERLINK("https://drive.google.com/file/d/1M8UIHVYzHy45kcZ8U6i2G7BpA9qvSIOO/view?usp=drivesdk", "Abrir_Factura")</f>
        <v>Abrir_Factura</v>
      </c>
      <c r="AD1615" s="9">
        <v>46048.743680555555</v>
      </c>
    </row>
    <row r="1616" spans="1:30" ht="12.5">
      <c r="A1616" s="4">
        <v>46048.638365057872</v>
      </c>
      <c r="B1616" s="5">
        <v>91354</v>
      </c>
      <c r="C1616" s="5">
        <v>900916475</v>
      </c>
      <c r="D1616" s="5" t="s">
        <v>4674</v>
      </c>
      <c r="F1616" s="5" t="s">
        <v>5758</v>
      </c>
      <c r="H1616" s="5">
        <v>573002627762</v>
      </c>
      <c r="J1616" s="5" t="s">
        <v>4674</v>
      </c>
      <c r="K1616" s="5" t="s">
        <v>33</v>
      </c>
      <c r="L1616" s="5" t="s">
        <v>34</v>
      </c>
      <c r="M1616" s="5">
        <v>3002627762</v>
      </c>
      <c r="N1616" s="6">
        <v>46048</v>
      </c>
      <c r="O1616" s="7">
        <v>0</v>
      </c>
      <c r="P1616" s="5">
        <v>1</v>
      </c>
      <c r="Q1616" s="5" t="s">
        <v>7424</v>
      </c>
      <c r="R1616" s="5">
        <v>214200</v>
      </c>
      <c r="S1616" s="5">
        <v>0</v>
      </c>
      <c r="T1616" s="5">
        <v>0</v>
      </c>
      <c r="U1616" s="5">
        <v>214200</v>
      </c>
      <c r="V1616" s="5"/>
      <c r="W1616" s="5" t="s">
        <v>36</v>
      </c>
      <c r="X1616" s="5" t="s">
        <v>43</v>
      </c>
      <c r="AA1616" s="5" t="s">
        <v>44</v>
      </c>
      <c r="AB1616" s="5" t="s">
        <v>7425</v>
      </c>
      <c r="AC1616" s="8" t="str">
        <f>HYPERLINK("https://drive.google.com/file/d/1h1LF7PrXc4jcmKAN5K4QgDM_7zCz69oe/view?usp=drivesdk", "Abrir_Factura")</f>
        <v>Abrir_Factura</v>
      </c>
      <c r="AD1616" s="9">
        <v>46048.639675925922</v>
      </c>
    </row>
    <row r="1617" spans="1:30" ht="12.5">
      <c r="A1617" s="4">
        <v>46048.642140787037</v>
      </c>
      <c r="B1617" s="5">
        <v>91355</v>
      </c>
      <c r="C1617" s="5">
        <v>72164910</v>
      </c>
      <c r="D1617" s="5" t="s">
        <v>5429</v>
      </c>
      <c r="F1617" s="5" t="s">
        <v>7426</v>
      </c>
      <c r="H1617" s="5">
        <v>573197596099</v>
      </c>
      <c r="J1617" s="5" t="s">
        <v>7427</v>
      </c>
      <c r="K1617" s="5" t="s">
        <v>33</v>
      </c>
      <c r="L1617" s="5" t="s">
        <v>34</v>
      </c>
      <c r="M1617" s="5">
        <v>3197596099</v>
      </c>
      <c r="N1617" s="6">
        <v>46048</v>
      </c>
      <c r="O1617" s="7">
        <v>0</v>
      </c>
      <c r="P1617" s="5">
        <v>1</v>
      </c>
      <c r="Q1617" s="5" t="s">
        <v>75</v>
      </c>
      <c r="R1617" s="5">
        <v>80000</v>
      </c>
      <c r="S1617" s="5">
        <v>0</v>
      </c>
      <c r="T1617" s="5">
        <v>0</v>
      </c>
      <c r="U1617" s="5">
        <v>80000</v>
      </c>
      <c r="V1617" s="5"/>
      <c r="W1617" s="5" t="s">
        <v>36</v>
      </c>
      <c r="X1617" s="5" t="s">
        <v>196</v>
      </c>
      <c r="AA1617" s="5" t="s">
        <v>1717</v>
      </c>
      <c r="AC1617" s="8" t="str">
        <f>HYPERLINK("https://drive.google.com/file/d/1LyoQF9Ll5RkYbt5nZMjWFTgNr0GvZnmJ/view?usp=drivesdk", "Abrir_Factura")</f>
        <v>Abrir_Factura</v>
      </c>
      <c r="AD1617" s="9">
        <v>46048.642592592594</v>
      </c>
    </row>
    <row r="1618" spans="1:30" ht="12.5">
      <c r="A1618" s="4">
        <v>46048.677154606485</v>
      </c>
      <c r="B1618" s="5">
        <v>91356</v>
      </c>
      <c r="C1618" s="5">
        <v>1047471462</v>
      </c>
      <c r="D1618" s="5" t="s">
        <v>3005</v>
      </c>
      <c r="F1618" s="5" t="s">
        <v>3006</v>
      </c>
      <c r="H1618" s="5">
        <v>573157132910</v>
      </c>
      <c r="J1618" s="5" t="s">
        <v>3007</v>
      </c>
      <c r="K1618" s="5" t="s">
        <v>33</v>
      </c>
      <c r="L1618" s="5" t="s">
        <v>34</v>
      </c>
      <c r="M1618" s="5">
        <v>3157132910</v>
      </c>
      <c r="N1618" s="6">
        <v>46048</v>
      </c>
      <c r="O1618" s="7">
        <v>0.70833333333333337</v>
      </c>
      <c r="P1618" s="5">
        <v>1</v>
      </c>
      <c r="Q1618" s="5" t="s">
        <v>75</v>
      </c>
      <c r="R1618" s="5">
        <v>80000</v>
      </c>
      <c r="S1618" s="5">
        <v>0</v>
      </c>
      <c r="T1618" s="5">
        <v>0</v>
      </c>
      <c r="U1618" s="5">
        <v>80000</v>
      </c>
      <c r="V1618" s="5"/>
      <c r="W1618" s="5" t="s">
        <v>36</v>
      </c>
      <c r="X1618" s="5" t="s">
        <v>1705</v>
      </c>
      <c r="AA1618" s="5" t="s">
        <v>44</v>
      </c>
      <c r="AC1618" s="8" t="str">
        <f>HYPERLINK("https://drive.google.com/file/d/1FtUroC_n3R3aXVvdRQsaLnDmftnLKNMN/view?usp=drivesdk", "Abrir_Factura")</f>
        <v>Abrir_Factura</v>
      </c>
      <c r="AD1618" s="9">
        <v>46048.742812500001</v>
      </c>
    </row>
    <row r="1619" spans="1:30" ht="12.5">
      <c r="A1619" s="4">
        <v>46048.70926664352</v>
      </c>
      <c r="B1619" s="5">
        <v>91357</v>
      </c>
      <c r="C1619" s="5">
        <v>72258573</v>
      </c>
      <c r="D1619" s="5" t="s">
        <v>7428</v>
      </c>
      <c r="F1619" s="5" t="s">
        <v>7429</v>
      </c>
      <c r="H1619" s="5">
        <v>573023473900</v>
      </c>
      <c r="J1619" s="5" t="s">
        <v>7430</v>
      </c>
      <c r="K1619" s="5" t="s">
        <v>33</v>
      </c>
      <c r="L1619" s="5" t="s">
        <v>34</v>
      </c>
      <c r="M1619" s="5">
        <v>3023473900</v>
      </c>
      <c r="N1619" s="6">
        <v>46048</v>
      </c>
      <c r="O1619" s="7">
        <v>0</v>
      </c>
      <c r="P1619" s="5">
        <v>1</v>
      </c>
      <c r="Q1619" s="5" t="s">
        <v>75</v>
      </c>
      <c r="R1619" s="5">
        <v>80000</v>
      </c>
      <c r="S1619" s="5">
        <v>0</v>
      </c>
      <c r="T1619" s="5">
        <v>0</v>
      </c>
      <c r="U1619" s="5">
        <v>80000</v>
      </c>
      <c r="V1619" s="5"/>
      <c r="W1619" s="5" t="s">
        <v>36</v>
      </c>
      <c r="X1619" s="5" t="s">
        <v>1705</v>
      </c>
      <c r="AA1619" s="5" t="s">
        <v>1717</v>
      </c>
      <c r="AC1619" s="8" t="str">
        <f>HYPERLINK("https://drive.google.com/file/d/1aXxkS8ZwwHb7xhDJBZ_St6SROx9D-M5-/view?usp=drivesdk", "Abrir_Factura")</f>
        <v>Abrir_Factura</v>
      </c>
      <c r="AD1619" s="9">
        <v>46048.710972222223</v>
      </c>
    </row>
    <row r="1620" spans="1:30" ht="12.5">
      <c r="A1620" s="4">
        <v>46048.724487719912</v>
      </c>
      <c r="B1620" s="5">
        <v>91358</v>
      </c>
      <c r="C1620" s="5">
        <v>900798756</v>
      </c>
      <c r="D1620" s="5" t="s">
        <v>7431</v>
      </c>
      <c r="F1620" s="5" t="s">
        <v>2159</v>
      </c>
      <c r="H1620" s="5">
        <v>573147791720</v>
      </c>
      <c r="J1620" s="5" t="s">
        <v>2159</v>
      </c>
      <c r="K1620" s="5" t="s">
        <v>33</v>
      </c>
      <c r="L1620" s="5" t="s">
        <v>34</v>
      </c>
      <c r="M1620" s="5" t="s">
        <v>7432</v>
      </c>
      <c r="N1620" s="6">
        <v>46048</v>
      </c>
      <c r="O1620" s="7">
        <v>0</v>
      </c>
      <c r="P1620" s="5">
        <v>1</v>
      </c>
      <c r="Q1620" s="5" t="s">
        <v>525</v>
      </c>
      <c r="R1620" s="5">
        <v>72590</v>
      </c>
      <c r="S1620" s="5">
        <v>0</v>
      </c>
      <c r="T1620" s="5">
        <v>0</v>
      </c>
      <c r="U1620" s="5">
        <v>72590</v>
      </c>
      <c r="V1620" s="5"/>
      <c r="W1620" s="5" t="s">
        <v>36</v>
      </c>
      <c r="X1620" s="5" t="s">
        <v>43</v>
      </c>
      <c r="AA1620" s="5" t="s">
        <v>44</v>
      </c>
      <c r="AC1620" s="8" t="str">
        <f>HYPERLINK("https://drive.google.com/file/d/1V5-ycP5yWluRTYAs4XZ2DRfk9F0WWg8i/view?usp=drivesdk", "Abrir_Factura")</f>
        <v>Abrir_Factura</v>
      </c>
      <c r="AD1620" s="9">
        <v>46048.725694444445</v>
      </c>
    </row>
    <row r="1621" spans="1:30" ht="12.5">
      <c r="A1621" s="4">
        <v>46048.768299594907</v>
      </c>
      <c r="B1621" s="5">
        <v>91359</v>
      </c>
      <c r="C1621" s="5">
        <v>72137555</v>
      </c>
      <c r="D1621" s="5" t="s">
        <v>226</v>
      </c>
      <c r="F1621" s="5" t="s">
        <v>3053</v>
      </c>
      <c r="H1621" s="5">
        <v>573157740283</v>
      </c>
      <c r="J1621" s="5" t="s">
        <v>3054</v>
      </c>
      <c r="K1621" s="5" t="s">
        <v>33</v>
      </c>
      <c r="L1621" s="5" t="s">
        <v>34</v>
      </c>
      <c r="M1621" s="5">
        <v>3157740283</v>
      </c>
      <c r="N1621" s="6">
        <v>46048</v>
      </c>
      <c r="O1621" s="7">
        <v>0</v>
      </c>
      <c r="P1621" s="5">
        <v>1</v>
      </c>
      <c r="Q1621" s="5" t="s">
        <v>380</v>
      </c>
      <c r="R1621" s="5">
        <v>340000</v>
      </c>
      <c r="S1621" s="5">
        <v>0</v>
      </c>
      <c r="T1621" s="5">
        <v>0</v>
      </c>
      <c r="U1621" s="5">
        <v>340000</v>
      </c>
      <c r="V1621" s="5"/>
      <c r="W1621" s="5" t="s">
        <v>36</v>
      </c>
      <c r="X1621" s="5" t="s">
        <v>196</v>
      </c>
      <c r="AA1621" s="5" t="s">
        <v>1717</v>
      </c>
      <c r="AC1621" s="8" t="str">
        <f>HYPERLINK("https://drive.google.com/file/d/1LhxX7hVGeogJRLYXmHXYB-iv_wypvWkj/view?usp=drivesdk", "Abrir_Factura")</f>
        <v>Abrir_Factura</v>
      </c>
      <c r="AD1621" s="9">
        <v>46048.772534722222</v>
      </c>
    </row>
    <row r="1622" spans="1:30" ht="12.5">
      <c r="A1622" s="4">
        <v>46048.77954581019</v>
      </c>
      <c r="B1622" s="5">
        <v>91360</v>
      </c>
      <c r="C1622" s="5">
        <v>72003667</v>
      </c>
      <c r="D1622" s="5" t="s">
        <v>7433</v>
      </c>
      <c r="F1622" s="5" t="s">
        <v>7434</v>
      </c>
      <c r="H1622" s="5">
        <v>573229149552</v>
      </c>
      <c r="J1622" s="5" t="s">
        <v>7435</v>
      </c>
      <c r="K1622" s="5" t="s">
        <v>73</v>
      </c>
      <c r="L1622" s="5" t="s">
        <v>7436</v>
      </c>
      <c r="M1622" s="5"/>
      <c r="N1622" s="6">
        <v>46049</v>
      </c>
      <c r="O1622" s="7">
        <v>0</v>
      </c>
      <c r="P1622" s="5">
        <v>1</v>
      </c>
      <c r="Q1622" s="5" t="s">
        <v>1251</v>
      </c>
      <c r="R1622" s="5">
        <v>580000</v>
      </c>
      <c r="S1622" s="5">
        <v>0</v>
      </c>
      <c r="T1622" s="5">
        <v>8000</v>
      </c>
      <c r="U1622" s="5">
        <v>588000</v>
      </c>
      <c r="V1622" s="5"/>
      <c r="W1622" s="5" t="s">
        <v>36</v>
      </c>
      <c r="X1622" s="5" t="s">
        <v>83</v>
      </c>
      <c r="AA1622" s="5" t="s">
        <v>44</v>
      </c>
      <c r="AB1622" s="5" t="s">
        <v>7437</v>
      </c>
      <c r="AC1622" s="8" t="str">
        <f>HYPERLINK("https://drive.google.com/file/d/1UpOpsvqOtby38L_lVs4-a3JtkMnxPU_C/view?usp=drivesdk", "Abrir_Factura")</f>
        <v>Abrir_Factura</v>
      </c>
      <c r="AD1622" s="9">
        <v>46048.780381944445</v>
      </c>
    </row>
    <row r="1623" spans="1:30" ht="12.5">
      <c r="A1623" s="4">
        <v>46049.311509594903</v>
      </c>
      <c r="B1623" s="5">
        <v>91361</v>
      </c>
      <c r="C1623" s="5">
        <v>9197066</v>
      </c>
      <c r="D1623" s="5" t="s">
        <v>7438</v>
      </c>
      <c r="F1623" s="5" t="s">
        <v>5573</v>
      </c>
      <c r="H1623" s="5">
        <v>573015789870</v>
      </c>
      <c r="J1623" s="5" t="s">
        <v>7439</v>
      </c>
      <c r="K1623" s="5" t="s">
        <v>33</v>
      </c>
      <c r="L1623" s="5" t="s">
        <v>34</v>
      </c>
      <c r="M1623" s="5">
        <v>3015789870</v>
      </c>
      <c r="N1623" s="6">
        <v>46049</v>
      </c>
      <c r="O1623" s="7">
        <v>0</v>
      </c>
      <c r="P1623" s="5">
        <v>1</v>
      </c>
      <c r="Q1623" s="5" t="s">
        <v>178</v>
      </c>
      <c r="R1623" s="5">
        <v>110000</v>
      </c>
      <c r="S1623" s="5">
        <v>0</v>
      </c>
      <c r="T1623" s="5">
        <v>0</v>
      </c>
      <c r="U1623" s="5">
        <v>110000</v>
      </c>
      <c r="V1623" s="5"/>
      <c r="W1623" s="5" t="s">
        <v>36</v>
      </c>
      <c r="X1623" s="5" t="s">
        <v>1705</v>
      </c>
      <c r="AA1623" s="5" t="s">
        <v>1717</v>
      </c>
      <c r="AB1623" s="5"/>
      <c r="AC1623" s="8" t="str">
        <f>HYPERLINK("https://drive.google.com/file/d/1vYnKgqYT_buBIkn1u3mJNPb1C7i8jdRa/view?usp=drivesdk", "Abrir_Factura")</f>
        <v>Abrir_Factura</v>
      </c>
      <c r="AD1623" s="9">
        <v>46066.647465277776</v>
      </c>
    </row>
    <row r="1624" spans="1:30" ht="12.5">
      <c r="A1624" s="4">
        <v>46049.315144305554</v>
      </c>
      <c r="B1624" s="5">
        <v>91362</v>
      </c>
      <c r="C1624" s="5">
        <v>1234092321</v>
      </c>
      <c r="D1624" s="5" t="s">
        <v>7440</v>
      </c>
      <c r="F1624" s="5" t="s">
        <v>3209</v>
      </c>
      <c r="H1624" s="5">
        <v>570000</v>
      </c>
      <c r="J1624" s="5" t="s">
        <v>7441</v>
      </c>
      <c r="K1624" s="5" t="s">
        <v>33</v>
      </c>
      <c r="L1624" s="5" t="s">
        <v>34</v>
      </c>
      <c r="M1624" s="5">
        <v>0</v>
      </c>
      <c r="N1624" s="6">
        <v>46049</v>
      </c>
      <c r="O1624" s="7">
        <v>0</v>
      </c>
      <c r="P1624" s="5">
        <v>1</v>
      </c>
      <c r="Q1624" s="5" t="s">
        <v>42</v>
      </c>
      <c r="R1624" s="5">
        <v>20000</v>
      </c>
      <c r="S1624" s="5">
        <v>0</v>
      </c>
      <c r="T1624" s="5">
        <v>0</v>
      </c>
      <c r="U1624" s="5">
        <v>20000</v>
      </c>
      <c r="V1624" s="5"/>
      <c r="W1624" s="5" t="s">
        <v>36</v>
      </c>
      <c r="X1624" s="5" t="s">
        <v>67</v>
      </c>
      <c r="AA1624" s="5" t="s">
        <v>1717</v>
      </c>
      <c r="AB1624" s="5" t="s">
        <v>1286</v>
      </c>
      <c r="AC1624" s="8" t="str">
        <f>HYPERLINK("https://drive.google.com/file/d/1z3TqaULmdru41HNq2D-MEvPZr0mfQ1Bz/view?usp=drivesdk", "Abrir_Factura")</f>
        <v>Abrir_Factura</v>
      </c>
      <c r="AD1624" s="9">
        <v>46049.315995370373</v>
      </c>
    </row>
    <row r="1625" spans="1:30" ht="12.5">
      <c r="A1625" s="4">
        <v>46049.342054004628</v>
      </c>
      <c r="B1625" s="5">
        <v>91363</v>
      </c>
      <c r="C1625" s="5">
        <v>1082963863</v>
      </c>
      <c r="D1625" s="5" t="s">
        <v>7442</v>
      </c>
      <c r="F1625" s="5" t="s">
        <v>4231</v>
      </c>
      <c r="H1625" s="5">
        <v>573013638788</v>
      </c>
      <c r="J1625" s="5" t="s">
        <v>4232</v>
      </c>
      <c r="K1625" s="5"/>
      <c r="L1625" s="5" t="s">
        <v>7443</v>
      </c>
      <c r="M1625" s="5" t="s">
        <v>7444</v>
      </c>
      <c r="N1625" s="6">
        <v>46049</v>
      </c>
      <c r="O1625" s="7">
        <v>0</v>
      </c>
      <c r="P1625" s="5">
        <v>1</v>
      </c>
      <c r="Q1625" s="5" t="s">
        <v>42</v>
      </c>
      <c r="R1625" s="5">
        <v>88000</v>
      </c>
      <c r="S1625" s="5">
        <v>0</v>
      </c>
      <c r="T1625" s="5"/>
      <c r="U1625" s="5">
        <v>88000</v>
      </c>
      <c r="V1625" s="5"/>
      <c r="W1625" s="5" t="s">
        <v>36</v>
      </c>
      <c r="X1625" s="5" t="s">
        <v>67</v>
      </c>
      <c r="AA1625" s="5" t="s">
        <v>44</v>
      </c>
      <c r="AB1625" s="5" t="s">
        <v>7445</v>
      </c>
      <c r="AC1625" s="8" t="str">
        <f>HYPERLINK("https://drive.google.com/file/d/1s09uWa-AZVryJ64te9xKruI2kfjKrJTL/view?usp=drivesdk", "Abrir_Factura")</f>
        <v>Abrir_Factura</v>
      </c>
      <c r="AD1625" s="9">
        <v>46049.437314814815</v>
      </c>
    </row>
    <row r="1626" spans="1:30" ht="12.5">
      <c r="A1626" s="4">
        <v>46049.387940127315</v>
      </c>
      <c r="B1626" s="5">
        <v>91364</v>
      </c>
      <c r="C1626" s="5">
        <v>1045713848</v>
      </c>
      <c r="D1626" s="5" t="s">
        <v>1946</v>
      </c>
      <c r="F1626" s="5" t="s">
        <v>1747</v>
      </c>
      <c r="H1626" s="5">
        <v>573182278250</v>
      </c>
      <c r="J1626" s="5" t="s">
        <v>7446</v>
      </c>
      <c r="K1626" s="5" t="s">
        <v>33</v>
      </c>
      <c r="L1626" s="5" t="s">
        <v>34</v>
      </c>
      <c r="M1626" s="5">
        <v>3182278250</v>
      </c>
      <c r="N1626" s="6">
        <v>46049</v>
      </c>
      <c r="O1626" s="7">
        <v>0.375</v>
      </c>
      <c r="P1626" s="5">
        <v>1</v>
      </c>
      <c r="Q1626" s="5" t="s">
        <v>42</v>
      </c>
      <c r="R1626" s="5">
        <v>30000</v>
      </c>
      <c r="S1626" s="5">
        <v>0</v>
      </c>
      <c r="T1626" s="5">
        <v>0</v>
      </c>
      <c r="U1626" s="5">
        <v>30000</v>
      </c>
      <c r="V1626" s="5"/>
      <c r="W1626" s="5" t="s">
        <v>36</v>
      </c>
      <c r="X1626" s="5" t="s">
        <v>196</v>
      </c>
      <c r="AA1626" s="5" t="s">
        <v>1717</v>
      </c>
      <c r="AB1626" s="5" t="s">
        <v>7447</v>
      </c>
      <c r="AC1626" s="8" t="str">
        <f>HYPERLINK("https://drive.google.com/file/d/1R21Ux1fbVNYuLqhX6TmvOZAadiogS1uy/view?usp=drivesdk", "Abrir_Factura")</f>
        <v>Abrir_Factura</v>
      </c>
      <c r="AD1626" s="9">
        <v>46049.388541666667</v>
      </c>
    </row>
    <row r="1627" spans="1:30" ht="12.5">
      <c r="A1627" s="4">
        <v>46049.381600578708</v>
      </c>
      <c r="B1627" s="5">
        <v>91365</v>
      </c>
      <c r="C1627" s="5">
        <v>55300602</v>
      </c>
      <c r="D1627" s="5" t="s">
        <v>793</v>
      </c>
      <c r="F1627" s="5" t="s">
        <v>1727</v>
      </c>
      <c r="H1627" s="5">
        <v>573168348918</v>
      </c>
      <c r="J1627" s="5" t="s">
        <v>4557</v>
      </c>
      <c r="K1627" s="5" t="s">
        <v>73</v>
      </c>
      <c r="L1627" s="5" t="s">
        <v>7448</v>
      </c>
      <c r="M1627" s="5">
        <v>3003479586</v>
      </c>
      <c r="N1627" s="6">
        <v>46049</v>
      </c>
      <c r="O1627" s="7">
        <v>0.56388888888888888</v>
      </c>
      <c r="P1627" s="5">
        <v>1</v>
      </c>
      <c r="Q1627" s="5" t="s">
        <v>7449</v>
      </c>
      <c r="R1627" s="5">
        <v>250000</v>
      </c>
      <c r="S1627" s="5">
        <v>0</v>
      </c>
      <c r="T1627" s="5">
        <v>8000</v>
      </c>
      <c r="U1627" s="5">
        <v>258000</v>
      </c>
      <c r="V1627" s="5" t="s">
        <v>7450</v>
      </c>
      <c r="W1627" s="5" t="s">
        <v>36</v>
      </c>
      <c r="X1627" s="5" t="s">
        <v>1937</v>
      </c>
      <c r="Z1627" s="5" t="s">
        <v>7451</v>
      </c>
      <c r="AA1627" s="5" t="s">
        <v>44</v>
      </c>
      <c r="AB1627" s="5" t="s">
        <v>7452</v>
      </c>
      <c r="AC1627" s="8" t="str">
        <f>HYPERLINK("https://drive.google.com/file/d/12Zc6EmwES_sbLqL4Im27IzJ7mAHwStJg/view?usp=drivesdk", "Abrir_Factura")</f>
        <v>Abrir_Factura</v>
      </c>
      <c r="AD1627" s="9">
        <v>46049.390208333331</v>
      </c>
    </row>
    <row r="1628" spans="1:30" ht="12.5">
      <c r="A1628" s="4">
        <v>46049.427489664347</v>
      </c>
      <c r="B1628" s="5">
        <v>91366</v>
      </c>
      <c r="C1628" s="5">
        <v>1017126264</v>
      </c>
      <c r="D1628" s="5" t="s">
        <v>7453</v>
      </c>
      <c r="F1628" s="5" t="s">
        <v>7454</v>
      </c>
      <c r="H1628" s="5">
        <v>573246807716</v>
      </c>
      <c r="J1628" s="5" t="s">
        <v>5182</v>
      </c>
      <c r="K1628" s="5"/>
      <c r="L1628" s="5" t="s">
        <v>7455</v>
      </c>
      <c r="M1628" s="5">
        <v>3006601998</v>
      </c>
      <c r="N1628" s="6">
        <v>46049</v>
      </c>
      <c r="O1628" s="7">
        <v>0</v>
      </c>
      <c r="P1628" s="5">
        <v>1</v>
      </c>
      <c r="Q1628" s="5" t="s">
        <v>542</v>
      </c>
      <c r="R1628" s="5">
        <v>160000</v>
      </c>
      <c r="S1628" s="5">
        <v>0</v>
      </c>
      <c r="T1628" s="5"/>
      <c r="U1628" s="5">
        <v>160000</v>
      </c>
      <c r="V1628" s="5" t="s">
        <v>7456</v>
      </c>
      <c r="W1628" s="5" t="s">
        <v>36</v>
      </c>
      <c r="X1628" s="5" t="s">
        <v>67</v>
      </c>
      <c r="Z1628" s="5" t="s">
        <v>7457</v>
      </c>
      <c r="AA1628" s="5" t="s">
        <v>44</v>
      </c>
      <c r="AC1628" s="8" t="str">
        <f>HYPERLINK("https://drive.google.com/file/d/1DqGu9RR7g-0ELpvx8HXOKMBGn83jJrxC/view?usp=drivesdk", "Abrir_Factura")</f>
        <v>Abrir_Factura</v>
      </c>
      <c r="AD1628" s="9">
        <v>46049.691365740742</v>
      </c>
    </row>
    <row r="1629" spans="1:30" ht="12.5">
      <c r="A1629" s="4">
        <v>46049.496089386579</v>
      </c>
      <c r="B1629" s="5">
        <v>91367</v>
      </c>
      <c r="C1629" s="5">
        <v>1143140381</v>
      </c>
      <c r="D1629" s="5" t="s">
        <v>7458</v>
      </c>
      <c r="F1629" s="5" t="s">
        <v>7459</v>
      </c>
      <c r="H1629" s="5">
        <v>573006264849</v>
      </c>
      <c r="J1629" s="5" t="s">
        <v>7460</v>
      </c>
      <c r="K1629" s="5" t="s">
        <v>103</v>
      </c>
      <c r="L1629" s="5" t="s">
        <v>7461</v>
      </c>
      <c r="M1629" s="5">
        <v>3148137274</v>
      </c>
      <c r="N1629" s="6">
        <v>46049</v>
      </c>
      <c r="O1629" s="7">
        <v>0.58333333333333337</v>
      </c>
      <c r="P1629" s="5">
        <v>1</v>
      </c>
      <c r="Q1629" s="5" t="s">
        <v>309</v>
      </c>
      <c r="R1629" s="5">
        <v>88000</v>
      </c>
      <c r="S1629" s="5">
        <v>0</v>
      </c>
      <c r="T1629" s="5">
        <v>10000</v>
      </c>
      <c r="U1629" s="5">
        <v>98000</v>
      </c>
      <c r="V1629" s="5" t="s">
        <v>7462</v>
      </c>
      <c r="W1629" s="5" t="s">
        <v>36</v>
      </c>
      <c r="X1629" s="5" t="s">
        <v>67</v>
      </c>
      <c r="AA1629" s="5" t="s">
        <v>44</v>
      </c>
      <c r="AC1629" s="8" t="str">
        <f>HYPERLINK("https://drive.google.com/file/d/1Xksmd7WE_hkxpW_G1_twAp6hDjEVj2UO/view?usp=drivesdk", "Abrir_Factura")</f>
        <v>Abrir_Factura</v>
      </c>
      <c r="AD1629" s="9">
        <v>46049.496620370373</v>
      </c>
    </row>
    <row r="1630" spans="1:30" ht="12.5">
      <c r="A1630" s="4">
        <v>46049.503621226853</v>
      </c>
      <c r="B1630" s="5">
        <v>91368</v>
      </c>
      <c r="C1630" s="5">
        <v>1048442179</v>
      </c>
      <c r="D1630" s="5" t="s">
        <v>773</v>
      </c>
      <c r="F1630" s="5" t="s">
        <v>7463</v>
      </c>
      <c r="H1630" s="5">
        <v>573232954869</v>
      </c>
      <c r="J1630" s="5" t="s">
        <v>7464</v>
      </c>
      <c r="K1630" s="5" t="s">
        <v>265</v>
      </c>
      <c r="L1630" s="5" t="s">
        <v>7465</v>
      </c>
      <c r="M1630" s="5" t="s">
        <v>25421</v>
      </c>
      <c r="N1630" s="6">
        <v>46049</v>
      </c>
      <c r="O1630" s="7">
        <v>0.58333333333333337</v>
      </c>
      <c r="P1630" s="5">
        <v>1</v>
      </c>
      <c r="Q1630" s="5" t="s">
        <v>435</v>
      </c>
      <c r="R1630" s="5">
        <v>65000</v>
      </c>
      <c r="S1630" s="5">
        <v>0</v>
      </c>
      <c r="T1630" s="5">
        <v>17000</v>
      </c>
      <c r="U1630" s="5">
        <v>82000</v>
      </c>
      <c r="V1630" s="5" t="s">
        <v>7466</v>
      </c>
      <c r="W1630" s="5" t="s">
        <v>36</v>
      </c>
      <c r="X1630" s="5" t="s">
        <v>67</v>
      </c>
      <c r="Z1630" s="5" t="s">
        <v>7467</v>
      </c>
      <c r="AA1630" s="5" t="s">
        <v>44</v>
      </c>
      <c r="AB1630" s="5" t="s">
        <v>7468</v>
      </c>
      <c r="AC1630" s="8" t="str">
        <f>HYPERLINK("https://drive.google.com/file/d/1p4VOIbalQUbWsHRenvKUYsm81_nC3AVE/view?usp=drivesdk", "Abrir_Factura")</f>
        <v>Abrir_Factura</v>
      </c>
      <c r="AD1630" s="9">
        <v>46049.510405092595</v>
      </c>
    </row>
    <row r="1631" spans="1:30" ht="12.5">
      <c r="A1631" s="4">
        <v>46049.525955798614</v>
      </c>
      <c r="B1631" s="5">
        <v>91369</v>
      </c>
      <c r="C1631" s="5">
        <v>72337578</v>
      </c>
      <c r="D1631" s="5" t="s">
        <v>7469</v>
      </c>
      <c r="F1631" s="5" t="s">
        <v>498</v>
      </c>
      <c r="H1631" s="5">
        <v>573016271535</v>
      </c>
      <c r="J1631" s="5" t="s">
        <v>7470</v>
      </c>
      <c r="K1631" s="5" t="s">
        <v>33</v>
      </c>
      <c r="L1631" s="5" t="s">
        <v>34</v>
      </c>
      <c r="M1631" s="5" t="s">
        <v>25421</v>
      </c>
      <c r="N1631" s="6">
        <v>46050</v>
      </c>
      <c r="O1631" s="7">
        <v>0.375</v>
      </c>
      <c r="P1631" s="5">
        <v>1</v>
      </c>
      <c r="Q1631" s="5" t="s">
        <v>375</v>
      </c>
      <c r="R1631" s="5">
        <v>80000</v>
      </c>
      <c r="S1631" s="5">
        <v>0</v>
      </c>
      <c r="T1631" s="5">
        <v>0</v>
      </c>
      <c r="U1631" s="5">
        <v>80000</v>
      </c>
      <c r="V1631" s="5" t="s">
        <v>7471</v>
      </c>
      <c r="W1631" s="5" t="s">
        <v>36</v>
      </c>
      <c r="X1631" s="5" t="s">
        <v>67</v>
      </c>
      <c r="AA1631" s="5" t="s">
        <v>44</v>
      </c>
      <c r="AB1631" s="5" t="s">
        <v>7472</v>
      </c>
      <c r="AC1631" s="8" t="str">
        <f>HYPERLINK("https://drive.google.com/file/d/1VxblCOm_v0TDw5VJLBsuL65zhi_Gs3SD/view?usp=drivesdk", "Abrir_Factura")</f>
        <v>Abrir_Factura</v>
      </c>
      <c r="AD1631" s="9">
        <v>46049.531793981485</v>
      </c>
    </row>
    <row r="1632" spans="1:30" ht="12.5">
      <c r="A1632" s="4">
        <v>46049.545449201389</v>
      </c>
      <c r="B1632" s="5">
        <v>91370</v>
      </c>
      <c r="C1632" s="5">
        <v>1140877673</v>
      </c>
      <c r="D1632" s="5" t="s">
        <v>7473</v>
      </c>
      <c r="F1632" s="5" t="s">
        <v>7474</v>
      </c>
      <c r="H1632" s="5">
        <v>573183622707</v>
      </c>
      <c r="J1632" s="5" t="s">
        <v>7475</v>
      </c>
      <c r="K1632" s="5" t="s">
        <v>7476</v>
      </c>
      <c r="L1632" s="5" t="s">
        <v>7477</v>
      </c>
      <c r="M1632" s="5">
        <v>3183622707</v>
      </c>
      <c r="N1632" s="6">
        <v>46065</v>
      </c>
      <c r="O1632" s="7">
        <v>0.66666666666666663</v>
      </c>
      <c r="P1632" s="5">
        <v>1</v>
      </c>
      <c r="Q1632" s="5" t="s">
        <v>42</v>
      </c>
      <c r="R1632" s="5">
        <v>115000</v>
      </c>
      <c r="S1632" s="5">
        <v>0</v>
      </c>
      <c r="T1632" s="5">
        <v>15000</v>
      </c>
      <c r="U1632" s="5">
        <v>130000</v>
      </c>
      <c r="V1632" s="5"/>
      <c r="W1632" s="5" t="s">
        <v>36</v>
      </c>
      <c r="X1632" s="5" t="s">
        <v>180</v>
      </c>
      <c r="AA1632" s="5" t="s">
        <v>69</v>
      </c>
      <c r="AB1632" s="5" t="s">
        <v>7478</v>
      </c>
      <c r="AC1632" s="8" t="str">
        <f>HYPERLINK("https://drive.google.com/file/d/1GDC2ybdiSnFN1p7AIAUafx4vtF-4ljxW/view?usp=drivesdk", "Abrir_Factura")</f>
        <v>Abrir_Factura</v>
      </c>
      <c r="AD1632" s="9">
        <v>46049.546574074076</v>
      </c>
    </row>
    <row r="1633" spans="1:30" ht="12.5">
      <c r="A1633" s="4">
        <v>46049.549386319442</v>
      </c>
      <c r="B1633" s="5">
        <v>91371</v>
      </c>
      <c r="C1633" s="5">
        <v>72178067</v>
      </c>
      <c r="D1633" s="5" t="s">
        <v>1513</v>
      </c>
      <c r="F1633" s="5" t="s">
        <v>1295</v>
      </c>
      <c r="H1633" s="5">
        <v>573003182878</v>
      </c>
      <c r="J1633" s="5" t="s">
        <v>7479</v>
      </c>
      <c r="K1633" s="5"/>
      <c r="L1633" s="5" t="s">
        <v>7480</v>
      </c>
      <c r="M1633" s="5"/>
      <c r="N1633" s="6">
        <v>46049</v>
      </c>
      <c r="O1633" s="7">
        <v>0.625</v>
      </c>
      <c r="P1633" s="5">
        <v>1</v>
      </c>
      <c r="Q1633" s="5" t="s">
        <v>57</v>
      </c>
      <c r="R1633" s="5">
        <v>120000</v>
      </c>
      <c r="S1633" s="5">
        <v>0</v>
      </c>
      <c r="T1633" s="5"/>
      <c r="U1633" s="5">
        <v>120000</v>
      </c>
      <c r="V1633" s="5" t="s">
        <v>7481</v>
      </c>
      <c r="W1633" s="5" t="s">
        <v>36</v>
      </c>
      <c r="X1633" s="5" t="s">
        <v>43</v>
      </c>
      <c r="AA1633" s="5" t="s">
        <v>44</v>
      </c>
      <c r="AB1633" s="5" t="s">
        <v>7482</v>
      </c>
      <c r="AC1633" s="8" t="str">
        <f>HYPERLINK("https://drive.google.com/file/d/1da2t3N2WirpEa91qOoDbpSymbi_v_ZDu/view?usp=drivesdk", "Abrir_Factura")</f>
        <v>Abrir_Factura</v>
      </c>
      <c r="AD1633" s="9">
        <v>46049.550509259258</v>
      </c>
    </row>
    <row r="1634" spans="1:30" ht="12.5">
      <c r="A1634" s="4">
        <v>46049.534335324075</v>
      </c>
      <c r="B1634" s="5">
        <v>91372</v>
      </c>
      <c r="C1634" s="5">
        <v>32770121</v>
      </c>
      <c r="D1634" s="5" t="s">
        <v>7483</v>
      </c>
      <c r="F1634" s="5" t="s">
        <v>7484</v>
      </c>
      <c r="H1634" s="5">
        <v>573114757844</v>
      </c>
      <c r="J1634" s="5" t="s">
        <v>7485</v>
      </c>
      <c r="K1634" s="5" t="s">
        <v>401</v>
      </c>
      <c r="L1634" s="5" t="s">
        <v>648</v>
      </c>
      <c r="M1634" s="5">
        <v>3114757844</v>
      </c>
      <c r="N1634" s="6">
        <v>46050</v>
      </c>
      <c r="O1634" s="7">
        <v>0.375</v>
      </c>
      <c r="P1634" s="5">
        <v>1</v>
      </c>
      <c r="Q1634" s="5" t="s">
        <v>148</v>
      </c>
      <c r="R1634" s="5">
        <v>220000</v>
      </c>
      <c r="S1634" s="5">
        <v>0</v>
      </c>
      <c r="T1634" s="5">
        <v>12000</v>
      </c>
      <c r="U1634" s="5">
        <v>232000</v>
      </c>
      <c r="V1634" s="5" t="s">
        <v>7486</v>
      </c>
      <c r="W1634" s="5" t="s">
        <v>36</v>
      </c>
      <c r="X1634" s="5" t="s">
        <v>180</v>
      </c>
      <c r="AA1634" s="5" t="s">
        <v>44</v>
      </c>
      <c r="AC1634" s="8" t="str">
        <f>HYPERLINK("https://drive.google.com/file/d/1Sl42gKAZCUfmtzxucki96SFIaVSo_Wac/view?usp=drivesdk", "Abrir_Factura")</f>
        <v>Abrir_Factura</v>
      </c>
      <c r="AD1634" s="9">
        <v>46049.551666666666</v>
      </c>
    </row>
    <row r="1635" spans="1:30" ht="12.5">
      <c r="A1635" s="4">
        <v>46049.539597905095</v>
      </c>
      <c r="B1635" s="5">
        <v>91373</v>
      </c>
      <c r="C1635" s="5">
        <v>1067597505</v>
      </c>
      <c r="D1635" s="5" t="s">
        <v>7487</v>
      </c>
      <c r="F1635" s="5" t="s">
        <v>5142</v>
      </c>
      <c r="H1635" s="5">
        <v>573052660359</v>
      </c>
      <c r="J1635" s="5" t="s">
        <v>7488</v>
      </c>
      <c r="K1635" s="5" t="s">
        <v>124</v>
      </c>
      <c r="L1635" s="5" t="s">
        <v>7489</v>
      </c>
      <c r="M1635" s="5">
        <v>3052660359</v>
      </c>
      <c r="N1635" s="6">
        <v>46049</v>
      </c>
      <c r="O1635" s="7">
        <v>0.625</v>
      </c>
      <c r="P1635" s="5">
        <v>1</v>
      </c>
      <c r="Q1635" s="5" t="s">
        <v>178</v>
      </c>
      <c r="R1635" s="5">
        <v>110000</v>
      </c>
      <c r="S1635" s="5">
        <v>0</v>
      </c>
      <c r="T1635" s="5">
        <v>12000</v>
      </c>
      <c r="U1635" s="5">
        <v>122000</v>
      </c>
      <c r="V1635" s="5" t="s">
        <v>7490</v>
      </c>
      <c r="W1635" s="5" t="s">
        <v>36</v>
      </c>
      <c r="X1635" s="5" t="s">
        <v>67</v>
      </c>
      <c r="AA1635" s="5" t="s">
        <v>44</v>
      </c>
      <c r="AB1635" s="5" t="s">
        <v>7491</v>
      </c>
      <c r="AC1635" s="8" t="str">
        <f>HYPERLINK("https://drive.google.com/file/d/1gY5zhmWgELCM4XrrdumQ7i2yCGKHIcFt/view?usp=drivesdk", "Abrir_Factura")</f>
        <v>Abrir_Factura</v>
      </c>
      <c r="AD1635" s="9">
        <v>46049.552916666667</v>
      </c>
    </row>
    <row r="1636" spans="1:30" ht="12.5">
      <c r="A1636" s="4">
        <v>46049.558743217596</v>
      </c>
      <c r="B1636" s="5">
        <v>91374</v>
      </c>
      <c r="C1636" s="5">
        <v>1007259348</v>
      </c>
      <c r="D1636" s="5" t="s">
        <v>1069</v>
      </c>
      <c r="F1636" s="5" t="s">
        <v>7492</v>
      </c>
      <c r="H1636" s="5">
        <v>573218807949</v>
      </c>
      <c r="J1636" s="5" t="s">
        <v>7493</v>
      </c>
      <c r="K1636" s="5" t="s">
        <v>33</v>
      </c>
      <c r="L1636" s="5" t="s">
        <v>34</v>
      </c>
      <c r="M1636" s="5">
        <v>3218807949</v>
      </c>
      <c r="N1636" s="6">
        <v>46049</v>
      </c>
      <c r="O1636" s="7">
        <v>0.58333333333333337</v>
      </c>
      <c r="P1636" s="5">
        <v>1</v>
      </c>
      <c r="Q1636" s="5" t="s">
        <v>1085</v>
      </c>
      <c r="R1636" s="5">
        <v>130000</v>
      </c>
      <c r="S1636" s="5">
        <v>0</v>
      </c>
      <c r="T1636" s="5">
        <v>0</v>
      </c>
      <c r="U1636" s="5">
        <v>130000</v>
      </c>
      <c r="V1636" s="5"/>
      <c r="W1636" s="5" t="s">
        <v>36</v>
      </c>
      <c r="X1636" s="5" t="s">
        <v>43</v>
      </c>
      <c r="AA1636" s="5" t="s">
        <v>37</v>
      </c>
      <c r="AB1636" s="5" t="s">
        <v>7494</v>
      </c>
      <c r="AC1636" s="8" t="str">
        <f>HYPERLINK("https://drive.google.com/file/d/1t2d7fcg8aebR3AX45TYw8L68p4Nctjsw/view?usp=drivesdk", "Abrir_Factura")</f>
        <v>Abrir_Factura</v>
      </c>
      <c r="AD1636" s="9">
        <v>46049.559305555558</v>
      </c>
    </row>
    <row r="1637" spans="1:30" ht="12.5">
      <c r="A1637" s="4">
        <v>46049.570399849537</v>
      </c>
      <c r="B1637" s="5">
        <v>91375</v>
      </c>
      <c r="C1637" s="5">
        <v>1140898163</v>
      </c>
      <c r="D1637" s="5" t="s">
        <v>7495</v>
      </c>
      <c r="F1637" s="5" t="s">
        <v>7496</v>
      </c>
      <c r="H1637" s="5">
        <v>573045271987</v>
      </c>
      <c r="J1637" s="5" t="s">
        <v>7497</v>
      </c>
      <c r="K1637" s="5" t="s">
        <v>1047</v>
      </c>
      <c r="L1637" s="5" t="s">
        <v>7498</v>
      </c>
      <c r="M1637" s="5">
        <v>3235851516</v>
      </c>
      <c r="N1637" s="6">
        <v>46049</v>
      </c>
      <c r="O1637" s="7">
        <v>0.625</v>
      </c>
      <c r="P1637" s="5">
        <v>1</v>
      </c>
      <c r="Q1637" s="5" t="s">
        <v>7499</v>
      </c>
      <c r="R1637" s="5">
        <v>360000</v>
      </c>
      <c r="S1637" s="5">
        <v>0</v>
      </c>
      <c r="T1637" s="5">
        <v>15000</v>
      </c>
      <c r="U1637" s="5">
        <v>375000</v>
      </c>
      <c r="V1637" s="5" t="s">
        <v>7500</v>
      </c>
      <c r="W1637" s="5" t="s">
        <v>36</v>
      </c>
      <c r="X1637" s="5" t="s">
        <v>67</v>
      </c>
      <c r="AA1637" s="5" t="s">
        <v>69</v>
      </c>
      <c r="AB1637" s="5" t="s">
        <v>5294</v>
      </c>
      <c r="AC1637" s="8" t="str">
        <f>HYPERLINK("https://drive.google.com/file/d/1oqUx7fcR_oo8eKCFZbbCmOi2-xmHhzjd/view?usp=drivesdk", "Abrir_Factura")</f>
        <v>Abrir_Factura</v>
      </c>
      <c r="AD1637" s="9">
        <v>46049.571828703702</v>
      </c>
    </row>
    <row r="1638" spans="1:30" ht="12.5">
      <c r="A1638" s="4">
        <v>46049.558168263888</v>
      </c>
      <c r="B1638" s="5">
        <v>91376</v>
      </c>
      <c r="C1638" s="5">
        <v>1098812312</v>
      </c>
      <c r="D1638" s="5" t="s">
        <v>3450</v>
      </c>
      <c r="F1638" s="5" t="s">
        <v>7331</v>
      </c>
      <c r="H1638" s="5">
        <v>573219127915</v>
      </c>
      <c r="J1638" s="5" t="s">
        <v>7501</v>
      </c>
      <c r="K1638" s="5" t="s">
        <v>630</v>
      </c>
      <c r="L1638" s="5" t="s">
        <v>7502</v>
      </c>
      <c r="M1638" s="5"/>
      <c r="N1638" s="6">
        <v>46049</v>
      </c>
      <c r="O1638" s="7">
        <v>0.66666666666666663</v>
      </c>
      <c r="P1638" s="5">
        <v>1</v>
      </c>
      <c r="Q1638" s="5" t="s">
        <v>309</v>
      </c>
      <c r="R1638" s="5">
        <v>88000</v>
      </c>
      <c r="S1638" s="5">
        <v>0</v>
      </c>
      <c r="T1638" s="5">
        <v>20000</v>
      </c>
      <c r="U1638" s="5">
        <v>108000</v>
      </c>
      <c r="V1638" s="5" t="s">
        <v>7503</v>
      </c>
      <c r="W1638" s="5" t="s">
        <v>36</v>
      </c>
      <c r="X1638" s="5" t="s">
        <v>67</v>
      </c>
      <c r="Z1638" s="5" t="s">
        <v>7504</v>
      </c>
      <c r="AA1638" s="5" t="s">
        <v>44</v>
      </c>
      <c r="AC1638" s="8" t="str">
        <f>HYPERLINK("https://drive.google.com/file/d/1iDZXoanxWctEM3BboBwY5kpIS--227hp/view?usp=drivesdk", "Abrir_Factura")</f>
        <v>Abrir_Factura</v>
      </c>
      <c r="AD1638" s="9">
        <v>46049.575243055559</v>
      </c>
    </row>
    <row r="1639" spans="1:30" ht="12.5">
      <c r="A1639" s="4">
        <v>46049.601862719908</v>
      </c>
      <c r="B1639" s="5">
        <v>91377</v>
      </c>
      <c r="C1639" s="5">
        <v>1015467153</v>
      </c>
      <c r="D1639" s="5" t="s">
        <v>5035</v>
      </c>
      <c r="F1639" s="5" t="s">
        <v>7505</v>
      </c>
      <c r="H1639" s="5">
        <v>573503710536</v>
      </c>
      <c r="J1639" s="5" t="s">
        <v>7506</v>
      </c>
      <c r="K1639" s="5" t="s">
        <v>516</v>
      </c>
      <c r="L1639" s="5" t="s">
        <v>7507</v>
      </c>
      <c r="M1639" s="5">
        <v>3208877279</v>
      </c>
      <c r="N1639" s="6">
        <v>46049</v>
      </c>
      <c r="O1639" s="7">
        <v>0.66666666666666663</v>
      </c>
      <c r="P1639" s="5">
        <v>1</v>
      </c>
      <c r="Q1639" s="5" t="s">
        <v>1551</v>
      </c>
      <c r="R1639" s="5">
        <v>250000</v>
      </c>
      <c r="S1639" s="5">
        <v>0</v>
      </c>
      <c r="T1639" s="5">
        <v>10000</v>
      </c>
      <c r="U1639" s="5">
        <v>260000</v>
      </c>
      <c r="V1639" s="5" t="s">
        <v>7508</v>
      </c>
      <c r="W1639" s="5" t="s">
        <v>36</v>
      </c>
      <c r="X1639" s="5" t="s">
        <v>67</v>
      </c>
      <c r="Z1639" s="5" t="s">
        <v>7509</v>
      </c>
      <c r="AA1639" s="5" t="s">
        <v>44</v>
      </c>
      <c r="AC1639" s="8" t="str">
        <f>HYPERLINK("https://drive.google.com/file/d/1Yx1_1aNh_3cC8FHaCR4CYjy2r54F4r17/view?usp=drivesdk", "Abrir_Factura")</f>
        <v>Abrir_Factura</v>
      </c>
      <c r="AD1639" s="9">
        <v>46049.609363425923</v>
      </c>
    </row>
    <row r="1640" spans="1:30" ht="12.5">
      <c r="A1640" s="4">
        <v>46049.604075439813</v>
      </c>
      <c r="B1640" s="5">
        <v>91378</v>
      </c>
      <c r="C1640" s="5">
        <v>1010137398</v>
      </c>
      <c r="D1640" s="5" t="s">
        <v>7510</v>
      </c>
      <c r="F1640" s="5" t="s">
        <v>4054</v>
      </c>
      <c r="H1640" s="5">
        <v>57909484</v>
      </c>
      <c r="J1640" s="5" t="s">
        <v>7511</v>
      </c>
      <c r="K1640" s="5" t="s">
        <v>73</v>
      </c>
      <c r="L1640" s="5" t="s">
        <v>7512</v>
      </c>
      <c r="M1640" s="5">
        <v>3004919087</v>
      </c>
      <c r="N1640" s="6">
        <v>46049</v>
      </c>
      <c r="O1640" s="7">
        <v>0.66666666666666663</v>
      </c>
      <c r="P1640" s="5">
        <v>1</v>
      </c>
      <c r="Q1640" s="5" t="s">
        <v>178</v>
      </c>
      <c r="R1640" s="5">
        <v>110000</v>
      </c>
      <c r="S1640" s="5">
        <v>0</v>
      </c>
      <c r="T1640" s="5">
        <v>8000</v>
      </c>
      <c r="U1640" s="5">
        <v>118000</v>
      </c>
      <c r="V1640" s="5" t="s">
        <v>7513</v>
      </c>
      <c r="W1640" s="5" t="s">
        <v>36</v>
      </c>
      <c r="X1640" s="5" t="s">
        <v>180</v>
      </c>
      <c r="Z1640" s="5" t="s">
        <v>7514</v>
      </c>
      <c r="AA1640" s="5" t="s">
        <v>44</v>
      </c>
      <c r="AC1640" s="8" t="str">
        <f>HYPERLINK("https://drive.google.com/file/d/1mOc37EQXVr3Qev4OsPUt_44AQEqzDZrM/view?usp=drivesdk", "Abrir_Factura")</f>
        <v>Abrir_Factura</v>
      </c>
      <c r="AD1640" s="9">
        <v>46049.61105324074</v>
      </c>
    </row>
    <row r="1641" spans="1:30" ht="12.5">
      <c r="A1641" s="4">
        <v>46049.605156157406</v>
      </c>
      <c r="B1641" s="5">
        <v>91379</v>
      </c>
      <c r="C1641" s="5">
        <v>1048064134</v>
      </c>
      <c r="D1641" s="5" t="s">
        <v>7515</v>
      </c>
      <c r="F1641" s="5" t="s">
        <v>7516</v>
      </c>
      <c r="H1641" s="5">
        <v>573002566594</v>
      </c>
      <c r="J1641" s="5" t="s">
        <v>7517</v>
      </c>
      <c r="K1641" s="5" t="s">
        <v>33</v>
      </c>
      <c r="L1641" s="5" t="s">
        <v>34</v>
      </c>
      <c r="M1641" s="5">
        <v>3002566594</v>
      </c>
      <c r="N1641" s="6">
        <v>46051</v>
      </c>
      <c r="O1641" s="7">
        <v>0.66666666666666663</v>
      </c>
      <c r="P1641" s="5">
        <v>1</v>
      </c>
      <c r="Q1641" s="5" t="s">
        <v>375</v>
      </c>
      <c r="R1641" s="5">
        <v>80000</v>
      </c>
      <c r="S1641" s="5">
        <v>0</v>
      </c>
      <c r="T1641" s="5">
        <v>0</v>
      </c>
      <c r="U1641" s="5">
        <v>80000</v>
      </c>
      <c r="V1641" s="5" t="s">
        <v>7518</v>
      </c>
      <c r="W1641" s="5" t="s">
        <v>36</v>
      </c>
      <c r="X1641" s="5" t="s">
        <v>1481</v>
      </c>
      <c r="Z1641" s="5" t="s">
        <v>7519</v>
      </c>
      <c r="AA1641" s="5" t="s">
        <v>44</v>
      </c>
      <c r="AC1641" s="8" t="str">
        <f>HYPERLINK("https://drive.google.com/file/d/1adNZ3wpsTR5V56pbDEvwHzMETPdxeWTa/view?usp=drivesdk", "Abrir_Factura")</f>
        <v>Abrir_Factura</v>
      </c>
      <c r="AD1641" s="9">
        <v>46049.622581018521</v>
      </c>
    </row>
    <row r="1642" spans="1:30" ht="12.5">
      <c r="A1642" s="4">
        <v>46049.64302502315</v>
      </c>
      <c r="B1642" s="5">
        <v>91380</v>
      </c>
      <c r="C1642" s="5">
        <v>42707534</v>
      </c>
      <c r="D1642" s="5" t="s">
        <v>1051</v>
      </c>
      <c r="F1642" s="5" t="s">
        <v>693</v>
      </c>
      <c r="H1642" s="5">
        <v>573208162659</v>
      </c>
      <c r="J1642" s="5" t="s">
        <v>4999</v>
      </c>
      <c r="K1642" s="5" t="s">
        <v>103</v>
      </c>
      <c r="L1642" s="5" t="s">
        <v>7520</v>
      </c>
      <c r="M1642" s="5"/>
      <c r="N1642" s="6">
        <v>46062</v>
      </c>
      <c r="O1642" s="7">
        <v>0.35416666666666669</v>
      </c>
      <c r="P1642" s="5">
        <v>1</v>
      </c>
      <c r="Q1642" s="5" t="s">
        <v>7521</v>
      </c>
      <c r="R1642" s="5">
        <v>250000</v>
      </c>
      <c r="S1642" s="5">
        <v>0</v>
      </c>
      <c r="T1642" s="5">
        <v>10000</v>
      </c>
      <c r="U1642" s="5">
        <v>260000</v>
      </c>
      <c r="V1642" s="5" t="s">
        <v>7522</v>
      </c>
      <c r="W1642" s="5" t="s">
        <v>36</v>
      </c>
      <c r="X1642" s="5" t="s">
        <v>67</v>
      </c>
      <c r="Z1642" s="5" t="s">
        <v>7523</v>
      </c>
      <c r="AA1642" s="5" t="s">
        <v>69</v>
      </c>
      <c r="AC1642" s="8" t="str">
        <f>HYPERLINK("https://drive.google.com/file/d/1tnxe3gRwyb6VXEGq6iP48jIOqCrPd7Ca/view?usp=drivesdk", "Abrir_Factura")</f>
        <v>Abrir_Factura</v>
      </c>
      <c r="AD1642" s="9">
        <v>46049.663819444446</v>
      </c>
    </row>
    <row r="1643" spans="1:30" ht="12.5">
      <c r="A1643" s="4">
        <v>46049.66818414352</v>
      </c>
      <c r="B1643" s="5">
        <v>91381</v>
      </c>
      <c r="C1643" s="5">
        <v>9002312611</v>
      </c>
      <c r="D1643" s="5" t="s">
        <v>7524</v>
      </c>
      <c r="F1643" s="5" t="s">
        <v>4113</v>
      </c>
      <c r="H1643" s="5">
        <v>573016285585</v>
      </c>
      <c r="J1643" s="5" t="s">
        <v>7525</v>
      </c>
      <c r="K1643" s="5" t="s">
        <v>161</v>
      </c>
      <c r="L1643" s="5" t="s">
        <v>7526</v>
      </c>
      <c r="M1643" s="5">
        <v>3003258429</v>
      </c>
      <c r="N1643" s="6">
        <v>46050</v>
      </c>
      <c r="O1643" s="7">
        <v>0.33333333333333331</v>
      </c>
      <c r="P1643" s="5">
        <v>1</v>
      </c>
      <c r="Q1643" s="5" t="s">
        <v>7527</v>
      </c>
      <c r="R1643" s="5">
        <v>200000</v>
      </c>
      <c r="S1643" s="5">
        <v>38000</v>
      </c>
      <c r="T1643" s="5">
        <v>8000</v>
      </c>
      <c r="U1643" s="5">
        <v>246000</v>
      </c>
      <c r="V1643" s="5" t="s">
        <v>7528</v>
      </c>
      <c r="W1643" s="5" t="s">
        <v>36</v>
      </c>
      <c r="X1643" s="5" t="s">
        <v>67</v>
      </c>
      <c r="AA1643" s="5" t="s">
        <v>44</v>
      </c>
      <c r="AC1643" s="8" t="str">
        <f>HYPERLINK("https://drive.google.com/file/d/141PgTFD5aAXFOWUPjiu4cKnLiPPYzPbv/view?usp=drivesdk", "Abrir_Factura")</f>
        <v>Abrir_Factura</v>
      </c>
      <c r="AD1643" s="9">
        <v>46049.66915509259</v>
      </c>
    </row>
    <row r="1644" spans="1:30" ht="12.5">
      <c r="A1644" s="4">
        <v>46049.68796844907</v>
      </c>
      <c r="B1644" s="5">
        <v>91382</v>
      </c>
      <c r="C1644" s="5">
        <v>18244945</v>
      </c>
      <c r="D1644" s="5" t="s">
        <v>7529</v>
      </c>
      <c r="F1644" s="5" t="s">
        <v>7530</v>
      </c>
      <c r="H1644" s="5">
        <v>16469372355</v>
      </c>
      <c r="J1644" s="5" t="s">
        <v>7531</v>
      </c>
      <c r="K1644" s="5" t="s">
        <v>124</v>
      </c>
      <c r="L1644" s="5" t="s">
        <v>7532</v>
      </c>
      <c r="M1644" s="5" t="s">
        <v>7533</v>
      </c>
      <c r="N1644" s="6">
        <v>46053</v>
      </c>
      <c r="O1644" s="7">
        <v>0.375</v>
      </c>
      <c r="P1644" s="5">
        <v>1</v>
      </c>
      <c r="Q1644" s="5" t="s">
        <v>3248</v>
      </c>
      <c r="R1644" s="5">
        <v>410000</v>
      </c>
      <c r="S1644" s="5">
        <v>0</v>
      </c>
      <c r="T1644" s="5">
        <v>12000</v>
      </c>
      <c r="U1644" s="5">
        <v>422000</v>
      </c>
      <c r="V1644" s="5" t="s">
        <v>7534</v>
      </c>
      <c r="W1644" s="5" t="s">
        <v>36</v>
      </c>
      <c r="X1644" s="5" t="s">
        <v>3754</v>
      </c>
      <c r="AA1644" s="5" t="s">
        <v>69</v>
      </c>
      <c r="AC1644" s="8" t="str">
        <f>HYPERLINK("https://drive.google.com/file/d/1PEpA2SjyML0aNnelYWiJywD1JHqwk5hy/view?usp=drivesdk", "Abrir_Factura")</f>
        <v>Abrir_Factura</v>
      </c>
      <c r="AD1644" s="9">
        <v>46049.690659722219</v>
      </c>
    </row>
    <row r="1645" spans="1:30" ht="12.5">
      <c r="A1645" s="4">
        <v>46049.69860909722</v>
      </c>
      <c r="B1645" s="5">
        <v>91383</v>
      </c>
      <c r="C1645" s="5">
        <v>1129569990</v>
      </c>
      <c r="D1645" s="5" t="s">
        <v>290</v>
      </c>
      <c r="F1645" s="5" t="s">
        <v>4350</v>
      </c>
      <c r="H1645" s="5">
        <v>573008148314</v>
      </c>
      <c r="J1645" s="5" t="s">
        <v>4351</v>
      </c>
      <c r="K1645" s="5" t="s">
        <v>33</v>
      </c>
      <c r="L1645" s="5" t="s">
        <v>34</v>
      </c>
      <c r="M1645" s="5">
        <v>3008148314</v>
      </c>
      <c r="N1645" s="6">
        <v>46049</v>
      </c>
      <c r="O1645" s="7">
        <v>0</v>
      </c>
      <c r="P1645" s="5">
        <v>1</v>
      </c>
      <c r="Q1645" s="5" t="s">
        <v>42</v>
      </c>
      <c r="R1645" s="5">
        <v>79000</v>
      </c>
      <c r="S1645" s="5">
        <v>0</v>
      </c>
      <c r="T1645" s="5">
        <v>0</v>
      </c>
      <c r="U1645" s="5">
        <v>79000</v>
      </c>
      <c r="V1645" s="5"/>
      <c r="W1645" s="5" t="s">
        <v>36</v>
      </c>
      <c r="X1645" s="5" t="s">
        <v>2438</v>
      </c>
      <c r="AA1645" s="5" t="s">
        <v>1717</v>
      </c>
      <c r="AB1645" s="5" t="s">
        <v>7535</v>
      </c>
      <c r="AC1645" s="8" t="str">
        <f>HYPERLINK("https://drive.google.com/file/d/13TzapDZ5nCFj8pOnho93J8SPBJUj6BZN/view?usp=drivesdk", "Abrir_Factura")</f>
        <v>Abrir_Factura</v>
      </c>
      <c r="AD1645" s="9">
        <v>46049.700162037036</v>
      </c>
    </row>
    <row r="1646" spans="1:30" ht="12.5">
      <c r="A1646" s="4">
        <v>46049.708821631946</v>
      </c>
      <c r="B1646" s="5">
        <v>91384</v>
      </c>
      <c r="C1646" s="5">
        <v>1140857697</v>
      </c>
      <c r="D1646" s="5" t="s">
        <v>692</v>
      </c>
      <c r="F1646" s="5" t="s">
        <v>7536</v>
      </c>
      <c r="H1646" s="5">
        <v>575491150150630</v>
      </c>
      <c r="J1646" s="5" t="s">
        <v>7537</v>
      </c>
      <c r="K1646" s="5" t="s">
        <v>307</v>
      </c>
      <c r="L1646" s="5" t="s">
        <v>7538</v>
      </c>
      <c r="M1646" s="5"/>
      <c r="N1646" s="6">
        <v>46059</v>
      </c>
      <c r="O1646" s="7">
        <v>0.625</v>
      </c>
      <c r="P1646" s="5">
        <v>1</v>
      </c>
      <c r="Q1646" s="5" t="s">
        <v>1126</v>
      </c>
      <c r="R1646" s="5">
        <v>310000</v>
      </c>
      <c r="S1646" s="5">
        <v>0</v>
      </c>
      <c r="T1646" s="5">
        <v>10000</v>
      </c>
      <c r="U1646" s="5">
        <v>320000</v>
      </c>
      <c r="V1646" s="5"/>
      <c r="W1646" s="5" t="s">
        <v>36</v>
      </c>
      <c r="X1646" s="5" t="s">
        <v>83</v>
      </c>
      <c r="AA1646" s="5" t="s">
        <v>69</v>
      </c>
      <c r="AC1646" s="8" t="str">
        <f>HYPERLINK("https://drive.google.com/file/d/1psIg4l6t4b6Eu44cShwTdqSESAYKwABH/view?usp=drivesdk", "Abrir_Factura")</f>
        <v>Abrir_Factura</v>
      </c>
      <c r="AD1646" s="9">
        <v>46049.767534722225</v>
      </c>
    </row>
    <row r="1647" spans="1:30" ht="12.5">
      <c r="A1647" s="4">
        <v>46049.719694965279</v>
      </c>
      <c r="B1647" s="5">
        <v>91385</v>
      </c>
      <c r="C1647" s="5">
        <v>72346690</v>
      </c>
      <c r="D1647" s="5" t="s">
        <v>1513</v>
      </c>
      <c r="F1647" s="5" t="s">
        <v>291</v>
      </c>
      <c r="H1647" s="5">
        <v>573173754408</v>
      </c>
      <c r="J1647" s="5" t="s">
        <v>7539</v>
      </c>
      <c r="K1647" s="5" t="s">
        <v>1317</v>
      </c>
      <c r="L1647" s="5" t="s">
        <v>7540</v>
      </c>
      <c r="M1647" s="5">
        <v>3008168059</v>
      </c>
      <c r="N1647" s="6">
        <v>46052</v>
      </c>
      <c r="O1647" s="7">
        <v>0.375</v>
      </c>
      <c r="P1647" s="5">
        <v>1</v>
      </c>
      <c r="Q1647" s="5" t="s">
        <v>50</v>
      </c>
      <c r="R1647" s="5">
        <v>220000</v>
      </c>
      <c r="S1647" s="5">
        <v>0</v>
      </c>
      <c r="T1647" s="5">
        <v>12000</v>
      </c>
      <c r="U1647" s="5">
        <v>232000</v>
      </c>
      <c r="V1647" s="5" t="s">
        <v>7541</v>
      </c>
      <c r="W1647" s="5" t="s">
        <v>36</v>
      </c>
      <c r="X1647" s="5" t="s">
        <v>1481</v>
      </c>
      <c r="Z1647" s="5" t="s">
        <v>7542</v>
      </c>
      <c r="AA1647" s="5" t="s">
        <v>44</v>
      </c>
      <c r="AC1647" s="8" t="str">
        <f>HYPERLINK("https://drive.google.com/file/d/12jftXpt-2rzdAQLZCXpEWtdfDBzRAvcB/view?usp=drivesdk", "Abrir_Factura")</f>
        <v>Abrir_Factura</v>
      </c>
      <c r="AD1647" s="9">
        <v>46049.723078703704</v>
      </c>
    </row>
    <row r="1648" spans="1:30" ht="12.5">
      <c r="A1648" s="4">
        <v>46049.730708784722</v>
      </c>
      <c r="B1648" s="5">
        <v>91386</v>
      </c>
      <c r="C1648" s="5">
        <v>1007116609</v>
      </c>
      <c r="D1648" s="5" t="s">
        <v>417</v>
      </c>
      <c r="F1648" s="5" t="s">
        <v>7543</v>
      </c>
      <c r="H1648" s="5">
        <v>573216655154</v>
      </c>
      <c r="J1648" s="5" t="s">
        <v>7544</v>
      </c>
      <c r="K1648" s="5" t="s">
        <v>892</v>
      </c>
      <c r="L1648" s="5" t="s">
        <v>7545</v>
      </c>
      <c r="M1648" s="5">
        <v>3216651554</v>
      </c>
      <c r="N1648" s="6">
        <v>46050</v>
      </c>
      <c r="O1648" s="7">
        <v>0.375</v>
      </c>
      <c r="P1648" s="5">
        <v>1</v>
      </c>
      <c r="Q1648" s="5" t="s">
        <v>2586</v>
      </c>
      <c r="R1648" s="5">
        <v>190000</v>
      </c>
      <c r="S1648" s="5">
        <v>0</v>
      </c>
      <c r="T1648" s="5">
        <v>10000</v>
      </c>
      <c r="U1648" s="5">
        <v>200000</v>
      </c>
      <c r="V1648" s="5" t="s">
        <v>7546</v>
      </c>
      <c r="W1648" s="5" t="s">
        <v>36</v>
      </c>
      <c r="X1648" s="5" t="s">
        <v>67</v>
      </c>
      <c r="Z1648" s="5" t="s">
        <v>703</v>
      </c>
      <c r="AA1648" s="5" t="s">
        <v>44</v>
      </c>
      <c r="AC1648" s="8" t="str">
        <f>HYPERLINK("https://drive.google.com/file/d/1BGvSAbvLLrRaUI0UnVlGJSiWg_1rtGgO/view?usp=drivesdk", "Abrir_Factura")</f>
        <v>Abrir_Factura</v>
      </c>
      <c r="AD1648" s="9">
        <v>46049.734236111108</v>
      </c>
    </row>
    <row r="1649" spans="1:30" ht="12.5">
      <c r="A1649" s="4">
        <v>46049.701675694443</v>
      </c>
      <c r="B1649" s="5">
        <v>91387</v>
      </c>
      <c r="C1649" s="5">
        <v>55179411</v>
      </c>
      <c r="D1649" s="5" t="s">
        <v>7547</v>
      </c>
      <c r="F1649" s="5" t="s">
        <v>7548</v>
      </c>
      <c r="H1649" s="5">
        <v>573106135430</v>
      </c>
      <c r="J1649" s="5" t="s">
        <v>7549</v>
      </c>
      <c r="K1649" s="5" t="s">
        <v>79</v>
      </c>
      <c r="L1649" s="5" t="s">
        <v>7550</v>
      </c>
      <c r="M1649" s="5">
        <v>3106135430</v>
      </c>
      <c r="N1649" s="6">
        <v>46050</v>
      </c>
      <c r="O1649" s="7">
        <v>0.375</v>
      </c>
      <c r="P1649" s="5">
        <v>1</v>
      </c>
      <c r="Q1649" s="5" t="s">
        <v>375</v>
      </c>
      <c r="R1649" s="5">
        <v>80000</v>
      </c>
      <c r="S1649" s="5">
        <v>0</v>
      </c>
      <c r="T1649" s="5">
        <v>10000</v>
      </c>
      <c r="U1649" s="5">
        <v>90000</v>
      </c>
      <c r="V1649" s="5" t="s">
        <v>7551</v>
      </c>
      <c r="W1649" s="5" t="s">
        <v>36</v>
      </c>
      <c r="X1649" s="5" t="s">
        <v>180</v>
      </c>
      <c r="Z1649" s="5" t="s">
        <v>7552</v>
      </c>
      <c r="AA1649" s="5" t="s">
        <v>44</v>
      </c>
      <c r="AC1649" s="8" t="str">
        <f>HYPERLINK("https://drive.google.com/file/d/1---kGJkdx053XTFvPyP9wE8eJ58iHE38/view?usp=drivesdk", "Abrir_Factura")</f>
        <v>Abrir_Factura</v>
      </c>
      <c r="AD1649" s="9">
        <v>46049.737939814811</v>
      </c>
    </row>
    <row r="1650" spans="1:30" ht="12.5">
      <c r="A1650" s="4">
        <v>46049.727021597224</v>
      </c>
      <c r="B1650" s="5">
        <v>91388</v>
      </c>
      <c r="C1650" s="5">
        <v>1001282286</v>
      </c>
      <c r="D1650" s="5" t="s">
        <v>7553</v>
      </c>
      <c r="F1650" s="5" t="s">
        <v>7554</v>
      </c>
      <c r="H1650" s="5">
        <v>13059988217</v>
      </c>
      <c r="J1650" s="5" t="s">
        <v>7555</v>
      </c>
      <c r="K1650" s="5" t="s">
        <v>185</v>
      </c>
      <c r="L1650" s="5" t="s">
        <v>7556</v>
      </c>
      <c r="M1650" s="5" t="s">
        <v>25421</v>
      </c>
      <c r="N1650" s="6">
        <v>46050</v>
      </c>
      <c r="O1650" s="7">
        <v>0.375</v>
      </c>
      <c r="P1650" s="5">
        <v>1</v>
      </c>
      <c r="Q1650" s="5" t="s">
        <v>187</v>
      </c>
      <c r="R1650" s="5">
        <v>220000</v>
      </c>
      <c r="S1650" s="5">
        <v>0</v>
      </c>
      <c r="T1650" s="5">
        <v>8000</v>
      </c>
      <c r="U1650" s="5">
        <v>228000</v>
      </c>
      <c r="V1650" s="5" t="s">
        <v>7557</v>
      </c>
      <c r="W1650" s="5" t="s">
        <v>36</v>
      </c>
      <c r="X1650" s="5" t="s">
        <v>1937</v>
      </c>
      <c r="Z1650" s="5" t="s">
        <v>7558</v>
      </c>
      <c r="AA1650" s="5" t="s">
        <v>44</v>
      </c>
      <c r="AB1650" s="5" t="s">
        <v>7559</v>
      </c>
      <c r="AC1650" s="8" t="str">
        <f>HYPERLINK("https://drive.google.com/file/d/1hb41z9vuYPZW7Mp_m5DhPX17R_tgfvXk/view?usp=drivesdk", "Abrir_Factura")</f>
        <v>Abrir_Factura</v>
      </c>
      <c r="AD1650" s="9">
        <v>46049.747291666667</v>
      </c>
    </row>
    <row r="1651" spans="1:30" ht="12.5">
      <c r="A1651" s="4">
        <v>46049.763313113421</v>
      </c>
      <c r="B1651" s="5">
        <v>91389</v>
      </c>
      <c r="C1651" s="5">
        <v>1140884476</v>
      </c>
      <c r="D1651" s="5" t="s">
        <v>7560</v>
      </c>
      <c r="F1651" s="5" t="s">
        <v>7561</v>
      </c>
      <c r="H1651" s="5">
        <v>573145814765</v>
      </c>
      <c r="J1651" s="5" t="s">
        <v>7562</v>
      </c>
      <c r="K1651" s="5" t="s">
        <v>33</v>
      </c>
      <c r="L1651" s="5" t="s">
        <v>34</v>
      </c>
      <c r="M1651" s="5">
        <v>3145814765</v>
      </c>
      <c r="N1651" s="6">
        <v>46049</v>
      </c>
      <c r="O1651" s="7">
        <v>0</v>
      </c>
      <c r="P1651" s="5">
        <v>1</v>
      </c>
      <c r="Q1651" s="5" t="s">
        <v>435</v>
      </c>
      <c r="R1651" s="5">
        <v>65000</v>
      </c>
      <c r="S1651" s="5">
        <v>0</v>
      </c>
      <c r="T1651" s="5">
        <v>0</v>
      </c>
      <c r="U1651" s="5">
        <v>65000</v>
      </c>
      <c r="V1651" s="5"/>
      <c r="W1651" s="5" t="s">
        <v>36</v>
      </c>
      <c r="X1651" s="5" t="s">
        <v>1705</v>
      </c>
      <c r="AA1651" s="5" t="s">
        <v>1717</v>
      </c>
      <c r="AB1651" s="5" t="s">
        <v>7563</v>
      </c>
      <c r="AC1651" s="8" t="str">
        <f>HYPERLINK("https://drive.google.com/file/d/19UlMVnhBCWv8CCb24rKy6zEavL6n9I0y/view?usp=drivesdk", "Abrir_Factura")</f>
        <v>Abrir_Factura</v>
      </c>
      <c r="AD1651" s="9">
        <v>46049.767002314817</v>
      </c>
    </row>
    <row r="1652" spans="1:30" ht="12.5">
      <c r="A1652" s="4">
        <v>46050.288912638891</v>
      </c>
      <c r="B1652" s="5">
        <v>91390</v>
      </c>
      <c r="C1652" s="5">
        <v>1065811200</v>
      </c>
      <c r="D1652" s="5" t="s">
        <v>5391</v>
      </c>
      <c r="F1652" s="5" t="s">
        <v>7564</v>
      </c>
      <c r="H1652" s="5">
        <v>577863544281</v>
      </c>
      <c r="J1652" s="5" t="s">
        <v>7565</v>
      </c>
      <c r="K1652" s="5" t="s">
        <v>33</v>
      </c>
      <c r="L1652" s="5" t="s">
        <v>34</v>
      </c>
      <c r="M1652" s="5">
        <v>7863544281</v>
      </c>
      <c r="N1652" s="6">
        <v>46050</v>
      </c>
      <c r="O1652" s="7">
        <v>0</v>
      </c>
      <c r="P1652" s="5">
        <v>1</v>
      </c>
      <c r="Q1652" s="5" t="s">
        <v>1102</v>
      </c>
      <c r="R1652" s="5">
        <v>220000</v>
      </c>
      <c r="S1652" s="5">
        <v>0</v>
      </c>
      <c r="T1652" s="5">
        <v>0</v>
      </c>
      <c r="U1652" s="5">
        <v>220000</v>
      </c>
      <c r="V1652" s="5"/>
      <c r="W1652" s="5" t="s">
        <v>36</v>
      </c>
      <c r="X1652" s="5" t="s">
        <v>37</v>
      </c>
      <c r="AA1652" s="5" t="s">
        <v>37</v>
      </c>
      <c r="AB1652" s="5" t="s">
        <v>7566</v>
      </c>
      <c r="AC1652" s="8" t="str">
        <f>HYPERLINK("https://drive.google.com/file/d/1JEUFvVt5UQlT246zsWAYtKhWvFF8WkkF/view?usp=drivesdk", "Abrir_Factura")</f>
        <v>Abrir_Factura</v>
      </c>
      <c r="AD1652" s="9">
        <v>46050.290254629632</v>
      </c>
    </row>
    <row r="1653" spans="1:30" ht="12.5">
      <c r="A1653" s="4">
        <v>46050.292623090281</v>
      </c>
      <c r="B1653" s="5">
        <v>91391</v>
      </c>
      <c r="C1653" s="5">
        <v>1020758374</v>
      </c>
      <c r="D1653" s="5" t="s">
        <v>639</v>
      </c>
      <c r="F1653" s="5" t="s">
        <v>7567</v>
      </c>
      <c r="H1653" s="5" t="s">
        <v>25421</v>
      </c>
      <c r="J1653" s="5" t="s">
        <v>7568</v>
      </c>
      <c r="K1653" s="5" t="s">
        <v>33</v>
      </c>
      <c r="L1653" s="5" t="s">
        <v>34</v>
      </c>
      <c r="M1653" s="5" t="s">
        <v>7569</v>
      </c>
      <c r="N1653" s="6">
        <v>46050</v>
      </c>
      <c r="O1653" s="7">
        <v>0</v>
      </c>
      <c r="P1653" s="5">
        <v>1</v>
      </c>
      <c r="Q1653" s="5" t="s">
        <v>57</v>
      </c>
      <c r="R1653" s="5">
        <v>120000</v>
      </c>
      <c r="S1653" s="5">
        <v>0</v>
      </c>
      <c r="T1653" s="5">
        <v>0</v>
      </c>
      <c r="U1653" s="5">
        <v>120000</v>
      </c>
      <c r="V1653" s="5"/>
      <c r="W1653" s="5" t="s">
        <v>36</v>
      </c>
      <c r="X1653" s="5" t="s">
        <v>37</v>
      </c>
      <c r="AA1653" s="5" t="s">
        <v>37</v>
      </c>
      <c r="AB1653" s="5" t="s">
        <v>7570</v>
      </c>
      <c r="AC1653" s="8" t="str">
        <f>HYPERLINK("https://drive.google.com/file/d/1lS0F7WSzZeEskBijTGNVf-HovPHJPOQv/view?usp=drivesdk", "Abrir_Factura")</f>
        <v>Abrir_Factura</v>
      </c>
      <c r="AD1653" s="9">
        <v>46050.293252314812</v>
      </c>
    </row>
    <row r="1654" spans="1:30" ht="12.5">
      <c r="A1654" s="4">
        <v>46050.349700289356</v>
      </c>
      <c r="B1654" s="5">
        <v>91392</v>
      </c>
      <c r="C1654" s="5">
        <v>1042446279</v>
      </c>
      <c r="D1654" s="5" t="s">
        <v>7571</v>
      </c>
      <c r="F1654" s="5" t="s">
        <v>7572</v>
      </c>
      <c r="H1654" s="5">
        <v>573016552449</v>
      </c>
      <c r="J1654" s="5" t="s">
        <v>7573</v>
      </c>
      <c r="K1654" s="5" t="s">
        <v>2090</v>
      </c>
      <c r="L1654" s="5" t="s">
        <v>7574</v>
      </c>
      <c r="M1654" s="5"/>
      <c r="N1654" s="6">
        <v>46050</v>
      </c>
      <c r="O1654" s="7">
        <v>0.41666666666666669</v>
      </c>
      <c r="P1654" s="5">
        <v>1</v>
      </c>
      <c r="Q1654" s="5" t="s">
        <v>309</v>
      </c>
      <c r="R1654" s="5">
        <v>88000</v>
      </c>
      <c r="S1654" s="5">
        <v>0</v>
      </c>
      <c r="T1654" s="5">
        <v>10000</v>
      </c>
      <c r="U1654" s="5">
        <v>98000</v>
      </c>
      <c r="V1654" s="5" t="s">
        <v>7575</v>
      </c>
      <c r="W1654" s="5" t="s">
        <v>36</v>
      </c>
      <c r="X1654" s="5" t="s">
        <v>180</v>
      </c>
      <c r="Z1654" s="5" t="s">
        <v>7576</v>
      </c>
      <c r="AA1654" s="5" t="s">
        <v>44</v>
      </c>
      <c r="AC1654" s="8" t="str">
        <f>HYPERLINK("https://drive.google.com/file/d/1vVnmcwVgUprWbHWq_3JkNupcD2to2NOF/view?usp=drivesdk", "Abrir_Factura")</f>
        <v>Abrir_Factura</v>
      </c>
      <c r="AD1654" s="9">
        <v>46050.356585648151</v>
      </c>
    </row>
    <row r="1655" spans="1:30" ht="12.5">
      <c r="A1655" s="4">
        <v>46050.370165601853</v>
      </c>
      <c r="B1655" s="5">
        <v>91393</v>
      </c>
      <c r="C1655" s="5">
        <v>1140848433</v>
      </c>
      <c r="D1655" s="5" t="s">
        <v>7577</v>
      </c>
      <c r="F1655" s="5" t="s">
        <v>7578</v>
      </c>
      <c r="H1655" s="5">
        <v>573005074397</v>
      </c>
      <c r="J1655" s="5" t="s">
        <v>7579</v>
      </c>
      <c r="K1655" s="5" t="s">
        <v>33</v>
      </c>
      <c r="L1655" s="5" t="s">
        <v>34</v>
      </c>
      <c r="M1655" s="5" t="s">
        <v>7580</v>
      </c>
      <c r="N1655" s="6">
        <v>46050</v>
      </c>
      <c r="O1655" s="7">
        <v>0</v>
      </c>
      <c r="P1655" s="5">
        <v>1</v>
      </c>
      <c r="Q1655" s="5" t="s">
        <v>1393</v>
      </c>
      <c r="R1655" s="5">
        <v>600000</v>
      </c>
      <c r="S1655" s="5">
        <v>0</v>
      </c>
      <c r="T1655" s="5">
        <v>0</v>
      </c>
      <c r="U1655" s="5">
        <v>600000</v>
      </c>
      <c r="V1655" s="5"/>
      <c r="W1655" s="5" t="s">
        <v>36</v>
      </c>
      <c r="X1655" s="5" t="s">
        <v>196</v>
      </c>
      <c r="AA1655" s="5" t="s">
        <v>44</v>
      </c>
      <c r="AC1655" s="8" t="str">
        <f>HYPERLINK("https://drive.google.com/file/d/1xkqv58SxcJ4GtdIe5061OebLAKemI3Th/view?usp=drivesdk", "Abrir_Factura")</f>
        <v>Abrir_Factura</v>
      </c>
      <c r="AD1655" s="9">
        <v>46050.374120370368</v>
      </c>
    </row>
    <row r="1656" spans="1:30" ht="12.5">
      <c r="A1656" s="4">
        <v>46050.36235059028</v>
      </c>
      <c r="B1656" s="5">
        <v>91394</v>
      </c>
      <c r="C1656" s="5">
        <v>8000933915</v>
      </c>
      <c r="D1656" s="5" t="s">
        <v>7581</v>
      </c>
      <c r="F1656" s="5" t="s">
        <v>2159</v>
      </c>
      <c r="H1656" s="5">
        <v>573007335753</v>
      </c>
      <c r="J1656" s="5" t="s">
        <v>7582</v>
      </c>
      <c r="K1656" s="5" t="s">
        <v>185</v>
      </c>
      <c r="L1656" s="5" t="s">
        <v>7583</v>
      </c>
      <c r="M1656" s="5"/>
      <c r="N1656" s="6">
        <v>46051</v>
      </c>
      <c r="O1656" s="7">
        <v>0.41666666666666669</v>
      </c>
      <c r="P1656" s="5">
        <v>1</v>
      </c>
      <c r="Q1656" s="5" t="s">
        <v>178</v>
      </c>
      <c r="R1656" s="5">
        <v>110000</v>
      </c>
      <c r="S1656" s="5">
        <v>20900</v>
      </c>
      <c r="T1656" s="5">
        <v>8000</v>
      </c>
      <c r="U1656" s="5">
        <v>138900</v>
      </c>
      <c r="V1656" s="5" t="s">
        <v>7584</v>
      </c>
      <c r="W1656" s="5" t="s">
        <v>36</v>
      </c>
      <c r="X1656" s="5" t="s">
        <v>67</v>
      </c>
      <c r="Z1656" s="5" t="s">
        <v>7585</v>
      </c>
      <c r="AA1656" s="5" t="s">
        <v>44</v>
      </c>
      <c r="AB1656" s="5" t="s">
        <v>7586</v>
      </c>
      <c r="AC1656" s="8" t="str">
        <f>HYPERLINK("https://drive.google.com/file/d/1C4gzVD-hnwkBQFooM4xTT4AVvLhkH3yX/view?usp=drivesdk", "Abrir_Factura")</f>
        <v>Abrir_Factura</v>
      </c>
      <c r="AD1656" s="9">
        <v>46050.375428240739</v>
      </c>
    </row>
    <row r="1657" spans="1:30" ht="12.5">
      <c r="A1657" s="4">
        <v>46050.368662847221</v>
      </c>
      <c r="B1657" s="5">
        <v>91395</v>
      </c>
      <c r="C1657" s="5">
        <v>1129495739</v>
      </c>
      <c r="D1657" s="5" t="s">
        <v>7587</v>
      </c>
      <c r="F1657" s="5" t="s">
        <v>7588</v>
      </c>
      <c r="H1657" s="5">
        <v>573104423243</v>
      </c>
      <c r="J1657" s="5" t="s">
        <v>7589</v>
      </c>
      <c r="K1657" s="5" t="s">
        <v>63</v>
      </c>
      <c r="L1657" s="5" t="s">
        <v>7590</v>
      </c>
      <c r="M1657" s="5" t="s">
        <v>25421</v>
      </c>
      <c r="N1657" s="6">
        <v>46050</v>
      </c>
      <c r="O1657" s="7">
        <v>0.41666666666666669</v>
      </c>
      <c r="P1657" s="5">
        <v>1</v>
      </c>
      <c r="Q1657" s="5" t="s">
        <v>309</v>
      </c>
      <c r="R1657" s="5">
        <v>88000</v>
      </c>
      <c r="S1657" s="5">
        <v>0</v>
      </c>
      <c r="T1657" s="5">
        <v>17000</v>
      </c>
      <c r="U1657" s="5">
        <v>105000</v>
      </c>
      <c r="V1657" s="5"/>
      <c r="W1657" s="5" t="s">
        <v>36</v>
      </c>
      <c r="X1657" s="5" t="s">
        <v>1481</v>
      </c>
      <c r="Z1657" s="5" t="s">
        <v>7591</v>
      </c>
      <c r="AA1657" s="5" t="s">
        <v>69</v>
      </c>
      <c r="AC1657" s="8" t="str">
        <f>HYPERLINK("https://drive.google.com/file/d/1AfIH9UKHMjTC-rtk6l6Sljz9rtTQ6wQO/view?usp=drivesdk", "Abrir_Factura")</f>
        <v>Abrir_Factura</v>
      </c>
      <c r="AD1657" s="9">
        <v>46050.380636574075</v>
      </c>
    </row>
    <row r="1658" spans="1:30" ht="12.5">
      <c r="A1658" s="4">
        <v>46050.412035439818</v>
      </c>
      <c r="B1658" s="5">
        <v>91396</v>
      </c>
      <c r="C1658" s="5">
        <v>1140880921</v>
      </c>
      <c r="D1658" s="5" t="s">
        <v>290</v>
      </c>
      <c r="F1658" s="5" t="s">
        <v>7592</v>
      </c>
      <c r="H1658" s="5">
        <v>573013450345</v>
      </c>
      <c r="J1658" s="5" t="s">
        <v>7593</v>
      </c>
      <c r="K1658" s="5" t="s">
        <v>79</v>
      </c>
      <c r="L1658" s="5" t="s">
        <v>7594</v>
      </c>
      <c r="M1658" s="5">
        <v>3003215010</v>
      </c>
      <c r="N1658" s="6">
        <v>46050</v>
      </c>
      <c r="O1658" s="7">
        <v>0.45833333333333331</v>
      </c>
      <c r="P1658" s="5">
        <v>1</v>
      </c>
      <c r="Q1658" s="5" t="s">
        <v>65</v>
      </c>
      <c r="R1658" s="5">
        <v>80000</v>
      </c>
      <c r="S1658" s="5">
        <v>0</v>
      </c>
      <c r="T1658" s="5">
        <v>10000</v>
      </c>
      <c r="U1658" s="5">
        <v>90000</v>
      </c>
      <c r="V1658" s="5" t="s">
        <v>7595</v>
      </c>
      <c r="W1658" s="5" t="s">
        <v>36</v>
      </c>
      <c r="X1658" s="5" t="s">
        <v>1481</v>
      </c>
      <c r="Z1658" s="5" t="s">
        <v>7596</v>
      </c>
      <c r="AA1658" s="5" t="s">
        <v>44</v>
      </c>
      <c r="AC1658" s="8" t="str">
        <f>HYPERLINK("https://drive.google.com/file/d/18sfQ9hq1365DGJjhSyhcsu1s7_gvzZ7l/view?usp=drivesdk", "Abrir_Factura")</f>
        <v>Abrir_Factura</v>
      </c>
      <c r="AD1658" s="9">
        <v>46050.417754629627</v>
      </c>
    </row>
    <row r="1659" spans="1:30" ht="12.5">
      <c r="A1659" s="4">
        <v>46050.454333032409</v>
      </c>
      <c r="B1659" s="5">
        <v>91397</v>
      </c>
      <c r="C1659" s="5">
        <v>22551384</v>
      </c>
      <c r="D1659" s="5" t="s">
        <v>7597</v>
      </c>
      <c r="F1659" s="5" t="s">
        <v>7598</v>
      </c>
      <c r="H1659" s="5">
        <v>573002627762</v>
      </c>
      <c r="J1659" s="5" t="s">
        <v>7599</v>
      </c>
      <c r="K1659" s="5" t="s">
        <v>33</v>
      </c>
      <c r="L1659" s="5" t="s">
        <v>34</v>
      </c>
      <c r="M1659" s="5" t="s">
        <v>1452</v>
      </c>
      <c r="N1659" s="6">
        <v>46050</v>
      </c>
      <c r="O1659" s="7">
        <v>0</v>
      </c>
      <c r="P1659" s="5">
        <v>1</v>
      </c>
      <c r="Q1659" s="5" t="s">
        <v>42</v>
      </c>
      <c r="R1659" s="5">
        <v>40000</v>
      </c>
      <c r="S1659" s="5">
        <v>0</v>
      </c>
      <c r="T1659" s="5">
        <v>0</v>
      </c>
      <c r="U1659" s="5">
        <v>40000</v>
      </c>
      <c r="V1659" s="5"/>
      <c r="W1659" s="5" t="s">
        <v>36</v>
      </c>
      <c r="X1659" s="5" t="s">
        <v>196</v>
      </c>
      <c r="AA1659" s="5" t="s">
        <v>44</v>
      </c>
      <c r="AB1659" s="5" t="s">
        <v>7600</v>
      </c>
      <c r="AC1659" s="8" t="str">
        <f>HYPERLINK("https://drive.google.com/file/d/1QOFy8lrg6X96Xt_kZZbiAyAzySvZkhxn/view?usp=drivesdk", "Abrir_Factura")</f>
        <v>Abrir_Factura</v>
      </c>
      <c r="AD1659" s="9">
        <v>46050.468518518515</v>
      </c>
    </row>
    <row r="1660" spans="1:30" ht="12.5">
      <c r="A1660" s="4">
        <v>46050.479670092594</v>
      </c>
      <c r="B1660" s="5">
        <v>91398</v>
      </c>
      <c r="C1660" s="5">
        <v>0</v>
      </c>
      <c r="D1660" s="5" t="s">
        <v>4261</v>
      </c>
      <c r="F1660" s="5" t="s">
        <v>7601</v>
      </c>
      <c r="H1660" s="5">
        <v>5719543974714</v>
      </c>
      <c r="J1660" s="5" t="s">
        <v>7602</v>
      </c>
      <c r="K1660" s="5" t="s">
        <v>307</v>
      </c>
      <c r="L1660" s="5" t="s">
        <v>7603</v>
      </c>
      <c r="M1660" s="5"/>
      <c r="N1660" s="6">
        <v>46050</v>
      </c>
      <c r="O1660" s="7">
        <v>0</v>
      </c>
      <c r="P1660" s="5">
        <v>1</v>
      </c>
      <c r="Q1660" s="5" t="s">
        <v>3111</v>
      </c>
      <c r="R1660" s="5">
        <v>220000</v>
      </c>
      <c r="S1660" s="5">
        <v>0</v>
      </c>
      <c r="T1660" s="5">
        <v>10000</v>
      </c>
      <c r="U1660" s="5">
        <v>230000</v>
      </c>
      <c r="V1660" s="5"/>
      <c r="W1660" s="5" t="s">
        <v>36</v>
      </c>
      <c r="X1660" s="5" t="s">
        <v>43</v>
      </c>
      <c r="AA1660" s="5" t="s">
        <v>44</v>
      </c>
      <c r="AC1660" s="8" t="str">
        <f>HYPERLINK("https://drive.google.com/file/d/1YIapENwzClx3H2m06jCWtkbM_7vyb_lT/view?usp=drivesdk", "Abrir_Factura")</f>
        <v>Abrir_Factura</v>
      </c>
      <c r="AD1660" s="9">
        <v>46050.480081018519</v>
      </c>
    </row>
    <row r="1661" spans="1:30" ht="12.5">
      <c r="A1661" s="4">
        <v>46050.485309837968</v>
      </c>
      <c r="B1661" s="5">
        <v>91399</v>
      </c>
      <c r="C1661" s="5">
        <v>0</v>
      </c>
      <c r="D1661" s="5" t="s">
        <v>7604</v>
      </c>
      <c r="F1661" s="5" t="s">
        <v>7605</v>
      </c>
      <c r="H1661" s="5">
        <v>5700000</v>
      </c>
      <c r="J1661" s="5" t="s">
        <v>7606</v>
      </c>
      <c r="K1661" s="5" t="s">
        <v>33</v>
      </c>
      <c r="L1661" s="5" t="s">
        <v>34</v>
      </c>
      <c r="M1661" s="5"/>
      <c r="N1661" s="6">
        <v>46050</v>
      </c>
      <c r="O1661" s="7">
        <v>0</v>
      </c>
      <c r="P1661" s="5">
        <v>1</v>
      </c>
      <c r="Q1661" s="5" t="s">
        <v>178</v>
      </c>
      <c r="R1661" s="5">
        <v>110000</v>
      </c>
      <c r="S1661" s="5">
        <v>0</v>
      </c>
      <c r="T1661" s="5">
        <v>0</v>
      </c>
      <c r="U1661" s="5">
        <v>110000</v>
      </c>
      <c r="V1661" s="5"/>
      <c r="W1661" s="5" t="s">
        <v>36</v>
      </c>
      <c r="X1661" s="5" t="s">
        <v>1705</v>
      </c>
      <c r="AA1661" s="5" t="s">
        <v>1717</v>
      </c>
      <c r="AC1661" s="8" t="str">
        <f>HYPERLINK("https://drive.google.com/file/d/1MjYdpfpJRY8f5dEFRqMI_uChTyPI6NLt/view?usp=drivesdk", "Abrir_Factura")</f>
        <v>Abrir_Factura</v>
      </c>
      <c r="AD1661" s="9">
        <v>46050.485879629632</v>
      </c>
    </row>
    <row r="1662" spans="1:30" ht="12.5">
      <c r="A1662" s="4">
        <v>46050.463701458335</v>
      </c>
      <c r="B1662" s="5">
        <v>91400</v>
      </c>
      <c r="C1662" s="5">
        <v>0</v>
      </c>
      <c r="D1662" s="5" t="s">
        <v>7607</v>
      </c>
      <c r="F1662" s="5" t="s">
        <v>7608</v>
      </c>
      <c r="H1662" s="5">
        <v>527491061366</v>
      </c>
      <c r="J1662" s="5" t="s">
        <v>7609</v>
      </c>
      <c r="K1662" s="5" t="s">
        <v>103</v>
      </c>
      <c r="L1662" s="5" t="s">
        <v>7610</v>
      </c>
      <c r="M1662" s="5" t="s">
        <v>25421</v>
      </c>
      <c r="N1662" s="6">
        <v>46050</v>
      </c>
      <c r="O1662" s="7">
        <v>0</v>
      </c>
      <c r="P1662" s="5">
        <v>1</v>
      </c>
      <c r="Q1662" s="5" t="s">
        <v>75</v>
      </c>
      <c r="R1662" s="5">
        <v>80000</v>
      </c>
      <c r="S1662" s="5">
        <v>0</v>
      </c>
      <c r="T1662" s="5">
        <v>10000</v>
      </c>
      <c r="U1662" s="5">
        <v>90000</v>
      </c>
      <c r="V1662" s="5" t="s">
        <v>7611</v>
      </c>
      <c r="W1662" s="5" t="s">
        <v>36</v>
      </c>
      <c r="X1662" s="5" t="s">
        <v>3754</v>
      </c>
      <c r="Z1662" s="5" t="s">
        <v>7612</v>
      </c>
      <c r="AA1662" s="5" t="s">
        <v>44</v>
      </c>
      <c r="AB1662" s="5" t="s">
        <v>7613</v>
      </c>
      <c r="AC1662" s="8" t="str">
        <f>HYPERLINK("https://drive.google.com/file/d/1Vza4c2Uk8VnqxOajZ2PQaRjmkLR8vuWD/view?usp=drivesdk", "Abrir_Factura")</f>
        <v>Abrir_Factura</v>
      </c>
      <c r="AD1662" s="9">
        <v>46050.48678240741</v>
      </c>
    </row>
    <row r="1663" spans="1:30" ht="12.5">
      <c r="A1663" s="4">
        <v>46050.496247511575</v>
      </c>
      <c r="B1663" s="5">
        <v>91401</v>
      </c>
      <c r="C1663" s="5">
        <v>1140904528</v>
      </c>
      <c r="D1663" s="5" t="s">
        <v>1719</v>
      </c>
      <c r="F1663" s="5" t="s">
        <v>7614</v>
      </c>
      <c r="H1663" s="5">
        <v>573165222133</v>
      </c>
      <c r="J1663" s="5" t="s">
        <v>7615</v>
      </c>
      <c r="K1663" s="5" t="s">
        <v>33</v>
      </c>
      <c r="L1663" s="5" t="s">
        <v>34</v>
      </c>
      <c r="M1663" s="5" t="s">
        <v>7616</v>
      </c>
      <c r="N1663" s="6">
        <v>46088</v>
      </c>
      <c r="O1663" s="7">
        <v>0.375</v>
      </c>
      <c r="P1663" s="5">
        <v>1</v>
      </c>
      <c r="Q1663" s="5" t="s">
        <v>7617</v>
      </c>
      <c r="R1663" s="5">
        <v>120000</v>
      </c>
      <c r="S1663" s="5">
        <v>0</v>
      </c>
      <c r="T1663" s="5">
        <v>0</v>
      </c>
      <c r="U1663" s="5">
        <v>120000</v>
      </c>
      <c r="V1663" s="5"/>
      <c r="W1663" s="5" t="s">
        <v>36</v>
      </c>
      <c r="X1663" s="5" t="s">
        <v>1481</v>
      </c>
      <c r="AA1663" s="5" t="s">
        <v>44</v>
      </c>
      <c r="AB1663" s="5" t="s">
        <v>7618</v>
      </c>
      <c r="AC1663" s="8" t="str">
        <f>HYPERLINK("https://drive.google.com/file/d/15rw72iCw8rekcc1l5Q3fAjwILTxVLpX3/view?usp=drivesdk", "Abrir_Factura")</f>
        <v>Abrir_Factura</v>
      </c>
      <c r="AD1663" s="9">
        <v>46078.547650462962</v>
      </c>
    </row>
    <row r="1664" spans="1:30" ht="12.5">
      <c r="A1664" s="4">
        <v>46050.486530115741</v>
      </c>
      <c r="B1664" s="5">
        <v>91402</v>
      </c>
      <c r="C1664" s="5">
        <v>1001817158</v>
      </c>
      <c r="D1664" s="5" t="s">
        <v>76</v>
      </c>
      <c r="F1664" s="5" t="s">
        <v>3550</v>
      </c>
      <c r="H1664" s="5">
        <v>573104300883</v>
      </c>
      <c r="J1664" s="5" t="s">
        <v>7619</v>
      </c>
      <c r="K1664" s="5" t="s">
        <v>185</v>
      </c>
      <c r="L1664" s="5" t="s">
        <v>7620</v>
      </c>
      <c r="M1664" s="5">
        <v>3104300883</v>
      </c>
      <c r="N1664" s="6">
        <v>46050</v>
      </c>
      <c r="O1664" s="7">
        <v>0</v>
      </c>
      <c r="P1664" s="5">
        <v>1</v>
      </c>
      <c r="Q1664" s="5" t="s">
        <v>7621</v>
      </c>
      <c r="R1664" s="5">
        <v>168000</v>
      </c>
      <c r="S1664" s="5">
        <v>0</v>
      </c>
      <c r="T1664" s="5">
        <v>8000</v>
      </c>
      <c r="U1664" s="5">
        <v>176000</v>
      </c>
      <c r="V1664" s="5" t="s">
        <v>7622</v>
      </c>
      <c r="W1664" s="5" t="s">
        <v>36</v>
      </c>
      <c r="X1664" s="5" t="s">
        <v>67</v>
      </c>
      <c r="Z1664" s="5" t="s">
        <v>3330</v>
      </c>
      <c r="AA1664" s="5" t="s">
        <v>69</v>
      </c>
      <c r="AB1664" s="5" t="s">
        <v>7623</v>
      </c>
      <c r="AC1664" s="8" t="str">
        <f>HYPERLINK("https://drive.google.com/file/d/1dsDp6Nn8VZUySs4YJbUK7GYIZEsVrroP/view?usp=drivesdk", "Abrir_Factura")</f>
        <v>Abrir_Factura</v>
      </c>
      <c r="AD1664" s="9">
        <v>46050.500601851854</v>
      </c>
    </row>
    <row r="1665" spans="1:30" ht="12.5">
      <c r="A1665" s="4">
        <v>46050.507441249996</v>
      </c>
      <c r="B1665" s="5">
        <v>91403</v>
      </c>
      <c r="C1665" s="5">
        <v>32606993</v>
      </c>
      <c r="D1665" s="5" t="s">
        <v>7624</v>
      </c>
      <c r="F1665" s="5" t="s">
        <v>7625</v>
      </c>
      <c r="H1665" s="5">
        <v>577161</v>
      </c>
      <c r="J1665" s="5" t="s">
        <v>7626</v>
      </c>
      <c r="K1665" s="5" t="s">
        <v>33</v>
      </c>
      <c r="L1665" s="5" t="s">
        <v>34</v>
      </c>
      <c r="M1665" s="5">
        <v>7161</v>
      </c>
      <c r="N1665" s="6">
        <v>46050</v>
      </c>
      <c r="O1665" s="7">
        <v>0</v>
      </c>
      <c r="P1665" s="5">
        <v>1</v>
      </c>
      <c r="Q1665" s="5" t="s">
        <v>42</v>
      </c>
      <c r="R1665" s="5">
        <v>29000</v>
      </c>
      <c r="S1665" s="5">
        <v>0</v>
      </c>
      <c r="T1665" s="5">
        <v>0</v>
      </c>
      <c r="U1665" s="5">
        <v>29000</v>
      </c>
      <c r="V1665" s="5"/>
      <c r="W1665" s="5" t="s">
        <v>36</v>
      </c>
      <c r="X1665" s="5" t="s">
        <v>1705</v>
      </c>
      <c r="AA1665" s="5" t="s">
        <v>1717</v>
      </c>
      <c r="AB1665" s="5" t="s">
        <v>525</v>
      </c>
      <c r="AC1665" s="8" t="str">
        <f>HYPERLINK("https://drive.google.com/file/d/1h86MJF3wIk_OswSqjBAKKzhk533zHYdf/view?usp=drivesdk", "Abrir_Factura")</f>
        <v>Abrir_Factura</v>
      </c>
      <c r="AD1665" s="9">
        <v>46050.507847222223</v>
      </c>
    </row>
    <row r="1666" spans="1:30" ht="12.5">
      <c r="A1666" s="4">
        <v>46050.514397951389</v>
      </c>
      <c r="B1666" s="5">
        <v>91404</v>
      </c>
      <c r="C1666" s="5">
        <v>114910377</v>
      </c>
      <c r="D1666" s="5" t="s">
        <v>7627</v>
      </c>
      <c r="F1666" s="5" t="s">
        <v>5142</v>
      </c>
      <c r="H1666" s="5">
        <v>18472260826</v>
      </c>
      <c r="J1666" s="5" t="s">
        <v>7628</v>
      </c>
      <c r="K1666" s="5" t="s">
        <v>1497</v>
      </c>
      <c r="L1666" s="5" t="s">
        <v>7629</v>
      </c>
      <c r="M1666" s="5" t="s">
        <v>25421</v>
      </c>
      <c r="N1666" s="6">
        <v>46050</v>
      </c>
      <c r="O1666" s="7">
        <v>0</v>
      </c>
      <c r="P1666" s="5">
        <v>1</v>
      </c>
      <c r="Q1666" s="5" t="s">
        <v>361</v>
      </c>
      <c r="R1666" s="5">
        <v>200000</v>
      </c>
      <c r="S1666" s="5">
        <v>0</v>
      </c>
      <c r="T1666" s="5">
        <v>12000</v>
      </c>
      <c r="U1666" s="5">
        <v>212000</v>
      </c>
      <c r="V1666" s="5" t="s">
        <v>7630</v>
      </c>
      <c r="W1666" s="5" t="s">
        <v>36</v>
      </c>
      <c r="X1666" s="5" t="s">
        <v>204</v>
      </c>
      <c r="Z1666" s="5" t="s">
        <v>7631</v>
      </c>
      <c r="AA1666" s="5" t="s">
        <v>44</v>
      </c>
      <c r="AC1666" s="8" t="str">
        <f>HYPERLINK("https://drive.google.com/file/d/1uQPJ09DQ-njkSfykudfPTPielkTJVeC6/view?usp=drivesdk", "Abrir_Factura")</f>
        <v>Abrir_Factura</v>
      </c>
      <c r="AD1666" s="9">
        <v>46050.529027777775</v>
      </c>
    </row>
    <row r="1667" spans="1:30" ht="12.5">
      <c r="A1667" s="4">
        <v>46050.526022754631</v>
      </c>
      <c r="B1667" s="5">
        <v>91405</v>
      </c>
      <c r="C1667" s="5">
        <v>1627200200064</v>
      </c>
      <c r="D1667" s="5" t="s">
        <v>968</v>
      </c>
      <c r="F1667" s="5" t="s">
        <v>7632</v>
      </c>
      <c r="H1667" s="5">
        <v>50497268800</v>
      </c>
      <c r="J1667" s="5" t="s">
        <v>7633</v>
      </c>
      <c r="K1667" s="5" t="s">
        <v>73</v>
      </c>
      <c r="L1667" s="5" t="s">
        <v>7634</v>
      </c>
      <c r="M1667" s="5" t="s">
        <v>25421</v>
      </c>
      <c r="N1667" s="6">
        <v>46050</v>
      </c>
      <c r="O1667" s="7">
        <v>0.625</v>
      </c>
      <c r="P1667" s="5">
        <v>1</v>
      </c>
      <c r="Q1667" s="5" t="s">
        <v>187</v>
      </c>
      <c r="R1667" s="5">
        <v>220000</v>
      </c>
      <c r="S1667" s="5">
        <v>0</v>
      </c>
      <c r="T1667" s="5">
        <v>8000</v>
      </c>
      <c r="U1667" s="5">
        <v>228000</v>
      </c>
      <c r="V1667" s="5" t="s">
        <v>7635</v>
      </c>
      <c r="W1667" s="5" t="s">
        <v>36</v>
      </c>
      <c r="X1667" s="5" t="s">
        <v>1937</v>
      </c>
      <c r="Z1667" s="5" t="s">
        <v>7636</v>
      </c>
      <c r="AA1667" s="5" t="s">
        <v>44</v>
      </c>
      <c r="AB1667" s="5" t="s">
        <v>7637</v>
      </c>
      <c r="AC1667" s="8" t="str">
        <f>HYPERLINK("https://drive.google.com/file/d/12dJC8EfKOh9_U0-S5PONLHgUowN9Zg4Q/view?usp=drivesdk", "Abrir_Factura")</f>
        <v>Abrir_Factura</v>
      </c>
      <c r="AD1667" s="9">
        <v>46050.533993055556</v>
      </c>
    </row>
    <row r="1668" spans="1:30" ht="12.5">
      <c r="A1668" s="4">
        <v>46050.561123101856</v>
      </c>
      <c r="B1668" s="5">
        <v>91406</v>
      </c>
      <c r="C1668" s="5">
        <v>3024083398</v>
      </c>
      <c r="D1668" s="5" t="s">
        <v>7638</v>
      </c>
      <c r="F1668" s="5" t="s">
        <v>7639</v>
      </c>
      <c r="H1668" s="5">
        <v>573024083398</v>
      </c>
      <c r="J1668" s="5" t="s">
        <v>7640</v>
      </c>
      <c r="K1668" s="5"/>
      <c r="L1668" s="5" t="s">
        <v>7641</v>
      </c>
      <c r="M1668" s="5" t="s">
        <v>7642</v>
      </c>
      <c r="N1668" s="6">
        <v>46067</v>
      </c>
      <c r="O1668" s="7">
        <v>0.54166666666666663</v>
      </c>
      <c r="P1668" s="5">
        <v>1</v>
      </c>
      <c r="Q1668" s="5" t="s">
        <v>7643</v>
      </c>
      <c r="R1668" s="5">
        <v>1320000</v>
      </c>
      <c r="S1668" s="5">
        <v>0</v>
      </c>
      <c r="T1668" s="5"/>
      <c r="U1668" s="5">
        <v>1320000</v>
      </c>
      <c r="V1668" s="5"/>
      <c r="W1668" s="5" t="s">
        <v>36</v>
      </c>
      <c r="X1668" s="5" t="s">
        <v>7644</v>
      </c>
      <c r="AA1668" s="5" t="s">
        <v>44</v>
      </c>
      <c r="AB1668" s="5" t="s">
        <v>7645</v>
      </c>
      <c r="AC1668" s="8" t="str">
        <f>HYPERLINK("https://drive.google.com/file/d/1xjGR3faG5qMyY0hjAvJLOEbVy_rz3_cf/view?usp=drivesdk", "Abrir_Factura")</f>
        <v>Abrir_Factura</v>
      </c>
      <c r="AD1668" s="9">
        <v>46050.573217592595</v>
      </c>
    </row>
    <row r="1669" spans="1:30" ht="12.5">
      <c r="A1669" s="4">
        <v>46050.572605277775</v>
      </c>
      <c r="B1669" s="5">
        <v>91407</v>
      </c>
      <c r="C1669" s="5">
        <v>1140815803</v>
      </c>
      <c r="D1669" s="5" t="s">
        <v>825</v>
      </c>
      <c r="F1669" s="5" t="s">
        <v>6315</v>
      </c>
      <c r="H1669" s="5">
        <v>573005514268</v>
      </c>
      <c r="J1669" s="5" t="s">
        <v>7646</v>
      </c>
      <c r="K1669" s="5" t="s">
        <v>63</v>
      </c>
      <c r="L1669" s="5" t="s">
        <v>7647</v>
      </c>
      <c r="M1669" s="5">
        <v>3005514268</v>
      </c>
      <c r="N1669" s="6">
        <v>46050</v>
      </c>
      <c r="O1669" s="7">
        <v>0.625</v>
      </c>
      <c r="P1669" s="5">
        <v>1</v>
      </c>
      <c r="Q1669" s="5" t="s">
        <v>375</v>
      </c>
      <c r="R1669" s="5">
        <v>80000</v>
      </c>
      <c r="S1669" s="5">
        <v>0</v>
      </c>
      <c r="T1669" s="5">
        <v>17000</v>
      </c>
      <c r="U1669" s="5">
        <v>97000</v>
      </c>
      <c r="V1669" s="5" t="s">
        <v>7648</v>
      </c>
      <c r="W1669" s="5" t="s">
        <v>36</v>
      </c>
      <c r="X1669" s="5" t="s">
        <v>67</v>
      </c>
      <c r="Z1669" s="5" t="s">
        <v>686</v>
      </c>
      <c r="AA1669" s="5" t="s">
        <v>44</v>
      </c>
      <c r="AC1669" s="8" t="str">
        <f>HYPERLINK("https://drive.google.com/file/d/1AARUMDOt2u6CnvD8zzaOFOER7JFFJgDf/view?usp=drivesdk", "Abrir_Factura")</f>
        <v>Abrir_Factura</v>
      </c>
      <c r="AD1669" s="9">
        <v>46050.578680555554</v>
      </c>
    </row>
    <row r="1670" spans="1:30" ht="12.5">
      <c r="A1670" s="4">
        <v>46050.604766087963</v>
      </c>
      <c r="B1670" s="5">
        <v>91408</v>
      </c>
      <c r="C1670" s="5">
        <v>1129572558</v>
      </c>
      <c r="D1670" s="5" t="s">
        <v>7649</v>
      </c>
      <c r="F1670" s="5" t="s">
        <v>7650</v>
      </c>
      <c r="H1670" s="5">
        <v>573003793231</v>
      </c>
      <c r="J1670" s="5" t="s">
        <v>2856</v>
      </c>
      <c r="K1670" s="5" t="s">
        <v>154</v>
      </c>
      <c r="L1670" s="5" t="s">
        <v>7651</v>
      </c>
      <c r="M1670" s="5" t="s">
        <v>7652</v>
      </c>
      <c r="N1670" s="6">
        <v>46050</v>
      </c>
      <c r="O1670" s="7">
        <v>0.16666666666666666</v>
      </c>
      <c r="P1670" s="5">
        <v>1</v>
      </c>
      <c r="Q1670" s="5" t="s">
        <v>375</v>
      </c>
      <c r="R1670" s="5">
        <v>80000</v>
      </c>
      <c r="S1670" s="5">
        <v>0</v>
      </c>
      <c r="T1670" s="5">
        <v>8000</v>
      </c>
      <c r="U1670" s="5">
        <v>88000</v>
      </c>
      <c r="V1670" s="5" t="s">
        <v>7653</v>
      </c>
      <c r="W1670" s="5" t="s">
        <v>36</v>
      </c>
      <c r="X1670" s="5" t="s">
        <v>1937</v>
      </c>
      <c r="Z1670" s="5" t="s">
        <v>7654</v>
      </c>
      <c r="AA1670" s="5" t="s">
        <v>44</v>
      </c>
      <c r="AC1670" s="8" t="str">
        <f>HYPERLINK("https://drive.google.com/file/d/1hUC8xYhYqQkSNhtLVHp7Ad6vCvQgIbMZ/view?usp=drivesdk", "Abrir_Factura")</f>
        <v>Abrir_Factura</v>
      </c>
      <c r="AD1670" s="9">
        <v>46050.614363425928</v>
      </c>
    </row>
    <row r="1671" spans="1:30" ht="12.5">
      <c r="A1671" s="4">
        <v>46050.611046655089</v>
      </c>
      <c r="B1671" s="5">
        <v>91409</v>
      </c>
      <c r="C1671" s="5">
        <v>1140833364</v>
      </c>
      <c r="D1671" s="5" t="s">
        <v>4250</v>
      </c>
      <c r="F1671" s="5" t="s">
        <v>7655</v>
      </c>
      <c r="H1671" s="5">
        <v>573046814886</v>
      </c>
      <c r="J1671" s="5" t="s">
        <v>7656</v>
      </c>
      <c r="K1671" s="5" t="s">
        <v>73</v>
      </c>
      <c r="L1671" s="5" t="s">
        <v>7657</v>
      </c>
      <c r="M1671" s="5">
        <v>3222690652</v>
      </c>
      <c r="N1671" s="6">
        <v>46050</v>
      </c>
      <c r="O1671" s="7">
        <v>0.66666666666666663</v>
      </c>
      <c r="P1671" s="5">
        <v>1</v>
      </c>
      <c r="Q1671" s="5" t="s">
        <v>309</v>
      </c>
      <c r="R1671" s="5">
        <v>88000</v>
      </c>
      <c r="S1671" s="5">
        <v>0</v>
      </c>
      <c r="T1671" s="5">
        <v>8000</v>
      </c>
      <c r="U1671" s="5">
        <v>96000</v>
      </c>
      <c r="V1671" s="5" t="s">
        <v>7658</v>
      </c>
      <c r="W1671" s="5" t="s">
        <v>36</v>
      </c>
      <c r="X1671" s="5" t="s">
        <v>83</v>
      </c>
      <c r="Z1671" s="5" t="s">
        <v>7659</v>
      </c>
      <c r="AA1671" s="5" t="s">
        <v>44</v>
      </c>
      <c r="AC1671" s="8" t="str">
        <f>HYPERLINK("https://drive.google.com/file/d/1saft7TGq1E3VgmfRsDFWrsRydFRf6gvJ/view?usp=drivesdk", "Abrir_Factura")</f>
        <v>Abrir_Factura</v>
      </c>
      <c r="AD1671" s="9">
        <v>46050.619432870371</v>
      </c>
    </row>
    <row r="1672" spans="1:30" ht="12.5">
      <c r="A1672" s="4">
        <v>46050.592226863431</v>
      </c>
      <c r="B1672" s="5">
        <v>91410</v>
      </c>
      <c r="C1672" s="5">
        <v>1140847181</v>
      </c>
      <c r="D1672" s="5" t="s">
        <v>7660</v>
      </c>
      <c r="F1672" s="5" t="s">
        <v>7661</v>
      </c>
      <c r="H1672" s="5">
        <v>573112173067</v>
      </c>
      <c r="J1672" s="5" t="s">
        <v>7662</v>
      </c>
      <c r="K1672" s="5" t="s">
        <v>124</v>
      </c>
      <c r="L1672" s="5" t="s">
        <v>7663</v>
      </c>
      <c r="M1672" s="5">
        <v>3024475628</v>
      </c>
      <c r="N1672" s="6">
        <v>46050</v>
      </c>
      <c r="O1672" s="7">
        <v>0.66666666666666663</v>
      </c>
      <c r="P1672" s="5">
        <v>1</v>
      </c>
      <c r="Q1672" s="5" t="s">
        <v>7664</v>
      </c>
      <c r="R1672" s="5">
        <v>130000</v>
      </c>
      <c r="S1672" s="5">
        <v>0</v>
      </c>
      <c r="T1672" s="5">
        <v>12000</v>
      </c>
      <c r="U1672" s="5">
        <v>142000</v>
      </c>
      <c r="V1672" s="5" t="s">
        <v>7665</v>
      </c>
      <c r="W1672" s="5" t="s">
        <v>36</v>
      </c>
      <c r="X1672" s="5" t="s">
        <v>83</v>
      </c>
      <c r="Z1672" s="5" t="s">
        <v>686</v>
      </c>
      <c r="AA1672" s="5" t="s">
        <v>44</v>
      </c>
      <c r="AC1672" s="8" t="str">
        <f>HYPERLINK("https://drive.google.com/file/d/1GDACAbJn6YEmJA3aoeo652aY7tg1u95D/view?usp=drivesdk", "Abrir_Factura")</f>
        <v>Abrir_Factura</v>
      </c>
      <c r="AD1672" s="9">
        <v>46050.623067129629</v>
      </c>
    </row>
    <row r="1673" spans="1:30" ht="12.5">
      <c r="A1673" s="4">
        <v>46050.617683321761</v>
      </c>
      <c r="B1673" s="5">
        <v>91411</v>
      </c>
      <c r="C1673" s="5">
        <v>1001821483</v>
      </c>
      <c r="D1673" s="5" t="s">
        <v>7666</v>
      </c>
      <c r="F1673" s="5" t="s">
        <v>7667</v>
      </c>
      <c r="H1673" s="5">
        <v>17542682125</v>
      </c>
      <c r="J1673" s="5" t="s">
        <v>7668</v>
      </c>
      <c r="K1673" s="5" t="s">
        <v>5574</v>
      </c>
      <c r="L1673" s="5" t="s">
        <v>7669</v>
      </c>
      <c r="M1673" s="5" t="s">
        <v>25421</v>
      </c>
      <c r="N1673" s="6">
        <v>46050</v>
      </c>
      <c r="O1673" s="7">
        <v>0.66666666666666663</v>
      </c>
      <c r="P1673" s="5">
        <v>1</v>
      </c>
      <c r="Q1673" s="5" t="s">
        <v>422</v>
      </c>
      <c r="R1673" s="5">
        <v>150000</v>
      </c>
      <c r="S1673" s="5">
        <v>0</v>
      </c>
      <c r="T1673" s="5">
        <v>10000</v>
      </c>
      <c r="U1673" s="5">
        <v>160000</v>
      </c>
      <c r="V1673" s="5" t="s">
        <v>7670</v>
      </c>
      <c r="W1673" s="5" t="s">
        <v>36</v>
      </c>
      <c r="X1673" s="5" t="s">
        <v>1937</v>
      </c>
      <c r="Z1673" s="5" t="s">
        <v>7671</v>
      </c>
      <c r="AA1673" s="5" t="s">
        <v>44</v>
      </c>
      <c r="AC1673" s="8" t="str">
        <f>HYPERLINK("https://drive.google.com/file/d/1aNfz8VZnt0L07HBuhV10pMadA8pBii2W/view?usp=drivesdk", "Abrir_Factura")</f>
        <v>Abrir_Factura</v>
      </c>
      <c r="AD1673" s="9">
        <v>46050.624259259261</v>
      </c>
    </row>
    <row r="1674" spans="1:30" ht="12.5">
      <c r="A1674" s="4">
        <v>46050.632927962964</v>
      </c>
      <c r="B1674" s="5">
        <v>91412</v>
      </c>
      <c r="C1674" s="5">
        <v>900467904</v>
      </c>
      <c r="D1674" s="5" t="s">
        <v>2178</v>
      </c>
      <c r="F1674" s="5" t="s">
        <v>2159</v>
      </c>
      <c r="H1674" s="5">
        <v>573015669546</v>
      </c>
      <c r="J1674" s="5" t="s">
        <v>5004</v>
      </c>
      <c r="K1674" s="5"/>
      <c r="L1674" s="5" t="s">
        <v>7672</v>
      </c>
      <c r="M1674" s="5">
        <v>0</v>
      </c>
      <c r="N1674" s="6">
        <v>46051</v>
      </c>
      <c r="O1674" s="7">
        <v>0</v>
      </c>
      <c r="P1674" s="5">
        <v>1</v>
      </c>
      <c r="Q1674" s="5" t="s">
        <v>42</v>
      </c>
      <c r="R1674" s="5">
        <v>204700</v>
      </c>
      <c r="S1674" s="5">
        <v>0</v>
      </c>
      <c r="T1674" s="5"/>
      <c r="U1674" s="5">
        <v>204700</v>
      </c>
      <c r="V1674" s="5"/>
      <c r="W1674" s="5" t="s">
        <v>36</v>
      </c>
      <c r="X1674" s="5" t="s">
        <v>43</v>
      </c>
      <c r="AA1674" s="5" t="s">
        <v>44</v>
      </c>
      <c r="AB1674" s="5" t="s">
        <v>525</v>
      </c>
      <c r="AC1674" s="8" t="str">
        <f>HYPERLINK("https://drive.google.com/file/d/1LOJ6ZgoGHP2ku87PHTyXrtqCngvr2lJ_/view?usp=drivesdk", "Abrir_Factura")</f>
        <v>Abrir_Factura</v>
      </c>
      <c r="AD1674" s="9">
        <v>46051.521354166667</v>
      </c>
    </row>
    <row r="1675" spans="1:30" ht="12.5">
      <c r="A1675" s="4">
        <v>46050.642221875001</v>
      </c>
      <c r="B1675" s="5">
        <v>91413</v>
      </c>
      <c r="C1675" s="5">
        <v>1140866616</v>
      </c>
      <c r="D1675" s="5" t="s">
        <v>7673</v>
      </c>
      <c r="F1675" s="5" t="s">
        <v>7674</v>
      </c>
      <c r="H1675" s="5">
        <v>573007389560</v>
      </c>
      <c r="J1675" s="5" t="s">
        <v>7675</v>
      </c>
      <c r="K1675" s="5"/>
      <c r="L1675" s="5" t="s">
        <v>7676</v>
      </c>
      <c r="M1675" s="5" t="s">
        <v>25421</v>
      </c>
      <c r="N1675" s="6">
        <v>46050</v>
      </c>
      <c r="O1675" s="7">
        <v>0.66666666666666663</v>
      </c>
      <c r="P1675" s="5">
        <v>1</v>
      </c>
      <c r="Q1675" s="5" t="s">
        <v>309</v>
      </c>
      <c r="R1675" s="5">
        <v>98000</v>
      </c>
      <c r="S1675" s="5">
        <v>0</v>
      </c>
      <c r="T1675" s="5"/>
      <c r="U1675" s="5">
        <v>98000</v>
      </c>
      <c r="V1675" s="5" t="s">
        <v>7677</v>
      </c>
      <c r="W1675" s="5" t="s">
        <v>36</v>
      </c>
      <c r="X1675" s="5" t="s">
        <v>67</v>
      </c>
      <c r="AA1675" s="5" t="s">
        <v>69</v>
      </c>
      <c r="AC1675" s="8" t="str">
        <f>HYPERLINK("https://drive.google.com/file/d/1VM9586yA6NkELNYWr97_K5-ZCq1Ve38I/view?usp=drivesdk", "Abrir_Factura")</f>
        <v>Abrir_Factura</v>
      </c>
      <c r="AD1675" s="9">
        <v>46050.758622685185</v>
      </c>
    </row>
    <row r="1676" spans="1:30" ht="12.5">
      <c r="A1676" s="4">
        <v>46050.613754699079</v>
      </c>
      <c r="B1676" s="5">
        <v>91414</v>
      </c>
      <c r="C1676" s="5">
        <v>1065833207</v>
      </c>
      <c r="D1676" s="5" t="s">
        <v>3450</v>
      </c>
      <c r="F1676" s="5" t="s">
        <v>1628</v>
      </c>
      <c r="H1676" s="5">
        <v>575756135617</v>
      </c>
      <c r="J1676" s="5" t="s">
        <v>7678</v>
      </c>
      <c r="K1676" s="5" t="s">
        <v>249</v>
      </c>
      <c r="L1676" s="5" t="s">
        <v>7679</v>
      </c>
      <c r="M1676" s="5" t="s">
        <v>7680</v>
      </c>
      <c r="N1676" s="6">
        <v>46050</v>
      </c>
      <c r="O1676" s="7">
        <v>0.66666666666666663</v>
      </c>
      <c r="P1676" s="5">
        <v>1</v>
      </c>
      <c r="Q1676" s="5" t="s">
        <v>133</v>
      </c>
      <c r="R1676" s="5">
        <v>150000</v>
      </c>
      <c r="S1676" s="5">
        <v>0</v>
      </c>
      <c r="T1676" s="5">
        <v>10000</v>
      </c>
      <c r="U1676" s="5">
        <v>160000</v>
      </c>
      <c r="V1676" s="5" t="s">
        <v>7681</v>
      </c>
      <c r="W1676" s="5" t="s">
        <v>36</v>
      </c>
      <c r="X1676" s="5" t="s">
        <v>67</v>
      </c>
      <c r="Z1676" s="5" t="s">
        <v>7682</v>
      </c>
      <c r="AA1676" s="5" t="s">
        <v>44</v>
      </c>
      <c r="AC1676" s="8" t="str">
        <f>HYPERLINK("https://drive.google.com/file/d/1tSn-xTu_sm1y4a2HkvaGUnvQ9XdmWGKC/view?usp=drivesdk", "Abrir_Factura")</f>
        <v>Abrir_Factura</v>
      </c>
      <c r="AD1676" s="9">
        <v>46050.644456018519</v>
      </c>
    </row>
    <row r="1677" spans="1:30" ht="12.5">
      <c r="A1677" s="4">
        <v>46050.406581921299</v>
      </c>
      <c r="B1677" s="5">
        <v>91415</v>
      </c>
      <c r="C1677" s="5">
        <v>8167901</v>
      </c>
      <c r="D1677" s="5" t="s">
        <v>7683</v>
      </c>
      <c r="F1677" s="5" t="s">
        <v>1901</v>
      </c>
      <c r="H1677" s="5">
        <v>50768513580</v>
      </c>
      <c r="J1677" s="5" t="s">
        <v>7684</v>
      </c>
      <c r="K1677" s="5" t="s">
        <v>448</v>
      </c>
      <c r="L1677" s="5" t="s">
        <v>7685</v>
      </c>
      <c r="M1677" s="5" t="s">
        <v>25421</v>
      </c>
      <c r="N1677" s="6">
        <v>46052</v>
      </c>
      <c r="O1677" s="7">
        <v>0.375</v>
      </c>
      <c r="P1677" s="5">
        <v>1</v>
      </c>
      <c r="Q1677" s="5" t="s">
        <v>458</v>
      </c>
      <c r="R1677" s="5">
        <v>360000</v>
      </c>
      <c r="S1677" s="5">
        <v>0</v>
      </c>
      <c r="T1677" s="5">
        <v>15000</v>
      </c>
      <c r="U1677" s="5">
        <v>375000</v>
      </c>
      <c r="V1677" s="5" t="s">
        <v>7686</v>
      </c>
      <c r="W1677" s="5" t="s">
        <v>36</v>
      </c>
      <c r="X1677" s="5" t="s">
        <v>3754</v>
      </c>
      <c r="Z1677" s="5" t="s">
        <v>7683</v>
      </c>
      <c r="AA1677" s="5" t="s">
        <v>44</v>
      </c>
      <c r="AC1677" s="8" t="str">
        <f>HYPERLINK("https://drive.google.com/file/d/1i03QAx-hg2RpGneETRgl30CX-jyp0fMo/view?usp=drivesdk", "Abrir_Factura")</f>
        <v>Abrir_Factura</v>
      </c>
      <c r="AD1677" s="9">
        <v>46050.675891203704</v>
      </c>
    </row>
    <row r="1678" spans="1:30" ht="12.5">
      <c r="A1678" s="4">
        <v>46050.683377743058</v>
      </c>
      <c r="B1678" s="5">
        <v>91416</v>
      </c>
      <c r="C1678" s="5">
        <v>1140869967</v>
      </c>
      <c r="D1678" s="5" t="s">
        <v>7687</v>
      </c>
      <c r="F1678" s="5" t="s">
        <v>7688</v>
      </c>
      <c r="H1678" s="5">
        <v>573002039141</v>
      </c>
      <c r="J1678" s="5" t="s">
        <v>7689</v>
      </c>
      <c r="K1678" s="5" t="s">
        <v>79</v>
      </c>
      <c r="L1678" s="5" t="s">
        <v>7690</v>
      </c>
      <c r="M1678" s="5">
        <v>3002039141</v>
      </c>
      <c r="N1678" s="6">
        <v>46050</v>
      </c>
      <c r="O1678" s="7">
        <v>0.75</v>
      </c>
      <c r="P1678" s="5">
        <v>1</v>
      </c>
      <c r="Q1678" s="5" t="s">
        <v>7691</v>
      </c>
      <c r="R1678" s="5">
        <v>290000</v>
      </c>
      <c r="S1678" s="5">
        <v>0</v>
      </c>
      <c r="T1678" s="5">
        <v>10000</v>
      </c>
      <c r="U1678" s="5">
        <v>300000</v>
      </c>
      <c r="V1678" s="5" t="s">
        <v>7692</v>
      </c>
      <c r="W1678" s="5" t="s">
        <v>36</v>
      </c>
      <c r="X1678" s="5" t="s">
        <v>67</v>
      </c>
      <c r="Z1678" s="5" t="s">
        <v>7693</v>
      </c>
      <c r="AA1678" s="5" t="s">
        <v>44</v>
      </c>
      <c r="AC1678" s="8" t="str">
        <f>HYPERLINK("https://drive.google.com/file/d/1suAUwsvjwC3gI_1SlbniWiTa1ccKIMnU/view?usp=drivesdk", "Abrir_Factura")</f>
        <v>Abrir_Factura</v>
      </c>
      <c r="AD1678" s="9">
        <v>46050.700902777775</v>
      </c>
    </row>
    <row r="1679" spans="1:30" ht="12.5">
      <c r="A1679" s="4">
        <v>46050.709276585651</v>
      </c>
      <c r="B1679" s="5">
        <v>91417</v>
      </c>
      <c r="C1679" s="5">
        <v>1063948971</v>
      </c>
      <c r="D1679" s="5" t="s">
        <v>7694</v>
      </c>
      <c r="F1679" s="5" t="s">
        <v>7695</v>
      </c>
      <c r="H1679" s="5">
        <v>573207590396</v>
      </c>
      <c r="J1679" s="5" t="s">
        <v>7696</v>
      </c>
      <c r="K1679" s="5" t="s">
        <v>33</v>
      </c>
      <c r="L1679" s="5" t="s">
        <v>34</v>
      </c>
      <c r="M1679" s="5">
        <v>3207590396</v>
      </c>
      <c r="N1679" s="6">
        <v>46050</v>
      </c>
      <c r="O1679" s="7">
        <v>0.75</v>
      </c>
      <c r="P1679" s="5">
        <v>1</v>
      </c>
      <c r="Q1679" s="5" t="s">
        <v>42</v>
      </c>
      <c r="R1679" s="5">
        <v>65000</v>
      </c>
      <c r="S1679" s="5">
        <v>0</v>
      </c>
      <c r="T1679" s="5">
        <v>0</v>
      </c>
      <c r="U1679" s="5">
        <v>65000</v>
      </c>
      <c r="V1679" s="5"/>
      <c r="W1679" s="5" t="s">
        <v>36</v>
      </c>
      <c r="X1679" s="5" t="s">
        <v>67</v>
      </c>
      <c r="AA1679" s="5" t="s">
        <v>44</v>
      </c>
      <c r="AC1679" s="8" t="str">
        <f>HYPERLINK("https://drive.google.com/file/d/1IS_531Ig7ZikrU_z5aaAUX-uSQQ_JlPp/view?usp=drivesdk", "Abrir_Factura")</f>
        <v>Abrir_Factura</v>
      </c>
      <c r="AD1679" s="9">
        <v>46050.709768518522</v>
      </c>
    </row>
    <row r="1680" spans="1:30" ht="12.5">
      <c r="A1680" s="4">
        <v>46050.690471134258</v>
      </c>
      <c r="B1680" s="5">
        <v>91418</v>
      </c>
      <c r="C1680" s="5">
        <v>1045683671</v>
      </c>
      <c r="D1680" s="5" t="s">
        <v>5761</v>
      </c>
      <c r="F1680" s="5" t="s">
        <v>7697</v>
      </c>
      <c r="H1680" s="5">
        <v>447554027109</v>
      </c>
      <c r="J1680" s="5" t="s">
        <v>7698</v>
      </c>
      <c r="K1680" s="5" t="s">
        <v>73</v>
      </c>
      <c r="L1680" s="5" t="s">
        <v>7699</v>
      </c>
      <c r="M1680" s="5"/>
      <c r="N1680" s="6">
        <v>46052</v>
      </c>
      <c r="O1680" s="7">
        <v>0.375</v>
      </c>
      <c r="P1680" s="5">
        <v>1</v>
      </c>
      <c r="Q1680" s="5" t="s">
        <v>222</v>
      </c>
      <c r="R1680" s="5">
        <v>350000</v>
      </c>
      <c r="S1680" s="5">
        <v>0</v>
      </c>
      <c r="T1680" s="5">
        <v>8000</v>
      </c>
      <c r="U1680" s="5">
        <v>358000</v>
      </c>
      <c r="V1680" s="5" t="s">
        <v>7700</v>
      </c>
      <c r="W1680" s="5" t="s">
        <v>36</v>
      </c>
      <c r="X1680" s="5" t="s">
        <v>67</v>
      </c>
      <c r="Z1680" s="5" t="s">
        <v>7701</v>
      </c>
      <c r="AA1680" s="5" t="s">
        <v>44</v>
      </c>
      <c r="AB1680" s="5" t="s">
        <v>7702</v>
      </c>
      <c r="AC1680" s="8" t="str">
        <f>HYPERLINK("https://drive.google.com/file/d/1FpJrv-apfOt8ITxU_cwvSZ-7uRfQZA0j/view?usp=drivesdk", "Abrir_Factura")</f>
        <v>Abrir_Factura</v>
      </c>
      <c r="AD1680" s="9">
        <v>46050.726458333331</v>
      </c>
    </row>
    <row r="1681" spans="1:30" ht="12.5">
      <c r="A1681" s="4">
        <v>46051.309631180557</v>
      </c>
      <c r="B1681" s="5">
        <v>91419</v>
      </c>
      <c r="C1681" s="5">
        <v>75083246</v>
      </c>
      <c r="D1681" s="5" t="s">
        <v>2215</v>
      </c>
      <c r="F1681" s="5" t="s">
        <v>7703</v>
      </c>
      <c r="H1681" s="5">
        <v>573017892923</v>
      </c>
      <c r="J1681" s="5" t="s">
        <v>7704</v>
      </c>
      <c r="K1681" s="5" t="s">
        <v>103</v>
      </c>
      <c r="L1681" s="5" t="s">
        <v>7705</v>
      </c>
      <c r="M1681" s="5">
        <v>3004708070</v>
      </c>
      <c r="N1681" s="6">
        <v>46051</v>
      </c>
      <c r="O1681" s="7">
        <v>0.375</v>
      </c>
      <c r="P1681" s="5">
        <v>1</v>
      </c>
      <c r="Q1681" s="5" t="s">
        <v>458</v>
      </c>
      <c r="R1681" s="5">
        <v>360000</v>
      </c>
      <c r="S1681" s="5">
        <v>0</v>
      </c>
      <c r="T1681" s="5">
        <v>10000</v>
      </c>
      <c r="U1681" s="5">
        <v>370000</v>
      </c>
      <c r="V1681" s="5"/>
      <c r="W1681" s="5" t="s">
        <v>36</v>
      </c>
      <c r="X1681" s="5" t="s">
        <v>67</v>
      </c>
      <c r="AA1681" s="5" t="s">
        <v>44</v>
      </c>
      <c r="AC1681" s="8" t="str">
        <f>HYPERLINK("https://drive.google.com/file/d/1-Oh7zm3y-v_XAED60WHjwcBSK72ehI_d/view?usp=drivesdk", "Abrir_Factura")</f>
        <v>Abrir_Factura</v>
      </c>
      <c r="AD1681" s="9">
        <v>46051.324004629627</v>
      </c>
    </row>
    <row r="1682" spans="1:30" ht="12.5">
      <c r="A1682" s="4">
        <v>46051.33110625</v>
      </c>
      <c r="B1682" s="5">
        <v>91420</v>
      </c>
      <c r="C1682" s="5">
        <v>1140903266</v>
      </c>
      <c r="D1682" s="5" t="s">
        <v>7706</v>
      </c>
      <c r="F1682" s="5" t="s">
        <v>7707</v>
      </c>
      <c r="H1682" s="5">
        <v>573103851418</v>
      </c>
      <c r="J1682" s="5" t="s">
        <v>7708</v>
      </c>
      <c r="K1682" s="5" t="s">
        <v>726</v>
      </c>
      <c r="L1682" s="5" t="s">
        <v>7709</v>
      </c>
      <c r="M1682" s="5">
        <v>3103851418</v>
      </c>
      <c r="N1682" s="6">
        <v>46053</v>
      </c>
      <c r="O1682" s="7">
        <v>0.33333333333333331</v>
      </c>
      <c r="P1682" s="5">
        <v>1</v>
      </c>
      <c r="Q1682" s="5" t="s">
        <v>375</v>
      </c>
      <c r="R1682" s="5">
        <v>80000</v>
      </c>
      <c r="S1682" s="5">
        <v>0</v>
      </c>
      <c r="T1682" s="5">
        <v>9000</v>
      </c>
      <c r="U1682" s="5">
        <v>89000</v>
      </c>
      <c r="V1682" s="5" t="s">
        <v>7710</v>
      </c>
      <c r="W1682" s="5" t="s">
        <v>36</v>
      </c>
      <c r="X1682" s="5" t="s">
        <v>67</v>
      </c>
      <c r="Z1682" s="5" t="s">
        <v>7711</v>
      </c>
      <c r="AA1682" s="5" t="s">
        <v>44</v>
      </c>
      <c r="AB1682" s="5" t="s">
        <v>7712</v>
      </c>
      <c r="AC1682" s="8" t="str">
        <f>HYPERLINK("https://drive.google.com/file/d/1A_te8bKZWmpHd1gTcpRtd2qrdjONF3Qg/view?usp=drivesdk", "Abrir_Factura")</f>
        <v>Abrir_Factura</v>
      </c>
      <c r="AD1682" s="9">
        <v>46051.349120370367</v>
      </c>
    </row>
    <row r="1683" spans="1:30" ht="12.5">
      <c r="A1683" s="4">
        <v>46051.355195833334</v>
      </c>
      <c r="B1683" s="5">
        <v>91421</v>
      </c>
      <c r="C1683" s="5">
        <v>45480264</v>
      </c>
      <c r="D1683" s="5" t="s">
        <v>7713</v>
      </c>
      <c r="F1683" s="5" t="s">
        <v>7714</v>
      </c>
      <c r="H1683" s="5">
        <v>573157545734</v>
      </c>
      <c r="J1683" s="5" t="s">
        <v>7715</v>
      </c>
      <c r="K1683" s="5" t="s">
        <v>73</v>
      </c>
      <c r="L1683" s="5" t="s">
        <v>7716</v>
      </c>
      <c r="M1683" s="5">
        <v>3157545734</v>
      </c>
      <c r="N1683" s="6">
        <v>46053</v>
      </c>
      <c r="O1683" s="7">
        <v>0.66666666666666663</v>
      </c>
      <c r="P1683" s="5">
        <v>1</v>
      </c>
      <c r="Q1683" s="5" t="s">
        <v>42</v>
      </c>
      <c r="R1683" s="5">
        <v>320000</v>
      </c>
      <c r="S1683" s="5">
        <v>0</v>
      </c>
      <c r="T1683" s="5">
        <v>8000</v>
      </c>
      <c r="U1683" s="5">
        <v>328000</v>
      </c>
      <c r="V1683" s="5"/>
      <c r="W1683" s="5" t="s">
        <v>36</v>
      </c>
      <c r="X1683" s="5" t="s">
        <v>67</v>
      </c>
      <c r="AA1683" s="5" t="s">
        <v>69</v>
      </c>
      <c r="AB1683" s="5" t="s">
        <v>7717</v>
      </c>
      <c r="AC1683" s="8" t="str">
        <f>HYPERLINK("https://drive.google.com/file/d/1_dvAlHsf7VMutLZsQ13nGfaQghKDBPp-/view?usp=drivesdk", "Abrir_Factura")</f>
        <v>Abrir_Factura</v>
      </c>
      <c r="AD1683" s="9">
        <v>46051.361516203702</v>
      </c>
    </row>
    <row r="1684" spans="1:30" ht="12.5">
      <c r="A1684" s="4">
        <v>46051.387152557872</v>
      </c>
      <c r="B1684" s="5">
        <v>91422</v>
      </c>
      <c r="C1684" s="5">
        <v>85470895</v>
      </c>
      <c r="D1684" s="5" t="s">
        <v>5182</v>
      </c>
      <c r="F1684" s="5" t="s">
        <v>5923</v>
      </c>
      <c r="H1684" s="5">
        <v>573006624819</v>
      </c>
      <c r="J1684" s="5" t="s">
        <v>7718</v>
      </c>
      <c r="K1684" s="5" t="s">
        <v>110</v>
      </c>
      <c r="L1684" s="5" t="s">
        <v>7719</v>
      </c>
      <c r="M1684" s="5"/>
      <c r="N1684" s="6">
        <v>46051</v>
      </c>
      <c r="O1684" s="7">
        <v>0.40833333333333333</v>
      </c>
      <c r="P1684" s="5">
        <v>1</v>
      </c>
      <c r="Q1684" s="5" t="s">
        <v>384</v>
      </c>
      <c r="R1684" s="5">
        <v>200000</v>
      </c>
      <c r="S1684" s="5">
        <v>0</v>
      </c>
      <c r="T1684" s="5">
        <v>6000</v>
      </c>
      <c r="U1684" s="5">
        <v>206000</v>
      </c>
      <c r="V1684" s="5" t="s">
        <v>7720</v>
      </c>
      <c r="W1684" s="5" t="s">
        <v>36</v>
      </c>
      <c r="X1684" s="5" t="s">
        <v>1937</v>
      </c>
      <c r="Z1684" s="5" t="s">
        <v>7721</v>
      </c>
      <c r="AA1684" s="5" t="s">
        <v>44</v>
      </c>
      <c r="AC1684" s="8" t="str">
        <f>HYPERLINK("https://drive.google.com/file/d/1pgWDiBPUzcZMl7Db70Ny69N6_-1DFwzL/view?usp=drivesdk", "Abrir_Factura")</f>
        <v>Abrir_Factura</v>
      </c>
      <c r="AD1684" s="9">
        <v>46051.389722222222</v>
      </c>
    </row>
    <row r="1685" spans="1:30" ht="12.5">
      <c r="A1685" s="4">
        <v>46051.391391226847</v>
      </c>
      <c r="B1685" s="5">
        <v>91423</v>
      </c>
      <c r="C1685" s="5">
        <v>1122402913</v>
      </c>
      <c r="D1685" s="5" t="s">
        <v>4856</v>
      </c>
      <c r="F1685" s="5" t="s">
        <v>7722</v>
      </c>
      <c r="H1685" s="5">
        <v>573171550007</v>
      </c>
      <c r="J1685" s="5" t="s">
        <v>7723</v>
      </c>
      <c r="K1685" s="5" t="s">
        <v>79</v>
      </c>
      <c r="L1685" s="5" t="s">
        <v>7724</v>
      </c>
      <c r="M1685" s="5" t="s">
        <v>7725</v>
      </c>
      <c r="N1685" s="6">
        <v>46052</v>
      </c>
      <c r="O1685" s="7">
        <v>0.41666666666666669</v>
      </c>
      <c r="P1685" s="5">
        <v>1</v>
      </c>
      <c r="Q1685" s="5" t="s">
        <v>4021</v>
      </c>
      <c r="R1685" s="5">
        <v>240000</v>
      </c>
      <c r="S1685" s="5">
        <v>0</v>
      </c>
      <c r="T1685" s="5">
        <v>10000</v>
      </c>
      <c r="U1685" s="5">
        <v>250000</v>
      </c>
      <c r="V1685" s="5" t="s">
        <v>7726</v>
      </c>
      <c r="W1685" s="5" t="s">
        <v>36</v>
      </c>
      <c r="X1685" s="5" t="s">
        <v>67</v>
      </c>
      <c r="Z1685" s="5" t="s">
        <v>7727</v>
      </c>
      <c r="AA1685" s="5" t="s">
        <v>44</v>
      </c>
      <c r="AC1685" s="8" t="str">
        <f>HYPERLINK("https://drive.google.com/file/d/19ZMB7_IaLmqJQu1ibOOkC6CFMLR3w17K/view?usp=drivesdk", "Abrir_Factura")</f>
        <v>Abrir_Factura</v>
      </c>
      <c r="AD1685" s="9">
        <v>46051.40116898148</v>
      </c>
    </row>
    <row r="1686" spans="1:30" ht="12.5">
      <c r="A1686" s="4">
        <v>46051.390913078707</v>
      </c>
      <c r="B1686" s="5">
        <v>91424</v>
      </c>
      <c r="C1686" s="5">
        <v>80779097</v>
      </c>
      <c r="D1686" s="5" t="s">
        <v>1051</v>
      </c>
      <c r="F1686" s="5" t="s">
        <v>7728</v>
      </c>
      <c r="H1686" s="5">
        <v>14438463365</v>
      </c>
      <c r="J1686" s="5" t="s">
        <v>7729</v>
      </c>
      <c r="K1686" s="5" t="s">
        <v>328</v>
      </c>
      <c r="L1686" s="5" t="s">
        <v>7730</v>
      </c>
      <c r="M1686" s="5" t="s">
        <v>25421</v>
      </c>
      <c r="N1686" s="6">
        <v>46054</v>
      </c>
      <c r="O1686" s="7">
        <v>0.45833333333333331</v>
      </c>
      <c r="P1686" s="5">
        <v>1</v>
      </c>
      <c r="Q1686" s="5" t="s">
        <v>42</v>
      </c>
      <c r="R1686" s="5">
        <v>80000</v>
      </c>
      <c r="S1686" s="5">
        <v>0</v>
      </c>
      <c r="T1686" s="5">
        <v>12000</v>
      </c>
      <c r="U1686" s="5">
        <v>92000</v>
      </c>
      <c r="V1686" s="5" t="s">
        <v>7731</v>
      </c>
      <c r="W1686" s="5" t="s">
        <v>36</v>
      </c>
      <c r="X1686" s="5" t="s">
        <v>1937</v>
      </c>
      <c r="Z1686" s="5" t="s">
        <v>7732</v>
      </c>
      <c r="AA1686" s="5" t="s">
        <v>44</v>
      </c>
      <c r="AB1686" s="5" t="s">
        <v>7733</v>
      </c>
      <c r="AC1686" s="8" t="str">
        <f>HYPERLINK("https://drive.google.com/file/d/19UFtY2TSaAS2C7ecA9zXdXkDjzUWI3Xv/view?usp=drivesdk", "Abrir_Factura")</f>
        <v>Abrir_Factura</v>
      </c>
      <c r="AD1686" s="9">
        <v>46051.404664351852</v>
      </c>
    </row>
    <row r="1687" spans="1:30" ht="12.5">
      <c r="A1687" s="4">
        <v>46051.399438541666</v>
      </c>
      <c r="B1687" s="5">
        <v>91425</v>
      </c>
      <c r="C1687" s="5">
        <v>1010003390</v>
      </c>
      <c r="D1687" s="5" t="s">
        <v>703</v>
      </c>
      <c r="F1687" s="5" t="s">
        <v>1585</v>
      </c>
      <c r="H1687" s="5">
        <v>573122167615</v>
      </c>
      <c r="J1687" s="5" t="s">
        <v>7734</v>
      </c>
      <c r="K1687" s="5" t="s">
        <v>185</v>
      </c>
      <c r="L1687" s="5" t="s">
        <v>7735</v>
      </c>
      <c r="M1687" s="5">
        <v>6053029538</v>
      </c>
      <c r="N1687" s="6">
        <v>46053</v>
      </c>
      <c r="O1687" s="7">
        <v>0.45833333333333331</v>
      </c>
      <c r="P1687" s="5">
        <v>1</v>
      </c>
      <c r="Q1687" s="5" t="s">
        <v>65</v>
      </c>
      <c r="R1687" s="5">
        <v>80000</v>
      </c>
      <c r="S1687" s="5">
        <v>0</v>
      </c>
      <c r="T1687" s="5">
        <v>8000</v>
      </c>
      <c r="U1687" s="5">
        <v>88000</v>
      </c>
      <c r="V1687" s="5" t="s">
        <v>7736</v>
      </c>
      <c r="W1687" s="5" t="s">
        <v>36</v>
      </c>
      <c r="X1687" s="5" t="s">
        <v>67</v>
      </c>
      <c r="Z1687" s="5" t="s">
        <v>7737</v>
      </c>
      <c r="AA1687" s="5" t="s">
        <v>44</v>
      </c>
      <c r="AC1687" s="8" t="str">
        <f>HYPERLINK("https://drive.google.com/file/d/1-DL77ashurCYjO2G0p0jHAHdtveHiwHN/view?usp=drivesdk", "Abrir_Factura")</f>
        <v>Abrir_Factura</v>
      </c>
      <c r="AD1687" s="9">
        <v>46051.409108796295</v>
      </c>
    </row>
    <row r="1688" spans="1:30" ht="12.5">
      <c r="A1688" s="4">
        <v>46051.422662268524</v>
      </c>
      <c r="B1688" s="5">
        <v>91426</v>
      </c>
      <c r="C1688" s="5">
        <v>72313986</v>
      </c>
      <c r="D1688" s="5" t="s">
        <v>7738</v>
      </c>
      <c r="F1688" s="5" t="s">
        <v>5573</v>
      </c>
      <c r="H1688" s="5">
        <v>573113631663</v>
      </c>
      <c r="J1688" s="5" t="s">
        <v>7739</v>
      </c>
      <c r="K1688" s="5" t="s">
        <v>154</v>
      </c>
      <c r="L1688" s="5" t="s">
        <v>7740</v>
      </c>
      <c r="M1688" s="5">
        <v>3233272297</v>
      </c>
      <c r="N1688" s="6">
        <v>46051</v>
      </c>
      <c r="O1688" s="7">
        <v>0.45833333333333331</v>
      </c>
      <c r="P1688" s="5">
        <v>1</v>
      </c>
      <c r="Q1688" s="5" t="s">
        <v>384</v>
      </c>
      <c r="R1688" s="5">
        <v>200000</v>
      </c>
      <c r="S1688" s="5">
        <v>0</v>
      </c>
      <c r="T1688" s="5">
        <v>8000</v>
      </c>
      <c r="U1688" s="5">
        <v>208000</v>
      </c>
      <c r="V1688" s="5" t="s">
        <v>7741</v>
      </c>
      <c r="W1688" s="5" t="s">
        <v>36</v>
      </c>
      <c r="X1688" s="5" t="s">
        <v>196</v>
      </c>
      <c r="AA1688" s="5" t="s">
        <v>1717</v>
      </c>
      <c r="AC1688" s="8" t="str">
        <f>HYPERLINK("https://drive.google.com/file/d/1qHD1_e2zpJWEAuPNuCvpVWlAuF36G4MS/view?usp=drivesdk", "Abrir_Factura")</f>
        <v>Abrir_Factura</v>
      </c>
      <c r="AD1688" s="9">
        <v>46051.425636574073</v>
      </c>
    </row>
    <row r="1689" spans="1:30" ht="12.5">
      <c r="A1689" s="4">
        <v>46051.473158564811</v>
      </c>
      <c r="B1689" s="5">
        <v>91427</v>
      </c>
      <c r="C1689" s="5">
        <v>1129577077</v>
      </c>
      <c r="D1689" s="5" t="s">
        <v>3301</v>
      </c>
      <c r="F1689" s="5" t="s">
        <v>5364</v>
      </c>
      <c r="H1689" s="5">
        <v>573146014820</v>
      </c>
      <c r="J1689" s="5" t="s">
        <v>5365</v>
      </c>
      <c r="K1689" s="5" t="s">
        <v>33</v>
      </c>
      <c r="L1689" s="5" t="s">
        <v>34</v>
      </c>
      <c r="M1689" s="5">
        <v>3146014820</v>
      </c>
      <c r="N1689" s="6">
        <v>46051</v>
      </c>
      <c r="O1689" s="7">
        <v>0</v>
      </c>
      <c r="P1689" s="5">
        <v>1</v>
      </c>
      <c r="Q1689" s="5" t="s">
        <v>42</v>
      </c>
      <c r="R1689" s="5">
        <v>25000</v>
      </c>
      <c r="S1689" s="5">
        <v>0</v>
      </c>
      <c r="T1689" s="5">
        <v>0</v>
      </c>
      <c r="U1689" s="5">
        <v>25000</v>
      </c>
      <c r="V1689" s="5"/>
      <c r="W1689" s="5" t="s">
        <v>36</v>
      </c>
      <c r="X1689" s="5" t="s">
        <v>1705</v>
      </c>
      <c r="AA1689" s="5" t="s">
        <v>1717</v>
      </c>
      <c r="AB1689" s="5" t="s">
        <v>525</v>
      </c>
      <c r="AC1689" s="8" t="str">
        <f>HYPERLINK("https://drive.google.com/file/d/1sBdxNqd_szm60TzV87ssn2G82aNI7hm-/view?usp=drivesdk", "Abrir_Factura")</f>
        <v>Abrir_Factura</v>
      </c>
      <c r="AD1689" s="9">
        <v>46051.473761574074</v>
      </c>
    </row>
    <row r="1690" spans="1:30" ht="12.5">
      <c r="A1690" s="4">
        <v>46051.48086387731</v>
      </c>
      <c r="B1690" s="5">
        <v>91428</v>
      </c>
      <c r="C1690" s="5">
        <v>1003952613</v>
      </c>
      <c r="D1690" s="5" t="s">
        <v>698</v>
      </c>
      <c r="F1690" s="5" t="s">
        <v>699</v>
      </c>
      <c r="H1690" s="5">
        <v>573007285223</v>
      </c>
      <c r="J1690" s="5" t="s">
        <v>7742</v>
      </c>
      <c r="K1690" s="5" t="s">
        <v>103</v>
      </c>
      <c r="L1690" s="5" t="s">
        <v>7743</v>
      </c>
      <c r="M1690" s="5"/>
      <c r="N1690" s="6">
        <v>46053</v>
      </c>
      <c r="O1690" s="7">
        <v>0</v>
      </c>
      <c r="P1690" s="5">
        <v>1</v>
      </c>
      <c r="Q1690" s="5" t="s">
        <v>1203</v>
      </c>
      <c r="R1690" s="5">
        <v>300000</v>
      </c>
      <c r="S1690" s="5">
        <v>0</v>
      </c>
      <c r="T1690" s="5">
        <v>10000</v>
      </c>
      <c r="U1690" s="5">
        <v>310000</v>
      </c>
      <c r="V1690" s="5"/>
      <c r="W1690" s="5" t="s">
        <v>36</v>
      </c>
      <c r="X1690" s="5" t="s">
        <v>1705</v>
      </c>
      <c r="AA1690" s="5" t="s">
        <v>1717</v>
      </c>
      <c r="AC1690" s="8" t="str">
        <f>HYPERLINK("https://drive.google.com/file/d/1MYNFMpvAoesdwLy2TJVQQiytmiC9ORYF/view?usp=drivesdk", "Abrir_Factura")</f>
        <v>Abrir_Factura</v>
      </c>
      <c r="AD1690" s="9">
        <v>46051.481423611112</v>
      </c>
    </row>
    <row r="1691" spans="1:30" ht="12.5">
      <c r="A1691" s="4">
        <v>46051.482653032406</v>
      </c>
      <c r="B1691" s="5">
        <v>91429</v>
      </c>
      <c r="C1691" s="5">
        <v>1140896053</v>
      </c>
      <c r="D1691" s="5" t="s">
        <v>7744</v>
      </c>
      <c r="F1691" s="5" t="s">
        <v>7745</v>
      </c>
      <c r="H1691" s="5">
        <v>573003327114</v>
      </c>
      <c r="J1691" s="5" t="s">
        <v>7746</v>
      </c>
      <c r="K1691" s="5" t="s">
        <v>598</v>
      </c>
      <c r="L1691" s="5" t="s">
        <v>7747</v>
      </c>
      <c r="M1691" s="5" t="s">
        <v>7748</v>
      </c>
      <c r="N1691" s="6">
        <v>46053</v>
      </c>
      <c r="O1691" s="7">
        <v>0.375</v>
      </c>
      <c r="P1691" s="5">
        <v>1</v>
      </c>
      <c r="Q1691" s="5" t="s">
        <v>7749</v>
      </c>
      <c r="R1691" s="5">
        <v>145000</v>
      </c>
      <c r="S1691" s="5">
        <v>0</v>
      </c>
      <c r="T1691" s="5">
        <v>10000</v>
      </c>
      <c r="U1691" s="5">
        <v>155000</v>
      </c>
      <c r="V1691" s="5"/>
      <c r="W1691" s="5" t="s">
        <v>36</v>
      </c>
      <c r="X1691" s="5" t="s">
        <v>67</v>
      </c>
      <c r="Z1691" s="5" t="s">
        <v>7750</v>
      </c>
      <c r="AA1691" s="5" t="s">
        <v>44</v>
      </c>
      <c r="AB1691" s="5" t="s">
        <v>7751</v>
      </c>
      <c r="AC1691" s="8" t="str">
        <f>HYPERLINK("https://drive.google.com/file/d/1_NCGNk0QqI2meya-qMnlE87FUXLoeSFv/view?usp=drivesdk", "Abrir_Factura")</f>
        <v>Abrir_Factura</v>
      </c>
      <c r="AD1691" s="9">
        <v>46051.490636574075</v>
      </c>
    </row>
    <row r="1692" spans="1:30" ht="12.5">
      <c r="A1692" s="4">
        <v>46051.476719409722</v>
      </c>
      <c r="B1692" s="5">
        <v>91430</v>
      </c>
      <c r="C1692" s="5">
        <v>1220463717</v>
      </c>
      <c r="D1692" s="5" t="s">
        <v>2101</v>
      </c>
      <c r="F1692" s="5" t="s">
        <v>7752</v>
      </c>
      <c r="H1692" s="5">
        <v>5717865256179</v>
      </c>
      <c r="J1692" s="5" t="s">
        <v>7753</v>
      </c>
      <c r="K1692" s="5" t="s">
        <v>103</v>
      </c>
      <c r="L1692" s="5" t="s">
        <v>7754</v>
      </c>
      <c r="M1692" s="5"/>
      <c r="N1692" s="6">
        <v>46051</v>
      </c>
      <c r="O1692" s="7">
        <v>0</v>
      </c>
      <c r="P1692" s="5">
        <v>1</v>
      </c>
      <c r="Q1692" s="5" t="s">
        <v>42</v>
      </c>
      <c r="R1692" s="5">
        <v>260000</v>
      </c>
      <c r="S1692" s="5">
        <v>0</v>
      </c>
      <c r="T1692" s="5">
        <v>10000</v>
      </c>
      <c r="U1692" s="5">
        <v>270000</v>
      </c>
      <c r="V1692" s="5" t="s">
        <v>7755</v>
      </c>
      <c r="W1692" s="5" t="s">
        <v>36</v>
      </c>
      <c r="X1692" s="5" t="s">
        <v>2151</v>
      </c>
      <c r="AA1692" s="5" t="s">
        <v>44</v>
      </c>
      <c r="AB1692" s="5" t="s">
        <v>7756</v>
      </c>
      <c r="AC1692" s="8" t="str">
        <f>HYPERLINK("https://drive.google.com/file/d/1EsiMMHccotrojxrd0HVm3_FYcIeX1_Qr/view?usp=drivesdk", "Abrir_Factura")</f>
        <v>Abrir_Factura</v>
      </c>
      <c r="AD1692" s="9">
        <v>46051.512025462966</v>
      </c>
    </row>
    <row r="1693" spans="1:30" ht="12.5">
      <c r="A1693" s="4">
        <v>46051.575895995367</v>
      </c>
      <c r="B1693" s="5">
        <v>91431</v>
      </c>
      <c r="C1693" s="5">
        <v>72292061</v>
      </c>
      <c r="D1693" s="5" t="s">
        <v>4254</v>
      </c>
      <c r="F1693" s="5" t="s">
        <v>7757</v>
      </c>
      <c r="H1693" s="5">
        <v>573152500267</v>
      </c>
      <c r="J1693" s="5" t="s">
        <v>7758</v>
      </c>
      <c r="K1693" s="5" t="s">
        <v>185</v>
      </c>
      <c r="L1693" s="5" t="s">
        <v>7759</v>
      </c>
      <c r="M1693" s="5">
        <v>3152500267</v>
      </c>
      <c r="N1693" s="6">
        <v>46051</v>
      </c>
      <c r="O1693" s="7">
        <v>0.58333333333333337</v>
      </c>
      <c r="P1693" s="5">
        <v>1</v>
      </c>
      <c r="Q1693" s="5" t="s">
        <v>65</v>
      </c>
      <c r="R1693" s="5">
        <v>80000</v>
      </c>
      <c r="S1693" s="5">
        <v>0</v>
      </c>
      <c r="T1693" s="5">
        <v>8000</v>
      </c>
      <c r="U1693" s="5">
        <v>88000</v>
      </c>
      <c r="V1693" s="5" t="s">
        <v>7760</v>
      </c>
      <c r="W1693" s="5" t="s">
        <v>36</v>
      </c>
      <c r="X1693" s="5" t="s">
        <v>67</v>
      </c>
      <c r="Z1693" s="5" t="s">
        <v>7761</v>
      </c>
      <c r="AA1693" s="5" t="s">
        <v>44</v>
      </c>
      <c r="AB1693" s="5" t="s">
        <v>1806</v>
      </c>
      <c r="AC1693" s="8" t="str">
        <f>HYPERLINK("https://drive.google.com/file/d/1g4Yk15ero1RjdE7TmIKH_16bcZyyrrkt/view?usp=drivesdk", "Abrir_Factura")</f>
        <v>Abrir_Factura</v>
      </c>
      <c r="AD1693" s="9">
        <v>46051.582048611112</v>
      </c>
    </row>
    <row r="1694" spans="1:30" ht="12.5">
      <c r="A1694" s="4">
        <v>46051.583675752314</v>
      </c>
      <c r="B1694" s="5">
        <v>91432</v>
      </c>
      <c r="C1694" s="5">
        <v>1010001335</v>
      </c>
      <c r="D1694" s="5" t="s">
        <v>1069</v>
      </c>
      <c r="F1694" s="5" t="s">
        <v>7762</v>
      </c>
      <c r="H1694" s="5">
        <v>573164868034</v>
      </c>
      <c r="J1694" s="5" t="s">
        <v>7763</v>
      </c>
      <c r="K1694" s="5" t="s">
        <v>124</v>
      </c>
      <c r="L1694" s="5" t="s">
        <v>7764</v>
      </c>
      <c r="M1694" s="5">
        <v>3176690457</v>
      </c>
      <c r="N1694" s="6">
        <v>46051</v>
      </c>
      <c r="O1694" s="7">
        <v>0.625</v>
      </c>
      <c r="P1694" s="5">
        <v>1</v>
      </c>
      <c r="Q1694" s="5" t="s">
        <v>422</v>
      </c>
      <c r="R1694" s="5">
        <v>150000</v>
      </c>
      <c r="S1694" s="5">
        <v>0</v>
      </c>
      <c r="T1694" s="5">
        <v>12000</v>
      </c>
      <c r="U1694" s="5">
        <v>162000</v>
      </c>
      <c r="V1694" s="5" t="s">
        <v>7765</v>
      </c>
      <c r="W1694" s="5" t="s">
        <v>36</v>
      </c>
      <c r="X1694" s="5" t="s">
        <v>67</v>
      </c>
      <c r="Z1694" s="5" t="s">
        <v>7766</v>
      </c>
      <c r="AA1694" s="5" t="s">
        <v>44</v>
      </c>
      <c r="AB1694" s="5" t="s">
        <v>7767</v>
      </c>
      <c r="AC1694" s="8" t="str">
        <f>HYPERLINK("https://drive.google.com/file/d/1_QZ1u4bgrr0f0ut-qJ9IdLBd1SZawaA2/view?usp=drivesdk", "Abrir_Factura")</f>
        <v>Abrir_Factura</v>
      </c>
      <c r="AD1694" s="9">
        <v>46051.596759259257</v>
      </c>
    </row>
    <row r="1695" spans="1:30" ht="12.5">
      <c r="A1695" s="4">
        <v>46051.599700648148</v>
      </c>
      <c r="B1695" s="5">
        <v>91433</v>
      </c>
      <c r="C1695" s="5">
        <v>1237690586</v>
      </c>
      <c r="D1695" s="5" t="s">
        <v>3982</v>
      </c>
      <c r="F1695" s="5" t="s">
        <v>7768</v>
      </c>
      <c r="H1695" s="5">
        <v>573006748354</v>
      </c>
      <c r="J1695" s="5" t="s">
        <v>7769</v>
      </c>
      <c r="K1695" s="5" t="s">
        <v>33</v>
      </c>
      <c r="L1695" s="5" t="s">
        <v>34</v>
      </c>
      <c r="M1695" s="5">
        <v>3006748354</v>
      </c>
      <c r="N1695" s="6">
        <v>46051</v>
      </c>
      <c r="O1695" s="7">
        <v>0</v>
      </c>
      <c r="P1695" s="5">
        <v>1</v>
      </c>
      <c r="Q1695" s="5" t="s">
        <v>42</v>
      </c>
      <c r="R1695" s="5">
        <v>35000</v>
      </c>
      <c r="S1695" s="5">
        <v>0</v>
      </c>
      <c r="T1695" s="5">
        <v>0</v>
      </c>
      <c r="U1695" s="5">
        <v>35000</v>
      </c>
      <c r="V1695" s="5"/>
      <c r="W1695" s="5" t="s">
        <v>36</v>
      </c>
      <c r="X1695" s="5" t="s">
        <v>196</v>
      </c>
      <c r="AA1695" s="5" t="s">
        <v>1717</v>
      </c>
      <c r="AB1695" s="5" t="s">
        <v>525</v>
      </c>
      <c r="AC1695" s="8" t="str">
        <f>HYPERLINK("https://drive.google.com/file/d/1gyN2bDYF1otVbLx80rwRd6kvjG2AbZ-o/view?usp=drivesdk", "Abrir_Factura")</f>
        <v>Abrir_Factura</v>
      </c>
      <c r="AD1695" s="9">
        <v>46051.601898148147</v>
      </c>
    </row>
    <row r="1696" spans="1:30" ht="12.5">
      <c r="A1696" s="4">
        <v>46051.610799560185</v>
      </c>
      <c r="B1696" s="5">
        <v>91434</v>
      </c>
      <c r="C1696" s="5">
        <v>1018484473</v>
      </c>
      <c r="D1696" s="5" t="s">
        <v>7770</v>
      </c>
      <c r="F1696" s="5" t="s">
        <v>7771</v>
      </c>
      <c r="H1696" s="5">
        <v>573007657567</v>
      </c>
      <c r="J1696" s="5" t="s">
        <v>7772</v>
      </c>
      <c r="K1696" s="5" t="s">
        <v>33</v>
      </c>
      <c r="L1696" s="5" t="s">
        <v>34</v>
      </c>
      <c r="M1696" s="5">
        <v>3007657567</v>
      </c>
      <c r="N1696" s="6">
        <v>46051</v>
      </c>
      <c r="O1696" s="7">
        <v>0</v>
      </c>
      <c r="P1696" s="5">
        <v>1</v>
      </c>
      <c r="Q1696" s="5" t="s">
        <v>42</v>
      </c>
      <c r="R1696" s="5">
        <v>180000</v>
      </c>
      <c r="S1696" s="5">
        <v>0</v>
      </c>
      <c r="T1696" s="5">
        <v>0</v>
      </c>
      <c r="U1696" s="5">
        <v>180000</v>
      </c>
      <c r="V1696" s="5"/>
      <c r="W1696" s="5" t="s">
        <v>36</v>
      </c>
      <c r="X1696" s="5" t="s">
        <v>1481</v>
      </c>
      <c r="AA1696" s="5" t="s">
        <v>69</v>
      </c>
      <c r="AB1696" s="5" t="s">
        <v>7773</v>
      </c>
      <c r="AC1696" s="8" t="str">
        <f>HYPERLINK("https://drive.google.com/file/d/11kePV5NuEqFDwHpceXbdTZ_YkS-in85n/view?usp=drivesdk", "Abrir_Factura")</f>
        <v>Abrir_Factura</v>
      </c>
      <c r="AD1696" s="9">
        <v>46051.611342592594</v>
      </c>
    </row>
    <row r="1697" spans="1:30" ht="12.5">
      <c r="A1697" s="4">
        <v>46051.61190340278</v>
      </c>
      <c r="B1697" s="5">
        <v>91435</v>
      </c>
      <c r="C1697" s="5">
        <v>1045738243</v>
      </c>
      <c r="D1697" s="5" t="s">
        <v>3398</v>
      </c>
      <c r="F1697" s="5" t="s">
        <v>2708</v>
      </c>
      <c r="H1697" s="5">
        <v>573019193099</v>
      </c>
      <c r="J1697" s="5" t="s">
        <v>7774</v>
      </c>
      <c r="K1697" s="5" t="s">
        <v>33</v>
      </c>
      <c r="L1697" s="5" t="s">
        <v>34</v>
      </c>
      <c r="M1697" s="5">
        <v>3019193099</v>
      </c>
      <c r="N1697" s="6">
        <v>46051</v>
      </c>
      <c r="O1697" s="7">
        <v>0</v>
      </c>
      <c r="P1697" s="5">
        <v>1</v>
      </c>
      <c r="Q1697" s="5" t="s">
        <v>42</v>
      </c>
      <c r="R1697" s="5">
        <v>180000</v>
      </c>
      <c r="S1697" s="5">
        <v>0</v>
      </c>
      <c r="T1697" s="5">
        <v>0</v>
      </c>
      <c r="U1697" s="5">
        <v>180000</v>
      </c>
      <c r="V1697" s="5"/>
      <c r="W1697" s="5" t="s">
        <v>36</v>
      </c>
      <c r="X1697" s="5" t="s">
        <v>1481</v>
      </c>
      <c r="AA1697" s="5" t="s">
        <v>69</v>
      </c>
      <c r="AB1697" s="5" t="s">
        <v>7775</v>
      </c>
      <c r="AC1697" s="8" t="str">
        <f>HYPERLINK("https://drive.google.com/file/d/13wqbfRsH6JRL0WlEwZfp_j6QENVIXNEi/view?usp=drivesdk", "Abrir_Factura")</f>
        <v>Abrir_Factura</v>
      </c>
      <c r="AD1697" s="9">
        <v>46051.612337962964</v>
      </c>
    </row>
    <row r="1698" spans="1:30" ht="12.5">
      <c r="A1698" s="4">
        <v>46051.622857766204</v>
      </c>
      <c r="B1698" s="5">
        <v>91436</v>
      </c>
      <c r="C1698" s="5">
        <v>32654988</v>
      </c>
      <c r="D1698" s="5" t="s">
        <v>1335</v>
      </c>
      <c r="F1698" s="5" t="s">
        <v>1336</v>
      </c>
      <c r="H1698" s="5">
        <v>573158853901</v>
      </c>
      <c r="J1698" s="5" t="s">
        <v>1337</v>
      </c>
      <c r="K1698" s="5" t="s">
        <v>33</v>
      </c>
      <c r="L1698" s="5" t="s">
        <v>34</v>
      </c>
      <c r="M1698" s="5">
        <v>3158853901</v>
      </c>
      <c r="N1698" s="6">
        <v>46051</v>
      </c>
      <c r="O1698" s="7">
        <v>0.375</v>
      </c>
      <c r="P1698" s="5">
        <v>1</v>
      </c>
      <c r="Q1698" s="5" t="s">
        <v>42</v>
      </c>
      <c r="R1698" s="5">
        <v>84000</v>
      </c>
      <c r="S1698" s="5">
        <v>0</v>
      </c>
      <c r="T1698" s="5">
        <v>0</v>
      </c>
      <c r="U1698" s="5">
        <v>84000</v>
      </c>
      <c r="V1698" s="5"/>
      <c r="W1698" s="5" t="s">
        <v>36</v>
      </c>
      <c r="X1698" s="5" t="s">
        <v>1937</v>
      </c>
      <c r="AA1698" s="5" t="s">
        <v>1717</v>
      </c>
      <c r="AB1698" s="5" t="s">
        <v>7776</v>
      </c>
      <c r="AC1698" s="8" t="str">
        <f>HYPERLINK("https://drive.google.com/file/d/1cWE2tFFTb2IE-eKHVFMpp6eS_p8xREaw/view?usp=drivesdk", "Abrir_Factura")</f>
        <v>Abrir_Factura</v>
      </c>
      <c r="AD1698" s="9">
        <v>46052.782094907408</v>
      </c>
    </row>
    <row r="1699" spans="1:30" ht="12.5">
      <c r="A1699" s="4">
        <v>46052.628206018519</v>
      </c>
      <c r="B1699" s="5">
        <v>91437</v>
      </c>
      <c r="C1699" s="5">
        <v>32608060</v>
      </c>
      <c r="D1699" s="5" t="s">
        <v>4904</v>
      </c>
      <c r="F1699" s="5" t="s">
        <v>4905</v>
      </c>
      <c r="H1699" s="5">
        <v>573183607759</v>
      </c>
      <c r="J1699" s="5" t="s">
        <v>4906</v>
      </c>
      <c r="K1699" s="5" t="s">
        <v>33</v>
      </c>
      <c r="L1699" s="5" t="s">
        <v>34</v>
      </c>
      <c r="M1699" s="5">
        <v>3183607759</v>
      </c>
      <c r="N1699" s="6">
        <v>46052</v>
      </c>
      <c r="O1699" s="7">
        <v>0.33333333333333331</v>
      </c>
      <c r="P1699" s="5">
        <v>1</v>
      </c>
      <c r="Q1699" s="5" t="s">
        <v>42</v>
      </c>
      <c r="R1699" s="5">
        <v>95000</v>
      </c>
      <c r="S1699" s="5">
        <v>0</v>
      </c>
      <c r="T1699" s="5">
        <v>0</v>
      </c>
      <c r="U1699" s="5">
        <v>95000</v>
      </c>
      <c r="V1699" s="5"/>
      <c r="W1699" s="5" t="s">
        <v>36</v>
      </c>
      <c r="X1699" s="5" t="s">
        <v>1705</v>
      </c>
      <c r="AA1699" s="5" t="s">
        <v>1717</v>
      </c>
      <c r="AB1699" s="5" t="s">
        <v>7777</v>
      </c>
      <c r="AC1699" s="8" t="str">
        <f>HYPERLINK("https://drive.google.com/file/d/1dKdVg2RH7Z_OIyatj3JPO7K1yleBfViL/view?usp=drivesdk", "Abrir_Factura")</f>
        <v>Abrir_Factura</v>
      </c>
      <c r="AD1699" s="9">
        <v>46052.780532407407</v>
      </c>
    </row>
    <row r="1700" spans="1:30" ht="12.5">
      <c r="A1700" s="4">
        <v>46051.625239594912</v>
      </c>
      <c r="B1700" s="5">
        <v>91438</v>
      </c>
      <c r="C1700" s="5">
        <v>1140875383</v>
      </c>
      <c r="D1700" s="5" t="s">
        <v>889</v>
      </c>
      <c r="F1700" s="5" t="s">
        <v>2760</v>
      </c>
      <c r="H1700" s="5">
        <v>573152425248</v>
      </c>
      <c r="J1700" s="5" t="s">
        <v>7778</v>
      </c>
      <c r="K1700" s="5" t="s">
        <v>33</v>
      </c>
      <c r="L1700" s="5" t="s">
        <v>34</v>
      </c>
      <c r="M1700" s="5">
        <v>3152425248</v>
      </c>
      <c r="N1700" s="6">
        <v>46051</v>
      </c>
      <c r="O1700" s="7">
        <v>0.66666666666666663</v>
      </c>
      <c r="P1700" s="5">
        <v>1</v>
      </c>
      <c r="Q1700" s="5" t="s">
        <v>435</v>
      </c>
      <c r="R1700" s="5">
        <v>60000</v>
      </c>
      <c r="S1700" s="5">
        <v>0</v>
      </c>
      <c r="T1700" s="5">
        <v>0</v>
      </c>
      <c r="U1700" s="5">
        <v>60000</v>
      </c>
      <c r="V1700" s="5" t="s">
        <v>7779</v>
      </c>
      <c r="W1700" s="5" t="s">
        <v>36</v>
      </c>
      <c r="X1700" s="5" t="s">
        <v>196</v>
      </c>
      <c r="Z1700" s="5" t="s">
        <v>7780</v>
      </c>
      <c r="AA1700" s="5" t="s">
        <v>44</v>
      </c>
      <c r="AB1700" s="5" t="s">
        <v>7781</v>
      </c>
      <c r="AC1700" s="8" t="str">
        <f>HYPERLINK("https://drive.google.com/file/d/1qsFkbY3BK5_YUleuzBdrU8v_KX6l0TaI/view?usp=drivesdk", "Abrir_Factura")</f>
        <v>Abrir_Factura</v>
      </c>
      <c r="AD1700" s="9">
        <v>46051.75990740741</v>
      </c>
    </row>
    <row r="1701" spans="1:30" ht="12.5">
      <c r="A1701" s="4">
        <v>46051.632074525463</v>
      </c>
      <c r="B1701" s="5">
        <v>91439</v>
      </c>
      <c r="C1701" s="5">
        <v>1042250874</v>
      </c>
      <c r="D1701" s="5" t="s">
        <v>5332</v>
      </c>
      <c r="F1701" s="5" t="s">
        <v>4930</v>
      </c>
      <c r="H1701" s="5">
        <v>15617974204</v>
      </c>
      <c r="J1701" s="5" t="s">
        <v>7782</v>
      </c>
      <c r="K1701" s="5" t="s">
        <v>33</v>
      </c>
      <c r="L1701" s="5" t="s">
        <v>34</v>
      </c>
      <c r="M1701" s="5" t="s">
        <v>25421</v>
      </c>
      <c r="N1701" s="6">
        <v>46066</v>
      </c>
      <c r="O1701" s="7">
        <v>0.375</v>
      </c>
      <c r="P1701" s="5">
        <v>1</v>
      </c>
      <c r="Q1701" s="5" t="s">
        <v>7783</v>
      </c>
      <c r="R1701" s="5">
        <v>200000</v>
      </c>
      <c r="S1701" s="5">
        <v>0</v>
      </c>
      <c r="T1701" s="5">
        <v>0</v>
      </c>
      <c r="U1701" s="5">
        <v>200000</v>
      </c>
      <c r="V1701" s="5" t="s">
        <v>7784</v>
      </c>
      <c r="W1701" s="5" t="s">
        <v>36</v>
      </c>
      <c r="X1701" s="5" t="s">
        <v>7644</v>
      </c>
      <c r="AA1701" s="5" t="s">
        <v>44</v>
      </c>
      <c r="AC1701" s="8" t="str">
        <f>HYPERLINK("https://drive.google.com/file/d/13MmRloufmpKxqDX7HSqNp_WvbfoLxo-8/view?usp=drivesdk", "Abrir_Factura")</f>
        <v>Abrir_Factura</v>
      </c>
      <c r="AD1701" s="9">
        <v>46051.633113425924</v>
      </c>
    </row>
    <row r="1702" spans="1:30" ht="12.5">
      <c r="A1702" s="4">
        <v>46051.649535231481</v>
      </c>
      <c r="B1702" s="5">
        <v>91440</v>
      </c>
      <c r="C1702" s="5">
        <v>32748863</v>
      </c>
      <c r="D1702" s="5" t="s">
        <v>521</v>
      </c>
      <c r="F1702" s="5" t="s">
        <v>3525</v>
      </c>
      <c r="H1702" s="5">
        <v>573174289182</v>
      </c>
      <c r="J1702" s="5" t="s">
        <v>3526</v>
      </c>
      <c r="K1702" s="5" t="s">
        <v>33</v>
      </c>
      <c r="L1702" s="5" t="s">
        <v>34</v>
      </c>
      <c r="M1702" s="5">
        <v>3174289182</v>
      </c>
      <c r="N1702" s="6">
        <v>46051</v>
      </c>
      <c r="O1702" s="7">
        <v>0</v>
      </c>
      <c r="P1702" s="5">
        <v>1</v>
      </c>
      <c r="Q1702" s="5" t="s">
        <v>42</v>
      </c>
      <c r="R1702" s="5">
        <v>35000</v>
      </c>
      <c r="S1702" s="5">
        <v>0</v>
      </c>
      <c r="T1702" s="5">
        <v>0</v>
      </c>
      <c r="U1702" s="5">
        <v>35000</v>
      </c>
      <c r="V1702" s="5"/>
      <c r="W1702" s="5" t="s">
        <v>36</v>
      </c>
      <c r="X1702" s="5" t="s">
        <v>1481</v>
      </c>
      <c r="AA1702" s="5" t="s">
        <v>44</v>
      </c>
      <c r="AB1702" s="5" t="s">
        <v>7785</v>
      </c>
      <c r="AC1702" s="8" t="str">
        <f>HYPERLINK("https://drive.google.com/file/d/1UR8j_Sa1Y0o_6b9uhSfxPYLj-zLqPBAx/view?usp=drivesdk", "Abrir_Factura")</f>
        <v>Abrir_Factura</v>
      </c>
      <c r="AD1702" s="9">
        <v>46051.650127314817</v>
      </c>
    </row>
    <row r="1703" spans="1:30" ht="12.5">
      <c r="A1703" s="4">
        <v>46051.667878935186</v>
      </c>
      <c r="B1703" s="5">
        <v>91441</v>
      </c>
      <c r="C1703" s="5">
        <v>3001804680</v>
      </c>
      <c r="D1703" s="5" t="s">
        <v>7786</v>
      </c>
      <c r="F1703" s="5" t="s">
        <v>2533</v>
      </c>
      <c r="H1703" s="5">
        <v>570000</v>
      </c>
      <c r="J1703" s="5" t="s">
        <v>7787</v>
      </c>
      <c r="K1703" s="5" t="s">
        <v>33</v>
      </c>
      <c r="L1703" s="5" t="s">
        <v>34</v>
      </c>
      <c r="M1703" s="5">
        <v>0</v>
      </c>
      <c r="N1703" s="6">
        <v>46051</v>
      </c>
      <c r="O1703" s="7">
        <v>0</v>
      </c>
      <c r="P1703" s="5">
        <v>1</v>
      </c>
      <c r="Q1703" s="5" t="s">
        <v>178</v>
      </c>
      <c r="R1703" s="5">
        <v>110000</v>
      </c>
      <c r="S1703" s="5">
        <v>0</v>
      </c>
      <c r="T1703" s="5">
        <v>0</v>
      </c>
      <c r="U1703" s="5">
        <v>110000</v>
      </c>
      <c r="V1703" s="5"/>
      <c r="W1703" s="5" t="s">
        <v>36</v>
      </c>
      <c r="X1703" s="5" t="s">
        <v>37</v>
      </c>
      <c r="AA1703" s="5" t="s">
        <v>37</v>
      </c>
      <c r="AB1703" s="5" t="s">
        <v>7788</v>
      </c>
      <c r="AC1703" s="8" t="str">
        <f>HYPERLINK("https://drive.google.com/file/d/1TgaImBnQT2eqlzPM8WTCh2WaEqVpC1R-/view?usp=drivesdk", "Abrir_Factura")</f>
        <v>Abrir_Factura</v>
      </c>
      <c r="AD1703" s="9">
        <v>46051.668402777781</v>
      </c>
    </row>
    <row r="1704" spans="1:30" ht="12.5">
      <c r="A1704" s="4">
        <v>46051.673031597224</v>
      </c>
      <c r="B1704" s="5">
        <v>91442</v>
      </c>
      <c r="C1704" s="5">
        <v>1044434834</v>
      </c>
      <c r="D1704" s="5" t="s">
        <v>3861</v>
      </c>
      <c r="F1704" s="5" t="s">
        <v>372</v>
      </c>
      <c r="H1704" s="5">
        <v>573233272355</v>
      </c>
      <c r="J1704" s="5" t="s">
        <v>7789</v>
      </c>
      <c r="K1704" s="5" t="s">
        <v>33</v>
      </c>
      <c r="L1704" s="5" t="s">
        <v>34</v>
      </c>
      <c r="M1704" s="5">
        <v>3233272355</v>
      </c>
      <c r="N1704" s="6">
        <v>46051</v>
      </c>
      <c r="O1704" s="7">
        <v>0</v>
      </c>
      <c r="P1704" s="5">
        <v>1</v>
      </c>
      <c r="Q1704" s="5" t="s">
        <v>1203</v>
      </c>
      <c r="R1704" s="5">
        <v>300000</v>
      </c>
      <c r="S1704" s="5">
        <v>0</v>
      </c>
      <c r="T1704" s="5">
        <v>0</v>
      </c>
      <c r="U1704" s="5">
        <v>300000</v>
      </c>
      <c r="V1704" s="5"/>
      <c r="W1704" s="5" t="s">
        <v>36</v>
      </c>
      <c r="X1704" s="5" t="s">
        <v>1705</v>
      </c>
      <c r="AA1704" s="5" t="s">
        <v>1717</v>
      </c>
      <c r="AC1704" s="8" t="str">
        <f>HYPERLINK("https://drive.google.com/file/d/14GKYiwxVumON3cMSw0_DSGAlo1LMIw6M/view?usp=drivesdk", "Abrir_Factura")</f>
        <v>Abrir_Factura</v>
      </c>
      <c r="AD1704" s="9">
        <v>46051.678865740738</v>
      </c>
    </row>
    <row r="1705" spans="1:30" ht="12.5">
      <c r="A1705" s="4">
        <v>46051.689689756946</v>
      </c>
      <c r="B1705" s="5">
        <v>91443</v>
      </c>
      <c r="C1705" s="5">
        <v>1140866410</v>
      </c>
      <c r="D1705" s="5" t="s">
        <v>2061</v>
      </c>
      <c r="F1705" s="5" t="s">
        <v>7790</v>
      </c>
      <c r="H1705" s="5">
        <v>573107193674</v>
      </c>
      <c r="J1705" s="5" t="s">
        <v>7791</v>
      </c>
      <c r="K1705" s="5" t="s">
        <v>892</v>
      </c>
      <c r="L1705" s="5" t="s">
        <v>7792</v>
      </c>
      <c r="M1705" s="5"/>
      <c r="N1705" s="6">
        <v>46051</v>
      </c>
      <c r="O1705" s="7">
        <v>0.70833333333333337</v>
      </c>
      <c r="P1705" s="5">
        <v>1</v>
      </c>
      <c r="Q1705" s="5" t="s">
        <v>2586</v>
      </c>
      <c r="R1705" s="5">
        <v>190000</v>
      </c>
      <c r="S1705" s="5">
        <v>0</v>
      </c>
      <c r="T1705" s="5">
        <v>10000</v>
      </c>
      <c r="U1705" s="5">
        <v>200000</v>
      </c>
      <c r="V1705" s="5" t="s">
        <v>7793</v>
      </c>
      <c r="W1705" s="5" t="s">
        <v>36</v>
      </c>
      <c r="X1705" s="5" t="s">
        <v>196</v>
      </c>
      <c r="AA1705" s="5" t="s">
        <v>1717</v>
      </c>
      <c r="AC1705" s="8" t="str">
        <f>HYPERLINK("https://drive.google.com/file/d/1rtwDK8SsBaEkdW2oH3hUc0kHZ8EFKdYI/view?usp=drivesdk", "Abrir_Factura")</f>
        <v>Abrir_Factura</v>
      </c>
      <c r="AD1705" s="9">
        <v>46051.690266203703</v>
      </c>
    </row>
    <row r="1706" spans="1:30" ht="12.5">
      <c r="A1706" s="4">
        <v>46051.676815775463</v>
      </c>
      <c r="B1706" s="5">
        <v>91444</v>
      </c>
      <c r="C1706" s="5">
        <v>1046697921</v>
      </c>
      <c r="D1706" s="5" t="s">
        <v>1069</v>
      </c>
      <c r="F1706" s="5" t="s">
        <v>7794</v>
      </c>
      <c r="H1706" s="5">
        <v>573002839116</v>
      </c>
      <c r="J1706" s="5" t="s">
        <v>7795</v>
      </c>
      <c r="K1706" s="5" t="s">
        <v>73</v>
      </c>
      <c r="L1706" s="5" t="s">
        <v>7796</v>
      </c>
      <c r="M1706" s="5">
        <v>3043867003</v>
      </c>
      <c r="N1706" s="6">
        <v>46051</v>
      </c>
      <c r="O1706" s="7">
        <v>0.75</v>
      </c>
      <c r="P1706" s="5">
        <v>1</v>
      </c>
      <c r="Q1706" s="5" t="s">
        <v>156</v>
      </c>
      <c r="R1706" s="5">
        <v>80000</v>
      </c>
      <c r="S1706" s="5">
        <v>0</v>
      </c>
      <c r="T1706" s="5">
        <v>8000</v>
      </c>
      <c r="U1706" s="5">
        <v>88000</v>
      </c>
      <c r="V1706" s="5" t="s">
        <v>7797</v>
      </c>
      <c r="W1706" s="5" t="s">
        <v>36</v>
      </c>
      <c r="X1706" s="5" t="s">
        <v>67</v>
      </c>
      <c r="Z1706" s="5" t="s">
        <v>7798</v>
      </c>
      <c r="AA1706" s="5" t="s">
        <v>44</v>
      </c>
      <c r="AC1706" s="8" t="str">
        <f>HYPERLINK("https://drive.google.com/file/d/1C-MIIedFNRgj-rQRpRm3arQhktlkoEQ8/view?usp=drivesdk", "Abrir_Factura")</f>
        <v>Abrir_Factura</v>
      </c>
      <c r="AD1706" s="9">
        <v>46051.691747685189</v>
      </c>
    </row>
    <row r="1707" spans="1:30" ht="12.5">
      <c r="A1707" s="4">
        <v>46051.68736369213</v>
      </c>
      <c r="B1707" s="5">
        <v>91445</v>
      </c>
      <c r="C1707" s="5">
        <v>8567081</v>
      </c>
      <c r="D1707" s="5" t="s">
        <v>7799</v>
      </c>
      <c r="F1707" s="5" t="s">
        <v>7800</v>
      </c>
      <c r="H1707" s="5">
        <v>573006928918</v>
      </c>
      <c r="J1707" s="5" t="s">
        <v>7801</v>
      </c>
      <c r="K1707" s="5" t="s">
        <v>3764</v>
      </c>
      <c r="L1707" s="5" t="s">
        <v>7802</v>
      </c>
      <c r="M1707" s="5">
        <v>3006928918</v>
      </c>
      <c r="N1707" s="6">
        <v>46051</v>
      </c>
      <c r="O1707" s="7">
        <v>0.75</v>
      </c>
      <c r="P1707" s="5">
        <v>1</v>
      </c>
      <c r="Q1707" s="5" t="s">
        <v>435</v>
      </c>
      <c r="R1707" s="5">
        <v>65000</v>
      </c>
      <c r="S1707" s="5">
        <v>0</v>
      </c>
      <c r="T1707" s="5">
        <v>9000</v>
      </c>
      <c r="U1707" s="5">
        <v>74000</v>
      </c>
      <c r="V1707" s="5" t="s">
        <v>7803</v>
      </c>
      <c r="W1707" s="5" t="s">
        <v>36</v>
      </c>
      <c r="X1707" s="5" t="s">
        <v>67</v>
      </c>
      <c r="Z1707" s="5" t="s">
        <v>7804</v>
      </c>
      <c r="AA1707" s="5" t="s">
        <v>44</v>
      </c>
      <c r="AB1707" s="5" t="s">
        <v>7805</v>
      </c>
      <c r="AC1707" s="8" t="str">
        <f>HYPERLINK("https://drive.google.com/file/d/1rYtB6uNn-UXLboie-LU6FmMWpCXTXz-C/view?usp=drivesdk", "Abrir_Factura")</f>
        <v>Abrir_Factura</v>
      </c>
      <c r="AD1707" s="9">
        <v>46051.699641203704</v>
      </c>
    </row>
    <row r="1708" spans="1:30" ht="12.5">
      <c r="A1708" s="4">
        <v>46051.695936770833</v>
      </c>
      <c r="B1708" s="5">
        <v>91446</v>
      </c>
      <c r="C1708" s="5">
        <v>32786391</v>
      </c>
      <c r="D1708" s="5" t="s">
        <v>1779</v>
      </c>
      <c r="F1708" s="5" t="s">
        <v>7806</v>
      </c>
      <c r="H1708" s="5">
        <v>573002112147</v>
      </c>
      <c r="J1708" s="5" t="s">
        <v>7807</v>
      </c>
      <c r="K1708" s="5" t="s">
        <v>33</v>
      </c>
      <c r="L1708" s="5" t="s">
        <v>34</v>
      </c>
      <c r="M1708" s="5">
        <v>3002112147</v>
      </c>
      <c r="N1708" s="6">
        <v>46052</v>
      </c>
      <c r="O1708" s="7">
        <v>0.375</v>
      </c>
      <c r="P1708" s="5">
        <v>1</v>
      </c>
      <c r="Q1708" s="5" t="s">
        <v>375</v>
      </c>
      <c r="R1708" s="5">
        <v>80000</v>
      </c>
      <c r="S1708" s="5">
        <v>0</v>
      </c>
      <c r="T1708" s="5">
        <v>0</v>
      </c>
      <c r="U1708" s="5">
        <v>80000</v>
      </c>
      <c r="V1708" s="5"/>
      <c r="W1708" s="5" t="s">
        <v>36</v>
      </c>
      <c r="X1708" s="5" t="s">
        <v>1937</v>
      </c>
      <c r="Z1708" s="5" t="s">
        <v>1779</v>
      </c>
      <c r="AA1708" s="5" t="s">
        <v>44</v>
      </c>
      <c r="AC1708" s="8" t="str">
        <f>HYPERLINK("https://drive.google.com/file/d/141-u5hSaen1Qd1VOZ2XefLNOcl7a8WS2/view?usp=drivesdk", "Abrir_Factura")</f>
        <v>Abrir_Factura</v>
      </c>
      <c r="AD1708" s="9">
        <v>46051.707569444443</v>
      </c>
    </row>
    <row r="1709" spans="1:30" ht="12.5">
      <c r="A1709" s="4">
        <v>46051.745046296295</v>
      </c>
      <c r="B1709" s="5">
        <v>91447</v>
      </c>
      <c r="C1709" s="5">
        <v>1143428590</v>
      </c>
      <c r="D1709" s="5" t="s">
        <v>7808</v>
      </c>
      <c r="F1709" s="5" t="s">
        <v>7809</v>
      </c>
      <c r="H1709" s="5">
        <v>573007357473</v>
      </c>
      <c r="J1709" s="5" t="s">
        <v>7810</v>
      </c>
      <c r="K1709" s="5" t="s">
        <v>33</v>
      </c>
      <c r="L1709" s="5" t="s">
        <v>34</v>
      </c>
      <c r="M1709" s="5">
        <v>3007357473</v>
      </c>
      <c r="N1709" s="6">
        <v>46051</v>
      </c>
      <c r="O1709" s="7">
        <v>0</v>
      </c>
      <c r="P1709" s="5">
        <v>1</v>
      </c>
      <c r="Q1709" s="5" t="s">
        <v>178</v>
      </c>
      <c r="R1709" s="5">
        <v>110000</v>
      </c>
      <c r="S1709" s="5">
        <v>0</v>
      </c>
      <c r="T1709" s="5">
        <v>0</v>
      </c>
      <c r="U1709" s="5">
        <v>110000</v>
      </c>
      <c r="V1709" s="5"/>
      <c r="W1709" s="5" t="s">
        <v>36</v>
      </c>
      <c r="X1709" s="5" t="s">
        <v>1705</v>
      </c>
      <c r="AA1709" s="5" t="s">
        <v>1717</v>
      </c>
      <c r="AC1709" s="8" t="str">
        <f>HYPERLINK("https://drive.google.com/file/d/1KD4YHfktPqEvI-hWnrjNLOMhRXNaoXVs/view?usp=drivesdk", "Abrir_Factura")</f>
        <v>Abrir_Factura</v>
      </c>
      <c r="AD1709" s="9">
        <v>46051.745370370372</v>
      </c>
    </row>
    <row r="1710" spans="1:30" ht="12.5">
      <c r="A1710" s="4">
        <v>46051.746536909719</v>
      </c>
      <c r="B1710" s="5">
        <v>91448</v>
      </c>
      <c r="C1710" s="5">
        <v>1129579656</v>
      </c>
      <c r="D1710" s="5" t="s">
        <v>6388</v>
      </c>
      <c r="F1710" s="5" t="s">
        <v>7811</v>
      </c>
      <c r="H1710" s="5">
        <v>573016797831</v>
      </c>
      <c r="J1710" s="5" t="s">
        <v>7812</v>
      </c>
      <c r="K1710" s="5" t="s">
        <v>33</v>
      </c>
      <c r="L1710" s="5" t="s">
        <v>34</v>
      </c>
      <c r="M1710" s="5">
        <v>3016797831</v>
      </c>
      <c r="N1710" s="6">
        <v>46051</v>
      </c>
      <c r="O1710" s="7">
        <v>0</v>
      </c>
      <c r="P1710" s="5">
        <v>1</v>
      </c>
      <c r="Q1710" s="5" t="s">
        <v>42</v>
      </c>
      <c r="R1710" s="5">
        <v>15000</v>
      </c>
      <c r="S1710" s="5">
        <v>0</v>
      </c>
      <c r="T1710" s="5">
        <v>0</v>
      </c>
      <c r="U1710" s="5">
        <v>15000</v>
      </c>
      <c r="V1710" s="5"/>
      <c r="W1710" s="5" t="s">
        <v>36</v>
      </c>
      <c r="X1710" s="5" t="s">
        <v>1705</v>
      </c>
      <c r="AA1710" s="5" t="s">
        <v>1717</v>
      </c>
      <c r="AB1710" s="5" t="s">
        <v>7813</v>
      </c>
      <c r="AC1710" s="8" t="str">
        <f>HYPERLINK("https://drive.google.com/file/d/128SDEM22hkKLl8pS-txK6RbzDf3kMmI5/view?usp=drivesdk", "Abrir_Factura")</f>
        <v>Abrir_Factura</v>
      </c>
      <c r="AD1710" s="9">
        <v>46051.747291666667</v>
      </c>
    </row>
    <row r="1711" spans="1:30" ht="12.5">
      <c r="A1711" s="4">
        <v>46051.747765057866</v>
      </c>
      <c r="B1711" s="5">
        <v>91449</v>
      </c>
      <c r="C1711" s="5">
        <v>1007924379</v>
      </c>
      <c r="D1711" s="5" t="s">
        <v>1719</v>
      </c>
      <c r="F1711" s="5" t="s">
        <v>2823</v>
      </c>
      <c r="H1711" s="5">
        <v>573105407812</v>
      </c>
      <c r="J1711" s="5" t="s">
        <v>7814</v>
      </c>
      <c r="K1711" s="5" t="s">
        <v>161</v>
      </c>
      <c r="L1711" s="5" t="s">
        <v>2825</v>
      </c>
      <c r="M1711" s="5"/>
      <c r="N1711" s="6">
        <v>46051</v>
      </c>
      <c r="O1711" s="7">
        <v>0.75</v>
      </c>
      <c r="P1711" s="5">
        <v>1</v>
      </c>
      <c r="Q1711" s="5" t="s">
        <v>187</v>
      </c>
      <c r="R1711" s="5">
        <v>220000</v>
      </c>
      <c r="S1711" s="5">
        <v>0</v>
      </c>
      <c r="T1711" s="5">
        <v>8000</v>
      </c>
      <c r="U1711" s="5">
        <v>228000</v>
      </c>
      <c r="V1711" s="5" t="s">
        <v>7815</v>
      </c>
      <c r="W1711" s="5" t="s">
        <v>36</v>
      </c>
      <c r="X1711" s="5" t="s">
        <v>67</v>
      </c>
      <c r="Z1711" s="5" t="s">
        <v>7816</v>
      </c>
      <c r="AA1711" s="5" t="s">
        <v>44</v>
      </c>
      <c r="AC1711" s="8" t="str">
        <f>HYPERLINK("https://drive.google.com/file/d/1bL59RSbiJyZYKBIwdcLXNOKBXAdqAMlc/view?usp=drivesdk", "Abrir_Factura")</f>
        <v>Abrir_Factura</v>
      </c>
      <c r="AD1711" s="9">
        <v>46051.753518518519</v>
      </c>
    </row>
    <row r="1712" spans="1:30" ht="12.5">
      <c r="A1712" s="4">
        <v>46051.756947858798</v>
      </c>
      <c r="B1712" s="5">
        <v>91450</v>
      </c>
      <c r="C1712" s="5">
        <v>900835922</v>
      </c>
      <c r="D1712" s="5" t="s">
        <v>7817</v>
      </c>
      <c r="F1712" s="5" t="s">
        <v>7818</v>
      </c>
      <c r="H1712" s="5">
        <v>573195545411</v>
      </c>
      <c r="J1712" s="5" t="s">
        <v>7819</v>
      </c>
      <c r="K1712" s="5" t="s">
        <v>33</v>
      </c>
      <c r="L1712" s="5" t="s">
        <v>34</v>
      </c>
      <c r="M1712" s="5">
        <v>3195545411</v>
      </c>
      <c r="N1712" s="6">
        <v>46051</v>
      </c>
      <c r="O1712" s="7">
        <v>0.75</v>
      </c>
      <c r="P1712" s="5">
        <v>1</v>
      </c>
      <c r="Q1712" s="5" t="s">
        <v>42</v>
      </c>
      <c r="R1712" s="5">
        <v>15000</v>
      </c>
      <c r="S1712" s="5">
        <v>0</v>
      </c>
      <c r="T1712" s="5">
        <v>0</v>
      </c>
      <c r="U1712" s="5">
        <v>15000</v>
      </c>
      <c r="V1712" s="5"/>
      <c r="W1712" s="5" t="s">
        <v>36</v>
      </c>
      <c r="X1712" s="5" t="s">
        <v>196</v>
      </c>
      <c r="AA1712" s="5" t="s">
        <v>1717</v>
      </c>
      <c r="AB1712" s="5" t="s">
        <v>1554</v>
      </c>
      <c r="AC1712" s="8" t="str">
        <f>HYPERLINK("https://drive.google.com/file/d/1QsFyLN02z9Le6FVmStT9bJTqrp4QayUm/view?usp=drivesdk", "Abrir_Factura")</f>
        <v>Abrir_Factura</v>
      </c>
      <c r="AD1712" s="9">
        <v>46051.757430555554</v>
      </c>
    </row>
    <row r="1713" spans="1:30" ht="12.5">
      <c r="A1713" s="4">
        <v>46052.047976331014</v>
      </c>
      <c r="B1713" s="5">
        <v>91451</v>
      </c>
      <c r="C1713" s="5">
        <v>1048434039</v>
      </c>
      <c r="D1713" s="5" t="s">
        <v>876</v>
      </c>
      <c r="F1713" s="5" t="s">
        <v>7820</v>
      </c>
      <c r="H1713" s="5">
        <v>573117029774</v>
      </c>
      <c r="J1713" s="5" t="s">
        <v>7821</v>
      </c>
      <c r="K1713" s="5" t="s">
        <v>328</v>
      </c>
      <c r="L1713" s="5" t="s">
        <v>7822</v>
      </c>
      <c r="M1713" s="5">
        <v>3117029774</v>
      </c>
      <c r="N1713" s="6">
        <v>46052</v>
      </c>
      <c r="O1713" s="7">
        <v>0.375</v>
      </c>
      <c r="P1713" s="5">
        <v>1</v>
      </c>
      <c r="Q1713" s="5" t="s">
        <v>178</v>
      </c>
      <c r="R1713" s="5">
        <v>110000</v>
      </c>
      <c r="S1713" s="5">
        <v>0</v>
      </c>
      <c r="T1713" s="5">
        <v>12000</v>
      </c>
      <c r="U1713" s="5">
        <v>122000</v>
      </c>
      <c r="V1713" s="5" t="s">
        <v>7823</v>
      </c>
      <c r="W1713" s="5" t="s">
        <v>36</v>
      </c>
      <c r="X1713" s="5" t="s">
        <v>67</v>
      </c>
      <c r="Z1713" s="5" t="s">
        <v>7824</v>
      </c>
      <c r="AA1713" s="5" t="s">
        <v>44</v>
      </c>
      <c r="AB1713" s="5" t="s">
        <v>7825</v>
      </c>
      <c r="AC1713" s="8" t="str">
        <f>HYPERLINK("https://drive.google.com/file/d/1mnTmxdO5qxyCSA2jWKIhud58b04QdJvj/view?usp=drivesdk", "Abrir_Factura")</f>
        <v>Abrir_Factura</v>
      </c>
      <c r="AD1713" s="9">
        <v>46052.326863425929</v>
      </c>
    </row>
    <row r="1714" spans="1:30" ht="12.5">
      <c r="A1714" s="4">
        <v>46052.32808658565</v>
      </c>
      <c r="B1714" s="5">
        <v>91452</v>
      </c>
      <c r="C1714" s="5">
        <v>0</v>
      </c>
      <c r="D1714" s="5" t="s">
        <v>115</v>
      </c>
      <c r="F1714" s="5" t="s">
        <v>7826</v>
      </c>
      <c r="H1714" s="5">
        <v>573007664799</v>
      </c>
      <c r="J1714" s="5" t="s">
        <v>7827</v>
      </c>
      <c r="K1714" s="5" t="s">
        <v>63</v>
      </c>
      <c r="L1714" s="5" t="s">
        <v>7828</v>
      </c>
      <c r="M1714" s="5" t="s">
        <v>7827</v>
      </c>
      <c r="N1714" s="6">
        <v>46052</v>
      </c>
      <c r="O1714" s="7">
        <v>0.41666666666666669</v>
      </c>
      <c r="P1714" s="5">
        <v>1</v>
      </c>
      <c r="Q1714" s="5" t="s">
        <v>7829</v>
      </c>
      <c r="R1714" s="5">
        <v>255000</v>
      </c>
      <c r="S1714" s="5">
        <v>0</v>
      </c>
      <c r="T1714" s="5">
        <v>17000</v>
      </c>
      <c r="U1714" s="5">
        <v>272000</v>
      </c>
      <c r="V1714" s="5" t="s">
        <v>7830</v>
      </c>
      <c r="W1714" s="5" t="s">
        <v>36</v>
      </c>
      <c r="X1714" s="5" t="s">
        <v>1937</v>
      </c>
      <c r="Z1714" s="5" t="s">
        <v>7827</v>
      </c>
      <c r="AA1714" s="5" t="s">
        <v>44</v>
      </c>
      <c r="AB1714" s="5" t="s">
        <v>7827</v>
      </c>
      <c r="AC1714" s="8" t="str">
        <f>HYPERLINK("https://drive.google.com/file/d/19natY0a3rnQ8-74B09umVTrTp56_yDx0/view?usp=drivesdk", "Abrir_Factura")</f>
        <v>Abrir_Factura</v>
      </c>
      <c r="AD1714" s="9">
        <v>46052.350995370369</v>
      </c>
    </row>
    <row r="1715" spans="1:30" ht="12.5">
      <c r="A1715" s="4">
        <v>46052.354664525468</v>
      </c>
      <c r="B1715" s="5">
        <v>91453</v>
      </c>
      <c r="C1715" s="5">
        <v>1140835162</v>
      </c>
      <c r="D1715" s="5" t="s">
        <v>4904</v>
      </c>
      <c r="F1715" s="5" t="s">
        <v>7831</v>
      </c>
      <c r="H1715" s="5">
        <v>573002296004</v>
      </c>
      <c r="J1715" s="5" t="s">
        <v>7832</v>
      </c>
      <c r="K1715" s="5" t="s">
        <v>1595</v>
      </c>
      <c r="L1715" s="5" t="s">
        <v>7833</v>
      </c>
      <c r="M1715" s="5">
        <v>3043654747</v>
      </c>
      <c r="N1715" s="6">
        <v>46052</v>
      </c>
      <c r="O1715" s="7">
        <v>0.41666666666666669</v>
      </c>
      <c r="P1715" s="5">
        <v>1</v>
      </c>
      <c r="Q1715" s="5" t="s">
        <v>112</v>
      </c>
      <c r="R1715" s="5">
        <v>300000</v>
      </c>
      <c r="S1715" s="5">
        <v>0</v>
      </c>
      <c r="T1715" s="5">
        <v>20000</v>
      </c>
      <c r="U1715" s="5">
        <v>320000</v>
      </c>
      <c r="V1715" s="5" t="s">
        <v>7834</v>
      </c>
      <c r="W1715" s="5" t="s">
        <v>36</v>
      </c>
      <c r="X1715" s="5" t="s">
        <v>1705</v>
      </c>
      <c r="AA1715" s="5" t="s">
        <v>1717</v>
      </c>
      <c r="AC1715" s="8" t="str">
        <f>HYPERLINK("https://drive.google.com/file/d/131PdfGPVM2G8FaqXKpLHD9xEmAf2znVk/view?usp=drivesdk", "Abrir_Factura")</f>
        <v>Abrir_Factura</v>
      </c>
      <c r="AD1715" s="9">
        <v>46052.355173611111</v>
      </c>
    </row>
    <row r="1716" spans="1:30" ht="12.5">
      <c r="A1716" s="4">
        <v>46052.351808946754</v>
      </c>
      <c r="B1716" s="5">
        <v>91454</v>
      </c>
      <c r="C1716" s="5">
        <v>1124009391</v>
      </c>
      <c r="D1716" s="5" t="s">
        <v>7835</v>
      </c>
      <c r="F1716" s="5" t="s">
        <v>7836</v>
      </c>
      <c r="H1716" s="5">
        <v>573013727119</v>
      </c>
      <c r="J1716" s="5" t="s">
        <v>7837</v>
      </c>
      <c r="K1716" s="5" t="s">
        <v>307</v>
      </c>
      <c r="L1716" s="5" t="s">
        <v>7838</v>
      </c>
      <c r="M1716" s="5">
        <v>3165346126</v>
      </c>
      <c r="N1716" s="6">
        <v>46052</v>
      </c>
      <c r="O1716" s="7">
        <v>0.41666666666666669</v>
      </c>
      <c r="P1716" s="5">
        <v>1</v>
      </c>
      <c r="Q1716" s="5" t="s">
        <v>65</v>
      </c>
      <c r="R1716" s="5">
        <v>80000</v>
      </c>
      <c r="S1716" s="5">
        <v>0</v>
      </c>
      <c r="T1716" s="5">
        <v>10000</v>
      </c>
      <c r="U1716" s="5">
        <v>90000</v>
      </c>
      <c r="V1716" s="5" t="s">
        <v>7839</v>
      </c>
      <c r="W1716" s="5" t="s">
        <v>36</v>
      </c>
      <c r="X1716" s="5" t="s">
        <v>1481</v>
      </c>
      <c r="Z1716" s="5" t="s">
        <v>7840</v>
      </c>
      <c r="AA1716" s="5" t="s">
        <v>44</v>
      </c>
      <c r="AC1716" s="8" t="str">
        <f>HYPERLINK("https://drive.google.com/file/d/1pGi0yOEFNrZuonvglGuZ5NfOXVmO0-Ru/view?usp=drivesdk", "Abrir_Factura")</f>
        <v>Abrir_Factura</v>
      </c>
      <c r="AD1716" s="9">
        <v>46052.359247685185</v>
      </c>
    </row>
    <row r="1717" spans="1:30" ht="12.5">
      <c r="A1717" s="4">
        <v>46052.360761099539</v>
      </c>
      <c r="B1717" s="5">
        <v>91455</v>
      </c>
      <c r="C1717" s="5">
        <v>1001870697</v>
      </c>
      <c r="D1717" s="5" t="s">
        <v>1436</v>
      </c>
      <c r="F1717" s="5" t="s">
        <v>37</v>
      </c>
      <c r="H1717" s="5">
        <v>572405707114</v>
      </c>
      <c r="J1717" s="5" t="s">
        <v>7841</v>
      </c>
      <c r="K1717" s="5" t="s">
        <v>33</v>
      </c>
      <c r="L1717" s="5" t="s">
        <v>34</v>
      </c>
      <c r="M1717" s="5">
        <v>2405707114</v>
      </c>
      <c r="N1717" s="6">
        <v>46052</v>
      </c>
      <c r="O1717" s="7">
        <v>0.375</v>
      </c>
      <c r="P1717" s="5">
        <v>1</v>
      </c>
      <c r="Q1717" s="5" t="s">
        <v>178</v>
      </c>
      <c r="R1717" s="5">
        <v>110000</v>
      </c>
      <c r="S1717" s="5">
        <v>0</v>
      </c>
      <c r="T1717" s="5">
        <v>0</v>
      </c>
      <c r="U1717" s="5">
        <v>110000</v>
      </c>
      <c r="V1717" s="5" t="s">
        <v>7842</v>
      </c>
      <c r="W1717" s="5" t="s">
        <v>36</v>
      </c>
      <c r="X1717" s="5" t="s">
        <v>43</v>
      </c>
      <c r="AA1717" s="5" t="s">
        <v>37</v>
      </c>
      <c r="AB1717" s="5" t="s">
        <v>7843</v>
      </c>
      <c r="AC1717" s="8" t="str">
        <f>HYPERLINK("https://drive.google.com/file/d/1PO8HXNTNQBu6qRgej9mFlqk6pA4kNkXs/view?usp=drivesdk", "Abrir_Factura")</f>
        <v>Abrir_Factura</v>
      </c>
      <c r="AD1717" s="9">
        <v>46052.361273148148</v>
      </c>
    </row>
    <row r="1718" spans="1:30" ht="12.5">
      <c r="A1718" s="4">
        <v>46052.264376250001</v>
      </c>
      <c r="B1718" s="5">
        <v>91456</v>
      </c>
      <c r="C1718" s="5">
        <v>1124531778</v>
      </c>
      <c r="D1718" s="5" t="s">
        <v>7844</v>
      </c>
      <c r="F1718" s="5" t="s">
        <v>7845</v>
      </c>
      <c r="H1718" s="5">
        <v>573013058892</v>
      </c>
      <c r="J1718" s="5" t="s">
        <v>7846</v>
      </c>
      <c r="K1718" s="5" t="s">
        <v>185</v>
      </c>
      <c r="L1718" s="5" t="s">
        <v>7847</v>
      </c>
      <c r="M1718" s="5">
        <v>3013058892</v>
      </c>
      <c r="N1718" s="6">
        <v>46052</v>
      </c>
      <c r="O1718" s="7">
        <v>0.41666666666666669</v>
      </c>
      <c r="P1718" s="5">
        <v>1</v>
      </c>
      <c r="Q1718" s="5" t="s">
        <v>178</v>
      </c>
      <c r="R1718" s="5">
        <v>110000</v>
      </c>
      <c r="S1718" s="5">
        <v>0</v>
      </c>
      <c r="T1718" s="5">
        <v>8000</v>
      </c>
      <c r="U1718" s="5">
        <v>118000</v>
      </c>
      <c r="V1718" s="5" t="s">
        <v>7848</v>
      </c>
      <c r="W1718" s="5" t="s">
        <v>36</v>
      </c>
      <c r="X1718" s="5" t="s">
        <v>1481</v>
      </c>
      <c r="Z1718" s="5" t="s">
        <v>7849</v>
      </c>
      <c r="AA1718" s="5" t="s">
        <v>44</v>
      </c>
      <c r="AB1718" s="5" t="s">
        <v>7848</v>
      </c>
      <c r="AC1718" s="8" t="str">
        <f>HYPERLINK("https://drive.google.com/file/d/11vmFB_tk5S93-GvBuKtPBKe4hoWNTmuj/view?usp=drivesdk", "Abrir_Factura")</f>
        <v>Abrir_Factura</v>
      </c>
      <c r="AD1718" s="9">
        <v>46052.364247685182</v>
      </c>
    </row>
    <row r="1719" spans="1:30" ht="12.5">
      <c r="A1719" s="4">
        <v>46052.319468506947</v>
      </c>
      <c r="B1719" s="5">
        <v>91457</v>
      </c>
      <c r="C1719" s="5">
        <v>1234089353</v>
      </c>
      <c r="D1719" s="5" t="s">
        <v>297</v>
      </c>
      <c r="F1719" s="5" t="s">
        <v>1747</v>
      </c>
      <c r="H1719" s="5">
        <v>573007266661</v>
      </c>
      <c r="J1719" s="5" t="s">
        <v>7850</v>
      </c>
      <c r="K1719" s="5" t="s">
        <v>124</v>
      </c>
      <c r="L1719" s="5" t="s">
        <v>7851</v>
      </c>
      <c r="M1719" s="5">
        <v>3013385676</v>
      </c>
      <c r="N1719" s="6">
        <v>46052</v>
      </c>
      <c r="O1719" s="7">
        <v>0.41666666666666669</v>
      </c>
      <c r="P1719" s="5">
        <v>1</v>
      </c>
      <c r="Q1719" s="5" t="s">
        <v>747</v>
      </c>
      <c r="R1719" s="5">
        <v>338000</v>
      </c>
      <c r="S1719" s="5">
        <v>0</v>
      </c>
      <c r="T1719" s="5">
        <v>12000</v>
      </c>
      <c r="U1719" s="5">
        <v>350000</v>
      </c>
      <c r="V1719" s="5" t="s">
        <v>7852</v>
      </c>
      <c r="W1719" s="5" t="s">
        <v>36</v>
      </c>
      <c r="X1719" s="5" t="s">
        <v>1937</v>
      </c>
      <c r="Z1719" s="5"/>
      <c r="AA1719" s="5" t="s">
        <v>44</v>
      </c>
      <c r="AB1719" s="5"/>
      <c r="AC1719" s="8" t="str">
        <f>HYPERLINK("https://drive.google.com/file/d/1Amt6IFuAngZtkqVFscSwBgZl7XWrW6Gj/view?usp=drivesdk", "Abrir_Factura")</f>
        <v>Abrir_Factura</v>
      </c>
      <c r="AD1719" s="9">
        <v>46055.560995370368</v>
      </c>
    </row>
    <row r="1720" spans="1:30" ht="12.5">
      <c r="A1720" s="4">
        <v>46052.379030763885</v>
      </c>
      <c r="B1720" s="5">
        <v>91458</v>
      </c>
      <c r="C1720" s="5">
        <v>1020750871</v>
      </c>
      <c r="D1720" s="5" t="s">
        <v>2941</v>
      </c>
      <c r="F1720" s="5" t="s">
        <v>7853</v>
      </c>
      <c r="H1720" s="5">
        <v>573205195139</v>
      </c>
      <c r="J1720" s="5" t="s">
        <v>7854</v>
      </c>
      <c r="K1720" s="5" t="s">
        <v>229</v>
      </c>
      <c r="L1720" s="5" t="s">
        <v>7352</v>
      </c>
      <c r="M1720" s="5">
        <v>3005042875</v>
      </c>
      <c r="N1720" s="6">
        <v>46052</v>
      </c>
      <c r="O1720" s="7">
        <v>0.45833333333333331</v>
      </c>
      <c r="P1720" s="5">
        <v>1</v>
      </c>
      <c r="Q1720" s="5" t="s">
        <v>2586</v>
      </c>
      <c r="R1720" s="5">
        <v>190000</v>
      </c>
      <c r="S1720" s="5">
        <v>0</v>
      </c>
      <c r="T1720" s="5">
        <v>11000</v>
      </c>
      <c r="U1720" s="5">
        <v>201000</v>
      </c>
      <c r="V1720" s="5" t="s">
        <v>7855</v>
      </c>
      <c r="W1720" s="5" t="s">
        <v>36</v>
      </c>
      <c r="X1720" s="5" t="s">
        <v>180</v>
      </c>
      <c r="Z1720" s="5" t="s">
        <v>7856</v>
      </c>
      <c r="AA1720" s="5" t="s">
        <v>69</v>
      </c>
      <c r="AC1720" s="8" t="str">
        <f>HYPERLINK("https://drive.google.com/file/d/1gylU-rlePfJLJGEXOmAeram_jxyX_2Nm/view?usp=drivesdk", "Abrir_Factura")</f>
        <v>Abrir_Factura</v>
      </c>
      <c r="AD1720" s="9">
        <v>46052.385370370372</v>
      </c>
    </row>
    <row r="1721" spans="1:30" ht="12.5">
      <c r="A1721" s="4">
        <v>46052.393150185184</v>
      </c>
      <c r="B1721" s="5">
        <v>91459</v>
      </c>
      <c r="C1721" s="5">
        <v>1234089353</v>
      </c>
      <c r="D1721" s="5" t="s">
        <v>297</v>
      </c>
      <c r="F1721" s="5" t="s">
        <v>1747</v>
      </c>
      <c r="H1721" s="5">
        <v>573007266661</v>
      </c>
      <c r="J1721" s="5" t="s">
        <v>7857</v>
      </c>
      <c r="K1721" s="5" t="s">
        <v>1057</v>
      </c>
      <c r="L1721" s="5" t="s">
        <v>7858</v>
      </c>
      <c r="M1721" s="5">
        <v>3174178493</v>
      </c>
      <c r="N1721" s="6">
        <v>46052</v>
      </c>
      <c r="O1721" s="7">
        <v>0</v>
      </c>
      <c r="P1721" s="5">
        <v>1</v>
      </c>
      <c r="Q1721" s="5" t="s">
        <v>309</v>
      </c>
      <c r="R1721" s="5">
        <v>88000</v>
      </c>
      <c r="S1721" s="5">
        <v>0</v>
      </c>
      <c r="T1721" s="5">
        <v>14000</v>
      </c>
      <c r="U1721" s="5">
        <v>102000</v>
      </c>
      <c r="V1721" s="5" t="s">
        <v>7859</v>
      </c>
      <c r="W1721" s="5" t="s">
        <v>36</v>
      </c>
      <c r="X1721" s="5" t="s">
        <v>1937</v>
      </c>
      <c r="AA1721" s="5" t="s">
        <v>44</v>
      </c>
      <c r="AC1721" s="8" t="str">
        <f>HYPERLINK("https://drive.google.com/file/d/1wDeWL-BMDSgj_hgIXjB8HNuT9FVa5cme/view?usp=drivesdk", "Abrir_Factura")</f>
        <v>Abrir_Factura</v>
      </c>
      <c r="AD1721" s="9">
        <v>46052.400370370371</v>
      </c>
    </row>
    <row r="1722" spans="1:30" ht="12.5">
      <c r="A1722" s="4">
        <v>46052.401784733796</v>
      </c>
      <c r="B1722" s="5">
        <v>91460</v>
      </c>
      <c r="C1722" s="5">
        <v>22476854</v>
      </c>
      <c r="D1722" s="5" t="s">
        <v>7860</v>
      </c>
      <c r="F1722" s="5" t="s">
        <v>7861</v>
      </c>
      <c r="H1722" s="5">
        <v>1463303994</v>
      </c>
      <c r="J1722" s="5" t="s">
        <v>7862</v>
      </c>
      <c r="K1722" s="5" t="s">
        <v>33</v>
      </c>
      <c r="L1722" s="5" t="s">
        <v>34</v>
      </c>
      <c r="M1722" s="5">
        <v>1463303994</v>
      </c>
      <c r="N1722" s="6">
        <v>46052</v>
      </c>
      <c r="O1722" s="7">
        <v>0</v>
      </c>
      <c r="P1722" s="5">
        <v>1</v>
      </c>
      <c r="Q1722" s="5" t="s">
        <v>133</v>
      </c>
      <c r="R1722" s="5">
        <v>150000</v>
      </c>
      <c r="S1722" s="5">
        <v>0</v>
      </c>
      <c r="T1722" s="5">
        <v>0</v>
      </c>
      <c r="U1722" s="5">
        <v>150000</v>
      </c>
      <c r="V1722" s="5"/>
      <c r="W1722" s="5" t="s">
        <v>36</v>
      </c>
      <c r="X1722" s="5" t="s">
        <v>1705</v>
      </c>
      <c r="AA1722" s="5" t="s">
        <v>1717</v>
      </c>
      <c r="AC1722" s="8" t="str">
        <f>HYPERLINK("https://drive.google.com/file/d/1yY5EOgbIH8woXEIEQm39Qde5ZTHGzdVT/view?usp=drivesdk", "Abrir_Factura")</f>
        <v>Abrir_Factura</v>
      </c>
      <c r="AD1722" s="9">
        <v>46052.402303240742</v>
      </c>
    </row>
    <row r="1723" spans="1:30" ht="12.5">
      <c r="A1723" s="4">
        <v>46052.367835925921</v>
      </c>
      <c r="B1723" s="5">
        <v>91461</v>
      </c>
      <c r="C1723" s="5">
        <v>72344821</v>
      </c>
      <c r="D1723" s="5" t="s">
        <v>6639</v>
      </c>
      <c r="F1723" s="5" t="s">
        <v>5430</v>
      </c>
      <c r="H1723" s="5">
        <v>573126008597</v>
      </c>
      <c r="J1723" s="5" t="s">
        <v>7863</v>
      </c>
      <c r="K1723" s="5" t="s">
        <v>103</v>
      </c>
      <c r="L1723" s="5" t="s">
        <v>7864</v>
      </c>
      <c r="M1723" s="5">
        <v>3126008597</v>
      </c>
      <c r="N1723" s="6">
        <v>46052</v>
      </c>
      <c r="O1723" s="7">
        <v>0.45833333333333331</v>
      </c>
      <c r="P1723" s="5">
        <v>1</v>
      </c>
      <c r="Q1723" s="5" t="s">
        <v>7865</v>
      </c>
      <c r="R1723" s="5">
        <v>310000</v>
      </c>
      <c r="S1723" s="5">
        <v>0</v>
      </c>
      <c r="T1723" s="5">
        <v>10000</v>
      </c>
      <c r="U1723" s="5">
        <v>320000</v>
      </c>
      <c r="V1723" s="5"/>
      <c r="W1723" s="5" t="s">
        <v>36</v>
      </c>
      <c r="X1723" s="5" t="s">
        <v>1481</v>
      </c>
      <c r="AA1723" s="5" t="s">
        <v>44</v>
      </c>
      <c r="AC1723" s="8" t="str">
        <f>HYPERLINK("https://drive.google.com/file/d/1RFjcQDZTrnOQyyvmXZIEWRjz0Vsggi-N/view?usp=drivesdk", "Abrir_Factura")</f>
        <v>Abrir_Factura</v>
      </c>
      <c r="AD1723" s="9">
        <v>46052.405185185184</v>
      </c>
    </row>
    <row r="1724" spans="1:30" ht="12.5">
      <c r="A1724" s="4">
        <v>46052.396799837967</v>
      </c>
      <c r="B1724" s="5">
        <v>91462</v>
      </c>
      <c r="C1724" s="5">
        <v>72268125</v>
      </c>
      <c r="D1724" s="5" t="s">
        <v>7866</v>
      </c>
      <c r="F1724" s="5" t="s">
        <v>7867</v>
      </c>
      <c r="H1724" s="5">
        <v>573105365759</v>
      </c>
      <c r="J1724" s="5" t="s">
        <v>7868</v>
      </c>
      <c r="K1724" s="5" t="s">
        <v>401</v>
      </c>
      <c r="L1724" s="5" t="s">
        <v>7869</v>
      </c>
      <c r="M1724" s="5">
        <v>3005182766</v>
      </c>
      <c r="N1724" s="6">
        <v>46052</v>
      </c>
      <c r="O1724" s="7">
        <v>0</v>
      </c>
      <c r="P1724" s="5">
        <v>1</v>
      </c>
      <c r="Q1724" s="5" t="s">
        <v>2556</v>
      </c>
      <c r="R1724" s="5">
        <v>400000</v>
      </c>
      <c r="S1724" s="5">
        <v>0</v>
      </c>
      <c r="T1724" s="5">
        <v>12000</v>
      </c>
      <c r="U1724" s="5">
        <v>412000</v>
      </c>
      <c r="V1724" s="5" t="s">
        <v>7870</v>
      </c>
      <c r="W1724" s="5" t="s">
        <v>36</v>
      </c>
      <c r="X1724" s="5" t="s">
        <v>1481</v>
      </c>
      <c r="Z1724" s="5" t="s">
        <v>7871</v>
      </c>
      <c r="AA1724" s="5" t="s">
        <v>44</v>
      </c>
      <c r="AC1724" s="8" t="str">
        <f>HYPERLINK("https://drive.google.com/file/d/1ghxRmx8oX-27zdN26PU0zQSksZLyTTWJ/view?usp=drivesdk", "Abrir_Factura")</f>
        <v>Abrir_Factura</v>
      </c>
      <c r="AD1724" s="9">
        <v>46052.407777777778</v>
      </c>
    </row>
    <row r="1725" spans="1:30" ht="12.5">
      <c r="A1725" s="4">
        <v>46052.377850335644</v>
      </c>
      <c r="B1725" s="5">
        <v>91463</v>
      </c>
      <c r="C1725" s="5">
        <v>1020828316</v>
      </c>
      <c r="D1725" s="5" t="s">
        <v>7872</v>
      </c>
      <c r="F1725" s="5" t="s">
        <v>7873</v>
      </c>
      <c r="H1725" s="5">
        <v>573001598282</v>
      </c>
      <c r="J1725" s="5" t="s">
        <v>7874</v>
      </c>
      <c r="K1725" s="5" t="s">
        <v>1047</v>
      </c>
      <c r="L1725" s="5" t="s">
        <v>7875</v>
      </c>
      <c r="M1725" s="5" t="s">
        <v>7876</v>
      </c>
      <c r="N1725" s="6">
        <v>46052</v>
      </c>
      <c r="O1725" s="7">
        <v>0.6875</v>
      </c>
      <c r="P1725" s="5">
        <v>1</v>
      </c>
      <c r="Q1725" s="5" t="s">
        <v>559</v>
      </c>
      <c r="R1725" s="5">
        <v>99000</v>
      </c>
      <c r="S1725" s="5">
        <v>0</v>
      </c>
      <c r="T1725" s="5">
        <v>15000</v>
      </c>
      <c r="U1725" s="5">
        <v>114000</v>
      </c>
      <c r="V1725" s="5" t="s">
        <v>7877</v>
      </c>
      <c r="W1725" s="5" t="s">
        <v>36</v>
      </c>
      <c r="X1725" s="5" t="s">
        <v>1481</v>
      </c>
      <c r="Z1725" s="5" t="s">
        <v>7878</v>
      </c>
      <c r="AA1725" s="5" t="s">
        <v>44</v>
      </c>
      <c r="AC1725" s="8" t="str">
        <f>HYPERLINK("https://drive.google.com/file/d/19BK3wGrSrtxVm5--elmLdfQivHsAO6XQ/view?usp=drivesdk", "Abrir_Factura")</f>
        <v>Abrir_Factura</v>
      </c>
      <c r="AD1725" s="9">
        <v>46052.410509259258</v>
      </c>
    </row>
    <row r="1726" spans="1:30" ht="12.5">
      <c r="A1726" s="4">
        <v>46052.405867106485</v>
      </c>
      <c r="B1726" s="5">
        <v>91464</v>
      </c>
      <c r="C1726" s="5">
        <v>1041895928</v>
      </c>
      <c r="D1726" s="5" t="s">
        <v>7879</v>
      </c>
      <c r="F1726" s="5" t="s">
        <v>7880</v>
      </c>
      <c r="H1726" s="5">
        <v>573046304222</v>
      </c>
      <c r="J1726" s="5" t="s">
        <v>7881</v>
      </c>
      <c r="K1726" s="5" t="s">
        <v>563</v>
      </c>
      <c r="L1726" s="5" t="s">
        <v>7882</v>
      </c>
      <c r="M1726" s="5">
        <v>3046304222</v>
      </c>
      <c r="N1726" s="6">
        <v>46052</v>
      </c>
      <c r="O1726" s="7">
        <v>0</v>
      </c>
      <c r="P1726" s="5">
        <v>1</v>
      </c>
      <c r="Q1726" s="5" t="s">
        <v>65</v>
      </c>
      <c r="R1726" s="5">
        <v>80000</v>
      </c>
      <c r="S1726" s="5">
        <v>0</v>
      </c>
      <c r="T1726" s="5">
        <v>12000</v>
      </c>
      <c r="U1726" s="5">
        <v>92000</v>
      </c>
      <c r="V1726" s="5" t="s">
        <v>7883</v>
      </c>
      <c r="W1726" s="5" t="s">
        <v>36</v>
      </c>
      <c r="X1726" s="5" t="s">
        <v>1481</v>
      </c>
      <c r="Z1726" s="5" t="s">
        <v>7884</v>
      </c>
      <c r="AA1726" s="5" t="s">
        <v>44</v>
      </c>
      <c r="AC1726" s="8" t="str">
        <f>HYPERLINK("https://drive.google.com/file/d/1N-ABdAbghmkVYutVCWOwYz0mjElfGxh7/view?usp=drivesdk", "Abrir_Factura")</f>
        <v>Abrir_Factura</v>
      </c>
      <c r="AD1726" s="9">
        <v>46052.412453703706</v>
      </c>
    </row>
    <row r="1727" spans="1:30" ht="12.5">
      <c r="A1727" s="4">
        <v>46052.43693585648</v>
      </c>
      <c r="B1727" s="5">
        <v>91465</v>
      </c>
      <c r="C1727" s="5">
        <v>9010746718</v>
      </c>
      <c r="D1727" s="5" t="s">
        <v>2471</v>
      </c>
      <c r="F1727" s="5" t="s">
        <v>6386</v>
      </c>
      <c r="H1727" s="5">
        <v>573113043191</v>
      </c>
      <c r="J1727" s="5" t="s">
        <v>6387</v>
      </c>
      <c r="K1727" s="5" t="s">
        <v>33</v>
      </c>
      <c r="L1727" s="5" t="s">
        <v>34</v>
      </c>
      <c r="M1727" s="5" t="s">
        <v>2474</v>
      </c>
      <c r="N1727" s="6">
        <v>46052</v>
      </c>
      <c r="O1727" s="7">
        <v>0</v>
      </c>
      <c r="P1727" s="5">
        <v>1</v>
      </c>
      <c r="Q1727" s="5" t="s">
        <v>42</v>
      </c>
      <c r="R1727" s="5">
        <v>123000</v>
      </c>
      <c r="S1727" s="5">
        <v>0</v>
      </c>
      <c r="T1727" s="5">
        <v>0</v>
      </c>
      <c r="U1727" s="5">
        <v>123000</v>
      </c>
      <c r="V1727" s="5"/>
      <c r="W1727" s="5" t="s">
        <v>36</v>
      </c>
      <c r="X1727" s="5" t="s">
        <v>1705</v>
      </c>
      <c r="AA1727" s="5" t="s">
        <v>1717</v>
      </c>
      <c r="AB1727" s="5" t="s">
        <v>525</v>
      </c>
      <c r="AC1727" s="8" t="str">
        <f>HYPERLINK("https://drive.google.com/file/d/1oBrzspgCwRhuNcrFIVBt_zj_snkhFPCG/view?usp=drivesdk", "Abrir_Factura")</f>
        <v>Abrir_Factura</v>
      </c>
      <c r="AD1727" s="9">
        <v>46052.437534722223</v>
      </c>
    </row>
    <row r="1728" spans="1:30" ht="12.5">
      <c r="A1728" s="4">
        <v>46052.325810775466</v>
      </c>
      <c r="B1728" s="5">
        <v>91466</v>
      </c>
      <c r="C1728" s="5">
        <v>1001819879</v>
      </c>
      <c r="D1728" s="5" t="s">
        <v>7885</v>
      </c>
      <c r="F1728" s="5" t="s">
        <v>596</v>
      </c>
      <c r="H1728" s="5">
        <v>573043828685</v>
      </c>
      <c r="J1728" s="5" t="s">
        <v>7886</v>
      </c>
      <c r="K1728" s="5" t="s">
        <v>185</v>
      </c>
      <c r="L1728" s="5" t="s">
        <v>7887</v>
      </c>
      <c r="M1728" s="5" t="s">
        <v>7888</v>
      </c>
      <c r="N1728" s="6">
        <v>46052</v>
      </c>
      <c r="O1728" s="7">
        <v>0</v>
      </c>
      <c r="P1728" s="5">
        <v>1</v>
      </c>
      <c r="Q1728" s="5" t="s">
        <v>330</v>
      </c>
      <c r="R1728" s="5">
        <v>200000</v>
      </c>
      <c r="S1728" s="5">
        <v>0</v>
      </c>
      <c r="T1728" s="5">
        <v>8000</v>
      </c>
      <c r="U1728" s="5">
        <v>208000</v>
      </c>
      <c r="V1728" s="5" t="s">
        <v>7889</v>
      </c>
      <c r="W1728" s="5" t="s">
        <v>36</v>
      </c>
      <c r="X1728" s="5" t="s">
        <v>1937</v>
      </c>
      <c r="Z1728" s="5" t="s">
        <v>7885</v>
      </c>
      <c r="AA1728" s="5" t="s">
        <v>44</v>
      </c>
      <c r="AC1728" s="8" t="str">
        <f>HYPERLINK("https://drive.google.com/file/d/1IeLorlNFywGkn4cnrwCQeLGSZlQc8Smu/view?usp=drivesdk", "Abrir_Factura")</f>
        <v>Abrir_Factura</v>
      </c>
      <c r="AD1728" s="9">
        <v>46052.443148148152</v>
      </c>
    </row>
    <row r="1729" spans="1:30" ht="12.5">
      <c r="A1729" s="4">
        <v>46052.411668854169</v>
      </c>
      <c r="B1729" s="5">
        <v>91467</v>
      </c>
      <c r="C1729" s="5">
        <v>32855972</v>
      </c>
      <c r="D1729" s="5" t="s">
        <v>7890</v>
      </c>
      <c r="F1729" s="5" t="s">
        <v>7891</v>
      </c>
      <c r="H1729" s="5">
        <v>573165398651</v>
      </c>
      <c r="J1729" s="5" t="s">
        <v>7892</v>
      </c>
      <c r="K1729" s="5" t="s">
        <v>63</v>
      </c>
      <c r="L1729" s="5" t="s">
        <v>7893</v>
      </c>
      <c r="M1729" s="5">
        <v>3005583071</v>
      </c>
      <c r="N1729" s="6">
        <v>46052</v>
      </c>
      <c r="O1729" s="7">
        <v>0</v>
      </c>
      <c r="P1729" s="5">
        <v>1</v>
      </c>
      <c r="Q1729" s="5" t="s">
        <v>361</v>
      </c>
      <c r="R1729" s="5">
        <v>200000</v>
      </c>
      <c r="S1729" s="5">
        <v>0</v>
      </c>
      <c r="T1729" s="5">
        <v>17000</v>
      </c>
      <c r="U1729" s="5">
        <v>217000</v>
      </c>
      <c r="V1729" s="5" t="s">
        <v>7894</v>
      </c>
      <c r="W1729" s="5" t="s">
        <v>36</v>
      </c>
      <c r="X1729" s="5" t="s">
        <v>204</v>
      </c>
      <c r="Z1729" s="5" t="s">
        <v>7895</v>
      </c>
      <c r="AA1729" s="5" t="s">
        <v>44</v>
      </c>
      <c r="AB1729" s="5" t="s">
        <v>7896</v>
      </c>
      <c r="AC1729" s="8" t="str">
        <f>HYPERLINK("https://drive.google.com/file/d/1aDIM-BIJdcn2HxYuRFsainPuvln3KNOZ/view?usp=drivesdk", "Abrir_Factura")</f>
        <v>Abrir_Factura</v>
      </c>
      <c r="AD1729" s="9">
        <v>46052.447569444441</v>
      </c>
    </row>
    <row r="1730" spans="1:30" ht="12.5">
      <c r="A1730" s="4">
        <v>46052.489118622689</v>
      </c>
      <c r="B1730" s="5">
        <v>91468</v>
      </c>
      <c r="C1730" s="5">
        <v>1124034765</v>
      </c>
      <c r="D1730" s="5" t="s">
        <v>5572</v>
      </c>
      <c r="F1730" s="5" t="s">
        <v>5573</v>
      </c>
      <c r="H1730" s="5">
        <v>573022964478</v>
      </c>
      <c r="J1730" s="5" t="s">
        <v>7897</v>
      </c>
      <c r="K1730" s="5" t="s">
        <v>33</v>
      </c>
      <c r="L1730" s="5" t="s">
        <v>34</v>
      </c>
      <c r="M1730" s="5">
        <v>3022964478</v>
      </c>
      <c r="N1730" s="6">
        <v>46052</v>
      </c>
      <c r="O1730" s="7">
        <v>0</v>
      </c>
      <c r="P1730" s="5">
        <v>1</v>
      </c>
      <c r="Q1730" s="5" t="s">
        <v>42</v>
      </c>
      <c r="R1730" s="5">
        <v>35000</v>
      </c>
      <c r="S1730" s="5">
        <v>0</v>
      </c>
      <c r="T1730" s="5">
        <v>0</v>
      </c>
      <c r="U1730" s="5">
        <v>35000</v>
      </c>
      <c r="V1730" s="5"/>
      <c r="W1730" s="5" t="s">
        <v>36</v>
      </c>
      <c r="X1730" s="5" t="s">
        <v>1937</v>
      </c>
      <c r="AA1730" s="5" t="s">
        <v>44</v>
      </c>
      <c r="AB1730" s="5" t="s">
        <v>525</v>
      </c>
      <c r="AC1730" s="8" t="str">
        <f>HYPERLINK("https://drive.google.com/file/d/16abLIslm9YtBWnjnyDRsVhOOfncRmhpw/view?usp=drivesdk", "Abrir_Factura")</f>
        <v>Abrir_Factura</v>
      </c>
      <c r="AD1730" s="9">
        <v>46052.491875</v>
      </c>
    </row>
    <row r="1731" spans="1:30" ht="12.5">
      <c r="A1731" s="4">
        <v>46052.498522939815</v>
      </c>
      <c r="B1731" s="5">
        <v>91469</v>
      </c>
      <c r="C1731" s="5">
        <v>1122815449</v>
      </c>
      <c r="D1731" s="5" t="s">
        <v>5312</v>
      </c>
      <c r="F1731" s="5" t="s">
        <v>7898</v>
      </c>
      <c r="H1731" s="5">
        <v>573183752045</v>
      </c>
      <c r="J1731" s="5" t="s">
        <v>7899</v>
      </c>
      <c r="K1731" s="5"/>
      <c r="L1731" s="5" t="s">
        <v>7900</v>
      </c>
      <c r="M1731" s="5">
        <v>3183752045</v>
      </c>
      <c r="N1731" s="6">
        <v>46052</v>
      </c>
      <c r="O1731" s="7">
        <v>0.58333333333333337</v>
      </c>
      <c r="P1731" s="5">
        <v>1</v>
      </c>
      <c r="Q1731" s="5" t="s">
        <v>330</v>
      </c>
      <c r="R1731" s="5">
        <v>200000</v>
      </c>
      <c r="S1731" s="5">
        <v>0</v>
      </c>
      <c r="T1731" s="5"/>
      <c r="U1731" s="5">
        <v>200000</v>
      </c>
      <c r="V1731" s="5" t="s">
        <v>7901</v>
      </c>
      <c r="W1731" s="5" t="s">
        <v>36</v>
      </c>
      <c r="X1731" s="5" t="s">
        <v>1481</v>
      </c>
      <c r="Z1731" s="5" t="s">
        <v>7902</v>
      </c>
      <c r="AA1731" s="5" t="s">
        <v>69</v>
      </c>
      <c r="AC1731" s="8" t="str">
        <f>HYPERLINK("https://drive.google.com/file/d/10RCDeQUpfD2Svc_unNl94GFOGTmkB6nC/view?usp=drivesdk", "Abrir_Factura")</f>
        <v>Abrir_Factura</v>
      </c>
      <c r="AD1731" s="9">
        <v>46052.50849537037</v>
      </c>
    </row>
    <row r="1732" spans="1:30" ht="12.5">
      <c r="A1732" s="4">
        <v>46052.512230196764</v>
      </c>
      <c r="B1732" s="5">
        <v>91470</v>
      </c>
      <c r="C1732" s="5">
        <v>8565464</v>
      </c>
      <c r="D1732" s="5" t="s">
        <v>5562</v>
      </c>
      <c r="F1732" s="5" t="s">
        <v>363</v>
      </c>
      <c r="H1732" s="5">
        <v>573005099650</v>
      </c>
      <c r="J1732" s="5" t="s">
        <v>7903</v>
      </c>
      <c r="K1732" s="5" t="s">
        <v>33</v>
      </c>
      <c r="L1732" s="5" t="s">
        <v>34</v>
      </c>
      <c r="M1732" s="5">
        <v>3005099650</v>
      </c>
      <c r="N1732" s="6">
        <v>46052</v>
      </c>
      <c r="O1732" s="7">
        <v>0.58333333333333337</v>
      </c>
      <c r="P1732" s="5">
        <v>1</v>
      </c>
      <c r="Q1732" s="5" t="s">
        <v>210</v>
      </c>
      <c r="R1732" s="5">
        <v>170000</v>
      </c>
      <c r="S1732" s="5">
        <v>0</v>
      </c>
      <c r="T1732" s="5">
        <v>0</v>
      </c>
      <c r="U1732" s="5">
        <v>170000</v>
      </c>
      <c r="V1732" s="5"/>
      <c r="W1732" s="5" t="s">
        <v>36</v>
      </c>
      <c r="X1732" s="5" t="s">
        <v>1481</v>
      </c>
      <c r="AA1732" s="5" t="s">
        <v>44</v>
      </c>
      <c r="AC1732" s="8" t="str">
        <f>HYPERLINK("https://drive.google.com/file/d/19USm-9r50NXdWbi0v4gZrhyPP29Wu21D/view?usp=drivesdk", "Abrir_Factura")</f>
        <v>Abrir_Factura</v>
      </c>
      <c r="AD1732" s="9">
        <v>46052.515636574077</v>
      </c>
    </row>
    <row r="1733" spans="1:30" ht="12.5">
      <c r="A1733" s="4">
        <v>46052.510780648146</v>
      </c>
      <c r="B1733" s="5">
        <v>91471</v>
      </c>
      <c r="C1733" s="5">
        <v>1143469738</v>
      </c>
      <c r="D1733" s="5" t="s">
        <v>773</v>
      </c>
      <c r="F1733" s="5" t="s">
        <v>2931</v>
      </c>
      <c r="H1733" s="5">
        <v>573104267039</v>
      </c>
      <c r="J1733" s="5" t="s">
        <v>7904</v>
      </c>
      <c r="K1733" s="5" t="s">
        <v>249</v>
      </c>
      <c r="L1733" s="5" t="s">
        <v>7905</v>
      </c>
      <c r="M1733" s="5">
        <v>3104267039</v>
      </c>
      <c r="N1733" s="6">
        <v>46052</v>
      </c>
      <c r="O1733" s="7">
        <v>0.625</v>
      </c>
      <c r="P1733" s="5">
        <v>1</v>
      </c>
      <c r="Q1733" s="5" t="s">
        <v>347</v>
      </c>
      <c r="R1733" s="5">
        <v>250000</v>
      </c>
      <c r="S1733" s="5">
        <v>0</v>
      </c>
      <c r="T1733" s="5">
        <v>10000</v>
      </c>
      <c r="U1733" s="5">
        <v>260000</v>
      </c>
      <c r="V1733" s="5" t="s">
        <v>7906</v>
      </c>
      <c r="W1733" s="5" t="s">
        <v>36</v>
      </c>
      <c r="X1733" s="5" t="s">
        <v>1481</v>
      </c>
      <c r="Z1733" s="5" t="s">
        <v>7907</v>
      </c>
      <c r="AA1733" s="5" t="s">
        <v>44</v>
      </c>
      <c r="AB1733" s="5" t="s">
        <v>3330</v>
      </c>
      <c r="AC1733" s="8" t="str">
        <f>HYPERLINK("https://drive.google.com/file/d/14G4dHojRw0e59BEIo-WLkC60LGqMTqGP/view?usp=drivesdk", "Abrir_Factura")</f>
        <v>Abrir_Factura</v>
      </c>
      <c r="AD1733" s="9">
        <v>46052.520879629628</v>
      </c>
    </row>
    <row r="1734" spans="1:30" ht="12.5">
      <c r="A1734" s="4">
        <v>46052.533592453707</v>
      </c>
      <c r="B1734" s="5">
        <v>91472</v>
      </c>
      <c r="C1734" s="5">
        <v>22464965</v>
      </c>
      <c r="D1734" s="5" t="s">
        <v>7908</v>
      </c>
      <c r="F1734" s="5" t="s">
        <v>7909</v>
      </c>
      <c r="H1734" s="5">
        <v>573168338127</v>
      </c>
      <c r="J1734" s="5" t="s">
        <v>7910</v>
      </c>
      <c r="K1734" s="5"/>
      <c r="L1734" s="5" t="s">
        <v>7911</v>
      </c>
      <c r="M1734" s="5"/>
      <c r="N1734" s="6">
        <v>46052</v>
      </c>
      <c r="O1734" s="7">
        <v>0.58333333333333337</v>
      </c>
      <c r="P1734" s="5">
        <v>1</v>
      </c>
      <c r="Q1734" s="5" t="s">
        <v>42</v>
      </c>
      <c r="R1734" s="5">
        <v>162000</v>
      </c>
      <c r="S1734" s="5">
        <v>0</v>
      </c>
      <c r="T1734" s="5"/>
      <c r="U1734" s="5">
        <v>162000</v>
      </c>
      <c r="V1734" s="5"/>
      <c r="W1734" s="5" t="s">
        <v>36</v>
      </c>
      <c r="X1734" s="5" t="s">
        <v>1481</v>
      </c>
      <c r="AA1734" s="5" t="s">
        <v>44</v>
      </c>
      <c r="AB1734" s="5" t="s">
        <v>7912</v>
      </c>
      <c r="AC1734" s="8" t="str">
        <f>HYPERLINK("https://drive.google.com/file/d/1M4cxylWRKK0O7tO7ZlH-NQgFkU6xAUfU/view?usp=drivesdk", "Abrir_Factura")</f>
        <v>Abrir_Factura</v>
      </c>
      <c r="AD1734" s="9">
        <v>46052.534571759257</v>
      </c>
    </row>
    <row r="1735" spans="1:30" ht="12.5">
      <c r="A1735" s="4">
        <v>46052.527717500001</v>
      </c>
      <c r="B1735" s="5">
        <v>91473</v>
      </c>
      <c r="C1735" s="5">
        <v>1119396834</v>
      </c>
      <c r="D1735" s="5" t="s">
        <v>7913</v>
      </c>
      <c r="F1735" s="5" t="s">
        <v>7914</v>
      </c>
      <c r="H1735" s="5">
        <v>573135952833</v>
      </c>
      <c r="J1735" s="5" t="s">
        <v>7915</v>
      </c>
      <c r="K1735" s="5" t="s">
        <v>79</v>
      </c>
      <c r="L1735" s="5" t="s">
        <v>7916</v>
      </c>
      <c r="M1735" s="5" t="s">
        <v>7917</v>
      </c>
      <c r="N1735" s="6">
        <v>46052</v>
      </c>
      <c r="O1735" s="7">
        <v>0.58333333333333337</v>
      </c>
      <c r="P1735" s="5">
        <v>1</v>
      </c>
      <c r="Q1735" s="5" t="s">
        <v>75</v>
      </c>
      <c r="R1735" s="5">
        <v>80000</v>
      </c>
      <c r="S1735" s="5">
        <v>0</v>
      </c>
      <c r="T1735" s="5">
        <v>10000</v>
      </c>
      <c r="U1735" s="5">
        <v>90000</v>
      </c>
      <c r="V1735" s="5" t="s">
        <v>7918</v>
      </c>
      <c r="W1735" s="5" t="s">
        <v>36</v>
      </c>
      <c r="X1735" s="5" t="s">
        <v>1481</v>
      </c>
      <c r="Z1735" s="5" t="s">
        <v>7919</v>
      </c>
      <c r="AA1735" s="5" t="s">
        <v>44</v>
      </c>
      <c r="AC1735" s="8" t="str">
        <f>HYPERLINK("https://drive.google.com/file/d/1XSwKYzfUkG1Y16ae1rQcBWHgDtJzSvhM/view?usp=drivesdk", "Abrir_Factura")</f>
        <v>Abrir_Factura</v>
      </c>
      <c r="AD1735" s="9">
        <v>46052.536597222221</v>
      </c>
    </row>
    <row r="1736" spans="1:30" ht="12.5">
      <c r="A1736" s="4">
        <v>46052.533687835647</v>
      </c>
      <c r="B1736" s="5">
        <v>91474</v>
      </c>
      <c r="C1736" s="5">
        <v>1193580893</v>
      </c>
      <c r="D1736" s="5" t="s">
        <v>590</v>
      </c>
      <c r="F1736" s="5" t="s">
        <v>7920</v>
      </c>
      <c r="H1736" s="5">
        <v>573166838074</v>
      </c>
      <c r="J1736" s="5" t="s">
        <v>7921</v>
      </c>
      <c r="K1736" s="5" t="s">
        <v>185</v>
      </c>
      <c r="L1736" s="5" t="s">
        <v>7922</v>
      </c>
      <c r="M1736" s="5" t="s">
        <v>25421</v>
      </c>
      <c r="N1736" s="6">
        <v>46052</v>
      </c>
      <c r="O1736" s="7">
        <v>0.625</v>
      </c>
      <c r="P1736" s="5">
        <v>1</v>
      </c>
      <c r="Q1736" s="5" t="s">
        <v>918</v>
      </c>
      <c r="R1736" s="5">
        <v>250000</v>
      </c>
      <c r="S1736" s="5">
        <v>0</v>
      </c>
      <c r="T1736" s="5">
        <v>8000</v>
      </c>
      <c r="U1736" s="5">
        <v>258000</v>
      </c>
      <c r="V1736" s="5" t="s">
        <v>7923</v>
      </c>
      <c r="W1736" s="5" t="s">
        <v>36</v>
      </c>
      <c r="X1736" s="5" t="s">
        <v>1481</v>
      </c>
      <c r="Z1736" s="5" t="s">
        <v>7924</v>
      </c>
      <c r="AA1736" s="5" t="s">
        <v>44</v>
      </c>
      <c r="AC1736" s="8" t="str">
        <f>HYPERLINK("https://drive.google.com/file/d/1p9C3UPnymngKbezCcI-9Maen5JwUFLHP/view?usp=drivesdk", "Abrir_Factura")</f>
        <v>Abrir_Factura</v>
      </c>
      <c r="AD1736" s="9">
        <v>46052.538263888891</v>
      </c>
    </row>
    <row r="1737" spans="1:30" ht="12.5">
      <c r="A1737" s="4">
        <v>46052.560902488425</v>
      </c>
      <c r="B1737" s="5">
        <v>91475</v>
      </c>
      <c r="C1737" s="5">
        <v>1140820344</v>
      </c>
      <c r="D1737" s="5" t="s">
        <v>2799</v>
      </c>
      <c r="F1737" s="5" t="s">
        <v>7925</v>
      </c>
      <c r="H1737" s="5">
        <v>573004783152</v>
      </c>
      <c r="J1737" s="5" t="s">
        <v>7926</v>
      </c>
      <c r="K1737" s="5" t="s">
        <v>33</v>
      </c>
      <c r="L1737" s="5" t="s">
        <v>34</v>
      </c>
      <c r="M1737" s="5">
        <v>3004783152</v>
      </c>
      <c r="N1737" s="6">
        <v>46052</v>
      </c>
      <c r="O1737" s="7">
        <v>0</v>
      </c>
      <c r="P1737" s="5">
        <v>1</v>
      </c>
      <c r="Q1737" s="5" t="s">
        <v>309</v>
      </c>
      <c r="R1737" s="5">
        <v>88000</v>
      </c>
      <c r="S1737" s="5">
        <v>0</v>
      </c>
      <c r="T1737" s="5">
        <v>0</v>
      </c>
      <c r="U1737" s="5">
        <v>88000</v>
      </c>
      <c r="V1737" s="5"/>
      <c r="W1737" s="5" t="s">
        <v>36</v>
      </c>
      <c r="X1737" s="5" t="s">
        <v>1705</v>
      </c>
      <c r="AA1737" s="5" t="s">
        <v>44</v>
      </c>
      <c r="AC1737" s="8" t="str">
        <f>HYPERLINK("https://drive.google.com/file/d/1MJURG6ojQpR229gZgkuVAMZU2eesmHmM/view?usp=drivesdk", "Abrir_Factura")</f>
        <v>Abrir_Factura</v>
      </c>
      <c r="AD1737" s="9">
        <v>46052.561249999999</v>
      </c>
    </row>
    <row r="1738" spans="1:30" ht="12.5">
      <c r="A1738" s="4">
        <v>46052.537167106479</v>
      </c>
      <c r="B1738" s="5">
        <v>91476</v>
      </c>
      <c r="C1738" s="5">
        <v>1001820589</v>
      </c>
      <c r="D1738" s="5" t="s">
        <v>7927</v>
      </c>
      <c r="F1738" s="5" t="s">
        <v>7928</v>
      </c>
      <c r="H1738" s="5">
        <v>573054498222</v>
      </c>
      <c r="J1738" s="5" t="s">
        <v>7929</v>
      </c>
      <c r="K1738" s="5" t="s">
        <v>448</v>
      </c>
      <c r="L1738" s="5" t="s">
        <v>7930</v>
      </c>
      <c r="M1738" s="5">
        <v>3054498222</v>
      </c>
      <c r="N1738" s="6">
        <v>46052</v>
      </c>
      <c r="O1738" s="7">
        <v>0.64583333333333337</v>
      </c>
      <c r="P1738" s="5">
        <v>1</v>
      </c>
      <c r="Q1738" s="5" t="s">
        <v>1792</v>
      </c>
      <c r="R1738" s="5">
        <v>160000</v>
      </c>
      <c r="S1738" s="5">
        <v>0</v>
      </c>
      <c r="T1738" s="5">
        <v>15000</v>
      </c>
      <c r="U1738" s="5">
        <v>175000</v>
      </c>
      <c r="V1738" s="5" t="s">
        <v>7931</v>
      </c>
      <c r="W1738" s="5" t="s">
        <v>36</v>
      </c>
      <c r="X1738" s="5" t="s">
        <v>67</v>
      </c>
      <c r="Z1738" s="5" t="s">
        <v>7932</v>
      </c>
      <c r="AA1738" s="5" t="s">
        <v>44</v>
      </c>
      <c r="AB1738" s="5" t="s">
        <v>7933</v>
      </c>
      <c r="AC1738" s="8" t="str">
        <f>HYPERLINK("https://drive.google.com/file/d/1fp5-7DDYGaj4D6eE-A_pYRkfEdPmLliv/view?usp=drivesdk", "Abrir_Factura")</f>
        <v>Abrir_Factura</v>
      </c>
      <c r="AD1738" s="9">
        <v>46052.565879629627</v>
      </c>
    </row>
    <row r="1739" spans="1:30" ht="12.5">
      <c r="A1739" s="4">
        <v>46052.583035439813</v>
      </c>
      <c r="B1739" s="5">
        <v>91477</v>
      </c>
      <c r="C1739" s="5">
        <v>1121883599</v>
      </c>
      <c r="D1739" s="5" t="s">
        <v>7934</v>
      </c>
      <c r="F1739" s="5" t="s">
        <v>7935</v>
      </c>
      <c r="H1739" s="5">
        <v>573156128028</v>
      </c>
      <c r="J1739" s="5" t="s">
        <v>7936</v>
      </c>
      <c r="K1739" s="5" t="s">
        <v>73</v>
      </c>
      <c r="L1739" s="5" t="s">
        <v>7937</v>
      </c>
      <c r="M1739" s="5"/>
      <c r="N1739" s="6">
        <v>46052</v>
      </c>
      <c r="O1739" s="7">
        <v>0.64583333333333337</v>
      </c>
      <c r="P1739" s="5">
        <v>1</v>
      </c>
      <c r="Q1739" s="5" t="s">
        <v>7938</v>
      </c>
      <c r="R1739" s="5">
        <v>250000</v>
      </c>
      <c r="S1739" s="5">
        <v>0</v>
      </c>
      <c r="T1739" s="5">
        <v>8000</v>
      </c>
      <c r="U1739" s="5">
        <v>258000</v>
      </c>
      <c r="V1739" s="5"/>
      <c r="W1739" s="5" t="s">
        <v>36</v>
      </c>
      <c r="X1739" s="5" t="s">
        <v>67</v>
      </c>
      <c r="AA1739" s="5" t="s">
        <v>44</v>
      </c>
      <c r="AC1739" s="8" t="str">
        <f>HYPERLINK("https://drive.google.com/file/d/1cTC6piM1pK1qCzm_O8sKYp_60UTW7vvY/view?usp=drivesdk", "Abrir_Factura")</f>
        <v>Abrir_Factura</v>
      </c>
      <c r="AD1739" s="9">
        <v>46052.584097222221</v>
      </c>
    </row>
    <row r="1740" spans="1:30" ht="12.5">
      <c r="A1740" s="4">
        <v>46052.552629108795</v>
      </c>
      <c r="B1740" s="5">
        <v>91478</v>
      </c>
      <c r="C1740" s="5">
        <v>8061226</v>
      </c>
      <c r="D1740" s="5" t="s">
        <v>7939</v>
      </c>
      <c r="F1740" s="5" t="s">
        <v>7940</v>
      </c>
      <c r="H1740" s="5">
        <v>584140137146</v>
      </c>
      <c r="J1740" s="5" t="s">
        <v>7941</v>
      </c>
      <c r="K1740" s="5" t="s">
        <v>124</v>
      </c>
      <c r="L1740" s="5" t="s">
        <v>7942</v>
      </c>
      <c r="M1740" s="5" t="s">
        <v>25421</v>
      </c>
      <c r="N1740" s="6">
        <v>46052</v>
      </c>
      <c r="O1740" s="7">
        <v>0</v>
      </c>
      <c r="P1740" s="5">
        <v>1</v>
      </c>
      <c r="Q1740" s="5" t="s">
        <v>309</v>
      </c>
      <c r="R1740" s="5">
        <v>90000</v>
      </c>
      <c r="S1740" s="5">
        <v>0</v>
      </c>
      <c r="T1740" s="5">
        <v>12000</v>
      </c>
      <c r="U1740" s="5">
        <v>102000</v>
      </c>
      <c r="V1740" s="5" t="s">
        <v>7943</v>
      </c>
      <c r="W1740" s="5" t="s">
        <v>36</v>
      </c>
      <c r="X1740" s="5" t="s">
        <v>67</v>
      </c>
      <c r="Z1740" s="5" t="s">
        <v>7944</v>
      </c>
      <c r="AA1740" s="5" t="s">
        <v>44</v>
      </c>
      <c r="AB1740" s="5" t="s">
        <v>7945</v>
      </c>
      <c r="AC1740" s="8" t="str">
        <f>HYPERLINK("https://drive.google.com/file/d/1gUYZfnGZ1bd7l-0XDVbBJQILbp48kRrc/view?usp=drivesdk", "Abrir_Factura")</f>
        <v>Abrir_Factura</v>
      </c>
      <c r="AD1740" s="9">
        <v>46052.585312499999</v>
      </c>
    </row>
    <row r="1741" spans="1:30" ht="12.5">
      <c r="A1741" s="4">
        <v>46052.577203252316</v>
      </c>
      <c r="B1741" s="5">
        <v>91479</v>
      </c>
      <c r="C1741" s="5">
        <v>1034517595</v>
      </c>
      <c r="D1741" s="5" t="s">
        <v>182</v>
      </c>
      <c r="F1741" s="5" t="s">
        <v>7946</v>
      </c>
      <c r="H1741" s="5">
        <v>34638612865</v>
      </c>
      <c r="J1741" s="5" t="s">
        <v>7947</v>
      </c>
      <c r="K1741" s="5" t="s">
        <v>161</v>
      </c>
      <c r="L1741" s="5" t="s">
        <v>7948</v>
      </c>
      <c r="M1741" s="5">
        <v>3052775887</v>
      </c>
      <c r="N1741" s="6">
        <v>46052</v>
      </c>
      <c r="O1741" s="7">
        <v>0.66666666666666663</v>
      </c>
      <c r="P1741" s="5">
        <v>1</v>
      </c>
      <c r="Q1741" s="5" t="s">
        <v>422</v>
      </c>
      <c r="R1741" s="5">
        <v>150000</v>
      </c>
      <c r="S1741" s="5">
        <v>0</v>
      </c>
      <c r="T1741" s="5">
        <v>8000</v>
      </c>
      <c r="U1741" s="5">
        <v>158000</v>
      </c>
      <c r="V1741" s="5" t="s">
        <v>7949</v>
      </c>
      <c r="W1741" s="5" t="s">
        <v>36</v>
      </c>
      <c r="X1741" s="5" t="s">
        <v>67</v>
      </c>
      <c r="Z1741" s="5" t="s">
        <v>7950</v>
      </c>
      <c r="AA1741" s="5" t="s">
        <v>44</v>
      </c>
      <c r="AC1741" s="8" t="str">
        <f>HYPERLINK("https://drive.google.com/file/d/1mF6hcN5bMoLEzdonJfwWeGEG0vU8_XfH/view?usp=drivesdk", "Abrir_Factura")</f>
        <v>Abrir_Factura</v>
      </c>
      <c r="AD1741" s="9">
        <v>46052.586793981478</v>
      </c>
    </row>
    <row r="1742" spans="1:30" ht="12.5">
      <c r="A1742" s="4">
        <v>46052.599256018519</v>
      </c>
      <c r="B1742" s="5">
        <v>91480</v>
      </c>
      <c r="C1742" s="5">
        <v>3004245282</v>
      </c>
      <c r="D1742" s="5" t="s">
        <v>6476</v>
      </c>
      <c r="F1742" s="5" t="s">
        <v>1344</v>
      </c>
      <c r="H1742" s="5">
        <v>573004245282</v>
      </c>
      <c r="J1742" s="5" t="s">
        <v>7951</v>
      </c>
      <c r="K1742" s="5" t="s">
        <v>33</v>
      </c>
      <c r="L1742" s="5" t="s">
        <v>34</v>
      </c>
      <c r="M1742" s="5"/>
      <c r="N1742" s="6">
        <v>46052</v>
      </c>
      <c r="O1742" s="7">
        <v>0</v>
      </c>
      <c r="P1742" s="5">
        <v>1</v>
      </c>
      <c r="Q1742" s="5" t="s">
        <v>309</v>
      </c>
      <c r="R1742" s="5">
        <v>88000</v>
      </c>
      <c r="S1742" s="5">
        <v>0</v>
      </c>
      <c r="T1742" s="5">
        <v>0</v>
      </c>
      <c r="U1742" s="5">
        <v>88000</v>
      </c>
      <c r="V1742" s="5"/>
      <c r="W1742" s="5" t="s">
        <v>36</v>
      </c>
      <c r="X1742" s="5" t="s">
        <v>37</v>
      </c>
      <c r="AA1742" s="5" t="s">
        <v>37</v>
      </c>
      <c r="AB1742" s="5" t="s">
        <v>7952</v>
      </c>
      <c r="AC1742" s="8" t="str">
        <f>HYPERLINK("https://drive.google.com/file/d/16uogBFkvbnRLOK-RaUdh2Bkua9wT63Kq/view?usp=drivesdk", "Abrir_Factura")</f>
        <v>Abrir_Factura</v>
      </c>
      <c r="AD1742" s="9">
        <v>46052.599687499998</v>
      </c>
    </row>
    <row r="1743" spans="1:30" ht="12.5">
      <c r="A1743" s="4">
        <v>46052.586028692131</v>
      </c>
      <c r="B1743" s="5">
        <v>91481</v>
      </c>
      <c r="C1743" s="5">
        <v>23610164</v>
      </c>
      <c r="D1743" s="5" t="s">
        <v>332</v>
      </c>
      <c r="F1743" s="5" t="s">
        <v>7953</v>
      </c>
      <c r="H1743" s="5">
        <v>5804123420008</v>
      </c>
      <c r="J1743" s="5" t="s">
        <v>7954</v>
      </c>
      <c r="K1743" s="5" t="s">
        <v>185</v>
      </c>
      <c r="L1743" s="5" t="s">
        <v>7955</v>
      </c>
      <c r="M1743" s="5" t="s">
        <v>25421</v>
      </c>
      <c r="N1743" s="6">
        <v>46052</v>
      </c>
      <c r="O1743" s="7">
        <v>0</v>
      </c>
      <c r="P1743" s="5">
        <v>1</v>
      </c>
      <c r="Q1743" s="5" t="s">
        <v>309</v>
      </c>
      <c r="R1743" s="5">
        <v>88000</v>
      </c>
      <c r="S1743" s="5">
        <v>0</v>
      </c>
      <c r="T1743" s="5">
        <v>8000</v>
      </c>
      <c r="U1743" s="5">
        <v>96000</v>
      </c>
      <c r="V1743" s="5" t="s">
        <v>7956</v>
      </c>
      <c r="W1743" s="5" t="s">
        <v>36</v>
      </c>
      <c r="X1743" s="5" t="s">
        <v>1937</v>
      </c>
      <c r="Z1743" s="5" t="s">
        <v>7957</v>
      </c>
      <c r="AA1743" s="5" t="s">
        <v>44</v>
      </c>
      <c r="AB1743" s="5" t="s">
        <v>7958</v>
      </c>
      <c r="AC1743" s="8" t="str">
        <f>HYPERLINK("https://drive.google.com/file/d/1Mp52q8Im_zX-pLfi4BEhbuKDiGWEhmYL/view?usp=drivesdk", "Abrir_Factura")</f>
        <v>Abrir_Factura</v>
      </c>
      <c r="AD1743" s="9">
        <v>46052.604097222225</v>
      </c>
    </row>
    <row r="1744" spans="1:30" ht="12.5">
      <c r="A1744" s="4">
        <v>46052.629684097221</v>
      </c>
      <c r="B1744" s="5">
        <v>91482</v>
      </c>
      <c r="C1744" s="5">
        <v>1140870166</v>
      </c>
      <c r="D1744" s="5" t="s">
        <v>7959</v>
      </c>
      <c r="F1744" s="5" t="s">
        <v>7203</v>
      </c>
      <c r="H1744" s="5">
        <v>573004397253</v>
      </c>
      <c r="J1744" s="5" t="s">
        <v>7960</v>
      </c>
      <c r="K1744" s="5" t="s">
        <v>33</v>
      </c>
      <c r="L1744" s="5" t="s">
        <v>34</v>
      </c>
      <c r="M1744" s="5" t="s">
        <v>7961</v>
      </c>
      <c r="N1744" s="6">
        <v>46052</v>
      </c>
      <c r="O1744" s="7">
        <v>0.70833333333333337</v>
      </c>
      <c r="P1744" s="5">
        <v>1</v>
      </c>
      <c r="Q1744" s="5" t="s">
        <v>178</v>
      </c>
      <c r="R1744" s="5">
        <v>110000</v>
      </c>
      <c r="S1744" s="5">
        <v>0</v>
      </c>
      <c r="T1744" s="5">
        <v>0</v>
      </c>
      <c r="U1744" s="5">
        <v>110000</v>
      </c>
      <c r="V1744" s="5"/>
      <c r="W1744" s="5" t="s">
        <v>36</v>
      </c>
      <c r="X1744" s="5" t="s">
        <v>1705</v>
      </c>
      <c r="AA1744" s="5" t="s">
        <v>44</v>
      </c>
      <c r="AC1744" s="8" t="str">
        <f>HYPERLINK("https://drive.google.com/file/d/1GhY93XGbWoH_qdiZQ2wj1RAntC9cegm9/view?usp=drivesdk", "Abrir_Factura")</f>
        <v>Abrir_Factura</v>
      </c>
      <c r="AD1744" s="9">
        <v>46052.759571759256</v>
      </c>
    </row>
    <row r="1745" spans="1:30" ht="12.5">
      <c r="A1745" s="4">
        <v>46052.643599733798</v>
      </c>
      <c r="B1745" s="5">
        <v>91483</v>
      </c>
      <c r="C1745" s="5">
        <v>1083001788</v>
      </c>
      <c r="D1745" s="5" t="s">
        <v>7962</v>
      </c>
      <c r="F1745" s="5" t="s">
        <v>3877</v>
      </c>
      <c r="H1745" s="5">
        <v>570000</v>
      </c>
      <c r="J1745" s="5" t="s">
        <v>7963</v>
      </c>
      <c r="K1745" s="5" t="s">
        <v>33</v>
      </c>
      <c r="L1745" s="5" t="s">
        <v>34</v>
      </c>
      <c r="M1745" s="5">
        <v>0</v>
      </c>
      <c r="N1745" s="6">
        <v>46052</v>
      </c>
      <c r="O1745" s="7">
        <v>0</v>
      </c>
      <c r="P1745" s="5">
        <v>1</v>
      </c>
      <c r="Q1745" s="5" t="s">
        <v>42</v>
      </c>
      <c r="R1745" s="5">
        <v>80000</v>
      </c>
      <c r="S1745" s="5">
        <v>0</v>
      </c>
      <c r="T1745" s="5">
        <v>0</v>
      </c>
      <c r="U1745" s="5">
        <v>80000</v>
      </c>
      <c r="V1745" s="5"/>
      <c r="W1745" s="5" t="s">
        <v>36</v>
      </c>
      <c r="X1745" s="5" t="s">
        <v>67</v>
      </c>
      <c r="AA1745" s="5" t="s">
        <v>1717</v>
      </c>
      <c r="AC1745" s="8" t="str">
        <f>HYPERLINK("https://drive.google.com/file/d/1FueIzBIl-lgWyZRwVdty_w35g5dtryTJ/view?usp=drivesdk", "Abrir_Factura")</f>
        <v>Abrir_Factura</v>
      </c>
      <c r="AD1745" s="9">
        <v>46052.644745370373</v>
      </c>
    </row>
    <row r="1746" spans="1:30" ht="12.5">
      <c r="A1746" s="4">
        <v>46052.645999155095</v>
      </c>
      <c r="B1746" s="5">
        <v>91484</v>
      </c>
      <c r="C1746" s="5">
        <v>6490252</v>
      </c>
      <c r="D1746" s="5" t="s">
        <v>7964</v>
      </c>
      <c r="F1746" s="5" t="s">
        <v>7965</v>
      </c>
      <c r="H1746" s="5">
        <v>570000</v>
      </c>
      <c r="J1746" s="5" t="s">
        <v>7966</v>
      </c>
      <c r="K1746" s="5" t="s">
        <v>33</v>
      </c>
      <c r="L1746" s="5" t="s">
        <v>34</v>
      </c>
      <c r="M1746" s="5">
        <v>0</v>
      </c>
      <c r="N1746" s="6">
        <v>46052</v>
      </c>
      <c r="O1746" s="7">
        <v>0</v>
      </c>
      <c r="P1746" s="5">
        <v>1</v>
      </c>
      <c r="Q1746" s="5" t="s">
        <v>42</v>
      </c>
      <c r="R1746" s="5">
        <v>0</v>
      </c>
      <c r="S1746" s="5">
        <v>0</v>
      </c>
      <c r="T1746" s="5">
        <v>0</v>
      </c>
      <c r="U1746" s="5">
        <v>0</v>
      </c>
      <c r="V1746" s="5"/>
      <c r="W1746" s="5" t="s">
        <v>36</v>
      </c>
      <c r="X1746" s="5" t="s">
        <v>196</v>
      </c>
      <c r="AA1746" s="5" t="s">
        <v>1717</v>
      </c>
      <c r="AB1746" s="5" t="s">
        <v>7967</v>
      </c>
      <c r="AC1746" s="8" t="str">
        <f>HYPERLINK("https://drive.google.com/file/d/1CeRalrnDinCo4e3QDGlOY8l0DJB9mZsm/view?usp=drivesdk", "Abrir_Factura")</f>
        <v>Abrir_Factura</v>
      </c>
      <c r="AD1746" s="9">
        <v>46052.646585648145</v>
      </c>
    </row>
    <row r="1747" spans="1:30" ht="12.5">
      <c r="A1747" s="4">
        <v>46053.63857638889</v>
      </c>
      <c r="B1747" s="5">
        <v>91485</v>
      </c>
      <c r="C1747" s="5">
        <v>1140856897</v>
      </c>
      <c r="D1747" s="5" t="s">
        <v>7968</v>
      </c>
      <c r="F1747" s="5" t="s">
        <v>7969</v>
      </c>
      <c r="H1747" s="5">
        <v>573008332601</v>
      </c>
      <c r="J1747" s="5" t="s">
        <v>7970</v>
      </c>
      <c r="K1747" s="5" t="s">
        <v>879</v>
      </c>
      <c r="L1747" s="5" t="s">
        <v>7971</v>
      </c>
      <c r="M1747" s="5">
        <v>3053274304</v>
      </c>
      <c r="N1747" s="6">
        <v>46053</v>
      </c>
      <c r="O1747" s="7">
        <v>0.75</v>
      </c>
      <c r="P1747" s="5">
        <v>1</v>
      </c>
      <c r="Q1747" s="5" t="s">
        <v>3142</v>
      </c>
      <c r="R1747" s="5">
        <v>300000</v>
      </c>
      <c r="S1747" s="5">
        <v>0</v>
      </c>
      <c r="T1747" s="5">
        <v>20000</v>
      </c>
      <c r="U1747" s="5">
        <v>320000</v>
      </c>
      <c r="V1747" s="5" t="s">
        <v>7972</v>
      </c>
      <c r="W1747" s="5" t="s">
        <v>36</v>
      </c>
      <c r="X1747" s="5" t="s">
        <v>196</v>
      </c>
      <c r="Z1747" s="5" t="s">
        <v>7973</v>
      </c>
      <c r="AA1747" s="5" t="s">
        <v>44</v>
      </c>
      <c r="AC1747" s="8" t="str">
        <f>HYPERLINK("https://drive.google.com/file/d/1LwgKYq4k4LfQxRZBgadRg6VO82tafAxo/view?usp=drivesdk", "Abrir_Factura")</f>
        <v>Abrir_Factura</v>
      </c>
      <c r="AD1747" s="9">
        <v>46055.463020833333</v>
      </c>
    </row>
    <row r="1748" spans="1:30" ht="12.5">
      <c r="A1748" s="4">
        <v>46052.666168784723</v>
      </c>
      <c r="B1748" s="5">
        <v>91486</v>
      </c>
      <c r="C1748" s="5">
        <v>1007259348</v>
      </c>
      <c r="D1748" s="5" t="s">
        <v>1069</v>
      </c>
      <c r="F1748" s="5" t="s">
        <v>393</v>
      </c>
      <c r="H1748" s="5">
        <v>573218807949</v>
      </c>
      <c r="J1748" s="5" t="s">
        <v>7493</v>
      </c>
      <c r="K1748" s="5" t="s">
        <v>33</v>
      </c>
      <c r="L1748" s="5" t="s">
        <v>34</v>
      </c>
      <c r="M1748" s="5">
        <v>3218807949</v>
      </c>
      <c r="N1748" s="6">
        <v>46052</v>
      </c>
      <c r="O1748" s="7">
        <v>0</v>
      </c>
      <c r="P1748" s="5">
        <v>1</v>
      </c>
      <c r="Q1748" s="5" t="s">
        <v>435</v>
      </c>
      <c r="R1748" s="5">
        <v>65000</v>
      </c>
      <c r="S1748" s="5">
        <v>0</v>
      </c>
      <c r="T1748" s="5">
        <v>0</v>
      </c>
      <c r="U1748" s="5">
        <v>65000</v>
      </c>
      <c r="V1748" s="5"/>
      <c r="W1748" s="5" t="s">
        <v>36</v>
      </c>
      <c r="X1748" s="5" t="s">
        <v>37</v>
      </c>
      <c r="AA1748" s="5" t="s">
        <v>37</v>
      </c>
      <c r="AB1748" s="5" t="s">
        <v>7974</v>
      </c>
      <c r="AC1748" s="8" t="str">
        <f>HYPERLINK("https://drive.google.com/file/d/1VT_MPxgwXZZHAJSL2Q-SpmGu-W80nGVz/view?usp=drivesdk", "Abrir_Factura")</f>
        <v>Abrir_Factura</v>
      </c>
      <c r="AD1748" s="9">
        <v>46052.667326388888</v>
      </c>
    </row>
    <row r="1749" spans="1:30" ht="12.5">
      <c r="A1749" s="4">
        <v>46052.67301392361</v>
      </c>
      <c r="B1749" s="5">
        <v>91487</v>
      </c>
      <c r="C1749" s="5">
        <v>1140864521</v>
      </c>
      <c r="D1749" s="5" t="s">
        <v>3450</v>
      </c>
      <c r="F1749" s="5" t="s">
        <v>7975</v>
      </c>
      <c r="H1749" s="5">
        <v>573242911372</v>
      </c>
      <c r="J1749" s="5" t="s">
        <v>7976</v>
      </c>
      <c r="K1749" s="5" t="s">
        <v>307</v>
      </c>
      <c r="L1749" s="5" t="s">
        <v>7977</v>
      </c>
      <c r="M1749" s="5">
        <v>3008143839</v>
      </c>
      <c r="N1749" s="6">
        <v>46053</v>
      </c>
      <c r="O1749" s="7">
        <v>0.66666666666666663</v>
      </c>
      <c r="P1749" s="5">
        <v>1</v>
      </c>
      <c r="Q1749" s="5" t="s">
        <v>1111</v>
      </c>
      <c r="R1749" s="5">
        <v>140000</v>
      </c>
      <c r="S1749" s="5">
        <v>0</v>
      </c>
      <c r="T1749" s="5">
        <v>10000</v>
      </c>
      <c r="U1749" s="5">
        <v>150000</v>
      </c>
      <c r="V1749" s="5" t="s">
        <v>7978</v>
      </c>
      <c r="W1749" s="5" t="s">
        <v>36</v>
      </c>
      <c r="X1749" s="5" t="s">
        <v>83</v>
      </c>
      <c r="Z1749" s="5" t="s">
        <v>7979</v>
      </c>
      <c r="AA1749" s="5" t="s">
        <v>69</v>
      </c>
      <c r="AC1749" s="8" t="str">
        <f>HYPERLINK("https://drive.google.com/file/d/1lVGFT1eY_44zD1EDpbiFqy-PHjT0Nq8X/view?usp=drivesdk", "Abrir_Factura")</f>
        <v>Abrir_Factura</v>
      </c>
      <c r="AD1749" s="9">
        <v>46052.677418981482</v>
      </c>
    </row>
    <row r="1750" spans="1:30" ht="12.5">
      <c r="A1750" s="4">
        <v>46052.668651296292</v>
      </c>
      <c r="B1750" s="5">
        <v>91488</v>
      </c>
      <c r="C1750" s="5">
        <v>1042430920</v>
      </c>
      <c r="D1750" s="5" t="s">
        <v>6864</v>
      </c>
      <c r="F1750" s="5" t="s">
        <v>7980</v>
      </c>
      <c r="H1750" s="5">
        <v>573192516630</v>
      </c>
      <c r="J1750" s="5" t="s">
        <v>7981</v>
      </c>
      <c r="K1750" s="5" t="s">
        <v>185</v>
      </c>
      <c r="L1750" s="5" t="s">
        <v>7982</v>
      </c>
      <c r="M1750" s="5">
        <v>3017438641</v>
      </c>
      <c r="N1750" s="6">
        <v>46053</v>
      </c>
      <c r="O1750" s="7">
        <v>0.375</v>
      </c>
      <c r="P1750" s="5">
        <v>1</v>
      </c>
      <c r="Q1750" s="5" t="s">
        <v>65</v>
      </c>
      <c r="R1750" s="5">
        <v>80000</v>
      </c>
      <c r="S1750" s="5">
        <v>0</v>
      </c>
      <c r="T1750" s="5">
        <v>8000</v>
      </c>
      <c r="U1750" s="5">
        <v>88000</v>
      </c>
      <c r="V1750" s="5" t="s">
        <v>7983</v>
      </c>
      <c r="W1750" s="5" t="s">
        <v>36</v>
      </c>
      <c r="X1750" s="5" t="s">
        <v>67</v>
      </c>
      <c r="Z1750" s="5" t="s">
        <v>7984</v>
      </c>
      <c r="AA1750" s="5" t="s">
        <v>44</v>
      </c>
      <c r="AB1750" s="5" t="s">
        <v>7985</v>
      </c>
      <c r="AC1750" s="8" t="str">
        <f>HYPERLINK("https://drive.google.com/file/d/1RQ1RAORfCcOp91G8K4VQrcGooLGHb8II/view?usp=drivesdk", "Abrir_Factura")</f>
        <v>Abrir_Factura</v>
      </c>
      <c r="AD1750" s="9">
        <v>46052.680648148147</v>
      </c>
    </row>
    <row r="1751" spans="1:30" ht="12.5">
      <c r="A1751" s="4">
        <v>46052.697202002309</v>
      </c>
      <c r="B1751" s="5">
        <v>91489</v>
      </c>
      <c r="C1751" s="5">
        <v>22413505</v>
      </c>
      <c r="D1751" s="5" t="s">
        <v>7986</v>
      </c>
      <c r="F1751" s="5" t="s">
        <v>7987</v>
      </c>
      <c r="H1751" s="5">
        <v>573004646038</v>
      </c>
      <c r="J1751" s="5" t="s">
        <v>1200</v>
      </c>
      <c r="K1751" s="5" t="s">
        <v>351</v>
      </c>
      <c r="L1751" s="5" t="s">
        <v>7988</v>
      </c>
      <c r="M1751" s="5"/>
      <c r="N1751" s="6">
        <v>46053</v>
      </c>
      <c r="O1751" s="7">
        <v>0</v>
      </c>
      <c r="P1751" s="5">
        <v>1</v>
      </c>
      <c r="Q1751" s="5" t="s">
        <v>370</v>
      </c>
      <c r="R1751" s="5">
        <v>290000</v>
      </c>
      <c r="S1751" s="5">
        <v>0</v>
      </c>
      <c r="T1751" s="5">
        <v>12000</v>
      </c>
      <c r="U1751" s="5">
        <v>302000</v>
      </c>
      <c r="V1751" s="5" t="s">
        <v>7989</v>
      </c>
      <c r="W1751" s="5" t="s">
        <v>36</v>
      </c>
      <c r="X1751" s="5" t="s">
        <v>1705</v>
      </c>
      <c r="AA1751" s="5" t="s">
        <v>1717</v>
      </c>
      <c r="AC1751" s="8" t="str">
        <f>HYPERLINK("https://drive.google.com/file/d/1WKCweyzds2A-61t9KoAmvgho1YqjLDnJ/view?usp=drivesdk", "Abrir_Factura")</f>
        <v>Abrir_Factura</v>
      </c>
      <c r="AD1751" s="9">
        <v>46052.699363425927</v>
      </c>
    </row>
    <row r="1752" spans="1:30" ht="12.5">
      <c r="A1752" s="4">
        <v>46052.703198680552</v>
      </c>
      <c r="B1752" s="5">
        <v>91490</v>
      </c>
      <c r="C1752" s="5">
        <v>1048066469</v>
      </c>
      <c r="D1752" s="5" t="s">
        <v>7990</v>
      </c>
      <c r="F1752" s="5" t="s">
        <v>7991</v>
      </c>
      <c r="H1752" s="5">
        <v>573046618575</v>
      </c>
      <c r="J1752" s="5" t="s">
        <v>7992</v>
      </c>
      <c r="K1752" s="5" t="s">
        <v>1722</v>
      </c>
      <c r="L1752" s="5" t="s">
        <v>7993</v>
      </c>
      <c r="M1752" s="5" t="s">
        <v>7994</v>
      </c>
      <c r="N1752" s="6">
        <v>46052</v>
      </c>
      <c r="O1752" s="7">
        <v>0</v>
      </c>
      <c r="P1752" s="5">
        <v>1</v>
      </c>
      <c r="Q1752" s="5" t="s">
        <v>375</v>
      </c>
      <c r="R1752" s="5">
        <v>80000</v>
      </c>
      <c r="S1752" s="5">
        <v>0</v>
      </c>
      <c r="T1752" s="5">
        <v>15000</v>
      </c>
      <c r="U1752" s="5">
        <v>95000</v>
      </c>
      <c r="V1752" s="5" t="s">
        <v>7995</v>
      </c>
      <c r="W1752" s="5" t="s">
        <v>36</v>
      </c>
      <c r="X1752" s="5" t="s">
        <v>1481</v>
      </c>
      <c r="AA1752" s="5" t="s">
        <v>44</v>
      </c>
      <c r="AC1752" s="8" t="str">
        <f>HYPERLINK("https://drive.google.com/file/d/1s8ipy9Uxj-wVJBSu5CHEpNAT220Gi_Fb/view?usp=drivesdk", "Abrir_Factura")</f>
        <v>Abrir_Factura</v>
      </c>
      <c r="AD1752" s="9">
        <v>46052.703900462962</v>
      </c>
    </row>
    <row r="1753" spans="1:30" ht="12.5">
      <c r="A1753" s="4">
        <v>46052.713180937499</v>
      </c>
      <c r="B1753" s="5">
        <v>91491</v>
      </c>
      <c r="C1753" s="5">
        <v>9012846077</v>
      </c>
      <c r="D1753" s="5" t="s">
        <v>7996</v>
      </c>
      <c r="F1753" s="5" t="s">
        <v>6979</v>
      </c>
      <c r="H1753" s="5">
        <v>573225561246</v>
      </c>
      <c r="J1753" s="5" t="s">
        <v>7997</v>
      </c>
      <c r="K1753" s="5" t="s">
        <v>516</v>
      </c>
      <c r="L1753" s="5" t="s">
        <v>7998</v>
      </c>
      <c r="M1753" s="5"/>
      <c r="N1753" s="6">
        <v>46053</v>
      </c>
      <c r="O1753" s="7">
        <v>0.33333333333333331</v>
      </c>
      <c r="P1753" s="5">
        <v>1</v>
      </c>
      <c r="Q1753" s="5" t="s">
        <v>1251</v>
      </c>
      <c r="R1753" s="5">
        <v>580000</v>
      </c>
      <c r="S1753" s="5">
        <v>0</v>
      </c>
      <c r="T1753" s="5">
        <v>10000</v>
      </c>
      <c r="U1753" s="5">
        <v>590000</v>
      </c>
      <c r="V1753" s="5" t="s">
        <v>7999</v>
      </c>
      <c r="W1753" s="5" t="s">
        <v>36</v>
      </c>
      <c r="X1753" s="5" t="s">
        <v>1481</v>
      </c>
      <c r="AA1753" s="5" t="s">
        <v>44</v>
      </c>
      <c r="AB1753" s="5" t="s">
        <v>8000</v>
      </c>
      <c r="AC1753" s="8" t="str">
        <f>HYPERLINK("https://drive.google.com/file/d/1zoabXlEuPsXEYJegsP8mXvXCvOY6bxOi/view?usp=drivesdk", "Abrir_Factura")</f>
        <v>Abrir_Factura</v>
      </c>
      <c r="AD1753" s="9">
        <v>46052.714826388888</v>
      </c>
    </row>
    <row r="1754" spans="1:30" ht="12.5">
      <c r="A1754" s="4">
        <v>46052.752071574076</v>
      </c>
      <c r="B1754" s="5">
        <v>91492</v>
      </c>
      <c r="C1754" s="5">
        <v>1234092321</v>
      </c>
      <c r="D1754" s="5" t="s">
        <v>7440</v>
      </c>
      <c r="F1754" s="5" t="s">
        <v>3209</v>
      </c>
      <c r="H1754" s="5">
        <v>573024694357</v>
      </c>
      <c r="J1754" s="5" t="s">
        <v>7441</v>
      </c>
      <c r="K1754" s="5" t="s">
        <v>33</v>
      </c>
      <c r="L1754" s="5" t="s">
        <v>34</v>
      </c>
      <c r="M1754" s="5"/>
      <c r="N1754" s="6">
        <v>46052</v>
      </c>
      <c r="O1754" s="7">
        <v>0</v>
      </c>
      <c r="P1754" s="5">
        <v>1</v>
      </c>
      <c r="Q1754" s="5" t="s">
        <v>42</v>
      </c>
      <c r="R1754" s="5">
        <v>20000</v>
      </c>
      <c r="S1754" s="5">
        <v>0</v>
      </c>
      <c r="T1754" s="5">
        <v>0</v>
      </c>
      <c r="U1754" s="5">
        <v>20000</v>
      </c>
      <c r="V1754" s="5"/>
      <c r="W1754" s="5" t="s">
        <v>36</v>
      </c>
      <c r="X1754" s="5" t="s">
        <v>83</v>
      </c>
      <c r="AA1754" s="5" t="s">
        <v>44</v>
      </c>
      <c r="AB1754" s="5" t="s">
        <v>1286</v>
      </c>
      <c r="AC1754" s="8" t="str">
        <f>HYPERLINK("https://drive.google.com/file/d/1zceQvpJed0oM3rjRBf2pWhx-Mzye5iC-/view?usp=drivesdk", "Abrir_Factura")</f>
        <v>Abrir_Factura</v>
      </c>
      <c r="AD1754" s="9">
        <v>46052.75409722222</v>
      </c>
    </row>
    <row r="1755" spans="1:30" ht="12.5">
      <c r="A1755" s="4">
        <v>46052.757386446756</v>
      </c>
      <c r="B1755" s="5">
        <v>91493</v>
      </c>
      <c r="C1755" s="5">
        <v>1234093526</v>
      </c>
      <c r="D1755" s="5" t="s">
        <v>8001</v>
      </c>
      <c r="F1755" s="5" t="s">
        <v>8002</v>
      </c>
      <c r="H1755" s="5">
        <v>573105306014</v>
      </c>
      <c r="J1755" s="5" t="s">
        <v>8003</v>
      </c>
      <c r="K1755" s="5" t="s">
        <v>73</v>
      </c>
      <c r="L1755" s="5" t="s">
        <v>8004</v>
      </c>
      <c r="M1755" s="5"/>
      <c r="N1755" s="6">
        <v>46058</v>
      </c>
      <c r="O1755" s="7">
        <v>0.375</v>
      </c>
      <c r="P1755" s="5">
        <v>1</v>
      </c>
      <c r="Q1755" s="5" t="s">
        <v>361</v>
      </c>
      <c r="R1755" s="5">
        <v>200000</v>
      </c>
      <c r="S1755" s="5">
        <v>0</v>
      </c>
      <c r="T1755" s="5">
        <v>8000</v>
      </c>
      <c r="U1755" s="5">
        <v>208000</v>
      </c>
      <c r="V1755" s="5" t="s">
        <v>8005</v>
      </c>
      <c r="W1755" s="5" t="s">
        <v>36</v>
      </c>
      <c r="X1755" s="5" t="s">
        <v>204</v>
      </c>
      <c r="AA1755" s="5" t="s">
        <v>69</v>
      </c>
      <c r="AC1755" s="8" t="str">
        <f>HYPERLINK("https://drive.google.com/file/d/1V4aHY2Y37LNE0jcmqDMaN0TYwb2rfJAb/view?usp=drivesdk", "Abrir_Factura")</f>
        <v>Abrir_Factura</v>
      </c>
      <c r="AD1755" s="9">
        <v>46052.758067129631</v>
      </c>
    </row>
    <row r="1756" spans="1:30" ht="12.5">
      <c r="A1756" s="4">
        <v>46052.762707766204</v>
      </c>
      <c r="B1756" s="5">
        <v>91494</v>
      </c>
      <c r="C1756" s="5">
        <v>0</v>
      </c>
      <c r="D1756" s="5">
        <v>0</v>
      </c>
      <c r="F1756" s="5">
        <v>0</v>
      </c>
      <c r="H1756" s="5">
        <v>570000</v>
      </c>
      <c r="J1756" s="5" t="s">
        <v>8006</v>
      </c>
      <c r="K1756" s="5" t="s">
        <v>33</v>
      </c>
      <c r="L1756" s="5" t="s">
        <v>34</v>
      </c>
      <c r="M1756" s="5"/>
      <c r="N1756" s="6">
        <v>46052</v>
      </c>
      <c r="O1756" s="7">
        <v>0</v>
      </c>
      <c r="P1756" s="5">
        <v>1</v>
      </c>
      <c r="Q1756" s="5" t="s">
        <v>42</v>
      </c>
      <c r="R1756" s="5">
        <v>18000</v>
      </c>
      <c r="S1756" s="5">
        <v>0</v>
      </c>
      <c r="T1756" s="5">
        <v>0</v>
      </c>
      <c r="U1756" s="5">
        <v>18000</v>
      </c>
      <c r="V1756" s="5"/>
      <c r="W1756" s="5" t="s">
        <v>36</v>
      </c>
      <c r="X1756" s="5" t="s">
        <v>196</v>
      </c>
      <c r="AA1756" s="5" t="s">
        <v>1717</v>
      </c>
      <c r="AC1756" s="8" t="str">
        <f>HYPERLINK("https://drive.google.com/file/d/1iGjRd1eE-N4W71WRV3EMCtzpH9-wwjoR/view?usp=drivesdk", "Abrir_Factura")</f>
        <v>Abrir_Factura</v>
      </c>
      <c r="AD1756" s="9">
        <v>46052.763310185182</v>
      </c>
    </row>
    <row r="1757" spans="1:30" ht="12.5">
      <c r="A1757" s="4">
        <v>46052.77045113426</v>
      </c>
      <c r="B1757" s="5">
        <v>91495</v>
      </c>
      <c r="C1757" s="5">
        <v>22511489</v>
      </c>
      <c r="D1757" s="5" t="s">
        <v>8007</v>
      </c>
      <c r="F1757" s="5" t="s">
        <v>8008</v>
      </c>
      <c r="H1757" s="5">
        <v>573022050768</v>
      </c>
      <c r="J1757" s="5" t="s">
        <v>8009</v>
      </c>
      <c r="K1757" s="5" t="s">
        <v>33</v>
      </c>
      <c r="L1757" s="5" t="s">
        <v>34</v>
      </c>
      <c r="M1757" s="5" t="s">
        <v>8010</v>
      </c>
      <c r="N1757" s="6">
        <v>46052</v>
      </c>
      <c r="O1757" s="7">
        <v>0.375</v>
      </c>
      <c r="P1757" s="5">
        <v>1</v>
      </c>
      <c r="Q1757" s="5" t="s">
        <v>42</v>
      </c>
      <c r="R1757" s="5">
        <v>220000</v>
      </c>
      <c r="S1757" s="5">
        <v>0</v>
      </c>
      <c r="T1757" s="5">
        <v>0</v>
      </c>
      <c r="U1757" s="5">
        <v>220000</v>
      </c>
      <c r="V1757" s="5"/>
      <c r="W1757" s="5" t="s">
        <v>36</v>
      </c>
      <c r="X1757" s="5" t="s">
        <v>196</v>
      </c>
      <c r="AA1757" s="5" t="s">
        <v>44</v>
      </c>
      <c r="AB1757" s="5" t="s">
        <v>8011</v>
      </c>
      <c r="AC1757" s="8" t="str">
        <f>HYPERLINK("https://drive.google.com/file/d/1KUejLcF9nVMxZNVOX8JphOkVX9BkC8c0/view?usp=drivesdk", "Abrir_Factura")</f>
        <v>Abrir_Factura</v>
      </c>
      <c r="AD1757" s="9">
        <v>46055.713229166664</v>
      </c>
    </row>
    <row r="1758" spans="1:30" ht="12.5">
      <c r="A1758" s="4">
        <v>46053.35900729167</v>
      </c>
      <c r="B1758" s="5">
        <v>91496</v>
      </c>
      <c r="C1758" s="5">
        <v>1140892183</v>
      </c>
      <c r="D1758" s="5" t="s">
        <v>8012</v>
      </c>
      <c r="F1758" s="5" t="s">
        <v>8013</v>
      </c>
      <c r="H1758" s="5">
        <v>573168711277</v>
      </c>
      <c r="J1758" s="5" t="s">
        <v>8014</v>
      </c>
      <c r="K1758" s="5" t="s">
        <v>154</v>
      </c>
      <c r="L1758" s="5" t="s">
        <v>8015</v>
      </c>
      <c r="M1758" s="5">
        <v>3103618407</v>
      </c>
      <c r="N1758" s="6">
        <v>46053</v>
      </c>
      <c r="O1758" s="7">
        <v>0.41666666666666669</v>
      </c>
      <c r="P1758" s="5">
        <v>1</v>
      </c>
      <c r="Q1758" s="5" t="s">
        <v>81</v>
      </c>
      <c r="R1758" s="5">
        <v>410000</v>
      </c>
      <c r="S1758" s="5">
        <v>0</v>
      </c>
      <c r="T1758" s="5">
        <v>8000</v>
      </c>
      <c r="U1758" s="5">
        <v>418000</v>
      </c>
      <c r="V1758" s="5" t="s">
        <v>8016</v>
      </c>
      <c r="W1758" s="5" t="s">
        <v>36</v>
      </c>
      <c r="X1758" s="5" t="s">
        <v>1481</v>
      </c>
      <c r="AA1758" s="5" t="s">
        <v>44</v>
      </c>
      <c r="AC1758" s="8" t="str">
        <f>HYPERLINK("https://drive.google.com/file/d/1NwIdZJ7RaPoJkFRpYJEt2GS5xInq0Hy1/view?usp=drivesdk", "Abrir_Factura")</f>
        <v>Abrir_Factura</v>
      </c>
      <c r="AD1758" s="9">
        <v>46053.37604166667</v>
      </c>
    </row>
    <row r="1759" spans="1:30" ht="12.5">
      <c r="A1759" s="4">
        <v>46053.386093425928</v>
      </c>
      <c r="B1759" s="5">
        <v>91497</v>
      </c>
      <c r="C1759" s="5">
        <v>1143168807</v>
      </c>
      <c r="D1759" s="5" t="s">
        <v>4102</v>
      </c>
      <c r="F1759" s="5" t="s">
        <v>455</v>
      </c>
      <c r="H1759" s="5">
        <v>573154120772</v>
      </c>
      <c r="J1759" s="5" t="s">
        <v>8017</v>
      </c>
      <c r="K1759" s="5" t="s">
        <v>265</v>
      </c>
      <c r="L1759" s="5" t="s">
        <v>8018</v>
      </c>
      <c r="M1759" s="5">
        <v>3226048269</v>
      </c>
      <c r="N1759" s="6">
        <v>46053</v>
      </c>
      <c r="O1759" s="7">
        <v>0.45833333333333331</v>
      </c>
      <c r="P1759" s="5">
        <v>1</v>
      </c>
      <c r="Q1759" s="5" t="s">
        <v>178</v>
      </c>
      <c r="R1759" s="5">
        <v>110000</v>
      </c>
      <c r="S1759" s="5">
        <v>0</v>
      </c>
      <c r="T1759" s="5">
        <v>17000</v>
      </c>
      <c r="U1759" s="5">
        <v>127000</v>
      </c>
      <c r="V1759" s="5" t="s">
        <v>8019</v>
      </c>
      <c r="W1759" s="5" t="s">
        <v>36</v>
      </c>
      <c r="X1759" s="5" t="s">
        <v>1481</v>
      </c>
      <c r="AA1759" s="5" t="s">
        <v>44</v>
      </c>
      <c r="AC1759" s="8" t="str">
        <f>HYPERLINK("https://drive.google.com/file/d/16NfwyWdmNNmF21LRGwQ8wgV9k3ZG_dg3/view?usp=drivesdk", "Abrir_Factura")</f>
        <v>Abrir_Factura</v>
      </c>
      <c r="AD1759" s="9">
        <v>46053.393518518518</v>
      </c>
    </row>
    <row r="1760" spans="1:30" ht="12.5">
      <c r="A1760" s="4">
        <v>46053.402119826387</v>
      </c>
      <c r="B1760" s="5">
        <v>91498</v>
      </c>
      <c r="C1760" s="5">
        <v>1234097139</v>
      </c>
      <c r="D1760" s="5" t="s">
        <v>968</v>
      </c>
      <c r="F1760" s="5" t="s">
        <v>8020</v>
      </c>
      <c r="H1760" s="5">
        <v>573165244633</v>
      </c>
      <c r="J1760" s="5" t="s">
        <v>8021</v>
      </c>
      <c r="K1760" s="5" t="s">
        <v>103</v>
      </c>
      <c r="L1760" s="5" t="s">
        <v>8022</v>
      </c>
      <c r="M1760" s="5">
        <v>3158270971</v>
      </c>
      <c r="N1760" s="6">
        <v>46053</v>
      </c>
      <c r="O1760" s="7">
        <v>0.45833333333333331</v>
      </c>
      <c r="P1760" s="5">
        <v>1</v>
      </c>
      <c r="Q1760" s="5" t="s">
        <v>649</v>
      </c>
      <c r="R1760" s="5">
        <v>200000</v>
      </c>
      <c r="S1760" s="5">
        <v>0</v>
      </c>
      <c r="T1760" s="5">
        <v>10000</v>
      </c>
      <c r="U1760" s="5">
        <v>210000</v>
      </c>
      <c r="V1760" s="5" t="s">
        <v>8023</v>
      </c>
      <c r="W1760" s="5" t="s">
        <v>36</v>
      </c>
      <c r="X1760" s="5" t="s">
        <v>1481</v>
      </c>
      <c r="Z1760" s="5" t="s">
        <v>8024</v>
      </c>
      <c r="AA1760" s="5" t="s">
        <v>44</v>
      </c>
      <c r="AC1760" s="8" t="str">
        <f>HYPERLINK("https://drive.google.com/file/d/16oWaNpABO0DiYZZZArnpOgDA-Nc3qms_/view?usp=drivesdk", "Abrir_Factura")</f>
        <v>Abrir_Factura</v>
      </c>
      <c r="AD1760" s="9">
        <v>46053.41375</v>
      </c>
    </row>
    <row r="1761" spans="1:30" ht="12.5">
      <c r="A1761" s="4">
        <v>46053.383095509256</v>
      </c>
      <c r="B1761" s="5">
        <v>91499</v>
      </c>
      <c r="C1761" s="5">
        <v>55312093</v>
      </c>
      <c r="D1761" s="5" t="s">
        <v>4670</v>
      </c>
      <c r="F1761" s="5" t="s">
        <v>8025</v>
      </c>
      <c r="H1761" s="5">
        <v>19548500270</v>
      </c>
      <c r="J1761" s="5" t="s">
        <v>8026</v>
      </c>
      <c r="K1761" s="5" t="s">
        <v>185</v>
      </c>
      <c r="L1761" s="5" t="s">
        <v>8027</v>
      </c>
      <c r="M1761" s="5" t="s">
        <v>25421</v>
      </c>
      <c r="N1761" s="6">
        <v>46053</v>
      </c>
      <c r="O1761" s="7">
        <v>0</v>
      </c>
      <c r="P1761" s="5">
        <v>1</v>
      </c>
      <c r="Q1761" s="5" t="s">
        <v>3248</v>
      </c>
      <c r="R1761" s="5">
        <v>410000</v>
      </c>
      <c r="S1761" s="5">
        <v>0</v>
      </c>
      <c r="T1761" s="5">
        <v>8000</v>
      </c>
      <c r="U1761" s="5">
        <v>418000</v>
      </c>
      <c r="V1761" s="5" t="s">
        <v>8028</v>
      </c>
      <c r="W1761" s="5" t="s">
        <v>36</v>
      </c>
      <c r="X1761" s="5" t="s">
        <v>1937</v>
      </c>
      <c r="Z1761" s="5" t="s">
        <v>8029</v>
      </c>
      <c r="AA1761" s="5" t="s">
        <v>44</v>
      </c>
      <c r="AC1761" s="8" t="str">
        <f>HYPERLINK("https://drive.google.com/file/d/1q67rcrd2FUSAQmelY4HaWhgXod1kH8eh/view?usp=drivesdk", "Abrir_Factura")</f>
        <v>Abrir_Factura</v>
      </c>
      <c r="AD1761" s="9">
        <v>46053.420648148145</v>
      </c>
    </row>
    <row r="1762" spans="1:30" ht="12.5">
      <c r="A1762" s="4">
        <v>46053.387322453702</v>
      </c>
      <c r="B1762" s="5">
        <v>91500</v>
      </c>
      <c r="C1762" s="5">
        <v>55312093</v>
      </c>
      <c r="D1762" s="5" t="s">
        <v>4670</v>
      </c>
      <c r="F1762" s="5" t="s">
        <v>8025</v>
      </c>
      <c r="H1762" s="5">
        <v>19548500270</v>
      </c>
      <c r="J1762" s="5" t="s">
        <v>8026</v>
      </c>
      <c r="K1762" s="5" t="s">
        <v>185</v>
      </c>
      <c r="L1762" s="5" t="s">
        <v>8027</v>
      </c>
      <c r="M1762" s="5" t="s">
        <v>25421</v>
      </c>
      <c r="N1762" s="6">
        <v>46053</v>
      </c>
      <c r="O1762" s="7">
        <v>0</v>
      </c>
      <c r="P1762" s="5">
        <v>1</v>
      </c>
      <c r="Q1762" s="5" t="s">
        <v>5730</v>
      </c>
      <c r="R1762" s="5">
        <v>350000</v>
      </c>
      <c r="S1762" s="5">
        <v>0</v>
      </c>
      <c r="T1762" s="5">
        <v>8000</v>
      </c>
      <c r="U1762" s="5">
        <v>358000</v>
      </c>
      <c r="V1762" s="5" t="s">
        <v>8030</v>
      </c>
      <c r="W1762" s="5" t="s">
        <v>36</v>
      </c>
      <c r="X1762" s="5" t="s">
        <v>1937</v>
      </c>
      <c r="Z1762" s="5" t="s">
        <v>8031</v>
      </c>
      <c r="AA1762" s="5" t="s">
        <v>44</v>
      </c>
      <c r="AC1762" s="8" t="str">
        <f>HYPERLINK("https://drive.google.com/file/d/1E2Ame-_3Q8q0-78MlBwIqam374uBM3ep/view?usp=drivesdk", "Abrir_Factura")</f>
        <v>Abrir_Factura</v>
      </c>
      <c r="AD1762" s="9">
        <v>46053.420972222222</v>
      </c>
    </row>
    <row r="1763" spans="1:30" ht="12.5">
      <c r="A1763" s="4">
        <v>46053.399687662037</v>
      </c>
      <c r="B1763" s="5">
        <v>91501</v>
      </c>
      <c r="C1763" s="5">
        <v>1140842083</v>
      </c>
      <c r="D1763" s="5" t="s">
        <v>8032</v>
      </c>
      <c r="F1763" s="5" t="s">
        <v>8033</v>
      </c>
      <c r="H1763" s="5">
        <v>573046441978</v>
      </c>
      <c r="J1763" s="5" t="s">
        <v>8034</v>
      </c>
      <c r="K1763" s="5" t="s">
        <v>420</v>
      </c>
      <c r="L1763" s="5" t="s">
        <v>8035</v>
      </c>
      <c r="M1763" s="5">
        <v>3175282587</v>
      </c>
      <c r="N1763" s="6">
        <v>46053</v>
      </c>
      <c r="O1763" s="7">
        <v>0</v>
      </c>
      <c r="P1763" s="5">
        <v>1</v>
      </c>
      <c r="Q1763" s="5" t="s">
        <v>8036</v>
      </c>
      <c r="R1763" s="5">
        <v>130000</v>
      </c>
      <c r="S1763" s="5">
        <v>0</v>
      </c>
      <c r="T1763" s="5">
        <v>16000</v>
      </c>
      <c r="U1763" s="5">
        <v>146000</v>
      </c>
      <c r="V1763" s="5" t="s">
        <v>8037</v>
      </c>
      <c r="W1763" s="5" t="s">
        <v>36</v>
      </c>
      <c r="X1763" s="5" t="s">
        <v>1481</v>
      </c>
      <c r="AA1763" s="5" t="s">
        <v>44</v>
      </c>
      <c r="AB1763" s="5" t="s">
        <v>8038</v>
      </c>
      <c r="AC1763" s="8" t="str">
        <f>HYPERLINK("https://drive.google.com/file/d/1Scx-wrMFZ-U1A4Ae_ZalP0tfS7LgXoER/view?usp=drivesdk", "Abrir_Factura")</f>
        <v>Abrir_Factura</v>
      </c>
      <c r="AD1763" s="9">
        <v>46053.421689814815</v>
      </c>
    </row>
    <row r="1764" spans="1:30" ht="12.5">
      <c r="A1764" s="4">
        <v>46053.385507673607</v>
      </c>
      <c r="B1764" s="5">
        <v>91502</v>
      </c>
      <c r="C1764" s="5">
        <v>55312093</v>
      </c>
      <c r="D1764" s="5" t="s">
        <v>4670</v>
      </c>
      <c r="F1764" s="5" t="s">
        <v>8025</v>
      </c>
      <c r="H1764" s="5">
        <v>19548500270</v>
      </c>
      <c r="J1764" s="5" t="s">
        <v>8026</v>
      </c>
      <c r="K1764" s="5" t="s">
        <v>185</v>
      </c>
      <c r="L1764" s="5" t="s">
        <v>8027</v>
      </c>
      <c r="M1764" s="5"/>
      <c r="N1764" s="6">
        <v>46053</v>
      </c>
      <c r="O1764" s="7">
        <v>0</v>
      </c>
      <c r="P1764" s="5">
        <v>1</v>
      </c>
      <c r="Q1764" s="5" t="s">
        <v>1251</v>
      </c>
      <c r="R1764" s="5">
        <v>580000</v>
      </c>
      <c r="S1764" s="5">
        <v>0</v>
      </c>
      <c r="T1764" s="5">
        <v>8000</v>
      </c>
      <c r="U1764" s="5">
        <v>588000</v>
      </c>
      <c r="V1764" s="5" t="s">
        <v>8039</v>
      </c>
      <c r="W1764" s="5" t="s">
        <v>36</v>
      </c>
      <c r="X1764" s="5" t="s">
        <v>1937</v>
      </c>
      <c r="Z1764" s="5" t="s">
        <v>3884</v>
      </c>
      <c r="AA1764" s="5" t="s">
        <v>44</v>
      </c>
      <c r="AC1764" s="8" t="str">
        <f>HYPERLINK("https://drive.google.com/file/d/1823rN3tERgfpbbiUlIH-5f_UEIddRRFy/view?usp=drivesdk", "Abrir_Factura")</f>
        <v>Abrir_Factura</v>
      </c>
      <c r="AD1764" s="9">
        <v>46053.422546296293</v>
      </c>
    </row>
    <row r="1765" spans="1:30" ht="12.5">
      <c r="A1765" s="4">
        <v>46053.439483206021</v>
      </c>
      <c r="B1765" s="5">
        <v>91503</v>
      </c>
      <c r="C1765" s="5">
        <v>98712023</v>
      </c>
      <c r="D1765" s="5" t="s">
        <v>8040</v>
      </c>
      <c r="F1765" s="5" t="s">
        <v>8041</v>
      </c>
      <c r="H1765" s="5">
        <v>573105736346</v>
      </c>
      <c r="J1765" s="5" t="s">
        <v>8042</v>
      </c>
      <c r="K1765" s="5" t="s">
        <v>892</v>
      </c>
      <c r="L1765" s="5" t="s">
        <v>8043</v>
      </c>
      <c r="M1765" s="5"/>
      <c r="N1765" s="6">
        <v>46053</v>
      </c>
      <c r="O1765" s="7">
        <v>0</v>
      </c>
      <c r="P1765" s="5">
        <v>1</v>
      </c>
      <c r="Q1765" s="5" t="s">
        <v>4516</v>
      </c>
      <c r="R1765" s="5">
        <v>890000</v>
      </c>
      <c r="S1765" s="5">
        <v>0</v>
      </c>
      <c r="T1765" s="5">
        <v>10000</v>
      </c>
      <c r="U1765" s="5">
        <v>900000</v>
      </c>
      <c r="V1765" s="5" t="s">
        <v>8044</v>
      </c>
      <c r="W1765" s="5" t="s">
        <v>36</v>
      </c>
      <c r="X1765" s="5" t="s">
        <v>1481</v>
      </c>
      <c r="AA1765" s="5" t="s">
        <v>69</v>
      </c>
      <c r="AC1765" s="8" t="str">
        <f>HYPERLINK("https://drive.google.com/file/d/1LunSMRRFwuBApOOdfRfk1tIuL797_7hr/view?usp=drivesdk", "Abrir_Factura")</f>
        <v>Abrir_Factura</v>
      </c>
      <c r="AD1765" s="9">
        <v>46053.440162037034</v>
      </c>
    </row>
    <row r="1766" spans="1:30" ht="12.5">
      <c r="A1766" s="4">
        <v>46053.494639548611</v>
      </c>
      <c r="B1766" s="5">
        <v>91504</v>
      </c>
      <c r="C1766" s="5">
        <v>1005105114</v>
      </c>
      <c r="D1766" s="5" t="s">
        <v>2293</v>
      </c>
      <c r="F1766" s="5" t="s">
        <v>8045</v>
      </c>
      <c r="H1766" s="5">
        <v>18137702085</v>
      </c>
      <c r="J1766" s="5" t="s">
        <v>8046</v>
      </c>
      <c r="K1766" s="5" t="s">
        <v>249</v>
      </c>
      <c r="L1766" s="5" t="s">
        <v>8047</v>
      </c>
      <c r="M1766" s="5">
        <v>3016336272</v>
      </c>
      <c r="N1766" s="6">
        <v>46053</v>
      </c>
      <c r="O1766" s="7">
        <v>0</v>
      </c>
      <c r="P1766" s="5">
        <v>1</v>
      </c>
      <c r="Q1766" s="5" t="s">
        <v>4389</v>
      </c>
      <c r="R1766" s="5">
        <v>570000</v>
      </c>
      <c r="S1766" s="5">
        <v>0</v>
      </c>
      <c r="T1766" s="5">
        <v>10000</v>
      </c>
      <c r="U1766" s="5">
        <v>580000</v>
      </c>
      <c r="V1766" s="5" t="s">
        <v>8048</v>
      </c>
      <c r="W1766" s="5" t="s">
        <v>36</v>
      </c>
      <c r="X1766" s="5" t="s">
        <v>3754</v>
      </c>
      <c r="AA1766" s="5" t="s">
        <v>44</v>
      </c>
      <c r="AB1766" s="5" t="s">
        <v>8049</v>
      </c>
      <c r="AC1766" s="8" t="str">
        <f>HYPERLINK("https://drive.google.com/file/d/1NW5itQVtKJ0HcJltORLI_OQd38udqFxH/view?usp=drivesdk", "Abrir_Factura")</f>
        <v>Abrir_Factura</v>
      </c>
      <c r="AD1766" s="9">
        <v>46053.495324074072</v>
      </c>
    </row>
    <row r="1767" spans="1:30" ht="12.5">
      <c r="A1767" s="4">
        <v>46053.456803981477</v>
      </c>
      <c r="B1767" s="5">
        <v>91505</v>
      </c>
      <c r="C1767" s="5">
        <v>1001781721</v>
      </c>
      <c r="D1767" s="5" t="s">
        <v>4458</v>
      </c>
      <c r="F1767" s="5" t="s">
        <v>8050</v>
      </c>
      <c r="H1767" s="5">
        <v>573154701183</v>
      </c>
      <c r="J1767" s="5" t="s">
        <v>8051</v>
      </c>
      <c r="K1767" s="5" t="s">
        <v>3267</v>
      </c>
      <c r="L1767" s="5" t="s">
        <v>8052</v>
      </c>
      <c r="M1767" s="5"/>
      <c r="N1767" s="6">
        <v>46053</v>
      </c>
      <c r="O1767" s="7">
        <v>0</v>
      </c>
      <c r="P1767" s="5">
        <v>1</v>
      </c>
      <c r="Q1767" s="5" t="s">
        <v>1111</v>
      </c>
      <c r="R1767" s="5">
        <v>140000</v>
      </c>
      <c r="S1767" s="5">
        <v>0</v>
      </c>
      <c r="T1767" s="5">
        <v>16000</v>
      </c>
      <c r="U1767" s="5">
        <v>156000</v>
      </c>
      <c r="V1767" s="5" t="s">
        <v>8053</v>
      </c>
      <c r="W1767" s="5" t="s">
        <v>36</v>
      </c>
      <c r="X1767" s="5" t="s">
        <v>1481</v>
      </c>
      <c r="Z1767" s="5" t="s">
        <v>8054</v>
      </c>
      <c r="AA1767" s="5" t="s">
        <v>44</v>
      </c>
      <c r="AC1767" s="8" t="str">
        <f>HYPERLINK("https://drive.google.com/file/d/1k6vjqx1VJBui08O4COCC3KSdXFCJZL1G/view?usp=drivesdk", "Abrir_Factura")</f>
        <v>Abrir_Factura</v>
      </c>
      <c r="AD1767" s="9">
        <v>46053.497465277775</v>
      </c>
    </row>
    <row r="1768" spans="1:30" ht="12.5">
      <c r="A1768" s="4">
        <v>46053.485251631944</v>
      </c>
      <c r="B1768" s="5">
        <v>91506</v>
      </c>
      <c r="C1768" s="5">
        <v>1048065244</v>
      </c>
      <c r="D1768" s="5" t="s">
        <v>8055</v>
      </c>
      <c r="F1768" s="5" t="s">
        <v>1242</v>
      </c>
      <c r="H1768" s="5">
        <v>573011950597</v>
      </c>
      <c r="J1768" s="5" t="s">
        <v>8056</v>
      </c>
      <c r="K1768" s="5" t="s">
        <v>1595</v>
      </c>
      <c r="L1768" s="5" t="s">
        <v>8057</v>
      </c>
      <c r="M1768" s="5">
        <v>3248641907</v>
      </c>
      <c r="N1768" s="6">
        <v>46053</v>
      </c>
      <c r="O1768" s="7">
        <v>0</v>
      </c>
      <c r="P1768" s="5">
        <v>1</v>
      </c>
      <c r="Q1768" s="5" t="s">
        <v>375</v>
      </c>
      <c r="R1768" s="5">
        <v>80000</v>
      </c>
      <c r="S1768" s="5">
        <v>0</v>
      </c>
      <c r="T1768" s="5">
        <v>20000</v>
      </c>
      <c r="U1768" s="5">
        <v>100000</v>
      </c>
      <c r="V1768" s="5" t="s">
        <v>8058</v>
      </c>
      <c r="W1768" s="5" t="s">
        <v>36</v>
      </c>
      <c r="X1768" s="5" t="s">
        <v>1481</v>
      </c>
      <c r="Z1768" s="5" t="s">
        <v>8059</v>
      </c>
      <c r="AA1768" s="5" t="s">
        <v>69</v>
      </c>
      <c r="AB1768" s="5" t="s">
        <v>8060</v>
      </c>
      <c r="AC1768" s="8" t="str">
        <f>HYPERLINK("https://drive.google.com/file/d/1vtssRyYVI4tOmkdSVpfnWqZ1iDf0dCfY/view?usp=drivesdk", "Abrir_Factura")</f>
        <v>Abrir_Factura</v>
      </c>
      <c r="AD1768" s="9">
        <v>46053.502592592595</v>
      </c>
    </row>
    <row r="1769" spans="1:30" ht="12.5">
      <c r="A1769" s="4">
        <v>46053.499203194442</v>
      </c>
      <c r="B1769" s="5">
        <v>91507</v>
      </c>
      <c r="C1769" s="5">
        <v>72151116</v>
      </c>
      <c r="D1769" s="5" t="s">
        <v>1464</v>
      </c>
      <c r="F1769" s="5" t="s">
        <v>3899</v>
      </c>
      <c r="H1769" s="5">
        <v>573184153355</v>
      </c>
      <c r="J1769" s="5" t="s">
        <v>8061</v>
      </c>
      <c r="K1769" s="5" t="s">
        <v>6905</v>
      </c>
      <c r="L1769" s="5" t="s">
        <v>8062</v>
      </c>
      <c r="M1769" s="5">
        <v>3187070081</v>
      </c>
      <c r="N1769" s="6">
        <v>46053</v>
      </c>
      <c r="O1769" s="7">
        <v>0</v>
      </c>
      <c r="P1769" s="5">
        <v>1</v>
      </c>
      <c r="Q1769" s="5" t="s">
        <v>239</v>
      </c>
      <c r="R1769" s="5">
        <v>420000</v>
      </c>
      <c r="S1769" s="5">
        <v>0</v>
      </c>
      <c r="T1769" s="5">
        <v>25000</v>
      </c>
      <c r="U1769" s="5">
        <v>445000</v>
      </c>
      <c r="V1769" s="5" t="s">
        <v>8063</v>
      </c>
      <c r="W1769" s="5" t="s">
        <v>36</v>
      </c>
      <c r="X1769" s="5" t="s">
        <v>1481</v>
      </c>
      <c r="Z1769" s="5" t="s">
        <v>8064</v>
      </c>
      <c r="AA1769" s="5" t="s">
        <v>44</v>
      </c>
      <c r="AC1769" s="8" t="str">
        <f>HYPERLINK("https://drive.google.com/file/d/15fkjInTyiKKcjFbY4qcLGUngCC5n8fHV/view?usp=drivesdk", "Abrir_Factura")</f>
        <v>Abrir_Factura</v>
      </c>
      <c r="AD1769" s="9">
        <v>46053.504976851851</v>
      </c>
    </row>
    <row r="1770" spans="1:30" ht="12.5">
      <c r="A1770" s="4">
        <v>46053.450941932868</v>
      </c>
      <c r="B1770" s="5">
        <v>91508</v>
      </c>
      <c r="C1770" s="5">
        <v>1140860483</v>
      </c>
      <c r="D1770" s="5" t="s">
        <v>6678</v>
      </c>
      <c r="F1770" s="5" t="s">
        <v>5420</v>
      </c>
      <c r="H1770" s="5">
        <v>573003890651</v>
      </c>
      <c r="J1770" s="5" t="s">
        <v>8065</v>
      </c>
      <c r="K1770" s="5" t="s">
        <v>516</v>
      </c>
      <c r="L1770" s="5" t="s">
        <v>8066</v>
      </c>
      <c r="M1770" s="5">
        <v>3156764196</v>
      </c>
      <c r="N1770" s="6">
        <v>46054</v>
      </c>
      <c r="O1770" s="7">
        <v>0.625</v>
      </c>
      <c r="P1770" s="5">
        <v>1</v>
      </c>
      <c r="Q1770" s="5" t="s">
        <v>330</v>
      </c>
      <c r="R1770" s="5">
        <v>200000</v>
      </c>
      <c r="S1770" s="5">
        <v>0</v>
      </c>
      <c r="T1770" s="5">
        <v>10000</v>
      </c>
      <c r="U1770" s="5">
        <v>210000</v>
      </c>
      <c r="V1770" s="5" t="s">
        <v>8067</v>
      </c>
      <c r="W1770" s="5" t="s">
        <v>36</v>
      </c>
      <c r="X1770" s="5" t="s">
        <v>1937</v>
      </c>
      <c r="Z1770" s="5" t="s">
        <v>8068</v>
      </c>
      <c r="AA1770" s="5" t="s">
        <v>44</v>
      </c>
      <c r="AC1770" s="8" t="str">
        <f>HYPERLINK("https://drive.google.com/file/d/1E4NhlaIdEkhyQ-1eFUGkpbbEQnvKC2um/view?usp=drivesdk", "Abrir_Factura")</f>
        <v>Abrir_Factura</v>
      </c>
      <c r="AD1770" s="9">
        <v>46053.515902777777</v>
      </c>
    </row>
    <row r="1771" spans="1:30" ht="12.5">
      <c r="A1771" s="4">
        <v>46053.523208252314</v>
      </c>
      <c r="B1771" s="5">
        <v>91509</v>
      </c>
      <c r="C1771" s="5">
        <v>32740897</v>
      </c>
      <c r="D1771" s="5" t="s">
        <v>8069</v>
      </c>
      <c r="F1771" s="5" t="s">
        <v>604</v>
      </c>
      <c r="H1771" s="5">
        <v>573022876217</v>
      </c>
      <c r="J1771" s="5" t="s">
        <v>8070</v>
      </c>
      <c r="K1771" s="5" t="s">
        <v>33</v>
      </c>
      <c r="L1771" s="5" t="s">
        <v>34</v>
      </c>
      <c r="M1771" s="5">
        <v>3022876217</v>
      </c>
      <c r="N1771" s="6">
        <v>46053</v>
      </c>
      <c r="O1771" s="7">
        <v>0</v>
      </c>
      <c r="P1771" s="5">
        <v>1</v>
      </c>
      <c r="Q1771" s="5" t="s">
        <v>309</v>
      </c>
      <c r="R1771" s="5">
        <v>88000</v>
      </c>
      <c r="S1771" s="5">
        <v>0</v>
      </c>
      <c r="T1771" s="5">
        <v>0</v>
      </c>
      <c r="U1771" s="5">
        <v>88000</v>
      </c>
      <c r="V1771" s="5"/>
      <c r="W1771" s="5" t="s">
        <v>36</v>
      </c>
      <c r="X1771" s="5" t="s">
        <v>1705</v>
      </c>
      <c r="AA1771" s="5" t="s">
        <v>1717</v>
      </c>
      <c r="AC1771" s="8" t="str">
        <f>HYPERLINK("https://drive.google.com/file/d/1DlsMTa4SN1X4nixyn_YDlGwFL95PLi7x/view?usp=drivesdk", "Abrir_Factura")</f>
        <v>Abrir_Factura</v>
      </c>
      <c r="AD1771" s="9">
        <v>46053.523773148147</v>
      </c>
    </row>
    <row r="1772" spans="1:30" ht="12.5">
      <c r="A1772" s="4">
        <v>46053.525958344908</v>
      </c>
      <c r="B1772" s="5">
        <v>91510</v>
      </c>
      <c r="C1772" s="5">
        <v>22433438</v>
      </c>
      <c r="D1772" s="5" t="s">
        <v>8071</v>
      </c>
      <c r="F1772" s="5" t="s">
        <v>8072</v>
      </c>
      <c r="H1772" s="5">
        <v>573007472003</v>
      </c>
      <c r="J1772" s="5" t="s">
        <v>8073</v>
      </c>
      <c r="K1772" s="5" t="s">
        <v>33</v>
      </c>
      <c r="L1772" s="5" t="s">
        <v>34</v>
      </c>
      <c r="M1772" s="5">
        <v>3007472003</v>
      </c>
      <c r="N1772" s="6">
        <v>46053</v>
      </c>
      <c r="O1772" s="7">
        <v>0</v>
      </c>
      <c r="P1772" s="5">
        <v>1</v>
      </c>
      <c r="Q1772" s="5" t="s">
        <v>42</v>
      </c>
      <c r="R1772" s="5">
        <v>15000</v>
      </c>
      <c r="S1772" s="5">
        <v>0</v>
      </c>
      <c r="T1772" s="5">
        <v>0</v>
      </c>
      <c r="U1772" s="5">
        <v>15000</v>
      </c>
      <c r="V1772" s="5"/>
      <c r="W1772" s="5" t="s">
        <v>36</v>
      </c>
      <c r="X1772" s="5" t="s">
        <v>67</v>
      </c>
      <c r="AA1772" s="5" t="s">
        <v>1717</v>
      </c>
      <c r="AB1772" s="5" t="s">
        <v>8074</v>
      </c>
      <c r="AC1772" s="8" t="str">
        <f>HYPERLINK("https://drive.google.com/file/d/1Mn44r-OD59yYe0lWIfQsVkLY-34e18wj/view?usp=drivesdk", "Abrir_Factura")</f>
        <v>Abrir_Factura</v>
      </c>
      <c r="AD1772" s="9">
        <v>46053.526562500003</v>
      </c>
    </row>
    <row r="1773" spans="1:30" ht="12.5">
      <c r="A1773" s="4">
        <v>46053.529087361108</v>
      </c>
      <c r="B1773" s="5">
        <v>91511</v>
      </c>
      <c r="C1773" s="5">
        <v>901876344</v>
      </c>
      <c r="D1773" s="5" t="s">
        <v>2376</v>
      </c>
      <c r="F1773" s="5" t="s">
        <v>2159</v>
      </c>
      <c r="H1773" s="5">
        <v>573106623313</v>
      </c>
      <c r="J1773" s="5" t="s">
        <v>7268</v>
      </c>
      <c r="K1773" s="5" t="s">
        <v>33</v>
      </c>
      <c r="L1773" s="5" t="s">
        <v>34</v>
      </c>
      <c r="M1773" s="5">
        <v>3106623313</v>
      </c>
      <c r="N1773" s="6">
        <v>46053</v>
      </c>
      <c r="O1773" s="7">
        <v>0</v>
      </c>
      <c r="P1773" s="5">
        <v>1</v>
      </c>
      <c r="Q1773" s="5" t="s">
        <v>42</v>
      </c>
      <c r="R1773" s="5">
        <v>57120</v>
      </c>
      <c r="S1773" s="5">
        <v>0</v>
      </c>
      <c r="T1773" s="5">
        <v>0</v>
      </c>
      <c r="U1773" s="5">
        <v>57120</v>
      </c>
      <c r="V1773" s="5"/>
      <c r="W1773" s="5" t="s">
        <v>36</v>
      </c>
      <c r="X1773" s="5" t="s">
        <v>43</v>
      </c>
      <c r="AA1773" s="5" t="s">
        <v>1717</v>
      </c>
      <c r="AB1773" s="5" t="s">
        <v>8075</v>
      </c>
      <c r="AC1773" s="8" t="str">
        <f>HYPERLINK("https://drive.google.com/file/d/19MQUO4SmJ79rb0ivjbKVfBDXPZKgKEDm/view?usp=drivesdk", "Abrir_Factura")</f>
        <v>Abrir_Factura</v>
      </c>
      <c r="AD1773" s="9">
        <v>46053.693148148152</v>
      </c>
    </row>
    <row r="1774" spans="1:30" ht="12.5">
      <c r="A1774" s="4">
        <v>46053.533817523145</v>
      </c>
      <c r="B1774" s="5">
        <v>91512</v>
      </c>
      <c r="C1774" s="5">
        <v>32641128</v>
      </c>
      <c r="D1774" s="5" t="s">
        <v>4908</v>
      </c>
      <c r="F1774" s="5" t="s">
        <v>4909</v>
      </c>
      <c r="H1774" s="5">
        <v>573205420119</v>
      </c>
      <c r="J1774" s="5" t="s">
        <v>8076</v>
      </c>
      <c r="K1774" s="5"/>
      <c r="L1774" s="5" t="s">
        <v>8077</v>
      </c>
      <c r="M1774" s="5"/>
      <c r="N1774" s="6">
        <v>46053</v>
      </c>
      <c r="O1774" s="7">
        <v>0</v>
      </c>
      <c r="P1774" s="5">
        <v>1</v>
      </c>
      <c r="Q1774" s="5" t="s">
        <v>42</v>
      </c>
      <c r="R1774" s="5">
        <v>157000</v>
      </c>
      <c r="S1774" s="5">
        <v>0</v>
      </c>
      <c r="T1774" s="5"/>
      <c r="U1774" s="5">
        <v>157000</v>
      </c>
      <c r="V1774" s="5"/>
      <c r="W1774" s="5" t="s">
        <v>36</v>
      </c>
      <c r="X1774" s="5" t="s">
        <v>83</v>
      </c>
      <c r="AA1774" s="5" t="s">
        <v>44</v>
      </c>
      <c r="AB1774" s="5" t="s">
        <v>525</v>
      </c>
      <c r="AC1774" s="8" t="str">
        <f>HYPERLINK("https://drive.google.com/file/d/1WCPurFqJm7ECXfR7anhXgSLhybwIOxAO/view?usp=drivesdk", "Abrir_Factura")</f>
        <v>Abrir_Factura</v>
      </c>
      <c r="AD1774" s="9">
        <v>46055.758958333332</v>
      </c>
    </row>
    <row r="1775" spans="1:30" ht="12.5">
      <c r="A1775" s="4">
        <v>46053.561711134258</v>
      </c>
      <c r="B1775" s="5">
        <v>91513</v>
      </c>
      <c r="C1775" s="5">
        <v>1102885117</v>
      </c>
      <c r="D1775" s="5" t="s">
        <v>3347</v>
      </c>
      <c r="F1775" s="5" t="s">
        <v>8078</v>
      </c>
      <c r="H1775" s="5">
        <v>573004842067</v>
      </c>
      <c r="J1775" s="5" t="s">
        <v>8079</v>
      </c>
      <c r="K1775" s="5" t="s">
        <v>563</v>
      </c>
      <c r="L1775" s="5" t="s">
        <v>8080</v>
      </c>
      <c r="M1775" s="5">
        <v>3126947306</v>
      </c>
      <c r="N1775" s="6">
        <v>46053</v>
      </c>
      <c r="O1775" s="7">
        <v>0.625</v>
      </c>
      <c r="P1775" s="5">
        <v>1</v>
      </c>
      <c r="Q1775" s="5" t="s">
        <v>309</v>
      </c>
      <c r="R1775" s="5">
        <v>88000</v>
      </c>
      <c r="S1775" s="5">
        <v>0</v>
      </c>
      <c r="T1775" s="5">
        <v>12000</v>
      </c>
      <c r="U1775" s="5">
        <v>100000</v>
      </c>
      <c r="V1775" s="5" t="s">
        <v>8081</v>
      </c>
      <c r="W1775" s="5" t="s">
        <v>36</v>
      </c>
      <c r="X1775" s="5" t="s">
        <v>1481</v>
      </c>
      <c r="Z1775" s="5" t="s">
        <v>8082</v>
      </c>
      <c r="AA1775" s="5" t="s">
        <v>44</v>
      </c>
      <c r="AC1775" s="8" t="str">
        <f>HYPERLINK("https://drive.google.com/file/d/1xjHwcm5kkftVOCSRT9tgBhqMSsORXYQu/view?usp=drivesdk", "Abrir_Factura")</f>
        <v>Abrir_Factura</v>
      </c>
      <c r="AD1775" s="9">
        <v>46053.574826388889</v>
      </c>
    </row>
    <row r="1776" spans="1:30" ht="12.5">
      <c r="A1776" s="4">
        <v>46053.580392488424</v>
      </c>
      <c r="B1776" s="5">
        <v>91514</v>
      </c>
      <c r="C1776" s="5">
        <v>955301015</v>
      </c>
      <c r="D1776" s="5" t="s">
        <v>3965</v>
      </c>
      <c r="F1776" s="5" t="s">
        <v>8083</v>
      </c>
      <c r="H1776" s="5">
        <v>593997661157</v>
      </c>
      <c r="J1776" s="5" t="s">
        <v>8084</v>
      </c>
      <c r="K1776" s="5" t="s">
        <v>103</v>
      </c>
      <c r="L1776" s="5" t="s">
        <v>8085</v>
      </c>
      <c r="M1776" s="5" t="s">
        <v>25421</v>
      </c>
      <c r="N1776" s="6">
        <v>46053</v>
      </c>
      <c r="O1776" s="7">
        <v>0</v>
      </c>
      <c r="P1776" s="5">
        <v>1</v>
      </c>
      <c r="Q1776" s="5" t="s">
        <v>1610</v>
      </c>
      <c r="R1776" s="5">
        <v>230000</v>
      </c>
      <c r="S1776" s="5">
        <v>0</v>
      </c>
      <c r="T1776" s="5">
        <v>10000</v>
      </c>
      <c r="U1776" s="5">
        <v>240000</v>
      </c>
      <c r="V1776" s="5" t="s">
        <v>8086</v>
      </c>
      <c r="W1776" s="5" t="s">
        <v>36</v>
      </c>
      <c r="X1776" s="5" t="s">
        <v>1937</v>
      </c>
      <c r="Z1776" s="5" t="s">
        <v>8087</v>
      </c>
      <c r="AA1776" s="5" t="s">
        <v>44</v>
      </c>
      <c r="AC1776" s="8" t="str">
        <f>HYPERLINK("https://drive.google.com/file/d/1a-WATDHU2pfOyMSOSnFQAUgfoNZkUj1b/view?usp=drivesdk", "Abrir_Factura")</f>
        <v>Abrir_Factura</v>
      </c>
      <c r="AD1776" s="9">
        <v>46053.598113425927</v>
      </c>
    </row>
    <row r="1777" spans="1:30" ht="12.5">
      <c r="A1777" s="4">
        <v>46053.613406701392</v>
      </c>
      <c r="B1777" s="5">
        <v>91515</v>
      </c>
      <c r="C1777" s="5">
        <v>0</v>
      </c>
      <c r="D1777" s="5" t="s">
        <v>8088</v>
      </c>
      <c r="F1777" s="5" t="s">
        <v>2000</v>
      </c>
      <c r="H1777" s="5">
        <v>5718292851600</v>
      </c>
      <c r="J1777" s="5" t="s">
        <v>8089</v>
      </c>
      <c r="K1777" s="5" t="s">
        <v>307</v>
      </c>
      <c r="L1777" s="5" t="s">
        <v>8090</v>
      </c>
      <c r="M1777" s="5"/>
      <c r="N1777" s="6">
        <v>46055</v>
      </c>
      <c r="O1777" s="7">
        <v>0.375</v>
      </c>
      <c r="P1777" s="5">
        <v>1</v>
      </c>
      <c r="Q1777" s="5" t="s">
        <v>57</v>
      </c>
      <c r="R1777" s="5">
        <v>120000</v>
      </c>
      <c r="S1777" s="5">
        <v>0</v>
      </c>
      <c r="T1777" s="5">
        <v>10000</v>
      </c>
      <c r="U1777" s="5">
        <v>130000</v>
      </c>
      <c r="V1777" s="5" t="s">
        <v>8091</v>
      </c>
      <c r="W1777" s="5" t="s">
        <v>36</v>
      </c>
      <c r="X1777" s="5" t="s">
        <v>1481</v>
      </c>
      <c r="AA1777" s="5" t="s">
        <v>44</v>
      </c>
      <c r="AC1777" s="8" t="str">
        <f>HYPERLINK("https://drive.google.com/file/d/1KFh8D1KAyTyvX8hRh8M3i6Ofs_EFAN1e/view?usp=drivesdk", "Abrir_Factura")</f>
        <v>Abrir_Factura</v>
      </c>
      <c r="AD1777" s="9">
        <v>46053.614074074074</v>
      </c>
    </row>
    <row r="1778" spans="1:30" ht="12.5">
      <c r="A1778" s="4">
        <v>46053.628705775467</v>
      </c>
      <c r="B1778" s="5">
        <v>91516</v>
      </c>
      <c r="C1778" s="5">
        <v>1042245841</v>
      </c>
      <c r="D1778" s="5" t="s">
        <v>1136</v>
      </c>
      <c r="F1778" s="5" t="s">
        <v>8092</v>
      </c>
      <c r="H1778" s="5">
        <v>573104420754</v>
      </c>
      <c r="J1778" s="5" t="s">
        <v>8093</v>
      </c>
      <c r="K1778" s="5" t="s">
        <v>79</v>
      </c>
      <c r="L1778" s="5" t="s">
        <v>8094</v>
      </c>
      <c r="M1778" s="5"/>
      <c r="N1778" s="6">
        <v>46053</v>
      </c>
      <c r="O1778" s="7">
        <v>0.70833333333333337</v>
      </c>
      <c r="P1778" s="5">
        <v>1</v>
      </c>
      <c r="Q1778" s="5" t="s">
        <v>375</v>
      </c>
      <c r="R1778" s="5">
        <v>80000</v>
      </c>
      <c r="S1778" s="5">
        <v>0</v>
      </c>
      <c r="T1778" s="5">
        <v>10000</v>
      </c>
      <c r="U1778" s="5">
        <v>90000</v>
      </c>
      <c r="V1778" s="5" t="s">
        <v>8095</v>
      </c>
      <c r="W1778" s="5" t="s">
        <v>36</v>
      </c>
      <c r="X1778" s="5" t="s">
        <v>1481</v>
      </c>
      <c r="Z1778" s="5" t="s">
        <v>8096</v>
      </c>
      <c r="AA1778" s="5" t="s">
        <v>44</v>
      </c>
      <c r="AC1778" s="8" t="str">
        <f>HYPERLINK("https://drive.google.com/file/d/16MkiIWlk4J7vFHhgmE2C4UWh2gwiCBTD/view?usp=drivesdk", "Abrir_Factura")</f>
        <v>Abrir_Factura</v>
      </c>
      <c r="AD1778" s="9">
        <v>46053.640173611115</v>
      </c>
    </row>
    <row r="1779" spans="1:30" ht="12.5">
      <c r="A1779" s="4">
        <v>46053.643516157405</v>
      </c>
      <c r="B1779" s="5">
        <v>91517</v>
      </c>
      <c r="C1779" s="5">
        <v>8647325</v>
      </c>
      <c r="D1779" s="5" t="s">
        <v>46</v>
      </c>
      <c r="F1779" s="5" t="s">
        <v>8097</v>
      </c>
      <c r="H1779" s="5">
        <v>13058126552</v>
      </c>
      <c r="J1779" s="5" t="s">
        <v>8098</v>
      </c>
      <c r="K1779" s="5" t="s">
        <v>73</v>
      </c>
      <c r="L1779" s="5" t="s">
        <v>8099</v>
      </c>
      <c r="M1779" s="5">
        <v>3145025835</v>
      </c>
      <c r="N1779" s="6">
        <v>46053</v>
      </c>
      <c r="O1779" s="7">
        <v>0</v>
      </c>
      <c r="P1779" s="5">
        <v>1</v>
      </c>
      <c r="Q1779" s="5" t="s">
        <v>178</v>
      </c>
      <c r="R1779" s="5">
        <v>110000</v>
      </c>
      <c r="S1779" s="5">
        <v>0</v>
      </c>
      <c r="T1779" s="5">
        <v>8000</v>
      </c>
      <c r="U1779" s="5">
        <v>118000</v>
      </c>
      <c r="V1779" s="5" t="s">
        <v>8100</v>
      </c>
      <c r="W1779" s="5" t="s">
        <v>36</v>
      </c>
      <c r="X1779" s="5" t="s">
        <v>3754</v>
      </c>
      <c r="Z1779" s="5" t="s">
        <v>8101</v>
      </c>
      <c r="AA1779" s="5" t="s">
        <v>44</v>
      </c>
      <c r="AC1779" s="8" t="str">
        <f>HYPERLINK("https://drive.google.com/file/d/1CfdvBrMGYlZO7CkqZi86ZvutuHAiDNQ5/view?usp=drivesdk", "Abrir_Factura")</f>
        <v>Abrir_Factura</v>
      </c>
      <c r="AD1779" s="9">
        <v>46053.646782407406</v>
      </c>
    </row>
    <row r="1780" spans="1:30" ht="12.5">
      <c r="A1780" s="4">
        <v>46053.649430787038</v>
      </c>
      <c r="B1780" s="5">
        <v>91518</v>
      </c>
      <c r="C1780" s="5">
        <v>1083024421</v>
      </c>
      <c r="D1780" s="5" t="s">
        <v>1464</v>
      </c>
      <c r="F1780" s="5" t="s">
        <v>8102</v>
      </c>
      <c r="H1780" s="5">
        <v>57317436697</v>
      </c>
      <c r="J1780" s="5" t="s">
        <v>8103</v>
      </c>
      <c r="K1780" s="5" t="s">
        <v>33</v>
      </c>
      <c r="L1780" s="5" t="s">
        <v>34</v>
      </c>
      <c r="M1780" s="5">
        <v>317436697</v>
      </c>
      <c r="N1780" s="6">
        <v>46053</v>
      </c>
      <c r="O1780" s="7">
        <v>0</v>
      </c>
      <c r="P1780" s="5">
        <v>1</v>
      </c>
      <c r="Q1780" s="5" t="s">
        <v>3111</v>
      </c>
      <c r="R1780" s="5">
        <v>220000</v>
      </c>
      <c r="S1780" s="5">
        <v>0</v>
      </c>
      <c r="T1780" s="5">
        <v>0</v>
      </c>
      <c r="U1780" s="5">
        <v>220000</v>
      </c>
      <c r="V1780" s="5"/>
      <c r="W1780" s="5" t="s">
        <v>36</v>
      </c>
      <c r="X1780" s="5" t="s">
        <v>1481</v>
      </c>
      <c r="AA1780" s="5" t="s">
        <v>44</v>
      </c>
      <c r="AC1780" s="8" t="str">
        <f>HYPERLINK("https://drive.google.com/file/d/1xEYoKXoT07MfYt-sfCuNfw1RkJut0XGx/view?usp=drivesdk", "Abrir_Factura")</f>
        <v>Abrir_Factura</v>
      </c>
      <c r="AD1780" s="9">
        <v>46053.650081018517</v>
      </c>
    </row>
    <row r="1781" spans="1:30" ht="12.5">
      <c r="A1781" s="4">
        <v>46053.68518216435</v>
      </c>
      <c r="B1781" s="5">
        <v>91519</v>
      </c>
      <c r="C1781" s="5">
        <v>72198515</v>
      </c>
      <c r="D1781" s="5" t="s">
        <v>8104</v>
      </c>
      <c r="F1781" s="5" t="s">
        <v>5606</v>
      </c>
      <c r="H1781" s="5">
        <v>15068634923</v>
      </c>
      <c r="J1781" s="5" t="s">
        <v>8105</v>
      </c>
      <c r="K1781" s="5"/>
      <c r="L1781" s="5" t="s">
        <v>8106</v>
      </c>
      <c r="M1781" s="5"/>
      <c r="N1781" s="6">
        <v>46053</v>
      </c>
      <c r="O1781" s="7">
        <v>0</v>
      </c>
      <c r="P1781" s="5">
        <v>1</v>
      </c>
      <c r="Q1781" s="5" t="s">
        <v>42</v>
      </c>
      <c r="R1781" s="5">
        <v>100000</v>
      </c>
      <c r="S1781" s="5">
        <v>0</v>
      </c>
      <c r="T1781" s="5"/>
      <c r="U1781" s="5">
        <v>100000</v>
      </c>
      <c r="V1781" s="5" t="s">
        <v>8107</v>
      </c>
      <c r="W1781" s="5" t="s">
        <v>36</v>
      </c>
      <c r="X1781" s="5" t="s">
        <v>43</v>
      </c>
      <c r="AA1781" s="5" t="s">
        <v>44</v>
      </c>
      <c r="AC1781" s="8" t="str">
        <f>HYPERLINK("https://drive.google.com/file/d/1MbFRjqT41OGlFsVq7Qei0EXHGVqbPenr/view?usp=drivesdk", "Abrir_Factura")</f>
        <v>Abrir_Factura</v>
      </c>
      <c r="AD1781" s="9">
        <v>46053.690613425926</v>
      </c>
    </row>
    <row r="1782" spans="1:30" ht="12.5">
      <c r="A1782" s="4">
        <v>46055.312692465275</v>
      </c>
      <c r="B1782" s="5">
        <v>91520</v>
      </c>
      <c r="C1782" s="5">
        <v>1019066074</v>
      </c>
      <c r="D1782" s="5" t="s">
        <v>8108</v>
      </c>
      <c r="F1782" s="5" t="s">
        <v>8109</v>
      </c>
      <c r="H1782" s="5">
        <v>573003193389</v>
      </c>
      <c r="J1782" s="5" t="s">
        <v>8110</v>
      </c>
      <c r="K1782" s="5" t="s">
        <v>63</v>
      </c>
      <c r="L1782" s="5" t="s">
        <v>8111</v>
      </c>
      <c r="M1782" s="5"/>
      <c r="N1782" s="6">
        <v>46055</v>
      </c>
      <c r="O1782" s="7">
        <v>0.35416666666666669</v>
      </c>
      <c r="P1782" s="5">
        <v>1</v>
      </c>
      <c r="Q1782" s="5" t="s">
        <v>4021</v>
      </c>
      <c r="R1782" s="5">
        <v>240000</v>
      </c>
      <c r="S1782" s="5">
        <v>0</v>
      </c>
      <c r="T1782" s="5">
        <v>17000</v>
      </c>
      <c r="U1782" s="5">
        <v>257000</v>
      </c>
      <c r="V1782" s="5" t="s">
        <v>8112</v>
      </c>
      <c r="W1782" s="5" t="s">
        <v>36</v>
      </c>
      <c r="X1782" s="5" t="s">
        <v>1481</v>
      </c>
      <c r="AA1782" s="5" t="s">
        <v>44</v>
      </c>
      <c r="AC1782" s="8" t="str">
        <f>HYPERLINK("https://drive.google.com/file/d/1t3cGhL9My8AylPkUfGZIzb107BJ33Enm/view?usp=drivesdk", "Abrir_Factura")</f>
        <v>Abrir_Factura</v>
      </c>
      <c r="AD1782" s="9">
        <v>46055.313506944447</v>
      </c>
    </row>
    <row r="1783" spans="1:30" ht="12.5">
      <c r="A1783" s="4">
        <v>46055.317647962962</v>
      </c>
      <c r="B1783" s="5">
        <v>91521</v>
      </c>
      <c r="C1783" s="5">
        <v>72178067</v>
      </c>
      <c r="D1783" s="5" t="s">
        <v>1513</v>
      </c>
      <c r="F1783" s="5" t="s">
        <v>1295</v>
      </c>
      <c r="H1783" s="5">
        <v>573003182878</v>
      </c>
      <c r="J1783" s="5" t="s">
        <v>8113</v>
      </c>
      <c r="K1783" s="5" t="s">
        <v>4403</v>
      </c>
      <c r="L1783" s="5" t="s">
        <v>8114</v>
      </c>
      <c r="M1783" s="5"/>
      <c r="N1783" s="6">
        <v>46055</v>
      </c>
      <c r="O1783" s="7">
        <v>0.375</v>
      </c>
      <c r="P1783" s="5">
        <v>1</v>
      </c>
      <c r="Q1783" s="5" t="s">
        <v>3892</v>
      </c>
      <c r="R1783" s="5">
        <v>300000</v>
      </c>
      <c r="S1783" s="5">
        <v>0</v>
      </c>
      <c r="T1783" s="5">
        <v>20000</v>
      </c>
      <c r="U1783" s="5">
        <v>320000</v>
      </c>
      <c r="V1783" s="5" t="s">
        <v>8115</v>
      </c>
      <c r="W1783" s="5" t="s">
        <v>36</v>
      </c>
      <c r="X1783" s="5" t="s">
        <v>2317</v>
      </c>
      <c r="AA1783" s="5" t="s">
        <v>44</v>
      </c>
      <c r="AC1783" s="8" t="str">
        <f>HYPERLINK("https://drive.google.com/file/d/1u_ZgKvG0W1j3oeUZkDJRyXJSZp5-RJwP/view?usp=drivesdk", "Abrir_Factura")</f>
        <v>Abrir_Factura</v>
      </c>
      <c r="AD1783" s="9">
        <v>46055.318206018521</v>
      </c>
    </row>
    <row r="1784" spans="1:30" ht="12.5">
      <c r="A1784" s="4">
        <v>46055.314029421294</v>
      </c>
      <c r="B1784" s="5">
        <v>91522</v>
      </c>
      <c r="C1784" s="5">
        <v>72206210</v>
      </c>
      <c r="D1784" s="5" t="s">
        <v>810</v>
      </c>
      <c r="F1784" s="5" t="s">
        <v>811</v>
      </c>
      <c r="H1784" s="5">
        <v>573145966560</v>
      </c>
      <c r="J1784" s="5" t="s">
        <v>8116</v>
      </c>
      <c r="K1784" s="5"/>
      <c r="L1784" s="5" t="s">
        <v>8117</v>
      </c>
      <c r="M1784" s="5">
        <v>3182066765</v>
      </c>
      <c r="N1784" s="6">
        <v>46055</v>
      </c>
      <c r="O1784" s="7">
        <v>0.375</v>
      </c>
      <c r="P1784" s="5">
        <v>1</v>
      </c>
      <c r="Q1784" s="5" t="s">
        <v>347</v>
      </c>
      <c r="R1784" s="5">
        <v>250000</v>
      </c>
      <c r="S1784" s="5">
        <v>0</v>
      </c>
      <c r="T1784" s="5"/>
      <c r="U1784" s="5">
        <v>250000</v>
      </c>
      <c r="V1784" s="5" t="s">
        <v>8118</v>
      </c>
      <c r="W1784" s="5" t="s">
        <v>36</v>
      </c>
      <c r="X1784" s="5" t="s">
        <v>1481</v>
      </c>
      <c r="AA1784" s="5" t="s">
        <v>44</v>
      </c>
      <c r="AC1784" s="8" t="str">
        <f>HYPERLINK("https://drive.google.com/file/d/1__-GpNex2_HVewkfIuGK2So2_8trHhQK/view?usp=drivesdk", "Abrir_Factura")</f>
        <v>Abrir_Factura</v>
      </c>
      <c r="AD1784" s="9">
        <v>46055.320648148147</v>
      </c>
    </row>
    <row r="1785" spans="1:30" ht="12.5">
      <c r="A1785" s="4">
        <v>46055.336985000002</v>
      </c>
      <c r="B1785" s="5">
        <v>91523</v>
      </c>
      <c r="C1785" s="5">
        <v>1143245758</v>
      </c>
      <c r="D1785" s="5" t="s">
        <v>4458</v>
      </c>
      <c r="F1785" s="5" t="s">
        <v>8119</v>
      </c>
      <c r="H1785" s="5">
        <v>34687005253</v>
      </c>
      <c r="J1785" s="5" t="s">
        <v>8120</v>
      </c>
      <c r="K1785" s="5" t="s">
        <v>103</v>
      </c>
      <c r="L1785" s="5" t="s">
        <v>8121</v>
      </c>
      <c r="M1785" s="5">
        <v>3004456744</v>
      </c>
      <c r="N1785" s="6">
        <v>46055</v>
      </c>
      <c r="O1785" s="7">
        <v>0.41666666666666669</v>
      </c>
      <c r="P1785" s="5">
        <v>1</v>
      </c>
      <c r="Q1785" s="5" t="s">
        <v>380</v>
      </c>
      <c r="R1785" s="5">
        <v>340000</v>
      </c>
      <c r="S1785" s="5">
        <v>0</v>
      </c>
      <c r="T1785" s="5">
        <v>10000</v>
      </c>
      <c r="U1785" s="5">
        <v>350000</v>
      </c>
      <c r="V1785" s="5" t="s">
        <v>8122</v>
      </c>
      <c r="W1785" s="5" t="s">
        <v>36</v>
      </c>
      <c r="X1785" s="5" t="s">
        <v>1481</v>
      </c>
      <c r="Z1785" s="5" t="s">
        <v>8123</v>
      </c>
      <c r="AA1785" s="5" t="s">
        <v>44</v>
      </c>
      <c r="AC1785" s="8" t="str">
        <f>HYPERLINK("https://drive.google.com/file/d/1n1sHob05vZ7F8RyekMmnYi1OfnIZSOnh/view?usp=drivesdk", "Abrir_Factura")</f>
        <v>Abrir_Factura</v>
      </c>
      <c r="AD1785" s="9">
        <v>46055.347916666666</v>
      </c>
    </row>
    <row r="1786" spans="1:30" ht="12.5">
      <c r="A1786" s="4">
        <v>46055.364341412038</v>
      </c>
      <c r="B1786" s="5">
        <v>91524</v>
      </c>
      <c r="C1786" s="5">
        <v>1045731589</v>
      </c>
      <c r="D1786" s="5" t="s">
        <v>417</v>
      </c>
      <c r="F1786" s="5" t="s">
        <v>8124</v>
      </c>
      <c r="H1786" s="5">
        <v>573014889217</v>
      </c>
      <c r="J1786" s="5" t="s">
        <v>8125</v>
      </c>
      <c r="K1786" s="5" t="s">
        <v>249</v>
      </c>
      <c r="L1786" s="5" t="s">
        <v>8126</v>
      </c>
      <c r="M1786" s="5">
        <v>3183181417</v>
      </c>
      <c r="N1786" s="6">
        <v>46055</v>
      </c>
      <c r="O1786" s="7">
        <v>0.41666666666666669</v>
      </c>
      <c r="P1786" s="5">
        <v>1</v>
      </c>
      <c r="Q1786" s="5" t="s">
        <v>375</v>
      </c>
      <c r="R1786" s="5">
        <v>80000</v>
      </c>
      <c r="S1786" s="5">
        <v>0</v>
      </c>
      <c r="T1786" s="5">
        <v>10000</v>
      </c>
      <c r="U1786" s="5">
        <v>90000</v>
      </c>
      <c r="V1786" s="5" t="s">
        <v>8127</v>
      </c>
      <c r="W1786" s="5" t="s">
        <v>36</v>
      </c>
      <c r="X1786" s="5" t="s">
        <v>1481</v>
      </c>
      <c r="Z1786" s="5" t="s">
        <v>8128</v>
      </c>
      <c r="AA1786" s="5" t="s">
        <v>44</v>
      </c>
      <c r="AC1786" s="8" t="str">
        <f>HYPERLINK("https://drive.google.com/file/d/1mdIvVuSy3xRDciCkCguQNSqH3XLL6-jH/view?usp=drivesdk", "Abrir_Factura")</f>
        <v>Abrir_Factura</v>
      </c>
      <c r="AD1786" s="9">
        <v>46055.372025462966</v>
      </c>
    </row>
    <row r="1787" spans="1:30" ht="12.5">
      <c r="A1787" s="4">
        <v>46055.376304224541</v>
      </c>
      <c r="B1787" s="5">
        <v>91525</v>
      </c>
      <c r="C1787" s="5">
        <v>80414810</v>
      </c>
      <c r="D1787" s="5" t="s">
        <v>8129</v>
      </c>
      <c r="F1787" s="5" t="s">
        <v>2000</v>
      </c>
      <c r="H1787" s="5">
        <v>573158033385</v>
      </c>
      <c r="J1787" s="5" t="s">
        <v>8130</v>
      </c>
      <c r="K1787" s="5" t="s">
        <v>161</v>
      </c>
      <c r="L1787" s="5" t="s">
        <v>8131</v>
      </c>
      <c r="M1787" s="5"/>
      <c r="N1787" s="6">
        <v>46055</v>
      </c>
      <c r="O1787" s="7">
        <v>0.41666666666666669</v>
      </c>
      <c r="P1787" s="5">
        <v>1</v>
      </c>
      <c r="Q1787" s="5" t="s">
        <v>50</v>
      </c>
      <c r="R1787" s="5">
        <v>220000</v>
      </c>
      <c r="S1787" s="5">
        <v>0</v>
      </c>
      <c r="T1787" s="5">
        <v>8000</v>
      </c>
      <c r="U1787" s="5">
        <v>228000</v>
      </c>
      <c r="V1787" s="5" t="s">
        <v>8132</v>
      </c>
      <c r="W1787" s="5" t="s">
        <v>36</v>
      </c>
      <c r="X1787" s="5" t="s">
        <v>1705</v>
      </c>
      <c r="AA1787" s="5" t="s">
        <v>1717</v>
      </c>
      <c r="AC1787" s="8" t="str">
        <f>HYPERLINK("https://drive.google.com/file/d/1pHWBqfet-oDReZjB0oun-wvXyCXWkZlm/view?usp=drivesdk", "Abrir_Factura")</f>
        <v>Abrir_Factura</v>
      </c>
      <c r="AD1787" s="9">
        <v>46055.377581018518</v>
      </c>
    </row>
    <row r="1788" spans="1:30" ht="12.5">
      <c r="A1788" s="4">
        <v>46055.352763668983</v>
      </c>
      <c r="B1788" s="5">
        <v>91526</v>
      </c>
      <c r="C1788" s="5">
        <v>1143142587</v>
      </c>
      <c r="D1788" s="5" t="s">
        <v>8133</v>
      </c>
      <c r="F1788" s="5" t="s">
        <v>1205</v>
      </c>
      <c r="H1788" s="5">
        <v>573150603371</v>
      </c>
      <c r="J1788" s="5" t="s">
        <v>8134</v>
      </c>
      <c r="K1788" s="5" t="s">
        <v>73</v>
      </c>
      <c r="L1788" s="5" t="s">
        <v>8135</v>
      </c>
      <c r="M1788" s="5">
        <v>3042509664</v>
      </c>
      <c r="N1788" s="6">
        <v>46055</v>
      </c>
      <c r="O1788" s="7">
        <v>0.41666666666666669</v>
      </c>
      <c r="P1788" s="5">
        <v>1</v>
      </c>
      <c r="Q1788" s="5" t="s">
        <v>210</v>
      </c>
      <c r="R1788" s="5">
        <v>170000</v>
      </c>
      <c r="S1788" s="5">
        <v>0</v>
      </c>
      <c r="T1788" s="5">
        <v>8000</v>
      </c>
      <c r="U1788" s="5">
        <v>178000</v>
      </c>
      <c r="V1788" s="5" t="s">
        <v>8136</v>
      </c>
      <c r="W1788" s="5" t="s">
        <v>36</v>
      </c>
      <c r="X1788" s="5" t="s">
        <v>1481</v>
      </c>
      <c r="Z1788" s="5" t="s">
        <v>8137</v>
      </c>
      <c r="AA1788" s="5" t="s">
        <v>44</v>
      </c>
      <c r="AB1788" s="5" t="s">
        <v>8138</v>
      </c>
      <c r="AC1788" s="8" t="str">
        <f>HYPERLINK("https://drive.google.com/file/d/1bMCY3tXTTqWlQlbwKmL5nsxmFENM5ttb/view?usp=drivesdk", "Abrir_Factura")</f>
        <v>Abrir_Factura</v>
      </c>
      <c r="AD1788" s="9">
        <v>46055.381006944444</v>
      </c>
    </row>
    <row r="1789" spans="1:30" ht="12.5">
      <c r="A1789" s="4">
        <v>46055.387518020834</v>
      </c>
      <c r="B1789" s="5">
        <v>91527</v>
      </c>
      <c r="C1789" s="5">
        <v>0</v>
      </c>
      <c r="D1789" s="5" t="s">
        <v>8139</v>
      </c>
      <c r="F1789" s="5" t="s">
        <v>8140</v>
      </c>
      <c r="H1789" s="5">
        <v>57000</v>
      </c>
      <c r="J1789" s="5" t="s">
        <v>8140</v>
      </c>
      <c r="K1789" s="5" t="s">
        <v>33</v>
      </c>
      <c r="L1789" s="5" t="s">
        <v>34</v>
      </c>
      <c r="M1789" s="5"/>
      <c r="N1789" s="6">
        <v>46058</v>
      </c>
      <c r="O1789" s="7">
        <v>0.375</v>
      </c>
      <c r="P1789" s="5">
        <v>1</v>
      </c>
      <c r="Q1789" s="5" t="s">
        <v>50</v>
      </c>
      <c r="R1789" s="5">
        <v>220000</v>
      </c>
      <c r="S1789" s="5">
        <v>0</v>
      </c>
      <c r="T1789" s="5">
        <v>0</v>
      </c>
      <c r="U1789" s="5">
        <v>220000</v>
      </c>
      <c r="V1789" s="5"/>
      <c r="W1789" s="5" t="s">
        <v>36</v>
      </c>
      <c r="X1789" s="5" t="s">
        <v>2317</v>
      </c>
      <c r="AA1789" s="5" t="s">
        <v>1717</v>
      </c>
      <c r="AC1789" s="8" t="str">
        <f>HYPERLINK("https://drive.google.com/file/d/1NkoSHxhh-6qI-yucEA_SO1SPHcSvaD2U/view?usp=drivesdk", "Abrir_Factura")</f>
        <v>Abrir_Factura</v>
      </c>
      <c r="AD1789" s="9">
        <v>46055.391296296293</v>
      </c>
    </row>
    <row r="1790" spans="1:30" ht="12.5">
      <c r="A1790" s="4">
        <v>46055.406534756941</v>
      </c>
      <c r="B1790" s="5">
        <v>91528</v>
      </c>
      <c r="C1790" s="5">
        <v>55220299</v>
      </c>
      <c r="D1790" s="5" t="s">
        <v>1489</v>
      </c>
      <c r="F1790" s="5" t="s">
        <v>765</v>
      </c>
      <c r="H1790" s="5">
        <v>573014591116</v>
      </c>
      <c r="J1790" s="5" t="s">
        <v>8141</v>
      </c>
      <c r="K1790" s="5" t="s">
        <v>8142</v>
      </c>
      <c r="L1790" s="5" t="s">
        <v>8143</v>
      </c>
      <c r="M1790" s="5"/>
      <c r="N1790" s="6">
        <v>46055</v>
      </c>
      <c r="O1790" s="7">
        <v>0.45833333333333331</v>
      </c>
      <c r="P1790" s="5">
        <v>1</v>
      </c>
      <c r="Q1790" s="5" t="s">
        <v>330</v>
      </c>
      <c r="R1790" s="5">
        <v>200000</v>
      </c>
      <c r="S1790" s="5">
        <v>0</v>
      </c>
      <c r="T1790" s="5">
        <v>10000</v>
      </c>
      <c r="U1790" s="5">
        <v>210000</v>
      </c>
      <c r="V1790" s="5" t="s">
        <v>8144</v>
      </c>
      <c r="W1790" s="5" t="s">
        <v>36</v>
      </c>
      <c r="X1790" s="5" t="s">
        <v>1481</v>
      </c>
      <c r="AA1790" s="5" t="s">
        <v>69</v>
      </c>
      <c r="AC1790" s="8" t="str">
        <f>HYPERLINK("https://drive.google.com/file/d/1TaFZgy4akXQ2pCo3v874Y6cmRNTKLqDE/view?usp=drivesdk", "Abrir_Factura")</f>
        <v>Abrir_Factura</v>
      </c>
      <c r="AD1790" s="9">
        <v>46055.411458333336</v>
      </c>
    </row>
    <row r="1791" spans="1:30" ht="12.5">
      <c r="A1791" s="4">
        <v>46055.401688726852</v>
      </c>
      <c r="B1791" s="5">
        <v>91529</v>
      </c>
      <c r="C1791" s="5">
        <v>1140903687</v>
      </c>
      <c r="D1791" s="5" t="s">
        <v>5895</v>
      </c>
      <c r="F1791" s="5" t="s">
        <v>8145</v>
      </c>
      <c r="H1791" s="5">
        <v>573205423550</v>
      </c>
      <c r="J1791" s="5" t="s">
        <v>8146</v>
      </c>
      <c r="K1791" s="5" t="s">
        <v>33</v>
      </c>
      <c r="L1791" s="5" t="s">
        <v>34</v>
      </c>
      <c r="M1791" s="5">
        <v>3205423550</v>
      </c>
      <c r="N1791" s="6">
        <v>46055</v>
      </c>
      <c r="O1791" s="7">
        <v>0</v>
      </c>
      <c r="P1791" s="5">
        <v>1</v>
      </c>
      <c r="Q1791" s="5" t="s">
        <v>8147</v>
      </c>
      <c r="R1791" s="5">
        <v>220000</v>
      </c>
      <c r="S1791" s="5">
        <v>0</v>
      </c>
      <c r="T1791" s="5">
        <v>0</v>
      </c>
      <c r="U1791" s="5">
        <v>220000</v>
      </c>
      <c r="V1791" s="5" t="s">
        <v>8148</v>
      </c>
      <c r="W1791" s="5" t="s">
        <v>36</v>
      </c>
      <c r="X1791" s="5" t="s">
        <v>1481</v>
      </c>
      <c r="Z1791" s="5" t="s">
        <v>8149</v>
      </c>
      <c r="AA1791" s="5" t="s">
        <v>69</v>
      </c>
      <c r="AC1791" s="8" t="str">
        <f>HYPERLINK("https://drive.google.com/file/d/1wng-su21wCvsiiGXFWlazYbN0kAlhx4r/view?usp=drivesdk", "Abrir_Factura")</f>
        <v>Abrir_Factura</v>
      </c>
      <c r="AD1791" s="9">
        <v>46055.408761574072</v>
      </c>
    </row>
    <row r="1792" spans="1:30" ht="12.5">
      <c r="A1792" s="4">
        <v>46055.4358884838</v>
      </c>
      <c r="B1792" s="5">
        <v>91530</v>
      </c>
      <c r="C1792" s="5">
        <v>55150847</v>
      </c>
      <c r="D1792" s="5" t="s">
        <v>8150</v>
      </c>
      <c r="F1792" s="5" t="s">
        <v>8151</v>
      </c>
      <c r="H1792" s="5">
        <v>573102709637</v>
      </c>
      <c r="J1792" s="5" t="s">
        <v>8152</v>
      </c>
      <c r="K1792" s="5" t="s">
        <v>33</v>
      </c>
      <c r="L1792" s="5" t="s">
        <v>34</v>
      </c>
      <c r="M1792" s="5">
        <v>3102709637</v>
      </c>
      <c r="N1792" s="6">
        <v>46055</v>
      </c>
      <c r="O1792" s="7">
        <v>0</v>
      </c>
      <c r="P1792" s="5">
        <v>1</v>
      </c>
      <c r="Q1792" s="5" t="s">
        <v>8153</v>
      </c>
      <c r="R1792" s="5">
        <v>130000</v>
      </c>
      <c r="S1792" s="5">
        <v>0</v>
      </c>
      <c r="T1792" s="5">
        <v>0</v>
      </c>
      <c r="U1792" s="5">
        <v>130000</v>
      </c>
      <c r="V1792" s="5"/>
      <c r="W1792" s="5" t="s">
        <v>36</v>
      </c>
      <c r="X1792" s="5" t="s">
        <v>1705</v>
      </c>
      <c r="AA1792" s="5" t="s">
        <v>1717</v>
      </c>
      <c r="AB1792" s="5" t="s">
        <v>8154</v>
      </c>
      <c r="AC1792" s="8" t="str">
        <f>HYPERLINK("https://drive.google.com/file/d/1Qm6-Z-d7U8ox27k9qqstSbtes7rDhWX2/view?usp=drivesdk", "Abrir_Factura")</f>
        <v>Abrir_Factura</v>
      </c>
      <c r="AD1792" s="9">
        <v>46055.445601851854</v>
      </c>
    </row>
    <row r="1793" spans="1:30" ht="12.5">
      <c r="A1793" s="4">
        <v>46055.430591909724</v>
      </c>
      <c r="B1793" s="5">
        <v>91531</v>
      </c>
      <c r="C1793" s="5">
        <v>1001820774</v>
      </c>
      <c r="D1793" s="5" t="s">
        <v>8155</v>
      </c>
      <c r="F1793" s="5" t="s">
        <v>8156</v>
      </c>
      <c r="H1793" s="5">
        <v>573237737966</v>
      </c>
      <c r="J1793" s="5" t="s">
        <v>8157</v>
      </c>
      <c r="K1793" s="5" t="s">
        <v>307</v>
      </c>
      <c r="L1793" s="5" t="s">
        <v>8158</v>
      </c>
      <c r="M1793" s="5">
        <v>3237737966</v>
      </c>
      <c r="N1793" s="6">
        <v>46056</v>
      </c>
      <c r="O1793" s="7">
        <v>0</v>
      </c>
      <c r="P1793" s="5">
        <v>1</v>
      </c>
      <c r="Q1793" s="5" t="s">
        <v>65</v>
      </c>
      <c r="R1793" s="5">
        <v>80000</v>
      </c>
      <c r="S1793" s="5">
        <v>0</v>
      </c>
      <c r="T1793" s="5">
        <v>10000</v>
      </c>
      <c r="U1793" s="5">
        <v>90000</v>
      </c>
      <c r="V1793" s="5"/>
      <c r="W1793" s="5" t="s">
        <v>36</v>
      </c>
      <c r="X1793" s="5" t="s">
        <v>1481</v>
      </c>
      <c r="Z1793" s="5" t="s">
        <v>8159</v>
      </c>
      <c r="AA1793" s="5" t="s">
        <v>44</v>
      </c>
      <c r="AB1793" s="5" t="s">
        <v>8160</v>
      </c>
      <c r="AC1793" s="8" t="str">
        <f>HYPERLINK("https://drive.google.com/file/d/1X-K0Qe72Qie3y5YfdXmdX_AZ0XrCt7nt/view?usp=drivesdk", "Abrir_Factura")</f>
        <v>Abrir_Factura</v>
      </c>
      <c r="AD1793" s="9">
        <v>46055.452002314814</v>
      </c>
    </row>
    <row r="1794" spans="1:30" ht="18" customHeight="1">
      <c r="A1794" s="4">
        <v>46055.472278877314</v>
      </c>
      <c r="B1794" s="5">
        <v>91532</v>
      </c>
      <c r="C1794" s="5">
        <v>1143448994</v>
      </c>
      <c r="D1794" s="5" t="s">
        <v>480</v>
      </c>
      <c r="F1794" s="5" t="s">
        <v>455</v>
      </c>
      <c r="H1794" s="5">
        <v>573043190657</v>
      </c>
      <c r="J1794" s="5" t="s">
        <v>3183</v>
      </c>
      <c r="K1794" s="5" t="s">
        <v>33</v>
      </c>
      <c r="L1794" s="5" t="s">
        <v>34</v>
      </c>
      <c r="M1794" s="5">
        <v>3043190657</v>
      </c>
      <c r="N1794" s="6">
        <v>46055</v>
      </c>
      <c r="O1794" s="7">
        <v>0</v>
      </c>
      <c r="P1794" s="5">
        <v>1</v>
      </c>
      <c r="Q1794" s="5" t="s">
        <v>42</v>
      </c>
      <c r="R1794" s="5">
        <v>16000</v>
      </c>
      <c r="S1794" s="5">
        <v>0</v>
      </c>
      <c r="T1794" s="5">
        <v>0</v>
      </c>
      <c r="U1794" s="5">
        <v>16000</v>
      </c>
      <c r="V1794" s="5"/>
      <c r="W1794" s="5" t="s">
        <v>36</v>
      </c>
      <c r="X1794" s="5" t="s">
        <v>1481</v>
      </c>
      <c r="AA1794" s="5" t="s">
        <v>1717</v>
      </c>
      <c r="AB1794" s="5" t="s">
        <v>8161</v>
      </c>
      <c r="AC1794" s="8" t="str">
        <f>HYPERLINK("https://drive.google.com/file/d/1VnuQ7GrSggFS6_nGMHDL6NBHSh_Cgw-T/view?usp=drivesdk", "Abrir_Factura")</f>
        <v>Abrir_Factura</v>
      </c>
      <c r="AD1794" s="9">
        <v>46056.632349537038</v>
      </c>
    </row>
    <row r="1795" spans="1:30" ht="21.75" customHeight="1">
      <c r="A1795" s="4">
        <v>46055.753564814811</v>
      </c>
      <c r="B1795" s="5">
        <v>91533</v>
      </c>
      <c r="C1795" s="5">
        <v>1043436526</v>
      </c>
      <c r="D1795" s="5" t="s">
        <v>4500</v>
      </c>
      <c r="F1795" s="5" t="s">
        <v>93</v>
      </c>
      <c r="H1795" s="5">
        <v>573024254554</v>
      </c>
      <c r="J1795" s="5" t="s">
        <v>8162</v>
      </c>
      <c r="K1795" s="5"/>
      <c r="L1795" s="5" t="s">
        <v>8163</v>
      </c>
      <c r="M1795" s="5">
        <v>3024254554</v>
      </c>
      <c r="N1795" s="6">
        <v>46054</v>
      </c>
      <c r="O1795" s="7">
        <v>0</v>
      </c>
      <c r="P1795" s="5">
        <v>1</v>
      </c>
      <c r="Q1795" s="5" t="s">
        <v>75</v>
      </c>
      <c r="R1795" s="5">
        <v>105000</v>
      </c>
      <c r="S1795" s="5">
        <v>0</v>
      </c>
      <c r="T1795" s="5"/>
      <c r="U1795" s="5">
        <v>105000</v>
      </c>
      <c r="V1795" s="5"/>
      <c r="W1795" s="5" t="s">
        <v>36</v>
      </c>
      <c r="X1795" s="5" t="s">
        <v>1481</v>
      </c>
      <c r="Z1795" s="5" t="s">
        <v>4500</v>
      </c>
      <c r="AA1795" s="5" t="s">
        <v>44</v>
      </c>
      <c r="AB1795" s="5" t="s">
        <v>4746</v>
      </c>
      <c r="AC1795" s="8" t="str">
        <f>HYPERLINK("https://drive.google.com/file/d/1AEvnt3G3rCm1YFmfSX6CktJN0H4nSLI3/view?usp=drivesdk", "Abrir_Factura")</f>
        <v>Abrir_Factura</v>
      </c>
      <c r="AD1795" s="9">
        <v>46056.635034722225</v>
      </c>
    </row>
    <row r="1796" spans="1:30" ht="21.75" customHeight="1">
      <c r="A1796" s="4">
        <v>46055.465894895839</v>
      </c>
      <c r="B1796" s="5">
        <v>91534</v>
      </c>
      <c r="C1796" s="5">
        <v>1077864820</v>
      </c>
      <c r="D1796" s="5" t="s">
        <v>4367</v>
      </c>
      <c r="F1796" s="5" t="s">
        <v>8164</v>
      </c>
      <c r="H1796" s="5">
        <v>573214463378</v>
      </c>
      <c r="J1796" s="5" t="s">
        <v>8165</v>
      </c>
      <c r="K1796" s="5" t="s">
        <v>563</v>
      </c>
      <c r="L1796" s="5" t="s">
        <v>8166</v>
      </c>
      <c r="M1796" s="5">
        <v>3219888181</v>
      </c>
      <c r="N1796" s="6">
        <v>46055</v>
      </c>
      <c r="O1796" s="7">
        <v>0.70833333333333337</v>
      </c>
      <c r="P1796" s="5">
        <v>1</v>
      </c>
      <c r="Q1796" s="5" t="s">
        <v>649</v>
      </c>
      <c r="R1796" s="5">
        <v>200000</v>
      </c>
      <c r="S1796" s="5">
        <v>0</v>
      </c>
      <c r="T1796" s="5">
        <v>12000</v>
      </c>
      <c r="U1796" s="5">
        <v>212000</v>
      </c>
      <c r="V1796" s="5" t="s">
        <v>8167</v>
      </c>
      <c r="W1796" s="5" t="s">
        <v>36</v>
      </c>
      <c r="X1796" s="5" t="s">
        <v>1481</v>
      </c>
      <c r="Z1796" s="5" t="s">
        <v>8168</v>
      </c>
      <c r="AA1796" s="5" t="s">
        <v>44</v>
      </c>
      <c r="AC1796" s="8" t="str">
        <f>HYPERLINK("https://drive.google.com/file/d/1BTbSOabmhRTx10GflH7qIaLLPFlggSI0/view?usp=drivesdk", "Abrir_Factura")</f>
        <v>Abrir_Factura</v>
      </c>
      <c r="AD1796" s="9">
        <v>46055.478368055556</v>
      </c>
    </row>
    <row r="1797" spans="1:30" ht="12.5">
      <c r="A1797" s="4">
        <v>46055.501833298607</v>
      </c>
      <c r="B1797" s="5">
        <v>91535</v>
      </c>
      <c r="C1797" s="5">
        <v>8001163170</v>
      </c>
      <c r="D1797" s="5" t="s">
        <v>8169</v>
      </c>
      <c r="F1797" s="5" t="s">
        <v>2159</v>
      </c>
      <c r="H1797" s="5">
        <v>573005860158</v>
      </c>
      <c r="J1797" s="5" t="s">
        <v>8170</v>
      </c>
      <c r="K1797" s="5" t="s">
        <v>1595</v>
      </c>
      <c r="L1797" s="5" t="s">
        <v>8171</v>
      </c>
      <c r="M1797" s="5"/>
      <c r="N1797" s="6">
        <v>46055</v>
      </c>
      <c r="O1797" s="7">
        <v>0</v>
      </c>
      <c r="P1797" s="5">
        <v>1</v>
      </c>
      <c r="Q1797" s="5" t="s">
        <v>42</v>
      </c>
      <c r="R1797" s="5">
        <v>357000</v>
      </c>
      <c r="S1797" s="5">
        <v>0</v>
      </c>
      <c r="T1797" s="5">
        <v>20000</v>
      </c>
      <c r="U1797" s="5">
        <v>377000</v>
      </c>
      <c r="V1797" s="5" t="s">
        <v>8172</v>
      </c>
      <c r="W1797" s="5" t="s">
        <v>36</v>
      </c>
      <c r="X1797" s="5" t="s">
        <v>67</v>
      </c>
      <c r="AA1797" s="5" t="s">
        <v>44</v>
      </c>
      <c r="AB1797" s="5" t="s">
        <v>8173</v>
      </c>
      <c r="AC1797" s="8" t="str">
        <f>HYPERLINK("https://drive.google.com/file/d/1PicQt4aeCrNQKBDUjzGsRGbyYVeE8_TO/view?usp=drivesdk", "Abrir_Factura")</f>
        <v>Abrir_Factura</v>
      </c>
      <c r="AD1797" s="9">
        <v>46055.503657407404</v>
      </c>
    </row>
    <row r="1798" spans="1:30" ht="12.5">
      <c r="A1798" s="4">
        <v>46055.485110555557</v>
      </c>
      <c r="B1798" s="5">
        <v>91536</v>
      </c>
      <c r="C1798" s="5">
        <v>8567980</v>
      </c>
      <c r="D1798" s="5" t="s">
        <v>8174</v>
      </c>
      <c r="F1798" s="5" t="s">
        <v>8175</v>
      </c>
      <c r="H1798" s="5">
        <v>573025117222</v>
      </c>
      <c r="J1798" s="5" t="s">
        <v>4458</v>
      </c>
      <c r="K1798" s="5" t="s">
        <v>6194</v>
      </c>
      <c r="L1798" s="5" t="s">
        <v>8176</v>
      </c>
      <c r="M1798" s="5">
        <v>3025117222</v>
      </c>
      <c r="N1798" s="6">
        <v>46056</v>
      </c>
      <c r="O1798" s="7">
        <v>0.375</v>
      </c>
      <c r="P1798" s="5">
        <v>1</v>
      </c>
      <c r="Q1798" s="5" t="s">
        <v>8177</v>
      </c>
      <c r="R1798" s="5">
        <v>150000</v>
      </c>
      <c r="S1798" s="5">
        <v>0</v>
      </c>
      <c r="T1798" s="5">
        <v>18000</v>
      </c>
      <c r="U1798" s="5">
        <v>168000</v>
      </c>
      <c r="V1798" s="5" t="s">
        <v>8178</v>
      </c>
      <c r="W1798" s="5" t="s">
        <v>36</v>
      </c>
      <c r="X1798" s="5" t="s">
        <v>1481</v>
      </c>
      <c r="Z1798" s="5" t="s">
        <v>8179</v>
      </c>
      <c r="AA1798" s="5" t="s">
        <v>44</v>
      </c>
      <c r="AB1798" s="5" t="s">
        <v>8180</v>
      </c>
      <c r="AC1798" s="8" t="str">
        <f>HYPERLINK("https://drive.google.com/file/d/1BfEfXxMZtUsH0B_KF6Hu7v25BJDqVZmp/view?usp=drivesdk", "Abrir_Factura")</f>
        <v>Abrir_Factura</v>
      </c>
      <c r="AD1798" s="9">
        <v>46055.505277777775</v>
      </c>
    </row>
    <row r="1799" spans="1:30" ht="12.5">
      <c r="A1799" s="4">
        <v>46055.538615613426</v>
      </c>
      <c r="B1799" s="5">
        <v>91537</v>
      </c>
      <c r="C1799" s="5">
        <v>1083047463</v>
      </c>
      <c r="D1799" s="5" t="s">
        <v>8181</v>
      </c>
      <c r="F1799" s="5" t="s">
        <v>5606</v>
      </c>
      <c r="H1799" s="5">
        <v>5700000</v>
      </c>
      <c r="J1799" s="5" t="s">
        <v>8182</v>
      </c>
      <c r="K1799" s="5" t="s">
        <v>33</v>
      </c>
      <c r="L1799" s="5" t="s">
        <v>34</v>
      </c>
      <c r="M1799" s="5"/>
      <c r="N1799" s="6">
        <v>46055</v>
      </c>
      <c r="O1799" s="7">
        <v>0</v>
      </c>
      <c r="P1799" s="5">
        <v>1</v>
      </c>
      <c r="Q1799" s="5" t="s">
        <v>75</v>
      </c>
      <c r="R1799" s="5">
        <v>80000</v>
      </c>
      <c r="S1799" s="5">
        <v>0</v>
      </c>
      <c r="T1799" s="5">
        <v>0</v>
      </c>
      <c r="U1799" s="5">
        <v>80000</v>
      </c>
      <c r="V1799" s="5"/>
      <c r="W1799" s="5" t="s">
        <v>36</v>
      </c>
      <c r="X1799" s="5" t="s">
        <v>37</v>
      </c>
      <c r="AA1799" s="5" t="s">
        <v>37</v>
      </c>
      <c r="AB1799" s="5" t="s">
        <v>8183</v>
      </c>
      <c r="AC1799" s="8" t="str">
        <f>HYPERLINK("https://drive.google.com/file/d/12EsuJJOykJ3jaJT2HJFWnbjD9BAVj-GM/view?usp=drivesdk", "Abrir_Factura")</f>
        <v>Abrir_Factura</v>
      </c>
      <c r="AD1799" s="9">
        <v>46055.539756944447</v>
      </c>
    </row>
    <row r="1800" spans="1:30" ht="12.5">
      <c r="A1800" s="4">
        <v>46055.542962638894</v>
      </c>
      <c r="B1800" s="5">
        <v>91538</v>
      </c>
      <c r="C1800" s="5">
        <v>1234089592</v>
      </c>
      <c r="D1800" s="5" t="s">
        <v>836</v>
      </c>
      <c r="F1800" s="5" t="s">
        <v>8184</v>
      </c>
      <c r="H1800" s="5">
        <v>573103651978</v>
      </c>
      <c r="J1800" s="5" t="s">
        <v>8185</v>
      </c>
      <c r="K1800" s="5" t="s">
        <v>73</v>
      </c>
      <c r="L1800" s="5" t="s">
        <v>8186</v>
      </c>
      <c r="M1800" s="5">
        <v>3116843168</v>
      </c>
      <c r="N1800" s="6">
        <v>46057</v>
      </c>
      <c r="O1800" s="7">
        <v>0.29166666666666669</v>
      </c>
      <c r="P1800" s="5">
        <v>1</v>
      </c>
      <c r="Q1800" s="5" t="s">
        <v>133</v>
      </c>
      <c r="R1800" s="5">
        <v>150000</v>
      </c>
      <c r="S1800" s="5">
        <v>0</v>
      </c>
      <c r="T1800" s="5">
        <v>8000</v>
      </c>
      <c r="U1800" s="5">
        <v>158000</v>
      </c>
      <c r="V1800" s="5" t="s">
        <v>8187</v>
      </c>
      <c r="W1800" s="5" t="s">
        <v>36</v>
      </c>
      <c r="X1800" s="5" t="s">
        <v>1481</v>
      </c>
      <c r="Z1800" s="5" t="s">
        <v>8188</v>
      </c>
      <c r="AA1800" s="5" t="s">
        <v>69</v>
      </c>
      <c r="AB1800" s="5" t="s">
        <v>8189</v>
      </c>
      <c r="AC1800" s="8" t="str">
        <f>HYPERLINK("https://drive.google.com/file/d/177owXKfWj0WJ9YL0dZpxt6aq-YrOHIEj/view?usp=drivesdk", "Abrir_Factura")</f>
        <v>Abrir_Factura</v>
      </c>
      <c r="AD1800" s="9">
        <v>46055.560972222222</v>
      </c>
    </row>
    <row r="1801" spans="1:30" ht="12.5">
      <c r="A1801" s="4">
        <v>46055.618746759261</v>
      </c>
      <c r="B1801" s="5">
        <v>91539</v>
      </c>
      <c r="C1801" s="5">
        <v>1143239898</v>
      </c>
      <c r="D1801" s="5" t="s">
        <v>5128</v>
      </c>
      <c r="F1801" s="5" t="s">
        <v>6313</v>
      </c>
      <c r="H1801" s="5">
        <v>573008810305</v>
      </c>
      <c r="J1801" s="5" t="s">
        <v>6314</v>
      </c>
      <c r="K1801" s="5" t="s">
        <v>33</v>
      </c>
      <c r="L1801" s="5" t="s">
        <v>34</v>
      </c>
      <c r="M1801" s="5">
        <v>3008810305</v>
      </c>
      <c r="N1801" s="6">
        <v>46055</v>
      </c>
      <c r="O1801" s="7">
        <v>0</v>
      </c>
      <c r="P1801" s="5">
        <v>1</v>
      </c>
      <c r="Q1801" s="5" t="s">
        <v>42</v>
      </c>
      <c r="R1801" s="5">
        <v>160000</v>
      </c>
      <c r="S1801" s="5">
        <v>0</v>
      </c>
      <c r="T1801" s="5">
        <v>0</v>
      </c>
      <c r="U1801" s="5">
        <v>160000</v>
      </c>
      <c r="V1801" s="5"/>
      <c r="W1801" s="5" t="s">
        <v>36</v>
      </c>
      <c r="X1801" s="5" t="s">
        <v>1705</v>
      </c>
      <c r="AA1801" s="5" t="s">
        <v>1717</v>
      </c>
      <c r="AC1801" s="8" t="str">
        <f>HYPERLINK("https://drive.google.com/file/d/1cG0EziiUB1KYFOh_qzEKbX6JJ6jk08nu/view?usp=drivesdk", "Abrir_Factura")</f>
        <v>Abrir_Factura</v>
      </c>
      <c r="AD1801" s="9">
        <v>46055.619583333333</v>
      </c>
    </row>
    <row r="1802" spans="1:30" ht="12.5">
      <c r="A1802" s="4">
        <v>46055.623449895837</v>
      </c>
      <c r="B1802" s="5">
        <v>91540</v>
      </c>
      <c r="C1802" s="5">
        <v>64575406</v>
      </c>
      <c r="D1802" s="5" t="s">
        <v>8190</v>
      </c>
      <c r="F1802" s="5" t="s">
        <v>8191</v>
      </c>
      <c r="H1802" s="5">
        <v>527221682089</v>
      </c>
      <c r="J1802" s="5" t="s">
        <v>8192</v>
      </c>
      <c r="K1802" s="5" t="s">
        <v>161</v>
      </c>
      <c r="L1802" s="5" t="s">
        <v>8193</v>
      </c>
      <c r="M1802" s="5" t="s">
        <v>8194</v>
      </c>
      <c r="N1802" s="6">
        <v>46057</v>
      </c>
      <c r="O1802" s="7">
        <v>0</v>
      </c>
      <c r="P1802" s="5">
        <v>1</v>
      </c>
      <c r="Q1802" s="5" t="s">
        <v>5730</v>
      </c>
      <c r="R1802" s="5">
        <v>350000</v>
      </c>
      <c r="S1802" s="5">
        <v>0</v>
      </c>
      <c r="T1802" s="5">
        <v>8000</v>
      </c>
      <c r="U1802" s="5">
        <v>358000</v>
      </c>
      <c r="V1802" s="5" t="s">
        <v>8195</v>
      </c>
      <c r="W1802" s="5" t="s">
        <v>36</v>
      </c>
      <c r="X1802" s="5" t="s">
        <v>1481</v>
      </c>
      <c r="AA1802" s="5" t="s">
        <v>69</v>
      </c>
      <c r="AC1802" s="8" t="str">
        <f>HYPERLINK("https://drive.google.com/file/d/1PCOttQjo10NIkYPhLVsVLwEGLJG1u6pI/view?usp=drivesdk", "Abrir_Factura")</f>
        <v>Abrir_Factura</v>
      </c>
      <c r="AD1802" s="9">
        <v>46055.726712962962</v>
      </c>
    </row>
    <row r="1803" spans="1:30" ht="12.5">
      <c r="A1803" s="4">
        <v>46055.634271909723</v>
      </c>
      <c r="B1803" s="5">
        <v>91541</v>
      </c>
      <c r="C1803" s="5">
        <v>1082893756</v>
      </c>
      <c r="D1803" s="5" t="s">
        <v>8196</v>
      </c>
      <c r="F1803" s="5" t="s">
        <v>8197</v>
      </c>
      <c r="H1803" s="5">
        <v>573008329249</v>
      </c>
      <c r="J1803" s="5" t="s">
        <v>8198</v>
      </c>
      <c r="K1803" s="5" t="s">
        <v>73</v>
      </c>
      <c r="L1803" s="5" t="s">
        <v>8199</v>
      </c>
      <c r="M1803" s="5">
        <v>3008329249</v>
      </c>
      <c r="N1803" s="6">
        <v>46055</v>
      </c>
      <c r="O1803" s="7">
        <v>0.66666666666666663</v>
      </c>
      <c r="P1803" s="5">
        <v>1</v>
      </c>
      <c r="Q1803" s="5" t="s">
        <v>57</v>
      </c>
      <c r="R1803" s="5">
        <v>120000</v>
      </c>
      <c r="S1803" s="5">
        <v>0</v>
      </c>
      <c r="T1803" s="5">
        <v>8000</v>
      </c>
      <c r="U1803" s="5">
        <v>128000</v>
      </c>
      <c r="V1803" s="5" t="s">
        <v>8200</v>
      </c>
      <c r="W1803" s="5" t="s">
        <v>36</v>
      </c>
      <c r="X1803" s="5" t="s">
        <v>1481</v>
      </c>
      <c r="Z1803" s="5" t="s">
        <v>8201</v>
      </c>
      <c r="AA1803" s="5" t="s">
        <v>44</v>
      </c>
      <c r="AC1803" s="8" t="str">
        <f>HYPERLINK("https://drive.google.com/file/d/1Cx75tNySKhh1bnQQ1dPVra2h7gkwml9N/view?usp=drivesdk", "Abrir_Factura")</f>
        <v>Abrir_Factura</v>
      </c>
      <c r="AD1803" s="9">
        <v>46055.637592592589</v>
      </c>
    </row>
    <row r="1804" spans="1:30" ht="12.5">
      <c r="A1804" s="4">
        <v>46055.640354745366</v>
      </c>
      <c r="B1804" s="5">
        <v>91542</v>
      </c>
      <c r="C1804" s="5">
        <v>900521807</v>
      </c>
      <c r="D1804" s="5" t="s">
        <v>1231</v>
      </c>
      <c r="F1804" s="5" t="s">
        <v>2159</v>
      </c>
      <c r="H1804" s="5">
        <v>573007682024</v>
      </c>
      <c r="J1804" s="5" t="s">
        <v>8202</v>
      </c>
      <c r="K1804" s="5" t="s">
        <v>124</v>
      </c>
      <c r="L1804" s="5" t="s">
        <v>8203</v>
      </c>
      <c r="M1804" s="5"/>
      <c r="N1804" s="6">
        <v>46055</v>
      </c>
      <c r="O1804" s="7">
        <v>0.6694444444444444</v>
      </c>
      <c r="P1804" s="5">
        <v>1</v>
      </c>
      <c r="Q1804" s="5" t="s">
        <v>42</v>
      </c>
      <c r="R1804" s="5">
        <v>232200</v>
      </c>
      <c r="S1804" s="5">
        <v>0</v>
      </c>
      <c r="T1804" s="5">
        <v>12000</v>
      </c>
      <c r="U1804" s="5">
        <v>244200</v>
      </c>
      <c r="V1804" s="5"/>
      <c r="W1804" s="5" t="s">
        <v>36</v>
      </c>
      <c r="X1804" s="5" t="s">
        <v>43</v>
      </c>
      <c r="AA1804" s="5" t="s">
        <v>44</v>
      </c>
      <c r="AB1804" s="5" t="s">
        <v>8204</v>
      </c>
      <c r="AC1804" s="8" t="str">
        <f>HYPERLINK("https://drive.google.com/file/d/1h8uSeKoxjjiatuk-JWUksiUcg5kfRzNo/view?usp=drivesdk", "Abrir_Factura")</f>
        <v>Abrir_Factura</v>
      </c>
      <c r="AD1804" s="9">
        <v>46055.643703703703</v>
      </c>
    </row>
    <row r="1805" spans="1:30" ht="12.5">
      <c r="A1805" s="4">
        <v>46055.679658587964</v>
      </c>
      <c r="B1805" s="5">
        <v>91543</v>
      </c>
      <c r="C1805" s="5">
        <v>25287518</v>
      </c>
      <c r="D1805" s="5" t="s">
        <v>8205</v>
      </c>
      <c r="F1805" s="5" t="s">
        <v>8206</v>
      </c>
      <c r="H1805" s="5">
        <v>573166913377</v>
      </c>
      <c r="J1805" s="5" t="s">
        <v>8207</v>
      </c>
      <c r="K1805" s="5" t="s">
        <v>33</v>
      </c>
      <c r="L1805" s="5" t="s">
        <v>34</v>
      </c>
      <c r="M1805" s="5">
        <v>3166913377</v>
      </c>
      <c r="N1805" s="6">
        <v>46055</v>
      </c>
      <c r="O1805" s="7">
        <v>0</v>
      </c>
      <c r="P1805" s="5">
        <v>1</v>
      </c>
      <c r="Q1805" s="5" t="s">
        <v>42</v>
      </c>
      <c r="R1805" s="5">
        <v>126000</v>
      </c>
      <c r="S1805" s="5">
        <v>0</v>
      </c>
      <c r="T1805" s="5">
        <v>0</v>
      </c>
      <c r="U1805" s="5">
        <v>126000</v>
      </c>
      <c r="V1805" s="5"/>
      <c r="W1805" s="5" t="s">
        <v>36</v>
      </c>
      <c r="X1805" s="5" t="s">
        <v>1705</v>
      </c>
      <c r="AA1805" s="5" t="s">
        <v>1717</v>
      </c>
      <c r="AB1805" s="5" t="s">
        <v>525</v>
      </c>
      <c r="AC1805" s="8" t="str">
        <f>HYPERLINK("https://drive.google.com/file/d/1h0Zr-At5mVmpLBZHSDaT5QexIarxvZfX/view?usp=drivesdk", "Abrir_Factura")</f>
        <v>Abrir_Factura</v>
      </c>
      <c r="AD1805" s="9">
        <v>46055.680925925924</v>
      </c>
    </row>
    <row r="1806" spans="1:30" ht="12.5">
      <c r="A1806" s="4">
        <v>46055.688070578704</v>
      </c>
      <c r="B1806" s="5">
        <v>91544</v>
      </c>
      <c r="C1806" s="5">
        <v>8901016912</v>
      </c>
      <c r="D1806" s="5" t="s">
        <v>8208</v>
      </c>
      <c r="F1806" s="5" t="s">
        <v>2159</v>
      </c>
      <c r="H1806" s="5">
        <v>573138347371</v>
      </c>
      <c r="J1806" s="5" t="s">
        <v>8209</v>
      </c>
      <c r="K1806" s="5" t="s">
        <v>328</v>
      </c>
      <c r="L1806" s="5" t="s">
        <v>8210</v>
      </c>
      <c r="M1806" s="5"/>
      <c r="N1806" s="6">
        <v>46056</v>
      </c>
      <c r="O1806" s="7">
        <v>0.33333333333333331</v>
      </c>
      <c r="P1806" s="5">
        <v>1</v>
      </c>
      <c r="Q1806" s="5" t="s">
        <v>375</v>
      </c>
      <c r="R1806" s="5">
        <v>95200</v>
      </c>
      <c r="S1806" s="5">
        <v>0</v>
      </c>
      <c r="T1806" s="5">
        <v>12000</v>
      </c>
      <c r="U1806" s="5">
        <v>107200</v>
      </c>
      <c r="V1806" s="5" t="s">
        <v>8211</v>
      </c>
      <c r="W1806" s="5" t="s">
        <v>36</v>
      </c>
      <c r="X1806" s="5" t="s">
        <v>43</v>
      </c>
      <c r="AA1806" s="5" t="s">
        <v>44</v>
      </c>
      <c r="AC1806" s="8" t="str">
        <f>HYPERLINK("https://drive.google.com/file/d/1nT5oaq6jk1ut_xQbR_vqhLY5x0Q8Dqxb/view?usp=drivesdk", "Abrir_Factura")</f>
        <v>Abrir_Factura</v>
      </c>
      <c r="AD1806" s="9">
        <v>46055.688726851855</v>
      </c>
    </row>
    <row r="1807" spans="1:30" ht="12.5">
      <c r="A1807" s="4">
        <v>46055.716758946757</v>
      </c>
      <c r="B1807" s="5">
        <v>91545</v>
      </c>
      <c r="C1807" s="5">
        <v>1000729591</v>
      </c>
      <c r="D1807" s="5" t="s">
        <v>5128</v>
      </c>
      <c r="F1807" s="5" t="s">
        <v>116</v>
      </c>
      <c r="H1807" s="5">
        <v>573168797009</v>
      </c>
      <c r="J1807" s="5" t="s">
        <v>5130</v>
      </c>
      <c r="K1807" s="5" t="s">
        <v>103</v>
      </c>
      <c r="L1807" s="5" t="s">
        <v>8212</v>
      </c>
      <c r="M1807" s="5">
        <v>3168797009</v>
      </c>
      <c r="N1807" s="6">
        <v>46055</v>
      </c>
      <c r="O1807" s="7">
        <v>0.75</v>
      </c>
      <c r="P1807" s="5">
        <v>1</v>
      </c>
      <c r="Q1807" s="5" t="s">
        <v>178</v>
      </c>
      <c r="R1807" s="5">
        <v>110000</v>
      </c>
      <c r="S1807" s="5">
        <v>0</v>
      </c>
      <c r="T1807" s="5">
        <v>10000</v>
      </c>
      <c r="U1807" s="5">
        <v>120000</v>
      </c>
      <c r="V1807" s="5" t="s">
        <v>8213</v>
      </c>
      <c r="W1807" s="5" t="s">
        <v>36</v>
      </c>
      <c r="X1807" s="5" t="s">
        <v>1481</v>
      </c>
      <c r="Z1807" s="5" t="s">
        <v>8214</v>
      </c>
      <c r="AA1807" s="5" t="s">
        <v>69</v>
      </c>
      <c r="AB1807" s="5"/>
      <c r="AC1807" s="8" t="str">
        <f>HYPERLINK("https://drive.google.com/file/d/1y5FpRI2qQymqAJns8hH73Rtf15dDbGCN/view?usp=drivesdk", "Abrir_Factura")</f>
        <v>Abrir_Factura</v>
      </c>
      <c r="AD1807" s="9">
        <v>46055.727662037039</v>
      </c>
    </row>
    <row r="1808" spans="1:30" ht="12.5">
      <c r="A1808" s="4">
        <v>46055.70703125</v>
      </c>
      <c r="B1808" s="5">
        <v>91546</v>
      </c>
      <c r="C1808" s="5">
        <v>1140837047</v>
      </c>
      <c r="D1808" s="5" t="s">
        <v>1056</v>
      </c>
      <c r="F1808" s="5" t="s">
        <v>8215</v>
      </c>
      <c r="H1808" s="5">
        <v>573105277555</v>
      </c>
      <c r="J1808" s="5" t="s">
        <v>8216</v>
      </c>
      <c r="K1808" s="5" t="s">
        <v>726</v>
      </c>
      <c r="L1808" s="5" t="s">
        <v>8217</v>
      </c>
      <c r="M1808" s="5">
        <v>3174403261</v>
      </c>
      <c r="N1808" s="6">
        <v>46055</v>
      </c>
      <c r="O1808" s="7">
        <v>0</v>
      </c>
      <c r="P1808" s="5">
        <v>1</v>
      </c>
      <c r="Q1808" s="5" t="s">
        <v>309</v>
      </c>
      <c r="R1808" s="5">
        <v>88000</v>
      </c>
      <c r="S1808" s="5">
        <v>0</v>
      </c>
      <c r="T1808" s="5">
        <v>9000</v>
      </c>
      <c r="U1808" s="5">
        <v>97000</v>
      </c>
      <c r="V1808" s="5" t="s">
        <v>8218</v>
      </c>
      <c r="W1808" s="5" t="s">
        <v>36</v>
      </c>
      <c r="X1808" s="5" t="s">
        <v>1481</v>
      </c>
      <c r="Z1808" s="5" t="s">
        <v>8219</v>
      </c>
      <c r="AA1808" s="5" t="s">
        <v>44</v>
      </c>
      <c r="AC1808" s="8" t="str">
        <f>HYPERLINK("https://drive.google.com/file/d/1PkKRy1UVY361QBYaiEJDe1KOGTIlC5fm/view?usp=drivesdk", "Abrir_Factura")</f>
        <v>Abrir_Factura</v>
      </c>
      <c r="AD1808" s="9">
        <v>46055.730474537035</v>
      </c>
    </row>
    <row r="1809" spans="1:30" ht="12.5">
      <c r="A1809" s="4">
        <v>46055.740644490739</v>
      </c>
      <c r="B1809" s="5">
        <v>91547</v>
      </c>
      <c r="C1809" s="5">
        <v>7027429008</v>
      </c>
      <c r="D1809" s="5" t="s">
        <v>8220</v>
      </c>
      <c r="F1809" s="5" t="s">
        <v>8221</v>
      </c>
      <c r="H1809" s="5">
        <v>17027429008</v>
      </c>
      <c r="J1809" s="5" t="s">
        <v>8222</v>
      </c>
      <c r="K1809" s="5" t="s">
        <v>33</v>
      </c>
      <c r="L1809" s="5" t="s">
        <v>34</v>
      </c>
      <c r="M1809" s="5">
        <v>7027429008</v>
      </c>
      <c r="N1809" s="6">
        <v>46055</v>
      </c>
      <c r="O1809" s="7">
        <v>0.75347222222222221</v>
      </c>
      <c r="P1809" s="5">
        <v>1</v>
      </c>
      <c r="Q1809" s="5" t="s">
        <v>178</v>
      </c>
      <c r="R1809" s="5">
        <v>110000</v>
      </c>
      <c r="S1809" s="5">
        <v>0</v>
      </c>
      <c r="T1809" s="5">
        <v>0</v>
      </c>
      <c r="U1809" s="5">
        <v>110000</v>
      </c>
      <c r="V1809" s="5"/>
      <c r="W1809" s="5" t="s">
        <v>36</v>
      </c>
      <c r="X1809" s="5" t="s">
        <v>1937</v>
      </c>
      <c r="AA1809" s="5" t="s">
        <v>1717</v>
      </c>
      <c r="AC1809" s="8" t="str">
        <f>HYPERLINK("https://drive.google.com/file/d/1iCX268cK8VnZ918CiqYZDRlzvJsPJtgB/view?usp=drivesdk", "Abrir_Factura")</f>
        <v>Abrir_Factura</v>
      </c>
      <c r="AD1809" s="9">
        <v>46055.741111111114</v>
      </c>
    </row>
    <row r="1810" spans="1:30" ht="12.5">
      <c r="A1810" s="4">
        <v>46055.768214490745</v>
      </c>
      <c r="B1810" s="5">
        <v>91548</v>
      </c>
      <c r="C1810" s="5">
        <v>22551298</v>
      </c>
      <c r="D1810" s="5" t="s">
        <v>8223</v>
      </c>
      <c r="F1810" s="5" t="s">
        <v>8224</v>
      </c>
      <c r="H1810" s="5">
        <v>573004259835</v>
      </c>
      <c r="J1810" s="5" t="s">
        <v>8225</v>
      </c>
      <c r="K1810" s="5" t="s">
        <v>930</v>
      </c>
      <c r="L1810" s="5" t="s">
        <v>8226</v>
      </c>
      <c r="M1810" s="5">
        <v>3208386517</v>
      </c>
      <c r="N1810" s="6">
        <v>46056</v>
      </c>
      <c r="O1810" s="7">
        <v>0.375</v>
      </c>
      <c r="P1810" s="5">
        <v>1</v>
      </c>
      <c r="Q1810" s="5" t="s">
        <v>8227</v>
      </c>
      <c r="R1810" s="5">
        <v>125000</v>
      </c>
      <c r="S1810" s="5">
        <v>0</v>
      </c>
      <c r="T1810" s="5">
        <v>30000</v>
      </c>
      <c r="U1810" s="5">
        <v>155000</v>
      </c>
      <c r="V1810" s="5" t="s">
        <v>8228</v>
      </c>
      <c r="W1810" s="5" t="s">
        <v>36</v>
      </c>
      <c r="X1810" s="5" t="s">
        <v>1937</v>
      </c>
      <c r="Z1810" s="5" t="s">
        <v>8229</v>
      </c>
      <c r="AA1810" s="5" t="s">
        <v>69</v>
      </c>
      <c r="AB1810" s="5" t="s">
        <v>8230</v>
      </c>
      <c r="AC1810" s="8" t="str">
        <f>HYPERLINK("https://drive.google.com/file/d/1wzJwpZ3TlOqciK-ayxmqM9YBVnlNx0i_/view?usp=drivesdk", "Abrir_Factura")</f>
        <v>Abrir_Factura</v>
      </c>
      <c r="AD1810" s="9">
        <v>46055.775821759256</v>
      </c>
    </row>
    <row r="1811" spans="1:30" ht="12.5">
      <c r="A1811" s="4">
        <v>46056.30568586805</v>
      </c>
      <c r="B1811" s="5">
        <v>91549</v>
      </c>
      <c r="C1811" s="5">
        <v>0</v>
      </c>
      <c r="D1811" s="5" t="s">
        <v>8231</v>
      </c>
      <c r="F1811" s="5" t="s">
        <v>8232</v>
      </c>
      <c r="H1811" s="5">
        <v>573244313909</v>
      </c>
      <c r="J1811" s="5" t="s">
        <v>8233</v>
      </c>
      <c r="K1811" s="5" t="s">
        <v>33</v>
      </c>
      <c r="L1811" s="5" t="s">
        <v>34</v>
      </c>
      <c r="M1811" s="5" t="s">
        <v>8234</v>
      </c>
      <c r="N1811" s="6">
        <v>46056</v>
      </c>
      <c r="O1811" s="7">
        <v>0.375</v>
      </c>
      <c r="P1811" s="5">
        <v>1</v>
      </c>
      <c r="Q1811" s="5" t="s">
        <v>75</v>
      </c>
      <c r="R1811" s="5">
        <v>80000</v>
      </c>
      <c r="S1811" s="5">
        <v>0</v>
      </c>
      <c r="T1811" s="5">
        <v>0</v>
      </c>
      <c r="U1811" s="5">
        <v>80000</v>
      </c>
      <c r="V1811" s="5" t="s">
        <v>8235</v>
      </c>
      <c r="W1811" s="5" t="s">
        <v>36</v>
      </c>
      <c r="X1811" s="5" t="s">
        <v>37</v>
      </c>
      <c r="AA1811" s="5" t="s">
        <v>37</v>
      </c>
      <c r="AB1811" s="5" t="s">
        <v>8236</v>
      </c>
      <c r="AC1811" s="8" t="str">
        <f>HYPERLINK("https://drive.google.com/file/d/1tfP5Ik4gIpQ3ud2iXIvvc_-_AySiqZct/view?usp=drivesdk", "Abrir_Factura")</f>
        <v>Abrir_Factura</v>
      </c>
      <c r="AD1811" s="9">
        <v>46056.306909722225</v>
      </c>
    </row>
    <row r="1812" spans="1:30" ht="12.5">
      <c r="A1812" s="4">
        <v>46064.348900462966</v>
      </c>
      <c r="B1812" s="5">
        <v>91550</v>
      </c>
      <c r="C1812" s="5">
        <v>55220299</v>
      </c>
      <c r="D1812" s="5" t="s">
        <v>1489</v>
      </c>
      <c r="F1812" s="5" t="s">
        <v>765</v>
      </c>
      <c r="H1812" s="5">
        <v>573014591116</v>
      </c>
      <c r="J1812" s="5" t="s">
        <v>8237</v>
      </c>
      <c r="K1812" s="5" t="s">
        <v>4403</v>
      </c>
      <c r="L1812" s="5" t="s">
        <v>8238</v>
      </c>
      <c r="M1812" s="5"/>
      <c r="N1812" s="6">
        <v>46056</v>
      </c>
      <c r="O1812" s="7">
        <v>0.41666666666666669</v>
      </c>
      <c r="P1812" s="5">
        <v>1</v>
      </c>
      <c r="Q1812" s="5" t="s">
        <v>3892</v>
      </c>
      <c r="R1812" s="5">
        <v>300000</v>
      </c>
      <c r="S1812" s="5">
        <v>0</v>
      </c>
      <c r="T1812" s="5">
        <v>20000</v>
      </c>
      <c r="U1812" s="5">
        <v>320000</v>
      </c>
      <c r="V1812" s="5" t="s">
        <v>8239</v>
      </c>
      <c r="W1812" s="5" t="s">
        <v>36</v>
      </c>
      <c r="X1812" s="5" t="s">
        <v>1481</v>
      </c>
      <c r="AA1812" s="5" t="s">
        <v>69</v>
      </c>
      <c r="AC1812" s="8" t="str">
        <f>HYPERLINK("https://drive.google.com/file/d/1pcbbIw0Tc7lxk7ueRbIkH9-9vc6zX8ri/view?usp=drivesdk", "Abrir_Factura")</f>
        <v>Abrir_Factura</v>
      </c>
      <c r="AD1812" s="9">
        <v>46064.629108796296</v>
      </c>
    </row>
    <row r="1813" spans="1:30" ht="12.5">
      <c r="A1813" s="4">
        <v>46056.350193703707</v>
      </c>
      <c r="B1813" s="5">
        <v>91551</v>
      </c>
      <c r="C1813" s="5">
        <v>1140882177</v>
      </c>
      <c r="D1813" s="5" t="s">
        <v>1773</v>
      </c>
      <c r="F1813" s="5" t="s">
        <v>8240</v>
      </c>
      <c r="H1813" s="5">
        <v>573205215209</v>
      </c>
      <c r="J1813" s="5" t="s">
        <v>8241</v>
      </c>
      <c r="K1813" s="5" t="s">
        <v>185</v>
      </c>
      <c r="L1813" s="5" t="s">
        <v>8242</v>
      </c>
      <c r="M1813" s="5">
        <v>3205215209</v>
      </c>
      <c r="N1813" s="6">
        <v>46056</v>
      </c>
      <c r="O1813" s="7">
        <v>0.41666666666666669</v>
      </c>
      <c r="P1813" s="5">
        <v>1</v>
      </c>
      <c r="Q1813" s="5" t="s">
        <v>5730</v>
      </c>
      <c r="R1813" s="5">
        <v>350000</v>
      </c>
      <c r="S1813" s="5">
        <v>0</v>
      </c>
      <c r="T1813" s="5">
        <v>8000</v>
      </c>
      <c r="U1813" s="5">
        <v>358000</v>
      </c>
      <c r="V1813" s="5"/>
      <c r="W1813" s="5" t="s">
        <v>36</v>
      </c>
      <c r="X1813" s="5" t="s">
        <v>1481</v>
      </c>
      <c r="Z1813" s="5" t="s">
        <v>8243</v>
      </c>
      <c r="AA1813" s="5" t="s">
        <v>44</v>
      </c>
      <c r="AB1813" s="5" t="s">
        <v>8244</v>
      </c>
      <c r="AC1813" s="8" t="str">
        <f>HYPERLINK("https://drive.google.com/file/d/1RfNOQt0jfAXlJsWCnI_DlZnQhtC9WL3D/view?usp=drivesdk", "Abrir_Factura")</f>
        <v>Abrir_Factura</v>
      </c>
      <c r="AD1813" s="9">
        <v>46056.356469907405</v>
      </c>
    </row>
    <row r="1814" spans="1:30" ht="12.5">
      <c r="A1814" s="4">
        <v>46056.341126273153</v>
      </c>
      <c r="B1814" s="5">
        <v>91552</v>
      </c>
      <c r="C1814" s="5">
        <v>1045667959</v>
      </c>
      <c r="D1814" s="5" t="s">
        <v>8245</v>
      </c>
      <c r="F1814" s="5" t="s">
        <v>8246</v>
      </c>
      <c r="H1814" s="5">
        <v>573012930040</v>
      </c>
      <c r="J1814" s="5" t="s">
        <v>8247</v>
      </c>
      <c r="K1814" s="5" t="s">
        <v>1317</v>
      </c>
      <c r="L1814" s="5" t="s">
        <v>8248</v>
      </c>
      <c r="M1814" s="5">
        <v>3214452146</v>
      </c>
      <c r="N1814" s="6">
        <v>46056</v>
      </c>
      <c r="O1814" s="7">
        <v>0.41666666666666669</v>
      </c>
      <c r="P1814" s="5">
        <v>1</v>
      </c>
      <c r="Q1814" s="5" t="s">
        <v>8249</v>
      </c>
      <c r="R1814" s="5">
        <v>360000</v>
      </c>
      <c r="S1814" s="5">
        <v>0</v>
      </c>
      <c r="T1814" s="5">
        <v>12000</v>
      </c>
      <c r="U1814" s="5">
        <v>372000</v>
      </c>
      <c r="V1814" s="5" t="s">
        <v>8250</v>
      </c>
      <c r="W1814" s="5" t="s">
        <v>36</v>
      </c>
      <c r="X1814" s="5" t="s">
        <v>1481</v>
      </c>
      <c r="Z1814" s="5" t="s">
        <v>8251</v>
      </c>
      <c r="AA1814" s="5" t="s">
        <v>44</v>
      </c>
      <c r="AC1814" s="8" t="str">
        <f>HYPERLINK("https://drive.google.com/file/d/1LzoeVD86cjsM_SmyK6SIajAgvNi3GvUg/view?usp=drivesdk", "Abrir_Factura")</f>
        <v>Abrir_Factura</v>
      </c>
      <c r="AD1814" s="9">
        <v>46056.359513888892</v>
      </c>
    </row>
    <row r="1815" spans="1:30" ht="12.5">
      <c r="A1815" s="4">
        <v>46055.478103402776</v>
      </c>
      <c r="B1815" s="5">
        <v>91553</v>
      </c>
      <c r="C1815" s="5">
        <v>40231054566</v>
      </c>
      <c r="D1815" s="5" t="s">
        <v>968</v>
      </c>
      <c r="F1815" s="5" t="s">
        <v>8252</v>
      </c>
      <c r="H1815" s="5">
        <v>18293411451</v>
      </c>
      <c r="J1815" s="5" t="s">
        <v>8253</v>
      </c>
      <c r="K1815" s="5" t="s">
        <v>110</v>
      </c>
      <c r="L1815" s="5" t="s">
        <v>8254</v>
      </c>
      <c r="M1815" s="5">
        <v>573024633361</v>
      </c>
      <c r="N1815" s="6">
        <v>46056</v>
      </c>
      <c r="O1815" s="7">
        <v>0.41666666666666669</v>
      </c>
      <c r="P1815" s="5">
        <v>1</v>
      </c>
      <c r="Q1815" s="5" t="s">
        <v>133</v>
      </c>
      <c r="R1815" s="5">
        <v>150000</v>
      </c>
      <c r="S1815" s="5">
        <v>0</v>
      </c>
      <c r="T1815" s="5">
        <v>6000</v>
      </c>
      <c r="U1815" s="5">
        <v>156000</v>
      </c>
      <c r="V1815" s="5" t="s">
        <v>8255</v>
      </c>
      <c r="W1815" s="5" t="s">
        <v>36</v>
      </c>
      <c r="X1815" s="5" t="s">
        <v>3754</v>
      </c>
      <c r="Z1815" s="5" t="s">
        <v>8256</v>
      </c>
      <c r="AA1815" s="5" t="s">
        <v>44</v>
      </c>
      <c r="AC1815" s="8" t="str">
        <f>HYPERLINK("https://drive.google.com/file/d/10n8OqSjJS_2NyKV5bq8Vo_KbxFXxxrqp/view?usp=drivesdk", "Abrir_Factura")</f>
        <v>Abrir_Factura</v>
      </c>
      <c r="AD1815" s="9">
        <v>46056.365231481483</v>
      </c>
    </row>
    <row r="1816" spans="1:30" ht="12.5">
      <c r="A1816" s="4">
        <v>46056.377698414348</v>
      </c>
      <c r="B1816" s="5">
        <v>91554</v>
      </c>
      <c r="C1816" s="5">
        <v>1140838576</v>
      </c>
      <c r="D1816" s="5" t="s">
        <v>8257</v>
      </c>
      <c r="F1816" s="5" t="s">
        <v>93</v>
      </c>
      <c r="H1816" s="5">
        <v>573102372468</v>
      </c>
      <c r="J1816" s="5" t="s">
        <v>8258</v>
      </c>
      <c r="K1816" s="5" t="s">
        <v>161</v>
      </c>
      <c r="L1816" s="5" t="s">
        <v>8259</v>
      </c>
      <c r="M1816" s="5">
        <v>3157547091</v>
      </c>
      <c r="N1816" s="6">
        <v>46056</v>
      </c>
      <c r="O1816" s="7">
        <v>0</v>
      </c>
      <c r="P1816" s="5">
        <v>1</v>
      </c>
      <c r="Q1816" s="5" t="s">
        <v>156</v>
      </c>
      <c r="R1816" s="5">
        <v>80000</v>
      </c>
      <c r="S1816" s="5">
        <v>0</v>
      </c>
      <c r="T1816" s="5">
        <v>8000</v>
      </c>
      <c r="U1816" s="5">
        <v>88000</v>
      </c>
      <c r="V1816" s="5" t="s">
        <v>8260</v>
      </c>
      <c r="W1816" s="5" t="s">
        <v>36</v>
      </c>
      <c r="X1816" s="5" t="s">
        <v>1481</v>
      </c>
      <c r="Z1816" s="5" t="s">
        <v>8261</v>
      </c>
      <c r="AA1816" s="5" t="s">
        <v>44</v>
      </c>
      <c r="AC1816" s="8" t="str">
        <f>HYPERLINK("https://drive.google.com/file/d/1BF4DffhTMffD1kxo7FkGdUCQuOYf-Na-/view?usp=drivesdk", "Abrir_Factura")</f>
        <v>Abrir_Factura</v>
      </c>
      <c r="AD1816" s="9">
        <v>46056.387685185182</v>
      </c>
    </row>
    <row r="1817" spans="1:30" ht="12.5">
      <c r="A1817" s="4">
        <v>46056.39526928241</v>
      </c>
      <c r="B1817" s="5">
        <v>91555</v>
      </c>
      <c r="C1817" s="5">
        <v>45460351</v>
      </c>
      <c r="D1817" s="5" t="s">
        <v>8262</v>
      </c>
      <c r="F1817" s="5" t="s">
        <v>8263</v>
      </c>
      <c r="H1817" s="5">
        <v>573205493637</v>
      </c>
      <c r="J1817" s="5" t="s">
        <v>8264</v>
      </c>
      <c r="K1817" s="5" t="s">
        <v>185</v>
      </c>
      <c r="L1817" s="5" t="s">
        <v>8265</v>
      </c>
      <c r="M1817" s="5">
        <v>3106515854</v>
      </c>
      <c r="N1817" s="6">
        <v>46056</v>
      </c>
      <c r="O1817" s="7">
        <v>0.45833333333333331</v>
      </c>
      <c r="P1817" s="5">
        <v>1</v>
      </c>
      <c r="Q1817" s="5" t="s">
        <v>309</v>
      </c>
      <c r="R1817" s="5">
        <v>88000</v>
      </c>
      <c r="S1817" s="5">
        <v>0</v>
      </c>
      <c r="T1817" s="5">
        <v>8000</v>
      </c>
      <c r="U1817" s="5">
        <v>96000</v>
      </c>
      <c r="V1817" s="5" t="s">
        <v>8266</v>
      </c>
      <c r="W1817" s="5" t="s">
        <v>36</v>
      </c>
      <c r="X1817" s="5" t="s">
        <v>1481</v>
      </c>
      <c r="AA1817" s="5" t="s">
        <v>44</v>
      </c>
      <c r="AC1817" s="8" t="str">
        <f>HYPERLINK("https://drive.google.com/file/d/13HMK4FA79vVwERntn92m4KeW07xCl-Q3/view?usp=drivesdk", "Abrir_Factura")</f>
        <v>Abrir_Factura</v>
      </c>
      <c r="AD1817" s="9">
        <v>46056.397499999999</v>
      </c>
    </row>
    <row r="1818" spans="1:30" ht="12.5">
      <c r="A1818" s="4">
        <v>46056.382788136572</v>
      </c>
      <c r="B1818" s="5">
        <v>91556</v>
      </c>
      <c r="C1818" s="5">
        <v>1047490763</v>
      </c>
      <c r="D1818" s="5" t="s">
        <v>1692</v>
      </c>
      <c r="F1818" s="5" t="s">
        <v>2726</v>
      </c>
      <c r="H1818" s="5">
        <v>573043280854</v>
      </c>
      <c r="J1818" s="5" t="s">
        <v>8267</v>
      </c>
      <c r="K1818" s="5" t="s">
        <v>975</v>
      </c>
      <c r="L1818" s="5" t="s">
        <v>8268</v>
      </c>
      <c r="M1818" s="5">
        <v>3215679138</v>
      </c>
      <c r="N1818" s="6">
        <v>46056</v>
      </c>
      <c r="O1818" s="7">
        <v>0.45833333333333331</v>
      </c>
      <c r="P1818" s="5">
        <v>1</v>
      </c>
      <c r="Q1818" s="5" t="s">
        <v>75</v>
      </c>
      <c r="R1818" s="5">
        <v>80000</v>
      </c>
      <c r="S1818" s="5">
        <v>0</v>
      </c>
      <c r="T1818" s="5">
        <v>10000</v>
      </c>
      <c r="U1818" s="5">
        <v>90000</v>
      </c>
      <c r="V1818" s="5" t="s">
        <v>8269</v>
      </c>
      <c r="W1818" s="5" t="s">
        <v>36</v>
      </c>
      <c r="X1818" s="5" t="s">
        <v>180</v>
      </c>
      <c r="Z1818" s="5" t="s">
        <v>1692</v>
      </c>
      <c r="AA1818" s="5" t="s">
        <v>44</v>
      </c>
      <c r="AC1818" s="8" t="str">
        <f>HYPERLINK("https://drive.google.com/file/d/1r0hxoibFv0lia-0AgsSx8q2T1AyzKqrZ/view?usp=drivesdk", "Abrir_Factura")</f>
        <v>Abrir_Factura</v>
      </c>
      <c r="AD1818" s="9">
        <v>46056.400879629633</v>
      </c>
    </row>
    <row r="1819" spans="1:30" ht="12.5">
      <c r="A1819" s="4">
        <v>46055.685335891205</v>
      </c>
      <c r="B1819" s="5">
        <v>91557</v>
      </c>
      <c r="C1819" s="5">
        <v>1144210859</v>
      </c>
      <c r="D1819" s="5" t="s">
        <v>1349</v>
      </c>
      <c r="F1819" s="5" t="s">
        <v>3616</v>
      </c>
      <c r="H1819" s="5">
        <v>573104630926</v>
      </c>
      <c r="J1819" s="5" t="s">
        <v>6012</v>
      </c>
      <c r="K1819" s="5" t="s">
        <v>5089</v>
      </c>
      <c r="L1819" s="5" t="s">
        <v>8270</v>
      </c>
      <c r="M1819" s="5">
        <v>3002867136</v>
      </c>
      <c r="N1819" s="6">
        <v>46055</v>
      </c>
      <c r="O1819" s="7">
        <v>0.45833333333333331</v>
      </c>
      <c r="P1819" s="5">
        <v>1</v>
      </c>
      <c r="Q1819" s="5" t="s">
        <v>187</v>
      </c>
      <c r="R1819" s="5">
        <v>220000</v>
      </c>
      <c r="S1819" s="5">
        <v>0</v>
      </c>
      <c r="T1819" s="5">
        <v>25000</v>
      </c>
      <c r="U1819" s="5">
        <v>245000</v>
      </c>
      <c r="V1819" s="5" t="s">
        <v>8271</v>
      </c>
      <c r="W1819" s="5" t="s">
        <v>36</v>
      </c>
      <c r="X1819" s="5" t="s">
        <v>1481</v>
      </c>
      <c r="Z1819" s="5" t="s">
        <v>8272</v>
      </c>
      <c r="AA1819" s="5" t="s">
        <v>44</v>
      </c>
      <c r="AC1819" s="8" t="str">
        <f>HYPERLINK("https://drive.google.com/file/d/1wdVO6XJPU07J1jDPyPxnkwNAqBK4dNHD/view?usp=drivesdk", "Abrir_Factura")</f>
        <v>Abrir_Factura</v>
      </c>
      <c r="AD1819" s="9">
        <v>46056.418379629627</v>
      </c>
    </row>
    <row r="1820" spans="1:30" ht="12.5">
      <c r="A1820" s="4">
        <v>46056.417450532404</v>
      </c>
      <c r="B1820" s="5">
        <v>91558</v>
      </c>
      <c r="C1820" s="5">
        <v>1020728280</v>
      </c>
      <c r="D1820" s="5" t="s">
        <v>3494</v>
      </c>
      <c r="F1820" s="5" t="s">
        <v>8273</v>
      </c>
      <c r="H1820" s="5">
        <v>13054972673</v>
      </c>
      <c r="J1820" s="5" t="s">
        <v>8274</v>
      </c>
      <c r="K1820" s="5" t="s">
        <v>33</v>
      </c>
      <c r="L1820" s="5" t="s">
        <v>34</v>
      </c>
      <c r="M1820" s="5">
        <v>13054972673</v>
      </c>
      <c r="N1820" s="6">
        <v>46056</v>
      </c>
      <c r="O1820" s="7">
        <v>0.45833333333333331</v>
      </c>
      <c r="P1820" s="5">
        <v>1</v>
      </c>
      <c r="Q1820" s="5" t="s">
        <v>8275</v>
      </c>
      <c r="R1820" s="5">
        <v>190000</v>
      </c>
      <c r="S1820" s="5">
        <v>0</v>
      </c>
      <c r="T1820" s="5">
        <v>0</v>
      </c>
      <c r="U1820" s="5">
        <v>190000</v>
      </c>
      <c r="V1820" s="5" t="s">
        <v>8276</v>
      </c>
      <c r="W1820" s="5" t="s">
        <v>36</v>
      </c>
      <c r="X1820" s="5" t="s">
        <v>67</v>
      </c>
      <c r="Z1820" s="5" t="s">
        <v>8277</v>
      </c>
      <c r="AA1820" s="5" t="s">
        <v>44</v>
      </c>
      <c r="AB1820" s="5" t="s">
        <v>8278</v>
      </c>
      <c r="AC1820" s="8" t="str">
        <f>HYPERLINK("https://drive.google.com/file/d/1VStEc5MPHlawcfCWbI6ZkGla-Q9wCAmq/view?usp=drivesdk", "Abrir_Factura")</f>
        <v>Abrir_Factura</v>
      </c>
      <c r="AD1820" s="9">
        <v>46056.428101851852</v>
      </c>
    </row>
    <row r="1821" spans="1:30" ht="12.5">
      <c r="A1821" s="4">
        <v>46056.429719386579</v>
      </c>
      <c r="B1821" s="5">
        <v>91559</v>
      </c>
      <c r="C1821" s="5">
        <v>1004960334</v>
      </c>
      <c r="D1821" s="5" t="s">
        <v>8279</v>
      </c>
      <c r="F1821" s="5" t="s">
        <v>8280</v>
      </c>
      <c r="H1821" s="5">
        <v>573165753137</v>
      </c>
      <c r="J1821" s="5" t="s">
        <v>8281</v>
      </c>
      <c r="K1821" s="5" t="s">
        <v>110</v>
      </c>
      <c r="L1821" s="5" t="s">
        <v>8282</v>
      </c>
      <c r="M1821" s="5">
        <v>3004386022</v>
      </c>
      <c r="N1821" s="6">
        <v>46059</v>
      </c>
      <c r="O1821" s="7">
        <v>0</v>
      </c>
      <c r="P1821" s="5">
        <v>1</v>
      </c>
      <c r="Q1821" s="5" t="s">
        <v>375</v>
      </c>
      <c r="R1821" s="5">
        <v>80000</v>
      </c>
      <c r="S1821" s="5">
        <v>0</v>
      </c>
      <c r="T1821" s="5">
        <v>6000</v>
      </c>
      <c r="U1821" s="5">
        <v>86000</v>
      </c>
      <c r="V1821" s="5" t="s">
        <v>8283</v>
      </c>
      <c r="W1821" s="5" t="s">
        <v>36</v>
      </c>
      <c r="X1821" s="5" t="s">
        <v>180</v>
      </c>
      <c r="Z1821" s="5" t="s">
        <v>8284</v>
      </c>
      <c r="AA1821" s="5" t="s">
        <v>44</v>
      </c>
      <c r="AC1821" s="8" t="str">
        <f>HYPERLINK("https://drive.google.com/file/d/1UCM2HeeS2xO_cWAw4tb3k5QOtNtr1w2x/view?usp=drivesdk", "Abrir_Factura")</f>
        <v>Abrir_Factura</v>
      </c>
      <c r="AD1821" s="9">
        <v>46056.442453703705</v>
      </c>
    </row>
    <row r="1822" spans="1:30" ht="12.5">
      <c r="A1822" s="4">
        <v>46056.454065127313</v>
      </c>
      <c r="B1822" s="5">
        <v>91560</v>
      </c>
      <c r="C1822" s="5">
        <v>9014221828</v>
      </c>
      <c r="D1822" s="5" t="s">
        <v>8285</v>
      </c>
      <c r="F1822" s="5" t="s">
        <v>2159</v>
      </c>
      <c r="H1822" s="5">
        <v>573204899499</v>
      </c>
      <c r="J1822" s="5" t="s">
        <v>8286</v>
      </c>
      <c r="K1822" s="5" t="s">
        <v>73</v>
      </c>
      <c r="L1822" s="5" t="s">
        <v>8287</v>
      </c>
      <c r="M1822" s="5"/>
      <c r="N1822" s="6">
        <v>46056</v>
      </c>
      <c r="O1822" s="7">
        <v>0</v>
      </c>
      <c r="P1822" s="5">
        <v>1</v>
      </c>
      <c r="Q1822" s="5" t="s">
        <v>42</v>
      </c>
      <c r="R1822" s="5">
        <v>297500</v>
      </c>
      <c r="S1822" s="5">
        <v>0</v>
      </c>
      <c r="T1822" s="5">
        <v>8000</v>
      </c>
      <c r="U1822" s="5">
        <v>305500</v>
      </c>
      <c r="V1822" s="5" t="s">
        <v>8288</v>
      </c>
      <c r="W1822" s="5" t="s">
        <v>36</v>
      </c>
      <c r="X1822" s="5" t="s">
        <v>67</v>
      </c>
      <c r="AA1822" s="5" t="s">
        <v>69</v>
      </c>
      <c r="AB1822" s="5" t="s">
        <v>8289</v>
      </c>
      <c r="AC1822" s="8" t="str">
        <f>HYPERLINK("https://drive.google.com/file/d/15Xw5KiFhSeqdgMGSn8sxLSVtpkZ6-37J/view?usp=drivesdk", "Abrir_Factura")</f>
        <v>Abrir_Factura</v>
      </c>
      <c r="AD1822" s="9">
        <v>46056.455381944441</v>
      </c>
    </row>
    <row r="1823" spans="1:30" ht="16.5" customHeight="1">
      <c r="A1823" s="4">
        <v>46056.458584826389</v>
      </c>
      <c r="B1823" s="5">
        <v>91561</v>
      </c>
      <c r="C1823" s="5">
        <v>1140849973</v>
      </c>
      <c r="D1823" s="5" t="s">
        <v>8290</v>
      </c>
      <c r="F1823" s="5" t="s">
        <v>8291</v>
      </c>
      <c r="H1823" s="5">
        <v>573205787065</v>
      </c>
      <c r="J1823" s="5" t="s">
        <v>8292</v>
      </c>
      <c r="K1823" s="5" t="s">
        <v>161</v>
      </c>
      <c r="L1823" s="5" t="s">
        <v>8293</v>
      </c>
      <c r="M1823" s="5"/>
      <c r="N1823" s="6">
        <v>46056</v>
      </c>
      <c r="O1823" s="7">
        <v>0</v>
      </c>
      <c r="P1823" s="5">
        <v>1</v>
      </c>
      <c r="Q1823" s="5" t="s">
        <v>335</v>
      </c>
      <c r="R1823" s="5">
        <v>120000</v>
      </c>
      <c r="S1823" s="5">
        <v>0</v>
      </c>
      <c r="T1823" s="5">
        <v>8000</v>
      </c>
      <c r="U1823" s="5">
        <v>128000</v>
      </c>
      <c r="V1823" s="5" t="s">
        <v>8294</v>
      </c>
      <c r="W1823" s="5" t="s">
        <v>36</v>
      </c>
      <c r="X1823" s="5" t="s">
        <v>204</v>
      </c>
      <c r="AA1823" s="5" t="s">
        <v>44</v>
      </c>
      <c r="AC1823" s="8" t="str">
        <f>HYPERLINK("https://drive.google.com/file/d/1SxsPb7ICbz2lTUV_gaAM4O3_-99WCKeJ/view?usp=drivesdk", "Abrir_Factura")</f>
        <v>Abrir_Factura</v>
      </c>
      <c r="AD1823" s="9">
        <v>46056.463009259256</v>
      </c>
    </row>
    <row r="1824" spans="1:30" ht="12.5">
      <c r="A1824" s="4">
        <v>46056.467089201389</v>
      </c>
      <c r="B1824" s="5">
        <v>91562</v>
      </c>
      <c r="C1824" s="5">
        <v>22667998</v>
      </c>
      <c r="D1824" s="5" t="s">
        <v>2367</v>
      </c>
      <c r="F1824" s="5" t="s">
        <v>2622</v>
      </c>
      <c r="H1824" s="5">
        <v>17868203226</v>
      </c>
      <c r="J1824" s="5" t="s">
        <v>8295</v>
      </c>
      <c r="K1824" s="5" t="s">
        <v>103</v>
      </c>
      <c r="L1824" s="5" t="s">
        <v>8296</v>
      </c>
      <c r="M1824" s="5" t="s">
        <v>8297</v>
      </c>
      <c r="N1824" s="6">
        <v>46056</v>
      </c>
      <c r="O1824" s="7">
        <v>0.58333333333333337</v>
      </c>
      <c r="P1824" s="5">
        <v>1</v>
      </c>
      <c r="Q1824" s="5" t="s">
        <v>330</v>
      </c>
      <c r="R1824" s="5">
        <v>200000</v>
      </c>
      <c r="S1824" s="5">
        <v>0</v>
      </c>
      <c r="T1824" s="5">
        <v>10000</v>
      </c>
      <c r="U1824" s="5">
        <v>210000</v>
      </c>
      <c r="V1824" s="5" t="s">
        <v>8298</v>
      </c>
      <c r="W1824" s="5" t="s">
        <v>36</v>
      </c>
      <c r="X1824" s="5" t="s">
        <v>1937</v>
      </c>
      <c r="Z1824" s="5" t="s">
        <v>8299</v>
      </c>
      <c r="AA1824" s="5" t="s">
        <v>44</v>
      </c>
      <c r="AB1824" s="5" t="s">
        <v>8300</v>
      </c>
      <c r="AC1824" s="8" t="str">
        <f>HYPERLINK("https://drive.google.com/file/d/1cJMp39ZkCwfyOzzUPiOc5Eu6YJyPqt_c/view?usp=drivesdk", "Abrir_Factura")</f>
        <v>Abrir_Factura</v>
      </c>
      <c r="AD1824" s="9">
        <v>46056.486585648148</v>
      </c>
    </row>
    <row r="1825" spans="1:30" ht="12.5">
      <c r="A1825" s="4">
        <v>46056.49607429398</v>
      </c>
      <c r="B1825" s="5">
        <v>91563</v>
      </c>
      <c r="C1825" s="5">
        <v>883704</v>
      </c>
      <c r="D1825" s="5" t="s">
        <v>8301</v>
      </c>
      <c r="F1825" s="5" t="s">
        <v>3228</v>
      </c>
      <c r="H1825" s="5">
        <v>5717542692153</v>
      </c>
      <c r="J1825" s="5" t="s">
        <v>3229</v>
      </c>
      <c r="K1825" s="5" t="s">
        <v>161</v>
      </c>
      <c r="L1825" s="5" t="s">
        <v>8302</v>
      </c>
      <c r="M1825" s="5"/>
      <c r="N1825" s="6">
        <v>46056</v>
      </c>
      <c r="O1825" s="7">
        <v>0.58333333333333337</v>
      </c>
      <c r="P1825" s="5">
        <v>1</v>
      </c>
      <c r="Q1825" s="5" t="s">
        <v>8303</v>
      </c>
      <c r="R1825" s="5">
        <v>320000</v>
      </c>
      <c r="S1825" s="5">
        <v>0</v>
      </c>
      <c r="T1825" s="5">
        <v>8000</v>
      </c>
      <c r="U1825" s="5">
        <v>328000</v>
      </c>
      <c r="V1825" s="5"/>
      <c r="W1825" s="5" t="s">
        <v>36</v>
      </c>
      <c r="X1825" s="5" t="s">
        <v>1481</v>
      </c>
      <c r="AA1825" s="5" t="s">
        <v>44</v>
      </c>
      <c r="AC1825" s="8" t="str">
        <f>HYPERLINK("https://drive.google.com/file/d/1HlGyytD4OkxF__GKSmwh-PiRJYPZw14x/view?usp=drivesdk", "Abrir_Factura")</f>
        <v>Abrir_Factura</v>
      </c>
      <c r="AD1825" s="9">
        <v>46056.496724537035</v>
      </c>
    </row>
    <row r="1826" spans="1:30" ht="12.5">
      <c r="A1826" s="4">
        <v>46056.505131180558</v>
      </c>
      <c r="B1826" s="5">
        <v>91564</v>
      </c>
      <c r="C1826" s="5">
        <v>3158007393</v>
      </c>
      <c r="D1826" s="5" t="s">
        <v>8304</v>
      </c>
      <c r="F1826" s="5" t="s">
        <v>8305</v>
      </c>
      <c r="H1826" s="5">
        <v>573158007393</v>
      </c>
      <c r="J1826" s="5" t="s">
        <v>8306</v>
      </c>
      <c r="K1826" s="5"/>
      <c r="L1826" s="5" t="s">
        <v>8307</v>
      </c>
      <c r="M1826" s="5"/>
      <c r="N1826" s="6">
        <v>46056</v>
      </c>
      <c r="O1826" s="7">
        <v>0.625</v>
      </c>
      <c r="P1826" s="5">
        <v>1</v>
      </c>
      <c r="Q1826" s="5" t="s">
        <v>458</v>
      </c>
      <c r="R1826" s="5">
        <v>366000</v>
      </c>
      <c r="S1826" s="5">
        <v>0</v>
      </c>
      <c r="T1826" s="5"/>
      <c r="U1826" s="5">
        <v>366000</v>
      </c>
      <c r="V1826" s="5" t="s">
        <v>8308</v>
      </c>
      <c r="W1826" s="5" t="s">
        <v>36</v>
      </c>
      <c r="X1826" s="5" t="s">
        <v>67</v>
      </c>
      <c r="AA1826" s="5" t="s">
        <v>69</v>
      </c>
      <c r="AB1826" s="5" t="s">
        <v>8309</v>
      </c>
      <c r="AC1826" s="8" t="str">
        <f>HYPERLINK("https://drive.google.com/file/d/1Kj7iTWRo_Ibb__f38VeIXJdqwnfk5EdP/view?usp=drivesdk", "Abrir_Factura")</f>
        <v>Abrir_Factura</v>
      </c>
      <c r="AD1826" s="9">
        <v>46056.756226851852</v>
      </c>
    </row>
    <row r="1827" spans="1:30" ht="12.5">
      <c r="A1827" s="4">
        <v>46056.520042256947</v>
      </c>
      <c r="B1827" s="5">
        <v>91565</v>
      </c>
      <c r="C1827" s="5">
        <v>1001822182</v>
      </c>
      <c r="D1827" s="5" t="s">
        <v>84</v>
      </c>
      <c r="F1827" s="5" t="s">
        <v>8310</v>
      </c>
      <c r="H1827" s="5">
        <v>573008608059</v>
      </c>
      <c r="J1827" s="5" t="s">
        <v>72</v>
      </c>
      <c r="K1827" s="5" t="s">
        <v>110</v>
      </c>
      <c r="L1827" s="5" t="s">
        <v>74</v>
      </c>
      <c r="M1827" s="5">
        <v>3008608059</v>
      </c>
      <c r="N1827" s="6">
        <v>46056</v>
      </c>
      <c r="O1827" s="7">
        <v>0.625</v>
      </c>
      <c r="P1827" s="5">
        <v>1</v>
      </c>
      <c r="Q1827" s="5" t="s">
        <v>8311</v>
      </c>
      <c r="R1827" s="5">
        <v>95000</v>
      </c>
      <c r="S1827" s="5">
        <v>0</v>
      </c>
      <c r="T1827" s="5">
        <v>6000</v>
      </c>
      <c r="U1827" s="5">
        <v>101000</v>
      </c>
      <c r="V1827" s="5"/>
      <c r="W1827" s="5" t="s">
        <v>36</v>
      </c>
      <c r="X1827" s="5" t="s">
        <v>67</v>
      </c>
      <c r="Z1827" s="5" t="s">
        <v>8312</v>
      </c>
      <c r="AA1827" s="5" t="s">
        <v>44</v>
      </c>
      <c r="AB1827" s="5" t="s">
        <v>8313</v>
      </c>
      <c r="AC1827" s="8" t="str">
        <f>HYPERLINK("https://drive.google.com/file/d/1pQzYs8MhJylylWNL8BeuehjsPW0rByjJ/view?usp=drivesdk", "Abrir_Factura")</f>
        <v>Abrir_Factura</v>
      </c>
      <c r="AD1827" s="9">
        <v>46056.538761574076</v>
      </c>
    </row>
    <row r="1828" spans="1:30" ht="12.5">
      <c r="A1828" s="4">
        <v>46056.557036215279</v>
      </c>
      <c r="B1828" s="5">
        <v>91566</v>
      </c>
      <c r="C1828" s="5">
        <v>1140895033</v>
      </c>
      <c r="D1828" s="5" t="s">
        <v>84</v>
      </c>
      <c r="F1828" s="5" t="s">
        <v>8314</v>
      </c>
      <c r="H1828" s="5">
        <v>573116533390</v>
      </c>
      <c r="J1828" s="5" t="s">
        <v>8315</v>
      </c>
      <c r="K1828" s="5" t="s">
        <v>193</v>
      </c>
      <c r="L1828" s="5" t="s">
        <v>8316</v>
      </c>
      <c r="M1828" s="5">
        <v>3008895481</v>
      </c>
      <c r="N1828" s="6">
        <v>46058</v>
      </c>
      <c r="O1828" s="7">
        <v>0.375</v>
      </c>
      <c r="P1828" s="5">
        <v>1</v>
      </c>
      <c r="Q1828" s="5" t="s">
        <v>210</v>
      </c>
      <c r="R1828" s="5">
        <v>170000</v>
      </c>
      <c r="S1828" s="5">
        <v>0</v>
      </c>
      <c r="T1828" s="5">
        <v>15000</v>
      </c>
      <c r="U1828" s="5">
        <v>185000</v>
      </c>
      <c r="V1828" s="5" t="s">
        <v>8317</v>
      </c>
      <c r="W1828" s="5" t="s">
        <v>36</v>
      </c>
      <c r="X1828" s="5" t="s">
        <v>1937</v>
      </c>
      <c r="Z1828" s="5" t="s">
        <v>1674</v>
      </c>
      <c r="AA1828" s="5" t="s">
        <v>44</v>
      </c>
      <c r="AC1828" s="8" t="str">
        <f>HYPERLINK("https://drive.google.com/file/d/1qIsbeMFWkGITJ_-yooP1qw_-0n-3czAH/view?usp=drivesdk", "Abrir_Factura")</f>
        <v>Abrir_Factura</v>
      </c>
      <c r="AD1828" s="9">
        <v>46056.564722222225</v>
      </c>
    </row>
    <row r="1829" spans="1:30" ht="12.5">
      <c r="A1829" s="4">
        <v>46056.450063136574</v>
      </c>
      <c r="B1829" s="5">
        <v>91567</v>
      </c>
      <c r="C1829" s="5">
        <v>1033812878</v>
      </c>
      <c r="D1829" s="5" t="s">
        <v>8318</v>
      </c>
      <c r="F1829" s="5" t="s">
        <v>8319</v>
      </c>
      <c r="H1829" s="5">
        <v>573118769807</v>
      </c>
      <c r="J1829" s="5" t="s">
        <v>8320</v>
      </c>
      <c r="K1829" s="5"/>
      <c r="L1829" s="5" t="s">
        <v>8321</v>
      </c>
      <c r="M1829" s="5">
        <v>3208115095</v>
      </c>
      <c r="N1829" s="6">
        <v>46056</v>
      </c>
      <c r="O1829" s="7">
        <v>0</v>
      </c>
      <c r="P1829" s="5">
        <v>1</v>
      </c>
      <c r="Q1829" s="5" t="s">
        <v>2586</v>
      </c>
      <c r="R1829" s="5">
        <v>190000</v>
      </c>
      <c r="S1829" s="5">
        <v>0</v>
      </c>
      <c r="T1829" s="5"/>
      <c r="U1829" s="5">
        <v>190000</v>
      </c>
      <c r="V1829" s="5" t="s">
        <v>8322</v>
      </c>
      <c r="W1829" s="5" t="s">
        <v>36</v>
      </c>
      <c r="X1829" s="5" t="s">
        <v>67</v>
      </c>
      <c r="Z1829" s="5" t="s">
        <v>2080</v>
      </c>
      <c r="AA1829" s="5" t="s">
        <v>44</v>
      </c>
      <c r="AC1829" s="8" t="str">
        <f>HYPERLINK("https://drive.google.com/file/d/1jcY4pUnp4AKf_bws9L1XokI5CxWda4QZ/view?usp=drivesdk", "Abrir_Factura")</f>
        <v>Abrir_Factura</v>
      </c>
      <c r="AD1829" s="9">
        <v>46056.597303240742</v>
      </c>
    </row>
    <row r="1830" spans="1:30" ht="18" customHeight="1">
      <c r="A1830" s="4">
        <v>46056.597345590279</v>
      </c>
      <c r="B1830" s="5">
        <v>91568</v>
      </c>
      <c r="C1830" s="5">
        <v>1042458281</v>
      </c>
      <c r="D1830" s="5" t="s">
        <v>270</v>
      </c>
      <c r="F1830" s="5" t="s">
        <v>1264</v>
      </c>
      <c r="H1830" s="5">
        <v>573023903202</v>
      </c>
      <c r="J1830" s="5" t="s">
        <v>8323</v>
      </c>
      <c r="K1830" s="5" t="s">
        <v>1497</v>
      </c>
      <c r="L1830" s="5" t="s">
        <v>8324</v>
      </c>
      <c r="M1830" s="5" t="s">
        <v>8325</v>
      </c>
      <c r="N1830" s="6">
        <v>46066</v>
      </c>
      <c r="O1830" s="7">
        <v>0.70833333333333337</v>
      </c>
      <c r="P1830" s="5">
        <v>1</v>
      </c>
      <c r="Q1830" s="5" t="s">
        <v>8326</v>
      </c>
      <c r="R1830" s="5">
        <v>400000</v>
      </c>
      <c r="S1830" s="5">
        <v>0</v>
      </c>
      <c r="T1830" s="5">
        <v>12000</v>
      </c>
      <c r="U1830" s="5">
        <v>412000</v>
      </c>
      <c r="V1830" s="5" t="s">
        <v>8327</v>
      </c>
      <c r="W1830" s="5" t="s">
        <v>36</v>
      </c>
      <c r="X1830" s="5" t="s">
        <v>1481</v>
      </c>
      <c r="Z1830" s="5" t="s">
        <v>8328</v>
      </c>
      <c r="AA1830" s="5" t="s">
        <v>44</v>
      </c>
      <c r="AB1830" s="5" t="s">
        <v>8329</v>
      </c>
      <c r="AC1830" s="8" t="str">
        <f>HYPERLINK("https://drive.google.com/file/d/1RpEkZU1m1I4gEgX5prHz6nJRTnXyH3M3/view?usp=drivesdk", "Abrir_Factura")</f>
        <v>Abrir_Factura</v>
      </c>
      <c r="AD1830" s="9">
        <v>46056.600995370369</v>
      </c>
    </row>
    <row r="1831" spans="1:30" ht="12.5">
      <c r="A1831" s="4">
        <v>46056.608812939812</v>
      </c>
      <c r="B1831" s="5">
        <v>91569</v>
      </c>
      <c r="C1831" s="5">
        <v>1140888540</v>
      </c>
      <c r="D1831" s="5" t="s">
        <v>2571</v>
      </c>
      <c r="F1831" s="5" t="s">
        <v>8330</v>
      </c>
      <c r="H1831" s="5">
        <v>573145955628</v>
      </c>
      <c r="J1831" s="5" t="s">
        <v>8331</v>
      </c>
      <c r="K1831" s="5" t="s">
        <v>33</v>
      </c>
      <c r="L1831" s="5" t="s">
        <v>34</v>
      </c>
      <c r="M1831" s="5">
        <v>3145955628</v>
      </c>
      <c r="N1831" s="6">
        <v>46056</v>
      </c>
      <c r="O1831" s="7">
        <v>0</v>
      </c>
      <c r="P1831" s="5">
        <v>1</v>
      </c>
      <c r="Q1831" s="5" t="s">
        <v>57</v>
      </c>
      <c r="R1831" s="5">
        <v>120000</v>
      </c>
      <c r="S1831" s="5">
        <v>0</v>
      </c>
      <c r="T1831" s="5">
        <v>0</v>
      </c>
      <c r="U1831" s="5">
        <v>120000</v>
      </c>
      <c r="V1831" s="5"/>
      <c r="W1831" s="5" t="s">
        <v>36</v>
      </c>
      <c r="X1831" s="5" t="s">
        <v>37</v>
      </c>
      <c r="AA1831" s="5" t="s">
        <v>37</v>
      </c>
      <c r="AB1831" s="5" t="s">
        <v>8332</v>
      </c>
      <c r="AC1831" s="8" t="str">
        <f>HYPERLINK("https://drive.google.com/file/d/1CxrTbyduJMWQgzXpgIvZiOOjd1G-lxRg/view?usp=drivesdk", "Abrir_Factura")</f>
        <v>Abrir_Factura</v>
      </c>
      <c r="AD1831" s="9">
        <v>46056.609594907408</v>
      </c>
    </row>
    <row r="1832" spans="1:30" ht="12.5">
      <c r="A1832" s="4">
        <v>46056.619846006943</v>
      </c>
      <c r="B1832" s="5">
        <v>91570</v>
      </c>
      <c r="C1832" s="5">
        <v>1140831392</v>
      </c>
      <c r="D1832" s="5" t="s">
        <v>2095</v>
      </c>
      <c r="F1832" s="5" t="s">
        <v>2362</v>
      </c>
      <c r="H1832" s="5">
        <v>573156837670</v>
      </c>
      <c r="J1832" s="5" t="s">
        <v>8333</v>
      </c>
      <c r="K1832" s="5" t="s">
        <v>103</v>
      </c>
      <c r="L1832" s="5" t="s">
        <v>8334</v>
      </c>
      <c r="M1832" s="5"/>
      <c r="N1832" s="6">
        <v>46056</v>
      </c>
      <c r="O1832" s="7">
        <v>0.625</v>
      </c>
      <c r="P1832" s="5">
        <v>1</v>
      </c>
      <c r="Q1832" s="5" t="s">
        <v>866</v>
      </c>
      <c r="R1832" s="5">
        <v>310000</v>
      </c>
      <c r="S1832" s="5">
        <v>0</v>
      </c>
      <c r="T1832" s="5">
        <v>10000</v>
      </c>
      <c r="U1832" s="5">
        <v>320000</v>
      </c>
      <c r="V1832" s="5" t="s">
        <v>8335</v>
      </c>
      <c r="W1832" s="5" t="s">
        <v>36</v>
      </c>
      <c r="X1832" s="5" t="s">
        <v>67</v>
      </c>
      <c r="Z1832" s="5" t="s">
        <v>8336</v>
      </c>
      <c r="AA1832" s="5" t="s">
        <v>44</v>
      </c>
      <c r="AC1832" s="8" t="str">
        <f>HYPERLINK("https://drive.google.com/file/d/1RZti0kIgyMW5euAeR1nyyL48UKo1yb2U/view?usp=drivesdk", "Abrir_Factura")</f>
        <v>Abrir_Factura</v>
      </c>
      <c r="AD1832" s="9">
        <v>46056.630659722221</v>
      </c>
    </row>
    <row r="1833" spans="1:30" ht="12.5">
      <c r="A1833" s="4">
        <v>46057.629641203705</v>
      </c>
      <c r="B1833" s="5">
        <v>91571</v>
      </c>
      <c r="C1833" s="5">
        <v>1143148733</v>
      </c>
      <c r="D1833" s="5" t="s">
        <v>3075</v>
      </c>
      <c r="F1833" s="5" t="s">
        <v>8337</v>
      </c>
      <c r="H1833" s="5">
        <v>573002309814</v>
      </c>
      <c r="J1833" s="5" t="s">
        <v>8338</v>
      </c>
      <c r="K1833" s="5" t="s">
        <v>185</v>
      </c>
      <c r="L1833" s="5" t="s">
        <v>8339</v>
      </c>
      <c r="M1833" s="5" t="s">
        <v>25421</v>
      </c>
      <c r="N1833" s="6">
        <v>46057</v>
      </c>
      <c r="O1833" s="7">
        <v>0.375</v>
      </c>
      <c r="P1833" s="5">
        <v>1</v>
      </c>
      <c r="Q1833" s="5" t="s">
        <v>178</v>
      </c>
      <c r="R1833" s="5">
        <v>80000</v>
      </c>
      <c r="S1833" s="5">
        <v>0</v>
      </c>
      <c r="T1833" s="5">
        <v>8000</v>
      </c>
      <c r="U1833" s="5">
        <v>88000</v>
      </c>
      <c r="V1833" s="5" t="s">
        <v>8340</v>
      </c>
      <c r="W1833" s="5" t="s">
        <v>36</v>
      </c>
      <c r="X1833" s="5" t="s">
        <v>67</v>
      </c>
      <c r="Z1833" s="5" t="s">
        <v>8341</v>
      </c>
      <c r="AA1833" s="5" t="s">
        <v>44</v>
      </c>
      <c r="AB1833" s="5" t="s">
        <v>8342</v>
      </c>
      <c r="AC1833" s="8" t="str">
        <f>HYPERLINK("https://drive.google.com/file/d/1KxLKbTTl0Z8aHSeftIA6MZIF4bSphXHL/view?usp=drivesdk", "Abrir_Factura")</f>
        <v>Abrir_Factura</v>
      </c>
      <c r="AD1833" s="9">
        <v>46057.701770833337</v>
      </c>
    </row>
    <row r="1834" spans="1:30" ht="12.5">
      <c r="A1834" s="4">
        <v>46056.633812326385</v>
      </c>
      <c r="B1834" s="5">
        <v>91572</v>
      </c>
      <c r="C1834" s="5">
        <v>37819854</v>
      </c>
      <c r="D1834" s="5" t="s">
        <v>8343</v>
      </c>
      <c r="F1834" s="5" t="s">
        <v>8344</v>
      </c>
      <c r="H1834" s="5">
        <v>573156837670</v>
      </c>
      <c r="J1834" s="5" t="s">
        <v>8345</v>
      </c>
      <c r="K1834" s="5" t="s">
        <v>103</v>
      </c>
      <c r="L1834" s="5" t="s">
        <v>8346</v>
      </c>
      <c r="M1834" s="5">
        <v>3156837670</v>
      </c>
      <c r="N1834" s="6">
        <v>46056</v>
      </c>
      <c r="O1834" s="7">
        <v>0.6875</v>
      </c>
      <c r="P1834" s="5">
        <v>1</v>
      </c>
      <c r="Q1834" s="5" t="s">
        <v>8347</v>
      </c>
      <c r="R1834" s="5">
        <v>350000</v>
      </c>
      <c r="S1834" s="5">
        <v>0</v>
      </c>
      <c r="T1834" s="5">
        <v>10000</v>
      </c>
      <c r="U1834" s="5">
        <v>360000</v>
      </c>
      <c r="V1834" s="5" t="s">
        <v>8348</v>
      </c>
      <c r="W1834" s="5" t="s">
        <v>36</v>
      </c>
      <c r="X1834" s="5" t="s">
        <v>1481</v>
      </c>
      <c r="Z1834" s="5" t="s">
        <v>8349</v>
      </c>
      <c r="AA1834" s="5" t="s">
        <v>44</v>
      </c>
      <c r="AC1834" s="8" t="str">
        <f>HYPERLINK("https://drive.google.com/file/d/1yOuk_cTF2KrdIHGcEZYvtX-LGaD7qLNG/view?usp=drivesdk", "Abrir_Factura")</f>
        <v>Abrir_Factura</v>
      </c>
      <c r="AD1834" s="9">
        <v>46056.640648148146</v>
      </c>
    </row>
    <row r="1835" spans="1:30" ht="12.5">
      <c r="A1835" s="4">
        <v>46056.656033090279</v>
      </c>
      <c r="B1835" s="5">
        <v>91573</v>
      </c>
      <c r="C1835" s="5">
        <v>1140861068</v>
      </c>
      <c r="D1835" s="5" t="s">
        <v>8350</v>
      </c>
      <c r="F1835" s="5" t="s">
        <v>1540</v>
      </c>
      <c r="H1835" s="5">
        <v>573057726638</v>
      </c>
      <c r="J1835" s="5" t="s">
        <v>8351</v>
      </c>
      <c r="K1835" s="5" t="s">
        <v>33</v>
      </c>
      <c r="L1835" s="5" t="s">
        <v>34</v>
      </c>
      <c r="M1835" s="5"/>
      <c r="N1835" s="6">
        <v>46057</v>
      </c>
      <c r="O1835" s="7">
        <v>0.58333333333333337</v>
      </c>
      <c r="P1835" s="5">
        <v>1</v>
      </c>
      <c r="Q1835" s="5" t="s">
        <v>156</v>
      </c>
      <c r="R1835" s="5">
        <v>80000</v>
      </c>
      <c r="S1835" s="5">
        <v>0</v>
      </c>
      <c r="T1835" s="5">
        <v>0</v>
      </c>
      <c r="U1835" s="5">
        <v>80000</v>
      </c>
      <c r="V1835" s="5" t="s">
        <v>8352</v>
      </c>
      <c r="W1835" s="5" t="s">
        <v>36</v>
      </c>
      <c r="X1835" s="5" t="s">
        <v>1705</v>
      </c>
      <c r="AA1835" s="5" t="s">
        <v>1717</v>
      </c>
      <c r="AC1835" s="8" t="str">
        <f>HYPERLINK("https://drive.google.com/file/d/1cWXA9Wp1jR4OXfGJ9dojgm_KmqEfiT1P/view?usp=drivesdk", "Abrir_Factura")</f>
        <v>Abrir_Factura</v>
      </c>
      <c r="AD1835" s="9">
        <v>46056.656643518516</v>
      </c>
    </row>
    <row r="1836" spans="1:30" ht="12.5">
      <c r="A1836" s="4">
        <v>46056.657563506946</v>
      </c>
      <c r="B1836" s="5">
        <v>91574</v>
      </c>
      <c r="C1836" s="5">
        <v>1020799984</v>
      </c>
      <c r="D1836" s="5" t="s">
        <v>1555</v>
      </c>
      <c r="F1836" s="5" t="s">
        <v>510</v>
      </c>
      <c r="H1836" s="5">
        <v>573102887371</v>
      </c>
      <c r="J1836" s="5" t="s">
        <v>1222</v>
      </c>
      <c r="K1836" s="5" t="s">
        <v>63</v>
      </c>
      <c r="L1836" s="5" t="s">
        <v>8353</v>
      </c>
      <c r="M1836" s="5">
        <v>3005798827</v>
      </c>
      <c r="N1836" s="6">
        <v>46056</v>
      </c>
      <c r="O1836" s="7">
        <v>0.75</v>
      </c>
      <c r="P1836" s="5">
        <v>1</v>
      </c>
      <c r="Q1836" s="5" t="s">
        <v>8354</v>
      </c>
      <c r="R1836" s="5">
        <v>240000</v>
      </c>
      <c r="S1836" s="5">
        <v>0</v>
      </c>
      <c r="T1836" s="5">
        <v>17000</v>
      </c>
      <c r="U1836" s="5">
        <v>257000</v>
      </c>
      <c r="V1836" s="5" t="s">
        <v>8355</v>
      </c>
      <c r="W1836" s="5" t="s">
        <v>36</v>
      </c>
      <c r="X1836" s="5" t="s">
        <v>1481</v>
      </c>
      <c r="Z1836" s="5" t="s">
        <v>8356</v>
      </c>
      <c r="AA1836" s="5" t="s">
        <v>44</v>
      </c>
      <c r="AC1836" s="8" t="str">
        <f>HYPERLINK("https://drive.google.com/file/d/1025wsd-j1zsGmWuUcyGBVfWusvWu0Xbo/view?usp=drivesdk", "Abrir_Factura")</f>
        <v>Abrir_Factura</v>
      </c>
      <c r="AD1836" s="9">
        <v>46056.673368055555</v>
      </c>
    </row>
    <row r="1837" spans="1:30" ht="12.5">
      <c r="A1837" s="4">
        <v>46056.682940509258</v>
      </c>
      <c r="B1837" s="5">
        <v>91575</v>
      </c>
      <c r="C1837" s="5">
        <v>22669679</v>
      </c>
      <c r="D1837" s="5" t="s">
        <v>8357</v>
      </c>
      <c r="F1837" s="5" t="s">
        <v>8358</v>
      </c>
      <c r="H1837" s="5">
        <v>5700000</v>
      </c>
      <c r="J1837" s="5" t="s">
        <v>8359</v>
      </c>
      <c r="K1837" s="5" t="s">
        <v>33</v>
      </c>
      <c r="L1837" s="5" t="s">
        <v>34</v>
      </c>
      <c r="M1837" s="5">
        <v>0</v>
      </c>
      <c r="N1837" s="6">
        <v>46056</v>
      </c>
      <c r="O1837" s="7">
        <v>0</v>
      </c>
      <c r="P1837" s="5">
        <v>1</v>
      </c>
      <c r="Q1837" s="5" t="s">
        <v>42</v>
      </c>
      <c r="R1837" s="5">
        <v>100000</v>
      </c>
      <c r="S1837" s="5">
        <v>0</v>
      </c>
      <c r="T1837" s="5">
        <v>0</v>
      </c>
      <c r="U1837" s="5">
        <v>100000</v>
      </c>
      <c r="V1837" s="5"/>
      <c r="W1837" s="5" t="s">
        <v>36</v>
      </c>
      <c r="X1837" s="5" t="s">
        <v>1481</v>
      </c>
      <c r="AA1837" s="5" t="s">
        <v>44</v>
      </c>
      <c r="AB1837" s="5" t="s">
        <v>525</v>
      </c>
      <c r="AC1837" s="8" t="str">
        <f>HYPERLINK("https://drive.google.com/file/d/1LBpjYE3WpyfCsa57Xd9drQ4A9EGT22fc/view?usp=drivesdk", "Abrir_Factura")</f>
        <v>Abrir_Factura</v>
      </c>
      <c r="AD1837" s="9">
        <v>46056.68378472222</v>
      </c>
    </row>
    <row r="1838" spans="1:30" ht="12.5">
      <c r="A1838" s="4">
        <v>46056.686054120371</v>
      </c>
      <c r="B1838" s="5">
        <v>91576</v>
      </c>
      <c r="C1838" s="5">
        <v>1042241189</v>
      </c>
      <c r="D1838" s="5" t="s">
        <v>876</v>
      </c>
      <c r="F1838" s="5" t="s">
        <v>8360</v>
      </c>
      <c r="H1838" s="5">
        <v>573243155523</v>
      </c>
      <c r="J1838" s="5" t="s">
        <v>8361</v>
      </c>
      <c r="K1838" s="5" t="s">
        <v>7476</v>
      </c>
      <c r="L1838" s="5" t="s">
        <v>8362</v>
      </c>
      <c r="M1838" s="5">
        <v>3243155523</v>
      </c>
      <c r="N1838" s="6">
        <v>46059</v>
      </c>
      <c r="O1838" s="7">
        <v>0.375</v>
      </c>
      <c r="P1838" s="5">
        <v>1</v>
      </c>
      <c r="Q1838" s="5" t="s">
        <v>375</v>
      </c>
      <c r="R1838" s="5">
        <v>80000</v>
      </c>
      <c r="S1838" s="5">
        <v>0</v>
      </c>
      <c r="T1838" s="5">
        <v>15000</v>
      </c>
      <c r="U1838" s="5">
        <v>95000</v>
      </c>
      <c r="V1838" s="5" t="s">
        <v>8363</v>
      </c>
      <c r="W1838" s="5" t="s">
        <v>36</v>
      </c>
      <c r="X1838" s="5" t="s">
        <v>1481</v>
      </c>
      <c r="Z1838" s="5" t="s">
        <v>8364</v>
      </c>
      <c r="AA1838" s="5" t="s">
        <v>69</v>
      </c>
      <c r="AC1838" s="8" t="str">
        <f>HYPERLINK("https://drive.google.com/file/d/1yYuneDlUHSP8u6JyqEidyIUpZ1SRFXBB/view?usp=drivesdk", "Abrir_Factura")</f>
        <v>Abrir_Factura</v>
      </c>
      <c r="AD1838" s="9">
        <v>46056.688854166663</v>
      </c>
    </row>
    <row r="1839" spans="1:30" ht="12.5">
      <c r="A1839" s="4">
        <v>46056.712657245371</v>
      </c>
      <c r="B1839" s="5">
        <v>91577</v>
      </c>
      <c r="C1839" s="5">
        <v>1082833240</v>
      </c>
      <c r="D1839" s="5" t="s">
        <v>5182</v>
      </c>
      <c r="F1839" s="5" t="s">
        <v>8365</v>
      </c>
      <c r="H1839" s="5">
        <v>573238130953</v>
      </c>
      <c r="J1839" s="5" t="s">
        <v>8366</v>
      </c>
      <c r="K1839" s="5" t="s">
        <v>33</v>
      </c>
      <c r="L1839" s="5" t="s">
        <v>34</v>
      </c>
      <c r="M1839" s="5">
        <v>3238130953</v>
      </c>
      <c r="N1839" s="6">
        <v>46056</v>
      </c>
      <c r="O1839" s="7">
        <v>0</v>
      </c>
      <c r="P1839" s="5">
        <v>1</v>
      </c>
      <c r="Q1839" s="5" t="s">
        <v>42</v>
      </c>
      <c r="R1839" s="5">
        <v>100000</v>
      </c>
      <c r="S1839" s="5">
        <v>0</v>
      </c>
      <c r="T1839" s="5">
        <v>0</v>
      </c>
      <c r="U1839" s="5">
        <v>100000</v>
      </c>
      <c r="V1839" s="5"/>
      <c r="W1839" s="5" t="s">
        <v>36</v>
      </c>
      <c r="X1839" s="5" t="s">
        <v>196</v>
      </c>
      <c r="AA1839" s="5" t="s">
        <v>1717</v>
      </c>
      <c r="AC1839" s="8" t="str">
        <f>HYPERLINK("https://drive.google.com/file/d/1oV045koEVECpyykOA92fJPEMTO2kD-E_/view?usp=drivesdk", "Abrir_Factura")</f>
        <v>Abrir_Factura</v>
      </c>
      <c r="AD1839" s="9">
        <v>46056.761516203704</v>
      </c>
    </row>
    <row r="1840" spans="1:30" ht="12.5">
      <c r="A1840" s="4">
        <v>46056.652306331016</v>
      </c>
      <c r="B1840" s="5">
        <v>91578</v>
      </c>
      <c r="C1840" s="5">
        <v>52807419</v>
      </c>
      <c r="D1840" s="5" t="s">
        <v>8367</v>
      </c>
      <c r="F1840" s="5" t="s">
        <v>93</v>
      </c>
      <c r="H1840" s="5">
        <v>34659775024</v>
      </c>
      <c r="J1840" s="5" t="s">
        <v>8368</v>
      </c>
      <c r="K1840" s="5" t="s">
        <v>63</v>
      </c>
      <c r="L1840" s="5" t="s">
        <v>8369</v>
      </c>
      <c r="M1840" s="5">
        <v>3214360584</v>
      </c>
      <c r="N1840" s="6">
        <v>46058</v>
      </c>
      <c r="O1840" s="7">
        <v>0.375</v>
      </c>
      <c r="P1840" s="5">
        <v>1</v>
      </c>
      <c r="Q1840" s="5" t="s">
        <v>8370</v>
      </c>
      <c r="R1840" s="5">
        <v>415000</v>
      </c>
      <c r="S1840" s="5">
        <v>0</v>
      </c>
      <c r="T1840" s="5">
        <v>17000</v>
      </c>
      <c r="U1840" s="5">
        <v>432000</v>
      </c>
      <c r="V1840" s="5" t="s">
        <v>8371</v>
      </c>
      <c r="W1840" s="5" t="s">
        <v>36</v>
      </c>
      <c r="X1840" s="5" t="s">
        <v>180</v>
      </c>
      <c r="Z1840" s="5" t="s">
        <v>8372</v>
      </c>
      <c r="AA1840" s="5" t="s">
        <v>69</v>
      </c>
      <c r="AB1840" s="5" t="s">
        <v>8373</v>
      </c>
      <c r="AC1840" s="8" t="str">
        <f>HYPERLINK("https://drive.google.com/file/d/1kj_uRBZYQcO3Perc3z0NyYMsPclT5vdj/view?usp=drivesdk", "Abrir_Factura")</f>
        <v>Abrir_Factura</v>
      </c>
      <c r="AD1840" s="9">
        <v>46056.718842592592</v>
      </c>
    </row>
    <row r="1841" spans="1:30" ht="12.5">
      <c r="A1841" s="4">
        <v>46056.71791313657</v>
      </c>
      <c r="B1841" s="5">
        <v>91579</v>
      </c>
      <c r="C1841" s="5">
        <v>900916475</v>
      </c>
      <c r="D1841" s="5" t="s">
        <v>4674</v>
      </c>
      <c r="F1841" s="5" t="s">
        <v>5758</v>
      </c>
      <c r="H1841" s="5">
        <v>573002627762</v>
      </c>
      <c r="J1841" s="5" t="s">
        <v>4674</v>
      </c>
      <c r="K1841" s="5" t="s">
        <v>33</v>
      </c>
      <c r="L1841" s="5" t="s">
        <v>34</v>
      </c>
      <c r="M1841" s="5">
        <v>3002627762</v>
      </c>
      <c r="N1841" s="6">
        <v>46056</v>
      </c>
      <c r="O1841" s="7">
        <v>0</v>
      </c>
      <c r="P1841" s="5">
        <v>1</v>
      </c>
      <c r="Q1841" s="5" t="s">
        <v>42</v>
      </c>
      <c r="R1841" s="5">
        <v>214200</v>
      </c>
      <c r="S1841" s="5">
        <v>0</v>
      </c>
      <c r="T1841" s="5">
        <v>0</v>
      </c>
      <c r="U1841" s="5">
        <v>214200</v>
      </c>
      <c r="V1841" s="5"/>
      <c r="W1841" s="5" t="s">
        <v>36</v>
      </c>
      <c r="X1841" s="5" t="s">
        <v>43</v>
      </c>
      <c r="AA1841" s="5" t="s">
        <v>44</v>
      </c>
      <c r="AB1841" s="5" t="s">
        <v>8374</v>
      </c>
      <c r="AC1841" s="8" t="str">
        <f>HYPERLINK("https://drive.google.com/file/d/1nffR-4Q1jKq4q-Jc6ZQEWpBkFK4ognHQ/view?usp=drivesdk", "Abrir_Factura")</f>
        <v>Abrir_Factura</v>
      </c>
      <c r="AD1841" s="9">
        <v>46056.72</v>
      </c>
    </row>
    <row r="1842" spans="1:30" ht="12.5">
      <c r="A1842" s="4">
        <v>46056.650882152782</v>
      </c>
      <c r="B1842" s="5">
        <v>91580</v>
      </c>
      <c r="C1842" s="5">
        <v>1044211917</v>
      </c>
      <c r="D1842" s="5" t="s">
        <v>3450</v>
      </c>
      <c r="F1842" s="5" t="s">
        <v>1628</v>
      </c>
      <c r="H1842" s="5">
        <v>573106562073</v>
      </c>
      <c r="J1842" s="5" t="s">
        <v>8375</v>
      </c>
      <c r="K1842" s="5" t="s">
        <v>351</v>
      </c>
      <c r="L1842" s="5" t="s">
        <v>8376</v>
      </c>
      <c r="M1842" s="5">
        <v>6053003130</v>
      </c>
      <c r="N1842" s="6">
        <v>46056</v>
      </c>
      <c r="O1842" s="7">
        <v>0.70833333333333337</v>
      </c>
      <c r="P1842" s="5">
        <v>1</v>
      </c>
      <c r="Q1842" s="5" t="s">
        <v>8377</v>
      </c>
      <c r="R1842" s="5">
        <v>80000</v>
      </c>
      <c r="S1842" s="5">
        <v>0</v>
      </c>
      <c r="T1842" s="5">
        <v>12000</v>
      </c>
      <c r="U1842" s="5">
        <v>92000</v>
      </c>
      <c r="V1842" s="5" t="s">
        <v>8378</v>
      </c>
      <c r="W1842" s="5" t="s">
        <v>36</v>
      </c>
      <c r="X1842" s="5" t="s">
        <v>1481</v>
      </c>
      <c r="Z1842" s="5" t="s">
        <v>8379</v>
      </c>
      <c r="AA1842" s="5" t="s">
        <v>44</v>
      </c>
      <c r="AC1842" s="8" t="str">
        <f>HYPERLINK("https://drive.google.com/file/d/1FMvK1VZUQNOsbLvCUncd9wQ6hXjGieCO/view?usp=drivesdk", "Abrir_Factura")</f>
        <v>Abrir_Factura</v>
      </c>
      <c r="AD1842" s="9">
        <v>46056.726284722223</v>
      </c>
    </row>
    <row r="1843" spans="1:30" ht="12.5">
      <c r="A1843" s="4">
        <v>46056.762318715279</v>
      </c>
      <c r="B1843" s="5">
        <v>91581</v>
      </c>
      <c r="C1843" s="5">
        <v>0</v>
      </c>
      <c r="D1843" s="5" t="s">
        <v>8380</v>
      </c>
      <c r="F1843" s="5" t="s">
        <v>1865</v>
      </c>
      <c r="H1843" s="5">
        <v>570000</v>
      </c>
      <c r="J1843" s="5" t="s">
        <v>8381</v>
      </c>
      <c r="K1843" s="5" t="s">
        <v>33</v>
      </c>
      <c r="L1843" s="5" t="s">
        <v>34</v>
      </c>
      <c r="M1843" s="5">
        <v>0</v>
      </c>
      <c r="N1843" s="6">
        <v>46056</v>
      </c>
      <c r="O1843" s="7">
        <v>0</v>
      </c>
      <c r="P1843" s="5">
        <v>1</v>
      </c>
      <c r="Q1843" s="5" t="s">
        <v>42</v>
      </c>
      <c r="R1843" s="5">
        <v>15000</v>
      </c>
      <c r="S1843" s="5">
        <v>0</v>
      </c>
      <c r="T1843" s="5">
        <v>0</v>
      </c>
      <c r="U1843" s="5">
        <v>15000</v>
      </c>
      <c r="V1843" s="5"/>
      <c r="W1843" s="5" t="s">
        <v>36</v>
      </c>
      <c r="X1843" s="5" t="s">
        <v>196</v>
      </c>
      <c r="AA1843" s="5" t="s">
        <v>1717</v>
      </c>
      <c r="AC1843" s="8" t="str">
        <f>HYPERLINK("https://drive.google.com/file/d/1-QTxKJB_o_JFMh8K0D1iXhh9h6Ln1Ba3/view?usp=drivesdk", "Abrir_Factura")</f>
        <v>Abrir_Factura</v>
      </c>
      <c r="AD1843" s="9">
        <v>46056.76457175926</v>
      </c>
    </row>
    <row r="1844" spans="1:30" ht="12.5">
      <c r="A1844" s="4">
        <v>46057.362531006947</v>
      </c>
      <c r="B1844" s="5">
        <v>91582</v>
      </c>
      <c r="C1844" s="5">
        <v>1045703254</v>
      </c>
      <c r="D1844" s="5" t="s">
        <v>5875</v>
      </c>
      <c r="F1844" s="5" t="s">
        <v>8382</v>
      </c>
      <c r="H1844" s="5">
        <v>573116881566</v>
      </c>
      <c r="J1844" s="5" t="s">
        <v>8383</v>
      </c>
      <c r="K1844" s="5" t="s">
        <v>154</v>
      </c>
      <c r="L1844" s="5" t="s">
        <v>8384</v>
      </c>
      <c r="M1844" s="5" t="s">
        <v>8385</v>
      </c>
      <c r="N1844" s="6">
        <v>46057</v>
      </c>
      <c r="O1844" s="7">
        <v>0</v>
      </c>
      <c r="P1844" s="5">
        <v>1</v>
      </c>
      <c r="Q1844" s="5" t="s">
        <v>42</v>
      </c>
      <c r="R1844" s="5">
        <v>96000</v>
      </c>
      <c r="S1844" s="5">
        <v>0</v>
      </c>
      <c r="T1844" s="5">
        <v>8000</v>
      </c>
      <c r="U1844" s="5">
        <v>104000</v>
      </c>
      <c r="V1844" s="5"/>
      <c r="W1844" s="5" t="s">
        <v>36</v>
      </c>
      <c r="X1844" s="5" t="s">
        <v>1481</v>
      </c>
      <c r="AA1844" s="5" t="s">
        <v>44</v>
      </c>
      <c r="AB1844" s="5" t="s">
        <v>8386</v>
      </c>
      <c r="AC1844" s="8" t="str">
        <f>HYPERLINK("https://drive.google.com/file/d/1pUjx1-lkL--2xlwC3031TWKLZxU1lMVV/view?usp=drivesdk", "Abrir_Factura")</f>
        <v>Abrir_Factura</v>
      </c>
      <c r="AD1844" s="9">
        <v>46057.363576388889</v>
      </c>
    </row>
    <row r="1845" spans="1:30" ht="12.5">
      <c r="A1845" s="4">
        <v>46057.384848125002</v>
      </c>
      <c r="B1845" s="5">
        <v>91583</v>
      </c>
      <c r="C1845" s="5">
        <v>8642810</v>
      </c>
      <c r="D1845" s="5" t="s">
        <v>8387</v>
      </c>
      <c r="F1845" s="5" t="s">
        <v>8388</v>
      </c>
      <c r="H1845" s="5">
        <v>573165244074</v>
      </c>
      <c r="J1845" s="5" t="s">
        <v>8389</v>
      </c>
      <c r="K1845" s="5" t="s">
        <v>185</v>
      </c>
      <c r="L1845" s="5" t="s">
        <v>8390</v>
      </c>
      <c r="M1845" s="5">
        <v>3186811593</v>
      </c>
      <c r="N1845" s="6">
        <v>46057</v>
      </c>
      <c r="O1845" s="7">
        <v>0.41666666666666669</v>
      </c>
      <c r="P1845" s="5">
        <v>1</v>
      </c>
      <c r="Q1845" s="5" t="s">
        <v>866</v>
      </c>
      <c r="R1845" s="5">
        <v>310000</v>
      </c>
      <c r="S1845" s="5">
        <v>0</v>
      </c>
      <c r="T1845" s="5">
        <v>8000</v>
      </c>
      <c r="U1845" s="5">
        <v>318000</v>
      </c>
      <c r="V1845" s="5" t="s">
        <v>8391</v>
      </c>
      <c r="W1845" s="5" t="s">
        <v>36</v>
      </c>
      <c r="X1845" s="5" t="s">
        <v>1481</v>
      </c>
      <c r="Z1845" s="5" t="s">
        <v>8392</v>
      </c>
      <c r="AA1845" s="5" t="s">
        <v>44</v>
      </c>
      <c r="AC1845" s="8" t="str">
        <f>HYPERLINK("https://drive.google.com/file/d/13EOAdfJnS2XmdHSkpX9fw1px46-RCSkl/view?usp=drivesdk", "Abrir_Factura")</f>
        <v>Abrir_Factura</v>
      </c>
      <c r="AD1845" s="9">
        <v>46057.390601851854</v>
      </c>
    </row>
    <row r="1846" spans="1:30" ht="12.5">
      <c r="A1846" s="4">
        <v>46057.400216979164</v>
      </c>
      <c r="B1846" s="5">
        <v>91584</v>
      </c>
      <c r="C1846" s="5">
        <v>1143159260</v>
      </c>
      <c r="D1846" s="5" t="s">
        <v>8393</v>
      </c>
      <c r="F1846" s="5" t="s">
        <v>8394</v>
      </c>
      <c r="H1846" s="5">
        <v>573242829432</v>
      </c>
      <c r="J1846" s="5" t="s">
        <v>8395</v>
      </c>
      <c r="K1846" s="5" t="s">
        <v>1317</v>
      </c>
      <c r="L1846" s="5" t="s">
        <v>8396</v>
      </c>
      <c r="M1846" s="5" t="s">
        <v>8397</v>
      </c>
      <c r="N1846" s="6">
        <v>46057</v>
      </c>
      <c r="O1846" s="7">
        <v>0</v>
      </c>
      <c r="P1846" s="5">
        <v>1</v>
      </c>
      <c r="Q1846" s="5" t="s">
        <v>309</v>
      </c>
      <c r="R1846" s="5">
        <v>88000</v>
      </c>
      <c r="S1846" s="5">
        <v>0</v>
      </c>
      <c r="T1846" s="5">
        <v>12000</v>
      </c>
      <c r="U1846" s="5">
        <v>100000</v>
      </c>
      <c r="V1846" s="5" t="s">
        <v>8398</v>
      </c>
      <c r="W1846" s="5" t="s">
        <v>36</v>
      </c>
      <c r="X1846" s="5" t="s">
        <v>67</v>
      </c>
      <c r="AA1846" s="5" t="s">
        <v>44</v>
      </c>
      <c r="AC1846" s="8" t="str">
        <f>HYPERLINK("https://drive.google.com/file/d/1uLRlZ0fUWibDqoPCaFgyCvPlE8nbJoVl/view?usp=drivesdk", "Abrir_Factura")</f>
        <v>Abrir_Factura</v>
      </c>
      <c r="AD1846" s="9">
        <v>46057.40216435185</v>
      </c>
    </row>
    <row r="1847" spans="1:30" ht="12.5">
      <c r="A1847" s="4">
        <v>46057.393221168983</v>
      </c>
      <c r="B1847" s="5">
        <v>91585</v>
      </c>
      <c r="C1847" s="5">
        <v>30575554</v>
      </c>
      <c r="D1847" s="5" t="s">
        <v>8399</v>
      </c>
      <c r="F1847" s="5" t="s">
        <v>8400</v>
      </c>
      <c r="H1847" s="5">
        <v>573176611944</v>
      </c>
      <c r="J1847" s="5" t="s">
        <v>8401</v>
      </c>
      <c r="K1847" s="5" t="s">
        <v>33</v>
      </c>
      <c r="L1847" s="5" t="s">
        <v>34</v>
      </c>
      <c r="M1847" s="5">
        <v>3176611944</v>
      </c>
      <c r="N1847" s="6">
        <v>46057</v>
      </c>
      <c r="O1847" s="7">
        <v>0.45833333333333331</v>
      </c>
      <c r="P1847" s="5">
        <v>1</v>
      </c>
      <c r="Q1847" s="5" t="s">
        <v>375</v>
      </c>
      <c r="R1847" s="5">
        <v>80000</v>
      </c>
      <c r="S1847" s="5">
        <v>0</v>
      </c>
      <c r="T1847" s="5">
        <v>0</v>
      </c>
      <c r="U1847" s="5">
        <v>80000</v>
      </c>
      <c r="V1847" s="5"/>
      <c r="W1847" s="5" t="s">
        <v>36</v>
      </c>
      <c r="X1847" s="5" t="s">
        <v>1481</v>
      </c>
      <c r="AA1847" s="5" t="s">
        <v>44</v>
      </c>
      <c r="AC1847" s="8" t="str">
        <f>HYPERLINK("https://drive.google.com/file/d/1qVxvXWlKNX-U-kmNPREi6u9RP65Mc30_/view?usp=drivesdk", "Abrir_Factura")</f>
        <v>Abrir_Factura</v>
      </c>
      <c r="AD1847" s="9">
        <v>46057.405729166669</v>
      </c>
    </row>
    <row r="1848" spans="1:30" ht="12.5">
      <c r="A1848" s="4">
        <v>46057.408416550927</v>
      </c>
      <c r="B1848" s="5">
        <v>91586</v>
      </c>
      <c r="C1848" s="5">
        <v>72357016</v>
      </c>
      <c r="D1848" s="5" t="s">
        <v>4992</v>
      </c>
      <c r="F1848" s="5" t="s">
        <v>2807</v>
      </c>
      <c r="H1848" s="5">
        <v>573150494997</v>
      </c>
      <c r="J1848" s="5" t="s">
        <v>8402</v>
      </c>
      <c r="K1848" s="5" t="s">
        <v>33</v>
      </c>
      <c r="L1848" s="5" t="s">
        <v>34</v>
      </c>
      <c r="M1848" s="5">
        <v>3150494997</v>
      </c>
      <c r="N1848" s="6">
        <v>46057</v>
      </c>
      <c r="O1848" s="7">
        <v>0.45833333333333331</v>
      </c>
      <c r="P1848" s="5">
        <v>1</v>
      </c>
      <c r="Q1848" s="5" t="s">
        <v>156</v>
      </c>
      <c r="R1848" s="5">
        <v>80000</v>
      </c>
      <c r="S1848" s="5">
        <v>0</v>
      </c>
      <c r="T1848" s="5">
        <v>0</v>
      </c>
      <c r="U1848" s="5">
        <v>80000</v>
      </c>
      <c r="V1848" s="5"/>
      <c r="W1848" s="5" t="s">
        <v>36</v>
      </c>
      <c r="X1848" s="5" t="s">
        <v>67</v>
      </c>
      <c r="AA1848" s="5" t="s">
        <v>44</v>
      </c>
      <c r="AC1848" s="8" t="str">
        <f>HYPERLINK("https://drive.google.com/file/d/18tjWZRj8cInamnKfYomLTYV-63ovZfS1/view?usp=drivesdk", "Abrir_Factura")</f>
        <v>Abrir_Factura</v>
      </c>
      <c r="AD1848" s="9">
        <v>46057.73028935185</v>
      </c>
    </row>
    <row r="1849" spans="1:30" ht="12.5">
      <c r="A1849" s="4">
        <v>46057.363058275463</v>
      </c>
      <c r="B1849" s="5">
        <v>91587</v>
      </c>
      <c r="C1849" s="5">
        <v>1140896366</v>
      </c>
      <c r="D1849" s="5" t="s">
        <v>84</v>
      </c>
      <c r="F1849" s="5" t="s">
        <v>2088</v>
      </c>
      <c r="H1849" s="5">
        <v>573113596214</v>
      </c>
      <c r="J1849" s="5" t="s">
        <v>2089</v>
      </c>
      <c r="K1849" s="5" t="s">
        <v>2090</v>
      </c>
      <c r="L1849" s="5" t="s">
        <v>8403</v>
      </c>
      <c r="M1849" s="5">
        <v>3004410698</v>
      </c>
      <c r="N1849" s="6">
        <v>46057</v>
      </c>
      <c r="O1849" s="7">
        <v>0</v>
      </c>
      <c r="P1849" s="5">
        <v>1</v>
      </c>
      <c r="Q1849" s="5" t="s">
        <v>747</v>
      </c>
      <c r="R1849" s="5">
        <v>340000</v>
      </c>
      <c r="S1849" s="5">
        <v>0</v>
      </c>
      <c r="T1849" s="5">
        <v>10000</v>
      </c>
      <c r="U1849" s="5">
        <v>350000</v>
      </c>
      <c r="V1849" s="5" t="s">
        <v>8404</v>
      </c>
      <c r="W1849" s="5" t="s">
        <v>36</v>
      </c>
      <c r="X1849" s="5" t="s">
        <v>1937</v>
      </c>
      <c r="Z1849" s="5" t="s">
        <v>8405</v>
      </c>
      <c r="AA1849" s="5" t="s">
        <v>44</v>
      </c>
      <c r="AC1849" s="8" t="str">
        <f>HYPERLINK("https://drive.google.com/file/d/1sryRXJTBd-Z5ePeUvRH6JtCPSskOhm4O/view?usp=drivesdk", "Abrir_Factura")</f>
        <v>Abrir_Factura</v>
      </c>
      <c r="AD1849" s="9">
        <v>46057.414652777778</v>
      </c>
    </row>
    <row r="1850" spans="1:30" ht="12.5">
      <c r="A1850" s="4">
        <v>46057.412414652776</v>
      </c>
      <c r="B1850" s="5">
        <v>91588</v>
      </c>
      <c r="C1850" s="5">
        <v>1046874522</v>
      </c>
      <c r="D1850" s="5" t="s">
        <v>8406</v>
      </c>
      <c r="F1850" s="5" t="s">
        <v>8407</v>
      </c>
      <c r="H1850" s="5">
        <v>573127942021</v>
      </c>
      <c r="J1850" s="5" t="s">
        <v>8408</v>
      </c>
      <c r="K1850" s="5" t="s">
        <v>1647</v>
      </c>
      <c r="L1850" s="5" t="s">
        <v>8409</v>
      </c>
      <c r="M1850" s="5">
        <v>3127942021</v>
      </c>
      <c r="N1850" s="6">
        <v>46057</v>
      </c>
      <c r="O1850" s="7">
        <v>0.45833333333333331</v>
      </c>
      <c r="P1850" s="5">
        <v>1</v>
      </c>
      <c r="Q1850" s="5" t="s">
        <v>42</v>
      </c>
      <c r="R1850" s="5">
        <v>50000</v>
      </c>
      <c r="S1850" s="5">
        <v>0</v>
      </c>
      <c r="T1850" s="5">
        <v>18000</v>
      </c>
      <c r="U1850" s="5">
        <v>68000</v>
      </c>
      <c r="V1850" s="5" t="s">
        <v>8410</v>
      </c>
      <c r="W1850" s="5" t="s">
        <v>36</v>
      </c>
      <c r="X1850" s="5" t="s">
        <v>67</v>
      </c>
      <c r="Z1850" s="5" t="s">
        <v>8411</v>
      </c>
      <c r="AA1850" s="5" t="s">
        <v>44</v>
      </c>
      <c r="AB1850" s="5" t="s">
        <v>8412</v>
      </c>
      <c r="AC1850" s="8" t="str">
        <f>HYPERLINK("https://drive.google.com/file/d/1JHR5iym8IBw1fpisC-DRNSy8YaIEQlAg/view?usp=drivesdk", "Abrir_Factura")</f>
        <v>Abrir_Factura</v>
      </c>
      <c r="AD1850" s="9">
        <v>46057.418287037035</v>
      </c>
    </row>
    <row r="1851" spans="1:30" ht="12.5">
      <c r="A1851" s="4">
        <v>46057.426550914352</v>
      </c>
      <c r="B1851" s="5">
        <v>91589</v>
      </c>
      <c r="C1851" s="5">
        <v>1234091256</v>
      </c>
      <c r="D1851" s="5" t="s">
        <v>8413</v>
      </c>
      <c r="F1851" s="5" t="s">
        <v>8414</v>
      </c>
      <c r="H1851" s="5">
        <v>573017212885</v>
      </c>
      <c r="J1851" s="5" t="s">
        <v>8415</v>
      </c>
      <c r="K1851" s="5" t="s">
        <v>33</v>
      </c>
      <c r="L1851" s="5" t="s">
        <v>34</v>
      </c>
      <c r="M1851" s="5">
        <v>3017212885</v>
      </c>
      <c r="N1851" s="6">
        <v>46057</v>
      </c>
      <c r="O1851" s="7">
        <v>0</v>
      </c>
      <c r="P1851" s="5">
        <v>1</v>
      </c>
      <c r="Q1851" s="5" t="s">
        <v>178</v>
      </c>
      <c r="R1851" s="5">
        <v>110000</v>
      </c>
      <c r="S1851" s="5">
        <v>0</v>
      </c>
      <c r="T1851" s="5">
        <v>0</v>
      </c>
      <c r="U1851" s="5">
        <v>110000</v>
      </c>
      <c r="V1851" s="5" t="s">
        <v>8416</v>
      </c>
      <c r="W1851" s="5" t="s">
        <v>36</v>
      </c>
      <c r="X1851" s="5" t="s">
        <v>37</v>
      </c>
      <c r="AA1851" s="5" t="s">
        <v>37</v>
      </c>
      <c r="AB1851" s="5" t="s">
        <v>8417</v>
      </c>
      <c r="AC1851" s="8" t="str">
        <f>HYPERLINK("https://drive.google.com/file/d/14c9gPbG732GfXuzn0JTSCBeuAKIUmrv9/view?usp=drivesdk", "Abrir_Factura")</f>
        <v>Abrir_Factura</v>
      </c>
      <c r="AD1851" s="9">
        <v>46057.427488425928</v>
      </c>
    </row>
    <row r="1852" spans="1:30" ht="12.5">
      <c r="A1852" s="4">
        <v>46057.422074351853</v>
      </c>
      <c r="B1852" s="5">
        <v>91590</v>
      </c>
      <c r="C1852" s="5">
        <v>1143466549</v>
      </c>
      <c r="D1852" s="5" t="s">
        <v>4856</v>
      </c>
      <c r="F1852" s="5" t="s">
        <v>2620</v>
      </c>
      <c r="H1852" s="5">
        <v>573004164256</v>
      </c>
      <c r="J1852" s="5" t="s">
        <v>8418</v>
      </c>
      <c r="K1852" s="5" t="s">
        <v>6194</v>
      </c>
      <c r="L1852" s="5" t="s">
        <v>8419</v>
      </c>
      <c r="M1852" s="5" t="s">
        <v>8420</v>
      </c>
      <c r="N1852" s="6">
        <v>46058</v>
      </c>
      <c r="O1852" s="7">
        <v>0.45833333333333331</v>
      </c>
      <c r="P1852" s="5">
        <v>1</v>
      </c>
      <c r="Q1852" s="5" t="s">
        <v>375</v>
      </c>
      <c r="R1852" s="5">
        <v>80000</v>
      </c>
      <c r="S1852" s="5">
        <v>0</v>
      </c>
      <c r="T1852" s="5">
        <v>18000</v>
      </c>
      <c r="U1852" s="5">
        <v>98000</v>
      </c>
      <c r="V1852" s="5" t="s">
        <v>8421</v>
      </c>
      <c r="W1852" s="5" t="s">
        <v>36</v>
      </c>
      <c r="X1852" s="5" t="s">
        <v>1481</v>
      </c>
      <c r="Z1852" s="5" t="s">
        <v>8422</v>
      </c>
      <c r="AA1852" s="5" t="s">
        <v>44</v>
      </c>
      <c r="AB1852" s="5" t="s">
        <v>8423</v>
      </c>
      <c r="AC1852" s="8" t="str">
        <f>HYPERLINK("https://drive.google.com/file/d/1I6NKuUE7Ccf8vYjp79CZl-z1Qd1A9_yr/view?usp=drivesdk", "Abrir_Factura")</f>
        <v>Abrir_Factura</v>
      </c>
      <c r="AD1852" s="9">
        <v>46057.4375462963</v>
      </c>
    </row>
    <row r="1853" spans="1:30" ht="12.5">
      <c r="A1853" s="4">
        <v>46057.425070694444</v>
      </c>
      <c r="B1853" s="5">
        <v>91591</v>
      </c>
      <c r="C1853" s="5">
        <v>1003498149</v>
      </c>
      <c r="D1853" s="5" t="s">
        <v>8424</v>
      </c>
      <c r="F1853" s="5" t="s">
        <v>8425</v>
      </c>
      <c r="H1853" s="5">
        <v>573008138601</v>
      </c>
      <c r="J1853" s="5" t="s">
        <v>8426</v>
      </c>
      <c r="K1853" s="5" t="s">
        <v>328</v>
      </c>
      <c r="L1853" s="5" t="s">
        <v>8427</v>
      </c>
      <c r="M1853" s="5" t="s">
        <v>8428</v>
      </c>
      <c r="N1853" s="6">
        <v>46057</v>
      </c>
      <c r="O1853" s="7">
        <v>0.45833333333333331</v>
      </c>
      <c r="P1853" s="5">
        <v>1</v>
      </c>
      <c r="Q1853" s="5" t="s">
        <v>335</v>
      </c>
      <c r="R1853" s="5">
        <v>120000</v>
      </c>
      <c r="S1853" s="5">
        <v>0</v>
      </c>
      <c r="T1853" s="5">
        <v>12000</v>
      </c>
      <c r="U1853" s="5">
        <v>132000</v>
      </c>
      <c r="V1853" s="5" t="s">
        <v>8429</v>
      </c>
      <c r="W1853" s="5" t="s">
        <v>36</v>
      </c>
      <c r="X1853" s="5" t="s">
        <v>204</v>
      </c>
      <c r="Z1853" s="5" t="s">
        <v>8430</v>
      </c>
      <c r="AA1853" s="5" t="s">
        <v>44</v>
      </c>
      <c r="AB1853" s="5" t="s">
        <v>8431</v>
      </c>
      <c r="AC1853" s="8" t="str">
        <f>HYPERLINK("https://drive.google.com/file/d/17zrPEHWYxQNz79uuFHLntauZetDw-n1s/view?usp=drivesdk", "Abrir_Factura")</f>
        <v>Abrir_Factura</v>
      </c>
      <c r="AD1853" s="9">
        <v>46057.446215277778</v>
      </c>
    </row>
    <row r="1854" spans="1:30" ht="12.5">
      <c r="A1854" s="4">
        <v>46057.451938854167</v>
      </c>
      <c r="B1854" s="5">
        <v>91592</v>
      </c>
      <c r="C1854" s="5">
        <v>1102870706</v>
      </c>
      <c r="D1854" s="5" t="s">
        <v>8432</v>
      </c>
      <c r="F1854" s="5" t="s">
        <v>8433</v>
      </c>
      <c r="H1854" s="5">
        <v>573006107337</v>
      </c>
      <c r="J1854" s="5" t="s">
        <v>8434</v>
      </c>
      <c r="K1854" s="5" t="s">
        <v>161</v>
      </c>
      <c r="L1854" s="5" t="s">
        <v>8435</v>
      </c>
      <c r="M1854" s="5">
        <v>3246539725</v>
      </c>
      <c r="N1854" s="6">
        <v>46057</v>
      </c>
      <c r="O1854" s="7">
        <v>0</v>
      </c>
      <c r="P1854" s="5">
        <v>1</v>
      </c>
      <c r="Q1854" s="5" t="s">
        <v>65</v>
      </c>
      <c r="R1854" s="5">
        <v>80000</v>
      </c>
      <c r="S1854" s="5">
        <v>0</v>
      </c>
      <c r="T1854" s="5">
        <v>8000</v>
      </c>
      <c r="U1854" s="5">
        <v>88000</v>
      </c>
      <c r="V1854" s="5" t="s">
        <v>8436</v>
      </c>
      <c r="W1854" s="5" t="s">
        <v>36</v>
      </c>
      <c r="X1854" s="5" t="s">
        <v>67</v>
      </c>
      <c r="Z1854" s="5" t="s">
        <v>8437</v>
      </c>
      <c r="AA1854" s="5" t="s">
        <v>44</v>
      </c>
      <c r="AC1854" s="8" t="str">
        <f>HYPERLINK("https://drive.google.com/file/d/1VoJ2dySxVaKJXlOVgd--P3SzebxG1RHo/view?usp=drivesdk", "Abrir_Factura")</f>
        <v>Abrir_Factura</v>
      </c>
      <c r="AD1854" s="9">
        <v>46057.456053240741</v>
      </c>
    </row>
    <row r="1855" spans="1:30" ht="12.5">
      <c r="A1855" s="4">
        <v>46063.466469907406</v>
      </c>
      <c r="B1855" s="5">
        <v>91593</v>
      </c>
      <c r="C1855" s="5">
        <v>1129577003</v>
      </c>
      <c r="D1855" s="5" t="s">
        <v>8438</v>
      </c>
      <c r="F1855" s="5" t="s">
        <v>3525</v>
      </c>
      <c r="H1855" s="5">
        <v>573014003649</v>
      </c>
      <c r="J1855" s="5" t="s">
        <v>217</v>
      </c>
      <c r="K1855" s="5" t="s">
        <v>33</v>
      </c>
      <c r="L1855" s="5" t="s">
        <v>34</v>
      </c>
      <c r="M1855" s="5"/>
      <c r="N1855" s="6">
        <v>46057</v>
      </c>
      <c r="O1855" s="7">
        <v>0</v>
      </c>
      <c r="P1855" s="5">
        <v>1</v>
      </c>
      <c r="Q1855" s="5" t="s">
        <v>42</v>
      </c>
      <c r="R1855" s="5">
        <v>28000</v>
      </c>
      <c r="S1855" s="5">
        <v>0</v>
      </c>
      <c r="T1855" s="5">
        <v>0</v>
      </c>
      <c r="U1855" s="5">
        <v>28000</v>
      </c>
      <c r="V1855" s="5"/>
      <c r="W1855" s="5" t="s">
        <v>36</v>
      </c>
      <c r="X1855" s="5" t="s">
        <v>180</v>
      </c>
      <c r="AA1855" s="5" t="s">
        <v>44</v>
      </c>
      <c r="AC1855" s="8" t="str">
        <f>HYPERLINK("https://drive.google.com/file/d/1z6c7uI-WqqCRRG4H583Sc0VocbOH8_jA/view?usp=drivesdk", "Abrir_Factura")</f>
        <v>Abrir_Factura</v>
      </c>
      <c r="AD1855" s="9">
        <v>46063.699953703705</v>
      </c>
    </row>
    <row r="1856" spans="1:30" ht="12.5">
      <c r="A1856" s="4">
        <v>46057.422465810188</v>
      </c>
      <c r="B1856" s="5">
        <v>91594</v>
      </c>
      <c r="C1856" s="5">
        <v>1005663360</v>
      </c>
      <c r="D1856" s="5" t="s">
        <v>8439</v>
      </c>
      <c r="F1856" s="5" t="s">
        <v>8440</v>
      </c>
      <c r="H1856" s="5">
        <v>573002740557</v>
      </c>
      <c r="J1856" s="5" t="s">
        <v>8441</v>
      </c>
      <c r="K1856" s="5" t="s">
        <v>103</v>
      </c>
      <c r="L1856" s="5" t="s">
        <v>8442</v>
      </c>
      <c r="M1856" s="5">
        <v>3225237642</v>
      </c>
      <c r="N1856" s="6">
        <v>46057</v>
      </c>
      <c r="O1856" s="7">
        <v>0.58333333333333337</v>
      </c>
      <c r="P1856" s="5">
        <v>1</v>
      </c>
      <c r="Q1856" s="5" t="s">
        <v>75</v>
      </c>
      <c r="R1856" s="5">
        <v>80000</v>
      </c>
      <c r="S1856" s="5">
        <v>0</v>
      </c>
      <c r="T1856" s="5">
        <v>10000</v>
      </c>
      <c r="U1856" s="5">
        <v>90000</v>
      </c>
      <c r="V1856" s="5" t="s">
        <v>8443</v>
      </c>
      <c r="W1856" s="5" t="s">
        <v>36</v>
      </c>
      <c r="X1856" s="5" t="s">
        <v>67</v>
      </c>
      <c r="Z1856" s="5" t="s">
        <v>8444</v>
      </c>
      <c r="AA1856" s="5" t="s">
        <v>44</v>
      </c>
      <c r="AB1856" s="5" t="s">
        <v>8445</v>
      </c>
      <c r="AC1856" s="8" t="str">
        <f>HYPERLINK("https://drive.google.com/file/d/14m9UomrqAVpRkJml2VdutuVyEyq-GBN1/view?usp=drivesdk", "Abrir_Factura")</f>
        <v>Abrir_Factura</v>
      </c>
      <c r="AD1856" s="9">
        <v>46057.469467592593</v>
      </c>
    </row>
    <row r="1857" spans="1:30" ht="12.5">
      <c r="A1857" s="4">
        <v>46057.447843506947</v>
      </c>
      <c r="B1857" s="5">
        <v>91595</v>
      </c>
      <c r="C1857" s="5">
        <v>1140895171</v>
      </c>
      <c r="D1857" s="5" t="s">
        <v>84</v>
      </c>
      <c r="F1857" s="5" t="s">
        <v>8446</v>
      </c>
      <c r="H1857" s="5">
        <v>573014395851</v>
      </c>
      <c r="J1857" s="5" t="s">
        <v>8447</v>
      </c>
      <c r="K1857" s="5"/>
      <c r="L1857" s="10" t="s">
        <v>3330</v>
      </c>
      <c r="M1857" s="5">
        <v>3014395851</v>
      </c>
      <c r="N1857" s="6">
        <v>46057</v>
      </c>
      <c r="O1857" s="7">
        <v>0</v>
      </c>
      <c r="P1857" s="5">
        <v>1</v>
      </c>
      <c r="Q1857" s="5" t="s">
        <v>1126</v>
      </c>
      <c r="R1857" s="5">
        <v>340000</v>
      </c>
      <c r="S1857" s="5">
        <v>0</v>
      </c>
      <c r="T1857" s="5"/>
      <c r="U1857" s="5">
        <v>340000</v>
      </c>
      <c r="V1857" s="5" t="s">
        <v>8448</v>
      </c>
      <c r="W1857" s="5" t="s">
        <v>36</v>
      </c>
      <c r="X1857" s="5" t="s">
        <v>1481</v>
      </c>
      <c r="Z1857" s="5" t="s">
        <v>8449</v>
      </c>
      <c r="AA1857" s="5" t="s">
        <v>44</v>
      </c>
      <c r="AC1857" s="8" t="str">
        <f>HYPERLINK("https://drive.google.com/file/d/12bCiJDPYBI13k-PoS0BnTyNJ9JkT7p6S/view?usp=drivesdk", "Abrir_Factura")</f>
        <v>Abrir_Factura</v>
      </c>
      <c r="AD1857" s="9">
        <v>46057.472395833334</v>
      </c>
    </row>
    <row r="1858" spans="1:30" ht="12.5">
      <c r="A1858" s="4">
        <v>46057.460297546291</v>
      </c>
      <c r="B1858" s="5">
        <v>91596</v>
      </c>
      <c r="C1858" s="5">
        <v>1193504447</v>
      </c>
      <c r="D1858" s="5" t="s">
        <v>7054</v>
      </c>
      <c r="F1858" s="5" t="s">
        <v>7055</v>
      </c>
      <c r="H1858" s="5">
        <v>573045422750</v>
      </c>
      <c r="J1858" s="5" t="s">
        <v>8450</v>
      </c>
      <c r="K1858" s="5"/>
      <c r="L1858" s="5" t="s">
        <v>34</v>
      </c>
      <c r="M1858" s="5"/>
      <c r="N1858" s="6">
        <v>46060</v>
      </c>
      <c r="O1858" s="7">
        <v>0.375</v>
      </c>
      <c r="P1858" s="5">
        <v>1</v>
      </c>
      <c r="Q1858" s="5" t="s">
        <v>8451</v>
      </c>
      <c r="R1858" s="5">
        <v>80000</v>
      </c>
      <c r="S1858" s="5">
        <v>0</v>
      </c>
      <c r="T1858" s="5"/>
      <c r="U1858" s="5">
        <v>80000</v>
      </c>
      <c r="V1858" s="5" t="s">
        <v>8452</v>
      </c>
      <c r="W1858" s="5" t="s">
        <v>36</v>
      </c>
      <c r="X1858" s="5" t="s">
        <v>67</v>
      </c>
      <c r="AA1858" s="5" t="s">
        <v>44</v>
      </c>
      <c r="AB1858" s="5" t="s">
        <v>8453</v>
      </c>
      <c r="AC1858" s="8" t="str">
        <f>HYPERLINK("https://drive.google.com/file/d/1uFnJVu8-AZ3nrWNRr-_4ddNI0X17umzL/view?usp=drivesdk", "Abrir_Factura")</f>
        <v>Abrir_Factura</v>
      </c>
      <c r="AD1858" s="9">
        <v>46057.478703703702</v>
      </c>
    </row>
    <row r="1859" spans="1:30" ht="12.5">
      <c r="A1859" s="4">
        <v>46057.482563819445</v>
      </c>
      <c r="B1859" s="5">
        <v>91597</v>
      </c>
      <c r="C1859" s="5">
        <v>1001854237</v>
      </c>
      <c r="D1859" s="5" t="s">
        <v>8454</v>
      </c>
      <c r="F1859" s="5" t="s">
        <v>8455</v>
      </c>
      <c r="H1859" s="5">
        <v>573043619461</v>
      </c>
      <c r="J1859" s="5" t="s">
        <v>3450</v>
      </c>
      <c r="K1859" s="5" t="s">
        <v>6662</v>
      </c>
      <c r="L1859" s="5" t="s">
        <v>8456</v>
      </c>
      <c r="M1859" s="5">
        <v>3330523002</v>
      </c>
      <c r="N1859" s="6">
        <v>46057</v>
      </c>
      <c r="O1859" s="7">
        <v>0.625</v>
      </c>
      <c r="P1859" s="5">
        <v>1</v>
      </c>
      <c r="Q1859" s="5" t="s">
        <v>4765</v>
      </c>
      <c r="R1859" s="5">
        <v>110000</v>
      </c>
      <c r="S1859" s="5">
        <v>0</v>
      </c>
      <c r="T1859" s="5">
        <v>15000</v>
      </c>
      <c r="U1859" s="5">
        <v>125000</v>
      </c>
      <c r="V1859" s="5" t="s">
        <v>8457</v>
      </c>
      <c r="W1859" s="5" t="s">
        <v>36</v>
      </c>
      <c r="X1859" s="5" t="s">
        <v>67</v>
      </c>
      <c r="Z1859" s="5" t="s">
        <v>8458</v>
      </c>
      <c r="AA1859" s="5" t="s">
        <v>44</v>
      </c>
      <c r="AB1859" s="5" t="s">
        <v>8459</v>
      </c>
      <c r="AC1859" s="8" t="str">
        <f>HYPERLINK("https://drive.google.com/file/d/1VkQwrD2tUtXJUzm97Pqnf7gOcnWph5xg/view?usp=drivesdk", "Abrir_Factura")</f>
        <v>Abrir_Factura</v>
      </c>
      <c r="AD1859" s="9">
        <v>46057.493333333332</v>
      </c>
    </row>
    <row r="1860" spans="1:30" ht="12.5">
      <c r="A1860" s="4">
        <v>46057.491849212965</v>
      </c>
      <c r="B1860" s="5">
        <v>91598</v>
      </c>
      <c r="C1860" s="5">
        <v>1192744856</v>
      </c>
      <c r="D1860" s="5" t="s">
        <v>1243</v>
      </c>
      <c r="F1860" s="5" t="s">
        <v>7184</v>
      </c>
      <c r="H1860" s="5">
        <v>573246843222</v>
      </c>
      <c r="J1860" s="5" t="s">
        <v>8460</v>
      </c>
      <c r="K1860" s="5" t="s">
        <v>103</v>
      </c>
      <c r="L1860" s="5" t="s">
        <v>8461</v>
      </c>
      <c r="M1860" s="5" t="s">
        <v>8462</v>
      </c>
      <c r="N1860" s="6">
        <v>46057</v>
      </c>
      <c r="O1860" s="7">
        <v>0.58333333333333337</v>
      </c>
      <c r="P1860" s="5">
        <v>1</v>
      </c>
      <c r="Q1860" s="5" t="s">
        <v>75</v>
      </c>
      <c r="R1860" s="5">
        <v>80000</v>
      </c>
      <c r="S1860" s="5">
        <v>0</v>
      </c>
      <c r="T1860" s="5">
        <v>10000</v>
      </c>
      <c r="U1860" s="5">
        <v>90000</v>
      </c>
      <c r="V1860" s="5" t="s">
        <v>8463</v>
      </c>
      <c r="W1860" s="5" t="s">
        <v>36</v>
      </c>
      <c r="X1860" s="5" t="s">
        <v>67</v>
      </c>
      <c r="Z1860" s="5" t="s">
        <v>8464</v>
      </c>
      <c r="AA1860" s="5" t="s">
        <v>44</v>
      </c>
      <c r="AB1860" s="5" t="s">
        <v>8465</v>
      </c>
      <c r="AC1860" s="8" t="str">
        <f>HYPERLINK("https://drive.google.com/file/d/1mKG4hXRFTgbtubT_1FB5ADz2pwPdPjXL/view?usp=drivesdk", "Abrir_Factura")</f>
        <v>Abrir_Factura</v>
      </c>
      <c r="AD1860" s="9">
        <v>46057.497349537036</v>
      </c>
    </row>
    <row r="1861" spans="1:30" ht="12.5">
      <c r="A1861" s="4">
        <v>46057.480458645834</v>
      </c>
      <c r="B1861" s="5">
        <v>91599</v>
      </c>
      <c r="C1861" s="5">
        <v>1042850334</v>
      </c>
      <c r="D1861" s="5" t="s">
        <v>5288</v>
      </c>
      <c r="F1861" s="5" t="s">
        <v>2075</v>
      </c>
      <c r="H1861" s="5">
        <v>573146021201</v>
      </c>
      <c r="J1861" s="5" t="s">
        <v>8466</v>
      </c>
      <c r="K1861" s="5" t="s">
        <v>33</v>
      </c>
      <c r="L1861" s="5" t="s">
        <v>34</v>
      </c>
      <c r="M1861" s="5">
        <v>3146021201</v>
      </c>
      <c r="N1861" s="6">
        <v>46059</v>
      </c>
      <c r="O1861" s="7">
        <v>0.375</v>
      </c>
      <c r="P1861" s="5">
        <v>1</v>
      </c>
      <c r="Q1861" s="5" t="s">
        <v>8467</v>
      </c>
      <c r="R1861" s="5">
        <v>170000</v>
      </c>
      <c r="S1861" s="5">
        <v>0</v>
      </c>
      <c r="T1861" s="5">
        <v>0</v>
      </c>
      <c r="U1861" s="5">
        <v>170000</v>
      </c>
      <c r="V1861" s="5" t="s">
        <v>8468</v>
      </c>
      <c r="W1861" s="5" t="s">
        <v>36</v>
      </c>
      <c r="X1861" s="5" t="s">
        <v>67</v>
      </c>
      <c r="Z1861" s="5" t="s">
        <v>8469</v>
      </c>
      <c r="AA1861" s="5" t="s">
        <v>44</v>
      </c>
      <c r="AB1861" s="5" t="s">
        <v>8470</v>
      </c>
      <c r="AC1861" s="8" t="str">
        <f>HYPERLINK("https://drive.google.com/file/d/1wL93qoGl95Dnmbg7QDOKZaxm8hGUJf9O/view?usp=drivesdk", "Abrir_Factura")</f>
        <v>Abrir_Factura</v>
      </c>
      <c r="AD1861" s="9">
        <v>46057.50172453704</v>
      </c>
    </row>
    <row r="1862" spans="1:30" ht="12.5">
      <c r="A1862" s="4">
        <v>46057.504924583336</v>
      </c>
      <c r="B1862" s="5">
        <v>91600</v>
      </c>
      <c r="C1862" s="5">
        <v>1045724248</v>
      </c>
      <c r="D1862" s="5" t="s">
        <v>8471</v>
      </c>
      <c r="F1862" s="5" t="s">
        <v>8472</v>
      </c>
      <c r="H1862" s="5">
        <v>5734684725923</v>
      </c>
      <c r="J1862" s="5" t="s">
        <v>8473</v>
      </c>
      <c r="K1862" s="5" t="s">
        <v>249</v>
      </c>
      <c r="L1862" s="5" t="s">
        <v>8474</v>
      </c>
      <c r="M1862" s="5"/>
      <c r="N1862" s="6">
        <v>46057</v>
      </c>
      <c r="O1862" s="7">
        <v>0</v>
      </c>
      <c r="P1862" s="5">
        <v>1</v>
      </c>
      <c r="Q1862" s="5" t="s">
        <v>156</v>
      </c>
      <c r="R1862" s="5">
        <v>80000</v>
      </c>
      <c r="S1862" s="5">
        <v>0</v>
      </c>
      <c r="T1862" s="5">
        <v>10000</v>
      </c>
      <c r="U1862" s="5">
        <v>90000</v>
      </c>
      <c r="V1862" s="5"/>
      <c r="W1862" s="5" t="s">
        <v>36</v>
      </c>
      <c r="X1862" s="5" t="s">
        <v>67</v>
      </c>
      <c r="AA1862" s="5" t="s">
        <v>44</v>
      </c>
      <c r="AC1862" s="8" t="str">
        <f>HYPERLINK("https://drive.google.com/file/d/1BaQ9GjSz-xxm6bWFVUmz-ezdqjmEe8x2/view?usp=drivesdk", "Abrir_Factura")</f>
        <v>Abrir_Factura</v>
      </c>
      <c r="AD1862" s="9">
        <v>46057.505277777775</v>
      </c>
    </row>
    <row r="1863" spans="1:30" ht="12.5">
      <c r="A1863" s="4">
        <v>46057.507930543987</v>
      </c>
      <c r="B1863" s="5">
        <v>91601</v>
      </c>
      <c r="C1863" s="5">
        <v>15682350</v>
      </c>
      <c r="D1863" s="5" t="s">
        <v>8475</v>
      </c>
      <c r="F1863" s="5" t="s">
        <v>372</v>
      </c>
      <c r="H1863" s="5">
        <v>573015535844</v>
      </c>
      <c r="J1863" s="5" t="s">
        <v>8476</v>
      </c>
      <c r="K1863" s="5" t="s">
        <v>110</v>
      </c>
      <c r="L1863" s="5" t="s">
        <v>8477</v>
      </c>
      <c r="M1863" s="5"/>
      <c r="N1863" s="6">
        <v>46057</v>
      </c>
      <c r="O1863" s="7">
        <v>0</v>
      </c>
      <c r="P1863" s="5">
        <v>1</v>
      </c>
      <c r="Q1863" s="5" t="s">
        <v>75</v>
      </c>
      <c r="R1863" s="5">
        <v>80000</v>
      </c>
      <c r="S1863" s="5">
        <v>0</v>
      </c>
      <c r="T1863" s="5">
        <v>6000</v>
      </c>
      <c r="U1863" s="5">
        <v>86000</v>
      </c>
      <c r="V1863" s="5" t="s">
        <v>8478</v>
      </c>
      <c r="W1863" s="5" t="s">
        <v>36</v>
      </c>
      <c r="X1863" s="5" t="s">
        <v>196</v>
      </c>
      <c r="AA1863" s="5" t="s">
        <v>1717</v>
      </c>
      <c r="AC1863" s="8" t="str">
        <f>HYPERLINK("https://drive.google.com/file/d/1mMVjDKIWeNfI22oAVj84mIPBWdIL-qLL/view?usp=drivesdk", "Abrir_Factura")</f>
        <v>Abrir_Factura</v>
      </c>
      <c r="AD1863" s="9">
        <v>46057.508518518516</v>
      </c>
    </row>
    <row r="1864" spans="1:30" ht="12.5">
      <c r="A1864" s="4">
        <v>46057.524381747688</v>
      </c>
      <c r="B1864" s="5">
        <v>91602</v>
      </c>
      <c r="C1864" s="5">
        <v>72238807</v>
      </c>
      <c r="D1864" s="5" t="s">
        <v>5391</v>
      </c>
      <c r="F1864" s="5" t="s">
        <v>8479</v>
      </c>
      <c r="H1864" s="5">
        <v>573107103333</v>
      </c>
      <c r="J1864" s="5" t="s">
        <v>8480</v>
      </c>
      <c r="K1864" s="5" t="s">
        <v>33</v>
      </c>
      <c r="L1864" s="5" t="s">
        <v>34</v>
      </c>
      <c r="M1864" s="5">
        <v>3107103333</v>
      </c>
      <c r="N1864" s="6">
        <v>46057</v>
      </c>
      <c r="O1864" s="7">
        <v>0</v>
      </c>
      <c r="P1864" s="5">
        <v>1</v>
      </c>
      <c r="Q1864" s="5" t="s">
        <v>75</v>
      </c>
      <c r="R1864" s="5">
        <v>80000</v>
      </c>
      <c r="S1864" s="5">
        <v>0</v>
      </c>
      <c r="T1864" s="5">
        <v>0</v>
      </c>
      <c r="U1864" s="5">
        <v>80000</v>
      </c>
      <c r="V1864" s="5"/>
      <c r="W1864" s="5" t="s">
        <v>36</v>
      </c>
      <c r="X1864" s="5" t="s">
        <v>1705</v>
      </c>
      <c r="AA1864" s="5" t="s">
        <v>1717</v>
      </c>
      <c r="AC1864" s="8" t="str">
        <f>HYPERLINK("https://drive.google.com/file/d/1YQFdepcsZPqd4DnqvtDHw73uCEx2JY8Z/view?usp=drivesdk", "Abrir_Factura")</f>
        <v>Abrir_Factura</v>
      </c>
      <c r="AD1864" s="9">
        <v>46057.525219907409</v>
      </c>
    </row>
    <row r="1865" spans="1:30" ht="12.5">
      <c r="A1865" s="4">
        <v>46058.543668981481</v>
      </c>
      <c r="B1865" s="5">
        <v>91603</v>
      </c>
      <c r="C1865" s="5">
        <v>1020741786</v>
      </c>
      <c r="D1865" s="5" t="s">
        <v>6086</v>
      </c>
      <c r="F1865" s="5" t="s">
        <v>6087</v>
      </c>
      <c r="H1865" s="5">
        <v>573004614501</v>
      </c>
      <c r="J1865" s="5" t="s">
        <v>8481</v>
      </c>
      <c r="K1865" s="5" t="s">
        <v>33</v>
      </c>
      <c r="L1865" s="5" t="s">
        <v>34</v>
      </c>
      <c r="M1865" s="5">
        <v>3004614501</v>
      </c>
      <c r="N1865" s="6">
        <v>46057</v>
      </c>
      <c r="O1865" s="7">
        <v>0</v>
      </c>
      <c r="P1865" s="5">
        <v>1</v>
      </c>
      <c r="Q1865" s="5" t="s">
        <v>42</v>
      </c>
      <c r="R1865" s="5">
        <v>160000</v>
      </c>
      <c r="S1865" s="5">
        <v>0</v>
      </c>
      <c r="T1865" s="5">
        <v>0</v>
      </c>
      <c r="U1865" s="5">
        <v>160000</v>
      </c>
      <c r="V1865" s="5"/>
      <c r="W1865" s="5" t="s">
        <v>36</v>
      </c>
      <c r="X1865" s="5" t="s">
        <v>67</v>
      </c>
      <c r="AA1865" s="5" t="s">
        <v>44</v>
      </c>
      <c r="AB1865" s="5" t="s">
        <v>525</v>
      </c>
      <c r="AC1865" s="8" t="str">
        <f>HYPERLINK("https://drive.google.com/file/d/1c2kYMhxKBNQhRi00Y_KURuVmSUJ23IsW/view?usp=drivesdk", "Abrir_Factura")</f>
        <v>Abrir_Factura</v>
      </c>
      <c r="AD1865" s="9">
        <v>46058.632430555554</v>
      </c>
    </row>
    <row r="1866" spans="1:30" ht="12.5">
      <c r="A1866" s="4">
        <v>46057.544708912035</v>
      </c>
      <c r="B1866" s="5">
        <v>91604</v>
      </c>
      <c r="C1866" s="5">
        <v>3272853</v>
      </c>
      <c r="D1866" s="5" t="s">
        <v>2627</v>
      </c>
      <c r="F1866" s="5" t="s">
        <v>2628</v>
      </c>
      <c r="H1866" s="5">
        <v>573175052734</v>
      </c>
      <c r="J1866" s="5" t="s">
        <v>2629</v>
      </c>
      <c r="K1866" s="5" t="s">
        <v>33</v>
      </c>
      <c r="L1866" s="5" t="s">
        <v>34</v>
      </c>
      <c r="M1866" s="5">
        <v>3175052734</v>
      </c>
      <c r="N1866" s="6">
        <v>46057</v>
      </c>
      <c r="O1866" s="7">
        <v>0</v>
      </c>
      <c r="P1866" s="5">
        <v>1</v>
      </c>
      <c r="Q1866" s="5" t="s">
        <v>42</v>
      </c>
      <c r="R1866" s="5">
        <v>140000</v>
      </c>
      <c r="S1866" s="5">
        <v>0</v>
      </c>
      <c r="T1866" s="5">
        <v>0</v>
      </c>
      <c r="U1866" s="5">
        <v>140000</v>
      </c>
      <c r="V1866" s="5"/>
      <c r="W1866" s="5" t="s">
        <v>36</v>
      </c>
      <c r="X1866" s="5" t="s">
        <v>196</v>
      </c>
      <c r="AA1866" s="5" t="s">
        <v>44</v>
      </c>
      <c r="AB1866" s="5" t="s">
        <v>525</v>
      </c>
      <c r="AC1866" s="8" t="str">
        <f>HYPERLINK("https://drive.google.com/file/d/1gxioIaznQFTt5aR0RqafmltNts9F7w0y/view?usp=drivesdk", "Abrir_Factura")</f>
        <v>Abrir_Factura</v>
      </c>
      <c r="AD1866" s="9">
        <v>46057.706979166665</v>
      </c>
    </row>
    <row r="1867" spans="1:30" ht="12.5">
      <c r="A1867" s="4">
        <v>46057.588139027779</v>
      </c>
      <c r="B1867" s="5">
        <v>91605</v>
      </c>
      <c r="C1867" s="5">
        <v>1234096142</v>
      </c>
      <c r="D1867" s="5" t="s">
        <v>2451</v>
      </c>
      <c r="F1867" s="5" t="s">
        <v>510</v>
      </c>
      <c r="H1867" s="5">
        <v>573158175508</v>
      </c>
      <c r="J1867" s="5" t="s">
        <v>8482</v>
      </c>
      <c r="K1867" s="5" t="s">
        <v>33</v>
      </c>
      <c r="L1867" s="5" t="s">
        <v>34</v>
      </c>
      <c r="M1867" s="5">
        <v>3158175508</v>
      </c>
      <c r="N1867" s="6">
        <v>46057</v>
      </c>
      <c r="O1867" s="7">
        <v>0</v>
      </c>
      <c r="P1867" s="5">
        <v>1</v>
      </c>
      <c r="Q1867" s="5" t="s">
        <v>8483</v>
      </c>
      <c r="R1867" s="5">
        <v>65000</v>
      </c>
      <c r="S1867" s="5">
        <v>0</v>
      </c>
      <c r="T1867" s="5">
        <v>0</v>
      </c>
      <c r="U1867" s="5">
        <v>65000</v>
      </c>
      <c r="V1867" s="5"/>
      <c r="W1867" s="5" t="s">
        <v>36</v>
      </c>
      <c r="X1867" s="5" t="s">
        <v>43</v>
      </c>
      <c r="AA1867" s="5" t="s">
        <v>37</v>
      </c>
      <c r="AB1867" s="5" t="s">
        <v>8484</v>
      </c>
      <c r="AC1867" s="8" t="str">
        <f>HYPERLINK("https://drive.google.com/file/d/1RL7u7e1_lTp551nu1jvqAusq4Ybz8nIF/view?usp=drivesdk", "Abrir_Factura")</f>
        <v>Abrir_Factura</v>
      </c>
      <c r="AD1867" s="9">
        <v>46057.589594907404</v>
      </c>
    </row>
    <row r="1868" spans="1:30" ht="12.5">
      <c r="A1868" s="4">
        <v>46057.597672777774</v>
      </c>
      <c r="B1868" s="5">
        <v>91606</v>
      </c>
      <c r="C1868" s="5">
        <v>55301992</v>
      </c>
      <c r="D1868" s="5" t="s">
        <v>8485</v>
      </c>
      <c r="F1868" s="5" t="s">
        <v>8486</v>
      </c>
      <c r="H1868" s="5">
        <v>570000</v>
      </c>
      <c r="J1868" s="5" t="s">
        <v>8487</v>
      </c>
      <c r="K1868" s="5" t="s">
        <v>33</v>
      </c>
      <c r="L1868" s="5" t="s">
        <v>34</v>
      </c>
      <c r="M1868" s="5">
        <v>0</v>
      </c>
      <c r="N1868" s="6">
        <v>46057</v>
      </c>
      <c r="O1868" s="7">
        <v>0</v>
      </c>
      <c r="P1868" s="5">
        <v>1</v>
      </c>
      <c r="Q1868" s="5" t="s">
        <v>42</v>
      </c>
      <c r="R1868" s="5">
        <v>108000</v>
      </c>
      <c r="S1868" s="5">
        <v>0</v>
      </c>
      <c r="T1868" s="5">
        <v>0</v>
      </c>
      <c r="U1868" s="5">
        <v>108000</v>
      </c>
      <c r="V1868" s="5"/>
      <c r="W1868" s="5" t="s">
        <v>36</v>
      </c>
      <c r="X1868" s="5" t="s">
        <v>1705</v>
      </c>
      <c r="AA1868" s="5" t="s">
        <v>1717</v>
      </c>
      <c r="AB1868" s="5" t="s">
        <v>525</v>
      </c>
      <c r="AC1868" s="8" t="str">
        <f>HYPERLINK("https://drive.google.com/file/d/1Xt9mMPdK1_LkgK7j5TVl4ssH5A8mqKNx/view?usp=drivesdk", "Abrir_Factura")</f>
        <v>Abrir_Factura</v>
      </c>
      <c r="AD1868" s="9">
        <v>46057.598877314813</v>
      </c>
    </row>
    <row r="1869" spans="1:30" ht="12.5">
      <c r="A1869" s="4">
        <v>46057.621262939814</v>
      </c>
      <c r="B1869" s="5">
        <v>91607</v>
      </c>
      <c r="C1869" s="5">
        <v>1140846731</v>
      </c>
      <c r="D1869" s="5" t="s">
        <v>1200</v>
      </c>
      <c r="F1869" s="5" t="s">
        <v>8488</v>
      </c>
      <c r="H1869" s="5">
        <v>573163969183</v>
      </c>
      <c r="J1869" s="5" t="s">
        <v>8489</v>
      </c>
      <c r="K1869" s="5" t="s">
        <v>103</v>
      </c>
      <c r="L1869" s="5" t="s">
        <v>8490</v>
      </c>
      <c r="M1869" s="5"/>
      <c r="N1869" s="6">
        <v>46058</v>
      </c>
      <c r="O1869" s="7">
        <v>0.41666666666666669</v>
      </c>
      <c r="P1869" s="5">
        <v>1</v>
      </c>
      <c r="Q1869" s="5" t="s">
        <v>1610</v>
      </c>
      <c r="R1869" s="5">
        <v>230000</v>
      </c>
      <c r="S1869" s="5">
        <v>0</v>
      </c>
      <c r="T1869" s="5">
        <v>10000</v>
      </c>
      <c r="U1869" s="5">
        <v>240000</v>
      </c>
      <c r="V1869" s="5" t="s">
        <v>8491</v>
      </c>
      <c r="W1869" s="5" t="s">
        <v>36</v>
      </c>
      <c r="X1869" s="5" t="s">
        <v>1705</v>
      </c>
      <c r="AA1869" s="5" t="s">
        <v>1717</v>
      </c>
      <c r="AC1869" s="8" t="str">
        <f>HYPERLINK("https://drive.google.com/file/d/1CUIbPNa3q07w18WdS7pC-KiGvjrs89h4/view?usp=drivesdk", "Abrir_Factura")</f>
        <v>Abrir_Factura</v>
      </c>
      <c r="AD1869" s="9">
        <v>46057.622210648151</v>
      </c>
    </row>
    <row r="1870" spans="1:30" ht="12.5">
      <c r="A1870" s="4">
        <v>46057.624133182871</v>
      </c>
      <c r="B1870" s="5">
        <v>91608</v>
      </c>
      <c r="C1870" s="5">
        <v>1221968699</v>
      </c>
      <c r="D1870" s="5" t="s">
        <v>8492</v>
      </c>
      <c r="F1870" s="5" t="s">
        <v>8493</v>
      </c>
      <c r="H1870" s="5">
        <v>573008205218</v>
      </c>
      <c r="J1870" s="5" t="s">
        <v>8494</v>
      </c>
      <c r="K1870" s="5" t="s">
        <v>33</v>
      </c>
      <c r="L1870" s="5" t="s">
        <v>34</v>
      </c>
      <c r="M1870" s="5" t="s">
        <v>8495</v>
      </c>
      <c r="N1870" s="6">
        <v>46057</v>
      </c>
      <c r="O1870" s="7">
        <v>0</v>
      </c>
      <c r="P1870" s="5">
        <v>1</v>
      </c>
      <c r="Q1870" s="5" t="s">
        <v>3111</v>
      </c>
      <c r="R1870" s="5">
        <v>220000</v>
      </c>
      <c r="S1870" s="5">
        <v>0</v>
      </c>
      <c r="T1870" s="5">
        <v>0</v>
      </c>
      <c r="U1870" s="5">
        <v>220000</v>
      </c>
      <c r="V1870" s="5"/>
      <c r="W1870" s="5" t="s">
        <v>36</v>
      </c>
      <c r="X1870" s="5" t="s">
        <v>1481</v>
      </c>
      <c r="AA1870" s="5" t="s">
        <v>44</v>
      </c>
      <c r="AC1870" s="8" t="str">
        <f>HYPERLINK("https://drive.google.com/file/d/1jUjpe2XMXzJzu00omrcyqFn6yTDnPCef/view?usp=drivesdk", "Abrir_Factura")</f>
        <v>Abrir_Factura</v>
      </c>
      <c r="AD1870" s="9">
        <v>46057.625694444447</v>
      </c>
    </row>
    <row r="1871" spans="1:30" ht="12.5">
      <c r="A1871" s="4">
        <v>46057.628393067134</v>
      </c>
      <c r="B1871" s="5">
        <v>91609</v>
      </c>
      <c r="C1871" s="5">
        <v>72003963</v>
      </c>
      <c r="D1871" s="5" t="s">
        <v>8496</v>
      </c>
      <c r="F1871" s="5" t="s">
        <v>6287</v>
      </c>
      <c r="H1871" s="5">
        <v>573008298523</v>
      </c>
      <c r="J1871" s="5" t="s">
        <v>283</v>
      </c>
      <c r="K1871" s="5" t="s">
        <v>161</v>
      </c>
      <c r="L1871" s="5" t="s">
        <v>8497</v>
      </c>
      <c r="M1871" s="5">
        <v>3214909369</v>
      </c>
      <c r="N1871" s="6">
        <v>46057</v>
      </c>
      <c r="O1871" s="7">
        <v>0</v>
      </c>
      <c r="P1871" s="5">
        <v>1</v>
      </c>
      <c r="Q1871" s="5" t="s">
        <v>1393</v>
      </c>
      <c r="R1871" s="5">
        <v>600000</v>
      </c>
      <c r="S1871" s="5">
        <v>0</v>
      </c>
      <c r="T1871" s="5">
        <v>8000</v>
      </c>
      <c r="U1871" s="5">
        <v>608000</v>
      </c>
      <c r="V1871" s="5" t="s">
        <v>8498</v>
      </c>
      <c r="W1871" s="5" t="s">
        <v>36</v>
      </c>
      <c r="X1871" s="5" t="s">
        <v>1481</v>
      </c>
      <c r="Z1871" s="5" t="s">
        <v>8496</v>
      </c>
      <c r="AA1871" s="5" t="s">
        <v>44</v>
      </c>
      <c r="AC1871" s="8" t="str">
        <f>HYPERLINK("https://drive.google.com/file/d/1ShA8BQor9WyRbT4c_5WVe3KFG3YvWT8E/view?usp=drivesdk", "Abrir_Factura")</f>
        <v>Abrir_Factura</v>
      </c>
      <c r="AD1871" s="9">
        <v>46057.644895833335</v>
      </c>
    </row>
    <row r="1872" spans="1:30" ht="12.5">
      <c r="A1872" s="4">
        <v>46057.640084363426</v>
      </c>
      <c r="B1872" s="5">
        <v>91610</v>
      </c>
      <c r="C1872" s="5">
        <v>1002034144</v>
      </c>
      <c r="D1872" s="5" t="s">
        <v>3363</v>
      </c>
      <c r="F1872" s="5" t="s">
        <v>3364</v>
      </c>
      <c r="H1872" s="5">
        <v>573008784451</v>
      </c>
      <c r="J1872" s="5" t="s">
        <v>8499</v>
      </c>
      <c r="K1872" s="5" t="s">
        <v>5089</v>
      </c>
      <c r="L1872" s="5" t="s">
        <v>8500</v>
      </c>
      <c r="M1872" s="5">
        <v>3008784451</v>
      </c>
      <c r="N1872" s="6">
        <v>46059</v>
      </c>
      <c r="O1872" s="7">
        <v>0.375</v>
      </c>
      <c r="P1872" s="5">
        <v>1</v>
      </c>
      <c r="Q1872" s="5" t="s">
        <v>133</v>
      </c>
      <c r="R1872" s="5">
        <v>150000</v>
      </c>
      <c r="S1872" s="5">
        <v>0</v>
      </c>
      <c r="T1872" s="5">
        <v>25000</v>
      </c>
      <c r="U1872" s="5">
        <v>175000</v>
      </c>
      <c r="V1872" s="5" t="s">
        <v>8501</v>
      </c>
      <c r="W1872" s="5" t="s">
        <v>36</v>
      </c>
      <c r="X1872" s="5" t="s">
        <v>1481</v>
      </c>
      <c r="Z1872" s="5" t="s">
        <v>8502</v>
      </c>
      <c r="AA1872" s="5" t="s">
        <v>69</v>
      </c>
      <c r="AC1872" s="8" t="str">
        <f>HYPERLINK("https://drive.google.com/file/d/1_x43iK2TL7TraEcbDZ3eXUN3qlUoINiT/view?usp=drivesdk", "Abrir_Factura")</f>
        <v>Abrir_Factura</v>
      </c>
      <c r="AD1872" s="9">
        <v>46057.645335648151</v>
      </c>
    </row>
    <row r="1873" spans="1:30" ht="12.5">
      <c r="A1873" s="4">
        <v>46057.628883634257</v>
      </c>
      <c r="B1873" s="5">
        <v>91611</v>
      </c>
      <c r="C1873" s="5">
        <v>901228343</v>
      </c>
      <c r="D1873" s="5" t="s">
        <v>8503</v>
      </c>
      <c r="F1873" s="5" t="s">
        <v>7818</v>
      </c>
      <c r="H1873" s="5">
        <v>573209674178</v>
      </c>
      <c r="J1873" s="5" t="s">
        <v>8504</v>
      </c>
      <c r="K1873" s="5" t="s">
        <v>351</v>
      </c>
      <c r="L1873" s="5" t="s">
        <v>8505</v>
      </c>
      <c r="M1873" s="5" t="s">
        <v>8506</v>
      </c>
      <c r="N1873" s="6">
        <v>46057</v>
      </c>
      <c r="O1873" s="7">
        <v>0.375</v>
      </c>
      <c r="P1873" s="5">
        <v>1</v>
      </c>
      <c r="Q1873" s="5" t="s">
        <v>8507</v>
      </c>
      <c r="R1873" s="5">
        <v>180000</v>
      </c>
      <c r="S1873" s="5">
        <v>34200</v>
      </c>
      <c r="T1873" s="5">
        <v>12000</v>
      </c>
      <c r="U1873" s="5">
        <v>226200</v>
      </c>
      <c r="V1873" s="5" t="s">
        <v>8508</v>
      </c>
      <c r="W1873" s="5" t="s">
        <v>36</v>
      </c>
      <c r="X1873" s="5" t="s">
        <v>67</v>
      </c>
      <c r="Z1873" s="5" t="s">
        <v>8509</v>
      </c>
      <c r="AA1873" s="5" t="s">
        <v>44</v>
      </c>
      <c r="AC1873" s="8" t="str">
        <f>HYPERLINK("https://drive.google.com/file/d/1SHrgelNo26cwijHXf7ExIPhwZmAQQ47D/view?usp=drivesdk", "Abrir_Factura")</f>
        <v>Abrir_Factura</v>
      </c>
      <c r="AD1873" s="9">
        <v>46058.659629629627</v>
      </c>
    </row>
    <row r="1874" spans="1:30" ht="12.5">
      <c r="A1874" s="4">
        <v>46057.653888067129</v>
      </c>
      <c r="B1874" s="5">
        <v>91612</v>
      </c>
      <c r="C1874" s="5">
        <v>1140854950</v>
      </c>
      <c r="D1874" s="5" t="s">
        <v>8510</v>
      </c>
      <c r="F1874" s="5" t="s">
        <v>8511</v>
      </c>
      <c r="H1874" s="5">
        <v>573046491202</v>
      </c>
      <c r="J1874" s="5" t="s">
        <v>8512</v>
      </c>
      <c r="K1874" s="5" t="s">
        <v>73</v>
      </c>
      <c r="L1874" s="5" t="s">
        <v>8513</v>
      </c>
      <c r="M1874" s="5">
        <v>3006105928</v>
      </c>
      <c r="N1874" s="6">
        <v>46057</v>
      </c>
      <c r="O1874" s="7">
        <v>0.70833333333333337</v>
      </c>
      <c r="P1874" s="5">
        <v>1</v>
      </c>
      <c r="Q1874" s="5" t="s">
        <v>8514</v>
      </c>
      <c r="R1874" s="5">
        <v>170000</v>
      </c>
      <c r="S1874" s="5">
        <v>0</v>
      </c>
      <c r="T1874" s="5">
        <v>8000</v>
      </c>
      <c r="U1874" s="5">
        <v>178000</v>
      </c>
      <c r="V1874" s="5" t="s">
        <v>8515</v>
      </c>
      <c r="W1874" s="5" t="s">
        <v>36</v>
      </c>
      <c r="X1874" s="5" t="s">
        <v>1481</v>
      </c>
      <c r="Z1874" s="5" t="s">
        <v>8516</v>
      </c>
      <c r="AA1874" s="5" t="s">
        <v>44</v>
      </c>
      <c r="AC1874" s="8" t="str">
        <f>HYPERLINK("https://drive.google.com/file/d/1BbHlMzJtGe9GGGyVSx0rxDBJJDwx-qDo/view?usp=drivesdk", "Abrir_Factura")</f>
        <v>Abrir_Factura</v>
      </c>
      <c r="AD1874" s="9">
        <v>46057.673935185187</v>
      </c>
    </row>
    <row r="1875" spans="1:30" ht="12.5">
      <c r="A1875" s="4">
        <v>46057.677856967595</v>
      </c>
      <c r="B1875" s="5">
        <v>91613</v>
      </c>
      <c r="C1875" s="5">
        <v>1045680898</v>
      </c>
      <c r="D1875" s="5" t="s">
        <v>8517</v>
      </c>
      <c r="F1875" s="5" t="s">
        <v>8518</v>
      </c>
      <c r="H1875" s="5">
        <v>573012334915</v>
      </c>
      <c r="J1875" s="5" t="s">
        <v>8519</v>
      </c>
      <c r="K1875" s="5" t="s">
        <v>103</v>
      </c>
      <c r="L1875" s="5" t="s">
        <v>8520</v>
      </c>
      <c r="M1875" s="5">
        <v>3012334915</v>
      </c>
      <c r="N1875" s="6">
        <v>46057</v>
      </c>
      <c r="O1875" s="7">
        <v>0.70833333333333337</v>
      </c>
      <c r="P1875" s="5">
        <v>1</v>
      </c>
      <c r="Q1875" s="5" t="s">
        <v>309</v>
      </c>
      <c r="R1875" s="5">
        <v>88000</v>
      </c>
      <c r="S1875" s="5">
        <v>0</v>
      </c>
      <c r="T1875" s="5">
        <v>10000</v>
      </c>
      <c r="U1875" s="5">
        <v>98000</v>
      </c>
      <c r="V1875" s="5"/>
      <c r="W1875" s="5" t="s">
        <v>36</v>
      </c>
      <c r="X1875" s="5" t="s">
        <v>1481</v>
      </c>
      <c r="AA1875" s="5" t="s">
        <v>1717</v>
      </c>
      <c r="AC1875" s="8" t="str">
        <f>HYPERLINK("https://drive.google.com/file/d/1-Vj-3cOXMg609qy2S8zjv9tXdOe-r885/view?usp=drivesdk", "Abrir_Factura")</f>
        <v>Abrir_Factura</v>
      </c>
      <c r="AD1875" s="9">
        <v>46058.662129629629</v>
      </c>
    </row>
    <row r="1876" spans="1:30" ht="12.5">
      <c r="A1876" s="4">
        <v>46057.678587835646</v>
      </c>
      <c r="B1876" s="5">
        <v>91614</v>
      </c>
      <c r="C1876" s="5">
        <v>41491258</v>
      </c>
      <c r="D1876" s="5" t="s">
        <v>6115</v>
      </c>
      <c r="F1876" s="5" t="s">
        <v>2386</v>
      </c>
      <c r="H1876" s="5">
        <v>573106374225</v>
      </c>
      <c r="J1876" s="5" t="s">
        <v>6116</v>
      </c>
      <c r="K1876" s="5" t="s">
        <v>33</v>
      </c>
      <c r="L1876" s="5" t="s">
        <v>34</v>
      </c>
      <c r="M1876" s="5">
        <v>3106374225</v>
      </c>
      <c r="N1876" s="6">
        <v>46057</v>
      </c>
      <c r="O1876" s="7">
        <v>0</v>
      </c>
      <c r="P1876" s="5">
        <v>1</v>
      </c>
      <c r="Q1876" s="5" t="s">
        <v>42</v>
      </c>
      <c r="R1876" s="5">
        <v>20000</v>
      </c>
      <c r="S1876" s="5">
        <v>0</v>
      </c>
      <c r="T1876" s="5">
        <v>0</v>
      </c>
      <c r="U1876" s="5">
        <v>20000</v>
      </c>
      <c r="V1876" s="5"/>
      <c r="W1876" s="5" t="s">
        <v>36</v>
      </c>
      <c r="X1876" s="5" t="s">
        <v>196</v>
      </c>
      <c r="AA1876" s="5" t="s">
        <v>1717</v>
      </c>
      <c r="AC1876" s="8" t="str">
        <f>HYPERLINK("https://drive.google.com/file/d/1qiTQhOcw2IK0u4cQ4qTrieitjr6dGR_W/view?usp=drivesdk", "Abrir_Factura")</f>
        <v>Abrir_Factura</v>
      </c>
      <c r="AD1876" s="9">
        <v>46057.682199074072</v>
      </c>
    </row>
    <row r="1877" spans="1:30" ht="12.5">
      <c r="A1877" s="4">
        <v>46057.677526701387</v>
      </c>
      <c r="B1877" s="5">
        <v>91615</v>
      </c>
      <c r="C1877" s="5">
        <v>1052091181</v>
      </c>
      <c r="D1877" s="5" t="s">
        <v>8521</v>
      </c>
      <c r="F1877" s="5" t="s">
        <v>8522</v>
      </c>
      <c r="H1877" s="5">
        <v>573003413524</v>
      </c>
      <c r="J1877" s="5" t="s">
        <v>8523</v>
      </c>
      <c r="K1877" s="5" t="s">
        <v>563</v>
      </c>
      <c r="L1877" s="5" t="s">
        <v>8524</v>
      </c>
      <c r="M1877" s="5">
        <v>3003413524</v>
      </c>
      <c r="N1877" s="6">
        <v>46057</v>
      </c>
      <c r="O1877" s="7">
        <v>0.70833333333333337</v>
      </c>
      <c r="P1877" s="5">
        <v>1</v>
      </c>
      <c r="Q1877" s="5" t="s">
        <v>309</v>
      </c>
      <c r="R1877" s="5">
        <v>88000</v>
      </c>
      <c r="S1877" s="5">
        <v>0</v>
      </c>
      <c r="T1877" s="5">
        <v>12000</v>
      </c>
      <c r="U1877" s="5">
        <v>100000</v>
      </c>
      <c r="V1877" s="5" t="s">
        <v>8525</v>
      </c>
      <c r="W1877" s="5" t="s">
        <v>36</v>
      </c>
      <c r="X1877" s="5" t="s">
        <v>196</v>
      </c>
      <c r="Z1877" s="5" t="s">
        <v>8526</v>
      </c>
      <c r="AA1877" s="5" t="s">
        <v>44</v>
      </c>
      <c r="AC1877" s="8" t="str">
        <f>HYPERLINK("https://drive.google.com/file/d/1C4xPvCKYNFnEsWxEWoKYyzWCIVnTJ5Ku/view?usp=drivesdk", "Abrir_Factura")</f>
        <v>Abrir_Factura</v>
      </c>
      <c r="AD1877" s="9">
        <v>46058.66982638889</v>
      </c>
    </row>
    <row r="1878" spans="1:30" ht="12.5">
      <c r="A1878" s="4">
        <v>46057.692351597223</v>
      </c>
      <c r="B1878" s="5">
        <v>91616</v>
      </c>
      <c r="C1878" s="5">
        <v>22491398</v>
      </c>
      <c r="D1878" s="5" t="s">
        <v>8527</v>
      </c>
      <c r="F1878" s="5" t="s">
        <v>8528</v>
      </c>
      <c r="H1878" s="5">
        <v>573018117852</v>
      </c>
      <c r="J1878" s="5" t="s">
        <v>8529</v>
      </c>
      <c r="K1878" s="5" t="s">
        <v>249</v>
      </c>
      <c r="L1878" s="5" t="s">
        <v>8530</v>
      </c>
      <c r="M1878" s="5">
        <v>3145975374</v>
      </c>
      <c r="N1878" s="6">
        <v>46058</v>
      </c>
      <c r="O1878" s="7">
        <v>0.33333333333333331</v>
      </c>
      <c r="P1878" s="5">
        <v>1</v>
      </c>
      <c r="Q1878" s="5" t="s">
        <v>57</v>
      </c>
      <c r="R1878" s="5">
        <v>120000</v>
      </c>
      <c r="S1878" s="5">
        <v>0</v>
      </c>
      <c r="T1878" s="5">
        <v>10000</v>
      </c>
      <c r="U1878" s="5">
        <v>130000</v>
      </c>
      <c r="V1878" s="5" t="s">
        <v>8531</v>
      </c>
      <c r="W1878" s="5" t="s">
        <v>36</v>
      </c>
      <c r="X1878" s="5" t="s">
        <v>67</v>
      </c>
      <c r="Z1878" s="5" t="s">
        <v>8532</v>
      </c>
      <c r="AA1878" s="5" t="s">
        <v>44</v>
      </c>
      <c r="AC1878" s="8" t="str">
        <f>HYPERLINK("https://drive.google.com/file/d/1oF_oamOgdcioq_iXqqH3ohowhVlkTpZG/view?usp=drivesdk", "Abrir_Factura")</f>
        <v>Abrir_Factura</v>
      </c>
      <c r="AD1878" s="9">
        <v>46057.719293981485</v>
      </c>
    </row>
    <row r="1879" spans="1:30" ht="12.5">
      <c r="A1879" s="4">
        <v>46057.693802870373</v>
      </c>
      <c r="B1879" s="5">
        <v>91617</v>
      </c>
      <c r="C1879" s="5">
        <v>1001944050</v>
      </c>
      <c r="D1879" s="5" t="s">
        <v>5685</v>
      </c>
      <c r="F1879" s="5" t="s">
        <v>8533</v>
      </c>
      <c r="H1879" s="5">
        <v>17274323397</v>
      </c>
      <c r="J1879" s="5" t="s">
        <v>8534</v>
      </c>
      <c r="K1879" s="5" t="s">
        <v>328</v>
      </c>
      <c r="L1879" s="5" t="s">
        <v>8535</v>
      </c>
      <c r="M1879" s="5" t="s">
        <v>8536</v>
      </c>
      <c r="N1879" s="6">
        <v>46058</v>
      </c>
      <c r="O1879" s="7">
        <v>0.37152777777777779</v>
      </c>
      <c r="P1879" s="5">
        <v>1</v>
      </c>
      <c r="Q1879" s="5" t="s">
        <v>8537</v>
      </c>
      <c r="R1879" s="5">
        <v>300000</v>
      </c>
      <c r="S1879" s="5">
        <v>0</v>
      </c>
      <c r="T1879" s="5">
        <v>12000</v>
      </c>
      <c r="U1879" s="5">
        <v>312000</v>
      </c>
      <c r="V1879" s="5" t="s">
        <v>8538</v>
      </c>
      <c r="W1879" s="5" t="s">
        <v>36</v>
      </c>
      <c r="X1879" s="5" t="s">
        <v>1481</v>
      </c>
      <c r="Z1879" s="5" t="s">
        <v>8539</v>
      </c>
      <c r="AA1879" s="5" t="s">
        <v>44</v>
      </c>
      <c r="AC1879" s="8" t="str">
        <f>HYPERLINK("https://drive.google.com/file/d/1ndHUcZWEs949-sl0yNFGynXdzmAbqoVm/view?usp=drivesdk", "Abrir_Factura")</f>
        <v>Abrir_Factura</v>
      </c>
      <c r="AD1879" s="9">
        <v>46057.728113425925</v>
      </c>
    </row>
    <row r="1880" spans="1:30" ht="12.5">
      <c r="A1880" s="4">
        <v>46057.731205057869</v>
      </c>
      <c r="B1880" s="5">
        <v>91618</v>
      </c>
      <c r="C1880" s="5">
        <v>113029936</v>
      </c>
      <c r="D1880" s="5" t="s">
        <v>8540</v>
      </c>
      <c r="F1880" s="5" t="s">
        <v>8541</v>
      </c>
      <c r="H1880" s="5">
        <v>573022992802</v>
      </c>
      <c r="J1880" s="5" t="s">
        <v>8542</v>
      </c>
      <c r="K1880" s="5" t="s">
        <v>33</v>
      </c>
      <c r="L1880" s="5" t="s">
        <v>8543</v>
      </c>
      <c r="M1880" s="5"/>
      <c r="N1880" s="6">
        <v>46064</v>
      </c>
      <c r="O1880" s="7">
        <v>1.8749999999999999E-2</v>
      </c>
      <c r="P1880" s="5">
        <v>1</v>
      </c>
      <c r="Q1880" s="5" t="s">
        <v>309</v>
      </c>
      <c r="R1880" s="5">
        <v>88000</v>
      </c>
      <c r="S1880" s="5">
        <v>0</v>
      </c>
      <c r="T1880" s="5">
        <v>0</v>
      </c>
      <c r="U1880" s="5">
        <v>88000</v>
      </c>
      <c r="V1880" s="5"/>
      <c r="W1880" s="5" t="s">
        <v>36</v>
      </c>
      <c r="X1880" s="5" t="s">
        <v>1481</v>
      </c>
      <c r="Z1880" s="5" t="s">
        <v>8544</v>
      </c>
      <c r="AA1880" s="5" t="s">
        <v>44</v>
      </c>
      <c r="AC1880" s="8" t="str">
        <f>HYPERLINK("https://drive.google.com/file/d/1pUZKb5DxuD8m6knuYToSHS5pEoOeOq65/view?usp=drivesdk", "Abrir_Factura")</f>
        <v>Abrir_Factura</v>
      </c>
      <c r="AD1880" s="9">
        <v>46057.742962962962</v>
      </c>
    </row>
    <row r="1881" spans="1:30" ht="12.5">
      <c r="A1881" s="4">
        <v>46057.745555775458</v>
      </c>
      <c r="B1881" s="5">
        <v>91619</v>
      </c>
      <c r="C1881" s="5">
        <v>1124004788</v>
      </c>
      <c r="D1881" s="5" t="s">
        <v>8545</v>
      </c>
      <c r="F1881" s="5" t="s">
        <v>7043</v>
      </c>
      <c r="H1881" s="5">
        <v>573222123914</v>
      </c>
      <c r="J1881" s="5" t="s">
        <v>8546</v>
      </c>
      <c r="K1881" s="5" t="s">
        <v>73</v>
      </c>
      <c r="L1881" s="5" t="s">
        <v>8547</v>
      </c>
      <c r="M1881" s="5" t="s">
        <v>8548</v>
      </c>
      <c r="N1881" s="6">
        <v>46066</v>
      </c>
      <c r="O1881" s="7">
        <v>0.33333333333333331</v>
      </c>
      <c r="P1881" s="5">
        <v>1</v>
      </c>
      <c r="Q1881" s="5" t="s">
        <v>8549</v>
      </c>
      <c r="R1881" s="5">
        <v>90000</v>
      </c>
      <c r="S1881" s="5">
        <v>0</v>
      </c>
      <c r="T1881" s="5">
        <v>8000</v>
      </c>
      <c r="U1881" s="5">
        <v>98000</v>
      </c>
      <c r="V1881" s="5" t="s">
        <v>8550</v>
      </c>
      <c r="W1881" s="5" t="s">
        <v>36</v>
      </c>
      <c r="X1881" s="5" t="s">
        <v>7644</v>
      </c>
      <c r="AA1881" s="5" t="s">
        <v>44</v>
      </c>
      <c r="AB1881" s="5" t="s">
        <v>8551</v>
      </c>
      <c r="AC1881" s="8" t="str">
        <f>HYPERLINK("https://drive.google.com/file/d/18Y0_2R8cQeUnllT_Kk94_rQp07-0qM9V/view?usp=drivesdk", "Abrir_Factura")</f>
        <v>Abrir_Factura</v>
      </c>
      <c r="AD1881" s="9">
        <v>46057.747048611112</v>
      </c>
    </row>
    <row r="1882" spans="1:30" ht="12.5">
      <c r="A1882" s="4">
        <v>46057.743118437502</v>
      </c>
      <c r="B1882" s="5">
        <v>91620</v>
      </c>
      <c r="C1882" s="5">
        <v>1140866459</v>
      </c>
      <c r="D1882" s="5" t="s">
        <v>8552</v>
      </c>
      <c r="F1882" s="5" t="s">
        <v>4870</v>
      </c>
      <c r="H1882" s="5">
        <v>573215748571</v>
      </c>
      <c r="J1882" s="5" t="s">
        <v>8553</v>
      </c>
      <c r="K1882" s="5" t="s">
        <v>7476</v>
      </c>
      <c r="L1882" s="5" t="s">
        <v>8554</v>
      </c>
      <c r="M1882" s="5">
        <v>3107095696</v>
      </c>
      <c r="N1882" s="6">
        <v>46058</v>
      </c>
      <c r="O1882" s="7">
        <v>0.3611111111111111</v>
      </c>
      <c r="P1882" s="5">
        <v>1</v>
      </c>
      <c r="Q1882" s="5" t="s">
        <v>3156</v>
      </c>
      <c r="R1882" s="5">
        <v>190000</v>
      </c>
      <c r="S1882" s="5">
        <v>0</v>
      </c>
      <c r="T1882" s="5">
        <v>15000</v>
      </c>
      <c r="U1882" s="5">
        <v>205000</v>
      </c>
      <c r="V1882" s="5" t="s">
        <v>8555</v>
      </c>
      <c r="W1882" s="5" t="s">
        <v>36</v>
      </c>
      <c r="X1882" s="5" t="s">
        <v>1481</v>
      </c>
      <c r="Z1882" s="5" t="s">
        <v>8556</v>
      </c>
      <c r="AA1882" s="5" t="s">
        <v>69</v>
      </c>
      <c r="AC1882" s="8" t="str">
        <f>HYPERLINK("https://drive.google.com/file/d/1TVGTosSgoWmzuOwpUW7cH3PyHQeMBaz-/view?usp=drivesdk", "Abrir_Factura")</f>
        <v>Abrir_Factura</v>
      </c>
      <c r="AD1882" s="9">
        <v>46057.757418981484</v>
      </c>
    </row>
    <row r="1883" spans="1:30" ht="12.5">
      <c r="A1883" s="4">
        <v>46057.760394050929</v>
      </c>
      <c r="B1883" s="5">
        <v>91621</v>
      </c>
      <c r="C1883" s="5">
        <v>1045715009</v>
      </c>
      <c r="D1883" s="5" t="s">
        <v>290</v>
      </c>
      <c r="F1883" s="5" t="s">
        <v>8557</v>
      </c>
      <c r="H1883" s="5">
        <v>573007471391</v>
      </c>
      <c r="J1883" s="5" t="s">
        <v>8558</v>
      </c>
      <c r="K1883" s="5" t="s">
        <v>33</v>
      </c>
      <c r="L1883" s="5" t="s">
        <v>34</v>
      </c>
      <c r="M1883" s="5">
        <v>3007471391</v>
      </c>
      <c r="N1883" s="6">
        <v>46057</v>
      </c>
      <c r="O1883" s="7">
        <v>0.76527777777777772</v>
      </c>
      <c r="P1883" s="5">
        <v>1</v>
      </c>
      <c r="Q1883" s="5" t="s">
        <v>75</v>
      </c>
      <c r="R1883" s="5">
        <v>80000</v>
      </c>
      <c r="S1883" s="5">
        <v>0</v>
      </c>
      <c r="T1883" s="5">
        <v>0</v>
      </c>
      <c r="U1883" s="5">
        <v>80000</v>
      </c>
      <c r="V1883" s="5"/>
      <c r="W1883" s="5" t="s">
        <v>36</v>
      </c>
      <c r="X1883" s="5" t="s">
        <v>1705</v>
      </c>
      <c r="AA1883" s="5" t="s">
        <v>1717</v>
      </c>
      <c r="AC1883" s="8" t="str">
        <f>HYPERLINK("https://drive.google.com/file/d/1Ghm8yam-msMmWSxlPi_EdcyfkHtyuGno/view?usp=drivesdk", "Abrir_Factura")</f>
        <v>Abrir_Factura</v>
      </c>
      <c r="AD1883" s="9">
        <v>46057.761111111111</v>
      </c>
    </row>
    <row r="1884" spans="1:30" ht="12.5">
      <c r="A1884" s="4">
        <v>46057.76226106481</v>
      </c>
      <c r="B1884" s="5">
        <v>91622</v>
      </c>
      <c r="C1884" s="5">
        <v>1192804007</v>
      </c>
      <c r="D1884" s="5" t="s">
        <v>698</v>
      </c>
      <c r="F1884" s="5" t="s">
        <v>2749</v>
      </c>
      <c r="H1884" s="5">
        <v>573014894720</v>
      </c>
      <c r="J1884" s="5" t="s">
        <v>8559</v>
      </c>
      <c r="K1884" s="5" t="s">
        <v>33</v>
      </c>
      <c r="L1884" s="5" t="s">
        <v>34</v>
      </c>
      <c r="M1884" s="5">
        <v>3014894720</v>
      </c>
      <c r="N1884" s="6">
        <v>46057</v>
      </c>
      <c r="O1884" s="7">
        <v>0.26666666666666666</v>
      </c>
      <c r="P1884" s="5">
        <v>1</v>
      </c>
      <c r="Q1884" s="5" t="s">
        <v>3111</v>
      </c>
      <c r="R1884" s="5">
        <v>220000</v>
      </c>
      <c r="S1884" s="5">
        <v>0</v>
      </c>
      <c r="T1884" s="5">
        <v>0</v>
      </c>
      <c r="U1884" s="5">
        <v>220000</v>
      </c>
      <c r="V1884" s="5"/>
      <c r="W1884" s="5" t="s">
        <v>36</v>
      </c>
      <c r="X1884" s="5" t="s">
        <v>1705</v>
      </c>
      <c r="AA1884" s="5" t="s">
        <v>1717</v>
      </c>
      <c r="AC1884" s="8" t="str">
        <f>HYPERLINK("https://drive.google.com/file/d/1q0eIMfd19vNblxNfqLaxlx8jEfCH9GHU/view?usp=drivesdk", "Abrir_Factura")</f>
        <v>Abrir_Factura</v>
      </c>
      <c r="AD1884" s="9">
        <v>46057.763310185182</v>
      </c>
    </row>
    <row r="1885" spans="1:30" ht="12.5">
      <c r="A1885" s="4">
        <v>46057.765374282404</v>
      </c>
      <c r="B1885" s="5">
        <v>91623</v>
      </c>
      <c r="C1885" s="5">
        <v>49781950</v>
      </c>
      <c r="D1885" s="5" t="s">
        <v>262</v>
      </c>
      <c r="F1885" s="5" t="s">
        <v>8560</v>
      </c>
      <c r="H1885" s="5">
        <v>573003897684</v>
      </c>
      <c r="J1885" s="5" t="s">
        <v>8561</v>
      </c>
      <c r="K1885" s="5" t="s">
        <v>33</v>
      </c>
      <c r="L1885" s="5" t="s">
        <v>34</v>
      </c>
      <c r="M1885" s="5">
        <v>3003897684</v>
      </c>
      <c r="N1885" s="6">
        <v>46057</v>
      </c>
      <c r="O1885" s="7">
        <v>0.75</v>
      </c>
      <c r="P1885" s="5">
        <v>1</v>
      </c>
      <c r="Q1885" s="5" t="s">
        <v>42</v>
      </c>
      <c r="R1885" s="5">
        <v>42000</v>
      </c>
      <c r="S1885" s="5">
        <v>0</v>
      </c>
      <c r="T1885" s="5">
        <v>0</v>
      </c>
      <c r="U1885" s="5">
        <v>42000</v>
      </c>
      <c r="V1885" s="5"/>
      <c r="W1885" s="5" t="s">
        <v>36</v>
      </c>
      <c r="X1885" s="5" t="s">
        <v>1705</v>
      </c>
      <c r="AA1885" s="5" t="s">
        <v>1717</v>
      </c>
      <c r="AB1885" s="5" t="s">
        <v>525</v>
      </c>
      <c r="AC1885" s="8" t="str">
        <f>HYPERLINK("https://drive.google.com/file/d/10cutxuDc3fIvXhOi6HXXOa685nQQnAuQ/view?usp=drivesdk", "Abrir_Factura")</f>
        <v>Abrir_Factura</v>
      </c>
      <c r="AD1885" s="9">
        <v>46057.766180555554</v>
      </c>
    </row>
    <row r="1886" spans="1:30" ht="12.5">
      <c r="A1886" s="4">
        <v>46057.754203935183</v>
      </c>
      <c r="B1886" s="5">
        <v>91624</v>
      </c>
      <c r="C1886" s="5">
        <v>55301204</v>
      </c>
      <c r="D1886" s="5" t="s">
        <v>8562</v>
      </c>
      <c r="F1886" s="5" t="s">
        <v>8563</v>
      </c>
      <c r="H1886" s="5">
        <v>573105095798</v>
      </c>
      <c r="J1886" s="5" t="s">
        <v>8564</v>
      </c>
      <c r="K1886" s="5" t="s">
        <v>33</v>
      </c>
      <c r="L1886" s="5" t="s">
        <v>34</v>
      </c>
      <c r="M1886" s="5" t="s">
        <v>8565</v>
      </c>
      <c r="N1886" s="6">
        <v>46057</v>
      </c>
      <c r="O1886" s="7">
        <v>0.75</v>
      </c>
      <c r="P1886" s="5">
        <v>1</v>
      </c>
      <c r="Q1886" s="5" t="s">
        <v>8566</v>
      </c>
      <c r="R1886" s="5">
        <v>24000</v>
      </c>
      <c r="S1886" s="5">
        <v>0</v>
      </c>
      <c r="T1886" s="5">
        <v>0</v>
      </c>
      <c r="U1886" s="5">
        <v>24000</v>
      </c>
      <c r="V1886" s="5"/>
      <c r="W1886" s="5" t="s">
        <v>36</v>
      </c>
      <c r="X1886" s="5" t="s">
        <v>196</v>
      </c>
      <c r="AA1886" s="5" t="s">
        <v>69</v>
      </c>
      <c r="AB1886" s="5" t="s">
        <v>8567</v>
      </c>
      <c r="AC1886" s="8" t="str">
        <f>HYPERLINK("https://drive.google.com/file/d/18L6zerbq78Tk9efjK3CndwnTCTlJ1sdJ/view?usp=drivesdk", "Abrir_Factura")</f>
        <v>Abrir_Factura</v>
      </c>
      <c r="AD1886" s="9">
        <v>46057.771620370368</v>
      </c>
    </row>
    <row r="1887" spans="1:30" ht="12.5">
      <c r="A1887" s="4">
        <v>46057.813685601854</v>
      </c>
      <c r="B1887" s="5">
        <v>91625</v>
      </c>
      <c r="C1887" s="5">
        <v>22735060</v>
      </c>
      <c r="D1887" s="5" t="s">
        <v>2385</v>
      </c>
      <c r="F1887" s="5" t="s">
        <v>2386</v>
      </c>
      <c r="H1887" s="5">
        <v>573042145559</v>
      </c>
      <c r="J1887" s="5" t="s">
        <v>8568</v>
      </c>
      <c r="K1887" s="5"/>
      <c r="L1887" s="5" t="s">
        <v>8569</v>
      </c>
      <c r="M1887" s="5">
        <v>3014330039</v>
      </c>
      <c r="N1887" s="6">
        <v>46060</v>
      </c>
      <c r="O1887" s="7">
        <v>0.64722222222222225</v>
      </c>
      <c r="P1887" s="5">
        <v>1</v>
      </c>
      <c r="Q1887" s="5" t="s">
        <v>42</v>
      </c>
      <c r="R1887" s="5">
        <v>120000</v>
      </c>
      <c r="S1887" s="5">
        <v>0</v>
      </c>
      <c r="T1887" s="5"/>
      <c r="U1887" s="5">
        <v>120000</v>
      </c>
      <c r="V1887" s="5"/>
      <c r="W1887" s="5" t="s">
        <v>36</v>
      </c>
      <c r="X1887" s="5" t="s">
        <v>67</v>
      </c>
      <c r="AA1887" s="5" t="s">
        <v>1717</v>
      </c>
      <c r="AB1887" s="5" t="s">
        <v>8570</v>
      </c>
      <c r="AC1887" s="8" t="str">
        <f>HYPERLINK("https://drive.google.com/file/d/1GMoOJiTLvuTgVgAiSZaHY6WKQjCSZ5pE/view?usp=drivesdk", "Abrir_Factura")</f>
        <v>Abrir_Factura</v>
      </c>
      <c r="AD1887" s="9">
        <v>46078.677754629629</v>
      </c>
    </row>
    <row r="1888" spans="1:30" ht="12.5">
      <c r="A1888" s="4">
        <v>46058.300604571763</v>
      </c>
      <c r="B1888" s="5">
        <v>91626</v>
      </c>
      <c r="C1888" s="5">
        <v>77025796</v>
      </c>
      <c r="D1888" s="5" t="s">
        <v>8571</v>
      </c>
      <c r="F1888" s="5" t="s">
        <v>1390</v>
      </c>
      <c r="H1888" s="5">
        <v>570000</v>
      </c>
      <c r="J1888" s="5" t="s">
        <v>8572</v>
      </c>
      <c r="K1888" s="5"/>
      <c r="L1888" s="5" t="s">
        <v>8573</v>
      </c>
      <c r="M1888" s="5"/>
      <c r="N1888" s="6">
        <v>46058</v>
      </c>
      <c r="O1888" s="7">
        <v>0.33333333333333331</v>
      </c>
      <c r="P1888" s="5">
        <v>1</v>
      </c>
      <c r="Q1888" s="5" t="s">
        <v>747</v>
      </c>
      <c r="R1888" s="5">
        <v>340000</v>
      </c>
      <c r="S1888" s="5">
        <v>0</v>
      </c>
      <c r="T1888" s="5"/>
      <c r="U1888" s="5">
        <v>340000</v>
      </c>
      <c r="V1888" s="5" t="s">
        <v>8574</v>
      </c>
      <c r="W1888" s="5" t="s">
        <v>36</v>
      </c>
      <c r="X1888" s="5" t="s">
        <v>1481</v>
      </c>
      <c r="AA1888" s="5" t="s">
        <v>44</v>
      </c>
      <c r="AC1888" s="8" t="str">
        <f>HYPERLINK("https://drive.google.com/file/d/1CYQp582zetsAojPW_u9QBe24_WmEgztg/view?usp=drivesdk", "Abrir_Factura")</f>
        <v>Abrir_Factura</v>
      </c>
      <c r="AD1888" s="9">
        <v>46058.301238425927</v>
      </c>
    </row>
    <row r="1889" spans="1:30" ht="12.5">
      <c r="A1889" s="4">
        <v>46058.321531180554</v>
      </c>
      <c r="B1889" s="5">
        <v>91627</v>
      </c>
      <c r="C1889" s="5">
        <v>80420054</v>
      </c>
      <c r="D1889" s="5" t="s">
        <v>343</v>
      </c>
      <c r="F1889" s="5" t="s">
        <v>344</v>
      </c>
      <c r="H1889" s="5">
        <v>573112029123</v>
      </c>
      <c r="J1889" s="5" t="s">
        <v>8575</v>
      </c>
      <c r="K1889" s="5" t="s">
        <v>79</v>
      </c>
      <c r="L1889" s="5" t="s">
        <v>8576</v>
      </c>
      <c r="M1889" s="5" t="s">
        <v>8577</v>
      </c>
      <c r="N1889" s="6">
        <v>46058</v>
      </c>
      <c r="O1889" s="7">
        <v>0.41666666666666669</v>
      </c>
      <c r="P1889" s="5">
        <v>1</v>
      </c>
      <c r="Q1889" s="5" t="s">
        <v>380</v>
      </c>
      <c r="R1889" s="5">
        <v>340000</v>
      </c>
      <c r="S1889" s="5">
        <v>0</v>
      </c>
      <c r="T1889" s="5">
        <v>10000</v>
      </c>
      <c r="U1889" s="5">
        <v>350000</v>
      </c>
      <c r="V1889" s="5" t="s">
        <v>8578</v>
      </c>
      <c r="W1889" s="5" t="s">
        <v>36</v>
      </c>
      <c r="X1889" s="5" t="s">
        <v>1481</v>
      </c>
      <c r="Z1889" s="5" t="s">
        <v>343</v>
      </c>
      <c r="AA1889" s="5" t="s">
        <v>44</v>
      </c>
      <c r="AC1889" s="8" t="str">
        <f>HYPERLINK("https://drive.google.com/file/d/17BLCOEhY2fohh5-Lsnl7_F6xe0Xtvs1Z/view?usp=drivesdk", "Abrir_Factura")</f>
        <v>Abrir_Factura</v>
      </c>
      <c r="AD1889" s="9">
        <v>46058.334652777776</v>
      </c>
    </row>
    <row r="1890" spans="1:30" ht="12.5">
      <c r="A1890" s="4">
        <v>46058.320407071762</v>
      </c>
      <c r="B1890" s="5">
        <v>91628</v>
      </c>
      <c r="C1890" s="5">
        <v>1044211617</v>
      </c>
      <c r="D1890" s="5" t="s">
        <v>8579</v>
      </c>
      <c r="F1890" s="5" t="s">
        <v>8580</v>
      </c>
      <c r="H1890" s="5">
        <v>573147271426</v>
      </c>
      <c r="J1890" s="5" t="s">
        <v>8581</v>
      </c>
      <c r="K1890" s="5" t="s">
        <v>5574</v>
      </c>
      <c r="L1890" s="5" t="s">
        <v>8582</v>
      </c>
      <c r="M1890" s="5">
        <v>3215229164</v>
      </c>
      <c r="N1890" s="6">
        <v>46058</v>
      </c>
      <c r="O1890" s="7">
        <v>0.41666666666666669</v>
      </c>
      <c r="P1890" s="5">
        <v>1</v>
      </c>
      <c r="Q1890" s="5" t="s">
        <v>322</v>
      </c>
      <c r="R1890" s="5">
        <v>135000</v>
      </c>
      <c r="S1890" s="5">
        <v>0</v>
      </c>
      <c r="T1890" s="5">
        <v>10000</v>
      </c>
      <c r="U1890" s="5">
        <v>145000</v>
      </c>
      <c r="V1890" s="5" t="s">
        <v>8583</v>
      </c>
      <c r="W1890" s="5" t="s">
        <v>36</v>
      </c>
      <c r="X1890" s="5" t="s">
        <v>67</v>
      </c>
      <c r="Z1890" s="5" t="s">
        <v>8584</v>
      </c>
      <c r="AA1890" s="5" t="s">
        <v>44</v>
      </c>
      <c r="AC1890" s="8" t="str">
        <f>HYPERLINK("https://drive.google.com/file/d/1J-AzaEKW6g57Dt4-YfZy3yVzaoy6V0la/view?usp=drivesdk", "Abrir_Factura")</f>
        <v>Abrir_Factura</v>
      </c>
      <c r="AD1890" s="9">
        <v>46058.337893518517</v>
      </c>
    </row>
    <row r="1891" spans="1:30" ht="12.5">
      <c r="A1891" s="4">
        <v>46058.325827106484</v>
      </c>
      <c r="B1891" s="5">
        <v>91629</v>
      </c>
      <c r="C1891" s="5">
        <v>1140869294</v>
      </c>
      <c r="D1891" s="5" t="s">
        <v>76</v>
      </c>
      <c r="F1891" s="5" t="s">
        <v>8585</v>
      </c>
      <c r="H1891" s="5">
        <v>573014063275</v>
      </c>
      <c r="J1891" s="5" t="s">
        <v>8586</v>
      </c>
      <c r="K1891" s="5" t="s">
        <v>73</v>
      </c>
      <c r="L1891" s="5" t="s">
        <v>8587</v>
      </c>
      <c r="M1891" s="5">
        <v>3505834440</v>
      </c>
      <c r="N1891" s="6">
        <v>46058</v>
      </c>
      <c r="O1891" s="7">
        <v>0.41666666666666669</v>
      </c>
      <c r="P1891" s="5">
        <v>1</v>
      </c>
      <c r="Q1891" s="5" t="s">
        <v>375</v>
      </c>
      <c r="R1891" s="5">
        <v>80000</v>
      </c>
      <c r="S1891" s="5">
        <v>0</v>
      </c>
      <c r="T1891" s="5">
        <v>8000</v>
      </c>
      <c r="U1891" s="5">
        <v>88000</v>
      </c>
      <c r="V1891" s="5" t="s">
        <v>8588</v>
      </c>
      <c r="W1891" s="5" t="s">
        <v>36</v>
      </c>
      <c r="X1891" s="5" t="s">
        <v>67</v>
      </c>
      <c r="Z1891" s="5" t="s">
        <v>8589</v>
      </c>
      <c r="AA1891" s="5" t="s">
        <v>44</v>
      </c>
      <c r="AB1891" s="5" t="s">
        <v>8590</v>
      </c>
      <c r="AC1891" s="8" t="str">
        <f>HYPERLINK("https://drive.google.com/file/d/1JewVQwKEw3-mweqXI4V6QzDWzdJiLYkj/view?usp=drivesdk", "Abrir_Factura")</f>
        <v>Abrir_Factura</v>
      </c>
      <c r="AD1891" s="9">
        <v>46058.343124999999</v>
      </c>
    </row>
    <row r="1892" spans="1:30" ht="12.5">
      <c r="A1892" s="4">
        <v>46058.264410671298</v>
      </c>
      <c r="B1892" s="5">
        <v>91630</v>
      </c>
      <c r="C1892" s="5">
        <v>72275722</v>
      </c>
      <c r="D1892" s="5" t="s">
        <v>4458</v>
      </c>
      <c r="F1892" s="5" t="s">
        <v>312</v>
      </c>
      <c r="H1892" s="5">
        <v>573006147425</v>
      </c>
      <c r="J1892" s="5" t="s">
        <v>8591</v>
      </c>
      <c r="K1892" s="5" t="s">
        <v>4558</v>
      </c>
      <c r="L1892" s="5" t="s">
        <v>8592</v>
      </c>
      <c r="M1892" s="5">
        <v>3014078449</v>
      </c>
      <c r="N1892" s="6">
        <v>46058</v>
      </c>
      <c r="O1892" s="7">
        <v>0.41666666666666669</v>
      </c>
      <c r="P1892" s="5">
        <v>1</v>
      </c>
      <c r="Q1892" s="5" t="s">
        <v>375</v>
      </c>
      <c r="R1892" s="5">
        <v>80000</v>
      </c>
      <c r="S1892" s="5">
        <v>0</v>
      </c>
      <c r="T1892" s="5">
        <v>10000</v>
      </c>
      <c r="U1892" s="5">
        <v>90000</v>
      </c>
      <c r="V1892" s="5" t="s">
        <v>8593</v>
      </c>
      <c r="W1892" s="5" t="s">
        <v>36</v>
      </c>
      <c r="X1892" s="5" t="s">
        <v>180</v>
      </c>
      <c r="Z1892" s="5" t="s">
        <v>686</v>
      </c>
      <c r="AA1892" s="5" t="s">
        <v>44</v>
      </c>
      <c r="AB1892" s="5" t="s">
        <v>8594</v>
      </c>
      <c r="AC1892" s="8" t="str">
        <f>HYPERLINK("https://drive.google.com/file/d/1Q6yvMpf94QZRIjsE52Ro5nlniA32TChK/view?usp=drivesdk", "Abrir_Factura")</f>
        <v>Abrir_Factura</v>
      </c>
      <c r="AD1892" s="9">
        <v>46058.344085648147</v>
      </c>
    </row>
    <row r="1893" spans="1:30" ht="12.5">
      <c r="A1893" s="4">
        <v>46058.368280567127</v>
      </c>
      <c r="B1893" s="5">
        <v>91631</v>
      </c>
      <c r="C1893" s="5">
        <v>8486565</v>
      </c>
      <c r="D1893" s="5" t="s">
        <v>584</v>
      </c>
      <c r="F1893" s="5" t="s">
        <v>8595</v>
      </c>
      <c r="H1893" s="5">
        <v>570000</v>
      </c>
      <c r="J1893" s="5" t="s">
        <v>8596</v>
      </c>
      <c r="K1893" s="5" t="s">
        <v>33</v>
      </c>
      <c r="L1893" s="5" t="s">
        <v>34</v>
      </c>
      <c r="M1893" s="5"/>
      <c r="N1893" s="6">
        <v>46058</v>
      </c>
      <c r="O1893" s="7">
        <v>0</v>
      </c>
      <c r="P1893" s="5">
        <v>1</v>
      </c>
      <c r="Q1893" s="5" t="s">
        <v>178</v>
      </c>
      <c r="R1893" s="5">
        <v>110000</v>
      </c>
      <c r="S1893" s="5">
        <v>0</v>
      </c>
      <c r="T1893" s="5">
        <v>0</v>
      </c>
      <c r="U1893" s="5">
        <v>110000</v>
      </c>
      <c r="V1893" s="5"/>
      <c r="W1893" s="5" t="s">
        <v>36</v>
      </c>
      <c r="X1893" s="5" t="s">
        <v>37</v>
      </c>
      <c r="AA1893" s="5" t="s">
        <v>37</v>
      </c>
      <c r="AB1893" s="5" t="s">
        <v>8597</v>
      </c>
      <c r="AC1893" s="8" t="str">
        <f>HYPERLINK("https://drive.google.com/file/d/1JX1buyAl9FcG--OyWe5PxG9_SNuleOuR/view?usp=drivesdk", "Abrir_Factura")</f>
        <v>Abrir_Factura</v>
      </c>
      <c r="AD1893" s="9">
        <v>46058.370520833334</v>
      </c>
    </row>
    <row r="1894" spans="1:30" ht="12.5">
      <c r="A1894" s="4">
        <v>46058.382279664351</v>
      </c>
      <c r="B1894" s="5">
        <v>91632</v>
      </c>
      <c r="C1894" s="5">
        <v>264167</v>
      </c>
      <c r="D1894" s="5" t="s">
        <v>8598</v>
      </c>
      <c r="F1894" s="5" t="s">
        <v>8599</v>
      </c>
      <c r="H1894" s="5">
        <v>573023881376</v>
      </c>
      <c r="J1894" s="5" t="s">
        <v>8600</v>
      </c>
      <c r="K1894" s="5" t="s">
        <v>328</v>
      </c>
      <c r="L1894" s="5" t="s">
        <v>8601</v>
      </c>
      <c r="M1894" s="5"/>
      <c r="N1894" s="6">
        <v>46058</v>
      </c>
      <c r="O1894" s="7">
        <v>0.45833333333333331</v>
      </c>
      <c r="P1894" s="5">
        <v>1</v>
      </c>
      <c r="Q1894" s="5" t="s">
        <v>375</v>
      </c>
      <c r="R1894" s="5">
        <v>80000</v>
      </c>
      <c r="S1894" s="5">
        <v>0</v>
      </c>
      <c r="T1894" s="5">
        <v>12000</v>
      </c>
      <c r="U1894" s="5">
        <v>92000</v>
      </c>
      <c r="V1894" s="5" t="s">
        <v>8602</v>
      </c>
      <c r="W1894" s="5" t="s">
        <v>36</v>
      </c>
      <c r="X1894" s="5" t="s">
        <v>67</v>
      </c>
      <c r="AA1894" s="5" t="s">
        <v>44</v>
      </c>
      <c r="AC1894" s="8" t="str">
        <f>HYPERLINK("https://drive.google.com/file/d/1LDntjeViXTDffegQlmPzArTfnY56Bxyu/view?usp=drivesdk", "Abrir_Factura")</f>
        <v>Abrir_Factura</v>
      </c>
      <c r="AD1894" s="9">
        <v>46058.382754629631</v>
      </c>
    </row>
    <row r="1895" spans="1:30" ht="12.5">
      <c r="A1895" s="4">
        <v>46056.921286261575</v>
      </c>
      <c r="B1895" s="5">
        <v>91633</v>
      </c>
      <c r="C1895" s="5">
        <v>1001778580</v>
      </c>
      <c r="D1895" s="5" t="s">
        <v>8603</v>
      </c>
      <c r="F1895" s="5" t="s">
        <v>8604</v>
      </c>
      <c r="H1895" s="5">
        <v>573148429221</v>
      </c>
      <c r="J1895" s="5" t="s">
        <v>8605</v>
      </c>
      <c r="K1895" s="5" t="s">
        <v>33</v>
      </c>
      <c r="L1895" s="5" t="s">
        <v>34</v>
      </c>
      <c r="M1895" s="5">
        <v>3148429221</v>
      </c>
      <c r="N1895" s="6">
        <v>46058</v>
      </c>
      <c r="O1895" s="7">
        <v>0</v>
      </c>
      <c r="P1895" s="5">
        <v>1</v>
      </c>
      <c r="Q1895" s="5" t="s">
        <v>75</v>
      </c>
      <c r="R1895" s="5">
        <v>80000</v>
      </c>
      <c r="S1895" s="5">
        <v>0</v>
      </c>
      <c r="T1895" s="5">
        <v>0</v>
      </c>
      <c r="U1895" s="5">
        <v>80000</v>
      </c>
      <c r="V1895" s="5"/>
      <c r="W1895" s="5" t="s">
        <v>36</v>
      </c>
      <c r="X1895" s="5" t="s">
        <v>2438</v>
      </c>
      <c r="AA1895" s="5" t="s">
        <v>44</v>
      </c>
      <c r="AC1895" s="8" t="str">
        <f>HYPERLINK("https://drive.google.com/file/d/1HHf5K_-EO5vFIMfEOW-DYvdEXOO0udHm/view?usp=drivesdk", "Abrir_Factura")</f>
        <v>Abrir_Factura</v>
      </c>
      <c r="AD1895" s="9">
        <v>46058.403703703705</v>
      </c>
    </row>
    <row r="1896" spans="1:30" ht="12.5">
      <c r="A1896" s="4">
        <v>46058.41422475694</v>
      </c>
      <c r="B1896" s="5">
        <v>91634</v>
      </c>
      <c r="C1896" s="5">
        <v>22494108</v>
      </c>
      <c r="D1896" s="5" t="s">
        <v>7258</v>
      </c>
      <c r="F1896" s="5" t="s">
        <v>8606</v>
      </c>
      <c r="H1896" s="5">
        <v>573007567345</v>
      </c>
      <c r="J1896" s="5" t="s">
        <v>8607</v>
      </c>
      <c r="K1896" s="5" t="s">
        <v>110</v>
      </c>
      <c r="L1896" s="5" t="s">
        <v>8608</v>
      </c>
      <c r="M1896" s="5">
        <v>3007567345</v>
      </c>
      <c r="N1896" s="6">
        <v>46058</v>
      </c>
      <c r="O1896" s="7">
        <v>0.45833333333333331</v>
      </c>
      <c r="P1896" s="5">
        <v>1</v>
      </c>
      <c r="Q1896" s="5" t="s">
        <v>42</v>
      </c>
      <c r="R1896" s="5">
        <v>24000</v>
      </c>
      <c r="S1896" s="5">
        <v>0</v>
      </c>
      <c r="T1896" s="5">
        <v>6000</v>
      </c>
      <c r="U1896" s="5">
        <v>30000</v>
      </c>
      <c r="V1896" s="5"/>
      <c r="W1896" s="5" t="s">
        <v>36</v>
      </c>
      <c r="X1896" s="5" t="s">
        <v>67</v>
      </c>
      <c r="AA1896" s="5" t="s">
        <v>44</v>
      </c>
      <c r="AC1896" s="8" t="str">
        <f>HYPERLINK("https://drive.google.com/file/d/1qG9zCo_dfgQgW5XEgsfpBAtu9cUSuJ3c/view?usp=drivesdk", "Abrir_Factura")</f>
        <v>Abrir_Factura</v>
      </c>
      <c r="AD1896" s="9">
        <v>46058.415069444447</v>
      </c>
    </row>
    <row r="1897" spans="1:30" ht="12.5">
      <c r="A1897" s="4">
        <v>46058.434897106483</v>
      </c>
      <c r="B1897" s="5">
        <v>91635</v>
      </c>
      <c r="C1897" s="5">
        <v>1129565726</v>
      </c>
      <c r="D1897" s="5" t="s">
        <v>226</v>
      </c>
      <c r="F1897" s="5" t="s">
        <v>8609</v>
      </c>
      <c r="H1897" s="5">
        <v>573013099731</v>
      </c>
      <c r="J1897" s="5" t="s">
        <v>8610</v>
      </c>
      <c r="K1897" s="5" t="s">
        <v>33</v>
      </c>
      <c r="L1897" s="5" t="s">
        <v>34</v>
      </c>
      <c r="M1897" s="5">
        <v>3013099731</v>
      </c>
      <c r="N1897" s="6">
        <v>46058</v>
      </c>
      <c r="O1897" s="7">
        <v>0</v>
      </c>
      <c r="P1897" s="5">
        <v>1</v>
      </c>
      <c r="Q1897" s="5" t="s">
        <v>1085</v>
      </c>
      <c r="R1897" s="5">
        <v>130000</v>
      </c>
      <c r="S1897" s="5">
        <v>0</v>
      </c>
      <c r="T1897" s="5">
        <v>0</v>
      </c>
      <c r="U1897" s="5">
        <v>130000</v>
      </c>
      <c r="V1897" s="5"/>
      <c r="W1897" s="5" t="s">
        <v>36</v>
      </c>
      <c r="X1897" s="5" t="s">
        <v>37</v>
      </c>
      <c r="AA1897" s="5" t="s">
        <v>37</v>
      </c>
      <c r="AB1897" s="5" t="s">
        <v>8611</v>
      </c>
      <c r="AC1897" s="8" t="str">
        <f>HYPERLINK("https://drive.google.com/file/d/1SJpfgM7xRjbTOMn5flN24z7Y9V9szgnt/view?usp=drivesdk", "Abrir_Factura")</f>
        <v>Abrir_Factura</v>
      </c>
      <c r="AD1897" s="9">
        <v>46058.440613425926</v>
      </c>
    </row>
    <row r="1898" spans="1:30" ht="12.5">
      <c r="A1898" s="4">
        <v>46058.436208032406</v>
      </c>
      <c r="B1898" s="5">
        <v>91636</v>
      </c>
      <c r="C1898" s="5">
        <v>1043000488</v>
      </c>
      <c r="D1898" s="5" t="s">
        <v>8612</v>
      </c>
      <c r="F1898" s="5" t="s">
        <v>8613</v>
      </c>
      <c r="H1898" s="5">
        <v>573013459777</v>
      </c>
      <c r="J1898" s="5" t="s">
        <v>8614</v>
      </c>
      <c r="K1898" s="5" t="s">
        <v>33</v>
      </c>
      <c r="L1898" s="5" t="s">
        <v>34</v>
      </c>
      <c r="M1898" s="5">
        <v>3013459777</v>
      </c>
      <c r="N1898" s="6">
        <v>46058</v>
      </c>
      <c r="O1898" s="7">
        <v>0</v>
      </c>
      <c r="P1898" s="5">
        <v>1</v>
      </c>
      <c r="Q1898" s="5" t="s">
        <v>178</v>
      </c>
      <c r="R1898" s="5">
        <v>110000</v>
      </c>
      <c r="S1898" s="5">
        <v>0</v>
      </c>
      <c r="T1898" s="5">
        <v>0</v>
      </c>
      <c r="U1898" s="5">
        <v>110000</v>
      </c>
      <c r="V1898" s="5"/>
      <c r="W1898" s="5" t="s">
        <v>36</v>
      </c>
      <c r="X1898" s="5" t="s">
        <v>37</v>
      </c>
      <c r="AA1898" s="5" t="s">
        <v>37</v>
      </c>
      <c r="AB1898" s="5" t="s">
        <v>8615</v>
      </c>
      <c r="AC1898" s="8" t="str">
        <f>HYPERLINK("https://drive.google.com/file/d/1ElQQdQrGzkGar2JD3rdFf2E5o0tD8_d1/view?usp=drivesdk", "Abrir_Factura")</f>
        <v>Abrir_Factura</v>
      </c>
      <c r="AD1898" s="9">
        <v>46058.441087962965</v>
      </c>
    </row>
    <row r="1899" spans="1:30" ht="12.5">
      <c r="A1899" s="4">
        <v>46058.445724560181</v>
      </c>
      <c r="B1899" s="5">
        <v>91637</v>
      </c>
      <c r="C1899" s="5">
        <v>8784357</v>
      </c>
      <c r="D1899" s="5" t="s">
        <v>8616</v>
      </c>
      <c r="F1899" s="5" t="s">
        <v>4573</v>
      </c>
      <c r="H1899" s="5">
        <v>573104389209</v>
      </c>
      <c r="J1899" s="5" t="s">
        <v>8617</v>
      </c>
      <c r="K1899" s="5" t="s">
        <v>33</v>
      </c>
      <c r="L1899" s="5" t="s">
        <v>34</v>
      </c>
      <c r="M1899" s="5">
        <v>3104389209</v>
      </c>
      <c r="N1899" s="6">
        <v>46058</v>
      </c>
      <c r="O1899" s="7">
        <v>0.47916666666666669</v>
      </c>
      <c r="P1899" s="5">
        <v>1</v>
      </c>
      <c r="Q1899" s="5" t="s">
        <v>2556</v>
      </c>
      <c r="R1899" s="5">
        <v>400000</v>
      </c>
      <c r="S1899" s="5">
        <v>0</v>
      </c>
      <c r="T1899" s="5">
        <v>0</v>
      </c>
      <c r="U1899" s="5">
        <v>400000</v>
      </c>
      <c r="V1899" s="5" t="s">
        <v>8618</v>
      </c>
      <c r="W1899" s="5" t="s">
        <v>36</v>
      </c>
      <c r="X1899" s="5" t="s">
        <v>196</v>
      </c>
      <c r="AA1899" s="5" t="s">
        <v>1717</v>
      </c>
      <c r="AC1899" s="8" t="str">
        <f>HYPERLINK("https://drive.google.com/file/d/1ga6sPwxdXGlfiE6S-p1MLCPz5SzBvqlv/view?usp=drivesdk", "Abrir_Factura")</f>
        <v>Abrir_Factura</v>
      </c>
      <c r="AD1899" s="9">
        <v>46058.446331018517</v>
      </c>
    </row>
    <row r="1900" spans="1:30" ht="12.5">
      <c r="A1900" s="4">
        <v>46058.446500636579</v>
      </c>
      <c r="B1900" s="5">
        <v>91638</v>
      </c>
      <c r="C1900" s="5">
        <v>1080422166</v>
      </c>
      <c r="D1900" s="5" t="s">
        <v>8619</v>
      </c>
      <c r="F1900" s="5" t="s">
        <v>8620</v>
      </c>
      <c r="H1900" s="5">
        <v>573017229158</v>
      </c>
      <c r="J1900" s="5" t="s">
        <v>8621</v>
      </c>
      <c r="K1900" s="5" t="s">
        <v>7476</v>
      </c>
      <c r="L1900" s="5" t="s">
        <v>8622</v>
      </c>
      <c r="M1900" s="5">
        <v>3017229158</v>
      </c>
      <c r="N1900" s="6">
        <v>46058</v>
      </c>
      <c r="O1900" s="7">
        <v>0.75</v>
      </c>
      <c r="P1900" s="5">
        <v>1</v>
      </c>
      <c r="Q1900" s="5" t="s">
        <v>42</v>
      </c>
      <c r="R1900" s="5">
        <v>170000</v>
      </c>
      <c r="S1900" s="5">
        <v>0</v>
      </c>
      <c r="T1900" s="5">
        <v>15000</v>
      </c>
      <c r="U1900" s="5">
        <v>185000</v>
      </c>
      <c r="V1900" s="5" t="s">
        <v>8623</v>
      </c>
      <c r="W1900" s="5" t="s">
        <v>36</v>
      </c>
      <c r="X1900" s="5" t="s">
        <v>67</v>
      </c>
      <c r="Z1900" s="5" t="s">
        <v>8624</v>
      </c>
      <c r="AA1900" s="5" t="s">
        <v>69</v>
      </c>
      <c r="AC1900" s="8" t="str">
        <f>HYPERLINK("https://drive.google.com/file/d/11myIr1bYZKw9tOUh5ekktGh4aD6q_VEi/view?usp=drivesdk", "Abrir_Factura")</f>
        <v>Abrir_Factura</v>
      </c>
      <c r="AD1900" s="9">
        <v>46058.466932870368</v>
      </c>
    </row>
    <row r="1901" spans="1:30" ht="12.5">
      <c r="A1901" s="4">
        <v>46058.472533645836</v>
      </c>
      <c r="B1901" s="5">
        <v>91639</v>
      </c>
      <c r="C1901" s="5">
        <v>37270681</v>
      </c>
      <c r="D1901" s="5" t="s">
        <v>1682</v>
      </c>
      <c r="F1901" s="5" t="s">
        <v>1683</v>
      </c>
      <c r="H1901" s="5">
        <v>573173672739</v>
      </c>
      <c r="J1901" s="5" t="s">
        <v>1685</v>
      </c>
      <c r="K1901" s="5" t="s">
        <v>33</v>
      </c>
      <c r="L1901" s="5" t="s">
        <v>34</v>
      </c>
      <c r="M1901" s="5">
        <v>3173672739</v>
      </c>
      <c r="N1901" s="6">
        <v>46058</v>
      </c>
      <c r="O1901" s="7">
        <v>0</v>
      </c>
      <c r="P1901" s="5">
        <v>1</v>
      </c>
      <c r="Q1901" s="5" t="s">
        <v>42</v>
      </c>
      <c r="R1901" s="5">
        <v>130000</v>
      </c>
      <c r="S1901" s="5">
        <v>0</v>
      </c>
      <c r="T1901" s="5">
        <v>0</v>
      </c>
      <c r="U1901" s="5">
        <v>130000</v>
      </c>
      <c r="V1901" s="5"/>
      <c r="W1901" s="5" t="s">
        <v>36</v>
      </c>
      <c r="X1901" s="5" t="s">
        <v>83</v>
      </c>
      <c r="AA1901" s="5" t="s">
        <v>1717</v>
      </c>
      <c r="AC1901" s="8" t="str">
        <f>HYPERLINK("https://drive.google.com/file/d/17xWXdxi8-2rJfg58fVBO2Rmu8n5GRp4M/view?usp=drivesdk", "Abrir_Factura")</f>
        <v>Abrir_Factura</v>
      </c>
      <c r="AD1901" s="9">
        <v>46058.737372685187</v>
      </c>
    </row>
    <row r="1902" spans="1:30" ht="12.5">
      <c r="A1902" s="4">
        <v>46058.482440219908</v>
      </c>
      <c r="B1902" s="5">
        <v>91640</v>
      </c>
      <c r="C1902" s="5">
        <v>12544103</v>
      </c>
      <c r="D1902" s="5" t="s">
        <v>7687</v>
      </c>
      <c r="F1902" s="5" t="s">
        <v>8625</v>
      </c>
      <c r="H1902" s="5">
        <v>573126910321</v>
      </c>
      <c r="J1902" s="5" t="s">
        <v>8626</v>
      </c>
      <c r="K1902" s="5"/>
      <c r="L1902" s="5" t="s">
        <v>8627</v>
      </c>
      <c r="M1902" s="5"/>
      <c r="N1902" s="6">
        <v>46058</v>
      </c>
      <c r="O1902" s="7">
        <v>8.3333333333333329E-2</v>
      </c>
      <c r="P1902" s="5">
        <v>1</v>
      </c>
      <c r="Q1902" s="5" t="s">
        <v>1251</v>
      </c>
      <c r="R1902" s="5">
        <v>120000</v>
      </c>
      <c r="S1902" s="5">
        <v>0</v>
      </c>
      <c r="T1902" s="5"/>
      <c r="U1902" s="5">
        <v>120000</v>
      </c>
      <c r="V1902" s="5"/>
      <c r="W1902" s="5" t="s">
        <v>36</v>
      </c>
      <c r="X1902" s="5" t="s">
        <v>67</v>
      </c>
      <c r="Y1902" s="5" t="s">
        <v>8628</v>
      </c>
      <c r="AA1902" s="5" t="s">
        <v>44</v>
      </c>
      <c r="AB1902" s="5" t="s">
        <v>8629</v>
      </c>
      <c r="AC1902" s="8" t="str">
        <f>HYPERLINK("https://drive.google.com/file/d/1WJ_H4HKdnePi8tsqmveO11n7zj7jl--S/view?usp=drivesdk", "Abrir_Factura")</f>
        <v>Abrir_Factura</v>
      </c>
      <c r="AD1902" s="9">
        <v>46058.657083333332</v>
      </c>
    </row>
    <row r="1903" spans="1:30" ht="12.5">
      <c r="A1903" s="4">
        <v>46058.509463240742</v>
      </c>
      <c r="B1903" s="5">
        <v>91641</v>
      </c>
      <c r="C1903" s="5">
        <v>52814988</v>
      </c>
      <c r="D1903" s="5" t="s">
        <v>8630</v>
      </c>
      <c r="F1903" s="5" t="s">
        <v>3525</v>
      </c>
      <c r="H1903" s="5">
        <v>573164543781</v>
      </c>
      <c r="J1903" s="5" t="s">
        <v>8631</v>
      </c>
      <c r="K1903" s="5" t="s">
        <v>33</v>
      </c>
      <c r="L1903" s="5" t="s">
        <v>34</v>
      </c>
      <c r="M1903" s="5" t="s">
        <v>8632</v>
      </c>
      <c r="N1903" s="6">
        <v>46058</v>
      </c>
      <c r="O1903" s="7">
        <v>0</v>
      </c>
      <c r="P1903" s="5">
        <v>1</v>
      </c>
      <c r="Q1903" s="5" t="s">
        <v>42</v>
      </c>
      <c r="R1903" s="5">
        <v>189000</v>
      </c>
      <c r="S1903" s="5">
        <v>0</v>
      </c>
      <c r="T1903" s="5">
        <v>0</v>
      </c>
      <c r="U1903" s="5">
        <v>189000</v>
      </c>
      <c r="V1903" s="5"/>
      <c r="W1903" s="5" t="s">
        <v>36</v>
      </c>
      <c r="X1903" s="5" t="s">
        <v>1705</v>
      </c>
      <c r="AA1903" s="5" t="s">
        <v>1717</v>
      </c>
      <c r="AC1903" s="8" t="str">
        <f>HYPERLINK("https://drive.google.com/file/d/1SAg3oZ-cR2L0ItDg55GLfM4kU-yPjM0X/view?usp=drivesdk", "Abrir_Factura")</f>
        <v>Abrir_Factura</v>
      </c>
      <c r="AD1903" s="9">
        <v>46058.510127314818</v>
      </c>
    </row>
    <row r="1904" spans="1:30" ht="12.5">
      <c r="A1904" s="4">
        <v>46058.541767951392</v>
      </c>
      <c r="B1904" s="5">
        <v>91642</v>
      </c>
      <c r="C1904" s="5">
        <v>1036663571</v>
      </c>
      <c r="D1904" s="5" t="s">
        <v>70</v>
      </c>
      <c r="F1904" s="5" t="s">
        <v>1566</v>
      </c>
      <c r="H1904" s="5">
        <v>573012463494</v>
      </c>
      <c r="J1904" s="5" t="s">
        <v>8633</v>
      </c>
      <c r="K1904" s="5" t="s">
        <v>103</v>
      </c>
      <c r="L1904" s="5" t="s">
        <v>8634</v>
      </c>
      <c r="M1904" s="5">
        <v>3167749483</v>
      </c>
      <c r="N1904" s="6">
        <v>46058</v>
      </c>
      <c r="O1904" s="7">
        <v>0</v>
      </c>
      <c r="P1904" s="5">
        <v>1</v>
      </c>
      <c r="Q1904" s="5" t="s">
        <v>178</v>
      </c>
      <c r="R1904" s="5">
        <v>110000</v>
      </c>
      <c r="S1904" s="5">
        <v>0</v>
      </c>
      <c r="T1904" s="5">
        <v>10000</v>
      </c>
      <c r="U1904" s="5">
        <v>120000</v>
      </c>
      <c r="V1904" s="5" t="s">
        <v>8635</v>
      </c>
      <c r="W1904" s="5" t="s">
        <v>36</v>
      </c>
      <c r="X1904" s="5" t="s">
        <v>67</v>
      </c>
      <c r="Z1904" s="5" t="s">
        <v>8636</v>
      </c>
      <c r="AA1904" s="5" t="s">
        <v>44</v>
      </c>
      <c r="AC1904" s="8" t="str">
        <f>HYPERLINK("https://drive.google.com/file/d/1M4c0ktfSSu4i2DN_oWZ1lq5o3gRG9gD0/view?usp=drivesdk", "Abrir_Factura")</f>
        <v>Abrir_Factura</v>
      </c>
      <c r="AD1904" s="9">
        <v>46058.553888888891</v>
      </c>
    </row>
    <row r="1905" spans="1:30" ht="12.5">
      <c r="A1905" s="4">
        <v>46058.559827812496</v>
      </c>
      <c r="B1905" s="5">
        <v>91643</v>
      </c>
      <c r="C1905" s="5">
        <v>32748863</v>
      </c>
      <c r="D1905" s="5" t="s">
        <v>521</v>
      </c>
      <c r="F1905" s="5" t="s">
        <v>3525</v>
      </c>
      <c r="H1905" s="5">
        <v>573174289182</v>
      </c>
      <c r="J1905" s="5" t="s">
        <v>3526</v>
      </c>
      <c r="K1905" s="5" t="s">
        <v>33</v>
      </c>
      <c r="L1905" s="5" t="s">
        <v>34</v>
      </c>
      <c r="M1905" s="5">
        <v>3174289182</v>
      </c>
      <c r="N1905" s="6">
        <v>46058</v>
      </c>
      <c r="O1905" s="7">
        <v>0</v>
      </c>
      <c r="P1905" s="5">
        <v>1</v>
      </c>
      <c r="Q1905" s="5" t="s">
        <v>8637</v>
      </c>
      <c r="R1905" s="5">
        <v>21000</v>
      </c>
      <c r="S1905" s="5">
        <v>0</v>
      </c>
      <c r="T1905" s="5">
        <v>0</v>
      </c>
      <c r="U1905" s="5">
        <v>21000</v>
      </c>
      <c r="V1905" s="5"/>
      <c r="W1905" s="5" t="s">
        <v>36</v>
      </c>
      <c r="X1905" s="5" t="s">
        <v>67</v>
      </c>
      <c r="AA1905" s="5" t="s">
        <v>44</v>
      </c>
      <c r="AC1905" s="8" t="str">
        <f>HYPERLINK("https://drive.google.com/file/d/1XU-B4R_yUNMT5mokLwXzQHk602IVtmOD/view?usp=drivesdk", "Abrir_Factura")</f>
        <v>Abrir_Factura</v>
      </c>
      <c r="AD1905" s="9">
        <v>46058.560763888891</v>
      </c>
    </row>
    <row r="1906" spans="1:30" ht="12.5">
      <c r="A1906" s="4">
        <v>46058.549632291666</v>
      </c>
      <c r="B1906" s="5">
        <v>91644</v>
      </c>
      <c r="C1906" s="5">
        <v>1110363591</v>
      </c>
      <c r="D1906" s="5" t="s">
        <v>4973</v>
      </c>
      <c r="F1906" s="5" t="s">
        <v>93</v>
      </c>
      <c r="H1906" s="5">
        <v>573104932529</v>
      </c>
      <c r="J1906" s="5" t="s">
        <v>8638</v>
      </c>
      <c r="K1906" s="5" t="s">
        <v>405</v>
      </c>
      <c r="L1906" s="5" t="s">
        <v>8639</v>
      </c>
      <c r="M1906" s="5">
        <v>3104932529</v>
      </c>
      <c r="N1906" s="6">
        <v>46066</v>
      </c>
      <c r="O1906" s="7">
        <v>0.375</v>
      </c>
      <c r="P1906" s="5">
        <v>1</v>
      </c>
      <c r="Q1906" s="5" t="s">
        <v>2120</v>
      </c>
      <c r="R1906" s="5">
        <v>230000</v>
      </c>
      <c r="S1906" s="5">
        <v>0</v>
      </c>
      <c r="T1906" s="5">
        <v>30000</v>
      </c>
      <c r="U1906" s="5">
        <v>260000</v>
      </c>
      <c r="V1906" s="5" t="s">
        <v>8640</v>
      </c>
      <c r="W1906" s="5" t="s">
        <v>36</v>
      </c>
      <c r="X1906" s="5" t="s">
        <v>7644</v>
      </c>
      <c r="Z1906" s="5" t="s">
        <v>8641</v>
      </c>
      <c r="AA1906" s="5" t="s">
        <v>69</v>
      </c>
      <c r="AB1906" s="5" t="s">
        <v>8642</v>
      </c>
      <c r="AC1906" s="8" t="str">
        <f>HYPERLINK("https://drive.google.com/file/d/1cwy8hqBoKj7h85jpVZoU0X4oTIcBGXsB/view?usp=drivesdk", "Abrir_Factura")</f>
        <v>Abrir_Factura</v>
      </c>
      <c r="AD1906" s="9">
        <v>46058.567650462966</v>
      </c>
    </row>
    <row r="1907" spans="1:30" ht="12.5">
      <c r="A1907" s="4">
        <v>46058.603451817129</v>
      </c>
      <c r="B1907" s="5">
        <v>91645</v>
      </c>
      <c r="C1907" s="5">
        <v>1234096436</v>
      </c>
      <c r="D1907" s="5" t="s">
        <v>8643</v>
      </c>
      <c r="F1907" s="5" t="s">
        <v>8644</v>
      </c>
      <c r="H1907" s="5">
        <v>573157520378</v>
      </c>
      <c r="J1907" s="5" t="s">
        <v>8645</v>
      </c>
      <c r="K1907" s="5" t="s">
        <v>328</v>
      </c>
      <c r="L1907" s="5" t="s">
        <v>8646</v>
      </c>
      <c r="M1907" s="5">
        <v>3157520378</v>
      </c>
      <c r="N1907" s="6">
        <v>46066</v>
      </c>
      <c r="O1907" s="7">
        <v>0.375</v>
      </c>
      <c r="P1907" s="5">
        <v>1</v>
      </c>
      <c r="Q1907" s="5" t="s">
        <v>309</v>
      </c>
      <c r="R1907" s="5">
        <v>90000</v>
      </c>
      <c r="S1907" s="5">
        <v>0</v>
      </c>
      <c r="T1907" s="5">
        <v>12000</v>
      </c>
      <c r="U1907" s="5">
        <v>102000</v>
      </c>
      <c r="V1907" s="5" t="s">
        <v>8647</v>
      </c>
      <c r="W1907" s="5" t="s">
        <v>36</v>
      </c>
      <c r="X1907" s="5" t="s">
        <v>3754</v>
      </c>
      <c r="AA1907" s="5" t="s">
        <v>44</v>
      </c>
      <c r="AB1907" s="5" t="s">
        <v>8648</v>
      </c>
      <c r="AC1907" s="8" t="str">
        <f>HYPERLINK("https://drive.google.com/file/d/1XOOJvPx2et5T5TatrabcM3L4uODtZ4LS/view?usp=drivesdk", "Abrir_Factura")</f>
        <v>Abrir_Factura</v>
      </c>
      <c r="AD1907" s="9">
        <v>46058.604456018518</v>
      </c>
    </row>
    <row r="1908" spans="1:30" ht="12.5">
      <c r="A1908" s="4">
        <v>46058.525532395834</v>
      </c>
      <c r="B1908" s="5">
        <v>91646</v>
      </c>
      <c r="C1908" s="5">
        <v>1045679285</v>
      </c>
      <c r="D1908" s="5" t="s">
        <v>8649</v>
      </c>
      <c r="F1908" s="5" t="s">
        <v>8650</v>
      </c>
      <c r="H1908" s="5">
        <v>573012666399</v>
      </c>
      <c r="J1908" s="5" t="s">
        <v>8651</v>
      </c>
      <c r="K1908" s="5" t="s">
        <v>73</v>
      </c>
      <c r="L1908" s="5" t="s">
        <v>8652</v>
      </c>
      <c r="M1908" s="5">
        <v>3012666399</v>
      </c>
      <c r="N1908" s="6">
        <v>46059</v>
      </c>
      <c r="O1908" s="7">
        <v>0.375</v>
      </c>
      <c r="P1908" s="5">
        <v>1</v>
      </c>
      <c r="Q1908" s="5" t="s">
        <v>96</v>
      </c>
      <c r="R1908" s="5">
        <v>250000</v>
      </c>
      <c r="S1908" s="5">
        <v>0</v>
      </c>
      <c r="T1908" s="5">
        <v>8000</v>
      </c>
      <c r="U1908" s="5">
        <v>258000</v>
      </c>
      <c r="V1908" s="5"/>
      <c r="W1908" s="5" t="s">
        <v>36</v>
      </c>
      <c r="X1908" s="5" t="s">
        <v>1481</v>
      </c>
      <c r="Z1908" s="5" t="s">
        <v>8653</v>
      </c>
      <c r="AA1908" s="5" t="s">
        <v>44</v>
      </c>
      <c r="AC1908" s="8" t="str">
        <f>HYPERLINK("https://drive.google.com/file/d/1A8U47PJoqAUnWMgCPxqq1FVWGUf3kfDt/view?usp=drivesdk", "Abrir_Factura")</f>
        <v>Abrir_Factura</v>
      </c>
      <c r="AD1908" s="9">
        <v>46058.607418981483</v>
      </c>
    </row>
    <row r="1909" spans="1:30" ht="12.5">
      <c r="A1909" s="4">
        <v>46058.564228067131</v>
      </c>
      <c r="B1909" s="5">
        <v>91647</v>
      </c>
      <c r="C1909" s="5">
        <v>1140855388</v>
      </c>
      <c r="D1909" s="5" t="s">
        <v>8654</v>
      </c>
      <c r="F1909" s="5" t="s">
        <v>4218</v>
      </c>
      <c r="H1909" s="5">
        <v>17865186525</v>
      </c>
      <c r="J1909" s="5" t="s">
        <v>8655</v>
      </c>
      <c r="K1909" s="5" t="s">
        <v>161</v>
      </c>
      <c r="L1909" s="5" t="s">
        <v>8656</v>
      </c>
      <c r="M1909" s="5">
        <v>3558785</v>
      </c>
      <c r="N1909" s="6">
        <v>46058</v>
      </c>
      <c r="O1909" s="7">
        <v>0.625</v>
      </c>
      <c r="P1909" s="5">
        <v>1</v>
      </c>
      <c r="Q1909" s="5" t="s">
        <v>210</v>
      </c>
      <c r="R1909" s="5">
        <v>170000</v>
      </c>
      <c r="S1909" s="5">
        <v>0</v>
      </c>
      <c r="T1909" s="5">
        <v>8000</v>
      </c>
      <c r="U1909" s="5">
        <v>178000</v>
      </c>
      <c r="V1909" s="5" t="s">
        <v>8657</v>
      </c>
      <c r="W1909" s="5" t="s">
        <v>36</v>
      </c>
      <c r="X1909" s="5" t="s">
        <v>1937</v>
      </c>
      <c r="Z1909" s="5" t="s">
        <v>8654</v>
      </c>
      <c r="AA1909" s="5" t="s">
        <v>44</v>
      </c>
      <c r="AC1909" s="8" t="str">
        <f>HYPERLINK("https://drive.google.com/file/d/1JGpqowP_KvB6L9XClEGxw0ZnRAjUp6xf/view?usp=drivesdk", "Abrir_Factura")</f>
        <v>Abrir_Factura</v>
      </c>
      <c r="AD1909" s="9">
        <v>46058.608726851853</v>
      </c>
    </row>
    <row r="1910" spans="1:30" ht="12.5">
      <c r="A1910" s="4">
        <v>46058.61403837963</v>
      </c>
      <c r="B1910" s="5">
        <v>91648</v>
      </c>
      <c r="C1910" s="5">
        <v>104741462</v>
      </c>
      <c r="D1910" s="5" t="s">
        <v>8658</v>
      </c>
      <c r="F1910" s="5" t="s">
        <v>8659</v>
      </c>
      <c r="H1910" s="5">
        <v>573157132910</v>
      </c>
      <c r="J1910" s="5" t="s">
        <v>3007</v>
      </c>
      <c r="K1910" s="5" t="s">
        <v>33</v>
      </c>
      <c r="L1910" s="5" t="s">
        <v>34</v>
      </c>
      <c r="M1910" s="5"/>
      <c r="N1910" s="6">
        <v>46058</v>
      </c>
      <c r="O1910" s="7">
        <v>0</v>
      </c>
      <c r="P1910" s="5">
        <v>1</v>
      </c>
      <c r="Q1910" s="5" t="s">
        <v>75</v>
      </c>
      <c r="R1910" s="5">
        <v>80000</v>
      </c>
      <c r="S1910" s="5">
        <v>0</v>
      </c>
      <c r="T1910" s="5">
        <v>0</v>
      </c>
      <c r="U1910" s="5">
        <v>80000</v>
      </c>
      <c r="V1910" s="5"/>
      <c r="W1910" s="5" t="s">
        <v>36</v>
      </c>
      <c r="X1910" s="5" t="s">
        <v>1705</v>
      </c>
      <c r="AA1910" s="5" t="s">
        <v>1717</v>
      </c>
      <c r="AB1910" s="5" t="s">
        <v>8660</v>
      </c>
      <c r="AC1910" s="8" t="str">
        <f>HYPERLINK("https://drive.google.com/file/d/1HWPPti0y3eyTPFeR_TA4GPPRWU6M5h1r/view?usp=drivesdk", "Abrir_Factura")</f>
        <v>Abrir_Factura</v>
      </c>
      <c r="AD1910" s="9">
        <v>46058.614548611113</v>
      </c>
    </row>
    <row r="1911" spans="1:30" ht="12.5">
      <c r="A1911" s="4">
        <v>46058.616846840276</v>
      </c>
      <c r="B1911" s="5">
        <v>91649</v>
      </c>
      <c r="C1911" s="5">
        <v>900521807</v>
      </c>
      <c r="D1911" s="5" t="s">
        <v>1231</v>
      </c>
      <c r="F1911" s="5" t="s">
        <v>2159</v>
      </c>
      <c r="H1911" s="5">
        <v>573007682024</v>
      </c>
      <c r="J1911" s="5" t="s">
        <v>5734</v>
      </c>
      <c r="K1911" s="5" t="s">
        <v>33</v>
      </c>
      <c r="L1911" s="5" t="s">
        <v>34</v>
      </c>
      <c r="M1911" s="5">
        <v>3007682024</v>
      </c>
      <c r="N1911" s="6">
        <v>46058</v>
      </c>
      <c r="O1911" s="7">
        <v>0</v>
      </c>
      <c r="P1911" s="5">
        <v>1</v>
      </c>
      <c r="Q1911" s="5" t="s">
        <v>42</v>
      </c>
      <c r="R1911" s="5">
        <v>0</v>
      </c>
      <c r="S1911" s="5">
        <v>0</v>
      </c>
      <c r="T1911" s="5">
        <v>0</v>
      </c>
      <c r="U1911" s="5">
        <v>0</v>
      </c>
      <c r="V1911" s="5"/>
      <c r="W1911" s="5" t="s">
        <v>36</v>
      </c>
      <c r="X1911" s="5" t="s">
        <v>43</v>
      </c>
      <c r="AA1911" s="5" t="s">
        <v>44</v>
      </c>
      <c r="AB1911" s="5" t="s">
        <v>8661</v>
      </c>
      <c r="AC1911" s="8" t="str">
        <f>HYPERLINK("https://drive.google.com/file/d/1SFSvFXSnZnawjJh8t96iEpaT0XlU7YP0/view?usp=drivesdk", "Abrir_Factura")</f>
        <v>Abrir_Factura</v>
      </c>
      <c r="AD1911" s="9">
        <v>46058.617858796293</v>
      </c>
    </row>
    <row r="1912" spans="1:30" ht="12.5">
      <c r="A1912" s="4">
        <v>46058.623409965279</v>
      </c>
      <c r="B1912" s="5">
        <v>91650</v>
      </c>
      <c r="C1912" s="5">
        <v>52250159</v>
      </c>
      <c r="D1912" s="5" t="s">
        <v>8662</v>
      </c>
      <c r="F1912" s="5" t="s">
        <v>1145</v>
      </c>
      <c r="H1912" s="5">
        <v>573157538423</v>
      </c>
      <c r="J1912" s="5" t="s">
        <v>8663</v>
      </c>
      <c r="K1912" s="5" t="s">
        <v>33</v>
      </c>
      <c r="L1912" s="5" t="s">
        <v>34</v>
      </c>
      <c r="M1912" s="5">
        <v>3157538423</v>
      </c>
      <c r="N1912" s="6">
        <v>46058</v>
      </c>
      <c r="O1912" s="7">
        <v>0</v>
      </c>
      <c r="P1912" s="5">
        <v>1</v>
      </c>
      <c r="Q1912" s="5" t="s">
        <v>375</v>
      </c>
      <c r="R1912" s="5">
        <v>80000</v>
      </c>
      <c r="S1912" s="5">
        <v>0</v>
      </c>
      <c r="T1912" s="5">
        <v>0</v>
      </c>
      <c r="U1912" s="5">
        <v>80000</v>
      </c>
      <c r="V1912" s="5"/>
      <c r="W1912" s="5" t="s">
        <v>36</v>
      </c>
      <c r="X1912" s="5" t="s">
        <v>1705</v>
      </c>
      <c r="AA1912" s="5" t="s">
        <v>1717</v>
      </c>
      <c r="AC1912" s="8" t="str">
        <f>HYPERLINK("https://drive.google.com/file/d/1FlWj7bIcD5kIknzFF328xoLtO767393a/view?usp=drivesdk", "Abrir_Factura")</f>
        <v>Abrir_Factura</v>
      </c>
      <c r="AD1912" s="9">
        <v>46058.623981481483</v>
      </c>
    </row>
    <row r="1913" spans="1:30" ht="12.5">
      <c r="A1913" s="4">
        <v>46058.644299386578</v>
      </c>
      <c r="B1913" s="5">
        <v>91651</v>
      </c>
      <c r="C1913" s="5">
        <v>900798756</v>
      </c>
      <c r="D1913" s="5" t="s">
        <v>7431</v>
      </c>
      <c r="F1913" s="5" t="s">
        <v>2159</v>
      </c>
      <c r="H1913" s="5">
        <v>573147791720</v>
      </c>
      <c r="J1913" s="5" t="s">
        <v>8664</v>
      </c>
      <c r="K1913" s="5" t="s">
        <v>33</v>
      </c>
      <c r="L1913" s="5" t="s">
        <v>34</v>
      </c>
      <c r="M1913" s="5">
        <v>3147791720</v>
      </c>
      <c r="N1913" s="6">
        <v>46058</v>
      </c>
      <c r="O1913" s="7">
        <v>0</v>
      </c>
      <c r="P1913" s="5">
        <v>1</v>
      </c>
      <c r="Q1913" s="5" t="s">
        <v>42</v>
      </c>
      <c r="R1913" s="5">
        <v>116620</v>
      </c>
      <c r="S1913" s="5">
        <v>0</v>
      </c>
      <c r="T1913" s="5">
        <v>0</v>
      </c>
      <c r="U1913" s="5">
        <v>116620</v>
      </c>
      <c r="V1913" s="5"/>
      <c r="W1913" s="5" t="s">
        <v>36</v>
      </c>
      <c r="X1913" s="5" t="s">
        <v>43</v>
      </c>
      <c r="AA1913" s="5" t="s">
        <v>44</v>
      </c>
      <c r="AB1913" s="5" t="s">
        <v>8665</v>
      </c>
      <c r="AC1913" s="8" t="str">
        <f>HYPERLINK("https://drive.google.com/file/d/1Aw-XiXECvDK02es1-FehHyVLFeEaBRCG/view?usp=drivesdk", "Abrir_Factura")</f>
        <v>Abrir_Factura</v>
      </c>
      <c r="AD1913" s="9">
        <v>46058.771736111114</v>
      </c>
    </row>
    <row r="1914" spans="1:30" ht="12.5">
      <c r="A1914" s="4">
        <v>46058.638740601848</v>
      </c>
      <c r="B1914" s="5">
        <v>91652</v>
      </c>
      <c r="C1914" s="5">
        <v>1055918601</v>
      </c>
      <c r="D1914" s="5" t="s">
        <v>3095</v>
      </c>
      <c r="F1914" s="5" t="s">
        <v>3096</v>
      </c>
      <c r="H1914" s="5">
        <v>573008606738</v>
      </c>
      <c r="J1914" s="5" t="s">
        <v>8666</v>
      </c>
      <c r="K1914" s="5" t="s">
        <v>33</v>
      </c>
      <c r="L1914" s="5" t="s">
        <v>34</v>
      </c>
      <c r="M1914" s="5" t="s">
        <v>8666</v>
      </c>
      <c r="N1914" s="6">
        <v>46058</v>
      </c>
      <c r="O1914" s="7">
        <v>0.70833333333333337</v>
      </c>
      <c r="P1914" s="5">
        <v>1</v>
      </c>
      <c r="Q1914" s="5" t="s">
        <v>187</v>
      </c>
      <c r="R1914" s="5">
        <v>220000</v>
      </c>
      <c r="S1914" s="5">
        <v>0</v>
      </c>
      <c r="T1914" s="5">
        <v>0</v>
      </c>
      <c r="U1914" s="5">
        <v>220000</v>
      </c>
      <c r="V1914" s="5" t="s">
        <v>8667</v>
      </c>
      <c r="W1914" s="5" t="s">
        <v>36</v>
      </c>
      <c r="X1914" s="5" t="s">
        <v>67</v>
      </c>
      <c r="AA1914" s="5" t="s">
        <v>69</v>
      </c>
      <c r="AC1914" s="8" t="str">
        <f>HYPERLINK("https://drive.google.com/file/d/10jwvy6wFKEJapum4p3XRJA1uPhHtcUa6/view?usp=drivesdk", "Abrir_Factura")</f>
        <v>Abrir_Factura</v>
      </c>
      <c r="AD1914" s="9">
        <v>46058.651828703703</v>
      </c>
    </row>
    <row r="1915" spans="1:30" ht="12.5">
      <c r="A1915" s="4">
        <v>46058.663879687505</v>
      </c>
      <c r="B1915" s="5">
        <v>91653</v>
      </c>
      <c r="C1915" s="5">
        <v>1047381329</v>
      </c>
      <c r="D1915" s="5" t="s">
        <v>8668</v>
      </c>
      <c r="F1915" s="5" t="s">
        <v>8669</v>
      </c>
      <c r="H1915" s="5">
        <v>4367761544685</v>
      </c>
      <c r="J1915" s="5" t="s">
        <v>8670</v>
      </c>
      <c r="K1915" s="5"/>
      <c r="L1915" s="5" t="s">
        <v>8671</v>
      </c>
      <c r="M1915" s="5"/>
      <c r="N1915" s="6">
        <v>46066</v>
      </c>
      <c r="O1915" s="7">
        <v>0.375</v>
      </c>
      <c r="P1915" s="5">
        <v>1</v>
      </c>
      <c r="Q1915" s="5" t="s">
        <v>1102</v>
      </c>
      <c r="R1915" s="5">
        <v>220000</v>
      </c>
      <c r="S1915" s="5">
        <v>0</v>
      </c>
      <c r="T1915" s="5"/>
      <c r="U1915" s="5">
        <v>220000</v>
      </c>
      <c r="V1915" s="5" t="s">
        <v>8672</v>
      </c>
      <c r="W1915" s="5" t="s">
        <v>36</v>
      </c>
      <c r="X1915" s="5" t="s">
        <v>7644</v>
      </c>
      <c r="AA1915" s="5" t="s">
        <v>44</v>
      </c>
      <c r="AB1915" s="5" t="s">
        <v>8673</v>
      </c>
      <c r="AC1915" s="8" t="str">
        <f>HYPERLINK("https://drive.google.com/file/d/1LqdB3hOR7qWgepqOrhdDpCi61muahHX9/view?usp=drivesdk", "Abrir_Factura")</f>
        <v>Abrir_Factura</v>
      </c>
      <c r="AD1915" s="9">
        <v>46058.664826388886</v>
      </c>
    </row>
    <row r="1916" spans="1:30" ht="12.5">
      <c r="A1916" s="4">
        <v>46058.450822291663</v>
      </c>
      <c r="B1916" s="5">
        <v>91654</v>
      </c>
      <c r="C1916" s="5">
        <v>1146534849</v>
      </c>
      <c r="D1916" s="5" t="s">
        <v>8674</v>
      </c>
      <c r="F1916" s="5" t="s">
        <v>8675</v>
      </c>
      <c r="H1916" s="5">
        <v>573118234583</v>
      </c>
      <c r="J1916" s="5" t="s">
        <v>8676</v>
      </c>
      <c r="K1916" s="5" t="s">
        <v>63</v>
      </c>
      <c r="L1916" s="5" t="s">
        <v>8677</v>
      </c>
      <c r="M1916" s="5">
        <v>3118234583</v>
      </c>
      <c r="N1916" s="6">
        <v>46060</v>
      </c>
      <c r="O1916" s="7">
        <v>0.70833333333333337</v>
      </c>
      <c r="P1916" s="5">
        <v>1</v>
      </c>
      <c r="Q1916" s="5" t="s">
        <v>8678</v>
      </c>
      <c r="R1916" s="5">
        <v>300000</v>
      </c>
      <c r="S1916" s="5">
        <v>0</v>
      </c>
      <c r="T1916" s="5">
        <v>17000</v>
      </c>
      <c r="U1916" s="5">
        <v>317000</v>
      </c>
      <c r="V1916" s="5" t="s">
        <v>8679</v>
      </c>
      <c r="W1916" s="5" t="s">
        <v>36</v>
      </c>
      <c r="X1916" s="5" t="s">
        <v>67</v>
      </c>
      <c r="Z1916" s="5" t="s">
        <v>8680</v>
      </c>
      <c r="AA1916" s="5" t="s">
        <v>44</v>
      </c>
      <c r="AB1916" s="5" t="s">
        <v>8681</v>
      </c>
      <c r="AC1916" s="8" t="str">
        <f>HYPERLINK("https://drive.google.com/file/d/1ObUgoTU9b8dkiTb4UxEbyxeHGXWJe80z/view?usp=drivesdk", "Abrir_Factura")</f>
        <v>Abrir_Factura</v>
      </c>
      <c r="AD1916" s="9">
        <v>46058.682789351849</v>
      </c>
    </row>
    <row r="1917" spans="1:30" ht="12.5">
      <c r="A1917" s="4">
        <v>46058.68881305556</v>
      </c>
      <c r="B1917" s="5">
        <v>91655</v>
      </c>
      <c r="C1917" s="5">
        <v>92555264</v>
      </c>
      <c r="D1917" s="5" t="s">
        <v>2533</v>
      </c>
      <c r="F1917" s="5" t="s">
        <v>604</v>
      </c>
      <c r="H1917" s="5">
        <v>573004822021</v>
      </c>
      <c r="J1917" s="5" t="s">
        <v>8682</v>
      </c>
      <c r="K1917" s="5" t="s">
        <v>886</v>
      </c>
      <c r="L1917" s="5" t="s">
        <v>8683</v>
      </c>
      <c r="M1917" s="5"/>
      <c r="N1917" s="6">
        <v>46059</v>
      </c>
      <c r="O1917" s="7">
        <v>0.375</v>
      </c>
      <c r="P1917" s="5">
        <v>1</v>
      </c>
      <c r="Q1917" s="5" t="s">
        <v>5730</v>
      </c>
      <c r="R1917" s="5">
        <v>350000</v>
      </c>
      <c r="S1917" s="5">
        <v>0</v>
      </c>
      <c r="T1917" s="5">
        <v>12000</v>
      </c>
      <c r="U1917" s="5">
        <v>362000</v>
      </c>
      <c r="V1917" s="5" t="s">
        <v>8684</v>
      </c>
      <c r="W1917" s="5" t="s">
        <v>36</v>
      </c>
      <c r="X1917" s="5" t="s">
        <v>1705</v>
      </c>
      <c r="AA1917" s="5" t="s">
        <v>1717</v>
      </c>
      <c r="AC1917" s="8" t="str">
        <f>HYPERLINK("https://drive.google.com/file/d/1PJDwo0AszubRuBjh9y6Tv1Hh_qK2SC24/view?usp=drivesdk", "Abrir_Factura")</f>
        <v>Abrir_Factura</v>
      </c>
      <c r="AD1917" s="9">
        <v>46058.69</v>
      </c>
    </row>
    <row r="1918" spans="1:30" ht="12.5">
      <c r="A1918" s="4">
        <v>46058.698801481485</v>
      </c>
      <c r="B1918" s="5">
        <v>91656</v>
      </c>
      <c r="C1918" s="5">
        <v>24604220</v>
      </c>
      <c r="D1918" s="5" t="s">
        <v>8685</v>
      </c>
      <c r="F1918" s="5" t="s">
        <v>8686</v>
      </c>
      <c r="H1918" s="5">
        <v>573163543233</v>
      </c>
      <c r="J1918" s="5" t="s">
        <v>8687</v>
      </c>
      <c r="K1918" s="5"/>
      <c r="L1918" s="5" t="s">
        <v>8688</v>
      </c>
      <c r="M1918" s="5">
        <v>3163543233</v>
      </c>
      <c r="N1918" s="6">
        <v>46058</v>
      </c>
      <c r="O1918" s="7">
        <v>0.70833333333333337</v>
      </c>
      <c r="P1918" s="5">
        <v>1</v>
      </c>
      <c r="Q1918" s="5" t="s">
        <v>42</v>
      </c>
      <c r="R1918" s="5">
        <v>170000</v>
      </c>
      <c r="S1918" s="5">
        <v>0</v>
      </c>
      <c r="T1918" s="5"/>
      <c r="U1918" s="5">
        <v>170000</v>
      </c>
      <c r="V1918" s="5"/>
      <c r="W1918" s="5" t="s">
        <v>36</v>
      </c>
      <c r="X1918" s="5" t="s">
        <v>180</v>
      </c>
      <c r="AA1918" s="5" t="s">
        <v>44</v>
      </c>
      <c r="AC1918" s="8" t="str">
        <f>HYPERLINK("https://drive.google.com/file/d/1rhXfiJSxi_E7F-0qt2n4C93Y1z3SSR3c/view?usp=drivesdk", "Abrir_Factura")</f>
        <v>Abrir_Factura</v>
      </c>
      <c r="AD1918" s="9">
        <v>46078.510277777779</v>
      </c>
    </row>
    <row r="1919" spans="1:30" ht="12.5">
      <c r="A1919" s="4">
        <v>46058.739816273148</v>
      </c>
      <c r="B1919" s="5">
        <v>91657</v>
      </c>
      <c r="C1919" s="5">
        <v>40230840841</v>
      </c>
      <c r="D1919" s="5" t="s">
        <v>8689</v>
      </c>
      <c r="F1919" s="5" t="s">
        <v>8690</v>
      </c>
      <c r="H1919" s="5">
        <v>576178667912</v>
      </c>
      <c r="J1919" s="5" t="s">
        <v>8691</v>
      </c>
      <c r="K1919" s="5" t="s">
        <v>161</v>
      </c>
      <c r="L1919" s="5" t="s">
        <v>8692</v>
      </c>
      <c r="M1919" s="5" t="s">
        <v>8693</v>
      </c>
      <c r="N1919" s="6">
        <v>46059</v>
      </c>
      <c r="O1919" s="7">
        <v>0</v>
      </c>
      <c r="P1919" s="5">
        <v>1</v>
      </c>
      <c r="Q1919" s="5" t="s">
        <v>42</v>
      </c>
      <c r="R1919" s="5">
        <v>130000</v>
      </c>
      <c r="S1919" s="5">
        <v>0</v>
      </c>
      <c r="T1919" s="5">
        <v>8000</v>
      </c>
      <c r="U1919" s="5">
        <v>138000</v>
      </c>
      <c r="V1919" s="5" t="s">
        <v>8694</v>
      </c>
      <c r="W1919" s="5" t="s">
        <v>36</v>
      </c>
      <c r="X1919" s="5" t="s">
        <v>1937</v>
      </c>
      <c r="AA1919" s="5" t="s">
        <v>69</v>
      </c>
      <c r="AB1919" s="5" t="s">
        <v>8695</v>
      </c>
      <c r="AC1919" s="8" t="str">
        <f>HYPERLINK("https://drive.google.com/file/d/1ob241-VaqaFMCa31AnRa9hKXOCQGkG5g/view?usp=drivesdk", "Abrir_Factura")</f>
        <v>Abrir_Factura</v>
      </c>
      <c r="AD1919" s="9">
        <v>46058.740358796298</v>
      </c>
    </row>
    <row r="1920" spans="1:30" ht="12.5">
      <c r="A1920" s="4">
        <v>46058.745918796296</v>
      </c>
      <c r="B1920" s="5">
        <v>91658</v>
      </c>
      <c r="C1920" s="5">
        <v>1010014765</v>
      </c>
      <c r="D1920" s="5" t="s">
        <v>8696</v>
      </c>
      <c r="F1920" s="5" t="s">
        <v>8697</v>
      </c>
      <c r="H1920" s="5">
        <v>573174419970</v>
      </c>
      <c r="J1920" s="5" t="s">
        <v>8698</v>
      </c>
      <c r="K1920" s="5" t="s">
        <v>33</v>
      </c>
      <c r="L1920" s="5" t="s">
        <v>34</v>
      </c>
      <c r="M1920" s="5">
        <v>3174419970</v>
      </c>
      <c r="N1920" s="6">
        <v>46058</v>
      </c>
      <c r="O1920" s="7">
        <v>0.75</v>
      </c>
      <c r="P1920" s="5">
        <v>1</v>
      </c>
      <c r="Q1920" s="5" t="s">
        <v>210</v>
      </c>
      <c r="R1920" s="5">
        <v>170000</v>
      </c>
      <c r="S1920" s="5">
        <v>0</v>
      </c>
      <c r="T1920" s="5">
        <v>0</v>
      </c>
      <c r="U1920" s="5">
        <v>170000</v>
      </c>
      <c r="V1920" s="5"/>
      <c r="W1920" s="5" t="s">
        <v>36</v>
      </c>
      <c r="X1920" s="5" t="s">
        <v>1705</v>
      </c>
      <c r="AA1920" s="5" t="s">
        <v>1717</v>
      </c>
      <c r="AC1920" s="8" t="str">
        <f>HYPERLINK("https://drive.google.com/file/d/1iLIv9a2l0p5O57nkpubhqyxjoGvi-5Mq/view?usp=drivesdk", "Abrir_Factura")</f>
        <v>Abrir_Factura</v>
      </c>
      <c r="AD1920" s="9">
        <v>46058.756377314814</v>
      </c>
    </row>
    <row r="1921" spans="1:30" ht="12.5">
      <c r="A1921" s="4">
        <v>46058.760349143515</v>
      </c>
      <c r="B1921" s="5">
        <v>91659</v>
      </c>
      <c r="C1921" s="5">
        <v>10140846895</v>
      </c>
      <c r="D1921" s="5" t="s">
        <v>445</v>
      </c>
      <c r="F1921" s="5" t="s">
        <v>8699</v>
      </c>
      <c r="H1921" s="5">
        <v>573013529652</v>
      </c>
      <c r="J1921" s="5" t="s">
        <v>8700</v>
      </c>
      <c r="K1921" s="5" t="s">
        <v>33</v>
      </c>
      <c r="L1921" s="5" t="s">
        <v>34</v>
      </c>
      <c r="M1921" s="5">
        <v>3013529652</v>
      </c>
      <c r="N1921" s="6">
        <v>46058</v>
      </c>
      <c r="O1921" s="7">
        <v>0.75</v>
      </c>
      <c r="P1921" s="5">
        <v>1</v>
      </c>
      <c r="Q1921" s="5" t="s">
        <v>42</v>
      </c>
      <c r="R1921" s="5">
        <v>90000</v>
      </c>
      <c r="S1921" s="5">
        <v>0</v>
      </c>
      <c r="T1921" s="5">
        <v>0</v>
      </c>
      <c r="U1921" s="5">
        <v>90000</v>
      </c>
      <c r="V1921" s="5"/>
      <c r="W1921" s="5" t="s">
        <v>36</v>
      </c>
      <c r="X1921" s="5" t="s">
        <v>1705</v>
      </c>
      <c r="AA1921" s="5" t="s">
        <v>1717</v>
      </c>
      <c r="AC1921" s="8" t="str">
        <f>HYPERLINK("https://drive.google.com/file/d/17xMJlVkVGPVatGyrZ5m5pDJn-s0bEa6I/view?usp=drivesdk", "Abrir_Factura")</f>
        <v>Abrir_Factura</v>
      </c>
      <c r="AD1921" s="9">
        <v>46058.761111111111</v>
      </c>
    </row>
    <row r="1922" spans="1:30" ht="12.5">
      <c r="A1922" s="4">
        <v>46058.752295057871</v>
      </c>
      <c r="B1922" s="5">
        <v>91660</v>
      </c>
      <c r="C1922" s="5">
        <v>1234089273</v>
      </c>
      <c r="D1922" s="5" t="s">
        <v>8701</v>
      </c>
      <c r="F1922" s="5" t="s">
        <v>8702</v>
      </c>
      <c r="H1922" s="5">
        <v>573016359897</v>
      </c>
      <c r="J1922" s="5" t="s">
        <v>8703</v>
      </c>
      <c r="K1922" s="5" t="s">
        <v>249</v>
      </c>
      <c r="L1922" s="5" t="s">
        <v>8704</v>
      </c>
      <c r="M1922" s="5">
        <v>3016359897</v>
      </c>
      <c r="N1922" s="6">
        <v>46059</v>
      </c>
      <c r="O1922" s="7">
        <v>0.375</v>
      </c>
      <c r="P1922" s="5">
        <v>1</v>
      </c>
      <c r="Q1922" s="5" t="s">
        <v>57</v>
      </c>
      <c r="R1922" s="5">
        <v>120000</v>
      </c>
      <c r="S1922" s="5">
        <v>0</v>
      </c>
      <c r="T1922" s="5">
        <v>10000</v>
      </c>
      <c r="U1922" s="5">
        <v>130000</v>
      </c>
      <c r="V1922" s="5"/>
      <c r="W1922" s="5" t="s">
        <v>36</v>
      </c>
      <c r="X1922" s="5" t="s">
        <v>67</v>
      </c>
      <c r="AA1922" s="5" t="s">
        <v>44</v>
      </c>
      <c r="AC1922" s="8" t="str">
        <f>HYPERLINK("https://drive.google.com/file/d/1pOVHwHg50CZhZmtPDsFET32FI3vekLAt/view?usp=drivesdk", "Abrir_Factura")</f>
        <v>Abrir_Factura</v>
      </c>
      <c r="AD1922" s="9">
        <v>46058.763819444444</v>
      </c>
    </row>
    <row r="1923" spans="1:30" ht="12.5">
      <c r="A1923" s="4">
        <v>46058.766745671295</v>
      </c>
      <c r="B1923" s="5">
        <v>91661</v>
      </c>
      <c r="C1923" s="5">
        <v>84077713</v>
      </c>
      <c r="D1923" s="5" t="s">
        <v>8705</v>
      </c>
      <c r="F1923" s="5" t="s">
        <v>8706</v>
      </c>
      <c r="H1923" s="5">
        <v>573013513196</v>
      </c>
      <c r="J1923" s="5" t="s">
        <v>8707</v>
      </c>
      <c r="K1923" s="5" t="s">
        <v>229</v>
      </c>
      <c r="L1923" s="5" t="s">
        <v>8708</v>
      </c>
      <c r="M1923" s="5">
        <v>3008233896</v>
      </c>
      <c r="N1923" s="6">
        <v>46059</v>
      </c>
      <c r="O1923" s="7">
        <v>0</v>
      </c>
      <c r="P1923" s="5">
        <v>1</v>
      </c>
      <c r="Q1923" s="5" t="s">
        <v>3111</v>
      </c>
      <c r="R1923" s="5">
        <v>220000</v>
      </c>
      <c r="S1923" s="5">
        <v>0</v>
      </c>
      <c r="T1923" s="5">
        <v>11000</v>
      </c>
      <c r="U1923" s="5">
        <v>231000</v>
      </c>
      <c r="V1923" s="5" t="s">
        <v>8709</v>
      </c>
      <c r="W1923" s="5" t="s">
        <v>36</v>
      </c>
      <c r="X1923" s="5" t="s">
        <v>67</v>
      </c>
      <c r="Z1923" s="5" t="s">
        <v>8710</v>
      </c>
      <c r="AA1923" s="5" t="s">
        <v>44</v>
      </c>
      <c r="AC1923" s="8" t="str">
        <f>HYPERLINK("https://drive.google.com/file/d/1wLfe7KUx5ecX6k6rwXSuZLxKk3MdF3Kx/view?usp=drivesdk", "Abrir_Factura")</f>
        <v>Abrir_Factura</v>
      </c>
      <c r="AD1923" s="9">
        <v>46058.774062500001</v>
      </c>
    </row>
    <row r="1924" spans="1:30" ht="12.5">
      <c r="A1924" s="4">
        <v>46058.770098391207</v>
      </c>
      <c r="B1924" s="5">
        <v>91662</v>
      </c>
      <c r="C1924" s="5">
        <v>1046711014</v>
      </c>
      <c r="D1924" s="5" t="s">
        <v>5128</v>
      </c>
      <c r="F1924" s="5" t="s">
        <v>8711</v>
      </c>
      <c r="H1924" s="5">
        <v>573107144361</v>
      </c>
      <c r="J1924" s="5" t="s">
        <v>8712</v>
      </c>
      <c r="K1924" s="5" t="s">
        <v>307</v>
      </c>
      <c r="L1924" s="5" t="s">
        <v>8713</v>
      </c>
      <c r="M1924" s="5">
        <v>3146543482</v>
      </c>
      <c r="N1924" s="6">
        <v>46059</v>
      </c>
      <c r="O1924" s="7">
        <v>0.375</v>
      </c>
      <c r="P1924" s="5">
        <v>1</v>
      </c>
      <c r="Q1924" s="5" t="s">
        <v>57</v>
      </c>
      <c r="R1924" s="5">
        <v>120000</v>
      </c>
      <c r="S1924" s="5">
        <v>0</v>
      </c>
      <c r="T1924" s="5">
        <v>10000</v>
      </c>
      <c r="U1924" s="5">
        <v>130000</v>
      </c>
      <c r="V1924" s="5" t="s">
        <v>8714</v>
      </c>
      <c r="W1924" s="5" t="s">
        <v>36</v>
      </c>
      <c r="X1924" s="5" t="s">
        <v>67</v>
      </c>
      <c r="Z1924" s="5" t="s">
        <v>5128</v>
      </c>
      <c r="AA1924" s="5" t="s">
        <v>44</v>
      </c>
      <c r="AB1924" s="5" t="s">
        <v>8715</v>
      </c>
      <c r="AC1924" s="8" t="str">
        <f>HYPERLINK("https://drive.google.com/file/d/10hHSjjjTAQPoFXmBBlB2dsNqulYvgbQ9/view?usp=drivesdk", "Abrir_Factura")</f>
        <v>Abrir_Factura</v>
      </c>
      <c r="AD1924" s="9">
        <v>46058.776030092595</v>
      </c>
    </row>
    <row r="1925" spans="1:30" ht="12.5">
      <c r="A1925" s="4">
        <v>46059.35630861111</v>
      </c>
      <c r="B1925" s="5">
        <v>91663</v>
      </c>
      <c r="C1925" s="5">
        <v>1221980328</v>
      </c>
      <c r="D1925" s="5" t="s">
        <v>968</v>
      </c>
      <c r="F1925" s="5" t="s">
        <v>8716</v>
      </c>
      <c r="H1925" s="5">
        <v>573014429893</v>
      </c>
      <c r="J1925" s="5" t="s">
        <v>8717</v>
      </c>
      <c r="K1925" s="5" t="s">
        <v>328</v>
      </c>
      <c r="L1925" s="5" t="s">
        <v>8718</v>
      </c>
      <c r="M1925" s="5">
        <v>3014429893</v>
      </c>
      <c r="N1925" s="6">
        <v>46059</v>
      </c>
      <c r="O1925" s="7">
        <v>0.41666666666666669</v>
      </c>
      <c r="P1925" s="5">
        <v>1</v>
      </c>
      <c r="Q1925" s="5" t="s">
        <v>542</v>
      </c>
      <c r="R1925" s="5">
        <v>150000</v>
      </c>
      <c r="S1925" s="5">
        <v>0</v>
      </c>
      <c r="T1925" s="5">
        <v>12000</v>
      </c>
      <c r="U1925" s="5">
        <v>162000</v>
      </c>
      <c r="V1925" s="5"/>
      <c r="W1925" s="5" t="s">
        <v>36</v>
      </c>
      <c r="X1925" s="5" t="s">
        <v>67</v>
      </c>
      <c r="Z1925" s="5" t="s">
        <v>8717</v>
      </c>
      <c r="AA1925" s="5" t="s">
        <v>44</v>
      </c>
      <c r="AB1925" s="5" t="s">
        <v>8719</v>
      </c>
      <c r="AC1925" s="8" t="str">
        <f>HYPERLINK("https://drive.google.com/file/d/1IYTCEUcQbmxCUzxzJ-tU75H0oyZob_70/view?usp=drivesdk", "Abrir_Factura")</f>
        <v>Abrir_Factura</v>
      </c>
      <c r="AD1925" s="9">
        <v>46059.359490740739</v>
      </c>
    </row>
    <row r="1926" spans="1:30" ht="12.5">
      <c r="A1926" s="4">
        <v>46059.354652245369</v>
      </c>
      <c r="B1926" s="5">
        <v>91664</v>
      </c>
      <c r="C1926" s="5">
        <v>1140850173</v>
      </c>
      <c r="D1926" s="5" t="s">
        <v>904</v>
      </c>
      <c r="F1926" s="5" t="s">
        <v>3442</v>
      </c>
      <c r="H1926" s="5">
        <v>573004708070</v>
      </c>
      <c r="J1926" s="5" t="s">
        <v>8720</v>
      </c>
      <c r="K1926" s="5" t="s">
        <v>161</v>
      </c>
      <c r="L1926" s="5" t="s">
        <v>8721</v>
      </c>
      <c r="M1926" s="5">
        <v>3004708070</v>
      </c>
      <c r="N1926" s="6">
        <v>46060</v>
      </c>
      <c r="O1926" s="7">
        <v>0.41666666666666669</v>
      </c>
      <c r="P1926" s="5">
        <v>1</v>
      </c>
      <c r="Q1926" s="5" t="s">
        <v>1085</v>
      </c>
      <c r="R1926" s="5">
        <v>130000</v>
      </c>
      <c r="S1926" s="5">
        <v>0</v>
      </c>
      <c r="T1926" s="5">
        <v>8000</v>
      </c>
      <c r="U1926" s="5">
        <v>138000</v>
      </c>
      <c r="V1926" s="5" t="s">
        <v>8722</v>
      </c>
      <c r="W1926" s="5" t="s">
        <v>36</v>
      </c>
      <c r="X1926" s="5" t="s">
        <v>67</v>
      </c>
      <c r="Z1926" s="5" t="s">
        <v>711</v>
      </c>
      <c r="AA1926" s="5" t="s">
        <v>44</v>
      </c>
      <c r="AB1926" s="5" t="s">
        <v>8723</v>
      </c>
      <c r="AC1926" s="8" t="str">
        <f>HYPERLINK("https://drive.google.com/file/d/1u1IRjm8SewN7p38oVlelzeVRWyuo0r1S/view?usp=drivesdk", "Abrir_Factura")</f>
        <v>Abrir_Factura</v>
      </c>
      <c r="AD1926" s="9">
        <v>46059.36414351852</v>
      </c>
    </row>
    <row r="1927" spans="1:30" ht="12.5">
      <c r="A1927" s="4">
        <v>46058.706486886571</v>
      </c>
      <c r="B1927" s="5">
        <v>91665</v>
      </c>
      <c r="C1927" s="5">
        <v>890102010</v>
      </c>
      <c r="D1927" s="5" t="s">
        <v>8724</v>
      </c>
      <c r="F1927" s="5" t="s">
        <v>2159</v>
      </c>
      <c r="H1927" s="5">
        <v>573023251890</v>
      </c>
      <c r="J1927" s="5" t="s">
        <v>8725</v>
      </c>
      <c r="K1927" s="5" t="s">
        <v>1815</v>
      </c>
      <c r="L1927" s="5" t="s">
        <v>8726</v>
      </c>
      <c r="M1927" s="5"/>
      <c r="N1927" s="6">
        <v>46062</v>
      </c>
      <c r="O1927" s="7">
        <v>0.45833333333333331</v>
      </c>
      <c r="P1927" s="5">
        <v>1</v>
      </c>
      <c r="Q1927" s="5" t="s">
        <v>187</v>
      </c>
      <c r="R1927" s="5">
        <v>220000</v>
      </c>
      <c r="S1927" s="5">
        <v>41800</v>
      </c>
      <c r="T1927" s="5">
        <v>18000</v>
      </c>
      <c r="U1927" s="5">
        <v>279800</v>
      </c>
      <c r="V1927" s="5" t="s">
        <v>8727</v>
      </c>
      <c r="W1927" s="5" t="s">
        <v>36</v>
      </c>
      <c r="X1927" s="5" t="s">
        <v>2163</v>
      </c>
      <c r="Z1927" s="5" t="s">
        <v>8728</v>
      </c>
      <c r="AA1927" s="5" t="s">
        <v>44</v>
      </c>
      <c r="AC1927" s="8" t="str">
        <f>HYPERLINK("https://drive.google.com/file/d/1BqfdWG4YbsUG06on0ab0TWOEEdvfcyB_/view?usp=drivesdk", "Abrir_Factura")</f>
        <v>Abrir_Factura</v>
      </c>
      <c r="AD1927" s="9">
        <v>46059.617511574077</v>
      </c>
    </row>
    <row r="1928" spans="1:30" ht="12.5">
      <c r="A1928" s="4">
        <v>46058.372568645835</v>
      </c>
      <c r="B1928" s="5">
        <v>91666</v>
      </c>
      <c r="C1928" s="5">
        <v>1193234908</v>
      </c>
      <c r="D1928" s="5" t="s">
        <v>1546</v>
      </c>
      <c r="F1928" s="5" t="s">
        <v>7991</v>
      </c>
      <c r="H1928" s="5">
        <v>573105203293</v>
      </c>
      <c r="J1928" s="5" t="s">
        <v>8729</v>
      </c>
      <c r="K1928" s="5" t="s">
        <v>161</v>
      </c>
      <c r="L1928" s="5" t="s">
        <v>8730</v>
      </c>
      <c r="M1928" s="5">
        <v>3105203293</v>
      </c>
      <c r="N1928" s="6">
        <v>46062</v>
      </c>
      <c r="O1928" s="7">
        <v>0.41666666666666669</v>
      </c>
      <c r="P1928" s="5">
        <v>1</v>
      </c>
      <c r="Q1928" s="5" t="s">
        <v>8731</v>
      </c>
      <c r="R1928" s="5">
        <v>220000</v>
      </c>
      <c r="S1928" s="5">
        <v>0</v>
      </c>
      <c r="T1928" s="5">
        <v>8000</v>
      </c>
      <c r="U1928" s="5">
        <v>228000</v>
      </c>
      <c r="V1928" s="5"/>
      <c r="W1928" s="5" t="s">
        <v>36</v>
      </c>
      <c r="X1928" s="5" t="s">
        <v>1481</v>
      </c>
      <c r="AA1928" s="5" t="s">
        <v>44</v>
      </c>
      <c r="AB1928" s="5" t="s">
        <v>8732</v>
      </c>
      <c r="AC1928" s="8" t="str">
        <f>HYPERLINK("https://drive.google.com/file/d/1XtVij_XRUQq86RGtMUvsi3lUwsm3IUC5/view?usp=drivesdk", "Abrir_Factura")</f>
        <v>Abrir_Factura</v>
      </c>
      <c r="AD1928" s="9">
        <v>46059.406192129631</v>
      </c>
    </row>
    <row r="1929" spans="1:30" ht="12.5">
      <c r="A1929" s="4">
        <v>46059.38893105324</v>
      </c>
      <c r="B1929" s="5">
        <v>91667</v>
      </c>
      <c r="C1929" s="5">
        <v>50919331</v>
      </c>
      <c r="D1929" s="5" t="s">
        <v>8733</v>
      </c>
      <c r="F1929" s="5" t="s">
        <v>8734</v>
      </c>
      <c r="H1929" s="5">
        <v>573006972936</v>
      </c>
      <c r="J1929" s="5" t="s">
        <v>8735</v>
      </c>
      <c r="K1929" s="5" t="s">
        <v>229</v>
      </c>
      <c r="L1929" s="5" t="s">
        <v>8736</v>
      </c>
      <c r="M1929" s="5">
        <v>3157214021</v>
      </c>
      <c r="N1929" s="6">
        <v>46059</v>
      </c>
      <c r="O1929" s="7">
        <v>0.75</v>
      </c>
      <c r="P1929" s="5">
        <v>1</v>
      </c>
      <c r="Q1929" s="5" t="s">
        <v>3248</v>
      </c>
      <c r="R1929" s="5">
        <v>410000</v>
      </c>
      <c r="S1929" s="5">
        <v>0</v>
      </c>
      <c r="T1929" s="5">
        <v>11000</v>
      </c>
      <c r="U1929" s="5">
        <v>421000</v>
      </c>
      <c r="V1929" s="5" t="s">
        <v>8737</v>
      </c>
      <c r="W1929" s="5" t="s">
        <v>36</v>
      </c>
      <c r="X1929" s="5" t="s">
        <v>67</v>
      </c>
      <c r="Z1929" s="5" t="s">
        <v>8738</v>
      </c>
      <c r="AA1929" s="5" t="s">
        <v>44</v>
      </c>
      <c r="AB1929" s="5" t="s">
        <v>3330</v>
      </c>
      <c r="AC1929" s="8" t="str">
        <f>HYPERLINK("https://drive.google.com/file/d/16_2I8RlV_d8xNZu69NjPhKQFe4zLLHyT/view?usp=drivesdk", "Abrir_Factura")</f>
        <v>Abrir_Factura</v>
      </c>
      <c r="AD1929" s="9">
        <v>46059.410624999997</v>
      </c>
    </row>
    <row r="1930" spans="1:30" ht="12.5">
      <c r="A1930" s="4">
        <v>46059.39163179398</v>
      </c>
      <c r="B1930" s="5">
        <v>91668</v>
      </c>
      <c r="C1930" s="5">
        <v>1102866288</v>
      </c>
      <c r="D1930" s="5" t="s">
        <v>3105</v>
      </c>
      <c r="F1930" s="5" t="s">
        <v>8739</v>
      </c>
      <c r="H1930" s="5">
        <v>573014818839</v>
      </c>
      <c r="J1930" s="5" t="s">
        <v>8740</v>
      </c>
      <c r="K1930" s="5" t="s">
        <v>328</v>
      </c>
      <c r="L1930" s="5" t="s">
        <v>8741</v>
      </c>
      <c r="M1930" s="5" t="s">
        <v>8742</v>
      </c>
      <c r="N1930" s="6">
        <v>46059</v>
      </c>
      <c r="O1930" s="7">
        <v>0.45833333333333331</v>
      </c>
      <c r="P1930" s="5">
        <v>1</v>
      </c>
      <c r="Q1930" s="5" t="s">
        <v>112</v>
      </c>
      <c r="R1930" s="5">
        <v>300000</v>
      </c>
      <c r="S1930" s="5">
        <v>0</v>
      </c>
      <c r="T1930" s="5">
        <v>12000</v>
      </c>
      <c r="U1930" s="5">
        <v>312000</v>
      </c>
      <c r="V1930" s="5" t="s">
        <v>8743</v>
      </c>
      <c r="W1930" s="5" t="s">
        <v>36</v>
      </c>
      <c r="X1930" s="5" t="s">
        <v>180</v>
      </c>
      <c r="Z1930" s="5" t="s">
        <v>8744</v>
      </c>
      <c r="AA1930" s="5" t="s">
        <v>44</v>
      </c>
      <c r="AC1930" s="8" t="str">
        <f>HYPERLINK("https://drive.google.com/file/d/1Lf5ulVqivK6zK0RqF3Trxyg_djBJ_pPb/view?usp=drivesdk", "Abrir_Factura")</f>
        <v>Abrir_Factura</v>
      </c>
      <c r="AD1930" s="9">
        <v>46059.412141203706</v>
      </c>
    </row>
    <row r="1931" spans="1:30" ht="12.5">
      <c r="A1931" s="4">
        <v>46059.394781585652</v>
      </c>
      <c r="B1931" s="5">
        <v>91669</v>
      </c>
      <c r="C1931" s="5">
        <v>72170284</v>
      </c>
      <c r="D1931" s="5" t="s">
        <v>3962</v>
      </c>
      <c r="F1931" s="5" t="s">
        <v>1137</v>
      </c>
      <c r="H1931" s="5">
        <v>573145196650</v>
      </c>
      <c r="J1931" s="5" t="s">
        <v>8745</v>
      </c>
      <c r="K1931" s="5"/>
      <c r="L1931" s="5" t="s">
        <v>8746</v>
      </c>
      <c r="M1931" s="5"/>
      <c r="N1931" s="6">
        <v>46059</v>
      </c>
      <c r="O1931" s="7">
        <v>0</v>
      </c>
      <c r="P1931" s="5">
        <v>1</v>
      </c>
      <c r="Q1931" s="5" t="s">
        <v>3892</v>
      </c>
      <c r="R1931" s="5">
        <v>320000</v>
      </c>
      <c r="S1931" s="5">
        <v>0</v>
      </c>
      <c r="T1931" s="5"/>
      <c r="U1931" s="5">
        <v>320000</v>
      </c>
      <c r="V1931" s="5" t="s">
        <v>8747</v>
      </c>
      <c r="W1931" s="5" t="s">
        <v>36</v>
      </c>
      <c r="X1931" s="5" t="s">
        <v>67</v>
      </c>
      <c r="Z1931" s="5" t="s">
        <v>8748</v>
      </c>
      <c r="AA1931" s="5" t="s">
        <v>44</v>
      </c>
      <c r="AC1931" s="8" t="str">
        <f>HYPERLINK("https://drive.google.com/file/d/1rPTe3-6dXKtgegN474fC65umH7aMvYLc/view?usp=drivesdk", "Abrir_Factura")</f>
        <v>Abrir_Factura</v>
      </c>
      <c r="AD1931" s="9">
        <v>46059.643854166665</v>
      </c>
    </row>
    <row r="1932" spans="1:30" ht="12.5">
      <c r="A1932" s="4">
        <v>46059.465940439812</v>
      </c>
      <c r="B1932" s="5">
        <v>91670</v>
      </c>
      <c r="C1932" s="5">
        <v>1070596809</v>
      </c>
      <c r="D1932" s="5" t="s">
        <v>4297</v>
      </c>
      <c r="F1932" s="5" t="s">
        <v>2890</v>
      </c>
      <c r="H1932" s="5">
        <v>573173676673</v>
      </c>
      <c r="J1932" s="5" t="s">
        <v>8749</v>
      </c>
      <c r="K1932" s="5" t="s">
        <v>8750</v>
      </c>
      <c r="L1932" s="5" t="s">
        <v>8751</v>
      </c>
      <c r="M1932" s="5">
        <v>3234657036</v>
      </c>
      <c r="N1932" s="6">
        <v>46059</v>
      </c>
      <c r="O1932" s="7">
        <v>0</v>
      </c>
      <c r="P1932" s="5">
        <v>1</v>
      </c>
      <c r="Q1932" s="5" t="s">
        <v>65</v>
      </c>
      <c r="R1932" s="5">
        <v>80000</v>
      </c>
      <c r="S1932" s="5">
        <v>0</v>
      </c>
      <c r="T1932" s="5">
        <v>30000</v>
      </c>
      <c r="U1932" s="5">
        <v>110000</v>
      </c>
      <c r="V1932" s="5" t="s">
        <v>8752</v>
      </c>
      <c r="W1932" s="5" t="s">
        <v>36</v>
      </c>
      <c r="X1932" s="5" t="s">
        <v>67</v>
      </c>
      <c r="Z1932" s="5" t="s">
        <v>8753</v>
      </c>
      <c r="AA1932" s="5" t="s">
        <v>44</v>
      </c>
      <c r="AB1932" s="5" t="s">
        <v>8754</v>
      </c>
      <c r="AC1932" s="8" t="str">
        <f>HYPERLINK("https://drive.google.com/file/d/1NLzy6Ifz6uHs5GmgFXAkByn7ZwW0wv9J/view?usp=drivesdk", "Abrir_Factura")</f>
        <v>Abrir_Factura</v>
      </c>
      <c r="AD1932" s="9">
        <v>46059.476493055554</v>
      </c>
    </row>
    <row r="1933" spans="1:30" ht="12.5">
      <c r="A1933" s="4">
        <v>46059.487753935187</v>
      </c>
      <c r="B1933" s="5">
        <v>91671</v>
      </c>
      <c r="C1933" s="5">
        <v>0</v>
      </c>
      <c r="D1933" s="5" t="s">
        <v>8755</v>
      </c>
      <c r="F1933" s="5" t="s">
        <v>8756</v>
      </c>
      <c r="H1933" s="5">
        <v>573012771247</v>
      </c>
      <c r="J1933" s="5" t="s">
        <v>8757</v>
      </c>
      <c r="K1933" s="5" t="s">
        <v>33</v>
      </c>
      <c r="L1933" s="5" t="s">
        <v>34</v>
      </c>
      <c r="M1933" s="5">
        <v>3012771247</v>
      </c>
      <c r="N1933" s="6">
        <v>46059</v>
      </c>
      <c r="O1933" s="7">
        <v>0.54166666666666663</v>
      </c>
      <c r="P1933" s="5">
        <v>1</v>
      </c>
      <c r="Q1933" s="5" t="s">
        <v>178</v>
      </c>
      <c r="R1933" s="5">
        <v>110000</v>
      </c>
      <c r="S1933" s="5">
        <v>0</v>
      </c>
      <c r="T1933" s="5">
        <v>0</v>
      </c>
      <c r="U1933" s="5">
        <v>110000</v>
      </c>
      <c r="V1933" s="5" t="s">
        <v>8132</v>
      </c>
      <c r="W1933" s="5" t="s">
        <v>36</v>
      </c>
      <c r="X1933" s="5" t="s">
        <v>196</v>
      </c>
      <c r="AA1933" s="5" t="s">
        <v>1717</v>
      </c>
      <c r="AB1933" s="5" t="s">
        <v>8758</v>
      </c>
      <c r="AC1933" s="8" t="str">
        <f>HYPERLINK("https://drive.google.com/file/d/1fOge-3ZaQ_aK0_jPFcOCL1KyzOzDC2He/view?usp=drivesdk", "Abrir_Factura")</f>
        <v>Abrir_Factura</v>
      </c>
      <c r="AD1933" s="9">
        <v>46059.491087962961</v>
      </c>
    </row>
    <row r="1934" spans="1:30" ht="12.5">
      <c r="A1934" s="4">
        <v>46059.494814062498</v>
      </c>
      <c r="B1934" s="5">
        <v>91672</v>
      </c>
      <c r="C1934" s="5">
        <v>72210723</v>
      </c>
      <c r="D1934" s="5" t="s">
        <v>2418</v>
      </c>
      <c r="F1934" s="5" t="s">
        <v>2000</v>
      </c>
      <c r="H1934" s="5">
        <v>570</v>
      </c>
      <c r="J1934" s="5" t="s">
        <v>4236</v>
      </c>
      <c r="K1934" s="5" t="s">
        <v>33</v>
      </c>
      <c r="L1934" s="5" t="s">
        <v>34</v>
      </c>
      <c r="M1934" s="5">
        <v>0</v>
      </c>
      <c r="N1934" s="6">
        <v>46059</v>
      </c>
      <c r="O1934" s="7">
        <v>0</v>
      </c>
      <c r="P1934" s="5">
        <v>1</v>
      </c>
      <c r="Q1934" s="5" t="s">
        <v>42</v>
      </c>
      <c r="R1934" s="5">
        <v>167000</v>
      </c>
      <c r="S1934" s="5">
        <v>0</v>
      </c>
      <c r="T1934" s="5">
        <v>0</v>
      </c>
      <c r="U1934" s="5">
        <v>167000</v>
      </c>
      <c r="V1934" s="5"/>
      <c r="W1934" s="5" t="s">
        <v>36</v>
      </c>
      <c r="X1934" s="5" t="s">
        <v>1705</v>
      </c>
      <c r="AA1934" s="5" t="s">
        <v>1717</v>
      </c>
      <c r="AC1934" s="8" t="str">
        <f>HYPERLINK("https://drive.google.com/file/d/1ezoi0fE-NXras_cQKvg-4Hh5SFBfyibT/view?usp=drivesdk", "Abrir_Factura")</f>
        <v>Abrir_Factura</v>
      </c>
      <c r="AD1934" s="9">
        <v>46059.495578703703</v>
      </c>
    </row>
    <row r="1935" spans="1:30" ht="12.5">
      <c r="A1935" s="4">
        <v>46059.498031030089</v>
      </c>
      <c r="B1935" s="5">
        <v>91673</v>
      </c>
      <c r="C1935" s="5">
        <v>1143119836</v>
      </c>
      <c r="D1935" s="5" t="s">
        <v>8759</v>
      </c>
      <c r="F1935" s="5" t="s">
        <v>8760</v>
      </c>
      <c r="H1935" s="5">
        <v>574606948</v>
      </c>
      <c r="J1935" s="5" t="s">
        <v>8761</v>
      </c>
      <c r="K1935" s="5" t="s">
        <v>33</v>
      </c>
      <c r="L1935" s="5" t="s">
        <v>34</v>
      </c>
      <c r="M1935" s="5">
        <v>4606948</v>
      </c>
      <c r="N1935" s="6">
        <v>46059</v>
      </c>
      <c r="O1935" s="7">
        <v>0.58333333333333337</v>
      </c>
      <c r="P1935" s="5">
        <v>1</v>
      </c>
      <c r="Q1935" s="5" t="s">
        <v>42</v>
      </c>
      <c r="R1935" s="5">
        <v>90000</v>
      </c>
      <c r="S1935" s="5">
        <v>0</v>
      </c>
      <c r="T1935" s="5">
        <v>0</v>
      </c>
      <c r="U1935" s="5">
        <v>90000</v>
      </c>
      <c r="V1935" s="5"/>
      <c r="W1935" s="5" t="s">
        <v>36</v>
      </c>
      <c r="X1935" s="5" t="s">
        <v>1705</v>
      </c>
      <c r="AA1935" s="5" t="s">
        <v>1717</v>
      </c>
      <c r="AC1935" s="8" t="str">
        <f>HYPERLINK("https://drive.google.com/file/d/19YfwH7TA992U2g5G7sxh7LFWhZXUbVAo/view?usp=drivesdk", "Abrir_Factura")</f>
        <v>Abrir_Factura</v>
      </c>
      <c r="AD1935" s="9">
        <v>46059.49927083333</v>
      </c>
    </row>
    <row r="1936" spans="1:30" ht="12.5">
      <c r="A1936" s="4">
        <v>46059.476951041666</v>
      </c>
      <c r="B1936" s="5">
        <v>91674</v>
      </c>
      <c r="C1936" s="5">
        <v>1045679976</v>
      </c>
      <c r="D1936" s="5" t="s">
        <v>8762</v>
      </c>
      <c r="F1936" s="5" t="s">
        <v>8763</v>
      </c>
      <c r="H1936" s="5">
        <v>573215595519</v>
      </c>
      <c r="J1936" s="5" t="s">
        <v>8764</v>
      </c>
      <c r="K1936" s="5" t="s">
        <v>154</v>
      </c>
      <c r="L1936" s="5" t="s">
        <v>8765</v>
      </c>
      <c r="M1936" s="5">
        <v>3154658891</v>
      </c>
      <c r="N1936" s="6">
        <v>46059</v>
      </c>
      <c r="O1936" s="7">
        <v>0</v>
      </c>
      <c r="P1936" s="5">
        <v>1</v>
      </c>
      <c r="Q1936" s="5" t="s">
        <v>309</v>
      </c>
      <c r="R1936" s="5">
        <v>88000</v>
      </c>
      <c r="S1936" s="5">
        <v>0</v>
      </c>
      <c r="T1936" s="5">
        <v>8000</v>
      </c>
      <c r="U1936" s="5">
        <v>96000</v>
      </c>
      <c r="V1936" s="5" t="s">
        <v>8766</v>
      </c>
      <c r="W1936" s="5" t="s">
        <v>36</v>
      </c>
      <c r="X1936" s="5" t="s">
        <v>67</v>
      </c>
      <c r="AA1936" s="5" t="s">
        <v>44</v>
      </c>
      <c r="AC1936" s="8" t="str">
        <f>HYPERLINK("https://drive.google.com/file/d/16FeAStXjdJbIx6xaTP6K388cNQ4nJU0T/view?usp=drivesdk", "Abrir_Factura")</f>
        <v>Abrir_Factura</v>
      </c>
      <c r="AD1936" s="9">
        <v>46059.500706018516</v>
      </c>
    </row>
    <row r="1937" spans="1:30" ht="12.5">
      <c r="A1937" s="4">
        <v>46058.543148865741</v>
      </c>
      <c r="B1937" s="5">
        <v>91675</v>
      </c>
      <c r="C1937" s="5">
        <v>1047044461</v>
      </c>
      <c r="D1937" s="5" t="s">
        <v>8767</v>
      </c>
      <c r="F1937" s="5" t="s">
        <v>8768</v>
      </c>
      <c r="H1937" s="5">
        <v>573006878638</v>
      </c>
      <c r="J1937" s="5" t="s">
        <v>8769</v>
      </c>
      <c r="K1937" s="5" t="s">
        <v>185</v>
      </c>
      <c r="L1937" s="5" t="s">
        <v>8770</v>
      </c>
      <c r="M1937" s="5">
        <v>3006878638</v>
      </c>
      <c r="N1937" s="6">
        <v>46060</v>
      </c>
      <c r="O1937" s="7">
        <v>0</v>
      </c>
      <c r="P1937" s="5">
        <v>1</v>
      </c>
      <c r="Q1937" s="5" t="s">
        <v>294</v>
      </c>
      <c r="R1937" s="5">
        <v>180000</v>
      </c>
      <c r="S1937" s="5">
        <v>0</v>
      </c>
      <c r="T1937" s="5">
        <v>8000</v>
      </c>
      <c r="U1937" s="5">
        <v>188000</v>
      </c>
      <c r="V1937" s="5" t="s">
        <v>8771</v>
      </c>
      <c r="W1937" s="5" t="s">
        <v>36</v>
      </c>
      <c r="X1937" s="5" t="s">
        <v>67</v>
      </c>
      <c r="Z1937" s="5" t="s">
        <v>8772</v>
      </c>
      <c r="AA1937" s="5" t="s">
        <v>69</v>
      </c>
      <c r="AC1937" s="8" t="str">
        <f>HYPERLINK("https://drive.google.com/file/d/152ZteCF-tPQIhaN-X-ZE3BZRLtQSFsXB/view?usp=drivesdk", "Abrir_Factura")</f>
        <v>Abrir_Factura</v>
      </c>
      <c r="AD1937" s="9">
        <v>46059.502500000002</v>
      </c>
    </row>
    <row r="1938" spans="1:30" ht="12.5">
      <c r="A1938" s="4">
        <v>46059.512835648151</v>
      </c>
      <c r="B1938" s="5">
        <v>91676</v>
      </c>
      <c r="C1938" s="5">
        <v>55223981</v>
      </c>
      <c r="D1938" s="5" t="s">
        <v>1602</v>
      </c>
      <c r="F1938" s="5" t="s">
        <v>1924</v>
      </c>
      <c r="H1938" s="5">
        <v>570</v>
      </c>
      <c r="J1938" s="5" t="s">
        <v>1925</v>
      </c>
      <c r="K1938" s="5" t="s">
        <v>33</v>
      </c>
      <c r="L1938" s="5" t="s">
        <v>34</v>
      </c>
      <c r="M1938" s="5">
        <v>0</v>
      </c>
      <c r="N1938" s="6">
        <v>46059</v>
      </c>
      <c r="O1938" s="7">
        <v>0</v>
      </c>
      <c r="P1938" s="5">
        <v>1</v>
      </c>
      <c r="Q1938" s="5" t="s">
        <v>42</v>
      </c>
      <c r="R1938" s="5">
        <v>90000</v>
      </c>
      <c r="S1938" s="5">
        <v>0</v>
      </c>
      <c r="T1938" s="5">
        <v>0</v>
      </c>
      <c r="U1938" s="5">
        <v>90000</v>
      </c>
      <c r="V1938" s="5"/>
      <c r="W1938" s="5" t="s">
        <v>36</v>
      </c>
      <c r="X1938" s="5" t="s">
        <v>196</v>
      </c>
      <c r="AA1938" s="5" t="s">
        <v>1717</v>
      </c>
      <c r="AC1938" s="8" t="str">
        <f>HYPERLINK("https://drive.google.com/file/d/1_kr5rfb_PkFECg23RYjGanHZQRu7ZMCk/view?usp=drivesdk", "Abrir_Factura")</f>
        <v>Abrir_Factura</v>
      </c>
      <c r="AD1938" s="9">
        <v>46066.782071759262</v>
      </c>
    </row>
    <row r="1939" spans="1:30" ht="12.5">
      <c r="A1939" s="4">
        <v>46059.512566354169</v>
      </c>
      <c r="B1939" s="5">
        <v>91677</v>
      </c>
      <c r="C1939" s="5">
        <v>1005624935</v>
      </c>
      <c r="D1939" s="5" t="s">
        <v>2361</v>
      </c>
      <c r="F1939" s="5" t="s">
        <v>3749</v>
      </c>
      <c r="H1939" s="5">
        <v>573005537698</v>
      </c>
      <c r="J1939" s="5" t="s">
        <v>8773</v>
      </c>
      <c r="K1939" s="5" t="s">
        <v>783</v>
      </c>
      <c r="L1939" s="5" t="s">
        <v>8774</v>
      </c>
      <c r="M1939" s="5">
        <v>3012041517</v>
      </c>
      <c r="N1939" s="6">
        <v>46067</v>
      </c>
      <c r="O1939" s="7">
        <v>0.375</v>
      </c>
      <c r="P1939" s="5">
        <v>1</v>
      </c>
      <c r="Q1939" s="5" t="s">
        <v>3111</v>
      </c>
      <c r="R1939" s="5">
        <v>220000</v>
      </c>
      <c r="S1939" s="5">
        <v>0</v>
      </c>
      <c r="T1939" s="5">
        <v>17000</v>
      </c>
      <c r="U1939" s="5">
        <v>237000</v>
      </c>
      <c r="V1939" s="5" t="s">
        <v>8775</v>
      </c>
      <c r="W1939" s="5" t="s">
        <v>36</v>
      </c>
      <c r="X1939" s="5" t="s">
        <v>7644</v>
      </c>
      <c r="Z1939" s="5" t="s">
        <v>8776</v>
      </c>
      <c r="AA1939" s="5" t="s">
        <v>44</v>
      </c>
      <c r="AC1939" s="8" t="str">
        <f>HYPERLINK("https://drive.google.com/file/d/1Tqq4tAs56NzA-QpW7zqPGcq-6mxq__9i/view?usp=drivesdk", "Abrir_Factura")</f>
        <v>Abrir_Factura</v>
      </c>
      <c r="AD1939" s="9">
        <v>46059.526203703703</v>
      </c>
    </row>
    <row r="1940" spans="1:30" ht="12.5">
      <c r="A1940" s="4">
        <v>46059.526146678239</v>
      </c>
      <c r="B1940" s="5">
        <v>91678</v>
      </c>
      <c r="C1940" s="5">
        <v>1140892968</v>
      </c>
      <c r="D1940" s="5" t="s">
        <v>8777</v>
      </c>
      <c r="F1940" s="5" t="s">
        <v>8778</v>
      </c>
      <c r="H1940" s="5">
        <v>573183319632</v>
      </c>
      <c r="J1940" s="5" t="s">
        <v>8779</v>
      </c>
      <c r="K1940" s="5" t="s">
        <v>4558</v>
      </c>
      <c r="L1940" s="5" t="s">
        <v>8780</v>
      </c>
      <c r="M1940" s="5">
        <v>3183319632</v>
      </c>
      <c r="N1940" s="6">
        <v>46060</v>
      </c>
      <c r="O1940" s="7">
        <v>0.375</v>
      </c>
      <c r="P1940" s="5">
        <v>1</v>
      </c>
      <c r="Q1940" s="5" t="s">
        <v>187</v>
      </c>
      <c r="R1940" s="5">
        <v>220000</v>
      </c>
      <c r="S1940" s="5">
        <v>0</v>
      </c>
      <c r="T1940" s="5">
        <v>10000</v>
      </c>
      <c r="U1940" s="5">
        <v>230000</v>
      </c>
      <c r="V1940" s="5" t="s">
        <v>8781</v>
      </c>
      <c r="W1940" s="5" t="s">
        <v>36</v>
      </c>
      <c r="X1940" s="5" t="s">
        <v>67</v>
      </c>
      <c r="Z1940" s="5" t="s">
        <v>8782</v>
      </c>
      <c r="AA1940" s="5" t="s">
        <v>44</v>
      </c>
      <c r="AB1940" s="5" t="s">
        <v>3330</v>
      </c>
      <c r="AC1940" s="8" t="str">
        <f>HYPERLINK("https://drive.google.com/file/d/1b0L9p73YZuchvWL1yApd9IjcldwfaRDV/view?usp=drivesdk", "Abrir_Factura")</f>
        <v>Abrir_Factura</v>
      </c>
      <c r="AD1940" s="9">
        <v>46059.543414351851</v>
      </c>
    </row>
    <row r="1941" spans="1:30" ht="12.5">
      <c r="A1941" s="4">
        <v>46059.530294733791</v>
      </c>
      <c r="B1941" s="5">
        <v>91679</v>
      </c>
      <c r="C1941" s="5">
        <v>1143372247</v>
      </c>
      <c r="D1941" s="5" t="s">
        <v>8783</v>
      </c>
      <c r="F1941" s="5" t="s">
        <v>8784</v>
      </c>
      <c r="H1941" s="5">
        <v>573225960096</v>
      </c>
      <c r="J1941" s="5" t="s">
        <v>8785</v>
      </c>
      <c r="K1941" s="5" t="s">
        <v>63</v>
      </c>
      <c r="L1941" s="5" t="s">
        <v>8786</v>
      </c>
      <c r="M1941" s="5">
        <v>3225960096</v>
      </c>
      <c r="N1941" s="6">
        <v>46060</v>
      </c>
      <c r="O1941" s="7">
        <v>0.375</v>
      </c>
      <c r="P1941" s="5">
        <v>1</v>
      </c>
      <c r="Q1941" s="5" t="s">
        <v>65</v>
      </c>
      <c r="R1941" s="5">
        <v>80000</v>
      </c>
      <c r="S1941" s="5">
        <v>0</v>
      </c>
      <c r="T1941" s="5">
        <v>17000</v>
      </c>
      <c r="U1941" s="5">
        <v>97000</v>
      </c>
      <c r="V1941" s="5"/>
      <c r="W1941" s="5" t="s">
        <v>36</v>
      </c>
      <c r="X1941" s="5" t="s">
        <v>67</v>
      </c>
      <c r="Z1941" s="5" t="s">
        <v>8787</v>
      </c>
      <c r="AA1941" s="5" t="s">
        <v>44</v>
      </c>
      <c r="AC1941" s="8" t="str">
        <f>HYPERLINK("https://drive.google.com/file/d/1DFgkyDh3sFUtpu-8-tNuKiWcrW__i02d/view?usp=drivesdk", "Abrir_Factura")</f>
        <v>Abrir_Factura</v>
      </c>
      <c r="AD1941" s="9">
        <v>46059.556643518517</v>
      </c>
    </row>
    <row r="1942" spans="1:30" ht="12.5">
      <c r="A1942" s="4">
        <v>46059.562605347222</v>
      </c>
      <c r="B1942" s="5">
        <v>91680</v>
      </c>
      <c r="C1942" s="5">
        <v>72310758</v>
      </c>
      <c r="D1942" s="5" t="s">
        <v>8788</v>
      </c>
      <c r="F1942" s="5" t="s">
        <v>5413</v>
      </c>
      <c r="H1942" s="5">
        <v>573003229431</v>
      </c>
      <c r="J1942" s="5" t="s">
        <v>8789</v>
      </c>
      <c r="K1942" s="5" t="s">
        <v>185</v>
      </c>
      <c r="L1942" s="5" t="s">
        <v>8790</v>
      </c>
      <c r="M1942" s="5">
        <v>3003229431</v>
      </c>
      <c r="N1942" s="6">
        <v>46059</v>
      </c>
      <c r="O1942" s="7">
        <v>0</v>
      </c>
      <c r="P1942" s="5">
        <v>1</v>
      </c>
      <c r="Q1942" s="5" t="s">
        <v>649</v>
      </c>
      <c r="R1942" s="5">
        <v>200000</v>
      </c>
      <c r="S1942" s="5">
        <v>0</v>
      </c>
      <c r="T1942" s="5">
        <v>8000</v>
      </c>
      <c r="U1942" s="5">
        <v>208000</v>
      </c>
      <c r="V1942" s="5" t="s">
        <v>8791</v>
      </c>
      <c r="W1942" s="5" t="s">
        <v>36</v>
      </c>
      <c r="X1942" s="5" t="s">
        <v>180</v>
      </c>
      <c r="Z1942" s="5" t="s">
        <v>1687</v>
      </c>
      <c r="AA1942" s="5" t="s">
        <v>44</v>
      </c>
      <c r="AC1942" s="8" t="str">
        <f>HYPERLINK("https://drive.google.com/file/d/1jOjgTtleQA1CSzCtWqOTTXbnmGj6NhIf/view?usp=drivesdk", "Abrir_Factura")</f>
        <v>Abrir_Factura</v>
      </c>
      <c r="AD1942" s="9">
        <v>46059.567430555559</v>
      </c>
    </row>
    <row r="1943" spans="1:30" ht="12.5">
      <c r="A1943" s="4">
        <v>46059.597213402776</v>
      </c>
      <c r="B1943" s="5">
        <v>91681</v>
      </c>
      <c r="C1943" s="5">
        <v>72272568</v>
      </c>
      <c r="D1943" s="5" t="s">
        <v>5844</v>
      </c>
      <c r="F1943" s="5" t="s">
        <v>3576</v>
      </c>
      <c r="H1943" s="5">
        <v>573135713981</v>
      </c>
      <c r="J1943" s="5" t="s">
        <v>8792</v>
      </c>
      <c r="K1943" s="5" t="s">
        <v>73</v>
      </c>
      <c r="L1943" s="5" t="s">
        <v>8793</v>
      </c>
      <c r="M1943" s="5">
        <v>3135713981</v>
      </c>
      <c r="N1943" s="6">
        <v>46060</v>
      </c>
      <c r="O1943" s="7">
        <v>0.41666666666666669</v>
      </c>
      <c r="P1943" s="5">
        <v>1</v>
      </c>
      <c r="Q1943" s="5" t="s">
        <v>50</v>
      </c>
      <c r="R1943" s="5">
        <v>220000</v>
      </c>
      <c r="S1943" s="5">
        <v>0</v>
      </c>
      <c r="T1943" s="5">
        <v>8000</v>
      </c>
      <c r="U1943" s="5">
        <v>228000</v>
      </c>
      <c r="V1943" s="5" t="s">
        <v>8794</v>
      </c>
      <c r="W1943" s="5" t="s">
        <v>36</v>
      </c>
      <c r="X1943" s="5" t="s">
        <v>67</v>
      </c>
      <c r="Z1943" s="5" t="s">
        <v>8795</v>
      </c>
      <c r="AA1943" s="5" t="s">
        <v>44</v>
      </c>
      <c r="AB1943" s="5" t="s">
        <v>8796</v>
      </c>
      <c r="AC1943" s="8" t="str">
        <f>HYPERLINK("https://drive.google.com/file/d/1ad3j3MRx4jX3chvhgrh96YFTs-6e1XvU/view?usp=drivesdk", "Abrir_Factura")</f>
        <v>Abrir_Factura</v>
      </c>
      <c r="AD1943" s="9">
        <v>46059.602858796294</v>
      </c>
    </row>
    <row r="1944" spans="1:30" ht="12.5">
      <c r="A1944" s="4">
        <v>46059.605421273147</v>
      </c>
      <c r="B1944" s="5">
        <v>91682</v>
      </c>
      <c r="C1944" s="5">
        <v>72098133</v>
      </c>
      <c r="D1944" s="5" t="s">
        <v>8797</v>
      </c>
      <c r="F1944" s="5" t="s">
        <v>8798</v>
      </c>
      <c r="H1944" s="5">
        <v>573238904444</v>
      </c>
      <c r="J1944" s="5" t="s">
        <v>8799</v>
      </c>
      <c r="K1944" s="5" t="s">
        <v>33</v>
      </c>
      <c r="L1944" s="5" t="s">
        <v>34</v>
      </c>
      <c r="M1944" s="5">
        <v>3238904444</v>
      </c>
      <c r="N1944" s="6">
        <v>46059</v>
      </c>
      <c r="O1944" s="7">
        <v>0</v>
      </c>
      <c r="P1944" s="5">
        <v>1</v>
      </c>
      <c r="Q1944" s="5" t="s">
        <v>422</v>
      </c>
      <c r="R1944" s="5">
        <v>150000</v>
      </c>
      <c r="S1944" s="5">
        <v>0</v>
      </c>
      <c r="T1944" s="5">
        <v>0</v>
      </c>
      <c r="U1944" s="5">
        <v>150000</v>
      </c>
      <c r="V1944" s="5"/>
      <c r="W1944" s="5" t="s">
        <v>36</v>
      </c>
      <c r="X1944" s="5" t="s">
        <v>1705</v>
      </c>
      <c r="AA1944" s="5" t="s">
        <v>1717</v>
      </c>
      <c r="AC1944" s="8" t="str">
        <f>HYPERLINK("https://drive.google.com/file/d/1B2EFXmNtrc3uz9LEsr2jRzUQmi-9F5VN/view?usp=drivesdk", "Abrir_Factura")</f>
        <v>Abrir_Factura</v>
      </c>
      <c r="AD1944" s="9">
        <v>46059.608506944445</v>
      </c>
    </row>
    <row r="1945" spans="1:30" ht="12.5">
      <c r="A1945" s="4">
        <v>46059.54456869213</v>
      </c>
      <c r="B1945" s="5">
        <v>91683</v>
      </c>
      <c r="C1945" s="5">
        <v>57299576</v>
      </c>
      <c r="D1945" s="5" t="s">
        <v>7087</v>
      </c>
      <c r="F1945" s="5" t="s">
        <v>8800</v>
      </c>
      <c r="H1945" s="5">
        <v>573017077772</v>
      </c>
      <c r="J1945" s="5" t="s">
        <v>8801</v>
      </c>
      <c r="K1945" s="5" t="s">
        <v>328</v>
      </c>
      <c r="L1945" s="5" t="s">
        <v>8802</v>
      </c>
      <c r="M1945" s="5"/>
      <c r="N1945" s="6">
        <v>46059</v>
      </c>
      <c r="O1945" s="7">
        <v>0.66666666666666663</v>
      </c>
      <c r="P1945" s="5">
        <v>1</v>
      </c>
      <c r="Q1945" s="5" t="s">
        <v>8803</v>
      </c>
      <c r="R1945" s="5">
        <v>420000</v>
      </c>
      <c r="S1945" s="5">
        <v>0</v>
      </c>
      <c r="T1945" s="5">
        <v>12000</v>
      </c>
      <c r="U1945" s="5">
        <v>432000</v>
      </c>
      <c r="V1945" s="5" t="s">
        <v>8804</v>
      </c>
      <c r="W1945" s="5" t="s">
        <v>36</v>
      </c>
      <c r="X1945" s="5" t="s">
        <v>67</v>
      </c>
      <c r="Z1945" s="5" t="s">
        <v>8805</v>
      </c>
      <c r="AA1945" s="5" t="s">
        <v>69</v>
      </c>
      <c r="AB1945" s="5" t="s">
        <v>8806</v>
      </c>
      <c r="AC1945" s="8" t="str">
        <f>HYPERLINK("https://drive.google.com/file/d/1FrvLVMoBwiPXtIgMHzzPXPvw7HFCPM9S/view?usp=drivesdk", "Abrir_Factura")</f>
        <v>Abrir_Factura</v>
      </c>
      <c r="AD1945" s="9">
        <v>46059.61278935185</v>
      </c>
    </row>
    <row r="1946" spans="1:30" ht="12.5">
      <c r="A1946" s="4">
        <v>46059.628715092593</v>
      </c>
      <c r="B1946" s="5">
        <v>91684</v>
      </c>
      <c r="C1946" s="5">
        <v>72277862</v>
      </c>
      <c r="D1946" s="5" t="s">
        <v>5576</v>
      </c>
      <c r="F1946" s="5" t="s">
        <v>8807</v>
      </c>
      <c r="H1946" s="5">
        <v>573205792617</v>
      </c>
      <c r="J1946" s="5" t="s">
        <v>8808</v>
      </c>
      <c r="K1946" s="5" t="s">
        <v>33</v>
      </c>
      <c r="L1946" s="5" t="s">
        <v>34</v>
      </c>
      <c r="M1946" s="5">
        <v>3205792617</v>
      </c>
      <c r="N1946" s="6">
        <v>46059</v>
      </c>
      <c r="O1946" s="7">
        <v>0.65763888888888888</v>
      </c>
      <c r="P1946" s="5">
        <v>1</v>
      </c>
      <c r="Q1946" s="5" t="s">
        <v>1102</v>
      </c>
      <c r="R1946" s="5">
        <v>220000</v>
      </c>
      <c r="S1946" s="5">
        <v>0</v>
      </c>
      <c r="T1946" s="5">
        <v>0</v>
      </c>
      <c r="U1946" s="5">
        <v>220000</v>
      </c>
      <c r="V1946" s="5"/>
      <c r="W1946" s="5" t="s">
        <v>36</v>
      </c>
      <c r="X1946" s="5" t="s">
        <v>1937</v>
      </c>
      <c r="AA1946" s="5" t="s">
        <v>69</v>
      </c>
      <c r="AC1946" s="8" t="str">
        <f>HYPERLINK("https://drive.google.com/file/d/1KNVGu927_YTAM_IY6QHUDInZuC7dplUH/view?usp=drivesdk", "Abrir_Factura")</f>
        <v>Abrir_Factura</v>
      </c>
      <c r="AD1946" s="9">
        <v>46059.634606481479</v>
      </c>
    </row>
    <row r="1947" spans="1:30" ht="12.5">
      <c r="A1947" s="4">
        <v>46059.665310254626</v>
      </c>
      <c r="B1947" s="5">
        <v>91685</v>
      </c>
      <c r="C1947" s="5">
        <v>0</v>
      </c>
      <c r="D1947" s="5" t="s">
        <v>445</v>
      </c>
      <c r="F1947" s="5" t="s">
        <v>3877</v>
      </c>
      <c r="H1947" s="5">
        <v>5700000</v>
      </c>
      <c r="J1947" s="5" t="s">
        <v>8809</v>
      </c>
      <c r="K1947" s="5" t="s">
        <v>33</v>
      </c>
      <c r="L1947" s="5" t="s">
        <v>34</v>
      </c>
      <c r="M1947" s="5"/>
      <c r="N1947" s="6">
        <v>46059</v>
      </c>
      <c r="O1947" s="7">
        <v>0</v>
      </c>
      <c r="P1947" s="5">
        <v>1</v>
      </c>
      <c r="Q1947" s="5" t="s">
        <v>42</v>
      </c>
      <c r="R1947" s="5">
        <v>15000</v>
      </c>
      <c r="S1947" s="5">
        <v>0</v>
      </c>
      <c r="T1947" s="5">
        <v>0</v>
      </c>
      <c r="U1947" s="5">
        <v>15000</v>
      </c>
      <c r="V1947" s="5"/>
      <c r="W1947" s="5" t="s">
        <v>36</v>
      </c>
      <c r="X1947" s="5" t="s">
        <v>196</v>
      </c>
      <c r="AA1947" s="5" t="s">
        <v>44</v>
      </c>
      <c r="AC1947" s="8" t="str">
        <f>HYPERLINK("https://drive.google.com/file/d/1eZd35qtvFt_pTTC-ZAAJXCm_bvrt2BxU/view?usp=drivesdk", "Abrir_Factura")</f>
        <v>Abrir_Factura</v>
      </c>
      <c r="AD1947" s="9">
        <v>46059.666666666664</v>
      </c>
    </row>
    <row r="1948" spans="1:30" ht="12.5">
      <c r="A1948" s="4">
        <v>46059.669831643521</v>
      </c>
      <c r="B1948" s="5">
        <v>91686</v>
      </c>
      <c r="C1948" s="5">
        <v>55150847</v>
      </c>
      <c r="D1948" s="5" t="s">
        <v>8150</v>
      </c>
      <c r="F1948" s="5" t="s">
        <v>8151</v>
      </c>
      <c r="H1948" s="5">
        <v>573102709637</v>
      </c>
      <c r="J1948" s="5" t="s">
        <v>8152</v>
      </c>
      <c r="K1948" s="5" t="s">
        <v>33</v>
      </c>
      <c r="L1948" s="5" t="s">
        <v>34</v>
      </c>
      <c r="M1948" s="5">
        <v>3102709637</v>
      </c>
      <c r="N1948" s="6">
        <v>46059</v>
      </c>
      <c r="O1948" s="7">
        <v>0</v>
      </c>
      <c r="P1948" s="5">
        <v>1</v>
      </c>
      <c r="Q1948" s="5" t="s">
        <v>42</v>
      </c>
      <c r="R1948" s="5">
        <v>100000</v>
      </c>
      <c r="S1948" s="5">
        <v>0</v>
      </c>
      <c r="T1948" s="5">
        <v>0</v>
      </c>
      <c r="U1948" s="5">
        <v>100000</v>
      </c>
      <c r="V1948" s="5"/>
      <c r="W1948" s="5" t="s">
        <v>36</v>
      </c>
      <c r="X1948" s="5" t="s">
        <v>67</v>
      </c>
      <c r="AA1948" s="5" t="s">
        <v>1717</v>
      </c>
      <c r="AB1948" s="5" t="s">
        <v>8810</v>
      </c>
      <c r="AC1948" s="8" t="str">
        <f>HYPERLINK("https://drive.google.com/file/d/1RG5ZMjUbwybjq1BrTXTu7ucUh0AxMY_M/view?usp=drivesdk", "Abrir_Factura")</f>
        <v>Abrir_Factura</v>
      </c>
      <c r="AD1948" s="9">
        <v>46059.670671296299</v>
      </c>
    </row>
    <row r="1949" spans="1:30" ht="12.5">
      <c r="A1949" s="4">
        <v>46060.330953912038</v>
      </c>
      <c r="B1949" s="5">
        <v>91687</v>
      </c>
      <c r="C1949" s="5">
        <v>23084981</v>
      </c>
      <c r="D1949" s="5" t="s">
        <v>8811</v>
      </c>
      <c r="F1949" s="5" t="s">
        <v>455</v>
      </c>
      <c r="H1949" s="5">
        <v>573046688627</v>
      </c>
      <c r="J1949" s="5" t="s">
        <v>8812</v>
      </c>
      <c r="K1949" s="5" t="s">
        <v>103</v>
      </c>
      <c r="L1949" s="5" t="s">
        <v>8813</v>
      </c>
      <c r="M1949" s="5">
        <v>3046688627</v>
      </c>
      <c r="N1949" s="6">
        <v>46060</v>
      </c>
      <c r="O1949" s="7">
        <v>0.375</v>
      </c>
      <c r="P1949" s="5">
        <v>1</v>
      </c>
      <c r="Q1949" s="5" t="s">
        <v>3111</v>
      </c>
      <c r="R1949" s="5">
        <v>220000</v>
      </c>
      <c r="S1949" s="5">
        <v>0</v>
      </c>
      <c r="T1949" s="5">
        <v>10000</v>
      </c>
      <c r="U1949" s="5">
        <v>230000</v>
      </c>
      <c r="V1949" s="5" t="s">
        <v>3098</v>
      </c>
      <c r="W1949" s="5" t="s">
        <v>36</v>
      </c>
      <c r="X1949" s="5" t="s">
        <v>67</v>
      </c>
      <c r="AA1949" s="5" t="s">
        <v>44</v>
      </c>
      <c r="AB1949" s="5" t="s">
        <v>8814</v>
      </c>
      <c r="AC1949" s="8" t="str">
        <f>HYPERLINK("https://drive.google.com/file/d/1o-fHpWXWN4NLtkiJedBgqotv_3UhY6F9/view?usp=drivesdk", "Abrir_Factura")</f>
        <v>Abrir_Factura</v>
      </c>
      <c r="AD1949" s="9">
        <v>46060.336053240739</v>
      </c>
    </row>
    <row r="1950" spans="1:30" ht="12.5">
      <c r="A1950" s="4">
        <v>46060.33349694444</v>
      </c>
      <c r="B1950" s="5">
        <v>91688</v>
      </c>
      <c r="C1950" s="5">
        <v>1129568365</v>
      </c>
      <c r="D1950" s="5" t="s">
        <v>8815</v>
      </c>
      <c r="F1950" s="5" t="s">
        <v>8816</v>
      </c>
      <c r="H1950" s="5">
        <v>573243606110</v>
      </c>
      <c r="J1950" s="5" t="s">
        <v>8817</v>
      </c>
      <c r="K1950" s="5" t="s">
        <v>598</v>
      </c>
      <c r="L1950" s="5" t="s">
        <v>8818</v>
      </c>
      <c r="M1950" s="5">
        <v>3243606110</v>
      </c>
      <c r="N1950" s="6">
        <v>46060</v>
      </c>
      <c r="O1950" s="7">
        <v>0.41666666666666669</v>
      </c>
      <c r="P1950" s="5">
        <v>1</v>
      </c>
      <c r="Q1950" s="5" t="s">
        <v>576</v>
      </c>
      <c r="R1950" s="5">
        <v>140000</v>
      </c>
      <c r="S1950" s="5">
        <v>0</v>
      </c>
      <c r="T1950" s="5">
        <v>10000</v>
      </c>
      <c r="U1950" s="5">
        <v>150000</v>
      </c>
      <c r="V1950" s="5" t="s">
        <v>8819</v>
      </c>
      <c r="W1950" s="5" t="s">
        <v>36</v>
      </c>
      <c r="X1950" s="5" t="s">
        <v>67</v>
      </c>
      <c r="Z1950" s="5" t="s">
        <v>8820</v>
      </c>
      <c r="AA1950" s="5" t="s">
        <v>44</v>
      </c>
      <c r="AB1950" s="5" t="s">
        <v>8821</v>
      </c>
      <c r="AC1950" s="8" t="str">
        <f>HYPERLINK("https://drive.google.com/file/d/1d4bQzGihLLX_YPjEZoPmrizGbME1uABN/view?usp=drivesdk", "Abrir_Factura")</f>
        <v>Abrir_Factura</v>
      </c>
      <c r="AD1950" s="9">
        <v>46060.340902777774</v>
      </c>
    </row>
    <row r="1951" spans="1:30" ht="12.5">
      <c r="A1951" s="4">
        <v>46060.344990914353</v>
      </c>
      <c r="B1951" s="5">
        <v>91689</v>
      </c>
      <c r="C1951" s="5">
        <v>1045761202</v>
      </c>
      <c r="D1951" s="5" t="s">
        <v>8822</v>
      </c>
      <c r="F1951" s="5" t="s">
        <v>8823</v>
      </c>
      <c r="H1951" s="5">
        <v>573174863301</v>
      </c>
      <c r="J1951" s="5" t="s">
        <v>8824</v>
      </c>
      <c r="K1951" s="5" t="s">
        <v>110</v>
      </c>
      <c r="L1951" s="5" t="s">
        <v>8825</v>
      </c>
      <c r="M1951" s="5">
        <v>3185278354</v>
      </c>
      <c r="N1951" s="6">
        <v>46060</v>
      </c>
      <c r="O1951" s="7">
        <v>0.41666666666666669</v>
      </c>
      <c r="P1951" s="5">
        <v>1</v>
      </c>
      <c r="Q1951" s="5" t="s">
        <v>309</v>
      </c>
      <c r="R1951" s="5">
        <v>88000</v>
      </c>
      <c r="S1951" s="5">
        <v>0</v>
      </c>
      <c r="T1951" s="5">
        <v>6000</v>
      </c>
      <c r="U1951" s="5">
        <v>94000</v>
      </c>
      <c r="V1951" s="5" t="s">
        <v>8826</v>
      </c>
      <c r="W1951" s="5" t="s">
        <v>36</v>
      </c>
      <c r="X1951" s="5" t="s">
        <v>67</v>
      </c>
      <c r="Z1951" s="5" t="s">
        <v>8827</v>
      </c>
      <c r="AA1951" s="5" t="s">
        <v>44</v>
      </c>
      <c r="AC1951" s="8" t="str">
        <f>HYPERLINK("https://drive.google.com/file/d/1IaqxJTIOwS82wwfwHL6s4bnD19LdJfIh/view?usp=drivesdk", "Abrir_Factura")</f>
        <v>Abrir_Factura</v>
      </c>
      <c r="AD1951" s="9">
        <v>46060.359270833331</v>
      </c>
    </row>
    <row r="1952" spans="1:30" ht="12.5">
      <c r="A1952" s="4">
        <v>46060.375835671293</v>
      </c>
      <c r="B1952" s="5">
        <v>91690</v>
      </c>
      <c r="C1952" s="5">
        <v>1140857132</v>
      </c>
      <c r="D1952" s="5" t="s">
        <v>1798</v>
      </c>
      <c r="F1952" s="5" t="s">
        <v>1968</v>
      </c>
      <c r="H1952" s="5">
        <v>573004474213</v>
      </c>
      <c r="J1952" s="5" t="s">
        <v>8828</v>
      </c>
      <c r="K1952" s="5" t="s">
        <v>185</v>
      </c>
      <c r="L1952" s="5" t="s">
        <v>8829</v>
      </c>
      <c r="M1952" s="5">
        <v>3166285614</v>
      </c>
      <c r="N1952" s="6">
        <v>46060</v>
      </c>
      <c r="O1952" s="7">
        <v>0.41666666666666669</v>
      </c>
      <c r="P1952" s="5">
        <v>1</v>
      </c>
      <c r="Q1952" s="5" t="s">
        <v>178</v>
      </c>
      <c r="R1952" s="5">
        <v>110000</v>
      </c>
      <c r="S1952" s="5">
        <v>0</v>
      </c>
      <c r="T1952" s="5">
        <v>8000</v>
      </c>
      <c r="U1952" s="5">
        <v>118000</v>
      </c>
      <c r="V1952" s="5" t="s">
        <v>8830</v>
      </c>
      <c r="W1952" s="5" t="s">
        <v>36</v>
      </c>
      <c r="X1952" s="5" t="s">
        <v>67</v>
      </c>
      <c r="Z1952" s="5" t="s">
        <v>8831</v>
      </c>
      <c r="AA1952" s="5" t="s">
        <v>44</v>
      </c>
      <c r="AB1952" s="5" t="s">
        <v>8832</v>
      </c>
      <c r="AC1952" s="8" t="str">
        <f>HYPERLINK("https://drive.google.com/file/d/1T42JzdMWfEvvYQ09NbdVPvl29qI3Wgpm/view?usp=drivesdk", "Abrir_Factura")</f>
        <v>Abrir_Factura</v>
      </c>
      <c r="AD1952" s="9">
        <v>46060.383449074077</v>
      </c>
    </row>
    <row r="1953" spans="1:30" ht="12.5">
      <c r="A1953" s="4">
        <v>46060.390249861113</v>
      </c>
      <c r="B1953" s="5">
        <v>91691</v>
      </c>
      <c r="C1953" s="5">
        <v>1065830976</v>
      </c>
      <c r="D1953" s="5" t="s">
        <v>8833</v>
      </c>
      <c r="F1953" s="5" t="s">
        <v>8834</v>
      </c>
      <c r="H1953" s="5">
        <v>573156852856</v>
      </c>
      <c r="J1953" s="5" t="s">
        <v>8835</v>
      </c>
      <c r="K1953" s="5" t="s">
        <v>726</v>
      </c>
      <c r="L1953" s="5" t="s">
        <v>8836</v>
      </c>
      <c r="M1953" s="5">
        <v>3156852856</v>
      </c>
      <c r="N1953" s="6">
        <v>46060</v>
      </c>
      <c r="O1953" s="7">
        <v>0.45833333333333331</v>
      </c>
      <c r="P1953" s="5">
        <v>1</v>
      </c>
      <c r="Q1953" s="5" t="s">
        <v>649</v>
      </c>
      <c r="R1953" s="5">
        <v>200000</v>
      </c>
      <c r="S1953" s="5">
        <v>0</v>
      </c>
      <c r="T1953" s="5">
        <v>9000</v>
      </c>
      <c r="U1953" s="5">
        <v>209000</v>
      </c>
      <c r="V1953" s="5" t="s">
        <v>8837</v>
      </c>
      <c r="W1953" s="5" t="s">
        <v>36</v>
      </c>
      <c r="X1953" s="5" t="s">
        <v>67</v>
      </c>
      <c r="AA1953" s="5" t="s">
        <v>44</v>
      </c>
      <c r="AB1953" s="5" t="s">
        <v>8838</v>
      </c>
      <c r="AC1953" s="8" t="str">
        <f>HYPERLINK("https://drive.google.com/file/d/13tXKSfWWNUIaXaRK_pr5cGz-7BLfJ5Xg/view?usp=drivesdk", "Abrir_Factura")</f>
        <v>Abrir_Factura</v>
      </c>
      <c r="AD1953" s="9">
        <v>46060.396238425928</v>
      </c>
    </row>
    <row r="1954" spans="1:30" ht="12.5">
      <c r="A1954" s="4">
        <v>46060.448172291668</v>
      </c>
      <c r="B1954" s="5">
        <v>91692</v>
      </c>
      <c r="C1954" s="5">
        <v>1140893453</v>
      </c>
      <c r="D1954" s="5" t="s">
        <v>5054</v>
      </c>
      <c r="F1954" s="5" t="s">
        <v>8839</v>
      </c>
      <c r="H1954" s="5">
        <v>573003996801</v>
      </c>
      <c r="J1954" s="5" t="s">
        <v>8840</v>
      </c>
      <c r="K1954" s="5" t="s">
        <v>161</v>
      </c>
      <c r="L1954" s="5" t="s">
        <v>8841</v>
      </c>
      <c r="M1954" s="5">
        <v>3158524692</v>
      </c>
      <c r="N1954" s="6">
        <v>46060</v>
      </c>
      <c r="O1954" s="7">
        <v>0</v>
      </c>
      <c r="P1954" s="5">
        <v>1</v>
      </c>
      <c r="Q1954" s="5" t="s">
        <v>384</v>
      </c>
      <c r="R1954" s="5">
        <v>200000</v>
      </c>
      <c r="S1954" s="5">
        <v>0</v>
      </c>
      <c r="T1954" s="5">
        <v>8000</v>
      </c>
      <c r="U1954" s="5">
        <v>208000</v>
      </c>
      <c r="V1954" s="5" t="s">
        <v>8842</v>
      </c>
      <c r="W1954" s="5" t="s">
        <v>36</v>
      </c>
      <c r="X1954" s="5" t="s">
        <v>67</v>
      </c>
      <c r="Z1954" s="5" t="s">
        <v>8843</v>
      </c>
      <c r="AA1954" s="5" t="s">
        <v>44</v>
      </c>
      <c r="AC1954" s="8" t="str">
        <f>HYPERLINK("https://drive.google.com/file/d/1DPG-1FRXsUY_Eu3rErWapUScnSPbeLz9/view?usp=drivesdk", "Abrir_Factura")</f>
        <v>Abrir_Factura</v>
      </c>
      <c r="AD1954" s="9">
        <v>46060.454351851855</v>
      </c>
    </row>
    <row r="1955" spans="1:30" ht="12.5">
      <c r="A1955" s="4">
        <v>46060.475750231482</v>
      </c>
      <c r="B1955" s="5">
        <v>91693</v>
      </c>
      <c r="C1955" s="5">
        <v>32873283</v>
      </c>
      <c r="D1955" s="5" t="s">
        <v>8844</v>
      </c>
      <c r="F1955" s="5" t="s">
        <v>6024</v>
      </c>
      <c r="H1955" s="5">
        <v>573008108213</v>
      </c>
      <c r="J1955" s="5" t="s">
        <v>8844</v>
      </c>
      <c r="K1955" s="5" t="s">
        <v>73</v>
      </c>
      <c r="L1955" s="5" t="s">
        <v>8845</v>
      </c>
      <c r="M1955" s="5" t="s">
        <v>8846</v>
      </c>
      <c r="N1955" s="6">
        <v>46060</v>
      </c>
      <c r="O1955" s="7">
        <v>0</v>
      </c>
      <c r="P1955" s="5">
        <v>1</v>
      </c>
      <c r="Q1955" s="5" t="s">
        <v>42</v>
      </c>
      <c r="R1955" s="5">
        <v>143000</v>
      </c>
      <c r="S1955" s="5">
        <v>0</v>
      </c>
      <c r="T1955" s="5">
        <v>8000</v>
      </c>
      <c r="U1955" s="5">
        <v>151000</v>
      </c>
      <c r="V1955" s="5"/>
      <c r="W1955" s="5" t="s">
        <v>36</v>
      </c>
      <c r="X1955" s="5" t="s">
        <v>67</v>
      </c>
      <c r="AA1955" s="5" t="s">
        <v>44</v>
      </c>
      <c r="AB1955" s="5" t="s">
        <v>8847</v>
      </c>
      <c r="AC1955" s="8" t="str">
        <f>HYPERLINK("https://drive.google.com/file/d/154dkeRU1Zgnmo-6YgboRSK2NFWzBKSYS/view?usp=drivesdk", "Abrir_Factura")</f>
        <v>Abrir_Factura</v>
      </c>
      <c r="AD1955" s="9">
        <v>46060.476574074077</v>
      </c>
    </row>
    <row r="1956" spans="1:30" ht="12.5">
      <c r="A1956" s="4">
        <v>46060.429915393514</v>
      </c>
      <c r="B1956" s="5">
        <v>91694</v>
      </c>
      <c r="C1956" s="5">
        <v>22423671</v>
      </c>
      <c r="D1956" s="5" t="s">
        <v>6644</v>
      </c>
      <c r="F1956" s="5" t="s">
        <v>6645</v>
      </c>
      <c r="H1956" s="5">
        <v>573218046491</v>
      </c>
      <c r="J1956" s="5" t="s">
        <v>7689</v>
      </c>
      <c r="K1956" s="5"/>
      <c r="L1956" s="5" t="s">
        <v>8848</v>
      </c>
      <c r="M1956" s="5"/>
      <c r="N1956" s="6">
        <v>46060</v>
      </c>
      <c r="O1956" s="7">
        <v>0</v>
      </c>
      <c r="P1956" s="5">
        <v>1</v>
      </c>
      <c r="Q1956" s="5" t="s">
        <v>1696</v>
      </c>
      <c r="R1956" s="5">
        <v>800000</v>
      </c>
      <c r="S1956" s="5">
        <v>0</v>
      </c>
      <c r="T1956" s="5"/>
      <c r="U1956" s="5">
        <v>800000</v>
      </c>
      <c r="V1956" s="5" t="s">
        <v>8849</v>
      </c>
      <c r="W1956" s="5" t="s">
        <v>36</v>
      </c>
      <c r="X1956" s="5" t="s">
        <v>180</v>
      </c>
      <c r="AA1956" s="5" t="s">
        <v>44</v>
      </c>
      <c r="AC1956" s="8" t="str">
        <f>HYPERLINK("https://drive.google.com/file/d/1bFFkQCCLsMBWszRG5ANnfDKGquIfdZKx/view?usp=drivesdk", "Abrir_Factura")</f>
        <v>Abrir_Factura</v>
      </c>
      <c r="AD1956" s="9">
        <v>46060.494409722225</v>
      </c>
    </row>
    <row r="1957" spans="1:30" ht="12.5">
      <c r="A1957" s="4">
        <v>46060.467125752315</v>
      </c>
      <c r="B1957" s="5">
        <v>91695</v>
      </c>
      <c r="C1957" s="5">
        <v>1104259753</v>
      </c>
      <c r="D1957" s="5" t="s">
        <v>8850</v>
      </c>
      <c r="F1957" s="5" t="s">
        <v>8851</v>
      </c>
      <c r="H1957" s="5">
        <v>573052468073</v>
      </c>
      <c r="J1957" s="5" t="s">
        <v>8852</v>
      </c>
      <c r="K1957" s="5" t="s">
        <v>249</v>
      </c>
      <c r="L1957" s="5" t="s">
        <v>8853</v>
      </c>
      <c r="M1957" s="5">
        <v>3042711921</v>
      </c>
      <c r="N1957" s="6">
        <v>46060</v>
      </c>
      <c r="O1957" s="7">
        <v>0.54166666666666663</v>
      </c>
      <c r="P1957" s="5">
        <v>1</v>
      </c>
      <c r="Q1957" s="5" t="s">
        <v>187</v>
      </c>
      <c r="R1957" s="5">
        <v>220000</v>
      </c>
      <c r="S1957" s="5">
        <v>0</v>
      </c>
      <c r="T1957" s="5">
        <v>10000</v>
      </c>
      <c r="U1957" s="5">
        <v>230000</v>
      </c>
      <c r="V1957" s="5" t="s">
        <v>8854</v>
      </c>
      <c r="W1957" s="5" t="s">
        <v>36</v>
      </c>
      <c r="X1957" s="5" t="s">
        <v>67</v>
      </c>
      <c r="Z1957" s="5" t="s">
        <v>8855</v>
      </c>
      <c r="AA1957" s="5" t="s">
        <v>44</v>
      </c>
      <c r="AC1957" s="8" t="str">
        <f>HYPERLINK("https://drive.google.com/file/d/1xmlPEAic-VDczk-C7eupsfMsOqzuW6uA/view?usp=drivesdk", "Abrir_Factura")</f>
        <v>Abrir_Factura</v>
      </c>
      <c r="AD1957" s="9">
        <v>46060.481342592589</v>
      </c>
    </row>
    <row r="1958" spans="1:30" ht="12.5">
      <c r="A1958" s="4">
        <v>46060.516630613427</v>
      </c>
      <c r="B1958" s="5">
        <v>91696</v>
      </c>
      <c r="C1958" s="5">
        <v>26201340</v>
      </c>
      <c r="D1958" s="5" t="s">
        <v>8856</v>
      </c>
      <c r="F1958" s="5" t="s">
        <v>6488</v>
      </c>
      <c r="H1958" s="5">
        <v>573122995559</v>
      </c>
      <c r="J1958" s="5" t="s">
        <v>6489</v>
      </c>
      <c r="K1958" s="5" t="s">
        <v>33</v>
      </c>
      <c r="L1958" s="5" t="s">
        <v>34</v>
      </c>
      <c r="M1958" s="5">
        <v>3122995559</v>
      </c>
      <c r="N1958" s="6">
        <v>46060</v>
      </c>
      <c r="O1958" s="7">
        <v>0</v>
      </c>
      <c r="P1958" s="5">
        <v>1</v>
      </c>
      <c r="Q1958" s="5" t="s">
        <v>42</v>
      </c>
      <c r="R1958" s="5">
        <v>25000</v>
      </c>
      <c r="S1958" s="5">
        <v>0</v>
      </c>
      <c r="T1958" s="5">
        <v>0</v>
      </c>
      <c r="U1958" s="5">
        <v>25000</v>
      </c>
      <c r="V1958" s="5"/>
      <c r="W1958" s="5" t="s">
        <v>36</v>
      </c>
      <c r="X1958" s="5" t="s">
        <v>196</v>
      </c>
      <c r="AA1958" s="5" t="s">
        <v>44</v>
      </c>
      <c r="AC1958" s="8" t="str">
        <f>HYPERLINK("https://drive.google.com/file/d/1vRdfM3SgF3k3p32vwd-b8adHFMBbDpme/view?usp=drivesdk", "Abrir_Factura")</f>
        <v>Abrir_Factura</v>
      </c>
      <c r="AD1958" s="9">
        <v>46060.517152777778</v>
      </c>
    </row>
    <row r="1959" spans="1:30" ht="12.5">
      <c r="A1959" s="4">
        <v>46066.529687499999</v>
      </c>
      <c r="B1959" s="5">
        <v>91697</v>
      </c>
      <c r="C1959" s="5">
        <v>72286811</v>
      </c>
      <c r="D1959" s="5" t="s">
        <v>4385</v>
      </c>
      <c r="F1959" s="5" t="s">
        <v>4386</v>
      </c>
      <c r="H1959" s="5">
        <v>573008077533</v>
      </c>
      <c r="J1959" s="5" t="s">
        <v>8857</v>
      </c>
      <c r="K1959" s="5"/>
      <c r="L1959" s="5" t="s">
        <v>8858</v>
      </c>
      <c r="M1959" s="5"/>
      <c r="N1959" s="6">
        <v>46060</v>
      </c>
      <c r="O1959" s="7">
        <v>0</v>
      </c>
      <c r="P1959" s="5">
        <v>1</v>
      </c>
      <c r="Q1959" s="5" t="s">
        <v>1251</v>
      </c>
      <c r="R1959" s="5">
        <v>580000</v>
      </c>
      <c r="S1959" s="5">
        <v>0</v>
      </c>
      <c r="T1959" s="5"/>
      <c r="U1959" s="5">
        <v>580000</v>
      </c>
      <c r="V1959" s="5" t="s">
        <v>8859</v>
      </c>
      <c r="W1959" s="5" t="s">
        <v>36</v>
      </c>
      <c r="X1959" s="5" t="s">
        <v>83</v>
      </c>
      <c r="AA1959" s="5" t="s">
        <v>44</v>
      </c>
      <c r="AC1959" s="8" t="str">
        <f>HYPERLINK("https://drive.google.com/file/d/1lbN4HZMeS2Zt9x-gN0Q2Vom5WdahzzYV/view?usp=drivesdk", "Abrir_Factura")</f>
        <v>Abrir_Factura</v>
      </c>
      <c r="AD1959" s="9">
        <v>46066.503495370373</v>
      </c>
    </row>
    <row r="1960" spans="1:30" ht="12.5">
      <c r="A1960" s="4">
        <v>46060.549095740746</v>
      </c>
      <c r="B1960" s="5">
        <v>91698</v>
      </c>
      <c r="C1960" s="5">
        <v>80503496</v>
      </c>
      <c r="D1960" s="5" t="s">
        <v>6792</v>
      </c>
      <c r="F1960" s="5" t="s">
        <v>7325</v>
      </c>
      <c r="H1960" s="5">
        <v>5717864269698</v>
      </c>
      <c r="J1960" s="5" t="s">
        <v>8860</v>
      </c>
      <c r="K1960" s="5" t="s">
        <v>33</v>
      </c>
      <c r="L1960" s="5" t="s">
        <v>34</v>
      </c>
      <c r="M1960" s="5">
        <v>17864269698</v>
      </c>
      <c r="N1960" s="6">
        <v>46060</v>
      </c>
      <c r="O1960" s="7">
        <v>0</v>
      </c>
      <c r="P1960" s="5">
        <v>1</v>
      </c>
      <c r="Q1960" s="5" t="s">
        <v>384</v>
      </c>
      <c r="R1960" s="5">
        <v>200000</v>
      </c>
      <c r="S1960" s="5">
        <v>0</v>
      </c>
      <c r="T1960" s="5">
        <v>0</v>
      </c>
      <c r="U1960" s="5">
        <v>200000</v>
      </c>
      <c r="V1960" s="5"/>
      <c r="W1960" s="5" t="s">
        <v>36</v>
      </c>
      <c r="X1960" s="5" t="s">
        <v>196</v>
      </c>
      <c r="AA1960" s="5" t="s">
        <v>1717</v>
      </c>
      <c r="AC1960" s="8" t="str">
        <f>HYPERLINK("https://drive.google.com/file/d/1R542gICYQ6ddCf8yO1Ix1uuHZ7X2wmkf/view?usp=drivesdk", "Abrir_Factura")</f>
        <v>Abrir_Factura</v>
      </c>
      <c r="AD1960" s="9">
        <v>46060.549745370372</v>
      </c>
    </row>
    <row r="1961" spans="1:30" ht="12.5">
      <c r="A1961" s="4">
        <v>46060.461260694443</v>
      </c>
      <c r="B1961" s="5">
        <v>91699</v>
      </c>
      <c r="C1961" s="5">
        <v>1193122351</v>
      </c>
      <c r="D1961" s="5" t="s">
        <v>8861</v>
      </c>
      <c r="F1961" s="5" t="s">
        <v>8862</v>
      </c>
      <c r="H1961" s="5">
        <v>573015847567</v>
      </c>
      <c r="J1961" s="5" t="s">
        <v>8863</v>
      </c>
      <c r="K1961" s="5" t="s">
        <v>87</v>
      </c>
      <c r="L1961" s="5" t="s">
        <v>8864</v>
      </c>
      <c r="M1961" s="5">
        <v>3015847567</v>
      </c>
      <c r="N1961" s="6">
        <v>46062</v>
      </c>
      <c r="O1961" s="7">
        <v>0.625</v>
      </c>
      <c r="P1961" s="5">
        <v>1</v>
      </c>
      <c r="Q1961" s="5" t="s">
        <v>8865</v>
      </c>
      <c r="R1961" s="5">
        <v>860000</v>
      </c>
      <c r="S1961" s="5">
        <v>0</v>
      </c>
      <c r="T1961" s="5">
        <v>13000</v>
      </c>
      <c r="U1961" s="5">
        <v>873000</v>
      </c>
      <c r="V1961" s="5" t="s">
        <v>8866</v>
      </c>
      <c r="W1961" s="5" t="s">
        <v>36</v>
      </c>
      <c r="X1961" s="5" t="s">
        <v>1481</v>
      </c>
      <c r="AA1961" s="5" t="s">
        <v>69</v>
      </c>
      <c r="AC1961" s="8" t="str">
        <f>HYPERLINK("https://drive.google.com/file/d/1S3L5x6EvKjW4KaE_epE0KVn7BHXP5xPg/view?usp=drivesdk", "Abrir_Factura")</f>
        <v>Abrir_Factura</v>
      </c>
      <c r="AD1961" s="9">
        <v>46060.558472222219</v>
      </c>
    </row>
    <row r="1962" spans="1:30" ht="12.5">
      <c r="A1962" s="4">
        <v>46060.563410636576</v>
      </c>
      <c r="B1962" s="5">
        <v>91700</v>
      </c>
      <c r="C1962" s="5">
        <v>55305751</v>
      </c>
      <c r="D1962" s="5" t="s">
        <v>4174</v>
      </c>
      <c r="F1962" s="5" t="s">
        <v>1387</v>
      </c>
      <c r="H1962" s="5">
        <v>573158714603</v>
      </c>
      <c r="J1962" s="5" t="s">
        <v>8867</v>
      </c>
      <c r="K1962" s="5"/>
      <c r="L1962" s="5" t="s">
        <v>8868</v>
      </c>
      <c r="M1962" s="5"/>
      <c r="N1962" s="6">
        <v>46079</v>
      </c>
      <c r="O1962" s="7">
        <v>0.375</v>
      </c>
      <c r="P1962" s="5">
        <v>1</v>
      </c>
      <c r="Q1962" s="5" t="s">
        <v>42</v>
      </c>
      <c r="R1962" s="5">
        <v>1500000</v>
      </c>
      <c r="S1962" s="5">
        <v>0</v>
      </c>
      <c r="T1962" s="5"/>
      <c r="U1962" s="5">
        <v>1500000</v>
      </c>
      <c r="V1962" s="5"/>
      <c r="W1962" s="5" t="s">
        <v>36</v>
      </c>
      <c r="X1962" s="5" t="s">
        <v>1481</v>
      </c>
      <c r="AA1962" s="5" t="s">
        <v>332</v>
      </c>
      <c r="AB1962" s="5" t="s">
        <v>8869</v>
      </c>
      <c r="AC1962" s="8" t="str">
        <f>HYPERLINK("https://drive.google.com/file/d/1VGVx8vSmdSr0NfVm0GflEARDxFUqHEYG/view?usp=drivesdk", "Abrir_Factura")</f>
        <v>Abrir_Factura</v>
      </c>
      <c r="AD1962" s="9">
        <v>46060.565659722219</v>
      </c>
    </row>
    <row r="1963" spans="1:30" ht="12.5">
      <c r="A1963" s="4">
        <v>46060.567772662034</v>
      </c>
      <c r="B1963" s="5">
        <v>91701</v>
      </c>
      <c r="C1963" s="5">
        <v>1193131398</v>
      </c>
      <c r="D1963" s="5" t="s">
        <v>8870</v>
      </c>
      <c r="F1963" s="5" t="s">
        <v>8871</v>
      </c>
      <c r="H1963" s="5">
        <v>573046418455</v>
      </c>
      <c r="J1963" s="5" t="s">
        <v>8872</v>
      </c>
      <c r="K1963" s="5" t="s">
        <v>33</v>
      </c>
      <c r="L1963" s="5" t="s">
        <v>34</v>
      </c>
      <c r="M1963" s="5">
        <v>3046418455</v>
      </c>
      <c r="N1963" s="6">
        <v>46060</v>
      </c>
      <c r="O1963" s="7">
        <v>0.58333333333333337</v>
      </c>
      <c r="P1963" s="5">
        <v>1</v>
      </c>
      <c r="Q1963" s="5" t="s">
        <v>178</v>
      </c>
      <c r="R1963" s="5">
        <v>110000</v>
      </c>
      <c r="S1963" s="5">
        <v>0</v>
      </c>
      <c r="T1963" s="5">
        <v>0</v>
      </c>
      <c r="U1963" s="5">
        <v>110000</v>
      </c>
      <c r="V1963" s="5" t="s">
        <v>8873</v>
      </c>
      <c r="W1963" s="5" t="s">
        <v>36</v>
      </c>
      <c r="X1963" s="5" t="s">
        <v>67</v>
      </c>
      <c r="Z1963" s="5" t="s">
        <v>8874</v>
      </c>
      <c r="AA1963" s="5" t="s">
        <v>44</v>
      </c>
      <c r="AB1963" s="5" t="s">
        <v>8875</v>
      </c>
      <c r="AC1963" s="8" t="str">
        <f>HYPERLINK("https://drive.google.com/file/d/1wlKOjUeh7pN-rjMDc7W0F-mroH-Pr5be/view?usp=drivesdk", "Abrir_Factura")</f>
        <v>Abrir_Factura</v>
      </c>
      <c r="AD1963" s="9">
        <v>46060.573946759258</v>
      </c>
    </row>
    <row r="1964" spans="1:30" ht="12.5">
      <c r="A1964" s="4">
        <v>46060.588055462962</v>
      </c>
      <c r="B1964" s="5">
        <v>91702</v>
      </c>
      <c r="C1964" s="5">
        <v>1048067299</v>
      </c>
      <c r="D1964" s="5" t="s">
        <v>1038</v>
      </c>
      <c r="F1964" s="5" t="s">
        <v>1033</v>
      </c>
      <c r="H1964" s="5">
        <v>19303337910</v>
      </c>
      <c r="J1964" s="5" t="s">
        <v>1034</v>
      </c>
      <c r="K1964" s="5" t="s">
        <v>103</v>
      </c>
      <c r="L1964" s="5" t="s">
        <v>8876</v>
      </c>
      <c r="M1964" s="5"/>
      <c r="N1964" s="6">
        <v>46066</v>
      </c>
      <c r="O1964" s="7">
        <v>0.375</v>
      </c>
      <c r="P1964" s="5">
        <v>1</v>
      </c>
      <c r="Q1964" s="5" t="s">
        <v>1203</v>
      </c>
      <c r="R1964" s="5">
        <v>300000</v>
      </c>
      <c r="S1964" s="5">
        <v>0</v>
      </c>
      <c r="T1964" s="5">
        <v>10000</v>
      </c>
      <c r="U1964" s="5">
        <v>310000</v>
      </c>
      <c r="V1964" s="5" t="s">
        <v>8877</v>
      </c>
      <c r="W1964" s="5" t="s">
        <v>36</v>
      </c>
      <c r="X1964" s="5" t="s">
        <v>7644</v>
      </c>
      <c r="AA1964" s="5" t="s">
        <v>44</v>
      </c>
      <c r="AC1964" s="8" t="str">
        <f>HYPERLINK("https://drive.google.com/file/d/1NfIGOAtP9HFTSYb1EDTC5ntp1aKFbPFI/view?usp=drivesdk", "Abrir_Factura")</f>
        <v>Abrir_Factura</v>
      </c>
      <c r="AD1964" s="9">
        <v>46060.588854166665</v>
      </c>
    </row>
    <row r="1965" spans="1:30" ht="12.5">
      <c r="A1965" s="4">
        <v>46060.595823344906</v>
      </c>
      <c r="B1965" s="5">
        <v>91703</v>
      </c>
      <c r="C1965" s="5">
        <v>1042257378</v>
      </c>
      <c r="D1965" s="5" t="s">
        <v>2836</v>
      </c>
      <c r="F1965" s="5" t="s">
        <v>8878</v>
      </c>
      <c r="H1965" s="5">
        <v>573233924387</v>
      </c>
      <c r="J1965" s="5" t="s">
        <v>8879</v>
      </c>
      <c r="K1965" s="5" t="s">
        <v>33</v>
      </c>
      <c r="L1965" s="5" t="s">
        <v>34</v>
      </c>
      <c r="M1965" s="5">
        <v>3233924387</v>
      </c>
      <c r="N1965" s="6">
        <v>46066</v>
      </c>
      <c r="O1965" s="7">
        <v>0.375</v>
      </c>
      <c r="P1965" s="5">
        <v>1</v>
      </c>
      <c r="Q1965" s="5" t="s">
        <v>8880</v>
      </c>
      <c r="R1965" s="5">
        <v>150000</v>
      </c>
      <c r="S1965" s="5">
        <v>0</v>
      </c>
      <c r="T1965" s="5">
        <v>0</v>
      </c>
      <c r="U1965" s="5">
        <v>150000</v>
      </c>
      <c r="V1965" s="5"/>
      <c r="W1965" s="5" t="s">
        <v>36</v>
      </c>
      <c r="X1965" s="5" t="s">
        <v>7644</v>
      </c>
      <c r="AA1965" s="5" t="s">
        <v>44</v>
      </c>
      <c r="AB1965" s="5" t="s">
        <v>8881</v>
      </c>
      <c r="AC1965" s="8" t="str">
        <f>HYPERLINK("https://drive.google.com/file/d/1VaHGqPQ71yf-TAUGadhz6yiwALDE02a3/view?usp=drivesdk", "Abrir_Factura")</f>
        <v>Abrir_Factura</v>
      </c>
      <c r="AD1965" s="9">
        <v>46060.615289351852</v>
      </c>
    </row>
    <row r="1966" spans="1:30" ht="12.5">
      <c r="A1966" s="4">
        <v>46060.631233831024</v>
      </c>
      <c r="B1966" s="5">
        <v>91704</v>
      </c>
      <c r="C1966" s="5">
        <v>22538376</v>
      </c>
      <c r="D1966" s="5" t="s">
        <v>8882</v>
      </c>
      <c r="F1966" s="5" t="s">
        <v>8883</v>
      </c>
      <c r="H1966" s="5">
        <v>573225191364</v>
      </c>
      <c r="J1966" s="5" t="s">
        <v>8884</v>
      </c>
      <c r="K1966" s="5" t="s">
        <v>33</v>
      </c>
      <c r="L1966" s="5" t="s">
        <v>34</v>
      </c>
      <c r="M1966" s="5">
        <v>3225191364</v>
      </c>
      <c r="N1966" s="6">
        <v>46060</v>
      </c>
      <c r="O1966" s="7">
        <v>0</v>
      </c>
      <c r="P1966" s="5">
        <v>1</v>
      </c>
      <c r="Q1966" s="5" t="s">
        <v>42</v>
      </c>
      <c r="R1966" s="5">
        <v>40000</v>
      </c>
      <c r="S1966" s="5">
        <v>0</v>
      </c>
      <c r="T1966" s="5">
        <v>0</v>
      </c>
      <c r="U1966" s="5">
        <v>40000</v>
      </c>
      <c r="V1966" s="5"/>
      <c r="W1966" s="5" t="s">
        <v>36</v>
      </c>
      <c r="X1966" s="5" t="s">
        <v>196</v>
      </c>
      <c r="AA1966" s="5" t="s">
        <v>1717</v>
      </c>
      <c r="AB1966" s="5" t="s">
        <v>8885</v>
      </c>
      <c r="AC1966" s="8" t="str">
        <f>HYPERLINK("https://drive.google.com/file/d/13BlgYgmfNTJeyl7_uFQwoNB6Bg9tU9FO/view?usp=drivesdk", "Abrir_Factura")</f>
        <v>Abrir_Factura</v>
      </c>
      <c r="AD1966" s="9">
        <v>46060.632476851853</v>
      </c>
    </row>
    <row r="1967" spans="1:30" ht="12.5">
      <c r="A1967" s="4">
        <v>46060.614936851853</v>
      </c>
      <c r="B1967" s="5">
        <v>91705</v>
      </c>
      <c r="C1967" s="5">
        <v>1047352784</v>
      </c>
      <c r="D1967" s="5" t="s">
        <v>8886</v>
      </c>
      <c r="F1967" s="5" t="s">
        <v>8887</v>
      </c>
      <c r="H1967" s="5">
        <v>573194239021</v>
      </c>
      <c r="J1967" s="5" t="s">
        <v>8888</v>
      </c>
      <c r="K1967" s="5" t="s">
        <v>328</v>
      </c>
      <c r="L1967" s="5" t="s">
        <v>8889</v>
      </c>
      <c r="M1967" s="5" t="s">
        <v>8890</v>
      </c>
      <c r="N1967" s="6">
        <v>46062</v>
      </c>
      <c r="O1967" s="7">
        <v>0.66666666666666663</v>
      </c>
      <c r="P1967" s="5">
        <v>1</v>
      </c>
      <c r="Q1967" s="5" t="s">
        <v>375</v>
      </c>
      <c r="R1967" s="5">
        <v>80000</v>
      </c>
      <c r="S1967" s="5">
        <v>0</v>
      </c>
      <c r="T1967" s="5">
        <v>12000</v>
      </c>
      <c r="U1967" s="5">
        <v>92000</v>
      </c>
      <c r="V1967" s="5" t="s">
        <v>8891</v>
      </c>
      <c r="W1967" s="5" t="s">
        <v>36</v>
      </c>
      <c r="X1967" s="5" t="s">
        <v>67</v>
      </c>
      <c r="Z1967" s="5" t="s">
        <v>8892</v>
      </c>
      <c r="AA1967" s="5" t="s">
        <v>44</v>
      </c>
      <c r="AC1967" s="8" t="str">
        <f>HYPERLINK("https://drive.google.com/file/d/1FlwowHQmwQyY80tPF4Ph4NrFyENTod7b/view?usp=drivesdk", "Abrir_Factura")</f>
        <v>Abrir_Factura</v>
      </c>
      <c r="AD1967" s="9">
        <v>46060.633599537039</v>
      </c>
    </row>
    <row r="1968" spans="1:30" ht="12.5">
      <c r="A1968" s="4">
        <v>46060.636004039348</v>
      </c>
      <c r="B1968" s="5">
        <v>91706</v>
      </c>
      <c r="C1968" s="5">
        <v>101998413</v>
      </c>
      <c r="D1968" s="5" t="s">
        <v>7959</v>
      </c>
      <c r="F1968" s="5" t="s">
        <v>8893</v>
      </c>
      <c r="H1968" s="5">
        <v>573043203733</v>
      </c>
      <c r="J1968" s="5" t="s">
        <v>8894</v>
      </c>
      <c r="K1968" s="5" t="s">
        <v>33</v>
      </c>
      <c r="L1968" s="5" t="s">
        <v>34</v>
      </c>
      <c r="M1968" s="5">
        <v>3043203733</v>
      </c>
      <c r="N1968" s="6">
        <v>46060</v>
      </c>
      <c r="O1968" s="7">
        <v>0.66666666666666663</v>
      </c>
      <c r="P1968" s="5">
        <v>1</v>
      </c>
      <c r="Q1968" s="5" t="s">
        <v>8895</v>
      </c>
      <c r="R1968" s="5">
        <v>148000</v>
      </c>
      <c r="S1968" s="5">
        <v>0</v>
      </c>
      <c r="T1968" s="5">
        <v>0</v>
      </c>
      <c r="U1968" s="5">
        <v>148000</v>
      </c>
      <c r="V1968" s="5"/>
      <c r="W1968" s="5" t="s">
        <v>36</v>
      </c>
      <c r="X1968" s="5" t="s">
        <v>1705</v>
      </c>
      <c r="AA1968" s="5" t="s">
        <v>1717</v>
      </c>
      <c r="AC1968" s="8" t="str">
        <f>HYPERLINK("https://drive.google.com/file/d/18uZBXzYxZpD0rwPhP39UceykhMgYteOM/view?usp=drivesdk", "Abrir_Factura")</f>
        <v>Abrir_Factura</v>
      </c>
      <c r="AD1968" s="9">
        <v>46060.636840277781</v>
      </c>
    </row>
    <row r="1969" spans="1:30" ht="12.5">
      <c r="A1969" s="4">
        <v>46060.657849525465</v>
      </c>
      <c r="B1969" s="5">
        <v>91707</v>
      </c>
      <c r="C1969" s="5">
        <v>32669105</v>
      </c>
      <c r="D1969" s="5" t="s">
        <v>8896</v>
      </c>
      <c r="F1969" s="5" t="s">
        <v>8897</v>
      </c>
      <c r="H1969" s="5">
        <v>573215951751</v>
      </c>
      <c r="J1969" s="5" t="s">
        <v>8898</v>
      </c>
      <c r="K1969" s="5" t="s">
        <v>33</v>
      </c>
      <c r="L1969" s="5" t="s">
        <v>34</v>
      </c>
      <c r="M1969" s="5">
        <v>3215951751</v>
      </c>
      <c r="N1969" s="6">
        <v>46063</v>
      </c>
      <c r="O1969" s="7">
        <v>0.58333333333333337</v>
      </c>
      <c r="P1969" s="5">
        <v>1</v>
      </c>
      <c r="Q1969" s="5" t="s">
        <v>8899</v>
      </c>
      <c r="R1969" s="5">
        <v>108000</v>
      </c>
      <c r="S1969" s="5">
        <v>0</v>
      </c>
      <c r="T1969" s="5">
        <v>0</v>
      </c>
      <c r="U1969" s="5">
        <v>108000</v>
      </c>
      <c r="V1969" s="5"/>
      <c r="W1969" s="5" t="s">
        <v>36</v>
      </c>
      <c r="X1969" s="5" t="s">
        <v>1705</v>
      </c>
      <c r="AA1969" s="5" t="s">
        <v>44</v>
      </c>
      <c r="AB1969" s="5" t="s">
        <v>8900</v>
      </c>
      <c r="AC1969" s="8" t="str">
        <f>HYPERLINK("https://drive.google.com/file/d/1MHDfV048Up6bo6NsnqOTk98eHxV2Llfq/view?usp=drivesdk", "Abrir_Factura")</f>
        <v>Abrir_Factura</v>
      </c>
      <c r="AD1969" s="9">
        <v>46060.662326388891</v>
      </c>
    </row>
    <row r="1970" spans="1:30" ht="12.5">
      <c r="A1970" s="4">
        <v>46060.649324803242</v>
      </c>
      <c r="B1970" s="5">
        <v>91708</v>
      </c>
      <c r="C1970" s="5">
        <v>1102870706</v>
      </c>
      <c r="D1970" s="5" t="s">
        <v>8432</v>
      </c>
      <c r="F1970" s="5" t="s">
        <v>8433</v>
      </c>
      <c r="H1970" s="5">
        <v>573006107337</v>
      </c>
      <c r="J1970" s="5" t="s">
        <v>8901</v>
      </c>
      <c r="K1970" s="5" t="s">
        <v>161</v>
      </c>
      <c r="L1970" s="5" t="s">
        <v>8902</v>
      </c>
      <c r="M1970" s="5">
        <v>3246539725</v>
      </c>
      <c r="N1970" s="6">
        <v>46060</v>
      </c>
      <c r="O1970" s="7">
        <v>0.70833333333333337</v>
      </c>
      <c r="P1970" s="5">
        <v>1</v>
      </c>
      <c r="Q1970" s="5" t="s">
        <v>65</v>
      </c>
      <c r="R1970" s="5">
        <v>80000</v>
      </c>
      <c r="S1970" s="5">
        <v>0</v>
      </c>
      <c r="T1970" s="5">
        <v>8000</v>
      </c>
      <c r="U1970" s="5">
        <v>88000</v>
      </c>
      <c r="V1970" s="5" t="s">
        <v>8903</v>
      </c>
      <c r="W1970" s="5" t="s">
        <v>36</v>
      </c>
      <c r="X1970" s="5" t="s">
        <v>1481</v>
      </c>
      <c r="Z1970" s="5" t="s">
        <v>8904</v>
      </c>
      <c r="AA1970" s="5" t="s">
        <v>44</v>
      </c>
      <c r="AC1970" s="8" t="str">
        <f>HYPERLINK("https://drive.google.com/file/d/1PdQhqRkLSrocCDmBl0MgMHDCb_tApfAY/view?usp=drivesdk", "Abrir_Factura")</f>
        <v>Abrir_Factura</v>
      </c>
      <c r="AD1970" s="9">
        <v>46060.66369212963</v>
      </c>
    </row>
    <row r="1971" spans="1:30" ht="12.5">
      <c r="A1971" s="4">
        <v>46060.666729247685</v>
      </c>
      <c r="B1971" s="5">
        <v>91709</v>
      </c>
      <c r="C1971" s="5">
        <v>1045667304</v>
      </c>
      <c r="D1971" s="5" t="s">
        <v>8905</v>
      </c>
      <c r="F1971" s="5" t="s">
        <v>8906</v>
      </c>
      <c r="H1971" s="5">
        <v>56950081717</v>
      </c>
      <c r="J1971" s="5" t="s">
        <v>8907</v>
      </c>
      <c r="K1971" s="5" t="s">
        <v>103</v>
      </c>
      <c r="L1971" s="5" t="s">
        <v>8908</v>
      </c>
      <c r="M1971" s="5"/>
      <c r="N1971" s="6">
        <v>46063</v>
      </c>
      <c r="O1971" s="7">
        <v>0.375</v>
      </c>
      <c r="P1971" s="5">
        <v>1</v>
      </c>
      <c r="Q1971" s="5" t="s">
        <v>8909</v>
      </c>
      <c r="R1971" s="5">
        <v>110000</v>
      </c>
      <c r="S1971" s="5">
        <v>0</v>
      </c>
      <c r="T1971" s="5">
        <v>10000</v>
      </c>
      <c r="U1971" s="5">
        <v>120000</v>
      </c>
      <c r="V1971" s="5" t="s">
        <v>8910</v>
      </c>
      <c r="W1971" s="5" t="s">
        <v>36</v>
      </c>
      <c r="X1971" s="5" t="s">
        <v>1705</v>
      </c>
      <c r="AA1971" s="5" t="s">
        <v>44</v>
      </c>
      <c r="AC1971" s="8" t="str">
        <f>HYPERLINK("https://drive.google.com/file/d/1j8h7sOMmGrkFgbwQjxgsqa7L8s3UJ15J/view?usp=drivesdk", "Abrir_Factura")</f>
        <v>Abrir_Factura</v>
      </c>
      <c r="AD1971" s="9">
        <v>46060.667442129627</v>
      </c>
    </row>
    <row r="1972" spans="1:30" ht="12.5">
      <c r="A1972" s="4">
        <v>46060.665597500003</v>
      </c>
      <c r="B1972" s="5">
        <v>91710</v>
      </c>
      <c r="C1972" s="5">
        <v>1047502709</v>
      </c>
      <c r="D1972" s="5" t="s">
        <v>226</v>
      </c>
      <c r="F1972" s="5" t="s">
        <v>8911</v>
      </c>
      <c r="H1972" s="5">
        <v>573154165888</v>
      </c>
      <c r="J1972" s="5" t="s">
        <v>8912</v>
      </c>
      <c r="K1972" s="5" t="s">
        <v>987</v>
      </c>
      <c r="L1972" s="5" t="s">
        <v>8913</v>
      </c>
      <c r="M1972" s="5">
        <v>3005116760</v>
      </c>
      <c r="N1972" s="6">
        <v>46060</v>
      </c>
      <c r="O1972" s="7">
        <v>0.70833333333333337</v>
      </c>
      <c r="P1972" s="5">
        <v>1</v>
      </c>
      <c r="Q1972" s="5" t="s">
        <v>375</v>
      </c>
      <c r="R1972" s="5">
        <v>80000</v>
      </c>
      <c r="S1972" s="5">
        <v>0</v>
      </c>
      <c r="T1972" s="5">
        <v>25000</v>
      </c>
      <c r="U1972" s="5">
        <v>105000</v>
      </c>
      <c r="V1972" s="5" t="s">
        <v>8914</v>
      </c>
      <c r="W1972" s="5" t="s">
        <v>36</v>
      </c>
      <c r="X1972" s="5" t="s">
        <v>67</v>
      </c>
      <c r="Z1972" s="5" t="s">
        <v>8915</v>
      </c>
      <c r="AA1972" s="5" t="s">
        <v>44</v>
      </c>
      <c r="AC1972" s="8" t="str">
        <f>HYPERLINK("https://drive.google.com/file/d/1RX8qOacklC4R_k3l8iZ9nW7a37c38Si7/view?usp=drivesdk", "Abrir_Factura")</f>
        <v>Abrir_Factura</v>
      </c>
      <c r="AD1972" s="9">
        <v>46060.671782407408</v>
      </c>
    </row>
    <row r="1973" spans="1:30" ht="12.5">
      <c r="A1973" s="4">
        <v>46060.686882372684</v>
      </c>
      <c r="B1973" s="5">
        <v>91711</v>
      </c>
      <c r="C1973" s="5">
        <v>0</v>
      </c>
      <c r="D1973" s="5" t="s">
        <v>190</v>
      </c>
      <c r="F1973" s="5" t="s">
        <v>372</v>
      </c>
      <c r="H1973" s="5">
        <v>57000</v>
      </c>
      <c r="J1973" s="5" t="s">
        <v>8916</v>
      </c>
      <c r="K1973" s="5" t="s">
        <v>33</v>
      </c>
      <c r="L1973" s="5" t="s">
        <v>34</v>
      </c>
      <c r="M1973" s="5"/>
      <c r="N1973" s="6">
        <v>46060</v>
      </c>
      <c r="O1973" s="7">
        <v>0.70833333333333337</v>
      </c>
      <c r="P1973" s="5">
        <v>1</v>
      </c>
      <c r="Q1973" s="5" t="s">
        <v>42</v>
      </c>
      <c r="R1973" s="5">
        <v>27000</v>
      </c>
      <c r="S1973" s="5">
        <v>0</v>
      </c>
      <c r="T1973" s="5">
        <v>0</v>
      </c>
      <c r="U1973" s="5">
        <v>27000</v>
      </c>
      <c r="V1973" s="5"/>
      <c r="W1973" s="5" t="s">
        <v>36</v>
      </c>
      <c r="X1973" s="5" t="s">
        <v>196</v>
      </c>
      <c r="AA1973" s="5" t="s">
        <v>1717</v>
      </c>
      <c r="AC1973" s="8" t="str">
        <f>HYPERLINK("https://drive.google.com/file/d/1yHPQtIpFVCZaZJYxRCvL86QUuRUOHH_Z/view?usp=drivesdk", "Abrir_Factura")</f>
        <v>Abrir_Factura</v>
      </c>
      <c r="AD1973" s="9">
        <v>46060.688055555554</v>
      </c>
    </row>
    <row r="1974" spans="1:30" ht="12.5">
      <c r="A1974" s="4">
        <v>46060.689765312505</v>
      </c>
      <c r="B1974" s="5">
        <v>91712</v>
      </c>
      <c r="C1974" s="5">
        <v>22494274</v>
      </c>
      <c r="D1974" s="5" t="s">
        <v>8917</v>
      </c>
      <c r="F1974" s="5" t="s">
        <v>8918</v>
      </c>
      <c r="H1974" s="5">
        <v>573104362258</v>
      </c>
      <c r="J1974" s="5" t="s">
        <v>8919</v>
      </c>
      <c r="K1974" s="5" t="s">
        <v>33</v>
      </c>
      <c r="L1974" s="5" t="s">
        <v>34</v>
      </c>
      <c r="M1974" s="5" t="s">
        <v>8920</v>
      </c>
      <c r="N1974" s="6">
        <v>46060</v>
      </c>
      <c r="O1974" s="7">
        <v>0.70833333333333337</v>
      </c>
      <c r="P1974" s="5">
        <v>1</v>
      </c>
      <c r="Q1974" s="5" t="s">
        <v>42</v>
      </c>
      <c r="R1974" s="5">
        <v>90000</v>
      </c>
      <c r="S1974" s="5">
        <v>0</v>
      </c>
      <c r="T1974" s="5">
        <v>0</v>
      </c>
      <c r="U1974" s="5">
        <v>90000</v>
      </c>
      <c r="V1974" s="5"/>
      <c r="W1974" s="5" t="s">
        <v>36</v>
      </c>
      <c r="X1974" s="5" t="s">
        <v>67</v>
      </c>
      <c r="AA1974" s="5" t="s">
        <v>44</v>
      </c>
      <c r="AC1974" s="8" t="str">
        <f>HYPERLINK("https://drive.google.com/file/d/1VZatdoJaDUfxwgTKPZIrffQA6VtWOX6f/view?usp=drivesdk", "Abrir_Factura")</f>
        <v>Abrir_Factura</v>
      </c>
      <c r="AD1974" s="9">
        <v>46062.602361111109</v>
      </c>
    </row>
    <row r="1975" spans="1:30" ht="12.5">
      <c r="A1975" s="4">
        <v>46060.698345381941</v>
      </c>
      <c r="B1975" s="5">
        <v>91713</v>
      </c>
      <c r="C1975" s="5">
        <v>1000970813</v>
      </c>
      <c r="D1975" s="5" t="s">
        <v>8612</v>
      </c>
      <c r="F1975" s="5" t="s">
        <v>5296</v>
      </c>
      <c r="H1975" s="5">
        <v>573135040604</v>
      </c>
      <c r="J1975" s="5" t="s">
        <v>8921</v>
      </c>
      <c r="K1975" s="5" t="s">
        <v>33</v>
      </c>
      <c r="L1975" s="5" t="s">
        <v>34</v>
      </c>
      <c r="M1975" s="5" t="s">
        <v>8922</v>
      </c>
      <c r="N1975" s="6">
        <v>46060</v>
      </c>
      <c r="O1975" s="7">
        <v>0</v>
      </c>
      <c r="P1975" s="5">
        <v>1</v>
      </c>
      <c r="Q1975" s="5" t="s">
        <v>50</v>
      </c>
      <c r="R1975" s="5">
        <v>220000</v>
      </c>
      <c r="S1975" s="5">
        <v>0</v>
      </c>
      <c r="T1975" s="5">
        <v>0</v>
      </c>
      <c r="U1975" s="5">
        <v>220000</v>
      </c>
      <c r="V1975" s="5"/>
      <c r="W1975" s="5" t="s">
        <v>36</v>
      </c>
      <c r="X1975" s="5" t="s">
        <v>1705</v>
      </c>
      <c r="AA1975" s="5" t="s">
        <v>1717</v>
      </c>
      <c r="AC1975" s="8" t="str">
        <f>HYPERLINK("https://drive.google.com/file/d/1sN9NkwJmKKtkZ4B10avJustXufdER1TT/view?usp=drivesdk", "Abrir_Factura")</f>
        <v>Abrir_Factura</v>
      </c>
      <c r="AD1975" s="9">
        <v>46060.707673611112</v>
      </c>
    </row>
    <row r="1976" spans="1:30" ht="12.5">
      <c r="A1976" s="4">
        <v>46060.523757164352</v>
      </c>
      <c r="B1976" s="5">
        <v>91714</v>
      </c>
      <c r="C1976" s="5">
        <v>108033666</v>
      </c>
      <c r="D1976" s="5" t="s">
        <v>84</v>
      </c>
      <c r="F1976" s="5" t="s">
        <v>7325</v>
      </c>
      <c r="H1976" s="5">
        <v>573005057739</v>
      </c>
      <c r="J1976" s="5" t="s">
        <v>8923</v>
      </c>
      <c r="K1976" s="5" t="s">
        <v>351</v>
      </c>
      <c r="L1976" s="5" t="s">
        <v>8924</v>
      </c>
      <c r="M1976" s="5">
        <v>3166373573</v>
      </c>
      <c r="N1976" s="6">
        <v>46065</v>
      </c>
      <c r="O1976" s="7">
        <v>0.375</v>
      </c>
      <c r="P1976" s="5">
        <v>1</v>
      </c>
      <c r="Q1976" s="5" t="s">
        <v>8925</v>
      </c>
      <c r="R1976" s="5">
        <v>200000</v>
      </c>
      <c r="S1976" s="5">
        <v>0</v>
      </c>
      <c r="T1976" s="5">
        <v>12000</v>
      </c>
      <c r="U1976" s="5">
        <v>212000</v>
      </c>
      <c r="V1976" s="5"/>
      <c r="W1976" s="5" t="s">
        <v>36</v>
      </c>
      <c r="X1976" s="5" t="s">
        <v>67</v>
      </c>
      <c r="AA1976" s="5" t="s">
        <v>69</v>
      </c>
      <c r="AB1976" s="5" t="s">
        <v>8926</v>
      </c>
      <c r="AC1976" s="8" t="str">
        <f>HYPERLINK("https://drive.google.com/file/d/1gR9hfgsFta_T8N8XBbx9CaFgLEjCexdP/view?usp=drivesdk", "Abrir_Factura")</f>
        <v>Abrir_Factura</v>
      </c>
      <c r="AD1976" s="9">
        <v>46062.316527777781</v>
      </c>
    </row>
    <row r="1977" spans="1:30" ht="12.5">
      <c r="A1977" s="4">
        <v>46062.349850011575</v>
      </c>
      <c r="B1977" s="5">
        <v>91715</v>
      </c>
      <c r="C1977" s="5">
        <v>1140895461</v>
      </c>
      <c r="D1977" s="5" t="s">
        <v>1216</v>
      </c>
      <c r="F1977" s="5" t="s">
        <v>8927</v>
      </c>
      <c r="H1977" s="5">
        <v>573145404704</v>
      </c>
      <c r="J1977" s="5" t="s">
        <v>2197</v>
      </c>
      <c r="K1977" s="5" t="s">
        <v>79</v>
      </c>
      <c r="L1977" s="5" t="s">
        <v>8928</v>
      </c>
      <c r="M1977" s="5">
        <v>3145404704</v>
      </c>
      <c r="N1977" s="6">
        <v>46062</v>
      </c>
      <c r="O1977" s="7">
        <v>0.41666666666666669</v>
      </c>
      <c r="P1977" s="5">
        <v>1</v>
      </c>
      <c r="Q1977" s="5" t="s">
        <v>210</v>
      </c>
      <c r="R1977" s="5">
        <v>170000</v>
      </c>
      <c r="S1977" s="5">
        <v>0</v>
      </c>
      <c r="T1977" s="5">
        <v>10000</v>
      </c>
      <c r="U1977" s="5">
        <v>180000</v>
      </c>
      <c r="V1977" s="5" t="s">
        <v>8929</v>
      </c>
      <c r="W1977" s="5" t="s">
        <v>36</v>
      </c>
      <c r="X1977" s="5" t="s">
        <v>67</v>
      </c>
      <c r="AA1977" s="5" t="s">
        <v>44</v>
      </c>
      <c r="AC1977" s="8" t="str">
        <f>HYPERLINK("https://drive.google.com/file/d/1JB3URrHqWUaEp71RH-PifGueaE6fUgMI/view?usp=drivesdk", "Abrir_Factura")</f>
        <v>Abrir_Factura</v>
      </c>
      <c r="AD1977" s="9">
        <v>46062.350497685184</v>
      </c>
    </row>
    <row r="1978" spans="1:30" ht="12.5">
      <c r="A1978" s="4">
        <v>46062.366235277776</v>
      </c>
      <c r="B1978" s="5">
        <v>91716</v>
      </c>
      <c r="C1978" s="5">
        <v>55225517</v>
      </c>
      <c r="D1978" s="5" t="s">
        <v>1321</v>
      </c>
      <c r="F1978" s="5" t="s">
        <v>8930</v>
      </c>
      <c r="H1978" s="5">
        <v>573017851850</v>
      </c>
      <c r="J1978" s="5" t="s">
        <v>8931</v>
      </c>
      <c r="K1978" s="5" t="s">
        <v>33</v>
      </c>
      <c r="L1978" s="5" t="s">
        <v>34</v>
      </c>
      <c r="M1978" s="5">
        <v>3017851850</v>
      </c>
      <c r="N1978" s="6">
        <v>46062</v>
      </c>
      <c r="O1978" s="7">
        <v>0.41666666666666669</v>
      </c>
      <c r="P1978" s="5">
        <v>1</v>
      </c>
      <c r="Q1978" s="5" t="s">
        <v>42</v>
      </c>
      <c r="R1978" s="5">
        <v>120000</v>
      </c>
      <c r="S1978" s="5">
        <v>0</v>
      </c>
      <c r="T1978" s="5">
        <v>0</v>
      </c>
      <c r="U1978" s="5">
        <v>120000</v>
      </c>
      <c r="V1978" s="5"/>
      <c r="W1978" s="5" t="s">
        <v>36</v>
      </c>
      <c r="X1978" s="5" t="s">
        <v>67</v>
      </c>
      <c r="AA1978" s="5" t="s">
        <v>44</v>
      </c>
      <c r="AB1978" s="5" t="s">
        <v>8932</v>
      </c>
      <c r="AC1978" s="8" t="str">
        <f>HYPERLINK("https://drive.google.com/file/d/11ueWJioaxXECDLehYglf3jHOBQIvkf_5/view?usp=drivesdk", "Abrir_Factura")</f>
        <v>Abrir_Factura</v>
      </c>
      <c r="AD1978" s="9">
        <v>46062.367326388892</v>
      </c>
    </row>
    <row r="1979" spans="1:30" ht="12.5">
      <c r="A1979" s="4">
        <v>46062.37223212963</v>
      </c>
      <c r="B1979" s="5">
        <v>91717</v>
      </c>
      <c r="C1979" s="5">
        <v>1042263001</v>
      </c>
      <c r="D1979" s="5" t="s">
        <v>8933</v>
      </c>
      <c r="F1979" s="5" t="s">
        <v>8934</v>
      </c>
      <c r="H1979" s="5">
        <v>573183270297</v>
      </c>
      <c r="J1979" s="5" t="s">
        <v>8935</v>
      </c>
      <c r="K1979" s="5" t="s">
        <v>249</v>
      </c>
      <c r="L1979" s="5" t="s">
        <v>8936</v>
      </c>
      <c r="M1979" s="5" t="s">
        <v>8937</v>
      </c>
      <c r="N1979" s="6">
        <v>46062</v>
      </c>
      <c r="O1979" s="7">
        <v>0.41666666666666669</v>
      </c>
      <c r="P1979" s="5">
        <v>1</v>
      </c>
      <c r="Q1979" s="5" t="s">
        <v>649</v>
      </c>
      <c r="R1979" s="5">
        <v>200000</v>
      </c>
      <c r="S1979" s="5">
        <v>0</v>
      </c>
      <c r="T1979" s="5">
        <v>10000</v>
      </c>
      <c r="U1979" s="5">
        <v>210000</v>
      </c>
      <c r="V1979" s="5" t="s">
        <v>8938</v>
      </c>
      <c r="W1979" s="5" t="s">
        <v>36</v>
      </c>
      <c r="X1979" s="5" t="s">
        <v>67</v>
      </c>
      <c r="Z1979" s="5" t="s">
        <v>8939</v>
      </c>
      <c r="AA1979" s="5" t="s">
        <v>69</v>
      </c>
      <c r="AC1979" s="8" t="str">
        <f>HYPERLINK("https://drive.google.com/file/d/1BGv6pPYKJ51Yua7MnVqzo_FN9Fx6xAId/view?usp=drivesdk", "Abrir_Factura")</f>
        <v>Abrir_Factura</v>
      </c>
      <c r="AD1979" s="9">
        <v>46062.374710648146</v>
      </c>
    </row>
    <row r="1980" spans="1:30" ht="12.5">
      <c r="A1980" s="4">
        <v>46062.373799733796</v>
      </c>
      <c r="B1980" s="5">
        <v>91718</v>
      </c>
      <c r="C1980" s="5">
        <v>1140867841</v>
      </c>
      <c r="D1980" s="5" t="s">
        <v>332</v>
      </c>
      <c r="F1980" s="5" t="s">
        <v>498</v>
      </c>
      <c r="H1980" s="5">
        <v>5784017208</v>
      </c>
      <c r="J1980" s="5" t="s">
        <v>8940</v>
      </c>
      <c r="K1980" s="5" t="s">
        <v>307</v>
      </c>
      <c r="L1980" s="5" t="s">
        <v>8941</v>
      </c>
      <c r="M1980" s="5">
        <v>3187162075</v>
      </c>
      <c r="N1980" s="6">
        <v>46062</v>
      </c>
      <c r="O1980" s="7">
        <v>0.45833333333333331</v>
      </c>
      <c r="P1980" s="5">
        <v>1</v>
      </c>
      <c r="Q1980" s="5" t="s">
        <v>375</v>
      </c>
      <c r="R1980" s="5">
        <v>80000</v>
      </c>
      <c r="S1980" s="5">
        <v>0</v>
      </c>
      <c r="T1980" s="5">
        <v>10000</v>
      </c>
      <c r="U1980" s="5">
        <v>90000</v>
      </c>
      <c r="V1980" s="5" t="s">
        <v>8942</v>
      </c>
      <c r="W1980" s="5" t="s">
        <v>36</v>
      </c>
      <c r="X1980" s="5" t="s">
        <v>67</v>
      </c>
      <c r="Z1980" s="5" t="s">
        <v>8943</v>
      </c>
      <c r="AA1980" s="5" t="s">
        <v>69</v>
      </c>
      <c r="AB1980" s="5" t="s">
        <v>8944</v>
      </c>
      <c r="AC1980" s="8" t="str">
        <f>HYPERLINK("https://drive.google.com/file/d/1kw05m2ctj4Cz1Z64a7XSHaNZyRjs6rT3/view?usp=drivesdk", "Abrir_Factura")</f>
        <v>Abrir_Factura</v>
      </c>
      <c r="AD1980" s="9">
        <v>46062.384548611109</v>
      </c>
    </row>
    <row r="1981" spans="1:30" ht="12.5">
      <c r="A1981" s="4">
        <v>46062.384271574076</v>
      </c>
      <c r="B1981" s="5">
        <v>91719</v>
      </c>
      <c r="C1981" s="5">
        <v>1140903364</v>
      </c>
      <c r="D1981" s="5" t="s">
        <v>698</v>
      </c>
      <c r="F1981" s="5" t="s">
        <v>2890</v>
      </c>
      <c r="H1981" s="5">
        <v>573015190837</v>
      </c>
      <c r="J1981" s="5" t="s">
        <v>8945</v>
      </c>
      <c r="K1981" s="5" t="s">
        <v>598</v>
      </c>
      <c r="L1981" s="5" t="s">
        <v>8946</v>
      </c>
      <c r="M1981" s="5" t="s">
        <v>8947</v>
      </c>
      <c r="N1981" s="6">
        <v>46062</v>
      </c>
      <c r="O1981" s="7">
        <v>0.45833333333333331</v>
      </c>
      <c r="P1981" s="5">
        <v>1</v>
      </c>
      <c r="Q1981" s="5" t="s">
        <v>156</v>
      </c>
      <c r="R1981" s="5">
        <v>80000</v>
      </c>
      <c r="S1981" s="5">
        <v>0</v>
      </c>
      <c r="T1981" s="5">
        <v>10000</v>
      </c>
      <c r="U1981" s="5">
        <v>90000</v>
      </c>
      <c r="V1981" s="5" t="s">
        <v>8948</v>
      </c>
      <c r="W1981" s="5" t="s">
        <v>36</v>
      </c>
      <c r="X1981" s="5" t="s">
        <v>67</v>
      </c>
      <c r="Z1981" s="5" t="s">
        <v>5249</v>
      </c>
      <c r="AA1981" s="5" t="s">
        <v>44</v>
      </c>
      <c r="AB1981" s="5" t="s">
        <v>8948</v>
      </c>
      <c r="AC1981" s="8" t="str">
        <f>HYPERLINK("https://drive.google.com/file/d/1uF7Qeat7CTivEKa1-a4TgNYfBDs5kZCl/view?usp=drivesdk", "Abrir_Factura")</f>
        <v>Abrir_Factura</v>
      </c>
      <c r="AD1981" s="9">
        <v>46062.389537037037</v>
      </c>
    </row>
    <row r="1982" spans="1:30" ht="12.5">
      <c r="A1982" s="4">
        <v>46062.401944074074</v>
      </c>
      <c r="B1982" s="5">
        <v>91720</v>
      </c>
      <c r="C1982" s="5">
        <v>1002158370</v>
      </c>
      <c r="D1982" s="5" t="s">
        <v>8949</v>
      </c>
      <c r="F1982" s="5" t="s">
        <v>8950</v>
      </c>
      <c r="H1982" s="5">
        <v>573016851449</v>
      </c>
      <c r="J1982" s="5" t="s">
        <v>8951</v>
      </c>
      <c r="K1982" s="5" t="s">
        <v>307</v>
      </c>
      <c r="L1982" s="5" t="s">
        <v>4141</v>
      </c>
      <c r="M1982" s="5">
        <v>3016851449</v>
      </c>
      <c r="N1982" s="6">
        <v>46062</v>
      </c>
      <c r="O1982" s="7">
        <v>0.58333333333333337</v>
      </c>
      <c r="P1982" s="5">
        <v>1</v>
      </c>
      <c r="Q1982" s="5" t="s">
        <v>347</v>
      </c>
      <c r="R1982" s="5">
        <v>250000</v>
      </c>
      <c r="S1982" s="5">
        <v>0</v>
      </c>
      <c r="T1982" s="5">
        <v>10000</v>
      </c>
      <c r="U1982" s="5">
        <v>260000</v>
      </c>
      <c r="V1982" s="5" t="s">
        <v>8952</v>
      </c>
      <c r="W1982" s="5" t="s">
        <v>36</v>
      </c>
      <c r="X1982" s="5" t="s">
        <v>67</v>
      </c>
      <c r="Z1982" s="5" t="s">
        <v>686</v>
      </c>
      <c r="AA1982" s="5" t="s">
        <v>44</v>
      </c>
      <c r="AB1982" s="5" t="s">
        <v>8953</v>
      </c>
      <c r="AC1982" s="8" t="str">
        <f>HYPERLINK("https://drive.google.com/file/d/1cfq_318yRNw1jrgcIihDCIA8Bzl7iNmq/view?usp=drivesdk", "Abrir_Factura")</f>
        <v>Abrir_Factura</v>
      </c>
      <c r="AD1982" s="9">
        <v>46062.406388888892</v>
      </c>
    </row>
    <row r="1983" spans="1:30" ht="12.5">
      <c r="A1983" s="4">
        <v>46062.403801354165</v>
      </c>
      <c r="B1983" s="5">
        <v>91721</v>
      </c>
      <c r="C1983" s="5">
        <v>1045721891</v>
      </c>
      <c r="D1983" s="5" t="s">
        <v>8954</v>
      </c>
      <c r="F1983" s="5" t="s">
        <v>7331</v>
      </c>
      <c r="H1983" s="5">
        <v>573015427108</v>
      </c>
      <c r="J1983" s="5" t="s">
        <v>8955</v>
      </c>
      <c r="K1983" s="5" t="s">
        <v>892</v>
      </c>
      <c r="L1983" s="5" t="s">
        <v>8956</v>
      </c>
      <c r="M1983" s="5">
        <v>3017695843</v>
      </c>
      <c r="N1983" s="6">
        <v>46062</v>
      </c>
      <c r="O1983" s="7">
        <v>0.58333333333333337</v>
      </c>
      <c r="P1983" s="5">
        <v>1</v>
      </c>
      <c r="Q1983" s="5" t="s">
        <v>361</v>
      </c>
      <c r="R1983" s="5">
        <v>200000</v>
      </c>
      <c r="S1983" s="5">
        <v>0</v>
      </c>
      <c r="T1983" s="5">
        <v>10000</v>
      </c>
      <c r="U1983" s="5">
        <v>210000</v>
      </c>
      <c r="V1983" s="5" t="s">
        <v>8957</v>
      </c>
      <c r="W1983" s="5" t="s">
        <v>36</v>
      </c>
      <c r="X1983" s="5" t="s">
        <v>204</v>
      </c>
      <c r="Z1983" s="5" t="s">
        <v>8958</v>
      </c>
      <c r="AA1983" s="5" t="s">
        <v>44</v>
      </c>
      <c r="AB1983" s="5" t="s">
        <v>8959</v>
      </c>
      <c r="AC1983" s="8" t="str">
        <f>HYPERLINK("https://drive.google.com/file/d/1gqq7AqqeE2D7nAGIqjVgdQPhtwV_Ehva/view?usp=drivesdk", "Abrir_Factura")</f>
        <v>Abrir_Factura</v>
      </c>
      <c r="AD1983" s="9">
        <v>46062.408634259256</v>
      </c>
    </row>
    <row r="1984" spans="1:30" ht="12.5">
      <c r="A1984" s="4">
        <v>46061.343485717589</v>
      </c>
      <c r="B1984" s="5">
        <v>91722</v>
      </c>
      <c r="C1984" s="5">
        <v>1140849709</v>
      </c>
      <c r="D1984" s="5" t="s">
        <v>921</v>
      </c>
      <c r="F1984" s="5" t="s">
        <v>8960</v>
      </c>
      <c r="H1984" s="5">
        <v>573004048843</v>
      </c>
      <c r="J1984" s="5" t="s">
        <v>4187</v>
      </c>
      <c r="K1984" s="5" t="s">
        <v>8961</v>
      </c>
      <c r="L1984" s="5" t="s">
        <v>8962</v>
      </c>
      <c r="M1984" s="5" t="s">
        <v>8963</v>
      </c>
      <c r="N1984" s="6">
        <v>46060</v>
      </c>
      <c r="O1984" s="7">
        <v>0</v>
      </c>
      <c r="P1984" s="5">
        <v>1</v>
      </c>
      <c r="Q1984" s="5" t="s">
        <v>8964</v>
      </c>
      <c r="R1984" s="5">
        <v>350000</v>
      </c>
      <c r="S1984" s="5">
        <v>0</v>
      </c>
      <c r="T1984" s="5">
        <v>30000</v>
      </c>
      <c r="U1984" s="5">
        <v>380000</v>
      </c>
      <c r="V1984" s="5" t="s">
        <v>8965</v>
      </c>
      <c r="W1984" s="5" t="s">
        <v>36</v>
      </c>
      <c r="X1984" s="5" t="s">
        <v>67</v>
      </c>
      <c r="Z1984" s="5" t="s">
        <v>8966</v>
      </c>
      <c r="AA1984" s="5" t="s">
        <v>44</v>
      </c>
      <c r="AC1984" s="8" t="str">
        <f>HYPERLINK("https://drive.google.com/file/d/1IghpkGPMoogGQLuAsLAGxYaoOy1-P6Sf/view?usp=drivesdk", "Abrir_Factura")</f>
        <v>Abrir_Factura</v>
      </c>
      <c r="AD1984" s="9">
        <v>46062.410162037035</v>
      </c>
    </row>
    <row r="1985" spans="1:30" ht="12.5">
      <c r="A1985" s="4">
        <v>46062.376266643521</v>
      </c>
      <c r="B1985" s="5">
        <v>91723</v>
      </c>
      <c r="C1985" s="5">
        <v>1045754990</v>
      </c>
      <c r="D1985" s="5" t="s">
        <v>1051</v>
      </c>
      <c r="F1985" s="5" t="s">
        <v>6747</v>
      </c>
      <c r="H1985" s="5">
        <v>34662401282</v>
      </c>
      <c r="J1985" s="5" t="s">
        <v>1982</v>
      </c>
      <c r="K1985" s="5" t="s">
        <v>103</v>
      </c>
      <c r="L1985" s="5" t="s">
        <v>8967</v>
      </c>
      <c r="M1985" s="5">
        <v>3243883371</v>
      </c>
      <c r="N1985" s="6">
        <v>46066</v>
      </c>
      <c r="O1985" s="7">
        <v>0.75</v>
      </c>
      <c r="P1985" s="5">
        <v>1</v>
      </c>
      <c r="Q1985" s="5" t="s">
        <v>133</v>
      </c>
      <c r="R1985" s="5">
        <v>150000</v>
      </c>
      <c r="S1985" s="5">
        <v>0</v>
      </c>
      <c r="T1985" s="5">
        <v>10000</v>
      </c>
      <c r="U1985" s="5">
        <v>160000</v>
      </c>
      <c r="V1985" s="5" t="s">
        <v>8968</v>
      </c>
      <c r="W1985" s="5" t="s">
        <v>36</v>
      </c>
      <c r="X1985" s="5" t="s">
        <v>7644</v>
      </c>
      <c r="Z1985" s="5" t="s">
        <v>8969</v>
      </c>
      <c r="AA1985" s="5" t="s">
        <v>44</v>
      </c>
      <c r="AC1985" s="8" t="str">
        <f>HYPERLINK("https://drive.google.com/file/d/1RPjKpuw-Ok-JGrYWhy-Y7O7vlUIUecVw/view?usp=drivesdk", "Abrir_Factura")</f>
        <v>Abrir_Factura</v>
      </c>
      <c r="AD1985" s="9">
        <v>46062.413703703707</v>
      </c>
    </row>
    <row r="1986" spans="1:30" ht="12.5">
      <c r="A1986" s="4">
        <v>46062.372255173614</v>
      </c>
      <c r="B1986" s="5">
        <v>91724</v>
      </c>
      <c r="C1986" s="5">
        <v>1042244981</v>
      </c>
      <c r="D1986" s="5" t="s">
        <v>1026</v>
      </c>
      <c r="F1986" s="5" t="s">
        <v>8970</v>
      </c>
      <c r="H1986" s="5">
        <v>573003904150</v>
      </c>
      <c r="J1986" s="5" t="s">
        <v>8971</v>
      </c>
      <c r="K1986" s="5" t="s">
        <v>185</v>
      </c>
      <c r="L1986" s="5" t="s">
        <v>8972</v>
      </c>
      <c r="M1986" s="5">
        <v>3168047377</v>
      </c>
      <c r="N1986" s="6">
        <v>46066</v>
      </c>
      <c r="O1986" s="7">
        <v>0.375</v>
      </c>
      <c r="P1986" s="5">
        <v>1</v>
      </c>
      <c r="Q1986" s="5" t="s">
        <v>8973</v>
      </c>
      <c r="R1986" s="5">
        <v>95000</v>
      </c>
      <c r="S1986" s="5">
        <v>0</v>
      </c>
      <c r="T1986" s="5">
        <v>8000</v>
      </c>
      <c r="U1986" s="5">
        <v>103000</v>
      </c>
      <c r="V1986" s="5" t="s">
        <v>8974</v>
      </c>
      <c r="W1986" s="5" t="s">
        <v>36</v>
      </c>
      <c r="X1986" s="5" t="s">
        <v>7644</v>
      </c>
      <c r="AA1986" s="5" t="s">
        <v>44</v>
      </c>
      <c r="AC1986" s="8" t="str">
        <f>HYPERLINK("https://drive.google.com/file/d/14wkIw8too522uq87p-lDATUDnYXQ8h0_/view?usp=drivesdk", "Abrir_Factura")</f>
        <v>Abrir_Factura</v>
      </c>
      <c r="AD1986" s="9">
        <v>46062.418217592596</v>
      </c>
    </row>
    <row r="1987" spans="1:30" ht="12.5">
      <c r="A1987" s="4">
        <v>46062.441429525468</v>
      </c>
      <c r="B1987" s="5">
        <v>91725</v>
      </c>
      <c r="C1987" s="5">
        <v>1140895210</v>
      </c>
      <c r="D1987" s="5" t="s">
        <v>8975</v>
      </c>
      <c r="F1987" s="5" t="s">
        <v>8976</v>
      </c>
      <c r="H1987" s="5">
        <v>573005967818</v>
      </c>
      <c r="J1987" s="5" t="s">
        <v>8977</v>
      </c>
      <c r="K1987" s="5" t="s">
        <v>33</v>
      </c>
      <c r="L1987" s="5" t="s">
        <v>34</v>
      </c>
      <c r="M1987" s="5">
        <v>3005967818</v>
      </c>
      <c r="N1987" s="6">
        <v>46062</v>
      </c>
      <c r="O1987" s="7">
        <v>0.4513888888888889</v>
      </c>
      <c r="P1987" s="5">
        <v>1</v>
      </c>
      <c r="Q1987" s="5" t="s">
        <v>8978</v>
      </c>
      <c r="R1987" s="5">
        <v>260000</v>
      </c>
      <c r="S1987" s="5">
        <v>0</v>
      </c>
      <c r="T1987" s="5">
        <v>0</v>
      </c>
      <c r="U1987" s="5">
        <v>260000</v>
      </c>
      <c r="V1987" s="5"/>
      <c r="W1987" s="5" t="s">
        <v>36</v>
      </c>
      <c r="X1987" s="5" t="s">
        <v>1705</v>
      </c>
      <c r="AA1987" s="5" t="s">
        <v>1717</v>
      </c>
      <c r="AC1987" s="8" t="str">
        <f>HYPERLINK("https://drive.google.com/file/d/1CzWkyN6kFYVVh1794BRBJYYyVZ6l2nAm/view?usp=drivesdk", "Abrir_Factura")</f>
        <v>Abrir_Factura</v>
      </c>
      <c r="AD1987" s="9">
        <v>46062.442175925928</v>
      </c>
    </row>
    <row r="1988" spans="1:30" ht="12.5">
      <c r="A1988" s="4">
        <v>46062.442842256947</v>
      </c>
      <c r="B1988" s="5">
        <v>91726</v>
      </c>
      <c r="C1988" s="5">
        <v>1002158370</v>
      </c>
      <c r="D1988" s="5" t="s">
        <v>8949</v>
      </c>
      <c r="F1988" s="5" t="s">
        <v>8950</v>
      </c>
      <c r="H1988" s="5">
        <v>573016851449</v>
      </c>
      <c r="J1988" s="5" t="s">
        <v>8951</v>
      </c>
      <c r="K1988" s="5" t="s">
        <v>307</v>
      </c>
      <c r="L1988" s="5" t="s">
        <v>8979</v>
      </c>
      <c r="M1988" s="5">
        <v>3016851449</v>
      </c>
      <c r="N1988" s="6">
        <v>46062</v>
      </c>
      <c r="O1988" s="7">
        <v>0.45833333333333331</v>
      </c>
      <c r="P1988" s="5">
        <v>1</v>
      </c>
      <c r="Q1988" s="5" t="s">
        <v>1102</v>
      </c>
      <c r="R1988" s="5">
        <v>220000</v>
      </c>
      <c r="S1988" s="5">
        <v>0</v>
      </c>
      <c r="T1988" s="5">
        <v>10000</v>
      </c>
      <c r="U1988" s="5">
        <v>230000</v>
      </c>
      <c r="V1988" s="5" t="s">
        <v>8980</v>
      </c>
      <c r="W1988" s="5" t="s">
        <v>36</v>
      </c>
      <c r="X1988" s="5" t="s">
        <v>67</v>
      </c>
      <c r="Z1988" s="5" t="s">
        <v>8981</v>
      </c>
      <c r="AA1988" s="5" t="s">
        <v>44</v>
      </c>
      <c r="AB1988" s="5" t="s">
        <v>8982</v>
      </c>
      <c r="AC1988" s="8" t="str">
        <f>HYPERLINK("https://drive.google.com/file/d/1-0To07AtHeqpCy2qIm0YVpNwl67OvNs-/view?usp=drivesdk", "Abrir_Factura")</f>
        <v>Abrir_Factura</v>
      </c>
      <c r="AD1988" s="9">
        <v>46062.450208333335</v>
      </c>
    </row>
    <row r="1989" spans="1:30" ht="12.5">
      <c r="A1989" s="4">
        <v>46062.424255682869</v>
      </c>
      <c r="B1989" s="5">
        <v>91727</v>
      </c>
      <c r="C1989" s="5">
        <v>900771314</v>
      </c>
      <c r="D1989" s="5" t="s">
        <v>8983</v>
      </c>
      <c r="F1989" s="5" t="s">
        <v>8984</v>
      </c>
      <c r="H1989" s="5">
        <v>573008001157</v>
      </c>
      <c r="J1989" s="5" t="s">
        <v>8985</v>
      </c>
      <c r="K1989" s="5" t="s">
        <v>110</v>
      </c>
      <c r="L1989" s="5" t="s">
        <v>8986</v>
      </c>
      <c r="M1989" s="5">
        <v>3008001157</v>
      </c>
      <c r="N1989" s="6">
        <v>46065</v>
      </c>
      <c r="O1989" s="7">
        <v>0.375</v>
      </c>
      <c r="P1989" s="5">
        <v>1</v>
      </c>
      <c r="Q1989" s="5" t="s">
        <v>8987</v>
      </c>
      <c r="R1989" s="5">
        <v>210000</v>
      </c>
      <c r="S1989" s="5">
        <v>0</v>
      </c>
      <c r="T1989" s="5">
        <v>6000</v>
      </c>
      <c r="U1989" s="5">
        <v>216000</v>
      </c>
      <c r="V1989" s="5" t="s">
        <v>8988</v>
      </c>
      <c r="W1989" s="5" t="s">
        <v>36</v>
      </c>
      <c r="X1989" s="5" t="s">
        <v>7644</v>
      </c>
      <c r="AA1989" s="5" t="s">
        <v>44</v>
      </c>
      <c r="AB1989" s="5" t="s">
        <v>8989</v>
      </c>
      <c r="AC1989" s="8" t="str">
        <f>HYPERLINK("https://drive.google.com/file/d/1lzNSi5b-CDHmLyZk1MVO2jtTMSMyZN95/view?usp=drivesdk", "Abrir_Factura")</f>
        <v>Abrir_Factura</v>
      </c>
      <c r="AD1989" s="9">
        <v>46062.704236111109</v>
      </c>
    </row>
    <row r="1990" spans="1:30" ht="12.5">
      <c r="A1990" s="4">
        <v>46062.451620752312</v>
      </c>
      <c r="B1990" s="5">
        <v>91728</v>
      </c>
      <c r="C1990" s="5">
        <v>1007783293</v>
      </c>
      <c r="D1990" s="5" t="s">
        <v>8990</v>
      </c>
      <c r="F1990" s="5" t="s">
        <v>8991</v>
      </c>
      <c r="H1990" s="5">
        <v>573017607682</v>
      </c>
      <c r="J1990" s="5" t="s">
        <v>8992</v>
      </c>
      <c r="K1990" s="5" t="s">
        <v>328</v>
      </c>
      <c r="L1990" s="5" t="s">
        <v>8993</v>
      </c>
      <c r="M1990" s="5">
        <v>3126794745</v>
      </c>
      <c r="N1990" s="6">
        <v>46064</v>
      </c>
      <c r="O1990" s="7">
        <v>0.375</v>
      </c>
      <c r="P1990" s="5">
        <v>1</v>
      </c>
      <c r="Q1990" s="5" t="s">
        <v>42</v>
      </c>
      <c r="R1990" s="5">
        <v>100000</v>
      </c>
      <c r="S1990" s="5">
        <v>0</v>
      </c>
      <c r="T1990" s="5">
        <v>12000</v>
      </c>
      <c r="U1990" s="5">
        <v>112000</v>
      </c>
      <c r="V1990" s="5" t="s">
        <v>8994</v>
      </c>
      <c r="W1990" s="5" t="s">
        <v>36</v>
      </c>
      <c r="X1990" s="5" t="s">
        <v>83</v>
      </c>
      <c r="Z1990" s="5" t="s">
        <v>8995</v>
      </c>
      <c r="AA1990" s="5" t="s">
        <v>69</v>
      </c>
      <c r="AB1990" s="5" t="s">
        <v>8996</v>
      </c>
      <c r="AC1990" s="8" t="str">
        <f>HYPERLINK("https://drive.google.com/file/d/1gZAgMdutRhuzJGMTycZ9AaB1Az7iGl1V/view?usp=drivesdk", "Abrir_Factura")</f>
        <v>Abrir_Factura</v>
      </c>
      <c r="AD1990" s="9">
        <v>46062.457696759258</v>
      </c>
    </row>
    <row r="1991" spans="1:30" ht="12.5">
      <c r="A1991" s="4">
        <v>46062.454111851854</v>
      </c>
      <c r="B1991" s="5">
        <v>91729</v>
      </c>
      <c r="C1991" s="5">
        <v>22476522</v>
      </c>
      <c r="D1991" s="5" t="s">
        <v>8997</v>
      </c>
      <c r="F1991" s="5" t="s">
        <v>884</v>
      </c>
      <c r="H1991" s="5">
        <v>573013796198</v>
      </c>
      <c r="J1991" s="5" t="s">
        <v>8998</v>
      </c>
      <c r="K1991" s="5" t="s">
        <v>1317</v>
      </c>
      <c r="L1991" s="5" t="s">
        <v>648</v>
      </c>
      <c r="M1991" s="5">
        <v>3014648404</v>
      </c>
      <c r="N1991" s="6">
        <v>46062</v>
      </c>
      <c r="O1991" s="7">
        <v>0.54166666666666663</v>
      </c>
      <c r="P1991" s="5">
        <v>1</v>
      </c>
      <c r="Q1991" s="5" t="s">
        <v>422</v>
      </c>
      <c r="R1991" s="5">
        <v>150000</v>
      </c>
      <c r="S1991" s="5">
        <v>0</v>
      </c>
      <c r="T1991" s="5">
        <v>12000</v>
      </c>
      <c r="U1991" s="5">
        <v>162000</v>
      </c>
      <c r="V1991" s="5" t="s">
        <v>8999</v>
      </c>
      <c r="W1991" s="5" t="s">
        <v>36</v>
      </c>
      <c r="X1991" s="5" t="s">
        <v>83</v>
      </c>
      <c r="Z1991" s="5" t="s">
        <v>9000</v>
      </c>
      <c r="AA1991" s="5" t="s">
        <v>44</v>
      </c>
      <c r="AC1991" s="8" t="str">
        <f>HYPERLINK("https://drive.google.com/file/d/19P7C1-i6tiu_NqlRU2-IzVVEbYmJt1W3/view?usp=drivesdk", "Abrir_Factura")</f>
        <v>Abrir_Factura</v>
      </c>
      <c r="AD1991" s="9">
        <v>46062.460659722223</v>
      </c>
    </row>
    <row r="1992" spans="1:30" ht="12.5">
      <c r="A1992" s="4">
        <v>46062.455162395832</v>
      </c>
      <c r="B1992" s="5">
        <v>91730</v>
      </c>
      <c r="C1992" s="5">
        <v>1140833784</v>
      </c>
      <c r="D1992" s="5" t="s">
        <v>652</v>
      </c>
      <c r="F1992" s="5" t="s">
        <v>653</v>
      </c>
      <c r="H1992" s="5">
        <v>573148029050</v>
      </c>
      <c r="J1992" s="5" t="s">
        <v>9001</v>
      </c>
      <c r="K1992" s="5" t="s">
        <v>9002</v>
      </c>
      <c r="L1992" s="5" t="s">
        <v>9003</v>
      </c>
      <c r="M1992" s="5">
        <v>3115564868</v>
      </c>
      <c r="N1992" s="6">
        <v>46062</v>
      </c>
      <c r="O1992" s="7">
        <v>0</v>
      </c>
      <c r="P1992" s="5">
        <v>1</v>
      </c>
      <c r="Q1992" s="5" t="s">
        <v>5730</v>
      </c>
      <c r="R1992" s="5">
        <v>350000</v>
      </c>
      <c r="S1992" s="5">
        <v>0</v>
      </c>
      <c r="T1992" s="5">
        <v>16000</v>
      </c>
      <c r="U1992" s="5">
        <v>366000</v>
      </c>
      <c r="V1992" s="5" t="s">
        <v>9004</v>
      </c>
      <c r="W1992" s="5" t="s">
        <v>36</v>
      </c>
      <c r="X1992" s="5" t="s">
        <v>83</v>
      </c>
      <c r="Z1992" s="5" t="s">
        <v>9005</v>
      </c>
      <c r="AA1992" s="5" t="s">
        <v>44</v>
      </c>
      <c r="AC1992" s="8" t="str">
        <f>HYPERLINK("https://drive.google.com/file/d/1hMgl9klI6-EZ4gnpjOVJqzQFn02C8rRY/view?usp=drivesdk", "Abrir_Factura")</f>
        <v>Abrir_Factura</v>
      </c>
      <c r="AD1992" s="9">
        <v>46062.461458333331</v>
      </c>
    </row>
    <row r="1993" spans="1:30" ht="12.5">
      <c r="A1993" s="4">
        <v>46062.471880208337</v>
      </c>
      <c r="B1993" s="5">
        <v>91731</v>
      </c>
      <c r="C1993" s="5">
        <v>1040736181</v>
      </c>
      <c r="D1993" s="5" t="s">
        <v>9006</v>
      </c>
      <c r="F1993" s="5" t="s">
        <v>9007</v>
      </c>
      <c r="H1993" s="5">
        <v>573104006493</v>
      </c>
      <c r="J1993" s="5" t="s">
        <v>9008</v>
      </c>
      <c r="K1993" s="5" t="s">
        <v>1815</v>
      </c>
      <c r="L1993" s="5" t="s">
        <v>9009</v>
      </c>
      <c r="M1993" s="5">
        <v>3136269991</v>
      </c>
      <c r="N1993" s="6">
        <v>46062</v>
      </c>
      <c r="O1993" s="7">
        <v>0.58333333333333337</v>
      </c>
      <c r="P1993" s="5">
        <v>1</v>
      </c>
      <c r="Q1993" s="5" t="s">
        <v>380</v>
      </c>
      <c r="R1993" s="5">
        <v>340000</v>
      </c>
      <c r="S1993" s="5">
        <v>0</v>
      </c>
      <c r="T1993" s="5">
        <v>18000</v>
      </c>
      <c r="U1993" s="5">
        <v>358000</v>
      </c>
      <c r="V1993" s="5" t="s">
        <v>9010</v>
      </c>
      <c r="W1993" s="5" t="s">
        <v>36</v>
      </c>
      <c r="X1993" s="5" t="s">
        <v>180</v>
      </c>
      <c r="Z1993" s="5" t="s">
        <v>686</v>
      </c>
      <c r="AA1993" s="5" t="s">
        <v>44</v>
      </c>
      <c r="AC1993" s="8" t="str">
        <f>HYPERLINK("https://drive.google.com/file/d/1dnF1-XLjixZVfSHyP0KJ_PkwkqaNU0Ts/view?usp=drivesdk", "Abrir_Factura")</f>
        <v>Abrir_Factura</v>
      </c>
      <c r="AD1993" s="9">
        <v>46062.477800925924</v>
      </c>
    </row>
    <row r="1994" spans="1:30" ht="12.5">
      <c r="A1994" s="4">
        <v>46062.46891009259</v>
      </c>
      <c r="B1994" s="5">
        <v>91732</v>
      </c>
      <c r="C1994" s="5">
        <v>1192816478</v>
      </c>
      <c r="D1994" s="5" t="s">
        <v>9011</v>
      </c>
      <c r="F1994" s="5" t="s">
        <v>1871</v>
      </c>
      <c r="H1994" s="5">
        <v>573005366116</v>
      </c>
      <c r="J1994" s="5" t="s">
        <v>9012</v>
      </c>
      <c r="K1994" s="5" t="s">
        <v>9013</v>
      </c>
      <c r="L1994" s="5" t="s">
        <v>9014</v>
      </c>
      <c r="M1994" s="5">
        <v>3015929748</v>
      </c>
      <c r="N1994" s="6">
        <v>46062</v>
      </c>
      <c r="O1994" s="7">
        <v>0.58333333333333337</v>
      </c>
      <c r="P1994" s="5">
        <v>1</v>
      </c>
      <c r="Q1994" s="5" t="s">
        <v>9015</v>
      </c>
      <c r="R1994" s="5">
        <v>165000</v>
      </c>
      <c r="S1994" s="5">
        <v>0</v>
      </c>
      <c r="T1994" s="5">
        <v>15000</v>
      </c>
      <c r="U1994" s="5">
        <v>180000</v>
      </c>
      <c r="V1994" s="5"/>
      <c r="W1994" s="5" t="s">
        <v>36</v>
      </c>
      <c r="X1994" s="5" t="s">
        <v>67</v>
      </c>
      <c r="Z1994" s="22">
        <v>42638</v>
      </c>
      <c r="AA1994" s="5" t="s">
        <v>44</v>
      </c>
      <c r="AC1994" s="8" t="str">
        <f>HYPERLINK("https://drive.google.com/file/d/1b-VAzhwsqodr0puqmnwh4QSdNEjjmSPZ/view?usp=drivesdk", "Abrir_Factura")</f>
        <v>Abrir_Factura</v>
      </c>
      <c r="AD1994" s="9">
        <v>46062.711145833331</v>
      </c>
    </row>
    <row r="1995" spans="1:30" ht="12.5">
      <c r="A1995" s="4">
        <v>46062.472023599534</v>
      </c>
      <c r="B1995" s="5">
        <v>91733</v>
      </c>
      <c r="C1995" s="5">
        <v>32750038</v>
      </c>
      <c r="D1995" s="5" t="s">
        <v>9016</v>
      </c>
      <c r="F1995" s="5" t="s">
        <v>9017</v>
      </c>
      <c r="H1995" s="5">
        <v>573157543658</v>
      </c>
      <c r="J1995" s="5" t="s">
        <v>9018</v>
      </c>
      <c r="K1995" s="5" t="s">
        <v>154</v>
      </c>
      <c r="L1995" s="5" t="s">
        <v>9019</v>
      </c>
      <c r="M1995" s="5">
        <v>3104849180</v>
      </c>
      <c r="N1995" s="6">
        <v>46062</v>
      </c>
      <c r="O1995" s="7">
        <v>0</v>
      </c>
      <c r="P1995" s="5">
        <v>1</v>
      </c>
      <c r="Q1995" s="5" t="s">
        <v>747</v>
      </c>
      <c r="R1995" s="5">
        <v>340000</v>
      </c>
      <c r="S1995" s="5">
        <v>0</v>
      </c>
      <c r="T1995" s="5">
        <v>8000</v>
      </c>
      <c r="U1995" s="5">
        <v>348000</v>
      </c>
      <c r="V1995" s="5" t="s">
        <v>9020</v>
      </c>
      <c r="W1995" s="5" t="s">
        <v>36</v>
      </c>
      <c r="X1995" s="5" t="s">
        <v>83</v>
      </c>
      <c r="AA1995" s="5" t="s">
        <v>44</v>
      </c>
      <c r="AC1995" s="8" t="str">
        <f>HYPERLINK("https://drive.google.com/file/d/1yHDYMtMWdifzIcPqEOAM79rmvBsFvshJ/view?usp=drivesdk", "Abrir_Factura")</f>
        <v>Abrir_Factura</v>
      </c>
      <c r="AD1995" s="9">
        <v>46062.489027777781</v>
      </c>
    </row>
    <row r="1996" spans="1:30" ht="12.5">
      <c r="A1996" s="4">
        <v>46062.472650011579</v>
      </c>
      <c r="B1996" s="5">
        <v>91734</v>
      </c>
      <c r="C1996" s="5">
        <v>1004176389</v>
      </c>
      <c r="D1996" s="5" t="s">
        <v>9021</v>
      </c>
      <c r="F1996" s="5" t="s">
        <v>9022</v>
      </c>
      <c r="H1996" s="5">
        <v>573003363390</v>
      </c>
      <c r="J1996" s="5" t="s">
        <v>9023</v>
      </c>
      <c r="K1996" s="5" t="s">
        <v>5089</v>
      </c>
      <c r="L1996" s="5" t="s">
        <v>9024</v>
      </c>
      <c r="M1996" s="5">
        <v>3002961375</v>
      </c>
      <c r="N1996" s="6">
        <v>46066</v>
      </c>
      <c r="O1996" s="7">
        <v>0.375</v>
      </c>
      <c r="P1996" s="5">
        <v>1</v>
      </c>
      <c r="Q1996" s="5" t="s">
        <v>9025</v>
      </c>
      <c r="R1996" s="5">
        <v>145000</v>
      </c>
      <c r="S1996" s="5">
        <v>0</v>
      </c>
      <c r="T1996" s="5">
        <v>25000</v>
      </c>
      <c r="U1996" s="5">
        <v>170000</v>
      </c>
      <c r="V1996" s="5" t="s">
        <v>9026</v>
      </c>
      <c r="W1996" s="5" t="s">
        <v>36</v>
      </c>
      <c r="X1996" s="5" t="s">
        <v>7644</v>
      </c>
      <c r="Z1996" s="5" t="s">
        <v>9027</v>
      </c>
      <c r="AA1996" s="5" t="s">
        <v>44</v>
      </c>
      <c r="AB1996" s="5" t="s">
        <v>9028</v>
      </c>
      <c r="AC1996" s="8" t="str">
        <f>HYPERLINK("https://drive.google.com/file/d/1s-VFUjP6bxKVrBfD-IN_xQBdxBt8X3On/view?usp=drivesdk", "Abrir_Factura")</f>
        <v>Abrir_Factura</v>
      </c>
      <c r="AD1996" s="9">
        <v>46062.498923611114</v>
      </c>
    </row>
    <row r="1997" spans="1:30" ht="12.5">
      <c r="A1997" s="4">
        <v>46062.506712916671</v>
      </c>
      <c r="B1997" s="5">
        <v>91735</v>
      </c>
      <c r="C1997" s="5">
        <v>8782703</v>
      </c>
      <c r="D1997" s="5" t="s">
        <v>9029</v>
      </c>
      <c r="F1997" s="5" t="s">
        <v>9030</v>
      </c>
      <c r="H1997" s="5">
        <v>573008159589</v>
      </c>
      <c r="J1997" s="5" t="s">
        <v>9031</v>
      </c>
      <c r="K1997" s="5" t="s">
        <v>33</v>
      </c>
      <c r="L1997" s="5" t="s">
        <v>34</v>
      </c>
      <c r="M1997" s="5">
        <v>3008159589</v>
      </c>
      <c r="N1997" s="6">
        <v>46062</v>
      </c>
      <c r="O1997" s="7">
        <v>9.0277777777777769E-3</v>
      </c>
      <c r="P1997" s="5">
        <v>1</v>
      </c>
      <c r="Q1997" s="5" t="s">
        <v>187</v>
      </c>
      <c r="R1997" s="5">
        <v>220000</v>
      </c>
      <c r="S1997" s="5">
        <v>0</v>
      </c>
      <c r="T1997" s="5">
        <v>0</v>
      </c>
      <c r="U1997" s="5">
        <v>220000</v>
      </c>
      <c r="V1997" s="5"/>
      <c r="W1997" s="5" t="s">
        <v>36</v>
      </c>
      <c r="X1997" s="5" t="s">
        <v>1705</v>
      </c>
      <c r="AA1997" s="5" t="s">
        <v>1717</v>
      </c>
      <c r="AC1997" s="8" t="str">
        <f>HYPERLINK("https://drive.google.com/file/d/1OTZyASA-k1eQmnl16ytLBKbnM6hNdIj6/view?usp=drivesdk", "Abrir_Factura")</f>
        <v>Abrir_Factura</v>
      </c>
      <c r="AD1997" s="9">
        <v>46062.507731481484</v>
      </c>
    </row>
    <row r="1998" spans="1:30" ht="12.5">
      <c r="A1998" s="4">
        <v>46062.526970879626</v>
      </c>
      <c r="B1998" s="5">
        <v>91736</v>
      </c>
      <c r="C1998" s="5">
        <v>6177927112</v>
      </c>
      <c r="D1998" s="5" t="s">
        <v>9032</v>
      </c>
      <c r="F1998" s="5" t="s">
        <v>9033</v>
      </c>
      <c r="H1998" s="5">
        <v>576177927112</v>
      </c>
      <c r="J1998" s="5" t="s">
        <v>9034</v>
      </c>
      <c r="K1998" s="5" t="s">
        <v>103</v>
      </c>
      <c r="L1998" s="5" t="s">
        <v>9035</v>
      </c>
      <c r="M1998" s="5" t="s">
        <v>9036</v>
      </c>
      <c r="N1998" s="6">
        <v>46062</v>
      </c>
      <c r="O1998" s="7">
        <v>0.58333333333333337</v>
      </c>
      <c r="P1998" s="5">
        <v>1</v>
      </c>
      <c r="Q1998" s="5" t="s">
        <v>251</v>
      </c>
      <c r="R1998" s="5">
        <v>190000</v>
      </c>
      <c r="S1998" s="5">
        <v>0</v>
      </c>
      <c r="T1998" s="5">
        <v>10000</v>
      </c>
      <c r="U1998" s="5">
        <v>200000</v>
      </c>
      <c r="V1998" s="5" t="s">
        <v>9037</v>
      </c>
      <c r="W1998" s="5" t="s">
        <v>36</v>
      </c>
      <c r="X1998" s="5" t="s">
        <v>3754</v>
      </c>
      <c r="AA1998" s="5" t="s">
        <v>69</v>
      </c>
      <c r="AC1998" s="8" t="str">
        <f>HYPERLINK("https://drive.google.com/file/d/1FymFQmtmwZRmlZTdX8SqtolXKJpUQP6S/view?usp=drivesdk", "Abrir_Factura")</f>
        <v>Abrir_Factura</v>
      </c>
      <c r="AD1998" s="9">
        <v>46062.527662037035</v>
      </c>
    </row>
    <row r="1999" spans="1:30" ht="12.5">
      <c r="A1999" s="4">
        <v>46062.551290462958</v>
      </c>
      <c r="B1999" s="5">
        <v>91737</v>
      </c>
      <c r="C1999" s="5">
        <v>1044211031</v>
      </c>
      <c r="D1999" s="5" t="s">
        <v>1291</v>
      </c>
      <c r="F1999" s="5" t="s">
        <v>93</v>
      </c>
      <c r="H1999" s="5">
        <v>573003788977</v>
      </c>
      <c r="J1999" s="5" t="s">
        <v>1292</v>
      </c>
      <c r="K1999" s="5" t="s">
        <v>33</v>
      </c>
      <c r="L1999" s="5" t="s">
        <v>34</v>
      </c>
      <c r="M1999" s="5">
        <v>3003788977</v>
      </c>
      <c r="N1999" s="6">
        <v>46062</v>
      </c>
      <c r="O1999" s="7">
        <v>0.57013888888888886</v>
      </c>
      <c r="P1999" s="5">
        <v>1</v>
      </c>
      <c r="Q1999" s="5" t="s">
        <v>178</v>
      </c>
      <c r="R1999" s="5">
        <v>110000</v>
      </c>
      <c r="S1999" s="5">
        <v>0</v>
      </c>
      <c r="T1999" s="5">
        <v>0</v>
      </c>
      <c r="U1999" s="5">
        <v>110000</v>
      </c>
      <c r="V1999" s="5"/>
      <c r="W1999" s="5" t="s">
        <v>36</v>
      </c>
      <c r="X1999" s="5" t="s">
        <v>1705</v>
      </c>
      <c r="AA1999" s="5" t="s">
        <v>1717</v>
      </c>
      <c r="AC1999" s="8" t="str">
        <f>HYPERLINK("https://drive.google.com/file/d/1JJ1u_8pSmxvQyQrSl9-NyKSSN0fskkyg/view?usp=drivesdk", "Abrir_Factura")</f>
        <v>Abrir_Factura</v>
      </c>
      <c r="AD1999" s="9">
        <v>46062.552291666667</v>
      </c>
    </row>
    <row r="2000" spans="1:30" ht="12.5">
      <c r="A2000" s="4">
        <v>46062.569338611109</v>
      </c>
      <c r="B2000" s="5">
        <v>91738</v>
      </c>
      <c r="C2000" s="5">
        <v>9007014464</v>
      </c>
      <c r="D2000" s="5" t="s">
        <v>9038</v>
      </c>
      <c r="F2000" s="5" t="s">
        <v>6979</v>
      </c>
      <c r="H2000" s="5">
        <v>573123522976</v>
      </c>
      <c r="J2000" s="5" t="s">
        <v>9039</v>
      </c>
      <c r="K2000" s="5" t="s">
        <v>229</v>
      </c>
      <c r="L2000" s="5" t="s">
        <v>9040</v>
      </c>
      <c r="M2000" s="5"/>
      <c r="N2000" s="6">
        <v>46062</v>
      </c>
      <c r="O2000" s="7">
        <v>0</v>
      </c>
      <c r="P2000" s="5">
        <v>1</v>
      </c>
      <c r="Q2000" s="5" t="s">
        <v>89</v>
      </c>
      <c r="R2000" s="5">
        <v>170000</v>
      </c>
      <c r="S2000" s="5">
        <v>32300</v>
      </c>
      <c r="T2000" s="5">
        <v>11000</v>
      </c>
      <c r="U2000" s="5">
        <v>213300</v>
      </c>
      <c r="V2000" s="5" t="s">
        <v>9041</v>
      </c>
      <c r="W2000" s="5" t="s">
        <v>36</v>
      </c>
      <c r="X2000" s="5" t="s">
        <v>1481</v>
      </c>
      <c r="AA2000" s="5" t="s">
        <v>44</v>
      </c>
      <c r="AB2000" s="5" t="s">
        <v>9042</v>
      </c>
      <c r="AC2000" s="8" t="str">
        <f>HYPERLINK("https://drive.google.com/file/d/1TSsq1JECJ3TROpCb2-87swduxfLg2Zx6/view?usp=drivesdk", "Abrir_Factura")</f>
        <v>Abrir_Factura</v>
      </c>
      <c r="AD2000" s="9">
        <v>46062.569988425923</v>
      </c>
    </row>
    <row r="2001" spans="1:30" ht="12.5">
      <c r="A2001" s="4">
        <v>46062.587338368059</v>
      </c>
      <c r="B2001" s="5">
        <v>91739</v>
      </c>
      <c r="C2001" s="5">
        <v>1140855893</v>
      </c>
      <c r="D2001" s="5" t="s">
        <v>1802</v>
      </c>
      <c r="F2001" s="5" t="s">
        <v>1803</v>
      </c>
      <c r="H2001" s="5">
        <v>573016917734</v>
      </c>
      <c r="J2001" s="5" t="s">
        <v>9043</v>
      </c>
      <c r="K2001" s="5" t="s">
        <v>73</v>
      </c>
      <c r="L2001" s="5" t="s">
        <v>9044</v>
      </c>
      <c r="M2001" s="5"/>
      <c r="N2001" s="6">
        <v>46062</v>
      </c>
      <c r="O2001" s="7">
        <v>0.625</v>
      </c>
      <c r="P2001" s="5">
        <v>1</v>
      </c>
      <c r="Q2001" s="5" t="s">
        <v>42</v>
      </c>
      <c r="R2001" s="5">
        <v>220000</v>
      </c>
      <c r="S2001" s="5">
        <v>0</v>
      </c>
      <c r="T2001" s="5">
        <v>8000</v>
      </c>
      <c r="U2001" s="5">
        <v>228000</v>
      </c>
      <c r="V2001" s="5" t="s">
        <v>9045</v>
      </c>
      <c r="W2001" s="5" t="s">
        <v>36</v>
      </c>
      <c r="X2001" s="5" t="s">
        <v>1481</v>
      </c>
      <c r="AA2001" s="5" t="s">
        <v>44</v>
      </c>
      <c r="AB2001" s="5" t="s">
        <v>9046</v>
      </c>
      <c r="AC2001" s="8" t="str">
        <f>HYPERLINK("https://drive.google.com/file/d/13GgwtH5mWT0EtcnNs48Y9Diz48A1udNn/view?usp=drivesdk", "Abrir_Factura")</f>
        <v>Abrir_Factura</v>
      </c>
      <c r="AD2001" s="9">
        <v>46062.588356481479</v>
      </c>
    </row>
    <row r="2002" spans="1:30" ht="12.5">
      <c r="A2002" s="4">
        <v>46062.616265150464</v>
      </c>
      <c r="B2002" s="5">
        <v>91740</v>
      </c>
      <c r="C2002" s="5">
        <v>1001915669</v>
      </c>
      <c r="D2002" s="5" t="s">
        <v>2061</v>
      </c>
      <c r="F2002" s="5" t="s">
        <v>3523</v>
      </c>
      <c r="H2002" s="5">
        <v>573103603142</v>
      </c>
      <c r="J2002" s="5" t="s">
        <v>3524</v>
      </c>
      <c r="K2002" s="5" t="s">
        <v>33</v>
      </c>
      <c r="L2002" s="5" t="s">
        <v>34</v>
      </c>
      <c r="M2002" s="5" t="s">
        <v>9047</v>
      </c>
      <c r="N2002" s="6">
        <v>46067</v>
      </c>
      <c r="O2002" s="7">
        <v>0</v>
      </c>
      <c r="P2002" s="5">
        <v>1</v>
      </c>
      <c r="Q2002" s="5" t="s">
        <v>42</v>
      </c>
      <c r="R2002" s="5">
        <v>90000</v>
      </c>
      <c r="S2002" s="5">
        <v>0</v>
      </c>
      <c r="T2002" s="5">
        <v>0</v>
      </c>
      <c r="U2002" s="5">
        <v>90000</v>
      </c>
      <c r="V2002" s="5"/>
      <c r="W2002" s="5" t="s">
        <v>36</v>
      </c>
      <c r="X2002" s="5" t="s">
        <v>7644</v>
      </c>
      <c r="AA2002" s="5" t="s">
        <v>44</v>
      </c>
      <c r="AB2002" s="5" t="s">
        <v>9048</v>
      </c>
      <c r="AC2002" s="8" t="str">
        <f>HYPERLINK("https://drive.google.com/file/d/1ZB6UBWn0WGpaXgnyGWg1l5bdVfLRj_6G/view?usp=drivesdk", "Abrir_Factura")</f>
        <v>Abrir_Factura</v>
      </c>
      <c r="AD2002" s="9">
        <v>46062.617083333331</v>
      </c>
    </row>
    <row r="2003" spans="1:30" ht="12.5">
      <c r="A2003" s="4">
        <v>46062.625747384256</v>
      </c>
      <c r="B2003" s="5">
        <v>91741</v>
      </c>
      <c r="C2003" s="10" t="s">
        <v>9049</v>
      </c>
      <c r="D2003" s="5" t="s">
        <v>1489</v>
      </c>
      <c r="F2003" s="5" t="s">
        <v>6391</v>
      </c>
      <c r="H2003" s="5">
        <v>573118407267</v>
      </c>
      <c r="J2003" s="5" t="s">
        <v>9050</v>
      </c>
      <c r="K2003" s="5" t="s">
        <v>161</v>
      </c>
      <c r="L2003" s="5" t="s">
        <v>9051</v>
      </c>
      <c r="M2003" s="5"/>
      <c r="N2003" s="6">
        <v>46062</v>
      </c>
      <c r="O2003" s="7">
        <v>0.66666666666666663</v>
      </c>
      <c r="P2003" s="5">
        <v>2</v>
      </c>
      <c r="Q2003" s="5" t="s">
        <v>9052</v>
      </c>
      <c r="R2003" s="5">
        <v>500000</v>
      </c>
      <c r="S2003" s="5">
        <v>0</v>
      </c>
      <c r="T2003" s="5">
        <v>8000</v>
      </c>
      <c r="U2003" s="5">
        <v>508000</v>
      </c>
      <c r="V2003" s="5"/>
      <c r="W2003" s="5" t="s">
        <v>36</v>
      </c>
      <c r="X2003" s="5" t="s">
        <v>1481</v>
      </c>
      <c r="AA2003" s="5" t="s">
        <v>44</v>
      </c>
      <c r="AB2003" s="5" t="s">
        <v>9053</v>
      </c>
      <c r="AC2003" s="8" t="str">
        <f>HYPERLINK("https://drive.google.com/file/d/1qT3QYSM5JiQWYV8GrgEu4YwgpIc7iC8s/view?usp=drivesdk", "Abrir_Factura")</f>
        <v>Abrir_Factura</v>
      </c>
      <c r="AD2003" s="9">
        <v>46062.627754629626</v>
      </c>
    </row>
    <row r="2004" spans="1:30" ht="12.5">
      <c r="A2004" s="4">
        <v>46062.62870134259</v>
      </c>
      <c r="B2004" s="5">
        <v>91742</v>
      </c>
      <c r="C2004" s="5">
        <v>1140850015</v>
      </c>
      <c r="D2004" s="5" t="s">
        <v>4992</v>
      </c>
      <c r="F2004" s="5" t="s">
        <v>3271</v>
      </c>
      <c r="H2004" s="5">
        <v>573114235837</v>
      </c>
      <c r="J2004" s="5" t="s">
        <v>9054</v>
      </c>
      <c r="K2004" s="5" t="s">
        <v>185</v>
      </c>
      <c r="L2004" s="5" t="s">
        <v>9055</v>
      </c>
      <c r="M2004" s="5">
        <v>3114235837</v>
      </c>
      <c r="N2004" s="6">
        <v>46063</v>
      </c>
      <c r="O2004" s="7">
        <v>0.375</v>
      </c>
      <c r="P2004" s="5">
        <v>1</v>
      </c>
      <c r="Q2004" s="5" t="s">
        <v>9056</v>
      </c>
      <c r="R2004" s="5">
        <v>240000</v>
      </c>
      <c r="S2004" s="5">
        <v>0</v>
      </c>
      <c r="T2004" s="5">
        <v>8000</v>
      </c>
      <c r="U2004" s="5">
        <v>248000</v>
      </c>
      <c r="V2004" s="5" t="s">
        <v>9057</v>
      </c>
      <c r="W2004" s="5" t="s">
        <v>36</v>
      </c>
      <c r="X2004" s="5" t="s">
        <v>67</v>
      </c>
      <c r="AA2004" s="5" t="s">
        <v>44</v>
      </c>
      <c r="AB2004" s="5" t="s">
        <v>9058</v>
      </c>
      <c r="AC2004" s="8" t="str">
        <f>HYPERLINK("https://drive.google.com/file/d/17QP7s-ms9AdT0LBJw49c7OgngqsyUa0r/view?usp=drivesdk", "Abrir_Factura")</f>
        <v>Abrir_Factura</v>
      </c>
      <c r="AD2004" s="9">
        <v>46062.632199074076</v>
      </c>
    </row>
    <row r="2005" spans="1:30" ht="12.5">
      <c r="A2005" s="4">
        <v>46062.635230347223</v>
      </c>
      <c r="B2005" s="5">
        <v>91743</v>
      </c>
      <c r="C2005" s="5">
        <v>1098073210</v>
      </c>
      <c r="D2005" s="5" t="s">
        <v>5792</v>
      </c>
      <c r="F2005" s="5" t="s">
        <v>9059</v>
      </c>
      <c r="H2005" s="5">
        <v>573181121812</v>
      </c>
      <c r="J2005" s="5" t="s">
        <v>9060</v>
      </c>
      <c r="K2005" s="5" t="s">
        <v>161</v>
      </c>
      <c r="L2005" s="5" t="s">
        <v>9061</v>
      </c>
      <c r="M2005" s="5" t="s">
        <v>9062</v>
      </c>
      <c r="N2005" s="6">
        <v>46066</v>
      </c>
      <c r="O2005" s="7">
        <v>0</v>
      </c>
      <c r="P2005" s="5">
        <v>1</v>
      </c>
      <c r="Q2005" s="5" t="s">
        <v>309</v>
      </c>
      <c r="R2005" s="5">
        <v>90000</v>
      </c>
      <c r="S2005" s="5">
        <v>0</v>
      </c>
      <c r="T2005" s="5">
        <v>8000</v>
      </c>
      <c r="U2005" s="5">
        <v>98000</v>
      </c>
      <c r="V2005" s="5" t="s">
        <v>9063</v>
      </c>
      <c r="W2005" s="5" t="s">
        <v>36</v>
      </c>
      <c r="X2005" s="5" t="s">
        <v>7644</v>
      </c>
      <c r="AA2005" s="5" t="s">
        <v>44</v>
      </c>
      <c r="AC2005" s="8" t="str">
        <f>HYPERLINK("https://drive.google.com/file/d/1T3ytPRIZ54F28hI_aWZOLtE2QKzyYgS3/view?usp=drivesdk", "Abrir_Factura")</f>
        <v>Abrir_Factura</v>
      </c>
      <c r="AD2005" s="9">
        <v>46062.643807870372</v>
      </c>
    </row>
    <row r="2006" spans="1:30" ht="12.5">
      <c r="A2006" s="4">
        <v>46062.647521087958</v>
      </c>
      <c r="B2006" s="5">
        <v>91744</v>
      </c>
      <c r="C2006" s="5">
        <v>1045726330</v>
      </c>
      <c r="D2006" s="5" t="s">
        <v>2141</v>
      </c>
      <c r="F2006" s="5" t="s">
        <v>9064</v>
      </c>
      <c r="H2006" s="5">
        <v>573016293939</v>
      </c>
      <c r="J2006" s="5" t="s">
        <v>9065</v>
      </c>
      <c r="K2006" s="5" t="s">
        <v>307</v>
      </c>
      <c r="L2006" s="5" t="s">
        <v>9066</v>
      </c>
      <c r="M2006" s="5">
        <v>3016293939</v>
      </c>
      <c r="N2006" s="6">
        <v>46066</v>
      </c>
      <c r="O2006" s="7">
        <v>0.375</v>
      </c>
      <c r="P2006" s="5">
        <v>1</v>
      </c>
      <c r="Q2006" s="5" t="s">
        <v>2586</v>
      </c>
      <c r="R2006" s="5">
        <v>190000</v>
      </c>
      <c r="S2006" s="5">
        <v>0</v>
      </c>
      <c r="T2006" s="5">
        <v>10000</v>
      </c>
      <c r="U2006" s="5">
        <v>200000</v>
      </c>
      <c r="V2006" s="5" t="s">
        <v>9067</v>
      </c>
      <c r="W2006" s="5" t="s">
        <v>36</v>
      </c>
      <c r="X2006" s="5" t="s">
        <v>7644</v>
      </c>
      <c r="Z2006" s="5" t="s">
        <v>9068</v>
      </c>
      <c r="AA2006" s="5" t="s">
        <v>69</v>
      </c>
      <c r="AC2006" s="8" t="str">
        <f>HYPERLINK("https://drive.google.com/file/d/1l0yMEgpD2qj0zgh9tlchf0OqYIzCK9P-/view?usp=drivesdk", "Abrir_Factura")</f>
        <v>Abrir_Factura</v>
      </c>
      <c r="AD2006" s="9">
        <v>46062.651817129627</v>
      </c>
    </row>
    <row r="2007" spans="1:30" ht="12.5">
      <c r="A2007" s="4">
        <v>46062.65724601852</v>
      </c>
      <c r="B2007" s="5">
        <v>91745</v>
      </c>
      <c r="C2007" s="5">
        <v>1140880668</v>
      </c>
      <c r="D2007" s="5" t="s">
        <v>3982</v>
      </c>
      <c r="F2007" s="5" t="s">
        <v>9069</v>
      </c>
      <c r="H2007" s="5">
        <v>573024491225</v>
      </c>
      <c r="J2007" s="5" t="s">
        <v>9070</v>
      </c>
      <c r="K2007" s="5" t="s">
        <v>33</v>
      </c>
      <c r="L2007" s="5" t="s">
        <v>34</v>
      </c>
      <c r="M2007" s="5">
        <v>3024491225</v>
      </c>
      <c r="N2007" s="6">
        <v>46062</v>
      </c>
      <c r="O2007" s="7">
        <v>0</v>
      </c>
      <c r="P2007" s="5">
        <v>1</v>
      </c>
      <c r="Q2007" s="5" t="s">
        <v>178</v>
      </c>
      <c r="R2007" s="5">
        <v>110000</v>
      </c>
      <c r="S2007" s="5">
        <v>0</v>
      </c>
      <c r="T2007" s="5">
        <v>0</v>
      </c>
      <c r="U2007" s="5">
        <v>110000</v>
      </c>
      <c r="V2007" s="5"/>
      <c r="W2007" s="5" t="s">
        <v>36</v>
      </c>
      <c r="X2007" s="5" t="s">
        <v>1705</v>
      </c>
      <c r="AA2007" s="5" t="s">
        <v>1717</v>
      </c>
      <c r="AC2007" s="8" t="str">
        <f>HYPERLINK("https://drive.google.com/file/d/18i1ZaJQU1bLFlzYcO2tQBIsjkjSzSNX5/view?usp=drivesdk", "Abrir_Factura")</f>
        <v>Abrir_Factura</v>
      </c>
      <c r="AD2007" s="9">
        <v>46062.657650462963</v>
      </c>
    </row>
    <row r="2008" spans="1:30" ht="12.5">
      <c r="A2008" s="4">
        <v>46062.664710092591</v>
      </c>
      <c r="B2008" s="5">
        <v>91746</v>
      </c>
      <c r="C2008" s="5">
        <v>1006617970</v>
      </c>
      <c r="D2008" s="5" t="s">
        <v>2215</v>
      </c>
      <c r="F2008" s="5" t="s">
        <v>884</v>
      </c>
      <c r="H2008" s="5">
        <v>573208240314</v>
      </c>
      <c r="J2008" s="5" t="s">
        <v>9071</v>
      </c>
      <c r="K2008" s="5" t="s">
        <v>1057</v>
      </c>
      <c r="L2008" s="5" t="s">
        <v>9072</v>
      </c>
      <c r="M2008" s="5">
        <v>3208240314</v>
      </c>
      <c r="N2008" s="6">
        <v>46066</v>
      </c>
      <c r="O2008" s="7">
        <v>0.375</v>
      </c>
      <c r="P2008" s="5">
        <v>1</v>
      </c>
      <c r="Q2008" s="5" t="s">
        <v>6874</v>
      </c>
      <c r="R2008" s="5">
        <v>120000</v>
      </c>
      <c r="S2008" s="5">
        <v>0</v>
      </c>
      <c r="T2008" s="5">
        <v>14000</v>
      </c>
      <c r="U2008" s="5">
        <v>134000</v>
      </c>
      <c r="V2008" s="5" t="s">
        <v>9073</v>
      </c>
      <c r="W2008" s="5" t="s">
        <v>36</v>
      </c>
      <c r="X2008" s="5" t="s">
        <v>7644</v>
      </c>
      <c r="Z2008" s="5" t="s">
        <v>1773</v>
      </c>
      <c r="AA2008" s="5" t="s">
        <v>44</v>
      </c>
      <c r="AC2008" s="8" t="str">
        <f>HYPERLINK("https://drive.google.com/file/d/14qcOOKIwsBJvfZ_Dn1XZW4dqvvPDn4F3/view?usp=drivesdk", "Abrir_Factura")</f>
        <v>Abrir_Factura</v>
      </c>
      <c r="AD2008" s="9">
        <v>46062.668761574074</v>
      </c>
    </row>
    <row r="2009" spans="1:30" ht="12.5">
      <c r="A2009" s="4">
        <v>46062.676967210646</v>
      </c>
      <c r="B2009" s="5">
        <v>91747</v>
      </c>
      <c r="C2009" s="5">
        <v>1042252445</v>
      </c>
      <c r="D2009" s="5" t="s">
        <v>1291</v>
      </c>
      <c r="F2009" s="5" t="s">
        <v>9074</v>
      </c>
      <c r="H2009" s="5">
        <v>573044708405</v>
      </c>
      <c r="J2009" s="5" t="s">
        <v>9075</v>
      </c>
      <c r="K2009" s="5" t="s">
        <v>79</v>
      </c>
      <c r="L2009" s="5" t="s">
        <v>9076</v>
      </c>
      <c r="M2009" s="5">
        <v>3232107388</v>
      </c>
      <c r="N2009" s="6">
        <v>46063</v>
      </c>
      <c r="O2009" s="7">
        <v>0</v>
      </c>
      <c r="P2009" s="5">
        <v>1</v>
      </c>
      <c r="Q2009" s="5" t="s">
        <v>75</v>
      </c>
      <c r="R2009" s="5">
        <v>80000</v>
      </c>
      <c r="S2009" s="5">
        <v>0</v>
      </c>
      <c r="T2009" s="5">
        <v>10000</v>
      </c>
      <c r="U2009" s="5">
        <v>90000</v>
      </c>
      <c r="V2009" s="5" t="s">
        <v>9077</v>
      </c>
      <c r="W2009" s="5" t="s">
        <v>36</v>
      </c>
      <c r="X2009" s="5" t="s">
        <v>1481</v>
      </c>
      <c r="Z2009" s="5" t="s">
        <v>9078</v>
      </c>
      <c r="AA2009" s="5" t="s">
        <v>44</v>
      </c>
      <c r="AC2009" s="8" t="str">
        <f>HYPERLINK("https://drive.google.com/file/d/1k8WXJa8iPioqUYXuCBLGZJuuWaGfyDKa/view?usp=drivesdk", "Abrir_Factura")</f>
        <v>Abrir_Factura</v>
      </c>
      <c r="AD2009" s="9">
        <v>46062.678946759261</v>
      </c>
    </row>
    <row r="2010" spans="1:30" ht="12.5">
      <c r="A2010" s="4">
        <v>46062.685153472223</v>
      </c>
      <c r="B2010" s="5">
        <v>91748</v>
      </c>
      <c r="C2010" s="5">
        <v>3013840260</v>
      </c>
      <c r="D2010" s="5" t="s">
        <v>9079</v>
      </c>
      <c r="F2010" s="5" t="s">
        <v>9080</v>
      </c>
      <c r="H2010" s="5">
        <v>570000</v>
      </c>
      <c r="J2010" s="5" t="s">
        <v>9081</v>
      </c>
      <c r="K2010" s="5" t="s">
        <v>33</v>
      </c>
      <c r="L2010" s="5" t="s">
        <v>34</v>
      </c>
      <c r="M2010" s="5"/>
      <c r="N2010" s="6">
        <v>46062</v>
      </c>
      <c r="O2010" s="7">
        <v>0</v>
      </c>
      <c r="P2010" s="5">
        <v>1</v>
      </c>
      <c r="Q2010" s="5" t="s">
        <v>9082</v>
      </c>
      <c r="R2010" s="5">
        <v>200000</v>
      </c>
      <c r="S2010" s="5">
        <v>0</v>
      </c>
      <c r="T2010" s="5">
        <v>0</v>
      </c>
      <c r="U2010" s="5">
        <v>200000</v>
      </c>
      <c r="V2010" s="5"/>
      <c r="W2010" s="5" t="s">
        <v>36</v>
      </c>
      <c r="X2010" s="5" t="s">
        <v>1481</v>
      </c>
      <c r="AA2010" s="5" t="s">
        <v>44</v>
      </c>
      <c r="AC2010" s="8" t="str">
        <f>HYPERLINK("https://drive.google.com/file/d/1JpJa5leLzzCYWP0-IZj4dWxiYywV_F2D/view?usp=drivesdk", "Abrir_Factura")</f>
        <v>Abrir_Factura</v>
      </c>
      <c r="AD2010" s="9">
        <v>46062.685636574075</v>
      </c>
    </row>
    <row r="2011" spans="1:30" ht="12.5">
      <c r="A2011" s="4">
        <v>46062.688350312499</v>
      </c>
      <c r="B2011" s="5">
        <v>91749</v>
      </c>
      <c r="C2011" s="5">
        <v>1129569990</v>
      </c>
      <c r="D2011" s="5" t="s">
        <v>290</v>
      </c>
      <c r="F2011" s="5" t="s">
        <v>4350</v>
      </c>
      <c r="H2011" s="5">
        <v>573008148314</v>
      </c>
      <c r="J2011" s="5" t="s">
        <v>4351</v>
      </c>
      <c r="K2011" s="5" t="s">
        <v>33</v>
      </c>
      <c r="L2011" s="5" t="s">
        <v>34</v>
      </c>
      <c r="M2011" s="5">
        <v>3008148314</v>
      </c>
      <c r="N2011" s="6">
        <v>46062</v>
      </c>
      <c r="O2011" s="7">
        <v>0</v>
      </c>
      <c r="P2011" s="5">
        <v>1</v>
      </c>
      <c r="Q2011" s="5" t="s">
        <v>42</v>
      </c>
      <c r="R2011" s="5">
        <v>64000</v>
      </c>
      <c r="S2011" s="5">
        <v>0</v>
      </c>
      <c r="T2011" s="5">
        <v>0</v>
      </c>
      <c r="U2011" s="5">
        <v>64000</v>
      </c>
      <c r="V2011" s="5"/>
      <c r="W2011" s="5" t="s">
        <v>36</v>
      </c>
      <c r="X2011" s="5" t="s">
        <v>1705</v>
      </c>
      <c r="AA2011" s="5" t="s">
        <v>1717</v>
      </c>
      <c r="AB2011" s="5" t="s">
        <v>525</v>
      </c>
      <c r="AC2011" s="8" t="str">
        <f>HYPERLINK("https://drive.google.com/file/d/1TW8EtEDVvbLiOtWgwzlujtJv2q9aVpgn/view?usp=drivesdk", "Abrir_Factura")</f>
        <v>Abrir_Factura</v>
      </c>
      <c r="AD2011" s="9">
        <v>46062.764988425923</v>
      </c>
    </row>
    <row r="2012" spans="1:30" ht="12.5">
      <c r="A2012" s="4">
        <v>46062.706623680555</v>
      </c>
      <c r="B2012" s="5">
        <v>91750</v>
      </c>
      <c r="C2012" s="5">
        <v>9543974714</v>
      </c>
      <c r="D2012" s="5" t="s">
        <v>2215</v>
      </c>
      <c r="F2012" s="5" t="s">
        <v>9083</v>
      </c>
      <c r="H2012" s="5">
        <v>570000</v>
      </c>
      <c r="J2012" s="5" t="s">
        <v>7962</v>
      </c>
      <c r="K2012" s="5" t="s">
        <v>307</v>
      </c>
      <c r="L2012" s="5" t="s">
        <v>9084</v>
      </c>
      <c r="M2012" s="5"/>
      <c r="N2012" s="6">
        <v>46062</v>
      </c>
      <c r="O2012" s="7">
        <v>0.70833333333333337</v>
      </c>
      <c r="P2012" s="5">
        <v>1</v>
      </c>
      <c r="Q2012" s="5" t="s">
        <v>178</v>
      </c>
      <c r="R2012" s="5">
        <v>110000</v>
      </c>
      <c r="S2012" s="5">
        <v>0</v>
      </c>
      <c r="T2012" s="5">
        <v>10000</v>
      </c>
      <c r="U2012" s="5">
        <v>120000</v>
      </c>
      <c r="V2012" s="5" t="s">
        <v>9085</v>
      </c>
      <c r="W2012" s="5" t="s">
        <v>36</v>
      </c>
      <c r="X2012" s="5" t="s">
        <v>67</v>
      </c>
      <c r="AA2012" s="5" t="s">
        <v>44</v>
      </c>
      <c r="AC2012" s="8" t="str">
        <f>HYPERLINK("https://drive.google.com/file/d/1mwpvvAogeSnJqeDlvEEJIWHQzQxLJ0a5/view?usp=drivesdk", "Abrir_Factura")</f>
        <v>Abrir_Factura</v>
      </c>
      <c r="AD2012" s="9">
        <v>46062.738877314812</v>
      </c>
    </row>
    <row r="2013" spans="1:30" ht="12.5">
      <c r="A2013" s="4">
        <v>46062.731443240744</v>
      </c>
      <c r="B2013" s="5">
        <v>91751</v>
      </c>
      <c r="C2013" s="5">
        <v>1082973012</v>
      </c>
      <c r="D2013" s="5" t="s">
        <v>9086</v>
      </c>
      <c r="F2013" s="5" t="s">
        <v>9087</v>
      </c>
      <c r="H2013" s="5">
        <v>573012084323</v>
      </c>
      <c r="J2013" s="5" t="s">
        <v>9088</v>
      </c>
      <c r="K2013" s="5" t="s">
        <v>307</v>
      </c>
      <c r="L2013" s="5" t="s">
        <v>9089</v>
      </c>
      <c r="M2013" s="5" t="s">
        <v>9090</v>
      </c>
      <c r="N2013" s="6">
        <v>46077</v>
      </c>
      <c r="O2013" s="7">
        <v>0.375</v>
      </c>
      <c r="P2013" s="5">
        <v>1</v>
      </c>
      <c r="Q2013" s="5" t="s">
        <v>9091</v>
      </c>
      <c r="R2013" s="5">
        <v>200000</v>
      </c>
      <c r="S2013" s="5">
        <v>0</v>
      </c>
      <c r="T2013" s="5">
        <v>10000</v>
      </c>
      <c r="U2013" s="5">
        <v>210000</v>
      </c>
      <c r="V2013" s="5" t="s">
        <v>9092</v>
      </c>
      <c r="W2013" s="5" t="s">
        <v>36</v>
      </c>
      <c r="X2013" s="5" t="s">
        <v>1481</v>
      </c>
      <c r="AA2013" s="5" t="s">
        <v>44</v>
      </c>
      <c r="AC2013" s="8" t="str">
        <f>HYPERLINK("https://drive.google.com/file/d/13xZEYOL281DKQZrjILyPMdl_26_C_sR6/view?usp=drivesdk", "Abrir_Factura")</f>
        <v>Abrir_Factura</v>
      </c>
      <c r="AD2013" s="9">
        <v>46062.734814814816</v>
      </c>
    </row>
    <row r="2014" spans="1:30" ht="12.5">
      <c r="A2014" s="4">
        <v>46062.726413692129</v>
      </c>
      <c r="B2014" s="5">
        <v>91752</v>
      </c>
      <c r="C2014" s="5">
        <v>1034993603</v>
      </c>
      <c r="D2014" s="5" t="s">
        <v>8545</v>
      </c>
      <c r="F2014" s="5" t="s">
        <v>9093</v>
      </c>
      <c r="H2014" s="5">
        <v>573008826467</v>
      </c>
      <c r="J2014" s="5" t="s">
        <v>9094</v>
      </c>
      <c r="K2014" s="5" t="s">
        <v>783</v>
      </c>
      <c r="L2014" s="5" t="s">
        <v>9095</v>
      </c>
      <c r="M2014" s="5">
        <v>3008826467</v>
      </c>
      <c r="N2014" s="6">
        <v>46066</v>
      </c>
      <c r="O2014" s="7">
        <v>0.66666666666666663</v>
      </c>
      <c r="P2014" s="5">
        <v>1</v>
      </c>
      <c r="Q2014" s="5" t="s">
        <v>9096</v>
      </c>
      <c r="R2014" s="5">
        <v>120000</v>
      </c>
      <c r="S2014" s="5">
        <v>0</v>
      </c>
      <c r="T2014" s="5">
        <v>17000</v>
      </c>
      <c r="U2014" s="5">
        <v>137000</v>
      </c>
      <c r="V2014" s="5" t="s">
        <v>9097</v>
      </c>
      <c r="W2014" s="5" t="s">
        <v>36</v>
      </c>
      <c r="X2014" s="5" t="s">
        <v>7644</v>
      </c>
      <c r="Z2014" s="5" t="s">
        <v>9098</v>
      </c>
      <c r="AA2014" s="5" t="s">
        <v>44</v>
      </c>
      <c r="AB2014" s="5" t="s">
        <v>9099</v>
      </c>
      <c r="AC2014" s="8" t="str">
        <f>HYPERLINK("https://drive.google.com/file/d/1pHgPHLwDC_5YGFjMiDEqdmqeBNHhxlwm/view?usp=drivesdk", "Abrir_Factura")</f>
        <v>Abrir_Factura</v>
      </c>
      <c r="AD2014" s="9">
        <v>46062.737627314818</v>
      </c>
    </row>
    <row r="2015" spans="1:30" ht="12.5">
      <c r="A2015" s="4">
        <v>46067.336365740739</v>
      </c>
      <c r="B2015" s="5">
        <v>91753</v>
      </c>
      <c r="C2015" s="5">
        <v>1091356691</v>
      </c>
      <c r="D2015" s="5" t="s">
        <v>1026</v>
      </c>
      <c r="F2015" s="5" t="s">
        <v>9100</v>
      </c>
      <c r="H2015" s="5">
        <v>573162331875</v>
      </c>
      <c r="J2015" s="5" t="s">
        <v>9101</v>
      </c>
      <c r="K2015" s="5" t="s">
        <v>33</v>
      </c>
      <c r="L2015" s="5" t="s">
        <v>524</v>
      </c>
      <c r="M2015" s="5">
        <v>3162331875</v>
      </c>
      <c r="N2015" s="6">
        <v>46067</v>
      </c>
      <c r="O2015" s="7">
        <v>0</v>
      </c>
      <c r="P2015" s="5">
        <v>1</v>
      </c>
      <c r="Q2015" s="5" t="s">
        <v>9102</v>
      </c>
      <c r="R2015" s="5">
        <v>340000</v>
      </c>
      <c r="S2015" s="5">
        <v>0</v>
      </c>
      <c r="T2015" s="5">
        <v>0</v>
      </c>
      <c r="U2015" s="5">
        <v>340000</v>
      </c>
      <c r="V2015" s="5" t="s">
        <v>9103</v>
      </c>
      <c r="W2015" s="5" t="s">
        <v>36</v>
      </c>
      <c r="X2015" s="5" t="s">
        <v>1705</v>
      </c>
      <c r="Z2015" s="5" t="s">
        <v>9104</v>
      </c>
      <c r="AA2015" s="5" t="s">
        <v>44</v>
      </c>
      <c r="AC2015" s="8" t="str">
        <f>HYPERLINK("https://drive.google.com/file/d/152qGJpCWLNqBSs-oHuwfIdsgwxYCZC8U/view?usp=drivesdk", "Abrir_Factura")</f>
        <v>Abrir_Factura</v>
      </c>
      <c r="AD2015" s="9">
        <v>46067.564351851855</v>
      </c>
    </row>
    <row r="2016" spans="1:30" ht="12.5">
      <c r="A2016" s="4">
        <v>46063.338710694443</v>
      </c>
      <c r="B2016" s="5">
        <v>91754</v>
      </c>
      <c r="C2016" s="5">
        <v>55231435</v>
      </c>
      <c r="D2016" s="5" t="s">
        <v>4116</v>
      </c>
      <c r="F2016" s="5" t="s">
        <v>9105</v>
      </c>
      <c r="H2016" s="5">
        <v>573104733283</v>
      </c>
      <c r="J2016" s="5" t="s">
        <v>9106</v>
      </c>
      <c r="K2016" s="5" t="s">
        <v>249</v>
      </c>
      <c r="L2016" s="5" t="s">
        <v>9107</v>
      </c>
      <c r="M2016" s="5">
        <v>3104733283</v>
      </c>
      <c r="N2016" s="6">
        <v>46063</v>
      </c>
      <c r="O2016" s="7">
        <v>0</v>
      </c>
      <c r="P2016" s="5">
        <v>1</v>
      </c>
      <c r="Q2016" s="5" t="s">
        <v>347</v>
      </c>
      <c r="R2016" s="5">
        <v>250000</v>
      </c>
      <c r="S2016" s="5">
        <v>0</v>
      </c>
      <c r="T2016" s="5">
        <v>10000</v>
      </c>
      <c r="U2016" s="5">
        <v>260000</v>
      </c>
      <c r="V2016" s="5" t="s">
        <v>9108</v>
      </c>
      <c r="W2016" s="5" t="s">
        <v>36</v>
      </c>
      <c r="X2016" s="5" t="s">
        <v>67</v>
      </c>
      <c r="Z2016" s="5" t="s">
        <v>9109</v>
      </c>
      <c r="AA2016" s="5" t="s">
        <v>44</v>
      </c>
      <c r="AB2016" s="5" t="s">
        <v>9110</v>
      </c>
      <c r="AC2016" s="8" t="str">
        <f>HYPERLINK("https://drive.google.com/file/d/10Y2EEFZ_Og7Opx9YVWPf1FjAlNTDWmvF/view?usp=drivesdk", "Abrir_Factura")</f>
        <v>Abrir_Factura</v>
      </c>
      <c r="AD2016" s="9">
        <v>46063.353460648148</v>
      </c>
    </row>
    <row r="2017" spans="1:30" ht="12.5">
      <c r="A2017" s="4">
        <v>46063.35997755787</v>
      </c>
      <c r="B2017" s="5">
        <v>91755</v>
      </c>
      <c r="C2017" s="5">
        <v>1026253309</v>
      </c>
      <c r="D2017" s="5" t="s">
        <v>2340</v>
      </c>
      <c r="F2017" s="5" t="s">
        <v>9111</v>
      </c>
      <c r="H2017" s="5">
        <v>573126600503</v>
      </c>
      <c r="J2017" s="5" t="s">
        <v>9112</v>
      </c>
      <c r="K2017" s="5" t="s">
        <v>33</v>
      </c>
      <c r="L2017" s="5" t="s">
        <v>34</v>
      </c>
      <c r="M2017" s="5">
        <v>3126600503</v>
      </c>
      <c r="N2017" s="6">
        <v>46063</v>
      </c>
      <c r="O2017" s="7">
        <v>0.36736111111111114</v>
      </c>
      <c r="P2017" s="5">
        <v>1</v>
      </c>
      <c r="Q2017" s="5" t="s">
        <v>57</v>
      </c>
      <c r="R2017" s="5">
        <v>120000</v>
      </c>
      <c r="S2017" s="5">
        <v>0</v>
      </c>
      <c r="T2017" s="5">
        <v>0</v>
      </c>
      <c r="U2017" s="5">
        <v>120000</v>
      </c>
      <c r="V2017" s="5"/>
      <c r="W2017" s="5" t="s">
        <v>36</v>
      </c>
      <c r="X2017" s="5" t="s">
        <v>43</v>
      </c>
      <c r="AA2017" s="5" t="s">
        <v>37</v>
      </c>
      <c r="AB2017" s="5" t="s">
        <v>9113</v>
      </c>
      <c r="AC2017" s="8" t="str">
        <f>HYPERLINK("https://drive.google.com/file/d/11tiPKC9EcDNziTpjRHJshUzkIQAIghNM/view?usp=drivesdk", "Abrir_Factura")</f>
        <v>Abrir_Factura</v>
      </c>
      <c r="AD2017" s="9">
        <v>46063.360532407409</v>
      </c>
    </row>
    <row r="2018" spans="1:30" ht="12.5">
      <c r="A2018" s="4">
        <v>46063.36299966435</v>
      </c>
      <c r="B2018" s="5">
        <v>91756</v>
      </c>
      <c r="C2018" s="5">
        <v>1129579584</v>
      </c>
      <c r="D2018" s="5" t="s">
        <v>3305</v>
      </c>
      <c r="F2018" s="5" t="s">
        <v>3285</v>
      </c>
      <c r="H2018" s="5">
        <v>573008109691</v>
      </c>
      <c r="J2018" s="5" t="s">
        <v>9114</v>
      </c>
      <c r="K2018" s="5" t="s">
        <v>886</v>
      </c>
      <c r="L2018" s="5" t="s">
        <v>9115</v>
      </c>
      <c r="M2018" s="5" t="s">
        <v>25421</v>
      </c>
      <c r="N2018" s="6">
        <v>46063</v>
      </c>
      <c r="O2018" s="7">
        <v>0.375</v>
      </c>
      <c r="P2018" s="5">
        <v>1</v>
      </c>
      <c r="Q2018" s="5" t="s">
        <v>375</v>
      </c>
      <c r="R2018" s="5">
        <v>80000</v>
      </c>
      <c r="S2018" s="5">
        <v>0</v>
      </c>
      <c r="T2018" s="5">
        <v>12000</v>
      </c>
      <c r="U2018" s="5">
        <v>92000</v>
      </c>
      <c r="V2018" s="5" t="s">
        <v>9116</v>
      </c>
      <c r="W2018" s="5" t="s">
        <v>36</v>
      </c>
      <c r="X2018" s="5" t="s">
        <v>67</v>
      </c>
      <c r="Z2018" s="5" t="s">
        <v>9117</v>
      </c>
      <c r="AA2018" s="5" t="s">
        <v>44</v>
      </c>
      <c r="AC2018" s="8" t="str">
        <f>HYPERLINK("https://drive.google.com/file/d/1lxmuA43rr6jM1BO_80K34XqZXSWGcXRo/view?usp=drivesdk", "Abrir_Factura")</f>
        <v>Abrir_Factura</v>
      </c>
      <c r="AD2018" s="9">
        <v>46063.36959490741</v>
      </c>
    </row>
    <row r="2019" spans="1:30" ht="12.5">
      <c r="A2019" s="4">
        <v>46063.347520254625</v>
      </c>
      <c r="B2019" s="5">
        <v>91757</v>
      </c>
      <c r="C2019" s="5">
        <v>200201297710</v>
      </c>
      <c r="D2019" s="5" t="s">
        <v>9118</v>
      </c>
      <c r="F2019" s="5" t="s">
        <v>9119</v>
      </c>
      <c r="H2019" s="5">
        <v>460763207976</v>
      </c>
      <c r="J2019" s="5" t="s">
        <v>9120</v>
      </c>
      <c r="K2019" s="5" t="s">
        <v>168</v>
      </c>
      <c r="L2019" s="5" t="s">
        <v>9121</v>
      </c>
      <c r="M2019" s="5" t="s">
        <v>25421</v>
      </c>
      <c r="N2019" s="6">
        <v>46066</v>
      </c>
      <c r="O2019" s="7">
        <v>0.375</v>
      </c>
      <c r="P2019" s="5">
        <v>1</v>
      </c>
      <c r="Q2019" s="5" t="s">
        <v>9122</v>
      </c>
      <c r="R2019" s="5">
        <v>300000</v>
      </c>
      <c r="S2019" s="5">
        <v>0</v>
      </c>
      <c r="T2019" s="5">
        <v>13000</v>
      </c>
      <c r="U2019" s="5">
        <v>313000</v>
      </c>
      <c r="V2019" s="5" t="s">
        <v>9123</v>
      </c>
      <c r="W2019" s="5" t="s">
        <v>36</v>
      </c>
      <c r="X2019" s="5" t="s">
        <v>1937</v>
      </c>
      <c r="Z2019" s="5" t="s">
        <v>9124</v>
      </c>
      <c r="AA2019" s="5" t="s">
        <v>44</v>
      </c>
      <c r="AC2019" s="8" t="str">
        <f>HYPERLINK("https://drive.google.com/file/d/1GCKzVHhR7qzmlzm5AUVcvpHto97bZIAX/view?usp=drivesdk", "Abrir_Factura")</f>
        <v>Abrir_Factura</v>
      </c>
      <c r="AD2019" s="9">
        <v>46063.377152777779</v>
      </c>
    </row>
    <row r="2020" spans="1:30" ht="12.5">
      <c r="A2020" s="4">
        <v>46062.490798113431</v>
      </c>
      <c r="B2020" s="5">
        <v>91758</v>
      </c>
      <c r="C2020" s="5">
        <v>1193429277</v>
      </c>
      <c r="D2020" s="5" t="s">
        <v>9125</v>
      </c>
      <c r="F2020" s="5" t="s">
        <v>9126</v>
      </c>
      <c r="H2020" s="5">
        <v>573106367158</v>
      </c>
      <c r="J2020" s="5" t="s">
        <v>9127</v>
      </c>
      <c r="K2020" s="5" t="s">
        <v>73</v>
      </c>
      <c r="L2020" s="5" t="s">
        <v>9128</v>
      </c>
      <c r="M2020" s="5">
        <v>3013618318</v>
      </c>
      <c r="N2020" s="6">
        <v>46066</v>
      </c>
      <c r="O2020" s="7">
        <v>0.375</v>
      </c>
      <c r="P2020" s="5">
        <v>1</v>
      </c>
      <c r="Q2020" s="5" t="s">
        <v>5730</v>
      </c>
      <c r="R2020" s="5">
        <v>350000</v>
      </c>
      <c r="S2020" s="5">
        <v>0</v>
      </c>
      <c r="T2020" s="5">
        <v>8000</v>
      </c>
      <c r="U2020" s="5">
        <v>358000</v>
      </c>
      <c r="V2020" s="5" t="s">
        <v>9129</v>
      </c>
      <c r="W2020" s="5" t="s">
        <v>36</v>
      </c>
      <c r="X2020" s="5" t="s">
        <v>1937</v>
      </c>
      <c r="Z2020" s="5" t="s">
        <v>9125</v>
      </c>
      <c r="AA2020" s="5" t="s">
        <v>44</v>
      </c>
      <c r="AC2020" s="8" t="str">
        <f>HYPERLINK("https://drive.google.com/file/d/1rbj83-T3uH9ohX7zZAgrP7gohAiqfYIZ/view?usp=drivesdk", "Abrir_Factura")</f>
        <v>Abrir_Factura</v>
      </c>
      <c r="AD2020" s="9">
        <v>46063.383321759262</v>
      </c>
    </row>
    <row r="2021" spans="1:30" ht="12.5">
      <c r="A2021" s="4">
        <v>46063.371833020836</v>
      </c>
      <c r="B2021" s="5">
        <v>91759</v>
      </c>
      <c r="C2021" s="5">
        <v>80040271</v>
      </c>
      <c r="D2021" s="5" t="s">
        <v>9130</v>
      </c>
      <c r="F2021" s="5" t="s">
        <v>9131</v>
      </c>
      <c r="H2021" s="5">
        <v>573016673824</v>
      </c>
      <c r="J2021" s="5" t="s">
        <v>9132</v>
      </c>
      <c r="K2021" s="5" t="s">
        <v>73</v>
      </c>
      <c r="L2021" s="5" t="s">
        <v>9133</v>
      </c>
      <c r="M2021" s="5">
        <v>3017542841</v>
      </c>
      <c r="N2021" s="6">
        <v>46063</v>
      </c>
      <c r="O2021" s="7">
        <v>0.4513888888888889</v>
      </c>
      <c r="P2021" s="5">
        <v>1</v>
      </c>
      <c r="Q2021" s="5" t="s">
        <v>309</v>
      </c>
      <c r="R2021" s="5">
        <v>88000</v>
      </c>
      <c r="S2021" s="5">
        <v>0</v>
      </c>
      <c r="T2021" s="5">
        <v>8000</v>
      </c>
      <c r="U2021" s="5">
        <v>96000</v>
      </c>
      <c r="V2021" s="5" t="s">
        <v>9134</v>
      </c>
      <c r="W2021" s="5" t="s">
        <v>36</v>
      </c>
      <c r="X2021" s="5" t="s">
        <v>1481</v>
      </c>
      <c r="Z2021" s="5" t="s">
        <v>9135</v>
      </c>
      <c r="AA2021" s="5" t="s">
        <v>44</v>
      </c>
      <c r="AB2021" s="5" t="s">
        <v>9136</v>
      </c>
      <c r="AC2021" s="8" t="str">
        <f>HYPERLINK("https://drive.google.com/file/d/1N4Z2rQA1tJaKIZajFnsgx8OK2hRBrYdL/view?usp=drivesdk", "Abrir_Factura")</f>
        <v>Abrir_Factura</v>
      </c>
      <c r="AD2021" s="9">
        <v>46063.393263888887</v>
      </c>
    </row>
    <row r="2022" spans="1:30" ht="12.5">
      <c r="A2022" s="4">
        <v>46063.369123032404</v>
      </c>
      <c r="B2022" s="5">
        <v>91760</v>
      </c>
      <c r="C2022" s="5">
        <v>1234093009</v>
      </c>
      <c r="D2022" s="5" t="s">
        <v>9137</v>
      </c>
      <c r="F2022" s="5" t="s">
        <v>9138</v>
      </c>
      <c r="H2022" s="5">
        <v>573106936580</v>
      </c>
      <c r="J2022" s="5" t="s">
        <v>9139</v>
      </c>
      <c r="K2022" s="5" t="s">
        <v>4558</v>
      </c>
      <c r="L2022" s="5" t="s">
        <v>9140</v>
      </c>
      <c r="M2022" s="5">
        <v>3106936580</v>
      </c>
      <c r="N2022" s="6">
        <v>46063</v>
      </c>
      <c r="O2022" s="7">
        <v>0.43263888888888891</v>
      </c>
      <c r="P2022" s="5">
        <v>1</v>
      </c>
      <c r="Q2022" s="5" t="s">
        <v>75</v>
      </c>
      <c r="R2022" s="5">
        <v>80000</v>
      </c>
      <c r="S2022" s="5">
        <v>0</v>
      </c>
      <c r="T2022" s="5">
        <v>10000</v>
      </c>
      <c r="U2022" s="5">
        <v>90000</v>
      </c>
      <c r="V2022" s="5"/>
      <c r="W2022" s="5" t="s">
        <v>36</v>
      </c>
      <c r="X2022" s="5" t="s">
        <v>67</v>
      </c>
      <c r="AA2022" s="5" t="s">
        <v>44</v>
      </c>
      <c r="AC2022" s="8" t="str">
        <f>HYPERLINK("https://drive.google.com/file/d/1ATibS26Cc1KaGriH9bllgsm7af4HCogc/view?usp=drivesdk", "Abrir_Factura")</f>
        <v>Abrir_Factura</v>
      </c>
      <c r="AD2022" s="9">
        <v>46063.396469907406</v>
      </c>
    </row>
    <row r="2023" spans="1:30" ht="12.5">
      <c r="A2023" s="4">
        <v>46063.419278726855</v>
      </c>
      <c r="B2023" s="5">
        <v>91761</v>
      </c>
      <c r="C2023" s="5">
        <v>72252405</v>
      </c>
      <c r="D2023" s="5" t="s">
        <v>1702</v>
      </c>
      <c r="F2023" s="5" t="s">
        <v>93</v>
      </c>
      <c r="H2023" s="5">
        <v>573165224727</v>
      </c>
      <c r="J2023" s="5" t="s">
        <v>9141</v>
      </c>
      <c r="K2023" s="5" t="s">
        <v>33</v>
      </c>
      <c r="L2023" s="5" t="s">
        <v>34</v>
      </c>
      <c r="M2023" s="5">
        <v>3165224727</v>
      </c>
      <c r="N2023" s="6">
        <v>46063</v>
      </c>
      <c r="O2023" s="7">
        <v>0</v>
      </c>
      <c r="P2023" s="5">
        <v>1</v>
      </c>
      <c r="Q2023" s="5" t="s">
        <v>375</v>
      </c>
      <c r="R2023" s="5">
        <v>80000</v>
      </c>
      <c r="S2023" s="5">
        <v>0</v>
      </c>
      <c r="T2023" s="5">
        <v>0</v>
      </c>
      <c r="U2023" s="5">
        <v>80000</v>
      </c>
      <c r="V2023" s="5"/>
      <c r="W2023" s="5" t="s">
        <v>36</v>
      </c>
      <c r="X2023" s="5" t="s">
        <v>1705</v>
      </c>
      <c r="AA2023" s="5" t="s">
        <v>1717</v>
      </c>
      <c r="AC2023" s="8" t="str">
        <f>HYPERLINK("https://drive.google.com/file/d/1C4qJNr6oLcfS3tVjTabCYBjGhLEEHiZx/view?usp=drivesdk", "Abrir_Factura")</f>
        <v>Abrir_Factura</v>
      </c>
      <c r="AD2023" s="9">
        <v>46063.420601851853</v>
      </c>
    </row>
    <row r="2024" spans="1:30" ht="12.5">
      <c r="A2024" s="4">
        <v>46063.415427326385</v>
      </c>
      <c r="B2024" s="5">
        <v>91762</v>
      </c>
      <c r="C2024" s="5">
        <v>1065847094</v>
      </c>
      <c r="D2024" s="5" t="s">
        <v>4992</v>
      </c>
      <c r="F2024" s="5" t="s">
        <v>9142</v>
      </c>
      <c r="H2024" s="5">
        <v>12029755636</v>
      </c>
      <c r="J2024" s="5" t="s">
        <v>9143</v>
      </c>
      <c r="K2024" s="5" t="s">
        <v>185</v>
      </c>
      <c r="L2024" s="5" t="s">
        <v>9144</v>
      </c>
      <c r="M2024" s="5">
        <v>3156656633</v>
      </c>
      <c r="N2024" s="6">
        <v>46063</v>
      </c>
      <c r="O2024" s="7">
        <v>0</v>
      </c>
      <c r="P2024" s="5">
        <v>1</v>
      </c>
      <c r="Q2024" s="5" t="s">
        <v>347</v>
      </c>
      <c r="R2024" s="5">
        <v>250000</v>
      </c>
      <c r="S2024" s="5">
        <v>0</v>
      </c>
      <c r="T2024" s="5">
        <v>8000</v>
      </c>
      <c r="U2024" s="5">
        <v>258000</v>
      </c>
      <c r="V2024" s="5" t="s">
        <v>9145</v>
      </c>
      <c r="W2024" s="5" t="s">
        <v>36</v>
      </c>
      <c r="X2024" s="5" t="s">
        <v>1937</v>
      </c>
      <c r="Z2024" s="5" t="s">
        <v>4992</v>
      </c>
      <c r="AA2024" s="5" t="s">
        <v>44</v>
      </c>
      <c r="AC2024" s="8" t="str">
        <f>HYPERLINK("https://drive.google.com/file/d/1B_pfFeoHfMK6Ed4gYc2Td9ktWWVqzA93/view?usp=drivesdk", "Abrir_Factura")</f>
        <v>Abrir_Factura</v>
      </c>
      <c r="AD2024" s="9">
        <v>46063.430451388886</v>
      </c>
    </row>
    <row r="2025" spans="1:30" ht="12.5">
      <c r="A2025" s="4">
        <v>46063.418813414348</v>
      </c>
      <c r="B2025" s="5">
        <v>91763</v>
      </c>
      <c r="C2025" s="5">
        <v>1140859919</v>
      </c>
      <c r="D2025" s="5" t="s">
        <v>1798</v>
      </c>
      <c r="F2025" s="5" t="s">
        <v>9146</v>
      </c>
      <c r="H2025" s="5">
        <v>573017923287</v>
      </c>
      <c r="J2025" s="5" t="s">
        <v>9147</v>
      </c>
      <c r="K2025" s="5" t="s">
        <v>33</v>
      </c>
      <c r="L2025" s="5" t="s">
        <v>34</v>
      </c>
      <c r="M2025" s="5"/>
      <c r="N2025" s="6">
        <v>46063</v>
      </c>
      <c r="O2025" s="7">
        <v>0.45833333333333331</v>
      </c>
      <c r="P2025" s="5">
        <v>1</v>
      </c>
      <c r="Q2025" s="5" t="s">
        <v>375</v>
      </c>
      <c r="R2025" s="5">
        <v>80000</v>
      </c>
      <c r="S2025" s="5">
        <v>0</v>
      </c>
      <c r="T2025" s="5">
        <v>0</v>
      </c>
      <c r="U2025" s="5">
        <v>80000</v>
      </c>
      <c r="V2025" s="5" t="s">
        <v>9148</v>
      </c>
      <c r="W2025" s="5" t="s">
        <v>36</v>
      </c>
      <c r="X2025" s="5" t="s">
        <v>67</v>
      </c>
      <c r="Z2025" s="5" t="s">
        <v>9149</v>
      </c>
      <c r="AA2025" s="5" t="s">
        <v>1717</v>
      </c>
      <c r="AB2025" s="5"/>
      <c r="AC2025" s="8" t="str">
        <f>HYPERLINK("https://drive.google.com/file/d/1koLFesuk7EF8RoM-cqSl09FGJQC8fzSx/view?usp=drivesdk", "Abrir_Factura")</f>
        <v>Abrir_Factura</v>
      </c>
      <c r="AD2025" s="9">
        <v>46063.434050925927</v>
      </c>
    </row>
    <row r="2026" spans="1:30" ht="12.5">
      <c r="A2026" s="4">
        <v>46063.444083622686</v>
      </c>
      <c r="B2026" s="5">
        <v>91764</v>
      </c>
      <c r="C2026" s="5">
        <v>1013671518</v>
      </c>
      <c r="D2026" s="5" t="s">
        <v>270</v>
      </c>
      <c r="F2026" s="5" t="s">
        <v>6315</v>
      </c>
      <c r="H2026" s="5">
        <v>573115689875</v>
      </c>
      <c r="J2026" s="5" t="s">
        <v>9150</v>
      </c>
      <c r="K2026" s="5" t="s">
        <v>103</v>
      </c>
      <c r="L2026" s="5" t="s">
        <v>9151</v>
      </c>
      <c r="M2026" s="5">
        <v>3005118781</v>
      </c>
      <c r="N2026" s="6">
        <v>46066</v>
      </c>
      <c r="O2026" s="7">
        <v>0</v>
      </c>
      <c r="P2026" s="5">
        <v>1</v>
      </c>
      <c r="Q2026" s="5" t="s">
        <v>9152</v>
      </c>
      <c r="R2026" s="5">
        <v>220000</v>
      </c>
      <c r="S2026" s="5">
        <v>0</v>
      </c>
      <c r="T2026" s="5">
        <v>10000</v>
      </c>
      <c r="U2026" s="5">
        <v>230000</v>
      </c>
      <c r="V2026" s="5" t="s">
        <v>9153</v>
      </c>
      <c r="W2026" s="5" t="s">
        <v>36</v>
      </c>
      <c r="X2026" s="5" t="s">
        <v>7644</v>
      </c>
      <c r="Z2026" s="5" t="s">
        <v>9154</v>
      </c>
      <c r="AA2026" s="5" t="s">
        <v>44</v>
      </c>
      <c r="AC2026" s="8" t="str">
        <f>HYPERLINK("https://drive.google.com/file/d/1QK32Lb4RNX68UjQ8YBrub2DcLHsboz7F/view?usp=drivesdk", "Abrir_Factura")</f>
        <v>Abrir_Factura</v>
      </c>
      <c r="AD2026" s="9">
        <v>46063.455625000002</v>
      </c>
    </row>
    <row r="2027" spans="1:30" ht="12.5">
      <c r="A2027" s="4">
        <v>46063.44980412037</v>
      </c>
      <c r="B2027" s="5">
        <v>91765</v>
      </c>
      <c r="C2027" s="5">
        <v>1045694348</v>
      </c>
      <c r="D2027" s="5" t="s">
        <v>1639</v>
      </c>
      <c r="F2027" s="5" t="s">
        <v>9155</v>
      </c>
      <c r="H2027" s="5">
        <v>573006162786</v>
      </c>
      <c r="J2027" s="5" t="s">
        <v>9156</v>
      </c>
      <c r="K2027" s="5" t="s">
        <v>185</v>
      </c>
      <c r="L2027" s="5" t="s">
        <v>9157</v>
      </c>
      <c r="M2027" s="5">
        <v>3006162786</v>
      </c>
      <c r="N2027" s="6">
        <v>46063</v>
      </c>
      <c r="O2027" s="7">
        <v>0.49652777777777779</v>
      </c>
      <c r="P2027" s="5">
        <v>1</v>
      </c>
      <c r="Q2027" s="5" t="s">
        <v>210</v>
      </c>
      <c r="R2027" s="5">
        <v>170000</v>
      </c>
      <c r="S2027" s="5">
        <v>0</v>
      </c>
      <c r="T2027" s="5">
        <v>8000</v>
      </c>
      <c r="U2027" s="5">
        <v>178000</v>
      </c>
      <c r="V2027" s="5" t="s">
        <v>9158</v>
      </c>
      <c r="W2027" s="5" t="s">
        <v>36</v>
      </c>
      <c r="X2027" s="5" t="s">
        <v>2163</v>
      </c>
      <c r="Z2027" s="5" t="s">
        <v>9159</v>
      </c>
      <c r="AA2027" s="5" t="s">
        <v>44</v>
      </c>
      <c r="AC2027" s="8" t="str">
        <f>HYPERLINK("https://drive.google.com/file/d/1GXN2gBvRKsDNn-04bMPFuKgrMFTt7sT1/view?usp=drivesdk", "Abrir_Factura")</f>
        <v>Abrir_Factura</v>
      </c>
      <c r="AD2027" s="9">
        <v>46063.457569444443</v>
      </c>
    </row>
    <row r="2028" spans="1:30" ht="12.5">
      <c r="A2028" s="4">
        <v>46063.462169699073</v>
      </c>
      <c r="B2028" s="5">
        <v>91766</v>
      </c>
      <c r="C2028" s="5">
        <v>1051822044</v>
      </c>
      <c r="D2028" s="5" t="s">
        <v>7217</v>
      </c>
      <c r="F2028" s="5" t="s">
        <v>8585</v>
      </c>
      <c r="H2028" s="5">
        <v>573008512317</v>
      </c>
      <c r="J2028" s="5" t="s">
        <v>9160</v>
      </c>
      <c r="K2028" s="5" t="s">
        <v>185</v>
      </c>
      <c r="L2028" s="5" t="s">
        <v>9161</v>
      </c>
      <c r="M2028" s="5">
        <v>3126847499</v>
      </c>
      <c r="N2028" s="6">
        <v>46063</v>
      </c>
      <c r="O2028" s="7">
        <v>0.54166666666666663</v>
      </c>
      <c r="P2028" s="5">
        <v>1</v>
      </c>
      <c r="Q2028" s="5" t="s">
        <v>178</v>
      </c>
      <c r="R2028" s="5">
        <v>110000</v>
      </c>
      <c r="S2028" s="5">
        <v>0</v>
      </c>
      <c r="T2028" s="5">
        <v>8000</v>
      </c>
      <c r="U2028" s="5">
        <v>118000</v>
      </c>
      <c r="V2028" s="5" t="s">
        <v>9162</v>
      </c>
      <c r="W2028" s="5" t="s">
        <v>36</v>
      </c>
      <c r="X2028" s="5" t="s">
        <v>180</v>
      </c>
      <c r="Z2028" s="5" t="s">
        <v>9163</v>
      </c>
      <c r="AA2028" s="5" t="s">
        <v>44</v>
      </c>
      <c r="AC2028" s="8" t="str">
        <f>HYPERLINK("https://drive.google.com/file/d/1JOHcEpTZ9SwtAQxRhGoygJN8hdc2Ns6I/view?usp=drivesdk", "Abrir_Factura")</f>
        <v>Abrir_Factura</v>
      </c>
      <c r="AD2028" s="9">
        <v>46063.471273148149</v>
      </c>
    </row>
    <row r="2029" spans="1:30" ht="12.5">
      <c r="A2029" s="4">
        <v>46063.469558333338</v>
      </c>
      <c r="B2029" s="5">
        <v>91767</v>
      </c>
      <c r="C2029" s="5">
        <v>1118817277</v>
      </c>
      <c r="D2029" s="5" t="s">
        <v>2894</v>
      </c>
      <c r="F2029" s="5" t="s">
        <v>9164</v>
      </c>
      <c r="H2029" s="5">
        <v>573004749604</v>
      </c>
      <c r="J2029" s="5" t="s">
        <v>9165</v>
      </c>
      <c r="K2029" s="5" t="s">
        <v>9166</v>
      </c>
      <c r="L2029" s="5" t="s">
        <v>9167</v>
      </c>
      <c r="M2029" s="5"/>
      <c r="N2029" s="6">
        <v>46063</v>
      </c>
      <c r="O2029" s="7">
        <v>0.54166666666666663</v>
      </c>
      <c r="P2029" s="5">
        <v>1</v>
      </c>
      <c r="Q2029" s="5" t="s">
        <v>5730</v>
      </c>
      <c r="R2029" s="5">
        <v>350000</v>
      </c>
      <c r="S2029" s="5">
        <v>0</v>
      </c>
      <c r="T2029" s="5">
        <v>16000</v>
      </c>
      <c r="U2029" s="5">
        <v>366000</v>
      </c>
      <c r="V2029" s="5" t="s">
        <v>9168</v>
      </c>
      <c r="W2029" s="5" t="s">
        <v>36</v>
      </c>
      <c r="X2029" s="5" t="s">
        <v>67</v>
      </c>
      <c r="Z2029" s="5" t="s">
        <v>310</v>
      </c>
      <c r="AA2029" s="5" t="s">
        <v>44</v>
      </c>
      <c r="AC2029" s="8" t="str">
        <f>HYPERLINK("https://drive.google.com/file/d/1xKXLwz8Ll5NxjBkBwKbfi0U4hsPlGxJl/view?usp=drivesdk", "Abrir_Factura")</f>
        <v>Abrir_Factura</v>
      </c>
      <c r="AD2029" s="9">
        <v>46063.48741898148</v>
      </c>
    </row>
    <row r="2030" spans="1:30" ht="12.5">
      <c r="A2030" s="4">
        <v>46063.47466821759</v>
      </c>
      <c r="B2030" s="5">
        <v>91768</v>
      </c>
      <c r="C2030" s="5">
        <v>1081820799</v>
      </c>
      <c r="D2030" s="5" t="s">
        <v>670</v>
      </c>
      <c r="F2030" s="5" t="s">
        <v>9169</v>
      </c>
      <c r="H2030" s="5">
        <v>573133981214</v>
      </c>
      <c r="J2030" s="5" t="s">
        <v>9170</v>
      </c>
      <c r="K2030" s="5" t="s">
        <v>964</v>
      </c>
      <c r="L2030" s="5" t="s">
        <v>9171</v>
      </c>
      <c r="M2030" s="5" t="s">
        <v>25421</v>
      </c>
      <c r="N2030" s="6">
        <v>46063</v>
      </c>
      <c r="O2030" s="7">
        <v>0.54166666666666663</v>
      </c>
      <c r="P2030" s="5">
        <v>1</v>
      </c>
      <c r="Q2030" s="5" t="s">
        <v>178</v>
      </c>
      <c r="R2030" s="5">
        <v>110000</v>
      </c>
      <c r="S2030" s="5">
        <v>0</v>
      </c>
      <c r="T2030" s="5">
        <v>12000</v>
      </c>
      <c r="U2030" s="5">
        <v>122000</v>
      </c>
      <c r="V2030" s="5"/>
      <c r="W2030" s="5" t="s">
        <v>36</v>
      </c>
      <c r="X2030" s="5" t="s">
        <v>67</v>
      </c>
      <c r="Z2030" s="5" t="s">
        <v>1806</v>
      </c>
      <c r="AA2030" s="5" t="s">
        <v>44</v>
      </c>
      <c r="AC2030" s="8" t="str">
        <f>HYPERLINK("https://drive.google.com/file/d/1sfsa1EFEmm_HRacVjLgYVUkRh82g9vXY/view?usp=drivesdk", "Abrir_Factura")</f>
        <v>Abrir_Factura</v>
      </c>
      <c r="AD2030" s="9">
        <v>46063.488807870373</v>
      </c>
    </row>
    <row r="2031" spans="1:30" ht="12.5">
      <c r="A2031" s="4">
        <v>46063.481466226847</v>
      </c>
      <c r="B2031" s="5">
        <v>91769</v>
      </c>
      <c r="C2031" s="5">
        <v>22463875</v>
      </c>
      <c r="D2031" s="5" t="s">
        <v>9172</v>
      </c>
      <c r="F2031" s="5" t="s">
        <v>2341</v>
      </c>
      <c r="H2031" s="5">
        <v>573006254255</v>
      </c>
      <c r="J2031" s="5" t="s">
        <v>9173</v>
      </c>
      <c r="K2031" s="5" t="s">
        <v>73</v>
      </c>
      <c r="L2031" s="5" t="s">
        <v>9174</v>
      </c>
      <c r="M2031" s="5" t="s">
        <v>9175</v>
      </c>
      <c r="N2031" s="6">
        <v>46063</v>
      </c>
      <c r="O2031" s="7">
        <v>0.58333333333333337</v>
      </c>
      <c r="P2031" s="5">
        <v>1</v>
      </c>
      <c r="Q2031" s="5" t="s">
        <v>1696</v>
      </c>
      <c r="R2031" s="5">
        <v>800000</v>
      </c>
      <c r="S2031" s="5">
        <v>0</v>
      </c>
      <c r="T2031" s="5">
        <v>8000</v>
      </c>
      <c r="U2031" s="5">
        <v>808000</v>
      </c>
      <c r="V2031" s="5" t="s">
        <v>9176</v>
      </c>
      <c r="W2031" s="5" t="s">
        <v>36</v>
      </c>
      <c r="X2031" s="5" t="s">
        <v>1937</v>
      </c>
      <c r="AA2031" s="5" t="s">
        <v>44</v>
      </c>
      <c r="AC2031" s="8" t="str">
        <f>HYPERLINK("https://drive.google.com/file/d/10IRWY2h85llxq4yM2uLKD0BzmzXlDNVs/view?usp=drivesdk", "Abrir_Factura")</f>
        <v>Abrir_Factura</v>
      </c>
      <c r="AD2031" s="9">
        <v>46063.49082175926</v>
      </c>
    </row>
    <row r="2032" spans="1:30" ht="12.5">
      <c r="A2032" s="4">
        <v>46063.472933576384</v>
      </c>
      <c r="B2032" s="5">
        <v>91770</v>
      </c>
      <c r="C2032" s="5">
        <v>1140835866</v>
      </c>
      <c r="D2032" s="5" t="s">
        <v>825</v>
      </c>
      <c r="F2032" s="5" t="s">
        <v>2153</v>
      </c>
      <c r="H2032" s="5">
        <v>573218151708</v>
      </c>
      <c r="J2032" s="5" t="s">
        <v>2154</v>
      </c>
      <c r="K2032" s="5" t="s">
        <v>964</v>
      </c>
      <c r="L2032" s="5" t="s">
        <v>9177</v>
      </c>
      <c r="M2032" s="5">
        <v>3176463957</v>
      </c>
      <c r="N2032" s="6">
        <v>46063</v>
      </c>
      <c r="O2032" s="7">
        <v>0.59722222222222221</v>
      </c>
      <c r="P2032" s="5">
        <v>1</v>
      </c>
      <c r="Q2032" s="5" t="s">
        <v>4021</v>
      </c>
      <c r="R2032" s="5">
        <v>240000</v>
      </c>
      <c r="S2032" s="5">
        <v>0</v>
      </c>
      <c r="T2032" s="5">
        <v>12000</v>
      </c>
      <c r="U2032" s="5">
        <v>252000</v>
      </c>
      <c r="V2032" s="5"/>
      <c r="W2032" s="5" t="s">
        <v>36</v>
      </c>
      <c r="X2032" s="5" t="s">
        <v>2163</v>
      </c>
      <c r="AA2032" s="5" t="s">
        <v>69</v>
      </c>
      <c r="AC2032" s="8" t="str">
        <f>HYPERLINK("https://drive.google.com/file/d/120TtkhQM4Rb_KblABeE-Q9rVdEPGEZxr/view?usp=drivesdk", "Abrir_Factura")</f>
        <v>Abrir_Factura</v>
      </c>
      <c r="AD2032" s="9">
        <v>46063.504340277781</v>
      </c>
    </row>
    <row r="2033" spans="1:30" ht="12.5">
      <c r="A2033" s="4">
        <v>46063.505556006945</v>
      </c>
      <c r="B2033" s="5">
        <v>91771</v>
      </c>
      <c r="C2033" s="5">
        <v>1045680898</v>
      </c>
      <c r="D2033" s="5" t="s">
        <v>9178</v>
      </c>
      <c r="F2033" s="5" t="s">
        <v>9179</v>
      </c>
      <c r="H2033" s="5">
        <v>573012334915</v>
      </c>
      <c r="J2033" s="5" t="s">
        <v>9180</v>
      </c>
      <c r="K2033" s="5" t="s">
        <v>33</v>
      </c>
      <c r="L2033" s="5" t="s">
        <v>34</v>
      </c>
      <c r="M2033" s="5">
        <v>3012334915</v>
      </c>
      <c r="N2033" s="6">
        <v>46063</v>
      </c>
      <c r="O2033" s="7">
        <v>0.54166666666666663</v>
      </c>
      <c r="P2033" s="5">
        <v>1</v>
      </c>
      <c r="Q2033" s="5" t="s">
        <v>9181</v>
      </c>
      <c r="R2033" s="5">
        <v>90000</v>
      </c>
      <c r="S2033" s="5">
        <v>0</v>
      </c>
      <c r="T2033" s="5">
        <v>0</v>
      </c>
      <c r="U2033" s="5">
        <v>90000</v>
      </c>
      <c r="V2033" s="5"/>
      <c r="W2033" s="5" t="s">
        <v>36</v>
      </c>
      <c r="X2033" s="5" t="s">
        <v>1481</v>
      </c>
      <c r="AA2033" s="5" t="s">
        <v>1717</v>
      </c>
      <c r="AB2033" s="5" t="s">
        <v>9181</v>
      </c>
      <c r="AC2033" s="8" t="str">
        <f>HYPERLINK("https://drive.google.com/file/d/12xef4NTzzuK47FwaFFLUbbUx3mVP4aU0/view?usp=drivesdk", "Abrir_Factura")</f>
        <v>Abrir_Factura</v>
      </c>
      <c r="AD2033" s="9">
        <v>46063.657986111109</v>
      </c>
    </row>
    <row r="2034" spans="1:30" ht="12.5">
      <c r="A2034" s="4">
        <v>46063.553532835649</v>
      </c>
      <c r="B2034" s="5">
        <v>91772</v>
      </c>
      <c r="C2034" s="5">
        <v>1001818606</v>
      </c>
      <c r="D2034" s="5" t="s">
        <v>8545</v>
      </c>
      <c r="F2034" s="5" t="s">
        <v>4640</v>
      </c>
      <c r="H2034" s="5">
        <v>573023599315</v>
      </c>
      <c r="J2034" s="5" t="s">
        <v>9182</v>
      </c>
      <c r="K2034" s="5" t="s">
        <v>33</v>
      </c>
      <c r="L2034" s="5" t="s">
        <v>34</v>
      </c>
      <c r="M2034" s="5">
        <v>3023599315</v>
      </c>
      <c r="N2034" s="6">
        <v>46063</v>
      </c>
      <c r="O2034" s="7">
        <v>0.75</v>
      </c>
      <c r="P2034" s="5">
        <v>1</v>
      </c>
      <c r="Q2034" s="5" t="s">
        <v>375</v>
      </c>
      <c r="R2034" s="5">
        <v>80000</v>
      </c>
      <c r="S2034" s="5">
        <v>0</v>
      </c>
      <c r="T2034" s="5">
        <v>0</v>
      </c>
      <c r="U2034" s="5">
        <v>80000</v>
      </c>
      <c r="V2034" s="5"/>
      <c r="W2034" s="5" t="s">
        <v>36</v>
      </c>
      <c r="X2034" s="5" t="s">
        <v>67</v>
      </c>
      <c r="Z2034" s="5" t="s">
        <v>9183</v>
      </c>
      <c r="AA2034" s="5" t="s">
        <v>44</v>
      </c>
      <c r="AB2034" s="5" t="s">
        <v>9184</v>
      </c>
      <c r="AC2034" s="8" t="str">
        <f>HYPERLINK("https://drive.google.com/file/d/10TX5FiWFpkh6-ggZD9bJTTZLA3wQ5Ba3/view?usp=drivesdk", "Abrir_Factura")</f>
        <v>Abrir_Factura</v>
      </c>
      <c r="AD2034" s="9">
        <v>46063.574374999997</v>
      </c>
    </row>
    <row r="2035" spans="1:30" ht="12.5">
      <c r="A2035" s="4">
        <v>46063.565505868057</v>
      </c>
      <c r="B2035" s="5">
        <v>91773</v>
      </c>
      <c r="C2035" s="5">
        <v>1042240466</v>
      </c>
      <c r="D2035" s="5" t="s">
        <v>9185</v>
      </c>
      <c r="F2035" s="5" t="s">
        <v>9186</v>
      </c>
      <c r="H2035" s="5">
        <v>573045441981</v>
      </c>
      <c r="J2035" s="5" t="s">
        <v>9187</v>
      </c>
      <c r="K2035" s="5" t="s">
        <v>63</v>
      </c>
      <c r="L2035" s="5" t="s">
        <v>9188</v>
      </c>
      <c r="M2035" s="5" t="s">
        <v>25421</v>
      </c>
      <c r="N2035" s="6">
        <v>46063</v>
      </c>
      <c r="O2035" s="7">
        <v>0.72916666666666663</v>
      </c>
      <c r="P2035" s="5">
        <v>1</v>
      </c>
      <c r="Q2035" s="5" t="s">
        <v>6874</v>
      </c>
      <c r="R2035" s="5">
        <v>120000</v>
      </c>
      <c r="S2035" s="5">
        <v>0</v>
      </c>
      <c r="T2035" s="5">
        <v>17000</v>
      </c>
      <c r="U2035" s="5">
        <v>137000</v>
      </c>
      <c r="V2035" s="5" t="s">
        <v>9189</v>
      </c>
      <c r="W2035" s="5" t="s">
        <v>36</v>
      </c>
      <c r="X2035" s="5" t="s">
        <v>67</v>
      </c>
      <c r="AA2035" s="5" t="s">
        <v>44</v>
      </c>
      <c r="AC2035" s="8" t="str">
        <f>HYPERLINK("https://drive.google.com/file/d/1hL2x6eEWis_NuI0v1yGJzfDjf2vKzn8M/view?usp=drivesdk", "Abrir_Factura")</f>
        <v>Abrir_Factura</v>
      </c>
      <c r="AD2035" s="9">
        <v>46063.575613425928</v>
      </c>
    </row>
    <row r="2036" spans="1:30" ht="12.5">
      <c r="A2036" s="4">
        <v>46063.598829756942</v>
      </c>
      <c r="B2036" s="5">
        <v>91774</v>
      </c>
      <c r="C2036" s="5">
        <v>501533</v>
      </c>
      <c r="D2036" s="5" t="s">
        <v>9190</v>
      </c>
      <c r="F2036" s="5" t="s">
        <v>9191</v>
      </c>
      <c r="H2036" s="5">
        <v>573205167153</v>
      </c>
      <c r="J2036" s="5" t="s">
        <v>9192</v>
      </c>
      <c r="K2036" s="5" t="s">
        <v>103</v>
      </c>
      <c r="L2036" s="5" t="s">
        <v>9193</v>
      </c>
      <c r="M2036" s="5">
        <v>3245677885</v>
      </c>
      <c r="N2036" s="6">
        <v>46063</v>
      </c>
      <c r="O2036" s="7">
        <v>0.625</v>
      </c>
      <c r="P2036" s="5">
        <v>1</v>
      </c>
      <c r="Q2036" s="5" t="s">
        <v>1792</v>
      </c>
      <c r="R2036" s="5">
        <v>160000</v>
      </c>
      <c r="S2036" s="5">
        <v>0</v>
      </c>
      <c r="T2036" s="5">
        <v>10000</v>
      </c>
      <c r="U2036" s="5">
        <v>170000</v>
      </c>
      <c r="V2036" s="5" t="s">
        <v>9194</v>
      </c>
      <c r="W2036" s="5" t="s">
        <v>36</v>
      </c>
      <c r="X2036" s="5" t="s">
        <v>67</v>
      </c>
      <c r="Z2036" s="5" t="s">
        <v>9195</v>
      </c>
      <c r="AA2036" s="5" t="s">
        <v>44</v>
      </c>
      <c r="AC2036" s="8" t="str">
        <f>HYPERLINK("https://drive.google.com/file/d/1Ma56jc7ywHRVqLkAtoFc_xjrMJkOuH9u/view?usp=drivesdk", "Abrir_Factura")</f>
        <v>Abrir_Factura</v>
      </c>
      <c r="AD2036" s="9">
        <v>46063.602824074071</v>
      </c>
    </row>
    <row r="2037" spans="1:30" ht="12.5">
      <c r="A2037" s="4">
        <v>46063.585424305551</v>
      </c>
      <c r="B2037" s="5">
        <v>91775</v>
      </c>
      <c r="C2037" s="5">
        <v>1095949757</v>
      </c>
      <c r="D2037" s="5" t="s">
        <v>246</v>
      </c>
      <c r="F2037" s="5" t="s">
        <v>9196</v>
      </c>
      <c r="H2037" s="5">
        <v>17816001059</v>
      </c>
      <c r="J2037" s="5" t="s">
        <v>9197</v>
      </c>
      <c r="K2037" s="5" t="s">
        <v>1815</v>
      </c>
      <c r="L2037" s="5" t="s">
        <v>9198</v>
      </c>
      <c r="M2037" s="5" t="s">
        <v>25421</v>
      </c>
      <c r="N2037" s="6">
        <v>46066</v>
      </c>
      <c r="O2037" s="7">
        <v>0.58333333333333337</v>
      </c>
      <c r="P2037" s="5">
        <v>1</v>
      </c>
      <c r="Q2037" s="5" t="s">
        <v>9199</v>
      </c>
      <c r="R2037" s="5">
        <v>180000</v>
      </c>
      <c r="S2037" s="5">
        <v>0</v>
      </c>
      <c r="T2037" s="5">
        <v>18000</v>
      </c>
      <c r="U2037" s="5">
        <v>198000</v>
      </c>
      <c r="V2037" s="5" t="s">
        <v>9200</v>
      </c>
      <c r="W2037" s="5" t="s">
        <v>36</v>
      </c>
      <c r="X2037" s="5" t="s">
        <v>7644</v>
      </c>
      <c r="Z2037" s="5" t="s">
        <v>9201</v>
      </c>
      <c r="AA2037" s="5" t="s">
        <v>44</v>
      </c>
      <c r="AB2037" s="5" t="s">
        <v>9202</v>
      </c>
      <c r="AC2037" s="8" t="str">
        <f>HYPERLINK("https://drive.google.com/file/d/1dUe0gv6yEcrGM678r-RdJ1RNGx96DsuE/view?usp=drivesdk", "Abrir_Factura")</f>
        <v>Abrir_Factura</v>
      </c>
      <c r="AD2037" s="9">
        <v>46063.604456018518</v>
      </c>
    </row>
    <row r="2038" spans="1:30" ht="12.5">
      <c r="A2038" s="4">
        <v>46063.59456662037</v>
      </c>
      <c r="B2038" s="5">
        <v>91776</v>
      </c>
      <c r="C2038" s="5">
        <v>1043028906</v>
      </c>
      <c r="D2038" s="5" t="s">
        <v>1369</v>
      </c>
      <c r="F2038" s="5" t="s">
        <v>1122</v>
      </c>
      <c r="H2038" s="5">
        <v>573012278763</v>
      </c>
      <c r="J2038" s="5" t="s">
        <v>9203</v>
      </c>
      <c r="K2038" s="5" t="s">
        <v>1124</v>
      </c>
      <c r="L2038" s="5" t="s">
        <v>1125</v>
      </c>
      <c r="M2038" s="5">
        <v>3012278763</v>
      </c>
      <c r="N2038" s="6">
        <v>46066</v>
      </c>
      <c r="O2038" s="7">
        <v>0</v>
      </c>
      <c r="P2038" s="5">
        <v>1</v>
      </c>
      <c r="Q2038" s="5" t="s">
        <v>6874</v>
      </c>
      <c r="R2038" s="5">
        <v>120000</v>
      </c>
      <c r="S2038" s="5">
        <v>0</v>
      </c>
      <c r="T2038" s="5">
        <v>20000</v>
      </c>
      <c r="U2038" s="5">
        <v>140000</v>
      </c>
      <c r="V2038" s="5" t="s">
        <v>9204</v>
      </c>
      <c r="W2038" s="5" t="s">
        <v>36</v>
      </c>
      <c r="X2038" s="5" t="s">
        <v>7644</v>
      </c>
      <c r="Z2038" s="5" t="s">
        <v>9205</v>
      </c>
      <c r="AA2038" s="5" t="s">
        <v>44</v>
      </c>
      <c r="AC2038" s="8" t="str">
        <f>HYPERLINK("https://drive.google.com/file/d/1_azTainnUawNIB74b0waYxb_SltOgkUv/view?usp=drivesdk", "Abrir_Factura")</f>
        <v>Abrir_Factura</v>
      </c>
      <c r="AD2038" s="9">
        <v>46063.607766203706</v>
      </c>
    </row>
    <row r="2039" spans="1:30" ht="12.5">
      <c r="A2039" s="4">
        <v>46063.56126722222</v>
      </c>
      <c r="B2039" s="5">
        <v>91777</v>
      </c>
      <c r="C2039" s="5">
        <v>1043671506</v>
      </c>
      <c r="D2039" s="5" t="s">
        <v>8545</v>
      </c>
      <c r="F2039" s="5" t="s">
        <v>9206</v>
      </c>
      <c r="H2039" s="5">
        <v>12013904950</v>
      </c>
      <c r="J2039" s="5" t="s">
        <v>9207</v>
      </c>
      <c r="K2039" s="5" t="s">
        <v>9208</v>
      </c>
      <c r="L2039" s="5" t="s">
        <v>9209</v>
      </c>
      <c r="M2039" s="5">
        <v>3046614222</v>
      </c>
      <c r="N2039" s="6">
        <v>46066</v>
      </c>
      <c r="O2039" s="7">
        <v>0</v>
      </c>
      <c r="P2039" s="5">
        <v>1</v>
      </c>
      <c r="Q2039" s="5" t="s">
        <v>9210</v>
      </c>
      <c r="R2039" s="5">
        <v>185000</v>
      </c>
      <c r="S2039" s="5">
        <v>0</v>
      </c>
      <c r="T2039" s="5">
        <v>20000</v>
      </c>
      <c r="U2039" s="5">
        <v>205000</v>
      </c>
      <c r="V2039" s="5"/>
      <c r="W2039" s="5" t="s">
        <v>36</v>
      </c>
      <c r="X2039" s="5" t="s">
        <v>7644</v>
      </c>
      <c r="AA2039" s="5" t="s">
        <v>44</v>
      </c>
      <c r="AC2039" s="8" t="str">
        <f>HYPERLINK("https://drive.google.com/file/d/1zw3AiD6WnGfFoSo6KQ7rOIrsW3IyKR7W/view?usp=drivesdk", "Abrir_Factura")</f>
        <v>Abrir_Factura</v>
      </c>
      <c r="AD2039" s="9">
        <v>46063.608900462961</v>
      </c>
    </row>
    <row r="2040" spans="1:30" ht="12.5">
      <c r="A2040" s="4">
        <v>46063.607229305555</v>
      </c>
      <c r="B2040" s="5">
        <v>91778</v>
      </c>
      <c r="C2040" s="5">
        <v>40353559</v>
      </c>
      <c r="D2040" s="5" t="s">
        <v>290</v>
      </c>
      <c r="F2040" s="5" t="s">
        <v>9211</v>
      </c>
      <c r="H2040" s="5">
        <v>522299608567</v>
      </c>
      <c r="J2040" s="5" t="s">
        <v>9212</v>
      </c>
      <c r="K2040" s="5" t="s">
        <v>5574</v>
      </c>
      <c r="L2040" s="5" t="s">
        <v>9213</v>
      </c>
      <c r="M2040" s="5" t="s">
        <v>25421</v>
      </c>
      <c r="N2040" s="6">
        <v>46066</v>
      </c>
      <c r="O2040" s="7">
        <v>0</v>
      </c>
      <c r="P2040" s="5">
        <v>1</v>
      </c>
      <c r="Q2040" s="5" t="s">
        <v>9152</v>
      </c>
      <c r="R2040" s="5">
        <v>220000</v>
      </c>
      <c r="S2040" s="5">
        <v>0</v>
      </c>
      <c r="T2040" s="5">
        <v>10000</v>
      </c>
      <c r="U2040" s="5">
        <v>230000</v>
      </c>
      <c r="V2040" s="5" t="s">
        <v>9214</v>
      </c>
      <c r="W2040" s="5" t="s">
        <v>36</v>
      </c>
      <c r="X2040" s="5" t="s">
        <v>1937</v>
      </c>
      <c r="Z2040" s="5" t="s">
        <v>9215</v>
      </c>
      <c r="AA2040" s="5" t="s">
        <v>44</v>
      </c>
      <c r="AC2040" s="8" t="str">
        <f>HYPERLINK("https://drive.google.com/file/d/1-9hGIU_hRZtxU3xnrnSueK1sj7HVvgPW/view?usp=drivesdk", "Abrir_Factura")</f>
        <v>Abrir_Factura</v>
      </c>
      <c r="AD2040" s="9">
        <v>46063.620451388888</v>
      </c>
    </row>
    <row r="2041" spans="1:30" ht="12.5">
      <c r="A2041" s="4">
        <v>46063.63200769676</v>
      </c>
      <c r="B2041" s="5">
        <v>91779</v>
      </c>
      <c r="C2041" s="5">
        <v>32761183</v>
      </c>
      <c r="D2041" s="5" t="s">
        <v>9216</v>
      </c>
      <c r="F2041" s="5" t="s">
        <v>9217</v>
      </c>
      <c r="H2041" s="5">
        <v>573006707199</v>
      </c>
      <c r="J2041" s="5" t="s">
        <v>9218</v>
      </c>
      <c r="K2041" s="5" t="s">
        <v>161</v>
      </c>
      <c r="L2041" s="5" t="s">
        <v>9219</v>
      </c>
      <c r="M2041" s="5"/>
      <c r="N2041" s="6">
        <v>46064</v>
      </c>
      <c r="O2041" s="7">
        <v>0</v>
      </c>
      <c r="P2041" s="5">
        <v>1</v>
      </c>
      <c r="Q2041" s="5" t="s">
        <v>65</v>
      </c>
      <c r="R2041" s="5">
        <v>80000</v>
      </c>
      <c r="S2041" s="5">
        <v>0</v>
      </c>
      <c r="T2041" s="5">
        <v>8000</v>
      </c>
      <c r="U2041" s="5">
        <v>88000</v>
      </c>
      <c r="V2041" s="5" t="s">
        <v>4709</v>
      </c>
      <c r="W2041" s="5" t="s">
        <v>36</v>
      </c>
      <c r="X2041" s="5" t="s">
        <v>1705</v>
      </c>
      <c r="AA2041" s="5" t="s">
        <v>1717</v>
      </c>
      <c r="AC2041" s="8" t="str">
        <f>HYPERLINK("https://drive.google.com/file/d/1P1_nWwLvcT1Y7yvoJVmGhe-Qn8e8each/view?usp=drivesdk", "Abrir_Factura")</f>
        <v>Abrir_Factura</v>
      </c>
      <c r="AD2041" s="9">
        <v>46063.633692129632</v>
      </c>
    </row>
    <row r="2042" spans="1:30" ht="12.5">
      <c r="A2042" s="4">
        <v>46063.604940729172</v>
      </c>
      <c r="B2042" s="5">
        <v>91780</v>
      </c>
      <c r="C2042" s="5">
        <v>1005280742</v>
      </c>
      <c r="D2042" s="5" t="s">
        <v>968</v>
      </c>
      <c r="F2042" s="5" t="s">
        <v>5781</v>
      </c>
      <c r="H2042" s="5">
        <v>573123838194</v>
      </c>
      <c r="J2042" s="5" t="s">
        <v>5782</v>
      </c>
      <c r="K2042" s="5"/>
      <c r="L2042" s="5" t="s">
        <v>9220</v>
      </c>
      <c r="M2042" s="5">
        <v>3184113718</v>
      </c>
      <c r="N2042" s="6">
        <v>46063</v>
      </c>
      <c r="O2042" s="7">
        <v>0.66666666666666663</v>
      </c>
      <c r="P2042" s="5">
        <v>1</v>
      </c>
      <c r="Q2042" s="5" t="s">
        <v>42</v>
      </c>
      <c r="R2042" s="5">
        <v>80000</v>
      </c>
      <c r="S2042" s="5">
        <v>0</v>
      </c>
      <c r="T2042" s="5"/>
      <c r="U2042" s="5">
        <v>80000</v>
      </c>
      <c r="V2042" s="5" t="s">
        <v>9221</v>
      </c>
      <c r="W2042" s="5" t="s">
        <v>36</v>
      </c>
      <c r="X2042" s="5" t="s">
        <v>1937</v>
      </c>
      <c r="Z2042" s="5" t="s">
        <v>5785</v>
      </c>
      <c r="AA2042" s="5" t="s">
        <v>44</v>
      </c>
      <c r="AB2042" s="5" t="s">
        <v>9222</v>
      </c>
      <c r="AC2042" s="8" t="str">
        <f>HYPERLINK("https://drive.google.com/file/d/1JLmf04-imA9KU9_hbrKhHVV-MeuQ6iqP/view?usp=drivesdk", "Abrir_Factura")</f>
        <v>Abrir_Factura</v>
      </c>
      <c r="AD2042" s="9">
        <v>46063.636793981481</v>
      </c>
    </row>
    <row r="2043" spans="1:30" ht="12.5">
      <c r="A2043" s="4">
        <v>46062.524768854171</v>
      </c>
      <c r="B2043" s="5">
        <v>91781</v>
      </c>
      <c r="C2043" s="5">
        <v>1042255137</v>
      </c>
      <c r="D2043" s="5" t="s">
        <v>698</v>
      </c>
      <c r="F2043" s="5" t="s">
        <v>9223</v>
      </c>
      <c r="H2043" s="5">
        <v>573007538423</v>
      </c>
      <c r="J2043" s="5" t="s">
        <v>9224</v>
      </c>
      <c r="K2043" s="5" t="s">
        <v>9225</v>
      </c>
      <c r="L2043" s="5" t="s">
        <v>9226</v>
      </c>
      <c r="M2043" s="5">
        <v>3007538423</v>
      </c>
      <c r="N2043" s="6">
        <v>46066</v>
      </c>
      <c r="O2043" s="7">
        <v>0.45833333333333331</v>
      </c>
      <c r="P2043" s="5">
        <v>1</v>
      </c>
      <c r="Q2043" s="5" t="s">
        <v>1126</v>
      </c>
      <c r="R2043" s="5">
        <v>340000</v>
      </c>
      <c r="S2043" s="5">
        <v>0</v>
      </c>
      <c r="T2043" s="5">
        <v>20000</v>
      </c>
      <c r="U2043" s="5">
        <v>360000</v>
      </c>
      <c r="V2043" s="5" t="s">
        <v>9227</v>
      </c>
      <c r="W2043" s="5" t="s">
        <v>36</v>
      </c>
      <c r="X2043" s="5" t="s">
        <v>7644</v>
      </c>
      <c r="Z2043" s="5" t="s">
        <v>5249</v>
      </c>
      <c r="AA2043" s="5" t="s">
        <v>69</v>
      </c>
      <c r="AC2043" s="8" t="str">
        <f>HYPERLINK("https://drive.google.com/file/d/1at4FmkF__da_5LB6acPiydVbmXFlbzGN/view?usp=drivesdk", "Abrir_Factura")</f>
        <v>Abrir_Factura</v>
      </c>
      <c r="AD2043" s="9">
        <v>46063.637870370374</v>
      </c>
    </row>
    <row r="2044" spans="1:30" ht="12.5">
      <c r="A2044" s="4">
        <v>46063.616633240745</v>
      </c>
      <c r="B2044" s="5">
        <v>91782</v>
      </c>
      <c r="C2044" s="5">
        <v>1044434000</v>
      </c>
      <c r="D2044" s="5" t="s">
        <v>4809</v>
      </c>
      <c r="F2044" s="5" t="s">
        <v>1822</v>
      </c>
      <c r="H2044" s="5">
        <v>573012870456</v>
      </c>
      <c r="J2044" s="5" t="s">
        <v>9228</v>
      </c>
      <c r="K2044" s="5" t="s">
        <v>5898</v>
      </c>
      <c r="L2044" s="5" t="s">
        <v>648</v>
      </c>
      <c r="M2044" s="5">
        <v>3193552922</v>
      </c>
      <c r="N2044" s="6">
        <v>46065</v>
      </c>
      <c r="O2044" s="7">
        <v>0.375</v>
      </c>
      <c r="P2044" s="5">
        <v>1</v>
      </c>
      <c r="Q2044" s="5" t="s">
        <v>375</v>
      </c>
      <c r="R2044" s="5">
        <v>80000</v>
      </c>
      <c r="S2044" s="5">
        <v>0</v>
      </c>
      <c r="T2044" s="5">
        <v>17000</v>
      </c>
      <c r="U2044" s="5">
        <v>97000</v>
      </c>
      <c r="V2044" s="5" t="s">
        <v>9229</v>
      </c>
      <c r="W2044" s="5" t="s">
        <v>36</v>
      </c>
      <c r="X2044" s="5" t="s">
        <v>180</v>
      </c>
      <c r="Z2044" s="5" t="s">
        <v>9230</v>
      </c>
      <c r="AA2044" s="5" t="s">
        <v>44</v>
      </c>
      <c r="AB2044" s="5" t="s">
        <v>9229</v>
      </c>
      <c r="AC2044" s="8" t="str">
        <f>HYPERLINK("https://drive.google.com/file/d/1gRb4zXin7uoc942R9-N0ytkyQlgCaz-F/view?usp=drivesdk", "Abrir_Factura")</f>
        <v>Abrir_Factura</v>
      </c>
      <c r="AD2044" s="9">
        <v>46063.64366898148</v>
      </c>
    </row>
    <row r="2045" spans="1:30" ht="12.5">
      <c r="A2045" s="4">
        <v>46063.632608043983</v>
      </c>
      <c r="B2045" s="5">
        <v>91783</v>
      </c>
      <c r="C2045" s="5">
        <v>1034517595</v>
      </c>
      <c r="D2045" s="5" t="s">
        <v>182</v>
      </c>
      <c r="F2045" s="5" t="s">
        <v>9231</v>
      </c>
      <c r="H2045" s="5">
        <v>57638612865</v>
      </c>
      <c r="J2045" s="5" t="s">
        <v>7947</v>
      </c>
      <c r="K2045" s="5" t="s">
        <v>161</v>
      </c>
      <c r="L2045" s="5" t="s">
        <v>7948</v>
      </c>
      <c r="M2045" s="5">
        <v>3052775887</v>
      </c>
      <c r="N2045" s="6">
        <v>46066</v>
      </c>
      <c r="O2045" s="7">
        <v>0</v>
      </c>
      <c r="P2045" s="5">
        <v>1</v>
      </c>
      <c r="Q2045" s="5" t="s">
        <v>384</v>
      </c>
      <c r="R2045" s="5">
        <v>200000</v>
      </c>
      <c r="S2045" s="5">
        <v>0</v>
      </c>
      <c r="T2045" s="5">
        <v>8000</v>
      </c>
      <c r="U2045" s="5">
        <v>208000</v>
      </c>
      <c r="V2045" s="5" t="s">
        <v>9232</v>
      </c>
      <c r="W2045" s="5" t="s">
        <v>36</v>
      </c>
      <c r="X2045" s="5" t="s">
        <v>7644</v>
      </c>
      <c r="Z2045" s="5" t="s">
        <v>9233</v>
      </c>
      <c r="AA2045" s="5" t="s">
        <v>44</v>
      </c>
      <c r="AC2045" s="8" t="str">
        <f>HYPERLINK("https://drive.google.com/file/d/1rTgP1YkyuTfh_vXYPP8dWk6xsx-te45f/view?usp=drivesdk", "Abrir_Factura")</f>
        <v>Abrir_Factura</v>
      </c>
      <c r="AD2045" s="9">
        <v>46063.651504629626</v>
      </c>
    </row>
    <row r="2046" spans="1:30" ht="12.5">
      <c r="A2046" s="4">
        <v>46063.646741793986</v>
      </c>
      <c r="B2046" s="5">
        <v>91784</v>
      </c>
      <c r="C2046" s="5">
        <v>1001940068</v>
      </c>
      <c r="D2046" s="5" t="s">
        <v>825</v>
      </c>
      <c r="F2046" s="5" t="s">
        <v>8834</v>
      </c>
      <c r="H2046" s="5">
        <v>573001573722</v>
      </c>
      <c r="J2046" s="5" t="s">
        <v>9234</v>
      </c>
      <c r="K2046" s="5"/>
      <c r="L2046" s="5" t="s">
        <v>33</v>
      </c>
      <c r="M2046" s="5"/>
      <c r="N2046" s="6">
        <v>46067</v>
      </c>
      <c r="O2046" s="7">
        <v>0.33333333333333331</v>
      </c>
      <c r="P2046" s="5">
        <v>1</v>
      </c>
      <c r="Q2046" s="5" t="s">
        <v>6874</v>
      </c>
      <c r="R2046" s="5">
        <v>120000</v>
      </c>
      <c r="S2046" s="5">
        <v>0</v>
      </c>
      <c r="T2046" s="5"/>
      <c r="U2046" s="5">
        <v>120000</v>
      </c>
      <c r="V2046" s="5" t="s">
        <v>9235</v>
      </c>
      <c r="W2046" s="5" t="s">
        <v>36</v>
      </c>
      <c r="X2046" s="5" t="s">
        <v>1937</v>
      </c>
      <c r="Z2046" s="5" t="s">
        <v>1038</v>
      </c>
      <c r="AA2046" s="5" t="s">
        <v>44</v>
      </c>
      <c r="AC2046" s="8" t="str">
        <f>HYPERLINK("https://drive.google.com/file/d/1ZtF0QfrUKFDRBdnmSy62DxPdmsF8iU8-/view?usp=drivesdk", "Abrir_Factura")</f>
        <v>Abrir_Factura</v>
      </c>
      <c r="AD2046" s="9">
        <v>46063.656828703701</v>
      </c>
    </row>
    <row r="2047" spans="1:30" ht="12.5">
      <c r="A2047" s="4">
        <v>46063.660158611106</v>
      </c>
      <c r="B2047" s="5">
        <v>91785</v>
      </c>
      <c r="C2047" s="5">
        <v>1140842808</v>
      </c>
      <c r="D2047" s="5" t="s">
        <v>3400</v>
      </c>
      <c r="F2047" s="5" t="s">
        <v>4441</v>
      </c>
      <c r="H2047" s="5">
        <v>573004600106</v>
      </c>
      <c r="J2047" s="5" t="s">
        <v>9236</v>
      </c>
      <c r="K2047" s="5" t="s">
        <v>265</v>
      </c>
      <c r="L2047" s="5" t="s">
        <v>9237</v>
      </c>
      <c r="M2047" s="5">
        <v>3004000586</v>
      </c>
      <c r="N2047" s="6">
        <v>46066</v>
      </c>
      <c r="O2047" s="7">
        <v>0.75</v>
      </c>
      <c r="P2047" s="5">
        <v>1</v>
      </c>
      <c r="Q2047" s="5" t="s">
        <v>9238</v>
      </c>
      <c r="R2047" s="5">
        <v>300000</v>
      </c>
      <c r="S2047" s="5">
        <v>0</v>
      </c>
      <c r="T2047" s="5">
        <v>17000</v>
      </c>
      <c r="U2047" s="5">
        <v>317000</v>
      </c>
      <c r="V2047" s="5" t="s">
        <v>9239</v>
      </c>
      <c r="W2047" s="5" t="s">
        <v>36</v>
      </c>
      <c r="X2047" s="5" t="s">
        <v>7644</v>
      </c>
      <c r="Z2047" s="5" t="s">
        <v>9240</v>
      </c>
      <c r="AA2047" s="5" t="s">
        <v>44</v>
      </c>
      <c r="AB2047" s="5" t="s">
        <v>9241</v>
      </c>
      <c r="AC2047" s="8" t="str">
        <f>HYPERLINK("https://drive.google.com/file/d/1gqMMEb0k69aYee-zFcrgX4w1LmsFhyC3/view?usp=drivesdk", "Abrir_Factura")</f>
        <v>Abrir_Factura</v>
      </c>
      <c r="AD2047" s="9">
        <v>46063.662465277775</v>
      </c>
    </row>
    <row r="2048" spans="1:30" ht="12.5">
      <c r="A2048" s="4">
        <v>46063.67831747685</v>
      </c>
      <c r="B2048" s="5">
        <v>91786</v>
      </c>
      <c r="C2048" s="5">
        <v>1140839996</v>
      </c>
      <c r="D2048" s="5" t="s">
        <v>2721</v>
      </c>
      <c r="F2048" s="5" t="s">
        <v>2722</v>
      </c>
      <c r="H2048" s="5">
        <v>573145783942</v>
      </c>
      <c r="J2048" s="5" t="s">
        <v>9242</v>
      </c>
      <c r="K2048" s="5"/>
      <c r="L2048" s="5" t="s">
        <v>9243</v>
      </c>
      <c r="M2048" s="5"/>
      <c r="N2048" s="6">
        <v>46064</v>
      </c>
      <c r="O2048" s="7">
        <v>0</v>
      </c>
      <c r="P2048" s="5">
        <v>1</v>
      </c>
      <c r="Q2048" s="5" t="s">
        <v>1251</v>
      </c>
      <c r="R2048" s="5">
        <v>580000</v>
      </c>
      <c r="S2048" s="5">
        <v>0</v>
      </c>
      <c r="T2048" s="5"/>
      <c r="U2048" s="5">
        <v>580000</v>
      </c>
      <c r="V2048" s="5" t="s">
        <v>9244</v>
      </c>
      <c r="W2048" s="5" t="s">
        <v>36</v>
      </c>
      <c r="X2048" s="5" t="s">
        <v>67</v>
      </c>
      <c r="AA2048" s="5" t="s">
        <v>44</v>
      </c>
      <c r="AC2048" s="8" t="str">
        <f>HYPERLINK("https://drive.google.com/file/d/1BWRlrDZYupTKUMEicStn_tZUitmBBxN2/view?usp=drivesdk", "Abrir_Factura")</f>
        <v>Abrir_Factura</v>
      </c>
      <c r="AD2048" s="9">
        <v>46063.679224537038</v>
      </c>
    </row>
    <row r="2049" spans="1:30" ht="12.5">
      <c r="A2049" s="4">
        <v>46063.674200023146</v>
      </c>
      <c r="B2049" s="5">
        <v>91787</v>
      </c>
      <c r="C2049" s="5">
        <v>1140839996</v>
      </c>
      <c r="D2049" s="5" t="s">
        <v>2721</v>
      </c>
      <c r="F2049" s="5" t="s">
        <v>2722</v>
      </c>
      <c r="H2049" s="5">
        <v>573145783942</v>
      </c>
      <c r="J2049" s="5" t="s">
        <v>9245</v>
      </c>
      <c r="K2049" s="5"/>
      <c r="L2049" s="5" t="s">
        <v>9246</v>
      </c>
      <c r="M2049" s="5"/>
      <c r="N2049" s="6">
        <v>46064</v>
      </c>
      <c r="O2049" s="7">
        <v>0</v>
      </c>
      <c r="P2049" s="5">
        <v>1</v>
      </c>
      <c r="Q2049" s="5" t="s">
        <v>239</v>
      </c>
      <c r="R2049" s="5">
        <v>420000</v>
      </c>
      <c r="S2049" s="5">
        <v>0</v>
      </c>
      <c r="T2049" s="5"/>
      <c r="U2049" s="5">
        <v>420000</v>
      </c>
      <c r="V2049" s="5" t="s">
        <v>9247</v>
      </c>
      <c r="W2049" s="5" t="s">
        <v>36</v>
      </c>
      <c r="X2049" s="5" t="s">
        <v>67</v>
      </c>
      <c r="AA2049" s="5" t="s">
        <v>44</v>
      </c>
      <c r="AC2049" s="8" t="str">
        <f>HYPERLINK("https://drive.google.com/file/d/1mumH4rDvXh7aUnaNk4HWGahMG1iUIGPj/view?usp=drivesdk", "Abrir_Factura")</f>
        <v>Abrir_Factura</v>
      </c>
      <c r="AD2049" s="9">
        <v>46063.681296296294</v>
      </c>
    </row>
    <row r="2050" spans="1:30" ht="12.5">
      <c r="A2050" s="4">
        <v>46063.674523923612</v>
      </c>
      <c r="B2050" s="5">
        <v>91788</v>
      </c>
      <c r="C2050" s="5">
        <v>1041691632</v>
      </c>
      <c r="D2050" s="5" t="s">
        <v>4440</v>
      </c>
      <c r="F2050" s="5" t="s">
        <v>4441</v>
      </c>
      <c r="H2050" s="5">
        <v>573004612667</v>
      </c>
      <c r="J2050" s="5" t="s">
        <v>9248</v>
      </c>
      <c r="K2050" s="5" t="s">
        <v>73</v>
      </c>
      <c r="L2050" s="5" t="s">
        <v>9249</v>
      </c>
      <c r="M2050" s="5">
        <v>3044233449</v>
      </c>
      <c r="N2050" s="6">
        <v>46063</v>
      </c>
      <c r="O2050" s="7">
        <v>0.70833333333333337</v>
      </c>
      <c r="P2050" s="5">
        <v>1</v>
      </c>
      <c r="Q2050" s="5" t="s">
        <v>375</v>
      </c>
      <c r="R2050" s="5">
        <v>80000</v>
      </c>
      <c r="S2050" s="5">
        <v>0</v>
      </c>
      <c r="T2050" s="5">
        <v>8000</v>
      </c>
      <c r="U2050" s="5">
        <v>88000</v>
      </c>
      <c r="V2050" s="5" t="s">
        <v>9250</v>
      </c>
      <c r="W2050" s="5" t="s">
        <v>36</v>
      </c>
      <c r="X2050" s="5" t="s">
        <v>67</v>
      </c>
      <c r="Z2050" s="5" t="s">
        <v>9251</v>
      </c>
      <c r="AA2050" s="5" t="s">
        <v>44</v>
      </c>
      <c r="AC2050" s="8" t="str">
        <f>HYPERLINK("https://drive.google.com/file/d/1p5HaBuHqH-I_R8YDb4N-OooyooB8OLXB/view?usp=drivesdk", "Abrir_Factura")</f>
        <v>Abrir_Factura</v>
      </c>
      <c r="AD2050" s="9">
        <v>46063.686678240738</v>
      </c>
    </row>
    <row r="2051" spans="1:30" ht="12.5">
      <c r="A2051" s="4">
        <v>46063.724966967595</v>
      </c>
      <c r="B2051" s="5">
        <v>91789</v>
      </c>
      <c r="C2051" s="5">
        <v>1140887206</v>
      </c>
      <c r="D2051" s="5" t="s">
        <v>2451</v>
      </c>
      <c r="F2051" s="5" t="s">
        <v>9252</v>
      </c>
      <c r="H2051" s="5">
        <v>573008283874</v>
      </c>
      <c r="J2051" s="5" t="s">
        <v>9253</v>
      </c>
      <c r="K2051" s="5" t="s">
        <v>987</v>
      </c>
      <c r="L2051" s="5" t="s">
        <v>9254</v>
      </c>
      <c r="M2051" s="5">
        <v>3242833059</v>
      </c>
      <c r="N2051" s="6">
        <v>46064</v>
      </c>
      <c r="O2051" s="7">
        <v>0.70833333333333337</v>
      </c>
      <c r="P2051" s="5">
        <v>1</v>
      </c>
      <c r="Q2051" s="5" t="s">
        <v>9255</v>
      </c>
      <c r="R2051" s="5">
        <v>240000</v>
      </c>
      <c r="S2051" s="5">
        <v>0</v>
      </c>
      <c r="T2051" s="5">
        <v>25000</v>
      </c>
      <c r="U2051" s="5">
        <v>265000</v>
      </c>
      <c r="V2051" s="5" t="s">
        <v>9256</v>
      </c>
      <c r="W2051" s="5" t="s">
        <v>36</v>
      </c>
      <c r="X2051" s="5" t="s">
        <v>67</v>
      </c>
      <c r="Z2051" s="5" t="s">
        <v>9257</v>
      </c>
      <c r="AA2051" s="5" t="s">
        <v>44</v>
      </c>
      <c r="AB2051" s="5" t="s">
        <v>9258</v>
      </c>
      <c r="AC2051" s="8" t="str">
        <f>HYPERLINK("https://drive.google.com/file/d/1gudyILMfMo7kL9rzUDSxWB0XN-yhWT-7/view?usp=drivesdk", "Abrir_Factura")</f>
        <v>Abrir_Factura</v>
      </c>
      <c r="AD2051" s="9">
        <v>46063.741215277776</v>
      </c>
    </row>
    <row r="2052" spans="1:30" ht="12.5">
      <c r="A2052" s="4">
        <v>46063.735665671295</v>
      </c>
      <c r="B2052" s="5">
        <v>91790</v>
      </c>
      <c r="C2052" s="5">
        <v>1140882742</v>
      </c>
      <c r="D2052" s="5" t="s">
        <v>1349</v>
      </c>
      <c r="F2052" s="5" t="s">
        <v>9259</v>
      </c>
      <c r="H2052" s="5">
        <v>573104510297</v>
      </c>
      <c r="J2052" s="5" t="s">
        <v>9260</v>
      </c>
      <c r="K2052" s="5" t="s">
        <v>185</v>
      </c>
      <c r="L2052" s="5" t="s">
        <v>9261</v>
      </c>
      <c r="M2052" s="5"/>
      <c r="N2052" s="6">
        <v>46064</v>
      </c>
      <c r="O2052" s="7">
        <v>0.375</v>
      </c>
      <c r="P2052" s="5">
        <v>1</v>
      </c>
      <c r="Q2052" s="5" t="s">
        <v>57</v>
      </c>
      <c r="R2052" s="5">
        <v>120000</v>
      </c>
      <c r="S2052" s="5">
        <v>0</v>
      </c>
      <c r="T2052" s="5">
        <v>8000</v>
      </c>
      <c r="U2052" s="5">
        <v>128000</v>
      </c>
      <c r="V2052" s="5" t="s">
        <v>9262</v>
      </c>
      <c r="W2052" s="5" t="s">
        <v>36</v>
      </c>
      <c r="X2052" s="5" t="s">
        <v>180</v>
      </c>
      <c r="Z2052" s="5" t="s">
        <v>9263</v>
      </c>
      <c r="AA2052" s="5" t="s">
        <v>69</v>
      </c>
      <c r="AC2052" s="8" t="str">
        <f>HYPERLINK("https://drive.google.com/file/d/1ILhVwZotFVe1rGx6E4NiwXD0cPqji56O/view?usp=drivesdk", "Abrir_Factura")</f>
        <v>Abrir_Factura</v>
      </c>
      <c r="AD2052" s="9">
        <v>46063.758298611108</v>
      </c>
    </row>
    <row r="2053" spans="1:30" ht="12.5">
      <c r="A2053" s="4">
        <v>46063.762809849533</v>
      </c>
      <c r="B2053" s="5">
        <v>91791</v>
      </c>
      <c r="C2053" s="5">
        <v>72126222</v>
      </c>
      <c r="D2053" s="5" t="s">
        <v>9264</v>
      </c>
      <c r="F2053" s="5" t="s">
        <v>3810</v>
      </c>
      <c r="H2053" s="5">
        <v>573006882930</v>
      </c>
      <c r="J2053" s="5" t="s">
        <v>3811</v>
      </c>
      <c r="K2053" s="5" t="s">
        <v>33</v>
      </c>
      <c r="L2053" s="5" t="s">
        <v>34</v>
      </c>
      <c r="M2053" s="5">
        <v>3116813546</v>
      </c>
      <c r="N2053" s="6">
        <v>46063</v>
      </c>
      <c r="O2053" s="7">
        <v>0.33333333333333331</v>
      </c>
      <c r="P2053" s="5">
        <v>1</v>
      </c>
      <c r="Q2053" s="5" t="s">
        <v>42</v>
      </c>
      <c r="R2053" s="5">
        <v>370000</v>
      </c>
      <c r="S2053" s="5">
        <v>0</v>
      </c>
      <c r="T2053" s="5">
        <v>0</v>
      </c>
      <c r="U2053" s="5">
        <v>370000</v>
      </c>
      <c r="V2053" s="5" t="s">
        <v>9265</v>
      </c>
      <c r="W2053" s="5" t="s">
        <v>36</v>
      </c>
      <c r="X2053" s="5" t="s">
        <v>180</v>
      </c>
      <c r="AA2053" s="5" t="s">
        <v>69</v>
      </c>
      <c r="AC2053" s="8" t="str">
        <f>HYPERLINK("https://drive.google.com/file/d/1GUEnLoJIVCeqEABqE2zEiYZXKtav-pjM/view?usp=drivesdk", "Abrir_Factura")</f>
        <v>Abrir_Factura</v>
      </c>
      <c r="AD2053" s="9">
        <v>46063.763518518521</v>
      </c>
    </row>
    <row r="2054" spans="1:30" ht="12.5">
      <c r="A2054" s="4">
        <v>46063.771907152783</v>
      </c>
      <c r="B2054" s="5">
        <v>91792</v>
      </c>
      <c r="C2054" s="5">
        <v>1234091991</v>
      </c>
      <c r="D2054" s="5" t="s">
        <v>9266</v>
      </c>
      <c r="F2054" s="5" t="s">
        <v>8314</v>
      </c>
      <c r="H2054" s="5">
        <v>573216228516</v>
      </c>
      <c r="J2054" s="5" t="s">
        <v>9267</v>
      </c>
      <c r="K2054" s="5" t="s">
        <v>351</v>
      </c>
      <c r="L2054" s="5" t="s">
        <v>9268</v>
      </c>
      <c r="M2054" s="5">
        <v>3135980586</v>
      </c>
      <c r="N2054" s="6">
        <v>46065</v>
      </c>
      <c r="O2054" s="7">
        <v>0.41666666666666669</v>
      </c>
      <c r="P2054" s="5">
        <v>1</v>
      </c>
      <c r="Q2054" s="5" t="s">
        <v>42</v>
      </c>
      <c r="R2054" s="5">
        <v>130000</v>
      </c>
      <c r="S2054" s="5">
        <v>0</v>
      </c>
      <c r="T2054" s="5">
        <v>12000</v>
      </c>
      <c r="U2054" s="5">
        <v>142000</v>
      </c>
      <c r="V2054" s="5" t="s">
        <v>9269</v>
      </c>
      <c r="W2054" s="5" t="s">
        <v>36</v>
      </c>
      <c r="X2054" s="5" t="s">
        <v>1481</v>
      </c>
      <c r="Z2054" s="5" t="s">
        <v>9270</v>
      </c>
      <c r="AA2054" s="5" t="s">
        <v>44</v>
      </c>
      <c r="AB2054" s="5" t="s">
        <v>9271</v>
      </c>
      <c r="AC2054" s="8" t="str">
        <f>HYPERLINK("https://drive.google.com/file/d/1cmmBuQkOBDoBGLNMojpMs01v__x-wlc7/view?usp=drivesdk", "Abrir_Factura")</f>
        <v>Abrir_Factura</v>
      </c>
      <c r="AD2054" s="9">
        <v>46065.55332175926</v>
      </c>
    </row>
    <row r="2055" spans="1:30" ht="12.5">
      <c r="A2055" s="4">
        <v>46063.567903194446</v>
      </c>
      <c r="B2055" s="5">
        <v>91793</v>
      </c>
      <c r="C2055" s="5">
        <v>1143130940</v>
      </c>
      <c r="D2055" s="5" t="s">
        <v>76</v>
      </c>
      <c r="F2055" s="5" t="s">
        <v>2837</v>
      </c>
      <c r="H2055" s="5">
        <v>573162410271</v>
      </c>
      <c r="J2055" s="5" t="s">
        <v>9272</v>
      </c>
      <c r="K2055" s="5" t="s">
        <v>154</v>
      </c>
      <c r="L2055" s="5" t="s">
        <v>9273</v>
      </c>
      <c r="M2055" s="5">
        <v>3162410272</v>
      </c>
      <c r="N2055" s="6">
        <v>46063</v>
      </c>
      <c r="O2055" s="7">
        <v>0</v>
      </c>
      <c r="P2055" s="5">
        <v>1</v>
      </c>
      <c r="Q2055" s="5" t="s">
        <v>35</v>
      </c>
      <c r="R2055" s="5">
        <v>130000</v>
      </c>
      <c r="S2055" s="5">
        <v>0</v>
      </c>
      <c r="T2055" s="5">
        <v>8000</v>
      </c>
      <c r="U2055" s="5">
        <v>138000</v>
      </c>
      <c r="V2055" s="5"/>
      <c r="W2055" s="5" t="s">
        <v>36</v>
      </c>
      <c r="X2055" s="5" t="s">
        <v>7644</v>
      </c>
      <c r="AA2055" s="5" t="s">
        <v>44</v>
      </c>
      <c r="AC2055" s="8" t="str">
        <f>HYPERLINK("https://drive.google.com/file/d/1df7-pL_l7bpqfoJSr-6BfuJO8ymgUqTh/view?usp=drivesdk", "Abrir_Factura")</f>
        <v>Abrir_Factura</v>
      </c>
      <c r="AD2055" s="9">
        <v>46064.288310185184</v>
      </c>
    </row>
    <row r="2056" spans="1:30" ht="12.5">
      <c r="A2056" s="4">
        <v>46064.304310243053</v>
      </c>
      <c r="B2056" s="5">
        <v>91794</v>
      </c>
      <c r="C2056" s="5">
        <v>0</v>
      </c>
      <c r="D2056" s="5" t="s">
        <v>7872</v>
      </c>
      <c r="F2056" s="5" t="s">
        <v>591</v>
      </c>
      <c r="H2056" s="5">
        <v>13154015161</v>
      </c>
      <c r="J2056" s="5" t="s">
        <v>9274</v>
      </c>
      <c r="K2056" s="5" t="s">
        <v>154</v>
      </c>
      <c r="L2056" s="5" t="s">
        <v>9275</v>
      </c>
      <c r="M2056" s="5">
        <v>3043940194</v>
      </c>
      <c r="N2056" s="6">
        <v>46064</v>
      </c>
      <c r="O2056" s="7">
        <v>0.375</v>
      </c>
      <c r="P2056" s="5">
        <v>1</v>
      </c>
      <c r="Q2056" s="5" t="s">
        <v>309</v>
      </c>
      <c r="R2056" s="5">
        <v>88000</v>
      </c>
      <c r="S2056" s="5">
        <v>0</v>
      </c>
      <c r="T2056" s="5">
        <v>8000</v>
      </c>
      <c r="U2056" s="5">
        <v>96000</v>
      </c>
      <c r="V2056" s="5" t="s">
        <v>9276</v>
      </c>
      <c r="W2056" s="5" t="s">
        <v>36</v>
      </c>
      <c r="X2056" s="5" t="s">
        <v>3754</v>
      </c>
      <c r="Z2056" s="5" t="s">
        <v>7872</v>
      </c>
      <c r="AA2056" s="5" t="s">
        <v>69</v>
      </c>
      <c r="AC2056" s="8" t="str">
        <f>HYPERLINK("https://drive.google.com/file/d/1Pm85vPUPRQFQvb0mBGHTIFgZB7qo_9y1/view?usp=drivesdk", "Abrir_Factura")</f>
        <v>Abrir_Factura</v>
      </c>
      <c r="AD2056" s="9">
        <v>46064.308368055557</v>
      </c>
    </row>
    <row r="2057" spans="1:30" ht="12.5">
      <c r="A2057" s="4">
        <v>46063.828837210647</v>
      </c>
      <c r="B2057" s="5">
        <v>91795</v>
      </c>
      <c r="C2057" s="5">
        <v>1127574933</v>
      </c>
      <c r="D2057" s="5" t="s">
        <v>1784</v>
      </c>
      <c r="F2057" s="5" t="s">
        <v>9277</v>
      </c>
      <c r="H2057" s="5">
        <v>447424624435</v>
      </c>
      <c r="J2057" s="5" t="s">
        <v>9278</v>
      </c>
      <c r="K2057" s="5" t="s">
        <v>516</v>
      </c>
      <c r="L2057" s="5" t="s">
        <v>9279</v>
      </c>
      <c r="M2057" s="5">
        <v>3166187357</v>
      </c>
      <c r="N2057" s="6">
        <v>46066</v>
      </c>
      <c r="O2057" s="7">
        <v>0.625</v>
      </c>
      <c r="P2057" s="5">
        <v>1</v>
      </c>
      <c r="Q2057" s="5" t="s">
        <v>9280</v>
      </c>
      <c r="R2057" s="5">
        <v>95000</v>
      </c>
      <c r="S2057" s="5">
        <v>0</v>
      </c>
      <c r="T2057" s="5">
        <v>10000</v>
      </c>
      <c r="U2057" s="5">
        <v>105000</v>
      </c>
      <c r="V2057" s="5" t="s">
        <v>9281</v>
      </c>
      <c r="W2057" s="5" t="s">
        <v>36</v>
      </c>
      <c r="X2057" s="5" t="s">
        <v>1937</v>
      </c>
      <c r="Z2057" s="5" t="s">
        <v>9282</v>
      </c>
      <c r="AA2057" s="5" t="s">
        <v>44</v>
      </c>
      <c r="AB2057" s="5" t="s">
        <v>9283</v>
      </c>
      <c r="AC2057" s="8" t="str">
        <f>HYPERLINK("https://drive.google.com/file/d/11EHQhOMj50yeLacYG24suiE0QC8mGFLX/view?usp=drivesdk", "Abrir_Factura")</f>
        <v>Abrir_Factura</v>
      </c>
      <c r="AD2057" s="9">
        <v>46064.349317129629</v>
      </c>
    </row>
    <row r="2058" spans="1:30" ht="12.5">
      <c r="A2058" s="4">
        <v>46064.384070347223</v>
      </c>
      <c r="B2058" s="5">
        <v>91796</v>
      </c>
      <c r="C2058" s="5">
        <v>0</v>
      </c>
      <c r="D2058" s="5" t="s">
        <v>3466</v>
      </c>
      <c r="F2058" s="5" t="s">
        <v>9284</v>
      </c>
      <c r="H2058" s="5">
        <v>34641179836</v>
      </c>
      <c r="J2058" s="5" t="s">
        <v>9285</v>
      </c>
      <c r="K2058" s="5" t="s">
        <v>103</v>
      </c>
      <c r="L2058" s="5" t="s">
        <v>9286</v>
      </c>
      <c r="M2058" s="5"/>
      <c r="N2058" s="6">
        <v>46064</v>
      </c>
      <c r="O2058" s="7">
        <v>0</v>
      </c>
      <c r="P2058" s="5">
        <v>1</v>
      </c>
      <c r="Q2058" s="5" t="s">
        <v>422</v>
      </c>
      <c r="R2058" s="5">
        <v>150000</v>
      </c>
      <c r="S2058" s="5">
        <v>0</v>
      </c>
      <c r="T2058" s="5">
        <v>10000</v>
      </c>
      <c r="U2058" s="5">
        <v>160000</v>
      </c>
      <c r="V2058" s="5"/>
      <c r="W2058" s="5" t="s">
        <v>36</v>
      </c>
      <c r="X2058" s="5" t="s">
        <v>1909</v>
      </c>
      <c r="AA2058" s="5" t="s">
        <v>1911</v>
      </c>
      <c r="AB2058" s="5" t="s">
        <v>9287</v>
      </c>
      <c r="AC2058" s="8" t="str">
        <f>HYPERLINK("https://drive.google.com/file/d/1MYIqNxXOlAc8W45k5dBnX-VXhg3V_hxd/view?usp=drivesdk", "Abrir_Factura")</f>
        <v>Abrir_Factura</v>
      </c>
      <c r="AD2058" s="9">
        <v>46064.392789351848</v>
      </c>
    </row>
    <row r="2059" spans="1:30" ht="12.5">
      <c r="A2059" s="4">
        <v>46064.387224027778</v>
      </c>
      <c r="B2059" s="5">
        <v>91797</v>
      </c>
      <c r="C2059" s="5">
        <v>1044434835</v>
      </c>
      <c r="D2059" s="5" t="s">
        <v>638</v>
      </c>
      <c r="F2059" s="5" t="s">
        <v>9288</v>
      </c>
      <c r="H2059" s="5">
        <v>573013395439</v>
      </c>
      <c r="J2059" s="5" t="s">
        <v>9289</v>
      </c>
      <c r="K2059" s="5" t="s">
        <v>63</v>
      </c>
      <c r="L2059" s="5" t="s">
        <v>9290</v>
      </c>
      <c r="M2059" s="5">
        <v>3013395439</v>
      </c>
      <c r="N2059" s="6">
        <v>46064</v>
      </c>
      <c r="O2059" s="7">
        <v>0</v>
      </c>
      <c r="P2059" s="5">
        <v>1</v>
      </c>
      <c r="Q2059" s="5" t="s">
        <v>156</v>
      </c>
      <c r="R2059" s="5">
        <v>80000</v>
      </c>
      <c r="S2059" s="5">
        <v>0</v>
      </c>
      <c r="T2059" s="5">
        <v>17000</v>
      </c>
      <c r="U2059" s="5">
        <v>97000</v>
      </c>
      <c r="V2059" s="5" t="s">
        <v>9291</v>
      </c>
      <c r="W2059" s="5" t="s">
        <v>36</v>
      </c>
      <c r="X2059" s="5" t="s">
        <v>83</v>
      </c>
      <c r="Z2059" s="5" t="s">
        <v>9289</v>
      </c>
      <c r="AA2059" s="5" t="s">
        <v>44</v>
      </c>
      <c r="AC2059" s="8" t="str">
        <f>HYPERLINK("https://drive.google.com/file/d/1vmv_kw1sQHBSIXVAJ5qKmdYIhfEt7ISI/view?usp=drivesdk", "Abrir_Factura")</f>
        <v>Abrir_Factura</v>
      </c>
      <c r="AD2059" s="9">
        <v>46064.397361111114</v>
      </c>
    </row>
    <row r="2060" spans="1:30" ht="12.5">
      <c r="A2060" s="4">
        <v>46064.386188414355</v>
      </c>
      <c r="B2060" s="5">
        <v>91798</v>
      </c>
      <c r="C2060" s="5">
        <v>1006680970</v>
      </c>
      <c r="D2060" s="5" t="s">
        <v>4956</v>
      </c>
      <c r="F2060" s="5" t="s">
        <v>591</v>
      </c>
      <c r="H2060" s="5">
        <v>5.7300899999999999E+21</v>
      </c>
      <c r="J2060" s="5" t="s">
        <v>9292</v>
      </c>
      <c r="K2060" s="5" t="s">
        <v>208</v>
      </c>
      <c r="L2060" s="5" t="s">
        <v>9293</v>
      </c>
      <c r="M2060" s="5">
        <v>3008921450</v>
      </c>
      <c r="N2060" s="6">
        <v>46064</v>
      </c>
      <c r="O2060" s="7">
        <v>0</v>
      </c>
      <c r="P2060" s="5">
        <v>1</v>
      </c>
      <c r="Q2060" s="5" t="s">
        <v>187</v>
      </c>
      <c r="R2060" s="5">
        <v>220000</v>
      </c>
      <c r="S2060" s="5">
        <v>0</v>
      </c>
      <c r="T2060" s="5">
        <v>10000</v>
      </c>
      <c r="U2060" s="5">
        <v>230000</v>
      </c>
      <c r="V2060" s="5" t="s">
        <v>9294</v>
      </c>
      <c r="W2060" s="5" t="s">
        <v>36</v>
      </c>
      <c r="X2060" s="5" t="s">
        <v>83</v>
      </c>
      <c r="Z2060" s="5" t="s">
        <v>9295</v>
      </c>
      <c r="AA2060" s="5" t="s">
        <v>44</v>
      </c>
      <c r="AB2060" s="5" t="s">
        <v>9296</v>
      </c>
      <c r="AC2060" s="8" t="str">
        <f>HYPERLINK("https://drive.google.com/file/d/1FfbQB39qYOTdxo_ZDwTLhXue5_wBMGW4/view?usp=drivesdk", "Abrir_Factura")</f>
        <v>Abrir_Factura</v>
      </c>
      <c r="AD2060" s="9">
        <v>46064.400706018518</v>
      </c>
    </row>
    <row r="2061" spans="1:30" ht="12.5">
      <c r="A2061" s="4">
        <v>46064.390436851856</v>
      </c>
      <c r="B2061" s="5">
        <v>91799</v>
      </c>
      <c r="C2061" s="5">
        <v>72345743</v>
      </c>
      <c r="D2061" s="5" t="s">
        <v>2095</v>
      </c>
      <c r="F2061" s="5" t="s">
        <v>9297</v>
      </c>
      <c r="H2061" s="5">
        <v>573016670511</v>
      </c>
      <c r="J2061" s="5">
        <v>3166161599</v>
      </c>
      <c r="K2061" s="5" t="s">
        <v>328</v>
      </c>
      <c r="L2061" s="5" t="s">
        <v>9298</v>
      </c>
      <c r="M2061" s="5" t="s">
        <v>9299</v>
      </c>
      <c r="N2061" s="6">
        <v>46066</v>
      </c>
      <c r="O2061" s="7">
        <v>0</v>
      </c>
      <c r="P2061" s="5">
        <v>1</v>
      </c>
      <c r="Q2061" s="5" t="s">
        <v>9300</v>
      </c>
      <c r="R2061" s="5">
        <v>270000</v>
      </c>
      <c r="S2061" s="5">
        <v>0</v>
      </c>
      <c r="T2061" s="5">
        <v>12000</v>
      </c>
      <c r="U2061" s="5">
        <v>282000</v>
      </c>
      <c r="V2061" s="5" t="s">
        <v>9301</v>
      </c>
      <c r="W2061" s="5" t="s">
        <v>36</v>
      </c>
      <c r="X2061" s="5" t="s">
        <v>7644</v>
      </c>
      <c r="Z2061" s="5" t="s">
        <v>9302</v>
      </c>
      <c r="AA2061" s="5" t="s">
        <v>44</v>
      </c>
      <c r="AB2061" s="5" t="s">
        <v>9303</v>
      </c>
      <c r="AC2061" s="8" t="str">
        <f>HYPERLINK("https://drive.google.com/file/d/1fcmOPenkd47Po6wrXNDzV5od3SF3hHSo/view?usp=drivesdk", "Abrir_Factura")</f>
        <v>Abrir_Factura</v>
      </c>
      <c r="AD2061" s="9">
        <v>46064.403124999997</v>
      </c>
    </row>
    <row r="2062" spans="1:30" ht="12.5">
      <c r="A2062" s="4">
        <v>46064.411598749997</v>
      </c>
      <c r="B2062" s="5">
        <v>91800</v>
      </c>
      <c r="C2062" s="5">
        <v>72275863</v>
      </c>
      <c r="D2062" s="5" t="s">
        <v>703</v>
      </c>
      <c r="F2062" s="5" t="s">
        <v>4298</v>
      </c>
      <c r="H2062" s="5">
        <v>573205667451</v>
      </c>
      <c r="J2062" s="5" t="s">
        <v>9304</v>
      </c>
      <c r="K2062" s="5" t="s">
        <v>2090</v>
      </c>
      <c r="L2062" s="5" t="s">
        <v>9305</v>
      </c>
      <c r="M2062" s="5">
        <v>3015951267</v>
      </c>
      <c r="N2062" s="6">
        <v>46066</v>
      </c>
      <c r="O2062" s="7">
        <v>0</v>
      </c>
      <c r="P2062" s="5">
        <v>1</v>
      </c>
      <c r="Q2062" s="5" t="s">
        <v>9280</v>
      </c>
      <c r="R2062" s="5">
        <v>95000</v>
      </c>
      <c r="S2062" s="5">
        <v>0</v>
      </c>
      <c r="T2062" s="5">
        <v>10000</v>
      </c>
      <c r="U2062" s="5">
        <v>105000</v>
      </c>
      <c r="V2062" s="5" t="s">
        <v>9306</v>
      </c>
      <c r="W2062" s="5" t="s">
        <v>36</v>
      </c>
      <c r="X2062" s="5" t="s">
        <v>1937</v>
      </c>
      <c r="Z2062" s="5" t="s">
        <v>9307</v>
      </c>
      <c r="AA2062" s="5" t="s">
        <v>69</v>
      </c>
      <c r="AC2062" s="8" t="str">
        <f>HYPERLINK("https://drive.google.com/file/d/1-m79ZvZutpe2KIZHAjPnc43vXjPm_d_Q/view?usp=drivesdk", "Abrir_Factura")</f>
        <v>Abrir_Factura</v>
      </c>
      <c r="AD2062" s="9">
        <v>46064.428611111114</v>
      </c>
    </row>
    <row r="2063" spans="1:30" ht="12.5">
      <c r="A2063" s="4">
        <v>46064.430789548613</v>
      </c>
      <c r="B2063" s="5">
        <v>91801</v>
      </c>
      <c r="C2063" s="5">
        <v>22478611</v>
      </c>
      <c r="D2063" s="5" t="s">
        <v>3426</v>
      </c>
      <c r="F2063" s="5" t="s">
        <v>319</v>
      </c>
      <c r="H2063" s="5">
        <v>573007335753</v>
      </c>
      <c r="J2063" s="5" t="s">
        <v>3427</v>
      </c>
      <c r="K2063" s="5" t="s">
        <v>33</v>
      </c>
      <c r="L2063" s="5" t="s">
        <v>34</v>
      </c>
      <c r="M2063" s="5">
        <v>3007335753</v>
      </c>
      <c r="N2063" s="6">
        <v>46064</v>
      </c>
      <c r="O2063" s="7">
        <v>0</v>
      </c>
      <c r="P2063" s="5">
        <v>1</v>
      </c>
      <c r="Q2063" s="5" t="s">
        <v>309</v>
      </c>
      <c r="R2063" s="5">
        <v>88000</v>
      </c>
      <c r="S2063" s="5">
        <v>0</v>
      </c>
      <c r="T2063" s="5">
        <v>0</v>
      </c>
      <c r="U2063" s="5">
        <v>88000</v>
      </c>
      <c r="V2063" s="5"/>
      <c r="W2063" s="5" t="s">
        <v>36</v>
      </c>
      <c r="X2063" s="5" t="s">
        <v>67</v>
      </c>
      <c r="AA2063" s="5" t="s">
        <v>1717</v>
      </c>
      <c r="AC2063" s="8" t="str">
        <f>HYPERLINK("https://drive.google.com/file/d/1xPHSKasJRJXBh80s-UDfk_tYvdOHCHiS/view?usp=drivesdk", "Abrir_Factura")</f>
        <v>Abrir_Factura</v>
      </c>
      <c r="AD2063" s="9">
        <v>46064.431354166663</v>
      </c>
    </row>
    <row r="2064" spans="1:30" ht="12.5">
      <c r="A2064" s="4">
        <v>46064.433138715278</v>
      </c>
      <c r="B2064" s="5">
        <v>91802</v>
      </c>
      <c r="C2064" s="5">
        <v>72262815</v>
      </c>
      <c r="D2064" s="5" t="s">
        <v>9308</v>
      </c>
      <c r="F2064" s="5" t="s">
        <v>8319</v>
      </c>
      <c r="H2064" s="5">
        <v>573207674880</v>
      </c>
      <c r="J2064" s="5" t="s">
        <v>9309</v>
      </c>
      <c r="K2064" s="5" t="s">
        <v>103</v>
      </c>
      <c r="L2064" s="5" t="s">
        <v>9310</v>
      </c>
      <c r="M2064" s="5">
        <v>3147792765</v>
      </c>
      <c r="N2064" s="6">
        <v>46064</v>
      </c>
      <c r="O2064" s="7">
        <v>0.47916666666666669</v>
      </c>
      <c r="P2064" s="5">
        <v>1</v>
      </c>
      <c r="Q2064" s="5" t="s">
        <v>50</v>
      </c>
      <c r="R2064" s="5">
        <v>220000</v>
      </c>
      <c r="S2064" s="5">
        <v>0</v>
      </c>
      <c r="T2064" s="5">
        <v>10000</v>
      </c>
      <c r="U2064" s="5">
        <v>230000</v>
      </c>
      <c r="V2064" s="5" t="s">
        <v>9311</v>
      </c>
      <c r="W2064" s="5" t="s">
        <v>36</v>
      </c>
      <c r="X2064" s="5" t="s">
        <v>83</v>
      </c>
      <c r="Z2064" s="5" t="s">
        <v>9312</v>
      </c>
      <c r="AA2064" s="5" t="s">
        <v>44</v>
      </c>
      <c r="AB2064" s="5" t="s">
        <v>9313</v>
      </c>
      <c r="AC2064" s="8" t="str">
        <f>HYPERLINK("https://drive.google.com/file/d/18l8kSxBCSiHSgmAwkhscI_5U18yxTudo/view?usp=drivesdk", "Abrir_Factura")</f>
        <v>Abrir_Factura</v>
      </c>
      <c r="AD2064" s="9">
        <v>46064.437743055554</v>
      </c>
    </row>
    <row r="2065" spans="1:30" ht="12.5">
      <c r="A2065" s="4">
        <v>46064.442083182876</v>
      </c>
      <c r="B2065" s="5">
        <v>91803</v>
      </c>
      <c r="C2065" s="5">
        <v>0</v>
      </c>
      <c r="D2065" s="5" t="s">
        <v>9314</v>
      </c>
      <c r="F2065" s="5" t="s">
        <v>9315</v>
      </c>
      <c r="H2065" s="5">
        <v>570000</v>
      </c>
      <c r="J2065" s="5" t="s">
        <v>9316</v>
      </c>
      <c r="K2065" s="5" t="s">
        <v>892</v>
      </c>
      <c r="L2065" s="5" t="s">
        <v>9317</v>
      </c>
      <c r="M2065" s="5"/>
      <c r="N2065" s="6">
        <v>46064</v>
      </c>
      <c r="O2065" s="7">
        <v>0</v>
      </c>
      <c r="P2065" s="5">
        <v>1</v>
      </c>
      <c r="Q2065" s="5" t="s">
        <v>210</v>
      </c>
      <c r="R2065" s="5">
        <v>154700</v>
      </c>
      <c r="S2065" s="5">
        <v>0</v>
      </c>
      <c r="T2065" s="5">
        <v>10000</v>
      </c>
      <c r="U2065" s="5">
        <v>164700</v>
      </c>
      <c r="V2065" s="5"/>
      <c r="W2065" s="5" t="s">
        <v>36</v>
      </c>
      <c r="X2065" s="5" t="s">
        <v>1909</v>
      </c>
      <c r="AA2065" s="5" t="s">
        <v>1911</v>
      </c>
      <c r="AC2065" s="8" t="str">
        <f>HYPERLINK("https://drive.google.com/file/d/1Qaiwo0gFozENagKk9Ew3WnwPP5K333wK/view?usp=drivesdk", "Abrir_Factura")</f>
        <v>Abrir_Factura</v>
      </c>
      <c r="AD2065" s="9">
        <v>46064.684328703705</v>
      </c>
    </row>
    <row r="2066" spans="1:30" ht="12.5">
      <c r="A2066" s="4">
        <v>46064.43023849537</v>
      </c>
      <c r="B2066" s="5">
        <v>91804</v>
      </c>
      <c r="C2066" s="5">
        <v>1140902891</v>
      </c>
      <c r="D2066" s="5" t="s">
        <v>2533</v>
      </c>
      <c r="F2066" s="5" t="s">
        <v>5263</v>
      </c>
      <c r="H2066" s="5">
        <v>573016425442</v>
      </c>
      <c r="J2066" s="5" t="s">
        <v>84</v>
      </c>
      <c r="K2066" s="5" t="s">
        <v>33</v>
      </c>
      <c r="L2066" s="5" t="s">
        <v>34</v>
      </c>
      <c r="M2066" s="5">
        <v>3016425442</v>
      </c>
      <c r="N2066" s="6">
        <v>46070</v>
      </c>
      <c r="O2066" s="7">
        <v>0</v>
      </c>
      <c r="P2066" s="5">
        <v>1</v>
      </c>
      <c r="Q2066" s="5" t="s">
        <v>133</v>
      </c>
      <c r="R2066" s="5">
        <v>150000</v>
      </c>
      <c r="S2066" s="5">
        <v>0</v>
      </c>
      <c r="T2066" s="5">
        <v>0</v>
      </c>
      <c r="U2066" s="5">
        <v>150000</v>
      </c>
      <c r="V2066" s="5" t="s">
        <v>9318</v>
      </c>
      <c r="W2066" s="5" t="s">
        <v>36</v>
      </c>
      <c r="X2066" s="5" t="s">
        <v>7644</v>
      </c>
      <c r="Z2066" s="5" t="s">
        <v>84</v>
      </c>
      <c r="AA2066" s="5" t="s">
        <v>44</v>
      </c>
      <c r="AC2066" s="8" t="str">
        <f>HYPERLINK("https://drive.google.com/file/d/1zKaNLc1d86SItcBBj-oe9Xhze-aVEa3H/view?usp=drivesdk", "Abrir_Factura")</f>
        <v>Abrir_Factura</v>
      </c>
      <c r="AD2066" s="9">
        <v>46064.44494212963</v>
      </c>
    </row>
    <row r="2067" spans="1:30" ht="12.5">
      <c r="A2067" s="4">
        <v>46064.436233298606</v>
      </c>
      <c r="B2067" s="5">
        <v>91805</v>
      </c>
      <c r="C2067" s="5">
        <v>1140878419</v>
      </c>
      <c r="D2067" s="5" t="s">
        <v>9319</v>
      </c>
      <c r="F2067" s="5" t="s">
        <v>9320</v>
      </c>
      <c r="H2067" s="5">
        <v>573013442705</v>
      </c>
      <c r="J2067" s="5" t="s">
        <v>9321</v>
      </c>
      <c r="K2067" s="5" t="s">
        <v>351</v>
      </c>
      <c r="L2067" s="5" t="s">
        <v>9322</v>
      </c>
      <c r="M2067" s="5">
        <v>3172608532</v>
      </c>
      <c r="N2067" s="6">
        <v>46066</v>
      </c>
      <c r="O2067" s="7">
        <v>0</v>
      </c>
      <c r="P2067" s="5">
        <v>1</v>
      </c>
      <c r="Q2067" s="5" t="s">
        <v>6874</v>
      </c>
      <c r="R2067" s="5">
        <v>120000</v>
      </c>
      <c r="S2067" s="5">
        <v>0</v>
      </c>
      <c r="T2067" s="5">
        <v>12000</v>
      </c>
      <c r="U2067" s="5">
        <v>132000</v>
      </c>
      <c r="V2067" s="5" t="s">
        <v>9323</v>
      </c>
      <c r="W2067" s="5" t="s">
        <v>36</v>
      </c>
      <c r="X2067" s="5" t="s">
        <v>7644</v>
      </c>
      <c r="Z2067" s="5" t="s">
        <v>9324</v>
      </c>
      <c r="AA2067" s="5" t="s">
        <v>44</v>
      </c>
      <c r="AC2067" s="8" t="str">
        <f>HYPERLINK("https://drive.google.com/file/d/1lAOkEYgz3bx3-CYOzuYwf7D13DGE8Znb/view?usp=drivesdk", "Abrir_Factura")</f>
        <v>Abrir_Factura</v>
      </c>
      <c r="AD2067" s="9">
        <v>46064.45584490741</v>
      </c>
    </row>
    <row r="2068" spans="1:30" ht="12.5">
      <c r="A2068" s="4">
        <v>46064.457433298609</v>
      </c>
      <c r="B2068" s="5">
        <v>91806</v>
      </c>
      <c r="C2068" s="5">
        <v>1140856497</v>
      </c>
      <c r="D2068" s="5" t="s">
        <v>9325</v>
      </c>
      <c r="F2068" s="5" t="s">
        <v>236</v>
      </c>
      <c r="H2068" s="5">
        <v>573013579331</v>
      </c>
      <c r="J2068" s="5" t="s">
        <v>9326</v>
      </c>
      <c r="K2068" s="5" t="s">
        <v>33</v>
      </c>
      <c r="L2068" s="5" t="s">
        <v>34</v>
      </c>
      <c r="M2068" s="5">
        <v>3013579331</v>
      </c>
      <c r="N2068" s="6">
        <v>46064</v>
      </c>
      <c r="O2068" s="7">
        <v>0</v>
      </c>
      <c r="P2068" s="5">
        <v>1</v>
      </c>
      <c r="Q2068" s="5" t="s">
        <v>178</v>
      </c>
      <c r="R2068" s="5">
        <v>110000</v>
      </c>
      <c r="S2068" s="5">
        <v>0</v>
      </c>
      <c r="T2068" s="5">
        <v>0</v>
      </c>
      <c r="U2068" s="5">
        <v>110000</v>
      </c>
      <c r="V2068" s="5"/>
      <c r="W2068" s="5" t="s">
        <v>36</v>
      </c>
      <c r="X2068" s="5" t="s">
        <v>1705</v>
      </c>
      <c r="AA2068" s="5" t="s">
        <v>1717</v>
      </c>
      <c r="AC2068" s="8" t="str">
        <f>HYPERLINK("https://drive.google.com/file/d/1_gt7860T18QqRsHXxnOJNXziiMAxxh3N/view?usp=drivesdk", "Abrir_Factura")</f>
        <v>Abrir_Factura</v>
      </c>
      <c r="AD2068" s="9">
        <v>46064.458101851851</v>
      </c>
    </row>
    <row r="2069" spans="1:30" ht="12.5">
      <c r="A2069" s="4">
        <v>46064.45111613426</v>
      </c>
      <c r="B2069" s="5">
        <v>91807</v>
      </c>
      <c r="C2069" s="5">
        <v>1098685881</v>
      </c>
      <c r="D2069" s="5" t="s">
        <v>2991</v>
      </c>
      <c r="F2069" s="5" t="s">
        <v>9327</v>
      </c>
      <c r="H2069" s="5">
        <v>573015436396</v>
      </c>
      <c r="J2069" s="5" t="s">
        <v>9328</v>
      </c>
      <c r="K2069" s="5" t="s">
        <v>79</v>
      </c>
      <c r="L2069" s="5" t="s">
        <v>9329</v>
      </c>
      <c r="M2069" s="5">
        <v>3112310187</v>
      </c>
      <c r="N2069" s="6">
        <v>46064</v>
      </c>
      <c r="O2069" s="7">
        <v>0</v>
      </c>
      <c r="P2069" s="5">
        <v>1</v>
      </c>
      <c r="Q2069" s="5" t="s">
        <v>375</v>
      </c>
      <c r="R2069" s="5">
        <v>80000</v>
      </c>
      <c r="S2069" s="5">
        <v>0</v>
      </c>
      <c r="T2069" s="5">
        <v>10000</v>
      </c>
      <c r="U2069" s="5">
        <v>90000</v>
      </c>
      <c r="V2069" s="5" t="s">
        <v>9330</v>
      </c>
      <c r="W2069" s="5" t="s">
        <v>36</v>
      </c>
      <c r="X2069" s="5" t="s">
        <v>67</v>
      </c>
      <c r="Z2069" s="5" t="s">
        <v>9331</v>
      </c>
      <c r="AA2069" s="5" t="s">
        <v>44</v>
      </c>
      <c r="AC2069" s="8" t="str">
        <f>HYPERLINK("https://drive.google.com/file/d/15kRe44vPctnaM8n_BI2iizyCRnZe5ZG6/view?usp=drivesdk", "Abrir_Factura")</f>
        <v>Abrir_Factura</v>
      </c>
      <c r="AD2069" s="9">
        <v>46064.464178240742</v>
      </c>
    </row>
    <row r="2070" spans="1:30" ht="12.5">
      <c r="A2070" s="4">
        <v>46064.46438878472</v>
      </c>
      <c r="B2070" s="5">
        <v>91808</v>
      </c>
      <c r="C2070" s="5">
        <v>1129583764</v>
      </c>
      <c r="D2070" s="5" t="s">
        <v>9332</v>
      </c>
      <c r="F2070" s="5" t="s">
        <v>9333</v>
      </c>
      <c r="H2070" s="5">
        <v>573103621304</v>
      </c>
      <c r="J2070" s="5" t="s">
        <v>9334</v>
      </c>
      <c r="K2070" s="5" t="s">
        <v>79</v>
      </c>
      <c r="L2070" s="5" t="s">
        <v>9335</v>
      </c>
      <c r="M2070" s="5">
        <v>3103621304</v>
      </c>
      <c r="N2070" s="6">
        <v>46066</v>
      </c>
      <c r="O2070" s="7">
        <v>0</v>
      </c>
      <c r="P2070" s="5">
        <v>1</v>
      </c>
      <c r="Q2070" s="5" t="s">
        <v>9336</v>
      </c>
      <c r="R2070" s="5">
        <v>750000</v>
      </c>
      <c r="S2070" s="5">
        <v>0</v>
      </c>
      <c r="T2070" s="5">
        <v>10000</v>
      </c>
      <c r="U2070" s="5">
        <v>760000</v>
      </c>
      <c r="V2070" s="5" t="s">
        <v>9337</v>
      </c>
      <c r="W2070" s="5" t="s">
        <v>36</v>
      </c>
      <c r="X2070" s="5" t="s">
        <v>7644</v>
      </c>
      <c r="Z2070" s="5" t="s">
        <v>9338</v>
      </c>
      <c r="AA2070" s="5" t="s">
        <v>44</v>
      </c>
      <c r="AC2070" s="8" t="str">
        <f>HYPERLINK("https://drive.google.com/file/d/1T_somIA8pSOarHPtqj9Vw7gBcfrbY8hd/view?usp=drivesdk", "Abrir_Factura")</f>
        <v>Abrir_Factura</v>
      </c>
      <c r="AD2070" s="9">
        <v>46064.488333333335</v>
      </c>
    </row>
    <row r="2071" spans="1:30" ht="12.5">
      <c r="A2071" s="4">
        <v>46064.448608599538</v>
      </c>
      <c r="B2071" s="5">
        <v>91809</v>
      </c>
      <c r="C2071" s="5">
        <v>1102878433</v>
      </c>
      <c r="D2071" s="5" t="s">
        <v>9339</v>
      </c>
      <c r="F2071" s="5" t="s">
        <v>1628</v>
      </c>
      <c r="H2071" s="5">
        <v>4917684306945</v>
      </c>
      <c r="J2071" s="5" t="s">
        <v>9340</v>
      </c>
      <c r="K2071" s="5" t="s">
        <v>249</v>
      </c>
      <c r="L2071" s="5" t="s">
        <v>9341</v>
      </c>
      <c r="M2071" s="5" t="s">
        <v>25421</v>
      </c>
      <c r="N2071" s="6">
        <v>46064</v>
      </c>
      <c r="O2071" s="7">
        <v>0</v>
      </c>
      <c r="P2071" s="5">
        <v>1</v>
      </c>
      <c r="Q2071" s="5" t="s">
        <v>1792</v>
      </c>
      <c r="R2071" s="5">
        <v>160000</v>
      </c>
      <c r="S2071" s="5">
        <v>0</v>
      </c>
      <c r="T2071" s="5">
        <v>10000</v>
      </c>
      <c r="U2071" s="5">
        <v>170000</v>
      </c>
      <c r="V2071" s="5" t="s">
        <v>9342</v>
      </c>
      <c r="W2071" s="5" t="s">
        <v>36</v>
      </c>
      <c r="X2071" s="5" t="s">
        <v>83</v>
      </c>
      <c r="Z2071" s="5" t="s">
        <v>9343</v>
      </c>
      <c r="AA2071" s="5" t="s">
        <v>44</v>
      </c>
      <c r="AC2071" s="8" t="str">
        <f>HYPERLINK("https://drive.google.com/file/d/1UJENcBMaXVULYh7Mxszl2Fzd2StZwRLM/view?usp=drivesdk", "Abrir_Factura")</f>
        <v>Abrir_Factura</v>
      </c>
      <c r="AD2071" s="9">
        <v>46064.497662037036</v>
      </c>
    </row>
    <row r="2072" spans="1:30" ht="12.5">
      <c r="A2072" s="4">
        <v>46064.489199895834</v>
      </c>
      <c r="B2072" s="5">
        <v>91810</v>
      </c>
      <c r="C2072" s="5">
        <v>1048065384</v>
      </c>
      <c r="D2072" s="5" t="s">
        <v>226</v>
      </c>
      <c r="F2072" s="5" t="s">
        <v>1808</v>
      </c>
      <c r="H2072" s="5">
        <v>573113715714</v>
      </c>
      <c r="J2072" s="5" t="s">
        <v>9344</v>
      </c>
      <c r="K2072" s="5" t="s">
        <v>307</v>
      </c>
      <c r="L2072" s="5" t="s">
        <v>9345</v>
      </c>
      <c r="M2072" s="5">
        <v>3009582246</v>
      </c>
      <c r="N2072" s="6">
        <v>46066</v>
      </c>
      <c r="O2072" s="7">
        <v>0</v>
      </c>
      <c r="P2072" s="5">
        <v>1</v>
      </c>
      <c r="Q2072" s="5" t="s">
        <v>9280</v>
      </c>
      <c r="R2072" s="5">
        <v>95000</v>
      </c>
      <c r="S2072" s="5">
        <v>0</v>
      </c>
      <c r="T2072" s="5">
        <v>10000</v>
      </c>
      <c r="U2072" s="5">
        <v>105000</v>
      </c>
      <c r="V2072" s="5" t="s">
        <v>9346</v>
      </c>
      <c r="W2072" s="5" t="s">
        <v>36</v>
      </c>
      <c r="X2072" s="5" t="s">
        <v>7644</v>
      </c>
      <c r="Z2072" s="5" t="s">
        <v>8502</v>
      </c>
      <c r="AA2072" s="5" t="s">
        <v>44</v>
      </c>
      <c r="AC2072" s="8" t="str">
        <f>HYPERLINK("https://drive.google.com/file/d/1WLUtcKd_m8bviaMpMKBLgemPCSYhBiWD/view?usp=drivesdk", "Abrir_Factura")</f>
        <v>Abrir_Factura</v>
      </c>
      <c r="AD2072" s="9">
        <v>46064.502013888887</v>
      </c>
    </row>
    <row r="2073" spans="1:30" ht="12.5">
      <c r="A2073" s="4">
        <v>46064.462399039352</v>
      </c>
      <c r="B2073" s="5">
        <v>91811</v>
      </c>
      <c r="C2073" s="5">
        <v>1010101974</v>
      </c>
      <c r="D2073" s="5" t="s">
        <v>2293</v>
      </c>
      <c r="F2073" s="5" t="s">
        <v>9347</v>
      </c>
      <c r="H2073" s="5">
        <v>573175122672</v>
      </c>
      <c r="J2073" s="5" t="s">
        <v>9348</v>
      </c>
      <c r="K2073" s="5" t="s">
        <v>5574</v>
      </c>
      <c r="L2073" s="5" t="s">
        <v>9349</v>
      </c>
      <c r="M2073" s="5">
        <v>3175122672</v>
      </c>
      <c r="N2073" s="6">
        <v>46066</v>
      </c>
      <c r="O2073" s="7">
        <v>0</v>
      </c>
      <c r="P2073" s="5">
        <v>1</v>
      </c>
      <c r="Q2073" s="5" t="s">
        <v>9350</v>
      </c>
      <c r="R2073" s="5">
        <v>150000</v>
      </c>
      <c r="S2073" s="5">
        <v>0</v>
      </c>
      <c r="T2073" s="5">
        <v>10000</v>
      </c>
      <c r="U2073" s="5">
        <v>160000</v>
      </c>
      <c r="V2073" s="5" t="s">
        <v>9351</v>
      </c>
      <c r="W2073" s="5" t="s">
        <v>36</v>
      </c>
      <c r="X2073" s="5" t="s">
        <v>1937</v>
      </c>
      <c r="Z2073" s="5" t="s">
        <v>2293</v>
      </c>
      <c r="AA2073" s="5" t="s">
        <v>44</v>
      </c>
      <c r="AB2073" s="5" t="s">
        <v>9352</v>
      </c>
      <c r="AC2073" s="8" t="str">
        <f>HYPERLINK("https://drive.google.com/file/d/1HvS2WQ1daGXgKCAhBVRXi2GVFh-bNvK4/view?usp=drivesdk", "Abrir_Factura")</f>
        <v>Abrir_Factura</v>
      </c>
      <c r="AD2073" s="9">
        <v>46064.506932870368</v>
      </c>
    </row>
    <row r="2074" spans="1:30" ht="12.5">
      <c r="A2074" s="4">
        <v>46064.505340347227</v>
      </c>
      <c r="B2074" s="5">
        <v>91812</v>
      </c>
      <c r="C2074" s="5">
        <v>1049924003</v>
      </c>
      <c r="D2074" s="5" t="s">
        <v>9353</v>
      </c>
      <c r="F2074" s="5" t="s">
        <v>9354</v>
      </c>
      <c r="H2074" s="5">
        <v>573234065378</v>
      </c>
      <c r="J2074" s="5" t="s">
        <v>9355</v>
      </c>
      <c r="K2074" s="5" t="s">
        <v>265</v>
      </c>
      <c r="L2074" s="5" t="s">
        <v>9356</v>
      </c>
      <c r="M2074" s="5" t="s">
        <v>9357</v>
      </c>
      <c r="N2074" s="6">
        <v>46066</v>
      </c>
      <c r="O2074" s="7">
        <v>0.45833333333333331</v>
      </c>
      <c r="P2074" s="5">
        <v>1</v>
      </c>
      <c r="Q2074" s="5" t="s">
        <v>187</v>
      </c>
      <c r="R2074" s="5">
        <v>220000</v>
      </c>
      <c r="S2074" s="5">
        <v>0</v>
      </c>
      <c r="T2074" s="5">
        <v>17000</v>
      </c>
      <c r="U2074" s="5">
        <v>237000</v>
      </c>
      <c r="V2074" s="5" t="s">
        <v>9358</v>
      </c>
      <c r="W2074" s="5" t="s">
        <v>36</v>
      </c>
      <c r="X2074" s="5" t="s">
        <v>7644</v>
      </c>
      <c r="AA2074" s="5" t="s">
        <v>44</v>
      </c>
      <c r="AB2074" s="5" t="s">
        <v>9359</v>
      </c>
      <c r="AC2074" s="8" t="str">
        <f>HYPERLINK("https://drive.google.com/file/d/1JfukDkKBXqedt3XFhRHR7GqTGVn53pfV/view?usp=drivesdk", "Abrir_Factura")</f>
        <v>Abrir_Factura</v>
      </c>
      <c r="AD2074" s="9">
        <v>46064.521041666667</v>
      </c>
    </row>
    <row r="2075" spans="1:30" ht="12.5">
      <c r="A2075" s="4">
        <v>46064.524324201389</v>
      </c>
      <c r="B2075" s="5">
        <v>91813</v>
      </c>
      <c r="C2075" s="5">
        <v>1002213165</v>
      </c>
      <c r="D2075" s="5" t="s">
        <v>6639</v>
      </c>
      <c r="F2075" s="5" t="s">
        <v>9360</v>
      </c>
      <c r="H2075" s="5">
        <v>573244055115</v>
      </c>
      <c r="J2075" s="5" t="s">
        <v>9361</v>
      </c>
      <c r="K2075" s="5"/>
      <c r="L2075" s="5" t="s">
        <v>9362</v>
      </c>
      <c r="M2075" s="5"/>
      <c r="N2075" s="6">
        <v>46066</v>
      </c>
      <c r="O2075" s="7">
        <v>0.41666666666666669</v>
      </c>
      <c r="P2075" s="5">
        <v>1</v>
      </c>
      <c r="Q2075" s="5" t="s">
        <v>9280</v>
      </c>
      <c r="R2075" s="5">
        <v>95000</v>
      </c>
      <c r="S2075" s="5">
        <v>0</v>
      </c>
      <c r="T2075" s="5"/>
      <c r="U2075" s="5">
        <v>95000</v>
      </c>
      <c r="V2075" s="5"/>
      <c r="W2075" s="5" t="s">
        <v>36</v>
      </c>
      <c r="X2075" s="5" t="s">
        <v>1705</v>
      </c>
      <c r="AA2075" s="5" t="s">
        <v>1717</v>
      </c>
      <c r="AC2075" s="8" t="str">
        <f>HYPERLINK("https://drive.google.com/file/d/1dbuHgggvzLbf74Ze38j5Lm75tED3PzEE/view?usp=drivesdk", "Abrir_Factura")</f>
        <v>Abrir_Factura</v>
      </c>
      <c r="AD2075" s="9">
        <v>46064.52547453704</v>
      </c>
    </row>
    <row r="2076" spans="1:30" ht="12.5">
      <c r="A2076" s="4">
        <v>46064.504311793979</v>
      </c>
      <c r="B2076" s="5">
        <v>91814</v>
      </c>
      <c r="C2076" s="5">
        <v>1069477311</v>
      </c>
      <c r="D2076" s="5" t="s">
        <v>9363</v>
      </c>
      <c r="F2076" s="5" t="s">
        <v>9364</v>
      </c>
      <c r="H2076" s="5">
        <v>573127204390</v>
      </c>
      <c r="J2076" s="5" t="s">
        <v>9365</v>
      </c>
      <c r="K2076" s="5" t="s">
        <v>328</v>
      </c>
      <c r="L2076" s="5" t="s">
        <v>9366</v>
      </c>
      <c r="M2076" s="5">
        <v>3024218152</v>
      </c>
      <c r="N2076" s="6">
        <v>46064</v>
      </c>
      <c r="O2076" s="7">
        <v>0.625</v>
      </c>
      <c r="P2076" s="5">
        <v>1</v>
      </c>
      <c r="Q2076" s="5" t="s">
        <v>375</v>
      </c>
      <c r="R2076" s="5">
        <v>80000</v>
      </c>
      <c r="S2076" s="5">
        <v>0</v>
      </c>
      <c r="T2076" s="5">
        <v>12000</v>
      </c>
      <c r="U2076" s="5">
        <v>92000</v>
      </c>
      <c r="V2076" s="5" t="s">
        <v>9367</v>
      </c>
      <c r="W2076" s="5" t="s">
        <v>36</v>
      </c>
      <c r="X2076" s="5" t="s">
        <v>67</v>
      </c>
      <c r="Z2076" s="5" t="s">
        <v>9368</v>
      </c>
      <c r="AA2076" s="5" t="s">
        <v>44</v>
      </c>
      <c r="AC2076" s="8" t="str">
        <f>HYPERLINK("https://drive.google.com/file/d/1tpSPqtaGbYDRnpj5Wog-xNzgJD8jbAYC/view?usp=drivesdk", "Abrir_Factura")</f>
        <v>Abrir_Factura</v>
      </c>
      <c r="AD2076" s="9">
        <v>46064.527395833335</v>
      </c>
    </row>
    <row r="2077" spans="1:30" ht="12.5">
      <c r="A2077" s="4">
        <v>46064.529299710644</v>
      </c>
      <c r="B2077" s="5">
        <v>91815</v>
      </c>
      <c r="C2077" s="5">
        <v>1045698901</v>
      </c>
      <c r="D2077" s="5" t="s">
        <v>9369</v>
      </c>
      <c r="F2077" s="5" t="s">
        <v>9370</v>
      </c>
      <c r="H2077" s="5">
        <v>573016012860</v>
      </c>
      <c r="J2077" s="5" t="s">
        <v>9371</v>
      </c>
      <c r="K2077" s="5" t="s">
        <v>33</v>
      </c>
      <c r="L2077" s="5" t="s">
        <v>34</v>
      </c>
      <c r="M2077" s="5">
        <v>3016012860</v>
      </c>
      <c r="N2077" s="6">
        <v>46064</v>
      </c>
      <c r="O2077" s="7">
        <v>0.54166666666666663</v>
      </c>
      <c r="P2077" s="5">
        <v>1</v>
      </c>
      <c r="Q2077" s="5" t="s">
        <v>9372</v>
      </c>
      <c r="R2077" s="5">
        <v>30000</v>
      </c>
      <c r="S2077" s="5">
        <v>0</v>
      </c>
      <c r="T2077" s="5">
        <v>0</v>
      </c>
      <c r="U2077" s="5">
        <v>30000</v>
      </c>
      <c r="V2077" s="5" t="s">
        <v>9373</v>
      </c>
      <c r="W2077" s="5" t="s">
        <v>36</v>
      </c>
      <c r="X2077" s="5" t="s">
        <v>67</v>
      </c>
      <c r="AA2077" s="5" t="s">
        <v>44</v>
      </c>
      <c r="AC2077" s="8" t="str">
        <f>HYPERLINK("https://drive.google.com/file/d/1UXnIAn7MxQgYgyGKTWY9lM5gaapxULGt/view?usp=drivesdk", "Abrir_Factura")</f>
        <v>Abrir_Factura</v>
      </c>
      <c r="AD2077" s="9">
        <v>46064.530590277776</v>
      </c>
    </row>
    <row r="2078" spans="1:30" ht="12.5">
      <c r="A2078" s="4">
        <v>46064.49345548611</v>
      </c>
      <c r="B2078" s="5">
        <v>91816</v>
      </c>
      <c r="C2078" s="5">
        <v>72346633</v>
      </c>
      <c r="D2078" s="5" t="s">
        <v>9374</v>
      </c>
      <c r="F2078" s="5" t="s">
        <v>1324</v>
      </c>
      <c r="H2078" s="5">
        <v>573103787152</v>
      </c>
      <c r="J2078" s="5" t="s">
        <v>9375</v>
      </c>
      <c r="K2078" s="5" t="s">
        <v>726</v>
      </c>
      <c r="L2078" s="5" t="s">
        <v>9376</v>
      </c>
      <c r="M2078" s="5">
        <v>3012069424</v>
      </c>
      <c r="N2078" s="6">
        <v>46064</v>
      </c>
      <c r="O2078" s="7">
        <v>0.625</v>
      </c>
      <c r="P2078" s="5">
        <v>1</v>
      </c>
      <c r="Q2078" s="5" t="s">
        <v>42</v>
      </c>
      <c r="R2078" s="5">
        <v>451000</v>
      </c>
      <c r="S2078" s="5">
        <v>0</v>
      </c>
      <c r="T2078" s="5">
        <v>9000</v>
      </c>
      <c r="U2078" s="5">
        <v>460000</v>
      </c>
      <c r="V2078" s="5" t="s">
        <v>9377</v>
      </c>
      <c r="W2078" s="5" t="s">
        <v>36</v>
      </c>
      <c r="X2078" s="5" t="s">
        <v>83</v>
      </c>
      <c r="Z2078" s="5" t="s">
        <v>9378</v>
      </c>
      <c r="AA2078" s="5" t="s">
        <v>69</v>
      </c>
      <c r="AB2078" s="5" t="s">
        <v>9379</v>
      </c>
      <c r="AC2078" s="8" t="str">
        <f>HYPERLINK("https://drive.google.com/file/d/1z9Fz_O89p0l_s7L7s5W1LskC96Y5um6Q/view?usp=drivesdk", "Abrir_Factura")</f>
        <v>Abrir_Factura</v>
      </c>
      <c r="AD2078" s="9">
        <v>46064.736030092594</v>
      </c>
    </row>
    <row r="2079" spans="1:30" ht="12.5">
      <c r="A2079" s="4">
        <v>46064.479924340281</v>
      </c>
      <c r="B2079" s="5">
        <v>91817</v>
      </c>
      <c r="C2079" s="5">
        <v>1143470259</v>
      </c>
      <c r="D2079" s="5" t="s">
        <v>9380</v>
      </c>
      <c r="F2079" s="5" t="s">
        <v>9381</v>
      </c>
      <c r="H2079" s="5">
        <v>573134760139</v>
      </c>
      <c r="J2079" s="5" t="s">
        <v>9380</v>
      </c>
      <c r="K2079" s="5" t="s">
        <v>79</v>
      </c>
      <c r="L2079" s="5" t="s">
        <v>9382</v>
      </c>
      <c r="M2079" s="5">
        <v>3227974492</v>
      </c>
      <c r="N2079" s="6">
        <v>46064</v>
      </c>
      <c r="O2079" s="7">
        <v>0.58333333333333337</v>
      </c>
      <c r="P2079" s="5">
        <v>1</v>
      </c>
      <c r="Q2079" s="5" t="s">
        <v>9383</v>
      </c>
      <c r="R2079" s="5">
        <v>120000</v>
      </c>
      <c r="S2079" s="5">
        <v>0</v>
      </c>
      <c r="T2079" s="5">
        <v>10000</v>
      </c>
      <c r="U2079" s="5">
        <v>130000</v>
      </c>
      <c r="V2079" s="5" t="s">
        <v>9384</v>
      </c>
      <c r="W2079" s="5" t="s">
        <v>36</v>
      </c>
      <c r="X2079" s="5" t="s">
        <v>180</v>
      </c>
      <c r="Z2079" s="5" t="s">
        <v>9385</v>
      </c>
      <c r="AA2079" s="5" t="s">
        <v>44</v>
      </c>
      <c r="AC2079" s="8" t="str">
        <f>HYPERLINK("https://drive.google.com/file/d/1C3o-mNyuBXtIbSVdmfz2oqZ-Rjz_3xgD/view?usp=drivesdk", "Abrir_Factura")</f>
        <v>Abrir_Factura</v>
      </c>
      <c r="AD2079" s="9">
        <v>46064.532719907409</v>
      </c>
    </row>
    <row r="2080" spans="1:30" ht="12.5">
      <c r="A2080" s="4">
        <v>46064.53866943287</v>
      </c>
      <c r="B2080" s="5">
        <v>91818</v>
      </c>
      <c r="C2080" s="5">
        <v>32677428</v>
      </c>
      <c r="D2080" s="5" t="s">
        <v>9386</v>
      </c>
      <c r="F2080" s="5" t="s">
        <v>9387</v>
      </c>
      <c r="H2080" s="5">
        <v>573157238269</v>
      </c>
      <c r="J2080" s="5" t="s">
        <v>9388</v>
      </c>
      <c r="K2080" s="5" t="s">
        <v>161</v>
      </c>
      <c r="L2080" s="5" t="s">
        <v>9389</v>
      </c>
      <c r="M2080" s="5"/>
      <c r="N2080" s="6">
        <v>46064</v>
      </c>
      <c r="O2080" s="7">
        <v>0.625</v>
      </c>
      <c r="P2080" s="5">
        <v>1</v>
      </c>
      <c r="Q2080" s="5" t="s">
        <v>559</v>
      </c>
      <c r="R2080" s="5">
        <v>130000</v>
      </c>
      <c r="S2080" s="5">
        <v>0</v>
      </c>
      <c r="T2080" s="5">
        <v>8000</v>
      </c>
      <c r="U2080" s="5">
        <v>138000</v>
      </c>
      <c r="V2080" s="5" t="s">
        <v>9390</v>
      </c>
      <c r="W2080" s="5" t="s">
        <v>36</v>
      </c>
      <c r="X2080" s="5" t="s">
        <v>180</v>
      </c>
      <c r="Z2080" s="5" t="s">
        <v>9391</v>
      </c>
      <c r="AA2080" s="5" t="s">
        <v>44</v>
      </c>
      <c r="AC2080" s="8" t="str">
        <f>HYPERLINK("https://drive.google.com/file/d/1cgqXN6LQrKy_AA8GfYX98Jp5gNuH5PKo/view?usp=drivesdk", "Abrir_Factura")</f>
        <v>Abrir_Factura</v>
      </c>
      <c r="AD2080" s="9">
        <v>46064.753938333335</v>
      </c>
    </row>
    <row r="2081" spans="1:30" ht="12.5">
      <c r="A2081" s="4">
        <v>46064.543095370369</v>
      </c>
      <c r="B2081" s="5">
        <v>91819</v>
      </c>
      <c r="C2081" s="5">
        <v>0</v>
      </c>
      <c r="D2081" s="5" t="s">
        <v>9392</v>
      </c>
      <c r="F2081" s="5" t="s">
        <v>9393</v>
      </c>
      <c r="H2081" s="5">
        <v>5756983956241</v>
      </c>
      <c r="J2081" s="5" t="s">
        <v>7457</v>
      </c>
      <c r="K2081" s="5" t="s">
        <v>103</v>
      </c>
      <c r="L2081" s="5" t="s">
        <v>9394</v>
      </c>
      <c r="M2081" s="5" t="s">
        <v>1543</v>
      </c>
      <c r="N2081" s="6">
        <v>46064</v>
      </c>
      <c r="O2081" s="7">
        <v>0.625</v>
      </c>
      <c r="P2081" s="5">
        <v>1</v>
      </c>
      <c r="Q2081" s="5" t="s">
        <v>9395</v>
      </c>
      <c r="R2081" s="5">
        <v>214200</v>
      </c>
      <c r="S2081" s="5">
        <v>0</v>
      </c>
      <c r="T2081" s="5">
        <v>10000</v>
      </c>
      <c r="U2081" s="5">
        <v>224200</v>
      </c>
      <c r="V2081" s="5" t="s">
        <v>9396</v>
      </c>
      <c r="W2081" s="5" t="s">
        <v>36</v>
      </c>
      <c r="X2081" s="5" t="s">
        <v>1909</v>
      </c>
      <c r="AA2081" s="5" t="s">
        <v>1911</v>
      </c>
      <c r="AC2081" s="8" t="str">
        <f>HYPERLINK("https://drive.google.com/file/d/1TrBkz_ZsRX0HjjGBPILF1HyOKRkhhZ9D/view?usp=drivesdk", "Abrir_Factura")</f>
        <v>Abrir_Factura</v>
      </c>
      <c r="AD2081" s="9">
        <v>46064.75439814815</v>
      </c>
    </row>
    <row r="2082" spans="1:30" ht="12.5">
      <c r="A2082" s="4">
        <v>46064.55542365741</v>
      </c>
      <c r="B2082" s="5">
        <v>91820</v>
      </c>
      <c r="C2082" s="5">
        <v>41759397</v>
      </c>
      <c r="D2082" s="5" t="s">
        <v>9397</v>
      </c>
      <c r="F2082" s="5" t="s">
        <v>9398</v>
      </c>
      <c r="H2082" s="5">
        <v>573145382455</v>
      </c>
      <c r="J2082" s="5" t="s">
        <v>9399</v>
      </c>
      <c r="K2082" s="5" t="s">
        <v>33</v>
      </c>
      <c r="L2082" s="5" t="s">
        <v>34</v>
      </c>
      <c r="M2082" s="5" t="s">
        <v>25421</v>
      </c>
      <c r="N2082" s="6">
        <v>46064</v>
      </c>
      <c r="O2082" s="7">
        <v>0</v>
      </c>
      <c r="P2082" s="5">
        <v>1</v>
      </c>
      <c r="Q2082" s="5" t="s">
        <v>42</v>
      </c>
      <c r="R2082" s="5">
        <v>141000</v>
      </c>
      <c r="S2082" s="5">
        <v>0</v>
      </c>
      <c r="T2082" s="5">
        <v>0</v>
      </c>
      <c r="U2082" s="5">
        <v>141000</v>
      </c>
      <c r="V2082" s="5"/>
      <c r="W2082" s="5" t="s">
        <v>36</v>
      </c>
      <c r="X2082" s="5" t="s">
        <v>43</v>
      </c>
      <c r="AA2082" s="5" t="s">
        <v>1717</v>
      </c>
      <c r="AC2082" s="8" t="str">
        <f>HYPERLINK("https://drive.google.com/file/d/1S5MZAhwP_ZPuws9ZZQfLuFvd1kRsCCTS/view?usp=drivesdk", "Abrir_Factura")</f>
        <v>Abrir_Factura</v>
      </c>
      <c r="AD2082" s="9">
        <v>46064.556192129632</v>
      </c>
    </row>
    <row r="2083" spans="1:30" ht="12.5">
      <c r="A2083" s="4">
        <v>46064.562919548611</v>
      </c>
      <c r="B2083" s="5">
        <v>91821</v>
      </c>
      <c r="C2083" s="5">
        <v>900521807</v>
      </c>
      <c r="D2083" s="5" t="s">
        <v>1231</v>
      </c>
      <c r="F2083" s="5" t="s">
        <v>2159</v>
      </c>
      <c r="H2083" s="5">
        <v>573007682024</v>
      </c>
      <c r="J2083" s="5" t="s">
        <v>5734</v>
      </c>
      <c r="K2083" s="5" t="s">
        <v>33</v>
      </c>
      <c r="L2083" s="5" t="s">
        <v>34</v>
      </c>
      <c r="M2083" s="5">
        <v>3007682024</v>
      </c>
      <c r="N2083" s="6">
        <v>46064</v>
      </c>
      <c r="O2083" s="7">
        <v>0</v>
      </c>
      <c r="P2083" s="5">
        <v>1</v>
      </c>
      <c r="Q2083" s="5" t="s">
        <v>42</v>
      </c>
      <c r="R2083" s="5">
        <v>0</v>
      </c>
      <c r="S2083" s="5">
        <v>0</v>
      </c>
      <c r="T2083" s="5">
        <v>0</v>
      </c>
      <c r="U2083" s="5">
        <v>0</v>
      </c>
      <c r="V2083" s="5"/>
      <c r="W2083" s="5" t="s">
        <v>36</v>
      </c>
      <c r="X2083" s="5" t="s">
        <v>43</v>
      </c>
      <c r="AA2083" s="5" t="s">
        <v>44</v>
      </c>
      <c r="AB2083" s="5" t="s">
        <v>9400</v>
      </c>
      <c r="AC2083" s="8" t="str">
        <f>HYPERLINK("https://drive.google.com/file/d/1StesSFPYzyry6GIpRToewWblZJ4xwg9M/view?usp=drivesdk", "Abrir_Factura")</f>
        <v>Abrir_Factura</v>
      </c>
      <c r="AD2083" s="9">
        <v>46064.56590277778</v>
      </c>
    </row>
    <row r="2084" spans="1:30" ht="12.5">
      <c r="A2084" s="4">
        <v>46064.56298396991</v>
      </c>
      <c r="B2084" s="5">
        <v>91822</v>
      </c>
      <c r="C2084" s="5">
        <v>1047038504</v>
      </c>
      <c r="D2084" s="5" t="s">
        <v>1241</v>
      </c>
      <c r="F2084" s="5" t="s">
        <v>4430</v>
      </c>
      <c r="H2084" s="5">
        <v>34654378541</v>
      </c>
      <c r="J2084" s="5" t="s">
        <v>9401</v>
      </c>
      <c r="K2084" s="5" t="s">
        <v>314</v>
      </c>
      <c r="L2084" s="5" t="s">
        <v>9402</v>
      </c>
      <c r="M2084" s="5">
        <v>3007147382</v>
      </c>
      <c r="N2084" s="6">
        <v>46064</v>
      </c>
      <c r="O2084" s="7">
        <v>0.66666666666666663</v>
      </c>
      <c r="P2084" s="5">
        <v>1</v>
      </c>
      <c r="Q2084" s="5" t="s">
        <v>178</v>
      </c>
      <c r="R2084" s="5">
        <v>110000</v>
      </c>
      <c r="S2084" s="5">
        <v>0</v>
      </c>
      <c r="T2084" s="5">
        <v>15000</v>
      </c>
      <c r="U2084" s="5">
        <v>125000</v>
      </c>
      <c r="V2084" s="5" t="s">
        <v>9403</v>
      </c>
      <c r="W2084" s="5" t="s">
        <v>36</v>
      </c>
      <c r="X2084" s="5" t="s">
        <v>67</v>
      </c>
      <c r="Z2084" s="5" t="s">
        <v>9404</v>
      </c>
      <c r="AA2084" s="5" t="s">
        <v>44</v>
      </c>
      <c r="AC2084" s="8" t="str">
        <f>HYPERLINK("https://drive.google.com/file/d/1DTJi_Bnss85ng3KfBKBWp1eu8jYWMzdT/view?usp=drivesdk", "Abrir_Factura")</f>
        <v>Abrir_Factura</v>
      </c>
      <c r="AD2084" s="9">
        <v>46064.578344907408</v>
      </c>
    </row>
    <row r="2085" spans="1:30" ht="12.5">
      <c r="A2085" s="4">
        <v>46064.552865185186</v>
      </c>
      <c r="B2085" s="5">
        <v>91823</v>
      </c>
      <c r="C2085" s="5">
        <v>1047485147</v>
      </c>
      <c r="D2085" s="5" t="s">
        <v>1069</v>
      </c>
      <c r="F2085" s="5" t="s">
        <v>5896</v>
      </c>
      <c r="H2085" s="5">
        <v>573214871570</v>
      </c>
      <c r="J2085" s="5" t="s">
        <v>5897</v>
      </c>
      <c r="K2085" s="5" t="s">
        <v>5898</v>
      </c>
      <c r="L2085" s="5" t="s">
        <v>9405</v>
      </c>
      <c r="M2085" s="5">
        <v>3017051943</v>
      </c>
      <c r="N2085" s="6">
        <v>46065</v>
      </c>
      <c r="O2085" s="7">
        <v>0</v>
      </c>
      <c r="P2085" s="5">
        <v>1</v>
      </c>
      <c r="Q2085" s="5" t="s">
        <v>559</v>
      </c>
      <c r="R2085" s="5">
        <v>99000</v>
      </c>
      <c r="S2085" s="5">
        <v>0</v>
      </c>
      <c r="T2085" s="5">
        <v>17000</v>
      </c>
      <c r="U2085" s="5">
        <v>116000</v>
      </c>
      <c r="V2085" s="5" t="s">
        <v>9406</v>
      </c>
      <c r="W2085" s="5" t="s">
        <v>36</v>
      </c>
      <c r="X2085" s="5" t="s">
        <v>83</v>
      </c>
      <c r="Z2085" s="5" t="s">
        <v>1069</v>
      </c>
      <c r="AA2085" s="5" t="s">
        <v>44</v>
      </c>
      <c r="AC2085" s="8" t="str">
        <f>HYPERLINK("https://drive.google.com/file/d/19rTkB2cor7vxA0lGMyJY-YdkoFITIyDN/view?usp=drivesdk", "Abrir_Factura")</f>
        <v>Abrir_Factura</v>
      </c>
      <c r="AD2085" s="9">
        <v>46065.469756944447</v>
      </c>
    </row>
    <row r="2086" spans="1:30" ht="12.5">
      <c r="A2086" s="4">
        <v>46064.55969800926</v>
      </c>
      <c r="B2086" s="5">
        <v>91824</v>
      </c>
      <c r="C2086" s="5">
        <v>32775295</v>
      </c>
      <c r="D2086" s="5" t="s">
        <v>9407</v>
      </c>
      <c r="F2086" s="5" t="s">
        <v>9408</v>
      </c>
      <c r="H2086" s="5">
        <v>573146958350</v>
      </c>
      <c r="J2086" s="5" t="s">
        <v>9409</v>
      </c>
      <c r="K2086" s="5"/>
      <c r="L2086" s="5" t="s">
        <v>9410</v>
      </c>
      <c r="M2086" s="5"/>
      <c r="N2086" s="6">
        <v>46064</v>
      </c>
      <c r="O2086" s="7">
        <v>0</v>
      </c>
      <c r="P2086" s="5">
        <v>1</v>
      </c>
      <c r="Q2086" s="5" t="s">
        <v>42</v>
      </c>
      <c r="R2086" s="5">
        <v>170000</v>
      </c>
      <c r="S2086" s="5">
        <v>0</v>
      </c>
      <c r="T2086" s="5"/>
      <c r="U2086" s="5">
        <v>170000</v>
      </c>
      <c r="V2086" s="5"/>
      <c r="W2086" s="5" t="s">
        <v>36</v>
      </c>
      <c r="X2086" s="5" t="s">
        <v>43</v>
      </c>
      <c r="AA2086" s="5" t="s">
        <v>1717</v>
      </c>
      <c r="AB2086" s="5" t="s">
        <v>9411</v>
      </c>
      <c r="AC2086" s="8" t="str">
        <f>HYPERLINK("https://drive.google.com/file/d/1KJiWP5fQ0zdnTtkaSWZKgsvNvA0OR4Y3/view?usp=drivesdk", "Abrir_Factura")</f>
        <v>Abrir_Factura</v>
      </c>
      <c r="AD2086" s="9">
        <v>46064.583680555559</v>
      </c>
    </row>
    <row r="2087" spans="1:30" ht="12.5">
      <c r="A2087" s="4">
        <v>46064.572925104163</v>
      </c>
      <c r="B2087" s="5">
        <v>91825</v>
      </c>
      <c r="C2087" s="5">
        <v>1234088987</v>
      </c>
      <c r="D2087" s="5" t="s">
        <v>9412</v>
      </c>
      <c r="F2087" s="5" t="s">
        <v>8020</v>
      </c>
      <c r="H2087" s="5">
        <v>573156684884</v>
      </c>
      <c r="J2087" s="5" t="s">
        <v>9413</v>
      </c>
      <c r="K2087" s="5" t="s">
        <v>307</v>
      </c>
      <c r="L2087" s="5" t="s">
        <v>9414</v>
      </c>
      <c r="M2087" s="5">
        <v>3156684884</v>
      </c>
      <c r="N2087" s="6">
        <v>46064</v>
      </c>
      <c r="O2087" s="7">
        <v>0</v>
      </c>
      <c r="P2087" s="5">
        <v>1</v>
      </c>
      <c r="Q2087" s="5" t="s">
        <v>187</v>
      </c>
      <c r="R2087" s="5">
        <v>220000</v>
      </c>
      <c r="S2087" s="5">
        <v>0</v>
      </c>
      <c r="T2087" s="5">
        <v>10000</v>
      </c>
      <c r="U2087" s="5">
        <v>230000</v>
      </c>
      <c r="V2087" s="5" t="s">
        <v>9415</v>
      </c>
      <c r="W2087" s="5" t="s">
        <v>36</v>
      </c>
      <c r="X2087" s="5" t="s">
        <v>67</v>
      </c>
      <c r="Z2087" s="5" t="s">
        <v>9416</v>
      </c>
      <c r="AA2087" s="5" t="s">
        <v>44</v>
      </c>
      <c r="AC2087" s="8" t="str">
        <f>HYPERLINK("https://drive.google.com/file/d/1WjtTS8GsUmZRnkd4L1YnStS5qQ3lDneq/view?usp=drivesdk", "Abrir_Factura")</f>
        <v>Abrir_Factura</v>
      </c>
      <c r="AD2087" s="9">
        <v>46064.58766203704</v>
      </c>
    </row>
    <row r="2088" spans="1:30" ht="12.5">
      <c r="A2088" s="4">
        <v>46064.592974722225</v>
      </c>
      <c r="B2088" s="5">
        <v>91826</v>
      </c>
      <c r="C2088" s="5">
        <v>1140903198</v>
      </c>
      <c r="D2088" s="5" t="s">
        <v>1702</v>
      </c>
      <c r="F2088" s="5" t="s">
        <v>1703</v>
      </c>
      <c r="H2088" s="5">
        <v>573008095865</v>
      </c>
      <c r="J2088" s="5" t="s">
        <v>1704</v>
      </c>
      <c r="K2088" s="5" t="s">
        <v>33</v>
      </c>
      <c r="L2088" s="5" t="s">
        <v>34</v>
      </c>
      <c r="M2088" s="5">
        <v>3008095865</v>
      </c>
      <c r="N2088" s="6">
        <v>46065</v>
      </c>
      <c r="O2088" s="7">
        <v>0.70833333333333337</v>
      </c>
      <c r="P2088" s="5">
        <v>1</v>
      </c>
      <c r="Q2088" s="5" t="s">
        <v>178</v>
      </c>
      <c r="R2088" s="5">
        <v>110000</v>
      </c>
      <c r="S2088" s="5">
        <v>0</v>
      </c>
      <c r="T2088" s="5">
        <v>0</v>
      </c>
      <c r="U2088" s="5">
        <v>110000</v>
      </c>
      <c r="V2088" s="5"/>
      <c r="W2088" s="5" t="s">
        <v>36</v>
      </c>
      <c r="X2088" s="5" t="s">
        <v>1705</v>
      </c>
      <c r="AA2088" s="5" t="s">
        <v>1717</v>
      </c>
      <c r="AC2088" s="8" t="str">
        <f>HYPERLINK("https://drive.google.com/file/d/1By4hM16jiMsQfgz17YE1qIegrCvpHdDv/view?usp=drivesdk", "Abrir_Factura")</f>
        <v>Abrir_Factura</v>
      </c>
      <c r="AD2088" s="9">
        <v>46064.595439814817</v>
      </c>
    </row>
    <row r="2089" spans="1:30" ht="12.5">
      <c r="A2089" s="4">
        <v>46064.582628391203</v>
      </c>
      <c r="B2089" s="5">
        <v>91827</v>
      </c>
      <c r="C2089" s="5">
        <v>22492715</v>
      </c>
      <c r="D2089" s="5" t="s">
        <v>9417</v>
      </c>
      <c r="F2089" s="5" t="s">
        <v>1831</v>
      </c>
      <c r="H2089" s="5">
        <v>573205674624</v>
      </c>
      <c r="J2089" s="5" t="s">
        <v>9418</v>
      </c>
      <c r="K2089" s="5" t="s">
        <v>6905</v>
      </c>
      <c r="L2089" s="5" t="s">
        <v>9419</v>
      </c>
      <c r="M2089" s="5"/>
      <c r="N2089" s="6">
        <v>46064</v>
      </c>
      <c r="O2089" s="7">
        <v>0.6875</v>
      </c>
      <c r="P2089" s="5">
        <v>1</v>
      </c>
      <c r="Q2089" s="5" t="s">
        <v>866</v>
      </c>
      <c r="R2089" s="5">
        <v>285000</v>
      </c>
      <c r="S2089" s="5">
        <v>0</v>
      </c>
      <c r="T2089" s="5">
        <v>25000</v>
      </c>
      <c r="U2089" s="5">
        <v>310000</v>
      </c>
      <c r="V2089" s="5" t="s">
        <v>9420</v>
      </c>
      <c r="W2089" s="5" t="s">
        <v>36</v>
      </c>
      <c r="X2089" s="5" t="s">
        <v>67</v>
      </c>
      <c r="Z2089" s="5" t="s">
        <v>9421</v>
      </c>
      <c r="AA2089" s="5" t="s">
        <v>44</v>
      </c>
      <c r="AC2089" s="8" t="str">
        <f>HYPERLINK("https://drive.google.com/file/d/1lWQU1n3RdjkhU0OWyqcYvIpLZIu_Iop0/view?usp=drivesdk", "Abrir_Factura")</f>
        <v>Abrir_Factura</v>
      </c>
      <c r="AD2089" s="9">
        <v>46064.740254629629</v>
      </c>
    </row>
    <row r="2090" spans="1:30" ht="12.5">
      <c r="A2090" s="4">
        <v>46064.570632164352</v>
      </c>
      <c r="B2090" s="5">
        <v>91828</v>
      </c>
      <c r="C2090" s="5">
        <v>1234097527</v>
      </c>
      <c r="D2090" s="5" t="s">
        <v>454</v>
      </c>
      <c r="F2090" s="5" t="s">
        <v>9422</v>
      </c>
      <c r="H2090" s="5">
        <v>17869668950</v>
      </c>
      <c r="J2090" s="5" t="s">
        <v>9423</v>
      </c>
      <c r="K2090" s="5" t="s">
        <v>892</v>
      </c>
      <c r="L2090" s="5" t="s">
        <v>9424</v>
      </c>
      <c r="M2090" s="5" t="s">
        <v>25421</v>
      </c>
      <c r="N2090" s="6">
        <v>46066</v>
      </c>
      <c r="O2090" s="7">
        <v>0.45833333333333331</v>
      </c>
      <c r="P2090" s="5">
        <v>1</v>
      </c>
      <c r="Q2090" s="5" t="s">
        <v>9238</v>
      </c>
      <c r="R2090" s="5">
        <v>300000</v>
      </c>
      <c r="S2090" s="5">
        <v>0</v>
      </c>
      <c r="T2090" s="5">
        <v>10000</v>
      </c>
      <c r="U2090" s="5">
        <v>310000</v>
      </c>
      <c r="V2090" s="5" t="s">
        <v>9425</v>
      </c>
      <c r="W2090" s="5" t="s">
        <v>36</v>
      </c>
      <c r="X2090" s="5" t="s">
        <v>7644</v>
      </c>
      <c r="Z2090" s="5" t="s">
        <v>9426</v>
      </c>
      <c r="AA2090" s="5" t="s">
        <v>69</v>
      </c>
      <c r="AB2090" s="5" t="s">
        <v>9427</v>
      </c>
      <c r="AC2090" s="8" t="str">
        <f>HYPERLINK("https://drive.google.com/file/d/1WClrK2KTvkj-w01PPv17ZPYaPpmOZWVU/view?usp=drivesdk", "Abrir_Factura")</f>
        <v>Abrir_Factura</v>
      </c>
      <c r="AD2090" s="9">
        <v>46064.603113425925</v>
      </c>
    </row>
    <row r="2091" spans="1:30" ht="12.5">
      <c r="A2091" s="4">
        <v>46064.60540226852</v>
      </c>
      <c r="B2091" s="5">
        <v>91829</v>
      </c>
      <c r="C2091" s="5">
        <v>1129523997</v>
      </c>
      <c r="D2091" s="5" t="s">
        <v>9428</v>
      </c>
      <c r="F2091" s="5" t="s">
        <v>218</v>
      </c>
      <c r="H2091" s="5">
        <v>573054139389</v>
      </c>
      <c r="J2091" s="5" t="s">
        <v>9429</v>
      </c>
      <c r="K2091" s="5" t="s">
        <v>328</v>
      </c>
      <c r="L2091" s="5" t="s">
        <v>9430</v>
      </c>
      <c r="M2091" s="5"/>
      <c r="N2091" s="6">
        <v>46064</v>
      </c>
      <c r="O2091" s="7">
        <v>0</v>
      </c>
      <c r="P2091" s="5">
        <v>1</v>
      </c>
      <c r="Q2091" s="5" t="s">
        <v>42</v>
      </c>
      <c r="R2091" s="5">
        <v>25000</v>
      </c>
      <c r="S2091" s="5">
        <v>0</v>
      </c>
      <c r="T2091" s="5">
        <v>12000</v>
      </c>
      <c r="U2091" s="5">
        <v>37000</v>
      </c>
      <c r="V2091" s="5"/>
      <c r="W2091" s="5" t="s">
        <v>36</v>
      </c>
      <c r="X2091" s="5" t="s">
        <v>67</v>
      </c>
      <c r="AA2091" s="5" t="s">
        <v>44</v>
      </c>
      <c r="AB2091" s="5" t="s">
        <v>9431</v>
      </c>
      <c r="AC2091" s="8" t="str">
        <f>HYPERLINK("https://drive.google.com/file/d/1-rUnrj7RVAiqOh2IH9epwsomklhCvh7_/view?usp=drivesdk", "Abrir_Factura")</f>
        <v>Abrir_Factura</v>
      </c>
      <c r="AD2091" s="9">
        <v>46064.61273148148</v>
      </c>
    </row>
    <row r="2092" spans="1:30" ht="12.5">
      <c r="A2092" s="4">
        <v>46064.620196967589</v>
      </c>
      <c r="B2092" s="5">
        <v>91830</v>
      </c>
      <c r="C2092" s="5">
        <v>104224181</v>
      </c>
      <c r="D2092" s="5" t="s">
        <v>2293</v>
      </c>
      <c r="F2092" s="5" t="s">
        <v>5378</v>
      </c>
      <c r="H2092" s="5">
        <v>573016856910</v>
      </c>
      <c r="J2092" s="5" t="s">
        <v>9432</v>
      </c>
      <c r="K2092" s="5" t="s">
        <v>103</v>
      </c>
      <c r="L2092" s="5" t="s">
        <v>9433</v>
      </c>
      <c r="M2092" s="5">
        <v>3016856910</v>
      </c>
      <c r="N2092" s="6">
        <v>46064</v>
      </c>
      <c r="O2092" s="7">
        <v>0.70833333333333337</v>
      </c>
      <c r="P2092" s="5">
        <v>1</v>
      </c>
      <c r="Q2092" s="5" t="s">
        <v>42</v>
      </c>
      <c r="R2092" s="5">
        <v>70000</v>
      </c>
      <c r="S2092" s="5">
        <v>0</v>
      </c>
      <c r="T2092" s="5">
        <v>10000</v>
      </c>
      <c r="U2092" s="5">
        <v>80000</v>
      </c>
      <c r="V2092" s="5" t="s">
        <v>9434</v>
      </c>
      <c r="W2092" s="5" t="s">
        <v>36</v>
      </c>
      <c r="X2092" s="5" t="s">
        <v>67</v>
      </c>
      <c r="Z2092" s="5" t="s">
        <v>2293</v>
      </c>
      <c r="AA2092" s="5" t="s">
        <v>44</v>
      </c>
      <c r="AB2092" s="5" t="s">
        <v>9435</v>
      </c>
      <c r="AC2092" s="8" t="str">
        <f>HYPERLINK("https://drive.google.com/file/d/1EWc-aDOIziBMxGWvQ_61BoguC_51ZMTv/view?usp=drivesdk", "Abrir_Factura")</f>
        <v>Abrir_Factura</v>
      </c>
      <c r="AD2092" s="9">
        <v>46065.505972222221</v>
      </c>
    </row>
    <row r="2093" spans="1:30" ht="12.5">
      <c r="A2093" s="4">
        <v>46064.628520706014</v>
      </c>
      <c r="B2093" s="5">
        <v>91831</v>
      </c>
      <c r="C2093" s="5">
        <v>55223435</v>
      </c>
      <c r="D2093" s="5" t="s">
        <v>9417</v>
      </c>
      <c r="F2093" s="5" t="s">
        <v>9436</v>
      </c>
      <c r="H2093" s="5">
        <v>573004373683</v>
      </c>
      <c r="J2093" s="5" t="s">
        <v>9437</v>
      </c>
      <c r="K2093" s="5" t="s">
        <v>2090</v>
      </c>
      <c r="L2093" s="5" t="s">
        <v>9438</v>
      </c>
      <c r="M2093" s="5">
        <v>3004373683</v>
      </c>
      <c r="N2093" s="6">
        <v>46065</v>
      </c>
      <c r="O2093" s="7">
        <v>0</v>
      </c>
      <c r="P2093" s="5">
        <v>1</v>
      </c>
      <c r="Q2093" s="5" t="s">
        <v>5730</v>
      </c>
      <c r="R2093" s="5">
        <v>350000</v>
      </c>
      <c r="S2093" s="5">
        <v>0</v>
      </c>
      <c r="T2093" s="5">
        <v>10000</v>
      </c>
      <c r="U2093" s="5">
        <v>360000</v>
      </c>
      <c r="V2093" s="5" t="s">
        <v>9439</v>
      </c>
      <c r="W2093" s="5" t="s">
        <v>36</v>
      </c>
      <c r="X2093" s="5" t="s">
        <v>67</v>
      </c>
      <c r="AA2093" s="5" t="s">
        <v>44</v>
      </c>
      <c r="AB2093" s="5" t="s">
        <v>9440</v>
      </c>
      <c r="AC2093" s="8" t="str">
        <f>HYPERLINK("https://drive.google.com/file/d/1G8v65Q85sn_TNWJAiQlh98KBe2q9-N34/view?usp=drivesdk", "Abrir_Factura")</f>
        <v>Abrir_Factura</v>
      </c>
      <c r="AD2093" s="9">
        <v>46064.632488425923</v>
      </c>
    </row>
    <row r="2094" spans="1:30" ht="12.5">
      <c r="A2094" s="4">
        <v>46064.570163275464</v>
      </c>
      <c r="B2094" s="5">
        <v>91832</v>
      </c>
      <c r="C2094" s="5">
        <v>1001999517</v>
      </c>
      <c r="D2094" s="5" t="s">
        <v>1159</v>
      </c>
      <c r="F2094" s="5" t="s">
        <v>9441</v>
      </c>
      <c r="H2094" s="5">
        <v>13055273584</v>
      </c>
      <c r="J2094" s="5" t="s">
        <v>9442</v>
      </c>
      <c r="K2094" s="5" t="s">
        <v>886</v>
      </c>
      <c r="L2094" s="5" t="s">
        <v>9443</v>
      </c>
      <c r="M2094" s="5">
        <v>3024761786</v>
      </c>
      <c r="N2094" s="6">
        <v>46065</v>
      </c>
      <c r="O2094" s="7">
        <v>0.45833333333333331</v>
      </c>
      <c r="P2094" s="5">
        <v>1</v>
      </c>
      <c r="Q2094" s="5" t="s">
        <v>9444</v>
      </c>
      <c r="R2094" s="5">
        <v>250000</v>
      </c>
      <c r="S2094" s="5">
        <v>0</v>
      </c>
      <c r="T2094" s="5">
        <v>12000</v>
      </c>
      <c r="U2094" s="5">
        <v>262000</v>
      </c>
      <c r="V2094" s="5" t="s">
        <v>9445</v>
      </c>
      <c r="W2094" s="5" t="s">
        <v>36</v>
      </c>
      <c r="X2094" s="5" t="s">
        <v>1937</v>
      </c>
      <c r="Z2094" s="5" t="s">
        <v>1159</v>
      </c>
      <c r="AA2094" s="5" t="s">
        <v>69</v>
      </c>
      <c r="AB2094" s="5" t="s">
        <v>9446</v>
      </c>
      <c r="AC2094" s="8" t="str">
        <f>HYPERLINK("https://drive.google.com/file/d/1PWz14QakJuoQVkLfaZ9LzMwEjvT5fvSl/view?usp=drivesdk", "Abrir_Factura")</f>
        <v>Abrir_Factura</v>
      </c>
      <c r="AD2094" s="9">
        <v>46065.476458333331</v>
      </c>
    </row>
    <row r="2095" spans="1:30" ht="12.5">
      <c r="A2095" s="4">
        <v>46064.686717812496</v>
      </c>
      <c r="B2095" s="5">
        <v>91833</v>
      </c>
      <c r="C2095" s="5">
        <v>1143448994</v>
      </c>
      <c r="D2095" s="5" t="s">
        <v>480</v>
      </c>
      <c r="F2095" s="5" t="s">
        <v>455</v>
      </c>
      <c r="H2095" s="5">
        <v>573043190657</v>
      </c>
      <c r="J2095" s="5" t="s">
        <v>3183</v>
      </c>
      <c r="K2095" s="5" t="s">
        <v>33</v>
      </c>
      <c r="L2095" s="5" t="s">
        <v>34</v>
      </c>
      <c r="M2095" s="5">
        <v>3043190657</v>
      </c>
      <c r="N2095" s="6">
        <v>46064</v>
      </c>
      <c r="O2095" s="7">
        <v>0</v>
      </c>
      <c r="P2095" s="5">
        <v>1</v>
      </c>
      <c r="Q2095" s="5" t="s">
        <v>42</v>
      </c>
      <c r="R2095" s="5">
        <v>70000</v>
      </c>
      <c r="S2095" s="5">
        <v>0</v>
      </c>
      <c r="T2095" s="5">
        <v>0</v>
      </c>
      <c r="U2095" s="5">
        <v>70000</v>
      </c>
      <c r="V2095" s="5"/>
      <c r="W2095" s="5" t="s">
        <v>36</v>
      </c>
      <c r="X2095" s="5" t="s">
        <v>1481</v>
      </c>
      <c r="AA2095" s="5" t="s">
        <v>1717</v>
      </c>
      <c r="AC2095" s="8" t="str">
        <f>HYPERLINK("https://drive.google.com/file/d/1_iK8lWUH4PJprErLRZeye_WqhSXmBc6w/view?usp=drivesdk", "Abrir_Factura")</f>
        <v>Abrir_Factura</v>
      </c>
      <c r="AD2095" s="9">
        <v>46065.520381944443</v>
      </c>
    </row>
    <row r="2096" spans="1:30" ht="12.5">
      <c r="A2096" s="4">
        <v>46064.68209018519</v>
      </c>
      <c r="B2096" s="5">
        <v>91834</v>
      </c>
      <c r="C2096" s="5">
        <v>63525035</v>
      </c>
      <c r="D2096" s="5" t="s">
        <v>9447</v>
      </c>
      <c r="F2096" s="5" t="s">
        <v>9448</v>
      </c>
      <c r="H2096" s="5">
        <v>573013439877</v>
      </c>
      <c r="J2096" s="5" t="s">
        <v>9449</v>
      </c>
      <c r="K2096" s="5" t="s">
        <v>1047</v>
      </c>
      <c r="L2096" s="5" t="s">
        <v>9450</v>
      </c>
      <c r="M2096" s="5">
        <v>3006908396</v>
      </c>
      <c r="N2096" s="6">
        <v>46064</v>
      </c>
      <c r="O2096" s="7">
        <v>0</v>
      </c>
      <c r="P2096" s="5">
        <v>1</v>
      </c>
      <c r="Q2096" s="5" t="s">
        <v>9451</v>
      </c>
      <c r="R2096" s="5">
        <v>530000</v>
      </c>
      <c r="S2096" s="5">
        <v>0</v>
      </c>
      <c r="T2096" s="5">
        <v>15000</v>
      </c>
      <c r="U2096" s="5">
        <v>545000</v>
      </c>
      <c r="V2096" s="5" t="s">
        <v>9452</v>
      </c>
      <c r="W2096" s="5" t="s">
        <v>36</v>
      </c>
      <c r="X2096" s="5" t="s">
        <v>67</v>
      </c>
      <c r="Z2096" s="5" t="s">
        <v>9453</v>
      </c>
      <c r="AA2096" s="5" t="s">
        <v>44</v>
      </c>
      <c r="AB2096" s="5" t="s">
        <v>9454</v>
      </c>
      <c r="AC2096" s="8" t="str">
        <f>HYPERLINK("https://drive.google.com/file/d/1FwzZ1N7JuGVQasoTycngTkm0QrrZ_cxP/view?usp=drivesdk", "Abrir_Factura")</f>
        <v>Abrir_Factura</v>
      </c>
      <c r="AD2096" s="9">
        <v>46064.699074074073</v>
      </c>
    </row>
    <row r="2097" spans="1:30" ht="12.5">
      <c r="A2097" s="4">
        <v>46064.653220115739</v>
      </c>
      <c r="B2097" s="5">
        <v>91835</v>
      </c>
      <c r="C2097" s="5">
        <v>45494618</v>
      </c>
      <c r="D2097" s="5" t="s">
        <v>5856</v>
      </c>
      <c r="F2097" s="5" t="s">
        <v>9455</v>
      </c>
      <c r="H2097" s="5">
        <v>573004898716</v>
      </c>
      <c r="J2097" s="5" t="s">
        <v>5856</v>
      </c>
      <c r="K2097" s="5" t="s">
        <v>73</v>
      </c>
      <c r="L2097" s="5" t="s">
        <v>9456</v>
      </c>
      <c r="M2097" s="5" t="s">
        <v>9457</v>
      </c>
      <c r="N2097" s="6">
        <v>46066</v>
      </c>
      <c r="O2097" s="7">
        <v>0</v>
      </c>
      <c r="P2097" s="5">
        <v>1</v>
      </c>
      <c r="Q2097" s="5" t="s">
        <v>1203</v>
      </c>
      <c r="R2097" s="5">
        <v>300000</v>
      </c>
      <c r="S2097" s="5">
        <v>0</v>
      </c>
      <c r="T2097" s="5">
        <v>8000</v>
      </c>
      <c r="U2097" s="5">
        <v>308000</v>
      </c>
      <c r="V2097" s="5" t="s">
        <v>9458</v>
      </c>
      <c r="W2097" s="5" t="s">
        <v>36</v>
      </c>
      <c r="X2097" s="5" t="s">
        <v>67</v>
      </c>
      <c r="Z2097" s="5" t="s">
        <v>9459</v>
      </c>
      <c r="AA2097" s="5" t="s">
        <v>44</v>
      </c>
      <c r="AB2097" s="5" t="s">
        <v>9460</v>
      </c>
      <c r="AC2097" s="8" t="str">
        <f>HYPERLINK("https://drive.google.com/file/d/154w4P8gX0dJLDlGFLF-GwpKis1H7BMtq/view?usp=drivesdk", "Abrir_Factura")</f>
        <v>Abrir_Factura</v>
      </c>
      <c r="AD2097" s="9">
        <v>46064.711747685185</v>
      </c>
    </row>
    <row r="2098" spans="1:30" ht="12.5">
      <c r="A2098" s="4">
        <v>46064.690381689812</v>
      </c>
      <c r="B2098" s="5">
        <v>91836</v>
      </c>
      <c r="C2098" s="5">
        <v>1045738339</v>
      </c>
      <c r="D2098" s="5" t="s">
        <v>9461</v>
      </c>
      <c r="F2098" s="5" t="s">
        <v>9462</v>
      </c>
      <c r="H2098" s="5">
        <v>573002601370</v>
      </c>
      <c r="J2098" s="5" t="s">
        <v>9463</v>
      </c>
      <c r="K2098" s="5" t="s">
        <v>4749</v>
      </c>
      <c r="L2098" s="5" t="s">
        <v>9464</v>
      </c>
      <c r="M2098" s="5">
        <v>3019800110</v>
      </c>
      <c r="N2098" s="6">
        <v>46066</v>
      </c>
      <c r="O2098" s="7">
        <v>0.45833333333333331</v>
      </c>
      <c r="P2098" s="5">
        <v>1</v>
      </c>
      <c r="Q2098" s="5" t="s">
        <v>9465</v>
      </c>
      <c r="R2098" s="5">
        <v>340000</v>
      </c>
      <c r="S2098" s="5">
        <v>0</v>
      </c>
      <c r="T2098" s="5">
        <v>17000</v>
      </c>
      <c r="U2098" s="5">
        <v>357000</v>
      </c>
      <c r="V2098" s="5" t="s">
        <v>9466</v>
      </c>
      <c r="W2098" s="5" t="s">
        <v>36</v>
      </c>
      <c r="X2098" s="5" t="s">
        <v>1937</v>
      </c>
      <c r="AA2098" s="5" t="s">
        <v>69</v>
      </c>
      <c r="AB2098" s="5" t="s">
        <v>9467</v>
      </c>
      <c r="AC2098" s="8" t="str">
        <f>HYPERLINK("https://drive.google.com/file/d/1-DYUtl9A32Aw2YVpdpD2sT6SR8I46Qag/view?usp=drivesdk", "Abrir_Factura")</f>
        <v>Abrir_Factura</v>
      </c>
      <c r="AD2098" s="9">
        <v>46064.706921296296</v>
      </c>
    </row>
    <row r="2099" spans="1:30" ht="12.5">
      <c r="A2099" s="4">
        <v>46064.717226307868</v>
      </c>
      <c r="B2099" s="5">
        <v>91837</v>
      </c>
      <c r="C2099" s="5">
        <v>1001914795</v>
      </c>
      <c r="D2099" s="5" t="s">
        <v>1773</v>
      </c>
      <c r="F2099" s="5" t="s">
        <v>4184</v>
      </c>
      <c r="H2099" s="5">
        <v>573045733898</v>
      </c>
      <c r="J2099" s="5" t="s">
        <v>5397</v>
      </c>
      <c r="K2099" s="5" t="s">
        <v>33</v>
      </c>
      <c r="L2099" s="5" t="s">
        <v>34</v>
      </c>
      <c r="M2099" s="5">
        <v>3045733898</v>
      </c>
      <c r="N2099" s="6">
        <v>46064</v>
      </c>
      <c r="O2099" s="7">
        <v>0.72916666666666663</v>
      </c>
      <c r="P2099" s="5">
        <v>1</v>
      </c>
      <c r="Q2099" s="5" t="s">
        <v>178</v>
      </c>
      <c r="R2099" s="5">
        <v>110000</v>
      </c>
      <c r="S2099" s="5">
        <v>0</v>
      </c>
      <c r="T2099" s="5">
        <v>0</v>
      </c>
      <c r="U2099" s="5">
        <v>110000</v>
      </c>
      <c r="V2099" s="5"/>
      <c r="W2099" s="5" t="s">
        <v>36</v>
      </c>
      <c r="X2099" s="5" t="s">
        <v>67</v>
      </c>
      <c r="AA2099" s="5" t="s">
        <v>1717</v>
      </c>
      <c r="AC2099" s="8" t="str">
        <f>HYPERLINK("https://drive.google.com/file/d/1XTcRv-6F9G6acrG1lTBWpvXVuCHPfEgt/view?usp=drivesdk", "Abrir_Factura")</f>
        <v>Abrir_Factura</v>
      </c>
      <c r="AD2099" s="9">
        <v>46064.719513888886</v>
      </c>
    </row>
    <row r="2100" spans="1:30" ht="12.5">
      <c r="A2100" s="4">
        <v>46064.71931792824</v>
      </c>
      <c r="B2100" s="5">
        <v>91838</v>
      </c>
      <c r="C2100" s="5">
        <v>1143437526</v>
      </c>
      <c r="D2100" s="5" t="s">
        <v>9468</v>
      </c>
      <c r="F2100" s="5" t="s">
        <v>9469</v>
      </c>
      <c r="H2100" s="5">
        <v>573103894529</v>
      </c>
      <c r="J2100" s="5" t="s">
        <v>9470</v>
      </c>
      <c r="K2100" s="5" t="s">
        <v>307</v>
      </c>
      <c r="L2100" s="5" t="s">
        <v>9471</v>
      </c>
      <c r="M2100" s="5">
        <v>3112187891</v>
      </c>
      <c r="N2100" s="6">
        <v>46065</v>
      </c>
      <c r="O2100" s="7">
        <v>0</v>
      </c>
      <c r="P2100" s="5">
        <v>1</v>
      </c>
      <c r="Q2100" s="5" t="s">
        <v>112</v>
      </c>
      <c r="R2100" s="5">
        <v>300000</v>
      </c>
      <c r="S2100" s="5">
        <v>0</v>
      </c>
      <c r="T2100" s="5">
        <v>10000</v>
      </c>
      <c r="U2100" s="5">
        <v>310000</v>
      </c>
      <c r="V2100" s="5" t="s">
        <v>9472</v>
      </c>
      <c r="W2100" s="5" t="s">
        <v>36</v>
      </c>
      <c r="X2100" s="5" t="s">
        <v>1937</v>
      </c>
      <c r="Z2100" s="5" t="s">
        <v>9473</v>
      </c>
      <c r="AA2100" s="5" t="s">
        <v>44</v>
      </c>
      <c r="AC2100" s="8" t="str">
        <f>HYPERLINK("https://drive.google.com/file/d/1UaX8BTkqgDJSRM9Wb8tq5zO94w86LVwp/view?usp=drivesdk", "Abrir_Factura")</f>
        <v>Abrir_Factura</v>
      </c>
      <c r="AD2100" s="9">
        <v>46064.724687499998</v>
      </c>
    </row>
    <row r="2101" spans="1:30" ht="12.5">
      <c r="A2101" s="4">
        <v>46064.368431967596</v>
      </c>
      <c r="B2101" s="5">
        <v>91839</v>
      </c>
      <c r="C2101" s="5">
        <v>1061789274</v>
      </c>
      <c r="D2101" s="5" t="s">
        <v>9474</v>
      </c>
      <c r="F2101" s="5" t="s">
        <v>9475</v>
      </c>
      <c r="H2101" s="5">
        <v>573206914142</v>
      </c>
      <c r="J2101" s="5" t="s">
        <v>9476</v>
      </c>
      <c r="K2101" s="5" t="s">
        <v>185</v>
      </c>
      <c r="L2101" s="5" t="s">
        <v>9477</v>
      </c>
      <c r="M2101" s="5">
        <v>3206914142</v>
      </c>
      <c r="N2101" s="6">
        <v>46066</v>
      </c>
      <c r="O2101" s="7">
        <v>0.29166666666666669</v>
      </c>
      <c r="P2101" s="5">
        <v>1</v>
      </c>
      <c r="Q2101" s="5" t="s">
        <v>9478</v>
      </c>
      <c r="R2101" s="5">
        <v>250000</v>
      </c>
      <c r="S2101" s="5">
        <v>0</v>
      </c>
      <c r="T2101" s="5">
        <v>8000</v>
      </c>
      <c r="U2101" s="5">
        <v>258000</v>
      </c>
      <c r="V2101" s="5" t="s">
        <v>9479</v>
      </c>
      <c r="W2101" s="5" t="s">
        <v>36</v>
      </c>
      <c r="X2101" s="5" t="s">
        <v>1937</v>
      </c>
      <c r="Z2101" s="5" t="s">
        <v>9480</v>
      </c>
      <c r="AA2101" s="5" t="s">
        <v>69</v>
      </c>
      <c r="AB2101" s="5" t="s">
        <v>9481</v>
      </c>
      <c r="AC2101" s="8" t="str">
        <f>HYPERLINK("https://drive.google.com/file/d/1fgIspsRnC7QqBLn_d9dMg51X78Gcma9d/view?usp=drivesdk", "Abrir_Factura")</f>
        <v>Abrir_Factura</v>
      </c>
      <c r="AD2101" s="9">
        <v>46064.74726851852</v>
      </c>
    </row>
    <row r="2102" spans="1:30" ht="12.5">
      <c r="A2102" s="4">
        <v>46064.761458622685</v>
      </c>
      <c r="B2102" s="5">
        <v>91840</v>
      </c>
      <c r="C2102" s="5">
        <v>32768151</v>
      </c>
      <c r="D2102" s="5" t="s">
        <v>9482</v>
      </c>
      <c r="F2102" s="5" t="s">
        <v>6131</v>
      </c>
      <c r="H2102" s="5">
        <v>5732768151</v>
      </c>
      <c r="J2102" s="5" t="s">
        <v>9483</v>
      </c>
      <c r="K2102" s="5" t="s">
        <v>33</v>
      </c>
      <c r="L2102" s="5" t="s">
        <v>34</v>
      </c>
      <c r="M2102" s="5">
        <v>32768151</v>
      </c>
      <c r="N2102" s="6">
        <v>46064</v>
      </c>
      <c r="O2102" s="7">
        <v>0</v>
      </c>
      <c r="P2102" s="5">
        <v>1</v>
      </c>
      <c r="Q2102" s="5" t="s">
        <v>42</v>
      </c>
      <c r="R2102" s="5">
        <v>70000</v>
      </c>
      <c r="S2102" s="5">
        <v>0</v>
      </c>
      <c r="T2102" s="5">
        <v>0</v>
      </c>
      <c r="U2102" s="5">
        <v>70000</v>
      </c>
      <c r="V2102" s="5"/>
      <c r="W2102" s="5" t="s">
        <v>36</v>
      </c>
      <c r="X2102" s="5" t="s">
        <v>1705</v>
      </c>
      <c r="AA2102" s="5" t="s">
        <v>1717</v>
      </c>
      <c r="AB2102" s="5" t="s">
        <v>525</v>
      </c>
      <c r="AC2102" s="8" t="str">
        <f>HYPERLINK("https://drive.google.com/file/d/1ZXx1-A6k11VANeeyk7RdN8YcNwyOegPC/view?usp=drivesdk", "Abrir_Factura")</f>
        <v>Abrir_Factura</v>
      </c>
      <c r="AD2102" s="9">
        <v>46064.770810185182</v>
      </c>
    </row>
    <row r="2103" spans="1:30" ht="12.5">
      <c r="A2103" s="4">
        <v>46065.30401670139</v>
      </c>
      <c r="B2103" s="5">
        <v>91841</v>
      </c>
      <c r="C2103" s="5">
        <v>576520552</v>
      </c>
      <c r="D2103" s="5" t="s">
        <v>9484</v>
      </c>
      <c r="F2103" s="5" t="s">
        <v>9485</v>
      </c>
      <c r="H2103" s="5">
        <v>574086795988</v>
      </c>
      <c r="J2103" s="5" t="s">
        <v>9486</v>
      </c>
      <c r="K2103" s="5" t="s">
        <v>33</v>
      </c>
      <c r="L2103" s="5" t="s">
        <v>34</v>
      </c>
      <c r="M2103" s="5">
        <v>4086795988</v>
      </c>
      <c r="N2103" s="6">
        <v>46067</v>
      </c>
      <c r="O2103" s="7">
        <v>0.33333333333333331</v>
      </c>
      <c r="P2103" s="5">
        <v>1</v>
      </c>
      <c r="Q2103" s="5" t="s">
        <v>178</v>
      </c>
      <c r="R2103" s="5">
        <v>110000</v>
      </c>
      <c r="S2103" s="5">
        <v>0</v>
      </c>
      <c r="T2103" s="5">
        <v>0</v>
      </c>
      <c r="U2103" s="5">
        <v>110000</v>
      </c>
      <c r="V2103" s="5"/>
      <c r="W2103" s="5" t="s">
        <v>36</v>
      </c>
      <c r="X2103" s="5" t="s">
        <v>43</v>
      </c>
      <c r="AA2103" s="5" t="s">
        <v>37</v>
      </c>
      <c r="AB2103" s="5" t="s">
        <v>9487</v>
      </c>
      <c r="AC2103" s="8" t="str">
        <f>HYPERLINK("https://drive.google.com/file/d/1TNYUUQXaspIVx216j8DK_6Ky23ARNelr/view?usp=drivesdk", "Abrir_Factura")</f>
        <v>Abrir_Factura</v>
      </c>
      <c r="AD2103" s="9">
        <v>46065.416504629633</v>
      </c>
    </row>
    <row r="2104" spans="1:30" ht="12.5">
      <c r="A2104" s="4">
        <v>46064.808499305553</v>
      </c>
      <c r="B2104" s="5">
        <v>91842</v>
      </c>
      <c r="C2104" s="5">
        <v>1042458286</v>
      </c>
      <c r="D2104" s="5" t="s">
        <v>9488</v>
      </c>
      <c r="F2104" s="5" t="s">
        <v>9489</v>
      </c>
      <c r="H2104" s="5">
        <v>573003331883</v>
      </c>
      <c r="J2104" s="5" t="s">
        <v>9490</v>
      </c>
      <c r="K2104" s="5" t="s">
        <v>9166</v>
      </c>
      <c r="L2104" s="5" t="s">
        <v>9491</v>
      </c>
      <c r="M2104" s="5" t="s">
        <v>25421</v>
      </c>
      <c r="N2104" s="6">
        <v>46065</v>
      </c>
      <c r="O2104" s="7">
        <v>0</v>
      </c>
      <c r="P2104" s="5">
        <v>1</v>
      </c>
      <c r="Q2104" s="5" t="s">
        <v>375</v>
      </c>
      <c r="R2104" s="5">
        <v>80000</v>
      </c>
      <c r="S2104" s="5">
        <v>0</v>
      </c>
      <c r="T2104" s="5">
        <v>16000</v>
      </c>
      <c r="U2104" s="5">
        <v>96000</v>
      </c>
      <c r="V2104" s="5" t="s">
        <v>9492</v>
      </c>
      <c r="W2104" s="5" t="s">
        <v>36</v>
      </c>
      <c r="X2104" s="5" t="s">
        <v>180</v>
      </c>
      <c r="Z2104" s="5" t="s">
        <v>9493</v>
      </c>
      <c r="AA2104" s="5" t="s">
        <v>44</v>
      </c>
      <c r="AB2104" s="5" t="s">
        <v>9494</v>
      </c>
      <c r="AC2104" s="8" t="str">
        <f>HYPERLINK("https://drive.google.com/file/d/1plDFKOoY5ZQCz1lOVZH7RRGAiY8JmgH8/view?usp=drivesdk", "Abrir_Factura")</f>
        <v>Abrir_Factura</v>
      </c>
      <c r="AD2104" s="9">
        <v>46065.331041666665</v>
      </c>
    </row>
    <row r="2105" spans="1:30" ht="12.5">
      <c r="A2105" s="4">
        <v>46065.103270312495</v>
      </c>
      <c r="B2105" s="5">
        <v>91843</v>
      </c>
      <c r="C2105" s="5">
        <v>1049019940</v>
      </c>
      <c r="D2105" s="5" t="s">
        <v>9495</v>
      </c>
      <c r="F2105" s="5" t="s">
        <v>9496</v>
      </c>
      <c r="H2105" s="5">
        <v>522226288632</v>
      </c>
      <c r="J2105" s="5" t="s">
        <v>9497</v>
      </c>
      <c r="K2105" s="5" t="s">
        <v>405</v>
      </c>
      <c r="L2105" s="5" t="s">
        <v>9498</v>
      </c>
      <c r="M2105" s="5" t="s">
        <v>25421</v>
      </c>
      <c r="N2105" s="6">
        <v>46066</v>
      </c>
      <c r="O2105" s="7">
        <v>0.375</v>
      </c>
      <c r="P2105" s="5">
        <v>1</v>
      </c>
      <c r="Q2105" s="5" t="s">
        <v>9199</v>
      </c>
      <c r="R2105" s="5">
        <v>180000</v>
      </c>
      <c r="S2105" s="5">
        <v>0</v>
      </c>
      <c r="T2105" s="5">
        <v>30000</v>
      </c>
      <c r="U2105" s="5">
        <v>210000</v>
      </c>
      <c r="V2105" s="5" t="s">
        <v>9499</v>
      </c>
      <c r="W2105" s="5" t="s">
        <v>36</v>
      </c>
      <c r="X2105" s="5" t="s">
        <v>3754</v>
      </c>
      <c r="Z2105" s="5" t="s">
        <v>9500</v>
      </c>
      <c r="AA2105" s="5" t="s">
        <v>44</v>
      </c>
      <c r="AB2105" s="5" t="s">
        <v>9501</v>
      </c>
      <c r="AC2105" s="8" t="str">
        <f>HYPERLINK("https://drive.google.com/file/d/1Re5Ppj-5HPuuUTzhSGRveO8TFbIiISn0/view?usp=drivesdk", "Abrir_Factura")</f>
        <v>Abrir_Factura</v>
      </c>
      <c r="AD2105" s="9">
        <v>46065.335844907408</v>
      </c>
    </row>
    <row r="2106" spans="1:30" ht="12.5">
      <c r="A2106" s="4">
        <v>46065.337684189813</v>
      </c>
      <c r="B2106" s="5">
        <v>91844</v>
      </c>
      <c r="C2106" s="5">
        <v>1042999192</v>
      </c>
      <c r="D2106" s="5" t="s">
        <v>3105</v>
      </c>
      <c r="F2106" s="5" t="s">
        <v>1444</v>
      </c>
      <c r="H2106" s="5">
        <v>573014590985</v>
      </c>
      <c r="J2106" s="5" t="s">
        <v>9502</v>
      </c>
      <c r="K2106" s="5" t="s">
        <v>892</v>
      </c>
      <c r="L2106" s="5" t="s">
        <v>9503</v>
      </c>
      <c r="M2106" s="5">
        <v>3017552496</v>
      </c>
      <c r="N2106" s="6">
        <v>46065</v>
      </c>
      <c r="O2106" s="7">
        <v>0</v>
      </c>
      <c r="P2106" s="5">
        <v>1</v>
      </c>
      <c r="Q2106" s="5" t="s">
        <v>1792</v>
      </c>
      <c r="R2106" s="5">
        <v>160000</v>
      </c>
      <c r="S2106" s="5">
        <v>0</v>
      </c>
      <c r="T2106" s="5">
        <v>10000</v>
      </c>
      <c r="U2106" s="5">
        <v>170000</v>
      </c>
      <c r="V2106" s="5" t="s">
        <v>9504</v>
      </c>
      <c r="W2106" s="5" t="s">
        <v>36</v>
      </c>
      <c r="X2106" s="5" t="s">
        <v>1481</v>
      </c>
      <c r="Z2106" s="5" t="s">
        <v>9505</v>
      </c>
      <c r="AA2106" s="5" t="s">
        <v>44</v>
      </c>
      <c r="AB2106" s="5" t="s">
        <v>9506</v>
      </c>
      <c r="AC2106" s="8" t="str">
        <f>HYPERLINK("https://drive.google.com/file/d/1X74VjN4ZralfaTW606Qs8hMIADM1E-xs/view?usp=drivesdk", "Abrir_Factura")</f>
        <v>Abrir_Factura</v>
      </c>
      <c r="AD2106" s="9">
        <v>46065.61681712963</v>
      </c>
    </row>
    <row r="2107" spans="1:30" ht="12.5">
      <c r="A2107" s="4">
        <v>46065.325812002317</v>
      </c>
      <c r="B2107" s="5">
        <v>91845</v>
      </c>
      <c r="C2107" s="5">
        <v>1000470147</v>
      </c>
      <c r="D2107" s="5" t="s">
        <v>46</v>
      </c>
      <c r="F2107" s="5" t="s">
        <v>9507</v>
      </c>
      <c r="H2107" s="5">
        <v>573004285066</v>
      </c>
      <c r="J2107" s="5" t="s">
        <v>9508</v>
      </c>
      <c r="K2107" s="5" t="s">
        <v>63</v>
      </c>
      <c r="L2107" s="5" t="s">
        <v>9509</v>
      </c>
      <c r="M2107" s="5">
        <v>3146649747</v>
      </c>
      <c r="N2107" s="6">
        <v>46066</v>
      </c>
      <c r="O2107" s="7">
        <v>0.45833333333333331</v>
      </c>
      <c r="P2107" s="5">
        <v>1</v>
      </c>
      <c r="Q2107" s="5" t="s">
        <v>9280</v>
      </c>
      <c r="R2107" s="5">
        <v>95000</v>
      </c>
      <c r="S2107" s="5">
        <v>0</v>
      </c>
      <c r="T2107" s="5">
        <v>17000</v>
      </c>
      <c r="U2107" s="5">
        <v>112000</v>
      </c>
      <c r="V2107" s="5" t="s">
        <v>9510</v>
      </c>
      <c r="W2107" s="5" t="s">
        <v>36</v>
      </c>
      <c r="X2107" s="5" t="s">
        <v>180</v>
      </c>
      <c r="AA2107" s="5" t="s">
        <v>44</v>
      </c>
      <c r="AB2107" s="5" t="s">
        <v>9511</v>
      </c>
      <c r="AC2107" s="8" t="str">
        <f>HYPERLINK("https://drive.google.com/file/d/1UFr4uMWdBXRyZGDb6UCmVE2BPdhD9Lpi/view?usp=drivesdk", "Abrir_Factura")</f>
        <v>Abrir_Factura</v>
      </c>
      <c r="AD2107" s="9">
        <v>46065.345486111109</v>
      </c>
    </row>
    <row r="2108" spans="1:30" ht="12.5">
      <c r="A2108" s="4">
        <v>46065.342452025463</v>
      </c>
      <c r="B2108" s="5">
        <v>91846</v>
      </c>
      <c r="C2108" s="5">
        <v>1140863225</v>
      </c>
      <c r="D2108" s="5" t="s">
        <v>461</v>
      </c>
      <c r="F2108" s="5" t="s">
        <v>9512</v>
      </c>
      <c r="H2108" s="5">
        <v>573023748334</v>
      </c>
      <c r="J2108" s="5" t="s">
        <v>9513</v>
      </c>
      <c r="K2108" s="5" t="s">
        <v>63</v>
      </c>
      <c r="L2108" s="5" t="s">
        <v>9514</v>
      </c>
      <c r="M2108" s="5">
        <v>3008373890</v>
      </c>
      <c r="N2108" s="6">
        <v>46065</v>
      </c>
      <c r="O2108" s="7">
        <v>0.45833333333333331</v>
      </c>
      <c r="P2108" s="5">
        <v>1</v>
      </c>
      <c r="Q2108" s="5" t="s">
        <v>309</v>
      </c>
      <c r="R2108" s="5">
        <v>88000</v>
      </c>
      <c r="S2108" s="5">
        <v>0</v>
      </c>
      <c r="T2108" s="5">
        <v>17000</v>
      </c>
      <c r="U2108" s="5">
        <v>105000</v>
      </c>
      <c r="V2108" s="5" t="s">
        <v>9515</v>
      </c>
      <c r="W2108" s="5" t="s">
        <v>36</v>
      </c>
      <c r="X2108" s="5" t="s">
        <v>1481</v>
      </c>
      <c r="Z2108" s="5" t="s">
        <v>9516</v>
      </c>
      <c r="AA2108" s="5" t="s">
        <v>44</v>
      </c>
      <c r="AB2108" s="5" t="s">
        <v>9517</v>
      </c>
      <c r="AC2108" s="8" t="str">
        <f>HYPERLINK("https://drive.google.com/file/d/16LO-fYN6Vx_L63tkotvBL1gE57g1e85T/view?usp=drivesdk", "Abrir_Factura")</f>
        <v>Abrir_Factura</v>
      </c>
      <c r="AD2108" s="9">
        <v>46065.352465277778</v>
      </c>
    </row>
    <row r="2109" spans="1:30" ht="12.5">
      <c r="A2109" s="4">
        <v>46064.474257430556</v>
      </c>
      <c r="B2109" s="5">
        <v>91847</v>
      </c>
      <c r="C2109" s="5">
        <v>1140831374</v>
      </c>
      <c r="D2109" s="5" t="s">
        <v>1321</v>
      </c>
      <c r="F2109" s="5" t="s">
        <v>93</v>
      </c>
      <c r="H2109" s="5">
        <v>34611693613</v>
      </c>
      <c r="J2109" s="5" t="s">
        <v>9518</v>
      </c>
      <c r="K2109" s="5" t="s">
        <v>1317</v>
      </c>
      <c r="L2109" s="5" t="s">
        <v>9519</v>
      </c>
      <c r="M2109" s="5">
        <v>3153625374</v>
      </c>
      <c r="N2109" s="6">
        <v>46066</v>
      </c>
      <c r="O2109" s="7">
        <v>0</v>
      </c>
      <c r="P2109" s="5">
        <v>1</v>
      </c>
      <c r="Q2109" s="5" t="s">
        <v>96</v>
      </c>
      <c r="R2109" s="5">
        <v>250000</v>
      </c>
      <c r="S2109" s="5">
        <v>0</v>
      </c>
      <c r="T2109" s="5">
        <v>12000</v>
      </c>
      <c r="U2109" s="5">
        <v>262000</v>
      </c>
      <c r="V2109" s="5" t="s">
        <v>9520</v>
      </c>
      <c r="W2109" s="5" t="s">
        <v>36</v>
      </c>
      <c r="X2109" s="5" t="s">
        <v>7644</v>
      </c>
      <c r="Z2109" s="5" t="s">
        <v>9521</v>
      </c>
      <c r="AA2109" s="5" t="s">
        <v>69</v>
      </c>
      <c r="AB2109" s="5" t="s">
        <v>9494</v>
      </c>
      <c r="AC2109" s="8" t="str">
        <f>HYPERLINK("https://drive.google.com/file/d/19qpZYVigXy00Ez5dkxjCuvcNL80DQIW5/view?usp=drivesdk", "Abrir_Factura")</f>
        <v>Abrir_Factura</v>
      </c>
      <c r="AD2109" s="9">
        <v>46065.358252314814</v>
      </c>
    </row>
    <row r="2110" spans="1:30" ht="12.5">
      <c r="A2110" s="4">
        <v>46064.798322013885</v>
      </c>
      <c r="B2110" s="5">
        <v>91848</v>
      </c>
      <c r="C2110" s="5">
        <v>1140831374</v>
      </c>
      <c r="D2110" s="5" t="s">
        <v>1321</v>
      </c>
      <c r="F2110" s="5" t="s">
        <v>93</v>
      </c>
      <c r="H2110" s="5">
        <v>34611693613</v>
      </c>
      <c r="J2110" s="5" t="s">
        <v>9518</v>
      </c>
      <c r="K2110" s="5"/>
      <c r="L2110" s="5" t="s">
        <v>9522</v>
      </c>
      <c r="M2110" s="5"/>
      <c r="N2110" s="6">
        <v>46066</v>
      </c>
      <c r="O2110" s="7">
        <v>0</v>
      </c>
      <c r="P2110" s="5">
        <v>2</v>
      </c>
      <c r="Q2110" s="5" t="s">
        <v>9523</v>
      </c>
      <c r="R2110" s="5">
        <v>40000</v>
      </c>
      <c r="S2110" s="5">
        <v>0</v>
      </c>
      <c r="T2110" s="5"/>
      <c r="U2110" s="5">
        <v>40000</v>
      </c>
      <c r="V2110" s="5" t="s">
        <v>9524</v>
      </c>
      <c r="W2110" s="5" t="s">
        <v>36</v>
      </c>
      <c r="X2110" s="5" t="s">
        <v>7644</v>
      </c>
      <c r="Z2110" s="5" t="s">
        <v>9525</v>
      </c>
      <c r="AA2110" s="5" t="s">
        <v>69</v>
      </c>
      <c r="AB2110" s="5" t="s">
        <v>9526</v>
      </c>
      <c r="AC2110" s="8" t="str">
        <f>HYPERLINK("https://drive.google.com/file/d/1nkvlS_UPdgkYCfVTUsnZGbB1a1mbIl-n/view?usp=drivesdk", "Abrir_Factura")</f>
        <v>Abrir_Factura</v>
      </c>
      <c r="AD2110" s="9">
        <v>46065.360578703701</v>
      </c>
    </row>
    <row r="2111" spans="1:30" ht="12.5">
      <c r="A2111" s="4">
        <v>46065.346652210646</v>
      </c>
      <c r="B2111" s="5">
        <v>91849</v>
      </c>
      <c r="C2111" s="5">
        <v>0</v>
      </c>
      <c r="D2111" s="5" t="s">
        <v>9527</v>
      </c>
      <c r="F2111" s="5" t="s">
        <v>9528</v>
      </c>
      <c r="H2111" s="5">
        <v>15196391003</v>
      </c>
      <c r="J2111" s="5" t="s">
        <v>8007</v>
      </c>
      <c r="K2111" s="5" t="s">
        <v>249</v>
      </c>
      <c r="L2111" s="5" t="s">
        <v>9529</v>
      </c>
      <c r="M2111" s="5" t="s">
        <v>9530</v>
      </c>
      <c r="N2111" s="6">
        <v>46066</v>
      </c>
      <c r="O2111" s="7">
        <v>0.375</v>
      </c>
      <c r="P2111" s="5">
        <v>1</v>
      </c>
      <c r="Q2111" s="5" t="s">
        <v>9531</v>
      </c>
      <c r="R2111" s="5">
        <v>390000</v>
      </c>
      <c r="S2111" s="5">
        <v>0</v>
      </c>
      <c r="T2111" s="5">
        <v>10000</v>
      </c>
      <c r="U2111" s="5">
        <v>400000</v>
      </c>
      <c r="V2111" s="5" t="s">
        <v>9532</v>
      </c>
      <c r="W2111" s="5" t="s">
        <v>36</v>
      </c>
      <c r="X2111" s="5" t="s">
        <v>3754</v>
      </c>
      <c r="AA2111" s="5" t="s">
        <v>69</v>
      </c>
      <c r="AB2111" s="5" t="s">
        <v>9533</v>
      </c>
      <c r="AC2111" s="8" t="str">
        <f>HYPERLINK("https://drive.google.com/file/d/11izzZxsqMgW8aLqqjwaK1-YpagH2Jfyf/view?usp=drivesdk", "Abrir_Factura")</f>
        <v>Abrir_Factura</v>
      </c>
      <c r="AD2111" s="9">
        <v>46065.36787037037</v>
      </c>
    </row>
    <row r="2112" spans="1:30" ht="12.5">
      <c r="A2112" s="4">
        <v>46065.358653761577</v>
      </c>
      <c r="B2112" s="5">
        <v>91850</v>
      </c>
      <c r="C2112" s="5">
        <v>78739348</v>
      </c>
      <c r="D2112" s="5" t="s">
        <v>3398</v>
      </c>
      <c r="F2112" s="5" t="s">
        <v>9534</v>
      </c>
      <c r="H2112" s="5">
        <v>573002602124</v>
      </c>
      <c r="J2112" s="5" t="s">
        <v>9535</v>
      </c>
      <c r="K2112" s="5" t="s">
        <v>103</v>
      </c>
      <c r="L2112" s="5" t="s">
        <v>9536</v>
      </c>
      <c r="M2112" s="5" t="s">
        <v>9537</v>
      </c>
      <c r="N2112" s="6">
        <v>46065</v>
      </c>
      <c r="O2112" s="7">
        <v>0</v>
      </c>
      <c r="P2112" s="5">
        <v>1</v>
      </c>
      <c r="Q2112" s="5" t="s">
        <v>1597</v>
      </c>
      <c r="R2112" s="5">
        <v>450000</v>
      </c>
      <c r="S2112" s="5">
        <v>0</v>
      </c>
      <c r="T2112" s="5">
        <v>10000</v>
      </c>
      <c r="U2112" s="5">
        <v>460000</v>
      </c>
      <c r="V2112" s="5" t="s">
        <v>9538</v>
      </c>
      <c r="W2112" s="5" t="s">
        <v>36</v>
      </c>
      <c r="X2112" s="5" t="s">
        <v>1481</v>
      </c>
      <c r="Z2112" s="5" t="s">
        <v>9539</v>
      </c>
      <c r="AA2112" s="5" t="s">
        <v>44</v>
      </c>
      <c r="AB2112" s="5" t="s">
        <v>9540</v>
      </c>
      <c r="AC2112" s="8" t="str">
        <f>HYPERLINK("https://drive.google.com/file/d/19wblVut0UGN2DojH6bBY68z0lnv6bCE2/view?usp=drivesdk", "Abrir_Factura")</f>
        <v>Abrir_Factura</v>
      </c>
      <c r="AD2112" s="9">
        <v>46065.634201388886</v>
      </c>
    </row>
    <row r="2113" spans="1:30" ht="12.5">
      <c r="A2113" s="4">
        <v>46065.382760312496</v>
      </c>
      <c r="B2113" s="5">
        <v>91851</v>
      </c>
      <c r="C2113" s="5">
        <v>1006690783</v>
      </c>
      <c r="D2113" s="5" t="s">
        <v>9541</v>
      </c>
      <c r="F2113" s="5" t="s">
        <v>9542</v>
      </c>
      <c r="H2113" s="5">
        <v>573196708854</v>
      </c>
      <c r="J2113" s="5" t="s">
        <v>9543</v>
      </c>
      <c r="K2113" s="5" t="s">
        <v>63</v>
      </c>
      <c r="L2113" s="5" t="s">
        <v>9544</v>
      </c>
      <c r="M2113" s="5" t="s">
        <v>9545</v>
      </c>
      <c r="N2113" s="6">
        <v>46066</v>
      </c>
      <c r="O2113" s="7">
        <v>0</v>
      </c>
      <c r="P2113" s="5">
        <v>1</v>
      </c>
      <c r="Q2113" s="5" t="s">
        <v>9546</v>
      </c>
      <c r="R2113" s="5">
        <v>320000</v>
      </c>
      <c r="S2113" s="5">
        <v>0</v>
      </c>
      <c r="T2113" s="5">
        <v>17000</v>
      </c>
      <c r="U2113" s="5">
        <v>337000</v>
      </c>
      <c r="V2113" s="5" t="s">
        <v>9547</v>
      </c>
      <c r="W2113" s="5" t="s">
        <v>36</v>
      </c>
      <c r="X2113" s="5" t="s">
        <v>7644</v>
      </c>
      <c r="Z2113" s="5" t="s">
        <v>9548</v>
      </c>
      <c r="AA2113" s="5" t="s">
        <v>44</v>
      </c>
      <c r="AC2113" s="8" t="str">
        <f>HYPERLINK("https://drive.google.com/file/d/1oI7SRs8oXVrlHVpz29j27YQCPCw1E03u/view?usp=drivesdk", "Abrir_Factura")</f>
        <v>Abrir_Factura</v>
      </c>
      <c r="AD2113" s="9">
        <v>46065.393101851849</v>
      </c>
    </row>
    <row r="2114" spans="1:30" ht="12.5">
      <c r="A2114" s="4">
        <v>46065.389995104168</v>
      </c>
      <c r="B2114" s="5">
        <v>91852</v>
      </c>
      <c r="C2114" s="5">
        <v>123455677</v>
      </c>
      <c r="D2114" s="5" t="s">
        <v>9549</v>
      </c>
      <c r="F2114" s="5" t="s">
        <v>9550</v>
      </c>
      <c r="H2114" s="5">
        <v>436769176623</v>
      </c>
      <c r="J2114" s="5" t="s">
        <v>9551</v>
      </c>
      <c r="K2114" s="5" t="s">
        <v>1595</v>
      </c>
      <c r="L2114" s="5" t="s">
        <v>9552</v>
      </c>
      <c r="M2114" s="5" t="s">
        <v>25421</v>
      </c>
      <c r="N2114" s="6">
        <v>46066</v>
      </c>
      <c r="O2114" s="7">
        <v>0.33333333333333331</v>
      </c>
      <c r="P2114" s="5">
        <v>1</v>
      </c>
      <c r="Q2114" s="5" t="s">
        <v>9238</v>
      </c>
      <c r="R2114" s="5">
        <v>300000</v>
      </c>
      <c r="S2114" s="5">
        <v>0</v>
      </c>
      <c r="T2114" s="5">
        <v>20000</v>
      </c>
      <c r="U2114" s="5">
        <v>320000</v>
      </c>
      <c r="V2114" s="5"/>
      <c r="W2114" s="5" t="s">
        <v>36</v>
      </c>
      <c r="X2114" s="5" t="s">
        <v>1937</v>
      </c>
      <c r="AA2114" s="5" t="s">
        <v>44</v>
      </c>
      <c r="AC2114" s="8" t="str">
        <f>HYPERLINK("https://drive.google.com/file/d/1lnsaFxAFEa0w4lWaDWJ7f5K7rVKhldvW/view?usp=drivesdk", "Abrir_Factura")</f>
        <v>Abrir_Factura</v>
      </c>
      <c r="AD2114" s="9">
        <v>46065.424305555556</v>
      </c>
    </row>
    <row r="2115" spans="1:30" ht="12.5">
      <c r="A2115" s="4">
        <v>46065.387788599532</v>
      </c>
      <c r="B2115" s="5">
        <v>91853</v>
      </c>
      <c r="C2115" s="5">
        <v>1006582374</v>
      </c>
      <c r="D2115" s="5" t="s">
        <v>9553</v>
      </c>
      <c r="F2115" s="5" t="s">
        <v>9554</v>
      </c>
      <c r="H2115" s="5">
        <v>573105101033</v>
      </c>
      <c r="J2115" s="5" t="s">
        <v>9555</v>
      </c>
      <c r="K2115" s="5" t="s">
        <v>9556</v>
      </c>
      <c r="L2115" s="5" t="s">
        <v>9557</v>
      </c>
      <c r="M2115" s="5">
        <v>3104664144</v>
      </c>
      <c r="N2115" s="6">
        <v>46067</v>
      </c>
      <c r="O2115" s="7">
        <v>0</v>
      </c>
      <c r="P2115" s="5">
        <v>1</v>
      </c>
      <c r="Q2115" s="5" t="s">
        <v>6874</v>
      </c>
      <c r="R2115" s="5">
        <v>105000</v>
      </c>
      <c r="S2115" s="5">
        <v>0</v>
      </c>
      <c r="T2115" s="5">
        <v>18000</v>
      </c>
      <c r="U2115" s="5">
        <v>123000</v>
      </c>
      <c r="V2115" s="5" t="s">
        <v>9558</v>
      </c>
      <c r="W2115" s="5" t="s">
        <v>36</v>
      </c>
      <c r="X2115" s="5" t="s">
        <v>7644</v>
      </c>
      <c r="Z2115" s="5" t="s">
        <v>9559</v>
      </c>
      <c r="AA2115" s="5" t="s">
        <v>69</v>
      </c>
      <c r="AB2115" s="5" t="s">
        <v>9560</v>
      </c>
      <c r="AC2115" s="8" t="str">
        <f>HYPERLINK("https://drive.google.com/file/d/1eKxUBlnafjG356npSDti5b79dXzlsrgn/view?usp=drivesdk", "Abrir_Factura")</f>
        <v>Abrir_Factura</v>
      </c>
      <c r="AD2115" s="9">
        <v>46065.407789351855</v>
      </c>
    </row>
    <row r="2116" spans="1:30" ht="12.5">
      <c r="A2116" s="4">
        <v>46065.411853472222</v>
      </c>
      <c r="B2116" s="5">
        <v>91854</v>
      </c>
      <c r="C2116" s="5">
        <v>1193429277</v>
      </c>
      <c r="D2116" s="5" t="s">
        <v>9125</v>
      </c>
      <c r="F2116" s="5" t="s">
        <v>9126</v>
      </c>
      <c r="H2116" s="5">
        <v>573106367158</v>
      </c>
      <c r="J2116" s="5" t="s">
        <v>9561</v>
      </c>
      <c r="K2116" s="5"/>
      <c r="L2116" s="5" t="s">
        <v>9562</v>
      </c>
      <c r="M2116" s="5"/>
      <c r="N2116" s="6">
        <v>46065</v>
      </c>
      <c r="O2116" s="7">
        <v>0</v>
      </c>
      <c r="P2116" s="5">
        <v>1</v>
      </c>
      <c r="Q2116" s="5" t="s">
        <v>9563</v>
      </c>
      <c r="R2116" s="5">
        <v>50000</v>
      </c>
      <c r="S2116" s="5">
        <v>0</v>
      </c>
      <c r="T2116" s="5"/>
      <c r="U2116" s="5">
        <v>50000</v>
      </c>
      <c r="V2116" s="5"/>
      <c r="W2116" s="5" t="s">
        <v>36</v>
      </c>
      <c r="X2116" s="5" t="s">
        <v>7644</v>
      </c>
      <c r="AA2116" s="5" t="s">
        <v>44</v>
      </c>
      <c r="AB2116" s="5" t="s">
        <v>9564</v>
      </c>
      <c r="AC2116" s="8" t="str">
        <f>HYPERLINK("https://drive.google.com/file/d/1qiytWKG_PZ7x1-rg72EM2S9TJx8J0SvM/view?usp=drivesdk", "Abrir_Factura")</f>
        <v>Abrir_Factura</v>
      </c>
      <c r="AD2116" s="9">
        <v>46065.412997685184</v>
      </c>
    </row>
    <row r="2117" spans="1:30" ht="12.5">
      <c r="A2117" s="4">
        <v>46065.402382418979</v>
      </c>
      <c r="B2117" s="5">
        <v>91855</v>
      </c>
      <c r="C2117" s="5">
        <v>1002000370</v>
      </c>
      <c r="D2117" s="5" t="s">
        <v>1651</v>
      </c>
      <c r="F2117" s="5" t="s">
        <v>1901</v>
      </c>
      <c r="H2117" s="5">
        <v>573127526260</v>
      </c>
      <c r="J2117" s="5" t="s">
        <v>9565</v>
      </c>
      <c r="K2117" s="5" t="s">
        <v>307</v>
      </c>
      <c r="L2117" s="5" t="s">
        <v>9566</v>
      </c>
      <c r="M2117" s="5"/>
      <c r="N2117" s="6">
        <v>46065</v>
      </c>
      <c r="O2117" s="7">
        <v>0</v>
      </c>
      <c r="P2117" s="5">
        <v>1</v>
      </c>
      <c r="Q2117" s="5" t="s">
        <v>375</v>
      </c>
      <c r="R2117" s="5">
        <v>80000</v>
      </c>
      <c r="S2117" s="5">
        <v>0</v>
      </c>
      <c r="T2117" s="5">
        <v>10000</v>
      </c>
      <c r="U2117" s="5">
        <v>90000</v>
      </c>
      <c r="V2117" s="5" t="s">
        <v>9567</v>
      </c>
      <c r="W2117" s="5" t="s">
        <v>36</v>
      </c>
      <c r="X2117" s="5" t="s">
        <v>67</v>
      </c>
      <c r="Z2117" s="5" t="s">
        <v>9568</v>
      </c>
      <c r="AA2117" s="5" t="s">
        <v>69</v>
      </c>
      <c r="AC2117" s="8" t="str">
        <f>HYPERLINK("https://drive.google.com/file/d/1o38w_JEYExnE6BVVyk29cHcNgon-1tjf/view?usp=drivesdk", "Abrir_Factura")</f>
        <v>Abrir_Factura</v>
      </c>
      <c r="AD2117" s="9">
        <v>46065.414027777777</v>
      </c>
    </row>
    <row r="2118" spans="1:30" ht="12.5">
      <c r="A2118" s="4">
        <v>46065.414008854168</v>
      </c>
      <c r="B2118" s="5">
        <v>91856</v>
      </c>
      <c r="C2118" s="5">
        <v>123228475</v>
      </c>
      <c r="D2118" s="5" t="s">
        <v>7234</v>
      </c>
      <c r="F2118" s="5" t="s">
        <v>7235</v>
      </c>
      <c r="H2118" s="5">
        <v>51967202285</v>
      </c>
      <c r="J2118" s="5" t="s">
        <v>9569</v>
      </c>
      <c r="K2118" s="5" t="s">
        <v>249</v>
      </c>
      <c r="L2118" s="5" t="s">
        <v>9570</v>
      </c>
      <c r="M2118" s="5">
        <v>3004911979</v>
      </c>
      <c r="N2118" s="6">
        <v>46066</v>
      </c>
      <c r="O2118" s="7">
        <v>0.45833333333333331</v>
      </c>
      <c r="P2118" s="5">
        <v>1</v>
      </c>
      <c r="Q2118" s="5" t="s">
        <v>9571</v>
      </c>
      <c r="R2118" s="5">
        <v>120000</v>
      </c>
      <c r="S2118" s="5">
        <v>0</v>
      </c>
      <c r="T2118" s="5">
        <v>10000</v>
      </c>
      <c r="U2118" s="5">
        <v>130000</v>
      </c>
      <c r="V2118" s="5" t="s">
        <v>9572</v>
      </c>
      <c r="W2118" s="5" t="s">
        <v>36</v>
      </c>
      <c r="X2118" s="5" t="s">
        <v>1937</v>
      </c>
      <c r="Z2118" s="5"/>
      <c r="AA2118" s="5" t="s">
        <v>44</v>
      </c>
      <c r="AB2118" s="5" t="s">
        <v>9573</v>
      </c>
      <c r="AC2118" s="8" t="str">
        <f>HYPERLINK("https://drive.google.com/file/d/1z-n-ucCtkviVUh49rdSfoKUEMFX84TTK/view?usp=drivesdk", "Abrir_Factura")</f>
        <v>Abrir_Factura</v>
      </c>
      <c r="AD2118" s="9">
        <v>46065.428460648145</v>
      </c>
    </row>
    <row r="2119" spans="1:30" ht="12.5">
      <c r="A2119" s="4">
        <v>46065.420142152783</v>
      </c>
      <c r="B2119" s="5">
        <v>91857</v>
      </c>
      <c r="C2119" s="5">
        <v>1234097757</v>
      </c>
      <c r="D2119" s="5" t="s">
        <v>698</v>
      </c>
      <c r="F2119" s="5" t="s">
        <v>774</v>
      </c>
      <c r="H2119" s="5">
        <v>573004889263</v>
      </c>
      <c r="J2119" s="5" t="s">
        <v>9574</v>
      </c>
      <c r="K2119" s="5" t="s">
        <v>73</v>
      </c>
      <c r="L2119" s="5" t="s">
        <v>9575</v>
      </c>
      <c r="M2119" s="5">
        <v>3107379953</v>
      </c>
      <c r="N2119" s="6">
        <v>46066</v>
      </c>
      <c r="O2119" s="7">
        <v>0.45833333333333331</v>
      </c>
      <c r="P2119" s="5">
        <v>1</v>
      </c>
      <c r="Q2119" s="5" t="s">
        <v>9576</v>
      </c>
      <c r="R2119" s="5">
        <v>90000</v>
      </c>
      <c r="S2119" s="5">
        <v>0</v>
      </c>
      <c r="T2119" s="5">
        <v>8000</v>
      </c>
      <c r="U2119" s="5">
        <v>98000</v>
      </c>
      <c r="V2119" s="5" t="s">
        <v>9577</v>
      </c>
      <c r="W2119" s="5" t="s">
        <v>36</v>
      </c>
      <c r="X2119" s="5" t="s">
        <v>7644</v>
      </c>
      <c r="Z2119" s="5" t="s">
        <v>9578</v>
      </c>
      <c r="AA2119" s="5" t="s">
        <v>44</v>
      </c>
      <c r="AC2119" s="8" t="str">
        <f>HYPERLINK("https://drive.google.com/file/d/1HbuiUmOkCds8eryEpd6OQscQATgtKird/view?usp=drivesdk", "Abrir_Factura")</f>
        <v>Abrir_Factura</v>
      </c>
      <c r="AD2119" s="9">
        <v>46065.429479166669</v>
      </c>
    </row>
    <row r="2120" spans="1:30" ht="12.5">
      <c r="A2120" s="4">
        <v>46065.426166064819</v>
      </c>
      <c r="B2120" s="5">
        <v>91858</v>
      </c>
      <c r="C2120" s="5">
        <v>1004463010</v>
      </c>
      <c r="D2120" s="5" t="s">
        <v>182</v>
      </c>
      <c r="F2120" s="5" t="s">
        <v>9579</v>
      </c>
      <c r="H2120" s="5">
        <v>573113331173</v>
      </c>
      <c r="J2120" s="5" t="s">
        <v>9580</v>
      </c>
      <c r="K2120" s="5" t="s">
        <v>9581</v>
      </c>
      <c r="L2120" s="5" t="s">
        <v>9582</v>
      </c>
      <c r="M2120" s="5" t="s">
        <v>9583</v>
      </c>
      <c r="N2120" s="6">
        <v>46066</v>
      </c>
      <c r="O2120" s="7">
        <v>0</v>
      </c>
      <c r="P2120" s="5">
        <v>1</v>
      </c>
      <c r="Q2120" s="5" t="s">
        <v>6874</v>
      </c>
      <c r="R2120" s="5">
        <v>120000</v>
      </c>
      <c r="S2120" s="5">
        <v>0</v>
      </c>
      <c r="T2120" s="5">
        <v>18000</v>
      </c>
      <c r="U2120" s="5">
        <v>138000</v>
      </c>
      <c r="V2120" s="5" t="s">
        <v>9584</v>
      </c>
      <c r="W2120" s="5" t="s">
        <v>36</v>
      </c>
      <c r="X2120" s="5" t="s">
        <v>7644</v>
      </c>
      <c r="Z2120" s="5" t="s">
        <v>9585</v>
      </c>
      <c r="AA2120" s="5" t="s">
        <v>44</v>
      </c>
      <c r="AC2120" s="8" t="str">
        <f>HYPERLINK("https://drive.google.com/file/d/1g6L_ZYXuIdisJxASy3RubjASG8bj5C4u/view?usp=drivesdk", "Abrir_Factura")</f>
        <v>Abrir_Factura</v>
      </c>
      <c r="AD2120" s="9">
        <v>46065.431932870371</v>
      </c>
    </row>
    <row r="2121" spans="1:30" ht="12.5">
      <c r="A2121" s="4">
        <v>46065.412688124998</v>
      </c>
      <c r="B2121" s="5">
        <v>91859</v>
      </c>
      <c r="C2121" s="5">
        <v>1143468632</v>
      </c>
      <c r="D2121" s="5" t="s">
        <v>9586</v>
      </c>
      <c r="F2121" s="5" t="s">
        <v>9587</v>
      </c>
      <c r="H2121" s="5">
        <v>573016913734</v>
      </c>
      <c r="J2121" s="5" t="s">
        <v>9588</v>
      </c>
      <c r="K2121" s="5" t="s">
        <v>110</v>
      </c>
      <c r="L2121" s="5" t="s">
        <v>9589</v>
      </c>
      <c r="M2121" s="5"/>
      <c r="N2121" s="6">
        <v>46067</v>
      </c>
      <c r="O2121" s="7">
        <v>0.45833333333333331</v>
      </c>
      <c r="P2121" s="5">
        <v>1</v>
      </c>
      <c r="Q2121" s="5" t="s">
        <v>178</v>
      </c>
      <c r="R2121" s="5">
        <v>110000</v>
      </c>
      <c r="S2121" s="5">
        <v>0</v>
      </c>
      <c r="T2121" s="5">
        <v>6000</v>
      </c>
      <c r="U2121" s="5">
        <v>116000</v>
      </c>
      <c r="V2121" s="5" t="s">
        <v>9590</v>
      </c>
      <c r="W2121" s="5" t="s">
        <v>36</v>
      </c>
      <c r="X2121" s="5" t="s">
        <v>7644</v>
      </c>
      <c r="Z2121" s="5" t="s">
        <v>9591</v>
      </c>
      <c r="AA2121" s="5" t="s">
        <v>44</v>
      </c>
      <c r="AB2121" s="5" t="s">
        <v>9592</v>
      </c>
      <c r="AC2121" s="8" t="str">
        <f>HYPERLINK("https://drive.google.com/file/d/1p5IgBrn5Dil1y1aE1CAouzg2UCGB0LMC/view?usp=drivesdk", "Abrir_Factura")</f>
        <v>Abrir_Factura</v>
      </c>
      <c r="AD2121" s="9">
        <v>46065.431990740741</v>
      </c>
    </row>
    <row r="2122" spans="1:30" ht="12.5">
      <c r="A2122" s="4">
        <v>46065.446436261569</v>
      </c>
      <c r="B2122" s="5">
        <v>91860</v>
      </c>
      <c r="C2122" s="5">
        <v>32608060</v>
      </c>
      <c r="D2122" s="5" t="s">
        <v>4904</v>
      </c>
      <c r="F2122" s="5" t="s">
        <v>4905</v>
      </c>
      <c r="H2122" s="5">
        <v>573183607759</v>
      </c>
      <c r="J2122" s="5" t="s">
        <v>4906</v>
      </c>
      <c r="K2122" s="5" t="s">
        <v>33</v>
      </c>
      <c r="L2122" s="5" t="s">
        <v>34</v>
      </c>
      <c r="M2122" s="5">
        <v>3183607759</v>
      </c>
      <c r="N2122" s="6">
        <v>46065</v>
      </c>
      <c r="O2122" s="7">
        <v>0</v>
      </c>
      <c r="P2122" s="5">
        <v>1</v>
      </c>
      <c r="Q2122" s="5" t="s">
        <v>42</v>
      </c>
      <c r="R2122" s="5">
        <v>40000</v>
      </c>
      <c r="S2122" s="5">
        <v>0</v>
      </c>
      <c r="T2122" s="5">
        <v>0</v>
      </c>
      <c r="U2122" s="5">
        <v>40000</v>
      </c>
      <c r="V2122" s="5"/>
      <c r="W2122" s="5" t="s">
        <v>36</v>
      </c>
      <c r="X2122" s="5" t="s">
        <v>1705</v>
      </c>
      <c r="AA2122" s="5" t="s">
        <v>1717</v>
      </c>
      <c r="AB2122" s="5" t="s">
        <v>9593</v>
      </c>
      <c r="AC2122" s="8" t="str">
        <f>HYPERLINK("https://drive.google.com/file/d/1WB6XbCwxFOL69gUXfoeq1bH0NIhoE0Bx/view?usp=drivesdk", "Abrir_Factura")</f>
        <v>Abrir_Factura</v>
      </c>
      <c r="AD2122" s="9">
        <v>46065.449444444443</v>
      </c>
    </row>
    <row r="2123" spans="1:30" ht="12.5">
      <c r="A2123" s="4">
        <v>46065.429782129635</v>
      </c>
      <c r="B2123" s="5">
        <v>91861</v>
      </c>
      <c r="C2123" s="5">
        <v>100203517</v>
      </c>
      <c r="D2123" s="5" t="s">
        <v>297</v>
      </c>
      <c r="F2123" s="5" t="s">
        <v>9594</v>
      </c>
      <c r="H2123" s="5">
        <v>330750389847</v>
      </c>
      <c r="J2123" s="5" t="s">
        <v>9595</v>
      </c>
      <c r="K2123" s="5" t="s">
        <v>2090</v>
      </c>
      <c r="L2123" s="5" t="s">
        <v>9596</v>
      </c>
      <c r="M2123" s="5" t="s">
        <v>9597</v>
      </c>
      <c r="N2123" s="6">
        <v>46067</v>
      </c>
      <c r="O2123" s="7">
        <v>0.375</v>
      </c>
      <c r="P2123" s="5">
        <v>1</v>
      </c>
      <c r="Q2123" s="5" t="s">
        <v>2586</v>
      </c>
      <c r="R2123" s="5">
        <v>190000</v>
      </c>
      <c r="S2123" s="5">
        <v>0</v>
      </c>
      <c r="T2123" s="5">
        <v>10000</v>
      </c>
      <c r="U2123" s="5">
        <v>200000</v>
      </c>
      <c r="V2123" s="5" t="s">
        <v>9598</v>
      </c>
      <c r="W2123" s="5" t="s">
        <v>36</v>
      </c>
      <c r="X2123" s="5" t="s">
        <v>1937</v>
      </c>
      <c r="Z2123" s="5" t="s">
        <v>9599</v>
      </c>
      <c r="AA2123" s="5" t="s">
        <v>44</v>
      </c>
      <c r="AB2123" s="5" t="s">
        <v>9600</v>
      </c>
      <c r="AC2123" s="8" t="str">
        <f>HYPERLINK("https://drive.google.com/file/d/17kuRlF19dVqXyDaPz7AvWOOx-9UrDWl3/view?usp=drivesdk", "Abrir_Factura")</f>
        <v>Abrir_Factura</v>
      </c>
      <c r="AD2123" s="9">
        <v>46065.485289351855</v>
      </c>
    </row>
    <row r="2124" spans="1:30" ht="12.5">
      <c r="A2124" s="4">
        <v>46065.465470162038</v>
      </c>
      <c r="B2124" s="5">
        <v>91862</v>
      </c>
      <c r="C2124" s="5">
        <v>32654988</v>
      </c>
      <c r="D2124" s="5" t="s">
        <v>1335</v>
      </c>
      <c r="F2124" s="5" t="s">
        <v>1336</v>
      </c>
      <c r="H2124" s="5">
        <v>573158853901</v>
      </c>
      <c r="J2124" s="5" t="s">
        <v>1337</v>
      </c>
      <c r="K2124" s="5" t="s">
        <v>33</v>
      </c>
      <c r="L2124" s="5" t="s">
        <v>34</v>
      </c>
      <c r="M2124" s="5">
        <v>3158853901</v>
      </c>
      <c r="N2124" s="6">
        <v>46065</v>
      </c>
      <c r="O2124" s="7">
        <v>0</v>
      </c>
      <c r="P2124" s="5">
        <v>1</v>
      </c>
      <c r="Q2124" s="5" t="s">
        <v>42</v>
      </c>
      <c r="R2124" s="5">
        <v>65000</v>
      </c>
      <c r="S2124" s="5">
        <v>0</v>
      </c>
      <c r="T2124" s="5">
        <v>0</v>
      </c>
      <c r="U2124" s="5">
        <v>65000</v>
      </c>
      <c r="V2124" s="5"/>
      <c r="W2124" s="5" t="s">
        <v>36</v>
      </c>
      <c r="X2124" s="5" t="s">
        <v>67</v>
      </c>
      <c r="AA2124" s="5" t="s">
        <v>1717</v>
      </c>
      <c r="AB2124" s="5" t="s">
        <v>525</v>
      </c>
      <c r="AC2124" s="8" t="str">
        <f>HYPERLINK("https://drive.google.com/file/d/1QoZtZTaFKg8Rwbr8CntD2KXDXLgLr75D/view?usp=drivesdk", "Abrir_Factura")</f>
        <v>Abrir_Factura</v>
      </c>
      <c r="AD2124" s="9">
        <v>46065.466307870367</v>
      </c>
    </row>
    <row r="2125" spans="1:30" ht="12.5">
      <c r="A2125" s="4">
        <v>46065.466198101851</v>
      </c>
      <c r="B2125" s="5">
        <v>91863</v>
      </c>
      <c r="C2125" s="5">
        <v>1001942793</v>
      </c>
      <c r="D2125" s="5" t="s">
        <v>9601</v>
      </c>
      <c r="F2125" s="5" t="s">
        <v>9602</v>
      </c>
      <c r="H2125" s="5">
        <v>34601236087</v>
      </c>
      <c r="J2125" s="5" t="s">
        <v>9603</v>
      </c>
      <c r="K2125" s="5" t="s">
        <v>79</v>
      </c>
      <c r="L2125" s="5" t="s">
        <v>9604</v>
      </c>
      <c r="M2125" s="10" t="s">
        <v>9605</v>
      </c>
      <c r="N2125" s="6">
        <v>46066</v>
      </c>
      <c r="O2125" s="7">
        <v>0.45833333333333331</v>
      </c>
      <c r="P2125" s="5">
        <v>1</v>
      </c>
      <c r="Q2125" s="5" t="s">
        <v>6874</v>
      </c>
      <c r="R2125" s="5">
        <v>120000</v>
      </c>
      <c r="S2125" s="5">
        <v>0</v>
      </c>
      <c r="T2125" s="5">
        <v>10000</v>
      </c>
      <c r="U2125" s="5">
        <v>130000</v>
      </c>
      <c r="V2125" s="5" t="s">
        <v>9606</v>
      </c>
      <c r="W2125" s="5" t="s">
        <v>36</v>
      </c>
      <c r="X2125" s="5" t="s">
        <v>7644</v>
      </c>
      <c r="Z2125" s="5" t="s">
        <v>6790</v>
      </c>
      <c r="AA2125" s="5" t="s">
        <v>44</v>
      </c>
      <c r="AB2125" s="5"/>
      <c r="AC2125" s="8" t="str">
        <f>HYPERLINK("https://drive.google.com/file/d/1EZ9IfDx6Rt9JyNTX0IB-lifQq95EDHlT/view?usp=drivesdk", "Abrir_Factura")</f>
        <v>Abrir_Factura</v>
      </c>
      <c r="AD2125" s="9">
        <v>46065.473993055559</v>
      </c>
    </row>
    <row r="2126" spans="1:30" ht="12.5">
      <c r="A2126" s="4">
        <v>46065.499431678239</v>
      </c>
      <c r="B2126" s="5">
        <v>91864</v>
      </c>
      <c r="C2126" s="5">
        <v>1042249395</v>
      </c>
      <c r="D2126" s="5" t="s">
        <v>9607</v>
      </c>
      <c r="F2126" s="5" t="s">
        <v>9608</v>
      </c>
      <c r="H2126" s="5">
        <v>573213605075</v>
      </c>
      <c r="J2126" s="5" t="s">
        <v>9609</v>
      </c>
      <c r="K2126" s="5" t="s">
        <v>185</v>
      </c>
      <c r="L2126" s="5" t="s">
        <v>9610</v>
      </c>
      <c r="M2126" s="5"/>
      <c r="N2126" s="6">
        <v>46065</v>
      </c>
      <c r="O2126" s="7">
        <v>0.10416666666666667</v>
      </c>
      <c r="P2126" s="5">
        <v>1</v>
      </c>
      <c r="Q2126" s="5" t="s">
        <v>178</v>
      </c>
      <c r="R2126" s="5">
        <v>110000</v>
      </c>
      <c r="S2126" s="5">
        <v>0</v>
      </c>
      <c r="T2126" s="5">
        <v>8000</v>
      </c>
      <c r="U2126" s="5">
        <v>118000</v>
      </c>
      <c r="V2126" s="5" t="s">
        <v>9611</v>
      </c>
      <c r="W2126" s="5" t="s">
        <v>36</v>
      </c>
      <c r="X2126" s="5" t="s">
        <v>67</v>
      </c>
      <c r="AA2126" s="5" t="s">
        <v>44</v>
      </c>
      <c r="AB2126" s="5" t="s">
        <v>9612</v>
      </c>
      <c r="AC2126" s="8" t="str">
        <f>HYPERLINK("https://drive.google.com/file/d/1i2aAzkdzE4tGErgNkSOahIGSpU0D_3h3/view?usp=drivesdk", "Abrir_Factura")</f>
        <v>Abrir_Factura</v>
      </c>
      <c r="AD2126" s="9">
        <v>46065.504907407405</v>
      </c>
    </row>
    <row r="2127" spans="1:30" ht="12.5">
      <c r="A2127" s="4">
        <v>46065.477347604166</v>
      </c>
      <c r="B2127" s="5">
        <v>91865</v>
      </c>
      <c r="C2127" s="5">
        <v>1140877655</v>
      </c>
      <c r="D2127" s="5" t="s">
        <v>1584</v>
      </c>
      <c r="F2127" s="5" t="s">
        <v>1669</v>
      </c>
      <c r="H2127" s="5">
        <v>573135860866</v>
      </c>
      <c r="J2127" s="5" t="s">
        <v>9613</v>
      </c>
      <c r="K2127" s="5" t="s">
        <v>5574</v>
      </c>
      <c r="L2127" s="5" t="s">
        <v>9614</v>
      </c>
      <c r="M2127" s="5">
        <v>3008307176</v>
      </c>
      <c r="N2127" s="6">
        <v>46066</v>
      </c>
      <c r="O2127" s="7">
        <v>0.33333333333333331</v>
      </c>
      <c r="P2127" s="5">
        <v>1</v>
      </c>
      <c r="Q2127" s="5" t="s">
        <v>330</v>
      </c>
      <c r="R2127" s="5">
        <v>200000</v>
      </c>
      <c r="S2127" s="5">
        <v>0</v>
      </c>
      <c r="T2127" s="5">
        <v>10000</v>
      </c>
      <c r="U2127" s="5">
        <v>210000</v>
      </c>
      <c r="V2127" s="5" t="s">
        <v>9615</v>
      </c>
      <c r="W2127" s="5" t="s">
        <v>36</v>
      </c>
      <c r="X2127" s="5" t="s">
        <v>7644</v>
      </c>
      <c r="Z2127" s="5" t="s">
        <v>1672</v>
      </c>
      <c r="AA2127" s="5" t="s">
        <v>44</v>
      </c>
      <c r="AB2127" s="5" t="s">
        <v>9612</v>
      </c>
      <c r="AC2127" s="8" t="str">
        <f>HYPERLINK("https://drive.google.com/file/d/1DcNnJo7XGYDfaC63QCWPpIyTVbduhsBu/view?usp=drivesdk", "Abrir_Factura")</f>
        <v>Abrir_Factura</v>
      </c>
      <c r="AD2127" s="9">
        <v>46065.51059027778</v>
      </c>
    </row>
    <row r="2128" spans="1:30" ht="12.5">
      <c r="A2128" s="4">
        <v>46065.508822280091</v>
      </c>
      <c r="B2128" s="5">
        <v>91866</v>
      </c>
      <c r="C2128" s="5">
        <v>1045308770</v>
      </c>
      <c r="D2128" s="5" t="s">
        <v>9616</v>
      </c>
      <c r="F2128" s="5" t="s">
        <v>9617</v>
      </c>
      <c r="H2128" s="5">
        <v>5730197777132</v>
      </c>
      <c r="J2128" s="5" t="s">
        <v>9618</v>
      </c>
      <c r="K2128" s="5" t="s">
        <v>33</v>
      </c>
      <c r="L2128" s="5" t="s">
        <v>34</v>
      </c>
      <c r="M2128" s="5"/>
      <c r="N2128" s="6">
        <v>46065</v>
      </c>
      <c r="O2128" s="7">
        <v>0</v>
      </c>
      <c r="P2128" s="5">
        <v>1</v>
      </c>
      <c r="Q2128" s="5" t="s">
        <v>42</v>
      </c>
      <c r="R2128" s="5">
        <v>16000</v>
      </c>
      <c r="S2128" s="5">
        <v>0</v>
      </c>
      <c r="T2128" s="5">
        <v>0</v>
      </c>
      <c r="U2128" s="5">
        <v>16000</v>
      </c>
      <c r="V2128" s="5"/>
      <c r="W2128" s="5" t="s">
        <v>36</v>
      </c>
      <c r="X2128" s="5" t="s">
        <v>196</v>
      </c>
      <c r="AA2128" s="5" t="s">
        <v>44</v>
      </c>
      <c r="AB2128" s="5" t="s">
        <v>9619</v>
      </c>
      <c r="AC2128" s="8" t="str">
        <f>HYPERLINK("https://drive.google.com/file/d/1xZZyJ8ZqZUaYBHja3f2RI6ZkYh6r9frx/view?usp=drivesdk", "Abrir_Factura")</f>
        <v>Abrir_Factura</v>
      </c>
      <c r="AD2128" s="9">
        <v>46065.511458333334</v>
      </c>
    </row>
    <row r="2129" spans="1:30" ht="12.5">
      <c r="A2129" s="4">
        <v>46065.505720752313</v>
      </c>
      <c r="B2129" s="5">
        <v>91867</v>
      </c>
      <c r="C2129" s="5">
        <v>1193543989</v>
      </c>
      <c r="D2129" s="5" t="s">
        <v>9620</v>
      </c>
      <c r="F2129" s="5" t="s">
        <v>5420</v>
      </c>
      <c r="H2129" s="5">
        <v>573148310460</v>
      </c>
      <c r="J2129" s="5" t="s">
        <v>9621</v>
      </c>
      <c r="K2129" s="5"/>
      <c r="L2129" s="5" t="s">
        <v>41</v>
      </c>
      <c r="M2129" s="5">
        <v>3148310460</v>
      </c>
      <c r="N2129" s="6">
        <v>46067</v>
      </c>
      <c r="O2129" s="7">
        <v>0.33333333333333331</v>
      </c>
      <c r="P2129" s="5">
        <v>1</v>
      </c>
      <c r="Q2129" s="5" t="s">
        <v>9199</v>
      </c>
      <c r="R2129" s="5">
        <v>180000</v>
      </c>
      <c r="S2129" s="5">
        <v>0</v>
      </c>
      <c r="T2129" s="5"/>
      <c r="U2129" s="5">
        <v>180000</v>
      </c>
      <c r="V2129" s="5" t="s">
        <v>9622</v>
      </c>
      <c r="W2129" s="5" t="s">
        <v>36</v>
      </c>
      <c r="X2129" s="5" t="s">
        <v>7644</v>
      </c>
      <c r="Z2129" s="5" t="s">
        <v>686</v>
      </c>
      <c r="AA2129" s="5" t="s">
        <v>44</v>
      </c>
      <c r="AB2129" s="5" t="s">
        <v>9612</v>
      </c>
      <c r="AC2129" s="8" t="str">
        <f>HYPERLINK("https://drive.google.com/file/d/1p1SBRm8tWhO3SkMH8PQdxFzdi8L0WzUU/view?usp=drivesdk", "Abrir_Factura")</f>
        <v>Abrir_Factura</v>
      </c>
      <c r="AD2129" s="9">
        <v>46065.517777777779</v>
      </c>
    </row>
    <row r="2130" spans="1:30" ht="12.5">
      <c r="A2130" s="4">
        <v>46065.508638912041</v>
      </c>
      <c r="B2130" s="5">
        <v>91868</v>
      </c>
      <c r="C2130" s="5">
        <v>1121339035</v>
      </c>
      <c r="D2130" s="5" t="s">
        <v>4482</v>
      </c>
      <c r="F2130" s="5" t="s">
        <v>236</v>
      </c>
      <c r="H2130" s="5">
        <v>573022989464</v>
      </c>
      <c r="J2130" s="5" t="s">
        <v>9623</v>
      </c>
      <c r="K2130" s="5" t="s">
        <v>33</v>
      </c>
      <c r="L2130" s="5" t="s">
        <v>34</v>
      </c>
      <c r="M2130" s="5">
        <v>3022989464</v>
      </c>
      <c r="N2130" s="6">
        <v>46067</v>
      </c>
      <c r="O2130" s="7">
        <v>0</v>
      </c>
      <c r="P2130" s="5">
        <v>1</v>
      </c>
      <c r="Q2130" s="5" t="s">
        <v>42</v>
      </c>
      <c r="R2130" s="5">
        <v>200000</v>
      </c>
      <c r="S2130" s="5">
        <v>0</v>
      </c>
      <c r="T2130" s="5">
        <v>0</v>
      </c>
      <c r="U2130" s="5">
        <v>200000</v>
      </c>
      <c r="V2130" s="5" t="s">
        <v>9624</v>
      </c>
      <c r="W2130" s="5" t="s">
        <v>36</v>
      </c>
      <c r="X2130" s="5" t="s">
        <v>196</v>
      </c>
      <c r="AA2130" s="5" t="s">
        <v>1717</v>
      </c>
      <c r="AB2130" s="5" t="s">
        <v>9625</v>
      </c>
      <c r="AC2130" s="8" t="str">
        <f>HYPERLINK("https://drive.google.com/file/d/1GlX2Iokd-kyKmmnsvjqJ336hbZZPhRWp/view?usp=drivesdk", "Abrir_Factura")</f>
        <v>Abrir_Factura</v>
      </c>
      <c r="AD2130" s="9">
        <v>46065.68141203704</v>
      </c>
    </row>
    <row r="2131" spans="1:30" ht="12.5">
      <c r="A2131" s="4">
        <v>46065.524628171297</v>
      </c>
      <c r="B2131" s="5">
        <v>91869</v>
      </c>
      <c r="C2131" s="5">
        <v>1001825446</v>
      </c>
      <c r="D2131" s="5" t="s">
        <v>9626</v>
      </c>
      <c r="F2131" s="5" t="s">
        <v>9627</v>
      </c>
      <c r="H2131" s="5">
        <v>573016890959</v>
      </c>
      <c r="J2131" s="5" t="s">
        <v>9628</v>
      </c>
      <c r="K2131" s="5" t="s">
        <v>154</v>
      </c>
      <c r="L2131" s="5" t="s">
        <v>9629</v>
      </c>
      <c r="M2131" s="5">
        <v>3003903227</v>
      </c>
      <c r="N2131" s="6">
        <v>46065</v>
      </c>
      <c r="O2131" s="7">
        <v>0.10416666666666667</v>
      </c>
      <c r="P2131" s="5">
        <v>1</v>
      </c>
      <c r="Q2131" s="5" t="s">
        <v>9630</v>
      </c>
      <c r="R2131" s="5">
        <v>170000</v>
      </c>
      <c r="S2131" s="5">
        <v>0</v>
      </c>
      <c r="T2131" s="5">
        <v>8000</v>
      </c>
      <c r="U2131" s="5">
        <v>178000</v>
      </c>
      <c r="V2131" s="5" t="s">
        <v>9631</v>
      </c>
      <c r="W2131" s="5" t="s">
        <v>36</v>
      </c>
      <c r="X2131" s="5" t="s">
        <v>67</v>
      </c>
      <c r="Z2131" s="5" t="s">
        <v>9632</v>
      </c>
      <c r="AA2131" s="5" t="s">
        <v>44</v>
      </c>
      <c r="AB2131" s="5" t="s">
        <v>9612</v>
      </c>
      <c r="AC2131" s="8" t="str">
        <f>HYPERLINK("https://drive.google.com/file/d/1eLtlOnu51zi8reGsrVsAYrvM4kDGMvqI/view?usp=drivesdk", "Abrir_Factura")</f>
        <v>Abrir_Factura</v>
      </c>
      <c r="AD2131" s="9">
        <v>46065.527858796297</v>
      </c>
    </row>
    <row r="2132" spans="1:30" ht="12.5">
      <c r="A2132" s="4">
        <v>46065.540962615742</v>
      </c>
      <c r="B2132" s="5">
        <v>91870</v>
      </c>
      <c r="C2132" s="5">
        <v>72052382</v>
      </c>
      <c r="D2132" s="5" t="s">
        <v>9633</v>
      </c>
      <c r="F2132" s="5" t="s">
        <v>9634</v>
      </c>
      <c r="H2132" s="5">
        <v>14127309645</v>
      </c>
      <c r="J2132" s="5" t="s">
        <v>9635</v>
      </c>
      <c r="K2132" s="5" t="s">
        <v>9581</v>
      </c>
      <c r="L2132" s="5" t="s">
        <v>9636</v>
      </c>
      <c r="M2132" s="5" t="s">
        <v>25421</v>
      </c>
      <c r="N2132" s="6">
        <v>46066</v>
      </c>
      <c r="O2132" s="7">
        <v>0</v>
      </c>
      <c r="P2132" s="5">
        <v>1</v>
      </c>
      <c r="Q2132" s="5" t="s">
        <v>6874</v>
      </c>
      <c r="R2132" s="5">
        <v>120000</v>
      </c>
      <c r="S2132" s="5">
        <v>0</v>
      </c>
      <c r="T2132" s="5">
        <v>18000</v>
      </c>
      <c r="U2132" s="5">
        <v>138000</v>
      </c>
      <c r="V2132" s="5" t="s">
        <v>9637</v>
      </c>
      <c r="W2132" s="5" t="s">
        <v>36</v>
      </c>
      <c r="X2132" s="5" t="s">
        <v>7644</v>
      </c>
      <c r="Z2132" s="5" t="s">
        <v>9638</v>
      </c>
      <c r="AA2132" s="5" t="s">
        <v>44</v>
      </c>
      <c r="AB2132" s="5" t="s">
        <v>9639</v>
      </c>
      <c r="AC2132" s="8" t="str">
        <f>HYPERLINK("https://drive.google.com/file/d/1Gu7CcOCUzGK0xhD6tmW9CDChSmdR_l0_/view?usp=drivesdk", "Abrir_Factura")</f>
        <v>Abrir_Factura</v>
      </c>
      <c r="AD2132" s="9">
        <v>46065.548506944448</v>
      </c>
    </row>
    <row r="2133" spans="1:30" ht="12.5">
      <c r="A2133" s="4">
        <v>46065.547540127314</v>
      </c>
      <c r="B2133" s="5">
        <v>91871</v>
      </c>
      <c r="C2133" s="5">
        <v>1140891384</v>
      </c>
      <c r="D2133" s="5" t="s">
        <v>6148</v>
      </c>
      <c r="F2133" s="5" t="s">
        <v>6149</v>
      </c>
      <c r="H2133" s="5">
        <v>573017255296</v>
      </c>
      <c r="J2133" s="5" t="s">
        <v>9640</v>
      </c>
      <c r="K2133" s="5" t="s">
        <v>249</v>
      </c>
      <c r="L2133" s="5" t="s">
        <v>9641</v>
      </c>
      <c r="M2133" s="5" t="s">
        <v>25421</v>
      </c>
      <c r="N2133" s="6">
        <v>46066</v>
      </c>
      <c r="O2133" s="7">
        <v>0</v>
      </c>
      <c r="P2133" s="5">
        <v>1</v>
      </c>
      <c r="Q2133" s="5" t="s">
        <v>9280</v>
      </c>
      <c r="R2133" s="5">
        <v>95000</v>
      </c>
      <c r="S2133" s="5">
        <v>0</v>
      </c>
      <c r="T2133" s="5">
        <v>10000</v>
      </c>
      <c r="U2133" s="5">
        <v>105000</v>
      </c>
      <c r="V2133" s="5" t="s">
        <v>9642</v>
      </c>
      <c r="W2133" s="5" t="s">
        <v>36</v>
      </c>
      <c r="X2133" s="5" t="s">
        <v>7644</v>
      </c>
      <c r="Z2133" s="5" t="s">
        <v>9643</v>
      </c>
      <c r="AA2133" s="5" t="s">
        <v>44</v>
      </c>
      <c r="AB2133" s="5" t="s">
        <v>9600</v>
      </c>
      <c r="AC2133" s="8" t="str">
        <f>HYPERLINK("https://drive.google.com/file/d/1P1COyXnPTXepDQxU5W5om9hn1BVXC9Ru/view?usp=drivesdk", "Abrir_Factura")</f>
        <v>Abrir_Factura</v>
      </c>
      <c r="AD2133" s="9">
        <v>46065.557847222219</v>
      </c>
    </row>
    <row r="2134" spans="1:30" ht="12.5">
      <c r="A2134" s="4">
        <v>46065.536827337964</v>
      </c>
      <c r="B2134" s="5">
        <v>91872</v>
      </c>
      <c r="C2134" s="5">
        <v>1129564857</v>
      </c>
      <c r="D2134" s="5" t="s">
        <v>8612</v>
      </c>
      <c r="F2134" s="5" t="s">
        <v>9644</v>
      </c>
      <c r="H2134" s="5">
        <v>573103504315</v>
      </c>
      <c r="J2134" s="5" t="s">
        <v>9645</v>
      </c>
      <c r="K2134" s="5" t="s">
        <v>73</v>
      </c>
      <c r="L2134" s="5" t="s">
        <v>9646</v>
      </c>
      <c r="M2134" s="5">
        <v>3103504315</v>
      </c>
      <c r="N2134" s="6">
        <v>46066</v>
      </c>
      <c r="O2134" s="7">
        <v>0.375</v>
      </c>
      <c r="P2134" s="5">
        <v>1</v>
      </c>
      <c r="Q2134" s="5" t="s">
        <v>9546</v>
      </c>
      <c r="R2134" s="5">
        <v>320000</v>
      </c>
      <c r="S2134" s="5">
        <v>0</v>
      </c>
      <c r="T2134" s="5">
        <v>8000</v>
      </c>
      <c r="U2134" s="5">
        <v>328000</v>
      </c>
      <c r="V2134" s="5" t="s">
        <v>9647</v>
      </c>
      <c r="W2134" s="5" t="s">
        <v>36</v>
      </c>
      <c r="X2134" s="5" t="s">
        <v>7644</v>
      </c>
      <c r="Z2134" s="5" t="s">
        <v>9648</v>
      </c>
      <c r="AA2134" s="5" t="s">
        <v>44</v>
      </c>
      <c r="AB2134" s="5" t="s">
        <v>9612</v>
      </c>
      <c r="AC2134" s="8" t="str">
        <f>HYPERLINK("https://drive.google.com/file/d/1ly9AYDgvsZd2Y1PjMxcC4QXozE37GQOn/view?usp=drivesdk", "Abrir_Factura")</f>
        <v>Abrir_Factura</v>
      </c>
      <c r="AD2134" s="9">
        <v>46065.56827546296</v>
      </c>
    </row>
    <row r="2135" spans="1:30" ht="12.5">
      <c r="A2135" s="4">
        <v>46065.560219849533</v>
      </c>
      <c r="B2135" s="5">
        <v>91873</v>
      </c>
      <c r="C2135" s="5">
        <v>1107841473</v>
      </c>
      <c r="D2135" s="5" t="s">
        <v>9649</v>
      </c>
      <c r="F2135" s="5" t="s">
        <v>6592</v>
      </c>
      <c r="H2135" s="5">
        <v>573153309897</v>
      </c>
      <c r="J2135" s="5" t="s">
        <v>9650</v>
      </c>
      <c r="K2135" s="5" t="s">
        <v>1047</v>
      </c>
      <c r="L2135" s="5" t="s">
        <v>9651</v>
      </c>
      <c r="M2135" s="5">
        <v>3016849701</v>
      </c>
      <c r="N2135" s="6">
        <v>46066</v>
      </c>
      <c r="O2135" s="7">
        <v>8.3333333333333329E-2</v>
      </c>
      <c r="P2135" s="5">
        <v>1</v>
      </c>
      <c r="Q2135" s="5" t="s">
        <v>375</v>
      </c>
      <c r="R2135" s="5">
        <v>80000</v>
      </c>
      <c r="S2135" s="5">
        <v>0</v>
      </c>
      <c r="T2135" s="5">
        <v>15000</v>
      </c>
      <c r="U2135" s="5">
        <v>95000</v>
      </c>
      <c r="V2135" s="5" t="s">
        <v>9652</v>
      </c>
      <c r="W2135" s="5" t="s">
        <v>36</v>
      </c>
      <c r="X2135" s="5" t="s">
        <v>7644</v>
      </c>
      <c r="Z2135" s="5" t="s">
        <v>9653</v>
      </c>
      <c r="AA2135" s="5" t="s">
        <v>44</v>
      </c>
      <c r="AB2135" s="5" t="s">
        <v>9654</v>
      </c>
      <c r="AC2135" s="8" t="str">
        <f>HYPERLINK("https://drive.google.com/file/d/15kkHbi1CAqILRhHDIF0Sntz7Sd0oXKFU/view?usp=drivesdk", "Abrir_Factura")</f>
        <v>Abrir_Factura</v>
      </c>
      <c r="AD2135" s="9">
        <v>46065.576342592591</v>
      </c>
    </row>
    <row r="2136" spans="1:30" ht="12.5">
      <c r="A2136" s="4">
        <v>46065.55139443287</v>
      </c>
      <c r="B2136" s="5">
        <v>91874</v>
      </c>
      <c r="C2136" s="5">
        <v>72258232</v>
      </c>
      <c r="D2136" s="5" t="s">
        <v>9655</v>
      </c>
      <c r="F2136" s="5" t="s">
        <v>9656</v>
      </c>
      <c r="H2136" s="5">
        <v>573004425541</v>
      </c>
      <c r="J2136" s="5" t="s">
        <v>9657</v>
      </c>
      <c r="K2136" s="5" t="s">
        <v>63</v>
      </c>
      <c r="L2136" s="5" t="s">
        <v>9658</v>
      </c>
      <c r="M2136" s="5">
        <v>3004425541</v>
      </c>
      <c r="N2136" s="6">
        <v>46066</v>
      </c>
      <c r="O2136" s="7">
        <v>0</v>
      </c>
      <c r="P2136" s="5">
        <v>1</v>
      </c>
      <c r="Q2136" s="5" t="s">
        <v>309</v>
      </c>
      <c r="R2136" s="5">
        <v>90000</v>
      </c>
      <c r="S2136" s="5">
        <v>0</v>
      </c>
      <c r="T2136" s="5">
        <v>17000</v>
      </c>
      <c r="U2136" s="5">
        <v>107000</v>
      </c>
      <c r="V2136" s="5"/>
      <c r="W2136" s="5" t="s">
        <v>36</v>
      </c>
      <c r="X2136" s="5" t="s">
        <v>7644</v>
      </c>
      <c r="AA2136" s="5" t="s">
        <v>69</v>
      </c>
      <c r="AB2136" s="5" t="s">
        <v>9659</v>
      </c>
      <c r="AC2136" s="8" t="str">
        <f>HYPERLINK("https://drive.google.com/file/d/1SgEei9hzqJL3T01z_D_fCxMdgJDOg0g8/view?usp=drivesdk", "Abrir_Factura")</f>
        <v>Abrir_Factura</v>
      </c>
      <c r="AD2136" s="9">
        <v>46065.570879629631</v>
      </c>
    </row>
    <row r="2137" spans="1:30" ht="12.5">
      <c r="A2137" s="4">
        <v>46065.561602164351</v>
      </c>
      <c r="B2137" s="5">
        <v>91875</v>
      </c>
      <c r="C2137" s="5">
        <v>32718372</v>
      </c>
      <c r="D2137" s="5" t="s">
        <v>9660</v>
      </c>
      <c r="F2137" s="5" t="s">
        <v>1607</v>
      </c>
      <c r="H2137" s="5">
        <v>573008153820</v>
      </c>
      <c r="J2137" s="5" t="s">
        <v>9661</v>
      </c>
      <c r="K2137" s="5" t="s">
        <v>892</v>
      </c>
      <c r="L2137" s="5" t="s">
        <v>9662</v>
      </c>
      <c r="M2137" s="5">
        <v>3008153820</v>
      </c>
      <c r="N2137" s="6">
        <v>46066</v>
      </c>
      <c r="O2137" s="7">
        <v>0.33333333333333331</v>
      </c>
      <c r="P2137" s="5">
        <v>1</v>
      </c>
      <c r="Q2137" s="5" t="s">
        <v>9546</v>
      </c>
      <c r="R2137" s="5">
        <v>320000</v>
      </c>
      <c r="S2137" s="5">
        <v>0</v>
      </c>
      <c r="T2137" s="5">
        <v>10000</v>
      </c>
      <c r="U2137" s="5">
        <v>330000</v>
      </c>
      <c r="V2137" s="5" t="s">
        <v>9663</v>
      </c>
      <c r="W2137" s="5" t="s">
        <v>36</v>
      </c>
      <c r="X2137" s="5" t="s">
        <v>7644</v>
      </c>
      <c r="Z2137" s="5" t="s">
        <v>9664</v>
      </c>
      <c r="AA2137" s="5" t="s">
        <v>44</v>
      </c>
      <c r="AB2137" s="5" t="s">
        <v>9612</v>
      </c>
      <c r="AC2137" s="8" t="str">
        <f>HYPERLINK("https://drive.google.com/file/d/1LMI8-qbBzGUIzIrfKZqePmnPFSOm5z2-/view?usp=drivesdk", "Abrir_Factura")</f>
        <v>Abrir_Factura</v>
      </c>
      <c r="AD2137" s="9">
        <v>46065.571527777778</v>
      </c>
    </row>
    <row r="2138" spans="1:30" ht="12.5">
      <c r="A2138" s="4">
        <v>46065.575376064815</v>
      </c>
      <c r="B2138" s="5">
        <v>91876</v>
      </c>
      <c r="C2138" s="5">
        <v>72151362</v>
      </c>
      <c r="D2138" s="5" t="s">
        <v>7063</v>
      </c>
      <c r="F2138" s="5" t="s">
        <v>9665</v>
      </c>
      <c r="H2138" s="5">
        <v>573013665336</v>
      </c>
      <c r="J2138" s="5" t="s">
        <v>9666</v>
      </c>
      <c r="K2138" s="5" t="s">
        <v>307</v>
      </c>
      <c r="L2138" s="5" t="s">
        <v>9667</v>
      </c>
      <c r="M2138" s="5"/>
      <c r="N2138" s="6">
        <v>46067</v>
      </c>
      <c r="O2138" s="7">
        <v>0.375</v>
      </c>
      <c r="P2138" s="5">
        <v>1</v>
      </c>
      <c r="Q2138" s="5" t="s">
        <v>384</v>
      </c>
      <c r="R2138" s="5">
        <v>200000</v>
      </c>
      <c r="S2138" s="5">
        <v>0</v>
      </c>
      <c r="T2138" s="5">
        <v>10000</v>
      </c>
      <c r="U2138" s="5">
        <v>210000</v>
      </c>
      <c r="V2138" s="5" t="s">
        <v>9668</v>
      </c>
      <c r="W2138" s="5" t="s">
        <v>36</v>
      </c>
      <c r="X2138" s="5" t="s">
        <v>1705</v>
      </c>
      <c r="AA2138" s="5" t="s">
        <v>1717</v>
      </c>
      <c r="AC2138" s="8" t="str">
        <f>HYPERLINK("https://drive.google.com/file/d/1bxAYgRvhacI2h4rDZXHdnCU9RRcJCJ7k/view?usp=drivesdk", "Abrir_Factura")</f>
        <v>Abrir_Factura</v>
      </c>
      <c r="AD2138" s="9">
        <v>46065.576331018521</v>
      </c>
    </row>
    <row r="2139" spans="1:30" ht="12.5">
      <c r="A2139" s="4">
        <v>46065.567953310187</v>
      </c>
      <c r="B2139" s="5">
        <v>91877</v>
      </c>
      <c r="C2139" s="5">
        <v>79902616</v>
      </c>
      <c r="D2139" s="5" t="s">
        <v>1864</v>
      </c>
      <c r="F2139" s="5" t="s">
        <v>9669</v>
      </c>
      <c r="H2139" s="5">
        <v>573001389799</v>
      </c>
      <c r="J2139" s="5" t="s">
        <v>9670</v>
      </c>
      <c r="K2139" s="5" t="s">
        <v>73</v>
      </c>
      <c r="L2139" s="5" t="s">
        <v>9671</v>
      </c>
      <c r="M2139" s="5">
        <v>3145812060</v>
      </c>
      <c r="N2139" s="6">
        <v>46065</v>
      </c>
      <c r="O2139" s="7">
        <v>0</v>
      </c>
      <c r="P2139" s="5">
        <v>1</v>
      </c>
      <c r="Q2139" s="5" t="s">
        <v>1792</v>
      </c>
      <c r="R2139" s="5">
        <v>160000</v>
      </c>
      <c r="S2139" s="5">
        <v>0</v>
      </c>
      <c r="T2139" s="5">
        <v>8000</v>
      </c>
      <c r="U2139" s="5">
        <v>168000</v>
      </c>
      <c r="V2139" s="5" t="s">
        <v>9672</v>
      </c>
      <c r="W2139" s="5" t="s">
        <v>36</v>
      </c>
      <c r="X2139" s="5" t="s">
        <v>67</v>
      </c>
      <c r="Z2139" s="5" t="s">
        <v>9673</v>
      </c>
      <c r="AA2139" s="5" t="s">
        <v>69</v>
      </c>
      <c r="AB2139" s="5" t="s">
        <v>9659</v>
      </c>
      <c r="AC2139" s="8" t="str">
        <f>HYPERLINK("https://drive.google.com/file/d/1hmolRxfc0GkS--AmXCppD0nmIeoBDfPy/view?usp=drivesdk", "Abrir_Factura")</f>
        <v>Abrir_Factura</v>
      </c>
      <c r="AD2139" s="9">
        <v>46065.5778587963</v>
      </c>
    </row>
    <row r="2140" spans="1:30" ht="12.5">
      <c r="A2140" s="4">
        <v>46065.578444976854</v>
      </c>
      <c r="B2140" s="5">
        <v>91878</v>
      </c>
      <c r="C2140" s="5">
        <v>381559</v>
      </c>
      <c r="D2140" s="5" t="s">
        <v>9674</v>
      </c>
      <c r="F2140" s="5" t="s">
        <v>9675</v>
      </c>
      <c r="H2140" s="5">
        <v>573023208311</v>
      </c>
      <c r="J2140" s="5" t="s">
        <v>9676</v>
      </c>
      <c r="K2140" s="5"/>
      <c r="L2140" s="5" t="s">
        <v>34</v>
      </c>
      <c r="M2140" s="5">
        <v>3023208311</v>
      </c>
      <c r="N2140" s="6">
        <v>46065</v>
      </c>
      <c r="O2140" s="7">
        <v>0</v>
      </c>
      <c r="P2140" s="5">
        <v>1</v>
      </c>
      <c r="Q2140" s="5" t="s">
        <v>178</v>
      </c>
      <c r="R2140" s="5">
        <v>110000</v>
      </c>
      <c r="S2140" s="5">
        <v>0</v>
      </c>
      <c r="T2140" s="5"/>
      <c r="U2140" s="5">
        <v>110000</v>
      </c>
      <c r="V2140" s="5"/>
      <c r="W2140" s="5" t="s">
        <v>36</v>
      </c>
      <c r="X2140" s="5" t="s">
        <v>1705</v>
      </c>
      <c r="AA2140" s="5" t="s">
        <v>44</v>
      </c>
      <c r="AC2140" s="8" t="str">
        <f>HYPERLINK("https://drive.google.com/file/d/1pic7UipINEDVurDxP4Ata7tW2eMA9ZvR/view?usp=drivesdk", "Abrir_Factura")</f>
        <v>Abrir_Factura</v>
      </c>
      <c r="AD2140" s="9">
        <v>46065.58121527778</v>
      </c>
    </row>
    <row r="2141" spans="1:30" ht="12.5">
      <c r="A2141" s="4">
        <v>46065.567518634256</v>
      </c>
      <c r="B2141" s="5">
        <v>91879</v>
      </c>
      <c r="C2141" s="5">
        <v>1140832077</v>
      </c>
      <c r="D2141" s="5" t="s">
        <v>9677</v>
      </c>
      <c r="F2141" s="5" t="s">
        <v>9678</v>
      </c>
      <c r="H2141" s="5">
        <v>573004895810</v>
      </c>
      <c r="J2141" s="5" t="s">
        <v>9679</v>
      </c>
      <c r="K2141" s="5" t="s">
        <v>185</v>
      </c>
      <c r="L2141" s="5" t="s">
        <v>9680</v>
      </c>
      <c r="M2141" s="5">
        <v>3004895810</v>
      </c>
      <c r="N2141" s="6">
        <v>46065</v>
      </c>
      <c r="O2141" s="7">
        <v>0.16666666666666666</v>
      </c>
      <c r="P2141" s="5">
        <v>1</v>
      </c>
      <c r="Q2141" s="5" t="s">
        <v>210</v>
      </c>
      <c r="R2141" s="5">
        <v>170000</v>
      </c>
      <c r="S2141" s="5">
        <v>0</v>
      </c>
      <c r="T2141" s="5">
        <v>8000</v>
      </c>
      <c r="U2141" s="5">
        <v>178000</v>
      </c>
      <c r="V2141" s="5" t="s">
        <v>9681</v>
      </c>
      <c r="W2141" s="5" t="s">
        <v>36</v>
      </c>
      <c r="X2141" s="5" t="s">
        <v>67</v>
      </c>
      <c r="Z2141" s="5" t="s">
        <v>9682</v>
      </c>
      <c r="AA2141" s="5" t="s">
        <v>44</v>
      </c>
      <c r="AB2141" s="5" t="s">
        <v>9612</v>
      </c>
      <c r="AC2141" s="8" t="str">
        <f>HYPERLINK("https://drive.google.com/file/d/1XCv9N4IeY4cxFN44P_6RqUhC7GqpiyBx/view?usp=drivesdk", "Abrir_Factura")</f>
        <v>Abrir_Factura</v>
      </c>
      <c r="AD2141" s="9">
        <v>46065.590601851851</v>
      </c>
    </row>
    <row r="2142" spans="1:30" ht="12.5">
      <c r="A2142" s="4">
        <v>46065.599373865742</v>
      </c>
      <c r="B2142" s="5">
        <v>91880</v>
      </c>
      <c r="C2142" s="5">
        <v>0</v>
      </c>
      <c r="D2142" s="5" t="s">
        <v>9683</v>
      </c>
      <c r="F2142" s="5" t="s">
        <v>9684</v>
      </c>
      <c r="H2142" s="5">
        <v>17735573980</v>
      </c>
      <c r="J2142" s="5" t="s">
        <v>9685</v>
      </c>
      <c r="K2142" s="5" t="s">
        <v>103</v>
      </c>
      <c r="L2142" s="5" t="s">
        <v>9686</v>
      </c>
      <c r="M2142" s="5">
        <v>17735573980</v>
      </c>
      <c r="N2142" s="6">
        <v>46066</v>
      </c>
      <c r="O2142" s="7">
        <v>0.58333333333333337</v>
      </c>
      <c r="P2142" s="5">
        <v>1</v>
      </c>
      <c r="Q2142" s="5" t="s">
        <v>42</v>
      </c>
      <c r="R2142" s="5">
        <v>170000</v>
      </c>
      <c r="S2142" s="5">
        <v>0</v>
      </c>
      <c r="T2142" s="5">
        <v>10000</v>
      </c>
      <c r="U2142" s="5">
        <v>180000</v>
      </c>
      <c r="V2142" s="5" t="s">
        <v>9687</v>
      </c>
      <c r="W2142" s="5" t="s">
        <v>36</v>
      </c>
      <c r="X2142" s="5" t="s">
        <v>1705</v>
      </c>
      <c r="Z2142" s="5" t="s">
        <v>9688</v>
      </c>
      <c r="AA2142" s="5" t="s">
        <v>1717</v>
      </c>
      <c r="AB2142" s="5" t="s">
        <v>9689</v>
      </c>
      <c r="AC2142" s="8" t="str">
        <f>HYPERLINK("https://drive.google.com/file/d/1E3w9b0FRFL6bsAOs3ApvRsuTWa7pZRab/view?usp=drivesdk", "Abrir_Factura")</f>
        <v>Abrir_Factura</v>
      </c>
      <c r="AD2142" s="9">
        <v>46065.730671296296</v>
      </c>
    </row>
    <row r="2143" spans="1:30" ht="12.5">
      <c r="A2143" s="4">
        <v>46065.582258842594</v>
      </c>
      <c r="B2143" s="5">
        <v>91881</v>
      </c>
      <c r="C2143" s="5">
        <v>1092850475</v>
      </c>
      <c r="D2143" s="5" t="s">
        <v>4723</v>
      </c>
      <c r="F2143" s="5" t="s">
        <v>9690</v>
      </c>
      <c r="H2143" s="5">
        <v>573152556856</v>
      </c>
      <c r="J2143" s="5" t="s">
        <v>9691</v>
      </c>
      <c r="K2143" s="5" t="s">
        <v>930</v>
      </c>
      <c r="L2143" s="5" t="s">
        <v>9692</v>
      </c>
      <c r="M2143" s="5">
        <v>3103672063</v>
      </c>
      <c r="N2143" s="6">
        <v>46066</v>
      </c>
      <c r="O2143" s="7">
        <v>0</v>
      </c>
      <c r="P2143" s="5">
        <v>1</v>
      </c>
      <c r="Q2143" s="5" t="s">
        <v>9693</v>
      </c>
      <c r="R2143" s="5">
        <v>65000</v>
      </c>
      <c r="S2143" s="5">
        <v>0</v>
      </c>
      <c r="T2143" s="5">
        <v>30000</v>
      </c>
      <c r="U2143" s="5">
        <v>95000</v>
      </c>
      <c r="V2143" s="5" t="s">
        <v>9694</v>
      </c>
      <c r="W2143" s="5" t="s">
        <v>36</v>
      </c>
      <c r="X2143" s="5" t="s">
        <v>9695</v>
      </c>
      <c r="Z2143" s="5" t="s">
        <v>9696</v>
      </c>
      <c r="AA2143" s="5" t="s">
        <v>69</v>
      </c>
      <c r="AB2143" s="5" t="s">
        <v>9697</v>
      </c>
      <c r="AC2143" s="8" t="str">
        <f>HYPERLINK("https://drive.google.com/file/d/1nUyvWAV-vOVkGRhtrvWonpj-uGxFdrgI/view?usp=drivesdk", "Abrir_Factura")</f>
        <v>Abrir_Factura</v>
      </c>
      <c r="AD2143" s="9">
        <v>46065.742743055554</v>
      </c>
    </row>
    <row r="2144" spans="1:30" ht="12.5">
      <c r="A2144" s="4">
        <v>46065.61535630787</v>
      </c>
      <c r="B2144" s="5">
        <v>91882</v>
      </c>
      <c r="C2144" s="5">
        <v>1193077095</v>
      </c>
      <c r="D2144" s="5" t="s">
        <v>9698</v>
      </c>
      <c r="F2144" s="5" t="s">
        <v>9699</v>
      </c>
      <c r="H2144" s="5">
        <v>573104566261</v>
      </c>
      <c r="J2144" s="5" t="s">
        <v>9700</v>
      </c>
      <c r="K2144" s="5" t="s">
        <v>63</v>
      </c>
      <c r="L2144" s="5" t="s">
        <v>9701</v>
      </c>
      <c r="M2144" s="5">
        <v>3146253678</v>
      </c>
      <c r="N2144" s="6">
        <v>46066</v>
      </c>
      <c r="O2144" s="7">
        <v>0.41666666666666669</v>
      </c>
      <c r="P2144" s="5">
        <v>1</v>
      </c>
      <c r="Q2144" s="5" t="s">
        <v>9576</v>
      </c>
      <c r="R2144" s="5">
        <v>90000</v>
      </c>
      <c r="S2144" s="5">
        <v>0</v>
      </c>
      <c r="T2144" s="5">
        <v>17000</v>
      </c>
      <c r="U2144" s="5">
        <v>107000</v>
      </c>
      <c r="V2144" s="5" t="s">
        <v>9702</v>
      </c>
      <c r="W2144" s="5" t="s">
        <v>36</v>
      </c>
      <c r="X2144" s="5" t="s">
        <v>180</v>
      </c>
      <c r="AA2144" s="5" t="s">
        <v>44</v>
      </c>
      <c r="AB2144" s="5" t="s">
        <v>9612</v>
      </c>
      <c r="AC2144" s="8" t="str">
        <f>HYPERLINK("https://drive.google.com/file/d/12_6GAP98UcBwx_r0kn6C8sFrq7Vw4XgH/view?usp=drivesdk", "Abrir_Factura")</f>
        <v>Abrir_Factura</v>
      </c>
      <c r="AD2144" s="9">
        <v>46065.62604166667</v>
      </c>
    </row>
    <row r="2145" spans="1:30" ht="12.5">
      <c r="A2145" s="4">
        <v>46065.623695231479</v>
      </c>
      <c r="B2145" s="5">
        <v>91883</v>
      </c>
      <c r="C2145" s="5">
        <v>1045760095</v>
      </c>
      <c r="D2145" s="5" t="s">
        <v>338</v>
      </c>
      <c r="F2145" s="5" t="s">
        <v>1699</v>
      </c>
      <c r="H2145" s="5">
        <v>573505984301</v>
      </c>
      <c r="J2145" s="5" t="s">
        <v>1719</v>
      </c>
      <c r="K2145" s="5" t="s">
        <v>892</v>
      </c>
      <c r="L2145" s="5" t="s">
        <v>9703</v>
      </c>
      <c r="M2145" s="5">
        <v>3505984301</v>
      </c>
      <c r="N2145" s="6">
        <v>46066</v>
      </c>
      <c r="O2145" s="7">
        <v>0.41666666666666669</v>
      </c>
      <c r="P2145" s="5">
        <v>1</v>
      </c>
      <c r="Q2145" s="5" t="s">
        <v>9199</v>
      </c>
      <c r="R2145" s="5">
        <v>180000</v>
      </c>
      <c r="S2145" s="5">
        <v>0</v>
      </c>
      <c r="T2145" s="5">
        <v>10000</v>
      </c>
      <c r="U2145" s="5">
        <v>190000</v>
      </c>
      <c r="V2145" s="5" t="s">
        <v>9704</v>
      </c>
      <c r="W2145" s="5" t="s">
        <v>36</v>
      </c>
      <c r="X2145" s="5" t="s">
        <v>7644</v>
      </c>
      <c r="Z2145" s="5" t="s">
        <v>9705</v>
      </c>
      <c r="AA2145" s="5" t="s">
        <v>44</v>
      </c>
      <c r="AB2145" s="5" t="s">
        <v>9706</v>
      </c>
      <c r="AC2145" s="8" t="str">
        <f>HYPERLINK("https://drive.google.com/file/d/1DBmvto_cn211rqOkYWbtW9v4D4d83pTd/view?usp=drivesdk", "Abrir_Factura")</f>
        <v>Abrir_Factura</v>
      </c>
      <c r="AD2145" s="9">
        <v>46065.632141203707</v>
      </c>
    </row>
    <row r="2146" spans="1:30" ht="12.5">
      <c r="A2146" s="4">
        <v>46065.630714155093</v>
      </c>
      <c r="B2146" s="5">
        <v>91884</v>
      </c>
      <c r="C2146" s="5">
        <v>1143134294</v>
      </c>
      <c r="D2146" s="5" t="s">
        <v>290</v>
      </c>
      <c r="F2146" s="5" t="s">
        <v>4430</v>
      </c>
      <c r="H2146" s="5">
        <v>573013808958</v>
      </c>
      <c r="J2146" s="5" t="s">
        <v>9707</v>
      </c>
      <c r="K2146" s="5" t="s">
        <v>185</v>
      </c>
      <c r="L2146" s="5" t="s">
        <v>9708</v>
      </c>
      <c r="M2146" s="5">
        <v>3017314734</v>
      </c>
      <c r="N2146" s="6">
        <v>46066</v>
      </c>
      <c r="O2146" s="7">
        <v>0.41666666666666669</v>
      </c>
      <c r="P2146" s="5">
        <v>1</v>
      </c>
      <c r="Q2146" s="5" t="s">
        <v>6874</v>
      </c>
      <c r="R2146" s="5">
        <v>120000</v>
      </c>
      <c r="S2146" s="5">
        <v>0</v>
      </c>
      <c r="T2146" s="5">
        <v>8000</v>
      </c>
      <c r="U2146" s="5">
        <v>128000</v>
      </c>
      <c r="V2146" s="5" t="s">
        <v>9709</v>
      </c>
      <c r="W2146" s="5" t="s">
        <v>36</v>
      </c>
      <c r="X2146" s="5" t="s">
        <v>7644</v>
      </c>
      <c r="Z2146" s="5" t="s">
        <v>9710</v>
      </c>
      <c r="AA2146" s="5" t="s">
        <v>44</v>
      </c>
      <c r="AB2146" s="5" t="s">
        <v>9600</v>
      </c>
      <c r="AC2146" s="8" t="str">
        <f>HYPERLINK("https://drive.google.com/file/d/1ymW2WL01aiXmeXa_IdoZii2LUUyTOVK6/view?usp=drivesdk", "Abrir_Factura")</f>
        <v>Abrir_Factura</v>
      </c>
      <c r="AD2146" s="9">
        <v>46065.638483796298</v>
      </c>
    </row>
    <row r="2147" spans="1:30" ht="12.5">
      <c r="A2147" s="4">
        <v>46065.53464849537</v>
      </c>
      <c r="B2147" s="5">
        <v>91885</v>
      </c>
      <c r="C2147" s="5">
        <v>1047044305</v>
      </c>
      <c r="D2147" s="5" t="s">
        <v>638</v>
      </c>
      <c r="F2147" s="5" t="s">
        <v>1683</v>
      </c>
      <c r="H2147" s="5">
        <v>573006429273</v>
      </c>
      <c r="J2147" s="5" t="s">
        <v>638</v>
      </c>
      <c r="K2147" s="5" t="s">
        <v>185</v>
      </c>
      <c r="L2147" s="5" t="s">
        <v>9711</v>
      </c>
      <c r="M2147" s="5">
        <v>3006429273</v>
      </c>
      <c r="N2147" s="6">
        <v>46065</v>
      </c>
      <c r="O2147" s="7">
        <v>0</v>
      </c>
      <c r="P2147" s="5">
        <v>1</v>
      </c>
      <c r="Q2147" s="5" t="s">
        <v>9712</v>
      </c>
      <c r="R2147" s="5">
        <v>260000</v>
      </c>
      <c r="S2147" s="5">
        <v>0</v>
      </c>
      <c r="T2147" s="5">
        <v>8000</v>
      </c>
      <c r="U2147" s="5">
        <v>268000</v>
      </c>
      <c r="V2147" s="5"/>
      <c r="W2147" s="5" t="s">
        <v>36</v>
      </c>
      <c r="X2147" s="5" t="s">
        <v>67</v>
      </c>
      <c r="AA2147" s="5" t="s">
        <v>69</v>
      </c>
      <c r="AB2147" s="5" t="s">
        <v>9713</v>
      </c>
      <c r="AC2147" s="8" t="str">
        <f>HYPERLINK("https://drive.google.com/file/d/1HH1vmM7Ez342eD3pcbHRKaYeznwEy4O4/view?usp=drivesdk", "Abrir_Factura")</f>
        <v>Abrir_Factura</v>
      </c>
      <c r="AD2147" s="9">
        <v>46065.65960648148</v>
      </c>
    </row>
    <row r="2148" spans="1:30" ht="12.5">
      <c r="A2148" s="4">
        <v>46065.635478796292</v>
      </c>
      <c r="B2148" s="5">
        <v>91886</v>
      </c>
      <c r="C2148" s="5">
        <v>22651947</v>
      </c>
      <c r="D2148" s="5" t="s">
        <v>9714</v>
      </c>
      <c r="F2148" s="5" t="s">
        <v>9715</v>
      </c>
      <c r="H2148" s="5">
        <v>573012703073</v>
      </c>
      <c r="J2148" s="5" t="s">
        <v>9716</v>
      </c>
      <c r="K2148" s="5" t="s">
        <v>1100</v>
      </c>
      <c r="L2148" s="5" t="s">
        <v>9717</v>
      </c>
      <c r="M2148" s="5">
        <v>3014576504</v>
      </c>
      <c r="N2148" s="6">
        <v>46065</v>
      </c>
      <c r="O2148" s="7">
        <v>0.70833333333333337</v>
      </c>
      <c r="P2148" s="5">
        <v>1</v>
      </c>
      <c r="Q2148" s="5" t="s">
        <v>9238</v>
      </c>
      <c r="R2148" s="5">
        <v>300000</v>
      </c>
      <c r="S2148" s="5">
        <v>0</v>
      </c>
      <c r="T2148" s="5">
        <v>13000</v>
      </c>
      <c r="U2148" s="5">
        <v>313000</v>
      </c>
      <c r="V2148" s="5"/>
      <c r="W2148" s="5" t="s">
        <v>36</v>
      </c>
      <c r="X2148" s="5" t="s">
        <v>7644</v>
      </c>
      <c r="Z2148" s="5" t="s">
        <v>9718</v>
      </c>
      <c r="AA2148" s="5" t="s">
        <v>44</v>
      </c>
      <c r="AB2148" s="5" t="s">
        <v>9612</v>
      </c>
      <c r="AC2148" s="8" t="str">
        <f>HYPERLINK("https://drive.google.com/file/d/1yNAxhrgc-heDDwmsbIrinbyMo-aMICbe/view?usp=drivesdk", "Abrir_Factura")</f>
        <v>Abrir_Factura</v>
      </c>
      <c r="AD2148" s="9">
        <v>46065.657847222225</v>
      </c>
    </row>
    <row r="2149" spans="1:30" ht="12.5">
      <c r="A2149" s="4">
        <v>46065.590731701392</v>
      </c>
      <c r="B2149" s="5">
        <v>91887</v>
      </c>
      <c r="C2149" s="5">
        <v>72209478</v>
      </c>
      <c r="D2149" s="5" t="s">
        <v>692</v>
      </c>
      <c r="F2149" s="5" t="s">
        <v>693</v>
      </c>
      <c r="H2149" s="5">
        <v>18133173677</v>
      </c>
      <c r="J2149" s="5">
        <v>3226551951</v>
      </c>
      <c r="K2149" s="5" t="s">
        <v>73</v>
      </c>
      <c r="L2149" s="5" t="s">
        <v>9719</v>
      </c>
      <c r="M2149" s="5" t="s">
        <v>9720</v>
      </c>
      <c r="N2149" s="6">
        <v>46066</v>
      </c>
      <c r="O2149" s="7">
        <v>0.5</v>
      </c>
      <c r="P2149" s="5">
        <v>1</v>
      </c>
      <c r="Q2149" s="5" t="s">
        <v>309</v>
      </c>
      <c r="R2149" s="5">
        <v>90000</v>
      </c>
      <c r="S2149" s="5">
        <v>0</v>
      </c>
      <c r="T2149" s="5">
        <v>8000</v>
      </c>
      <c r="U2149" s="5">
        <v>98000</v>
      </c>
      <c r="V2149" s="5" t="s">
        <v>9721</v>
      </c>
      <c r="W2149" s="5" t="s">
        <v>36</v>
      </c>
      <c r="X2149" s="5" t="s">
        <v>7644</v>
      </c>
      <c r="AA2149" s="5" t="s">
        <v>44</v>
      </c>
      <c r="AB2149" s="5" t="s">
        <v>9600</v>
      </c>
      <c r="AC2149" s="8" t="str">
        <f>HYPERLINK("https://drive.google.com/file/d/1SKm5B4VlEstHtCDP1UVr5M_IJuRFGBFg/view?usp=drivesdk", "Abrir_Factura")</f>
        <v>Abrir_Factura</v>
      </c>
      <c r="AD2149" s="9">
        <v>46065.664247685185</v>
      </c>
    </row>
    <row r="2150" spans="1:30" ht="12.5">
      <c r="A2150" s="4">
        <v>46065.645774942124</v>
      </c>
      <c r="B2150" s="5">
        <v>91888</v>
      </c>
      <c r="C2150" s="5">
        <v>92640186</v>
      </c>
      <c r="D2150" s="5" t="s">
        <v>2889</v>
      </c>
      <c r="F2150" s="5" t="s">
        <v>4009</v>
      </c>
      <c r="H2150" s="5">
        <v>5.7304300000000003E+20</v>
      </c>
      <c r="J2150" s="5" t="s">
        <v>4010</v>
      </c>
      <c r="K2150" s="5" t="s">
        <v>1317</v>
      </c>
      <c r="L2150" s="5" t="s">
        <v>9722</v>
      </c>
      <c r="M2150" s="5">
        <v>3245192336</v>
      </c>
      <c r="N2150" s="6">
        <v>46065</v>
      </c>
      <c r="O2150" s="7">
        <v>0.20833333333333334</v>
      </c>
      <c r="P2150" s="5">
        <v>1</v>
      </c>
      <c r="Q2150" s="5" t="s">
        <v>1792</v>
      </c>
      <c r="R2150" s="5">
        <v>160000</v>
      </c>
      <c r="S2150" s="5">
        <v>0</v>
      </c>
      <c r="T2150" s="5">
        <v>12000</v>
      </c>
      <c r="U2150" s="5">
        <v>172000</v>
      </c>
      <c r="V2150" s="5"/>
      <c r="W2150" s="5" t="s">
        <v>36</v>
      </c>
      <c r="X2150" s="5" t="s">
        <v>67</v>
      </c>
      <c r="Z2150" s="5" t="s">
        <v>9723</v>
      </c>
      <c r="AA2150" s="5" t="s">
        <v>44</v>
      </c>
      <c r="AC2150" s="8" t="str">
        <f>HYPERLINK("https://drive.google.com/file/d/1Ef9pCF4Rf877vBz_U23uZCRxawbahZ59/view?usp=drivesdk", "Abrir_Factura")</f>
        <v>Abrir_Factura</v>
      </c>
      <c r="AD2150" s="9">
        <v>46065.664583333331</v>
      </c>
    </row>
    <row r="2151" spans="1:30" ht="12.5">
      <c r="A2151" s="4">
        <v>46065.666879293982</v>
      </c>
      <c r="B2151" s="5">
        <v>91889</v>
      </c>
      <c r="C2151" s="5">
        <v>1140833318</v>
      </c>
      <c r="D2151" s="5" t="s">
        <v>904</v>
      </c>
      <c r="F2151" s="5" t="s">
        <v>3512</v>
      </c>
      <c r="H2151" s="5">
        <v>573177936614</v>
      </c>
      <c r="J2151" s="5" t="s">
        <v>41</v>
      </c>
      <c r="K2151" s="5" t="s">
        <v>33</v>
      </c>
      <c r="L2151" s="5" t="s">
        <v>9724</v>
      </c>
      <c r="M2151" s="5"/>
      <c r="N2151" s="6">
        <v>46066</v>
      </c>
      <c r="O2151" s="7">
        <v>0.75</v>
      </c>
      <c r="P2151" s="5">
        <v>1</v>
      </c>
      <c r="Q2151" s="5" t="s">
        <v>6874</v>
      </c>
      <c r="R2151" s="5">
        <v>120000</v>
      </c>
      <c r="S2151" s="5">
        <v>0</v>
      </c>
      <c r="T2151" s="5">
        <v>0</v>
      </c>
      <c r="U2151" s="5">
        <v>120000</v>
      </c>
      <c r="V2151" s="5" t="s">
        <v>9725</v>
      </c>
      <c r="W2151" s="5" t="s">
        <v>36</v>
      </c>
      <c r="X2151" s="5" t="s">
        <v>2438</v>
      </c>
      <c r="AA2151" s="5" t="s">
        <v>69</v>
      </c>
      <c r="AB2151" s="5" t="s">
        <v>9726</v>
      </c>
      <c r="AC2151" s="8" t="str">
        <f>HYPERLINK("https://drive.google.com/file/d/1gZRMvKi9V-c0foRL5VWvzzMj5n8rMcho/view?usp=drivesdk", "Abrir_Factura")</f>
        <v>Abrir_Factura</v>
      </c>
      <c r="AD2151" s="9">
        <v>46065.66847222222</v>
      </c>
    </row>
    <row r="2152" spans="1:30" ht="12.5">
      <c r="A2152" s="4">
        <v>46065.676275763893</v>
      </c>
      <c r="B2152" s="5">
        <v>91890</v>
      </c>
      <c r="C2152" s="5">
        <v>32759037</v>
      </c>
      <c r="D2152" s="5" t="s">
        <v>5076</v>
      </c>
      <c r="F2152" s="5" t="s">
        <v>6408</v>
      </c>
      <c r="H2152" s="5">
        <v>573504574956</v>
      </c>
      <c r="J2152" s="5" t="s">
        <v>6409</v>
      </c>
      <c r="K2152" s="5" t="s">
        <v>33</v>
      </c>
      <c r="L2152" s="5" t="s">
        <v>34</v>
      </c>
      <c r="M2152" s="5">
        <v>3504574956</v>
      </c>
      <c r="N2152" s="6">
        <v>46065</v>
      </c>
      <c r="O2152" s="7">
        <v>0</v>
      </c>
      <c r="P2152" s="5">
        <v>1</v>
      </c>
      <c r="Q2152" s="5" t="s">
        <v>42</v>
      </c>
      <c r="R2152" s="5">
        <v>140000</v>
      </c>
      <c r="S2152" s="5">
        <v>0</v>
      </c>
      <c r="T2152" s="5">
        <v>0</v>
      </c>
      <c r="U2152" s="5">
        <v>140000</v>
      </c>
      <c r="V2152" s="5"/>
      <c r="W2152" s="5" t="s">
        <v>36</v>
      </c>
      <c r="X2152" s="5" t="s">
        <v>2438</v>
      </c>
      <c r="AA2152" s="5" t="s">
        <v>1717</v>
      </c>
      <c r="AC2152" s="8" t="str">
        <f>HYPERLINK("https://drive.google.com/file/d/1ZMk79mCW7jTHv4XM9iFBWYOqwMQXuRzQ/view?usp=drivesdk", "Abrir_Factura")</f>
        <v>Abrir_Factura</v>
      </c>
      <c r="AD2152" s="9">
        <v>46065.676793981482</v>
      </c>
    </row>
    <row r="2153" spans="1:30" ht="12.5">
      <c r="A2153" s="4">
        <v>46065.675639976849</v>
      </c>
      <c r="B2153" s="5">
        <v>91891</v>
      </c>
      <c r="C2153" s="5">
        <v>22403017</v>
      </c>
      <c r="D2153" s="5" t="s">
        <v>9727</v>
      </c>
      <c r="F2153" s="5" t="s">
        <v>9728</v>
      </c>
      <c r="H2153" s="5">
        <v>573157014056</v>
      </c>
      <c r="J2153" s="5" t="s">
        <v>9729</v>
      </c>
      <c r="K2153" s="5"/>
      <c r="L2153" s="5" t="s">
        <v>9730</v>
      </c>
      <c r="M2153" s="5"/>
      <c r="N2153" s="6">
        <v>46066</v>
      </c>
      <c r="O2153" s="7">
        <v>0.33333333333333331</v>
      </c>
      <c r="P2153" s="5">
        <v>1</v>
      </c>
      <c r="Q2153" s="5" t="s">
        <v>42</v>
      </c>
      <c r="R2153" s="5">
        <v>90000</v>
      </c>
      <c r="S2153" s="5">
        <v>0</v>
      </c>
      <c r="T2153" s="5"/>
      <c r="U2153" s="5">
        <v>90000</v>
      </c>
      <c r="V2153" s="5" t="s">
        <v>9731</v>
      </c>
      <c r="W2153" s="5" t="s">
        <v>36</v>
      </c>
      <c r="X2153" s="5" t="s">
        <v>83</v>
      </c>
      <c r="AA2153" s="5" t="s">
        <v>44</v>
      </c>
      <c r="AB2153" s="5" t="s">
        <v>9612</v>
      </c>
      <c r="AC2153" s="8" t="str">
        <f>HYPERLINK("https://drive.google.com/file/d/1L2sPK1siR-rUil2mcquvtwEZGSTVBRNs/view?usp=drivesdk", "Abrir_Factura")</f>
        <v>Abrir_Factura</v>
      </c>
      <c r="AD2153" s="9">
        <v>46065.67696759259</v>
      </c>
    </row>
    <row r="2154" spans="1:30" ht="12.5">
      <c r="A2154" s="4">
        <v>46065.678243171293</v>
      </c>
      <c r="B2154" s="5">
        <v>91892</v>
      </c>
      <c r="C2154" s="5">
        <v>1094046829</v>
      </c>
      <c r="D2154" s="5" t="s">
        <v>2287</v>
      </c>
      <c r="F2154" s="5" t="s">
        <v>9732</v>
      </c>
      <c r="H2154" s="5">
        <v>573225941300</v>
      </c>
      <c r="J2154" s="5" t="s">
        <v>9733</v>
      </c>
      <c r="K2154" s="5" t="s">
        <v>328</v>
      </c>
      <c r="L2154" s="5" t="s">
        <v>9734</v>
      </c>
      <c r="M2154" s="5">
        <v>0</v>
      </c>
      <c r="N2154" s="6">
        <v>46066</v>
      </c>
      <c r="O2154" s="7">
        <v>0.375</v>
      </c>
      <c r="P2154" s="5">
        <v>1</v>
      </c>
      <c r="Q2154" s="5" t="s">
        <v>9735</v>
      </c>
      <c r="R2154" s="5">
        <v>300000</v>
      </c>
      <c r="S2154" s="5">
        <v>0</v>
      </c>
      <c r="T2154" s="5">
        <v>12000</v>
      </c>
      <c r="U2154" s="5">
        <v>312000</v>
      </c>
      <c r="V2154" s="5" t="s">
        <v>9736</v>
      </c>
      <c r="W2154" s="5" t="s">
        <v>36</v>
      </c>
      <c r="X2154" s="5" t="s">
        <v>7644</v>
      </c>
      <c r="AA2154" s="5" t="s">
        <v>44</v>
      </c>
      <c r="AB2154" s="5" t="s">
        <v>9612</v>
      </c>
      <c r="AC2154" s="8" t="str">
        <f>HYPERLINK("https://drive.google.com/file/d/1LeNLeidwNx3JIf4eP-lkXKIFbB78nw75/view?usp=drivesdk", "Abrir_Factura")</f>
        <v>Abrir_Factura</v>
      </c>
      <c r="AD2154" s="9">
        <v>46065.786099537036</v>
      </c>
    </row>
    <row r="2155" spans="1:30" ht="12.5">
      <c r="A2155" s="4">
        <v>46065.683241226856</v>
      </c>
      <c r="B2155" s="5">
        <v>91893</v>
      </c>
      <c r="C2155" s="5">
        <v>1140846895</v>
      </c>
      <c r="D2155" s="5" t="s">
        <v>9737</v>
      </c>
      <c r="F2155" s="5" t="s">
        <v>9738</v>
      </c>
      <c r="H2155" s="5">
        <v>573013529652</v>
      </c>
      <c r="J2155" s="5" t="s">
        <v>9739</v>
      </c>
      <c r="K2155" s="5" t="s">
        <v>73</v>
      </c>
      <c r="L2155" s="5" t="s">
        <v>9740</v>
      </c>
      <c r="M2155" s="5">
        <v>3013529652</v>
      </c>
      <c r="N2155" s="6">
        <v>46066</v>
      </c>
      <c r="O2155" s="7">
        <v>0.58333333333333337</v>
      </c>
      <c r="P2155" s="5">
        <v>1</v>
      </c>
      <c r="Q2155" s="5" t="s">
        <v>42</v>
      </c>
      <c r="R2155" s="5">
        <v>137000</v>
      </c>
      <c r="S2155" s="5">
        <v>0</v>
      </c>
      <c r="T2155" s="5">
        <v>8000</v>
      </c>
      <c r="U2155" s="5">
        <v>145000</v>
      </c>
      <c r="V2155" s="5"/>
      <c r="W2155" s="5" t="s">
        <v>36</v>
      </c>
      <c r="X2155" s="5" t="s">
        <v>7644</v>
      </c>
      <c r="AA2155" s="5" t="s">
        <v>1717</v>
      </c>
      <c r="AC2155" s="8" t="str">
        <f>HYPERLINK("https://drive.google.com/file/d/1rko6kMxdjQdKnxRXgHvFQylg0fJNrYeH/view?usp=drivesdk", "Abrir_Factura")</f>
        <v>Abrir_Factura</v>
      </c>
      <c r="AD2155" s="9">
        <v>46065.707673611112</v>
      </c>
    </row>
    <row r="2156" spans="1:30" ht="12.5">
      <c r="A2156" s="4">
        <v>46065.689018541671</v>
      </c>
      <c r="B2156" s="5">
        <v>91894</v>
      </c>
      <c r="C2156" s="5">
        <v>900467904</v>
      </c>
      <c r="D2156" s="5" t="s">
        <v>2178</v>
      </c>
      <c r="F2156" s="5" t="s">
        <v>9741</v>
      </c>
      <c r="H2156" s="5">
        <v>573015669546</v>
      </c>
      <c r="J2156" s="5" t="s">
        <v>2178</v>
      </c>
      <c r="K2156" s="5" t="s">
        <v>33</v>
      </c>
      <c r="L2156" s="5" t="s">
        <v>34</v>
      </c>
      <c r="M2156" s="5">
        <v>3015669546</v>
      </c>
      <c r="N2156" s="6">
        <v>46065</v>
      </c>
      <c r="O2156" s="7">
        <v>0</v>
      </c>
      <c r="P2156" s="5">
        <v>1</v>
      </c>
      <c r="Q2156" s="5" t="s">
        <v>42</v>
      </c>
      <c r="R2156" s="5">
        <v>172000</v>
      </c>
      <c r="S2156" s="5">
        <v>0</v>
      </c>
      <c r="T2156" s="5">
        <v>0</v>
      </c>
      <c r="U2156" s="5">
        <v>172000</v>
      </c>
      <c r="V2156" s="5"/>
      <c r="W2156" s="5" t="s">
        <v>36</v>
      </c>
      <c r="X2156" s="5" t="s">
        <v>43</v>
      </c>
      <c r="AA2156" s="5" t="s">
        <v>44</v>
      </c>
      <c r="AB2156" s="5" t="s">
        <v>9742</v>
      </c>
      <c r="AC2156" s="8" t="str">
        <f>HYPERLINK("https://drive.google.com/file/d/1Bb00H3JnfXw0VIKOgd41IU9Rdc-sGNYf/view?usp=drivesdk", "Abrir_Factura")</f>
        <v>Abrir_Factura</v>
      </c>
      <c r="AD2156" s="9">
        <v>46065.690162037034</v>
      </c>
    </row>
    <row r="2157" spans="1:30" ht="12.5">
      <c r="A2157" s="4">
        <v>46065.689388159721</v>
      </c>
      <c r="B2157" s="5">
        <v>91895</v>
      </c>
      <c r="C2157" s="5">
        <v>1042249174</v>
      </c>
      <c r="D2157" s="5" t="s">
        <v>6348</v>
      </c>
      <c r="F2157" s="5" t="s">
        <v>6349</v>
      </c>
      <c r="H2157" s="5">
        <v>573184094610</v>
      </c>
      <c r="J2157" s="5" t="s">
        <v>9743</v>
      </c>
      <c r="K2157" s="5" t="s">
        <v>63</v>
      </c>
      <c r="L2157" s="5" t="s">
        <v>9744</v>
      </c>
      <c r="M2157" s="5">
        <v>3186010527</v>
      </c>
      <c r="N2157" s="6">
        <v>46066</v>
      </c>
      <c r="O2157" s="7">
        <v>0</v>
      </c>
      <c r="P2157" s="5">
        <v>1</v>
      </c>
      <c r="Q2157" s="5" t="s">
        <v>9444</v>
      </c>
      <c r="R2157" s="5">
        <v>250000</v>
      </c>
      <c r="S2157" s="5">
        <v>0</v>
      </c>
      <c r="T2157" s="5">
        <v>17000</v>
      </c>
      <c r="U2157" s="5">
        <v>267000</v>
      </c>
      <c r="V2157" s="5" t="s">
        <v>9745</v>
      </c>
      <c r="W2157" s="5" t="s">
        <v>36</v>
      </c>
      <c r="X2157" s="5" t="s">
        <v>7644</v>
      </c>
      <c r="Z2157" s="5" t="s">
        <v>9746</v>
      </c>
      <c r="AA2157" s="5" t="s">
        <v>44</v>
      </c>
      <c r="AB2157" s="5" t="s">
        <v>9726</v>
      </c>
      <c r="AC2157" s="8" t="str">
        <f>HYPERLINK("https://drive.google.com/file/d/1foi3WtXc33A2csLHLeNvjwCLCjxeJz-l/view?usp=drivesdk", "Abrir_Factura")</f>
        <v>Abrir_Factura</v>
      </c>
      <c r="AD2157" s="9">
        <v>46065.712280092594</v>
      </c>
    </row>
    <row r="2158" spans="1:30" ht="12.5">
      <c r="A2158" s="4">
        <v>46065.602562627319</v>
      </c>
      <c r="B2158" s="5">
        <v>91896</v>
      </c>
      <c r="C2158" s="5">
        <v>1038412070</v>
      </c>
      <c r="D2158" s="5" t="s">
        <v>2818</v>
      </c>
      <c r="F2158" s="5" t="s">
        <v>1831</v>
      </c>
      <c r="H2158" s="5">
        <v>573022203516</v>
      </c>
      <c r="J2158" s="5" t="s">
        <v>9747</v>
      </c>
      <c r="K2158" s="5" t="s">
        <v>208</v>
      </c>
      <c r="L2158" s="5" t="s">
        <v>9748</v>
      </c>
      <c r="M2158" s="5"/>
      <c r="N2158" s="6">
        <v>46065</v>
      </c>
      <c r="O2158" s="7">
        <v>0.22916666666666666</v>
      </c>
      <c r="P2158" s="5">
        <v>1</v>
      </c>
      <c r="Q2158" s="5" t="s">
        <v>42</v>
      </c>
      <c r="R2158" s="5">
        <v>100000</v>
      </c>
      <c r="S2158" s="5">
        <v>0</v>
      </c>
      <c r="T2158" s="5">
        <v>10000</v>
      </c>
      <c r="U2158" s="5">
        <v>110000</v>
      </c>
      <c r="V2158" s="5"/>
      <c r="W2158" s="5" t="s">
        <v>36</v>
      </c>
      <c r="X2158" s="5" t="s">
        <v>67</v>
      </c>
      <c r="AA2158" s="5" t="s">
        <v>1717</v>
      </c>
      <c r="AB2158" s="5" t="s">
        <v>9749</v>
      </c>
      <c r="AC2158" s="8" t="str">
        <f>HYPERLINK("https://drive.google.com/file/d/1EmnQANPEMaIqPl6OA51CcXYZSePfzcQL/view?usp=drivesdk", "Abrir_Factura")</f>
        <v>Abrir_Factura</v>
      </c>
      <c r="AD2158" s="9">
        <v>46065.71162037037</v>
      </c>
    </row>
    <row r="2159" spans="1:30" ht="12.5">
      <c r="A2159" s="4">
        <v>46065.699113773153</v>
      </c>
      <c r="B2159" s="5">
        <v>91897</v>
      </c>
      <c r="C2159" s="5">
        <v>4240620</v>
      </c>
      <c r="D2159" s="5" t="s">
        <v>9750</v>
      </c>
      <c r="F2159" s="5" t="s">
        <v>9751</v>
      </c>
      <c r="H2159" s="5">
        <v>5583998040546</v>
      </c>
      <c r="J2159" s="5" t="s">
        <v>9752</v>
      </c>
      <c r="K2159" s="5" t="s">
        <v>103</v>
      </c>
      <c r="L2159" s="5" t="s">
        <v>9753</v>
      </c>
      <c r="M2159" s="5" t="s">
        <v>25421</v>
      </c>
      <c r="N2159" s="6">
        <v>46066</v>
      </c>
      <c r="O2159" s="7">
        <v>0.375</v>
      </c>
      <c r="P2159" s="5">
        <v>1</v>
      </c>
      <c r="Q2159" s="5" t="s">
        <v>9630</v>
      </c>
      <c r="R2159" s="5">
        <v>170000</v>
      </c>
      <c r="S2159" s="5">
        <v>0</v>
      </c>
      <c r="T2159" s="5">
        <v>10000</v>
      </c>
      <c r="U2159" s="5">
        <v>180000</v>
      </c>
      <c r="V2159" s="5" t="s">
        <v>9754</v>
      </c>
      <c r="W2159" s="5" t="s">
        <v>36</v>
      </c>
      <c r="X2159" s="5" t="s">
        <v>1937</v>
      </c>
      <c r="Z2159" s="5" t="s">
        <v>9755</v>
      </c>
      <c r="AA2159" s="5" t="s">
        <v>44</v>
      </c>
      <c r="AB2159" s="5" t="s">
        <v>9756</v>
      </c>
      <c r="AC2159" s="8" t="str">
        <f>HYPERLINK("https://drive.google.com/file/d/1qgfKJd08Gp7kvhdMN7YfeY0ARdyCN5W5/view?usp=drivesdk", "Abrir_Factura")</f>
        <v>Abrir_Factura</v>
      </c>
      <c r="AD2159" s="9">
        <v>46065.713310185187</v>
      </c>
    </row>
    <row r="2160" spans="1:30" ht="12.5">
      <c r="A2160" s="4">
        <v>46065.63675878472</v>
      </c>
      <c r="B2160" s="5">
        <v>91898</v>
      </c>
      <c r="C2160" s="5">
        <v>43097808</v>
      </c>
      <c r="D2160" s="5" t="s">
        <v>9757</v>
      </c>
      <c r="F2160" s="5" t="s">
        <v>4491</v>
      </c>
      <c r="H2160" s="5">
        <v>17816860508</v>
      </c>
      <c r="J2160" s="5" t="s">
        <v>9758</v>
      </c>
      <c r="K2160" s="5" t="s">
        <v>154</v>
      </c>
      <c r="L2160" s="5" t="s">
        <v>9759</v>
      </c>
      <c r="M2160" s="5">
        <v>3103779035</v>
      </c>
      <c r="N2160" s="6">
        <v>46065</v>
      </c>
      <c r="O2160" s="7">
        <v>0.25</v>
      </c>
      <c r="P2160" s="5">
        <v>1</v>
      </c>
      <c r="Q2160" s="5" t="s">
        <v>309</v>
      </c>
      <c r="R2160" s="5">
        <v>88000</v>
      </c>
      <c r="S2160" s="5">
        <v>0</v>
      </c>
      <c r="T2160" s="5">
        <v>8000</v>
      </c>
      <c r="U2160" s="5">
        <v>96000</v>
      </c>
      <c r="V2160" s="5" t="s">
        <v>9760</v>
      </c>
      <c r="W2160" s="5" t="s">
        <v>36</v>
      </c>
      <c r="X2160" s="5" t="s">
        <v>7644</v>
      </c>
      <c r="Z2160" s="5" t="s">
        <v>9761</v>
      </c>
      <c r="AA2160" s="5" t="s">
        <v>44</v>
      </c>
      <c r="AB2160" s="5" t="s">
        <v>9762</v>
      </c>
      <c r="AC2160" s="8" t="str">
        <f>HYPERLINK("https://drive.google.com/file/d/1TvEkze8xSUL2A6tZMUOkbzUIShR4I8CM/view?usp=drivesdk", "Abrir_Factura")</f>
        <v>Abrir_Factura</v>
      </c>
      <c r="AD2160" s="9">
        <v>46065.721712962964</v>
      </c>
    </row>
    <row r="2161" spans="1:30" ht="12.5">
      <c r="A2161" s="4">
        <v>46065.705381770837</v>
      </c>
      <c r="B2161" s="5">
        <v>91899</v>
      </c>
      <c r="C2161" s="5">
        <v>1007627717</v>
      </c>
      <c r="D2161" s="5" t="s">
        <v>9763</v>
      </c>
      <c r="F2161" s="5" t="s">
        <v>6711</v>
      </c>
      <c r="H2161" s="5">
        <v>573107291368</v>
      </c>
      <c r="J2161" s="5" t="s">
        <v>9764</v>
      </c>
      <c r="K2161" s="5" t="s">
        <v>405</v>
      </c>
      <c r="L2161" s="5" t="s">
        <v>9765</v>
      </c>
      <c r="M2161" s="5">
        <v>3046647685</v>
      </c>
      <c r="N2161" s="6">
        <v>46066</v>
      </c>
      <c r="O2161" s="7">
        <v>0</v>
      </c>
      <c r="P2161" s="5">
        <v>1</v>
      </c>
      <c r="Q2161" s="5" t="s">
        <v>309</v>
      </c>
      <c r="R2161" s="5">
        <v>90000</v>
      </c>
      <c r="S2161" s="5">
        <v>0</v>
      </c>
      <c r="T2161" s="5">
        <v>30000</v>
      </c>
      <c r="U2161" s="5">
        <v>120000</v>
      </c>
      <c r="V2161" s="5" t="s">
        <v>9766</v>
      </c>
      <c r="W2161" s="5" t="s">
        <v>36</v>
      </c>
      <c r="X2161" s="5" t="s">
        <v>7644</v>
      </c>
      <c r="Z2161" s="5" t="s">
        <v>9767</v>
      </c>
      <c r="AA2161" s="5" t="s">
        <v>69</v>
      </c>
      <c r="AB2161" s="5" t="s">
        <v>9726</v>
      </c>
      <c r="AC2161" s="8" t="str">
        <f>HYPERLINK("https://drive.google.com/file/d/1__f9Qkqvg_V5ETkQAUVkxG_XcHuuHDPa/view?usp=drivesdk", "Abrir_Factura")</f>
        <v>Abrir_Factura</v>
      </c>
      <c r="AD2161" s="9">
        <v>46065.723680555559</v>
      </c>
    </row>
    <row r="2162" spans="1:30" ht="12.5">
      <c r="A2162" s="4">
        <v>46065.717816550925</v>
      </c>
      <c r="B2162" s="5">
        <v>91900</v>
      </c>
      <c r="C2162" s="5">
        <v>1001817955</v>
      </c>
      <c r="D2162" s="5" t="s">
        <v>182</v>
      </c>
      <c r="F2162" s="5" t="s">
        <v>9768</v>
      </c>
      <c r="H2162" s="5">
        <v>34600784957</v>
      </c>
      <c r="J2162" s="5" t="s">
        <v>5321</v>
      </c>
      <c r="K2162" s="5" t="s">
        <v>185</v>
      </c>
      <c r="L2162" s="5" t="s">
        <v>9769</v>
      </c>
      <c r="M2162" s="5">
        <v>3215919132</v>
      </c>
      <c r="N2162" s="6">
        <v>46066</v>
      </c>
      <c r="O2162" s="7">
        <v>0.41666666666666669</v>
      </c>
      <c r="P2162" s="5">
        <v>1</v>
      </c>
      <c r="Q2162" s="5" t="s">
        <v>458</v>
      </c>
      <c r="R2162" s="5">
        <v>360000</v>
      </c>
      <c r="S2162" s="5">
        <v>0</v>
      </c>
      <c r="T2162" s="5">
        <v>8000</v>
      </c>
      <c r="U2162" s="5">
        <v>368000</v>
      </c>
      <c r="V2162" s="5"/>
      <c r="W2162" s="5" t="s">
        <v>36</v>
      </c>
      <c r="X2162" s="5" t="s">
        <v>7644</v>
      </c>
      <c r="Z2162" s="5" t="s">
        <v>9770</v>
      </c>
      <c r="AA2162" s="5" t="s">
        <v>44</v>
      </c>
      <c r="AB2162" s="5" t="s">
        <v>9771</v>
      </c>
      <c r="AC2162" s="8" t="str">
        <f>HYPERLINK("https://drive.google.com/file/d/1U9wQEAOVlVe4lEHh1XSQu2zg1pw1cPdC/view?usp=drivesdk", "Abrir_Factura")</f>
        <v>Abrir_Factura</v>
      </c>
      <c r="AD2162" s="9">
        <v>46065.731365740743</v>
      </c>
    </row>
    <row r="2163" spans="1:30" ht="12.5">
      <c r="A2163" s="4">
        <v>46065.731954351853</v>
      </c>
      <c r="B2163" s="5">
        <v>91901</v>
      </c>
      <c r="C2163" s="5">
        <v>10274100882</v>
      </c>
      <c r="D2163" s="5" t="s">
        <v>9772</v>
      </c>
      <c r="F2163" s="5" t="s">
        <v>9773</v>
      </c>
      <c r="H2163" s="5">
        <v>13128896624</v>
      </c>
      <c r="J2163" s="5" t="s">
        <v>9774</v>
      </c>
      <c r="K2163" s="5" t="s">
        <v>110</v>
      </c>
      <c r="L2163" s="5" t="s">
        <v>9775</v>
      </c>
      <c r="M2163" s="5"/>
      <c r="N2163" s="6">
        <v>46066</v>
      </c>
      <c r="O2163" s="7">
        <v>0.41666666666666669</v>
      </c>
      <c r="P2163" s="5">
        <v>1</v>
      </c>
      <c r="Q2163" s="5" t="s">
        <v>9776</v>
      </c>
      <c r="R2163" s="5">
        <v>250000</v>
      </c>
      <c r="S2163" s="5">
        <v>0</v>
      </c>
      <c r="T2163" s="5">
        <v>6000</v>
      </c>
      <c r="U2163" s="5">
        <v>256000</v>
      </c>
      <c r="V2163" s="5"/>
      <c r="W2163" s="5" t="s">
        <v>36</v>
      </c>
      <c r="X2163" s="5" t="s">
        <v>1705</v>
      </c>
      <c r="AA2163" s="5" t="s">
        <v>1717</v>
      </c>
      <c r="AC2163" s="8" t="str">
        <f>HYPERLINK("https://drive.google.com/file/d/1ktfegDldP7TK7Iq5p8j3hJICVg4IQFgr/view?usp=drivesdk", "Abrir_Factura")</f>
        <v>Abrir_Factura</v>
      </c>
      <c r="AD2163" s="9">
        <v>46065.771284722221</v>
      </c>
    </row>
    <row r="2164" spans="1:30" ht="12.5">
      <c r="A2164" s="4">
        <v>46065.723466620373</v>
      </c>
      <c r="B2164" s="5">
        <v>91902</v>
      </c>
      <c r="C2164" s="5">
        <v>1140898472</v>
      </c>
      <c r="D2164" s="5" t="s">
        <v>376</v>
      </c>
      <c r="F2164" s="5" t="s">
        <v>601</v>
      </c>
      <c r="H2164" s="5">
        <v>573156182908</v>
      </c>
      <c r="J2164" s="5" t="s">
        <v>9777</v>
      </c>
      <c r="K2164" s="5" t="s">
        <v>420</v>
      </c>
      <c r="L2164" s="5" t="s">
        <v>9778</v>
      </c>
      <c r="M2164" s="5">
        <v>3156182908</v>
      </c>
      <c r="N2164" s="6">
        <v>46066</v>
      </c>
      <c r="O2164" s="7">
        <v>0</v>
      </c>
      <c r="P2164" s="5">
        <v>1</v>
      </c>
      <c r="Q2164" s="5" t="s">
        <v>3372</v>
      </c>
      <c r="R2164" s="5">
        <v>80000</v>
      </c>
      <c r="S2164" s="5">
        <v>0</v>
      </c>
      <c r="T2164" s="5">
        <v>16000</v>
      </c>
      <c r="U2164" s="5">
        <v>96000</v>
      </c>
      <c r="V2164" s="5" t="s">
        <v>9779</v>
      </c>
      <c r="W2164" s="5" t="s">
        <v>36</v>
      </c>
      <c r="X2164" s="5" t="s">
        <v>67</v>
      </c>
      <c r="Z2164" s="5" t="s">
        <v>9780</v>
      </c>
      <c r="AA2164" s="5" t="s">
        <v>44</v>
      </c>
      <c r="AB2164" s="5" t="s">
        <v>9781</v>
      </c>
      <c r="AC2164" s="8" t="str">
        <f>HYPERLINK("https://drive.google.com/file/d/1hL_dUSMz0u-JLdENPgrPKU_WhUn01j1u/view?usp=drivesdk", "Abrir_Factura")</f>
        <v>Abrir_Factura</v>
      </c>
      <c r="AD2164" s="9">
        <v>46065.735381944447</v>
      </c>
    </row>
    <row r="2165" spans="1:30" ht="12.5">
      <c r="A2165" s="4">
        <v>46065.731137499999</v>
      </c>
      <c r="B2165" s="5">
        <v>91903</v>
      </c>
      <c r="C2165" s="5">
        <v>1044212904</v>
      </c>
      <c r="D2165" s="5" t="s">
        <v>9607</v>
      </c>
      <c r="F2165" s="5" t="s">
        <v>1221</v>
      </c>
      <c r="H2165" s="5">
        <v>573205216447</v>
      </c>
      <c r="J2165" s="5" t="s">
        <v>9782</v>
      </c>
      <c r="K2165" s="5" t="s">
        <v>249</v>
      </c>
      <c r="L2165" s="5" t="s">
        <v>9783</v>
      </c>
      <c r="M2165" s="5">
        <v>3023574207</v>
      </c>
      <c r="N2165" s="6">
        <v>46066</v>
      </c>
      <c r="O2165" s="7">
        <v>0.41666666666666669</v>
      </c>
      <c r="P2165" s="5">
        <v>1</v>
      </c>
      <c r="Q2165" s="5" t="s">
        <v>9280</v>
      </c>
      <c r="R2165" s="5">
        <v>95000</v>
      </c>
      <c r="S2165" s="5">
        <v>0</v>
      </c>
      <c r="T2165" s="5">
        <v>10000</v>
      </c>
      <c r="U2165" s="5">
        <v>105000</v>
      </c>
      <c r="V2165" s="5" t="s">
        <v>9784</v>
      </c>
      <c r="W2165" s="5" t="s">
        <v>36</v>
      </c>
      <c r="X2165" s="5" t="s">
        <v>7644</v>
      </c>
      <c r="Z2165" s="5" t="s">
        <v>9785</v>
      </c>
      <c r="AA2165" s="5" t="s">
        <v>44</v>
      </c>
      <c r="AB2165" s="5" t="s">
        <v>9771</v>
      </c>
      <c r="AC2165" s="8" t="str">
        <f>HYPERLINK("https://drive.google.com/file/d/1Q1SZZRQqgiehx1O5V5_0rFdKVAcwAc6o/view?usp=drivesdk", "Abrir_Factura")</f>
        <v>Abrir_Factura</v>
      </c>
      <c r="AD2165" s="9">
        <v>46065.740543981483</v>
      </c>
    </row>
    <row r="2166" spans="1:30" ht="12.5">
      <c r="A2166" s="4">
        <v>46065.746533124999</v>
      </c>
      <c r="B2166" s="5">
        <v>91904</v>
      </c>
      <c r="C2166" s="5">
        <v>104574576</v>
      </c>
      <c r="D2166" s="5" t="s">
        <v>9786</v>
      </c>
      <c r="F2166" s="5" t="s">
        <v>40</v>
      </c>
      <c r="H2166" s="5">
        <v>573002603555</v>
      </c>
      <c r="J2166" s="5" t="s">
        <v>5682</v>
      </c>
      <c r="K2166" s="5" t="s">
        <v>33</v>
      </c>
      <c r="L2166" s="5" t="s">
        <v>34</v>
      </c>
      <c r="M2166" s="5"/>
      <c r="N2166" s="6">
        <v>46065</v>
      </c>
      <c r="O2166" s="7">
        <v>0</v>
      </c>
      <c r="P2166" s="5">
        <v>1</v>
      </c>
      <c r="Q2166" s="5" t="s">
        <v>42</v>
      </c>
      <c r="R2166" s="5">
        <v>20000</v>
      </c>
      <c r="S2166" s="5">
        <v>0</v>
      </c>
      <c r="T2166" s="5">
        <v>0</v>
      </c>
      <c r="U2166" s="5">
        <v>20000</v>
      </c>
      <c r="V2166" s="5"/>
      <c r="W2166" s="5" t="s">
        <v>36</v>
      </c>
      <c r="X2166" s="5" t="s">
        <v>1705</v>
      </c>
      <c r="AA2166" s="5" t="s">
        <v>44</v>
      </c>
      <c r="AB2166" s="5" t="s">
        <v>9787</v>
      </c>
      <c r="AC2166" s="8" t="str">
        <f>HYPERLINK("https://drive.google.com/file/d/13MCO7_dKnQ6HhITKEXwvP34MY0Ivp-57/view?usp=drivesdk", "Abrir_Factura")</f>
        <v>Abrir_Factura</v>
      </c>
      <c r="AD2166" s="9">
        <v>46065.769606481481</v>
      </c>
    </row>
    <row r="2167" spans="1:30" ht="12.5">
      <c r="A2167" s="4">
        <v>46065.734953078703</v>
      </c>
      <c r="B2167" s="5">
        <v>91905</v>
      </c>
      <c r="C2167" s="5">
        <v>22736707</v>
      </c>
      <c r="D2167" s="5" t="s">
        <v>1779</v>
      </c>
      <c r="F2167" s="5" t="s">
        <v>2362</v>
      </c>
      <c r="H2167" s="5">
        <v>573114044420</v>
      </c>
      <c r="J2167" s="5" t="s">
        <v>9788</v>
      </c>
      <c r="K2167" s="5" t="s">
        <v>185</v>
      </c>
      <c r="L2167" s="5" t="s">
        <v>9789</v>
      </c>
      <c r="M2167" s="5">
        <v>3114044420</v>
      </c>
      <c r="N2167" s="6">
        <v>46066</v>
      </c>
      <c r="O2167" s="7">
        <v>0.41666666666666669</v>
      </c>
      <c r="P2167" s="5">
        <v>1</v>
      </c>
      <c r="Q2167" s="5" t="s">
        <v>9280</v>
      </c>
      <c r="R2167" s="5">
        <v>95000</v>
      </c>
      <c r="S2167" s="5">
        <v>0</v>
      </c>
      <c r="T2167" s="5">
        <v>8000</v>
      </c>
      <c r="U2167" s="5">
        <v>103000</v>
      </c>
      <c r="V2167" s="5" t="s">
        <v>9790</v>
      </c>
      <c r="W2167" s="5" t="s">
        <v>36</v>
      </c>
      <c r="X2167" s="5" t="s">
        <v>7644</v>
      </c>
      <c r="Z2167" s="5" t="s">
        <v>9791</v>
      </c>
      <c r="AA2167" s="5" t="s">
        <v>44</v>
      </c>
      <c r="AB2167" s="5" t="s">
        <v>9771</v>
      </c>
      <c r="AC2167" s="8" t="str">
        <f>HYPERLINK("https://drive.google.com/file/d/15dhAfSIMN-G0y1nUDRaXe5ZrdTiixiRz/view?usp=drivesdk", "Abrir_Factura")</f>
        <v>Abrir_Factura</v>
      </c>
      <c r="AD2167" s="9">
        <v>46065.75199074074</v>
      </c>
    </row>
    <row r="2168" spans="1:30" ht="12.5">
      <c r="A2168" s="4">
        <v>46065.750525949072</v>
      </c>
      <c r="B2168" s="5">
        <v>91906</v>
      </c>
      <c r="C2168" s="5">
        <v>0</v>
      </c>
      <c r="D2168" s="5" t="s">
        <v>9792</v>
      </c>
      <c r="F2168" s="5" t="s">
        <v>9793</v>
      </c>
      <c r="H2168" s="5">
        <v>12395659573</v>
      </c>
      <c r="J2168" s="5" t="s">
        <v>9794</v>
      </c>
      <c r="K2168" s="5" t="s">
        <v>33</v>
      </c>
      <c r="L2168" s="5" t="s">
        <v>9795</v>
      </c>
      <c r="M2168" s="5"/>
      <c r="N2168" s="6">
        <v>46067</v>
      </c>
      <c r="O2168" s="7">
        <v>0.33333333333333331</v>
      </c>
      <c r="P2168" s="5">
        <v>1</v>
      </c>
      <c r="Q2168" s="5" t="s">
        <v>9796</v>
      </c>
      <c r="R2168" s="5">
        <v>120000</v>
      </c>
      <c r="S2168" s="5">
        <v>0</v>
      </c>
      <c r="T2168" s="5">
        <v>0</v>
      </c>
      <c r="U2168" s="5">
        <v>120000</v>
      </c>
      <c r="V2168" s="5"/>
      <c r="W2168" s="5" t="s">
        <v>36</v>
      </c>
      <c r="X2168" s="5" t="s">
        <v>1705</v>
      </c>
      <c r="AA2168" s="5" t="s">
        <v>1717</v>
      </c>
      <c r="AC2168" s="8" t="str">
        <f>HYPERLINK("https://drive.google.com/file/d/1KYDXWmKSHUqDv4gRSsFUnVL04fBnMwCH/view?usp=drivesdk", "Abrir_Factura")</f>
        <v>Abrir_Factura</v>
      </c>
      <c r="AD2168" s="9">
        <v>46065.752164351848</v>
      </c>
    </row>
    <row r="2169" spans="1:30" ht="12.5">
      <c r="A2169" s="4">
        <v>46065.747652164355</v>
      </c>
      <c r="B2169" s="5">
        <v>91907</v>
      </c>
      <c r="C2169" s="5">
        <v>1102877121</v>
      </c>
      <c r="D2169" s="5" t="s">
        <v>968</v>
      </c>
      <c r="F2169" s="5" t="s">
        <v>9797</v>
      </c>
      <c r="H2169" s="5">
        <v>573045208458</v>
      </c>
      <c r="J2169" s="5" t="s">
        <v>9798</v>
      </c>
      <c r="K2169" s="5" t="s">
        <v>63</v>
      </c>
      <c r="L2169" s="5" t="s">
        <v>9799</v>
      </c>
      <c r="M2169" s="5">
        <v>3045208458</v>
      </c>
      <c r="N2169" s="6">
        <v>46066</v>
      </c>
      <c r="O2169" s="7">
        <v>0</v>
      </c>
      <c r="P2169" s="5">
        <v>1</v>
      </c>
      <c r="Q2169" s="5" t="s">
        <v>6874</v>
      </c>
      <c r="R2169" s="5">
        <v>120000</v>
      </c>
      <c r="S2169" s="5">
        <v>0</v>
      </c>
      <c r="T2169" s="5">
        <v>17000</v>
      </c>
      <c r="U2169" s="5">
        <v>137000</v>
      </c>
      <c r="V2169" s="5" t="s">
        <v>9800</v>
      </c>
      <c r="W2169" s="5" t="s">
        <v>36</v>
      </c>
      <c r="X2169" s="5" t="s">
        <v>7644</v>
      </c>
      <c r="Z2169" s="5" t="s">
        <v>968</v>
      </c>
      <c r="AA2169" s="5" t="s">
        <v>44</v>
      </c>
      <c r="AB2169" s="5" t="s">
        <v>9726</v>
      </c>
      <c r="AC2169" s="8" t="str">
        <f>HYPERLINK("https://drive.google.com/file/d/1OJhXuHPtCaSIe4N_R8Hhq-VYUiKwQeZw/view?usp=drivesdk", "Abrir_Factura")</f>
        <v>Abrir_Factura</v>
      </c>
      <c r="AD2169" s="9">
        <v>46065.754988425928</v>
      </c>
    </row>
    <row r="2170" spans="1:30" ht="12.5">
      <c r="A2170" s="4">
        <v>46065.727016701392</v>
      </c>
      <c r="B2170" s="5">
        <v>91908</v>
      </c>
      <c r="C2170" s="5">
        <v>1001856020</v>
      </c>
      <c r="D2170" s="5" t="s">
        <v>638</v>
      </c>
      <c r="F2170" s="5" t="s">
        <v>9801</v>
      </c>
      <c r="H2170" s="5">
        <v>573205818323</v>
      </c>
      <c r="J2170" s="5" t="s">
        <v>9802</v>
      </c>
      <c r="K2170" s="5"/>
      <c r="L2170" s="5" t="s">
        <v>9803</v>
      </c>
      <c r="M2170" s="5">
        <v>3205818323</v>
      </c>
      <c r="N2170" s="6">
        <v>46066</v>
      </c>
      <c r="O2170" s="7">
        <v>0</v>
      </c>
      <c r="P2170" s="5">
        <v>1</v>
      </c>
      <c r="Q2170" s="5" t="s">
        <v>309</v>
      </c>
      <c r="R2170" s="5">
        <v>90000</v>
      </c>
      <c r="S2170" s="5">
        <v>0</v>
      </c>
      <c r="T2170" s="5"/>
      <c r="U2170" s="5">
        <v>90000</v>
      </c>
      <c r="V2170" s="5" t="s">
        <v>9804</v>
      </c>
      <c r="W2170" s="5" t="s">
        <v>36</v>
      </c>
      <c r="X2170" s="5" t="s">
        <v>196</v>
      </c>
      <c r="Z2170" s="5" t="s">
        <v>9805</v>
      </c>
      <c r="AA2170" s="5" t="s">
        <v>44</v>
      </c>
      <c r="AB2170" s="5" t="s">
        <v>9726</v>
      </c>
      <c r="AC2170" s="8" t="str">
        <f>HYPERLINK("https://drive.google.com/file/d/1oDmaGFnrYEOqReciB9AVv-SsSO5RRWG3/view?usp=drivesdk", "Abrir_Factura")</f>
        <v>Abrir_Factura</v>
      </c>
      <c r="AD2170" s="9">
        <v>46066.797662037039</v>
      </c>
    </row>
    <row r="2171" spans="1:30" ht="12.5">
      <c r="A2171" s="4">
        <v>46065.776037453703</v>
      </c>
      <c r="B2171" s="5">
        <v>91909</v>
      </c>
      <c r="C2171" s="5">
        <v>1043930035</v>
      </c>
      <c r="D2171" s="5" t="s">
        <v>9806</v>
      </c>
      <c r="F2171" s="5" t="s">
        <v>9807</v>
      </c>
      <c r="H2171" s="5">
        <v>573022930233</v>
      </c>
      <c r="J2171" s="5" t="s">
        <v>9808</v>
      </c>
      <c r="K2171" s="5" t="s">
        <v>3276</v>
      </c>
      <c r="L2171" s="5" t="s">
        <v>9809</v>
      </c>
      <c r="M2171" s="5" t="s">
        <v>9810</v>
      </c>
      <c r="N2171" s="6">
        <v>46066</v>
      </c>
      <c r="O2171" s="7">
        <v>0.41666666666666669</v>
      </c>
      <c r="P2171" s="5">
        <v>1</v>
      </c>
      <c r="Q2171" s="5" t="s">
        <v>309</v>
      </c>
      <c r="R2171" s="5">
        <v>90000</v>
      </c>
      <c r="S2171" s="5">
        <v>0</v>
      </c>
      <c r="T2171" s="5">
        <v>30000</v>
      </c>
      <c r="U2171" s="5">
        <v>120000</v>
      </c>
      <c r="V2171" s="5" t="s">
        <v>9811</v>
      </c>
      <c r="W2171" s="5" t="s">
        <v>36</v>
      </c>
      <c r="X2171" s="5" t="s">
        <v>7644</v>
      </c>
      <c r="Z2171" s="5" t="s">
        <v>9812</v>
      </c>
      <c r="AA2171" s="5" t="s">
        <v>44</v>
      </c>
      <c r="AB2171" s="5" t="s">
        <v>9813</v>
      </c>
      <c r="AC2171" s="8" t="str">
        <f>HYPERLINK("https://drive.google.com/file/d/1mvuxSmGoiD3fEBWwgQyLSnu3mf_wq-wz/view?usp=drivesdk", "Abrir_Factura")</f>
        <v>Abrir_Factura</v>
      </c>
      <c r="AD2171" s="9">
        <v>46065.783460648148</v>
      </c>
    </row>
    <row r="2172" spans="1:30" ht="12.5">
      <c r="A2172" s="4">
        <v>46065.762456249999</v>
      </c>
      <c r="B2172" s="5">
        <v>91910</v>
      </c>
      <c r="C2172" s="5">
        <v>1140891811</v>
      </c>
      <c r="D2172" s="5" t="s">
        <v>9814</v>
      </c>
      <c r="F2172" s="5" t="s">
        <v>9815</v>
      </c>
      <c r="H2172" s="5">
        <v>573145102539</v>
      </c>
      <c r="J2172" s="5" t="s">
        <v>9816</v>
      </c>
      <c r="K2172" s="5" t="s">
        <v>103</v>
      </c>
      <c r="L2172" s="5" t="s">
        <v>9817</v>
      </c>
      <c r="M2172" s="5">
        <v>3008568263</v>
      </c>
      <c r="N2172" s="6">
        <v>46066</v>
      </c>
      <c r="O2172" s="7">
        <v>0.375</v>
      </c>
      <c r="P2172" s="5">
        <v>1</v>
      </c>
      <c r="Q2172" s="5" t="s">
        <v>3142</v>
      </c>
      <c r="R2172" s="5">
        <v>300000</v>
      </c>
      <c r="S2172" s="5">
        <v>0</v>
      </c>
      <c r="T2172" s="5">
        <v>10000</v>
      </c>
      <c r="U2172" s="5">
        <v>310000</v>
      </c>
      <c r="V2172" s="5" t="s">
        <v>9818</v>
      </c>
      <c r="W2172" s="5" t="s">
        <v>36</v>
      </c>
      <c r="X2172" s="5" t="s">
        <v>7644</v>
      </c>
      <c r="Z2172" s="5" t="s">
        <v>9819</v>
      </c>
      <c r="AA2172" s="5" t="s">
        <v>44</v>
      </c>
      <c r="AB2172" s="5" t="s">
        <v>9600</v>
      </c>
      <c r="AC2172" s="8" t="str">
        <f>HYPERLINK("https://drive.google.com/file/d/1aqGp7X2g5sReSpNp79tBq2QygaPYCapw/view?usp=drivesdk", "Abrir_Factura")</f>
        <v>Abrir_Factura</v>
      </c>
      <c r="AD2172" s="9">
        <v>46066.291886574072</v>
      </c>
    </row>
    <row r="2173" spans="1:30" ht="12.5">
      <c r="A2173" s="4">
        <v>46066.313388842595</v>
      </c>
      <c r="B2173" s="5">
        <v>91911</v>
      </c>
      <c r="C2173" s="5">
        <v>0</v>
      </c>
      <c r="D2173" s="5" t="s">
        <v>1935</v>
      </c>
      <c r="F2173" s="5" t="s">
        <v>3053</v>
      </c>
      <c r="H2173" s="5">
        <v>573003242193</v>
      </c>
      <c r="J2173" s="5" t="s">
        <v>9820</v>
      </c>
      <c r="K2173" s="5" t="s">
        <v>161</v>
      </c>
      <c r="L2173" s="5" t="s">
        <v>9821</v>
      </c>
      <c r="M2173" s="5">
        <v>3215509226</v>
      </c>
      <c r="N2173" s="6">
        <v>46066</v>
      </c>
      <c r="O2173" s="7">
        <v>0.5</v>
      </c>
      <c r="P2173" s="5">
        <v>1</v>
      </c>
      <c r="Q2173" s="5" t="s">
        <v>2556</v>
      </c>
      <c r="R2173" s="5">
        <v>400000</v>
      </c>
      <c r="S2173" s="5">
        <v>0</v>
      </c>
      <c r="T2173" s="5">
        <v>8000</v>
      </c>
      <c r="U2173" s="5">
        <v>408000</v>
      </c>
      <c r="V2173" s="5" t="s">
        <v>9822</v>
      </c>
      <c r="W2173" s="5" t="s">
        <v>36</v>
      </c>
      <c r="X2173" s="5" t="s">
        <v>43</v>
      </c>
      <c r="AA2173" s="5" t="s">
        <v>44</v>
      </c>
      <c r="AB2173" s="5" t="s">
        <v>9823</v>
      </c>
      <c r="AC2173" s="8" t="str">
        <f>HYPERLINK("https://drive.google.com/file/d/1oTM0Q3ke00TpDKha0iRX5rnzKhE1zRO7/view?usp=drivesdk", "Abrir_Factura")</f>
        <v>Abrir_Factura</v>
      </c>
      <c r="AD2173" s="9">
        <v>46066.323969907404</v>
      </c>
    </row>
    <row r="2174" spans="1:30" ht="12.5">
      <c r="A2174" s="4">
        <v>46066.334682905093</v>
      </c>
      <c r="B2174" s="5">
        <v>91912</v>
      </c>
      <c r="C2174" s="5">
        <v>1143166139</v>
      </c>
      <c r="D2174" s="5" t="s">
        <v>4145</v>
      </c>
      <c r="F2174" s="5" t="s">
        <v>4655</v>
      </c>
      <c r="H2174" s="5">
        <v>573007040960</v>
      </c>
      <c r="J2174" s="5" t="s">
        <v>9824</v>
      </c>
      <c r="K2174" s="5" t="s">
        <v>930</v>
      </c>
      <c r="L2174" s="5" t="s">
        <v>9825</v>
      </c>
      <c r="M2174" s="5" t="s">
        <v>9826</v>
      </c>
      <c r="N2174" s="6">
        <v>46066</v>
      </c>
      <c r="O2174" s="7">
        <v>0.45833333333333331</v>
      </c>
      <c r="P2174" s="5">
        <v>1</v>
      </c>
      <c r="Q2174" s="5" t="s">
        <v>9152</v>
      </c>
      <c r="R2174" s="5">
        <v>220000</v>
      </c>
      <c r="S2174" s="5">
        <v>0</v>
      </c>
      <c r="T2174" s="5">
        <v>30000</v>
      </c>
      <c r="U2174" s="5">
        <v>250000</v>
      </c>
      <c r="V2174" s="5" t="s">
        <v>9827</v>
      </c>
      <c r="W2174" s="5" t="s">
        <v>36</v>
      </c>
      <c r="X2174" s="5" t="s">
        <v>7644</v>
      </c>
      <c r="Z2174" s="5" t="s">
        <v>9828</v>
      </c>
      <c r="AA2174" s="5" t="s">
        <v>44</v>
      </c>
      <c r="AB2174" s="5" t="s">
        <v>9612</v>
      </c>
      <c r="AC2174" s="8" t="str">
        <f>HYPERLINK("https://drive.google.com/file/d/17SwkwZPB9ZYhnmnwNQBBn9lM3ZK8kN8q/view?usp=drivesdk", "Abrir_Factura")</f>
        <v>Abrir_Factura</v>
      </c>
      <c r="AD2174" s="9">
        <v>46066.339803240742</v>
      </c>
    </row>
    <row r="2175" spans="1:30" ht="12.5">
      <c r="A2175" s="4">
        <v>46066.3628603588</v>
      </c>
      <c r="B2175" s="5">
        <v>91913</v>
      </c>
      <c r="C2175" s="5">
        <v>1042242436</v>
      </c>
      <c r="D2175" s="5" t="s">
        <v>4254</v>
      </c>
      <c r="F2175" s="5" t="s">
        <v>4255</v>
      </c>
      <c r="H2175" s="5">
        <v>573166212722</v>
      </c>
      <c r="J2175" s="5" t="s">
        <v>9829</v>
      </c>
      <c r="K2175" s="5"/>
      <c r="L2175" s="5" t="s">
        <v>33</v>
      </c>
      <c r="M2175" s="5"/>
      <c r="N2175" s="6">
        <v>46066</v>
      </c>
      <c r="O2175" s="7">
        <v>0.45833333333333331</v>
      </c>
      <c r="P2175" s="5">
        <v>1</v>
      </c>
      <c r="Q2175" s="5" t="s">
        <v>6874</v>
      </c>
      <c r="R2175" s="5">
        <v>120000</v>
      </c>
      <c r="S2175" s="5">
        <v>0</v>
      </c>
      <c r="T2175" s="5"/>
      <c r="U2175" s="5">
        <v>120000</v>
      </c>
      <c r="V2175" s="5" t="s">
        <v>6242</v>
      </c>
      <c r="W2175" s="5" t="s">
        <v>36</v>
      </c>
      <c r="X2175" s="5" t="s">
        <v>7644</v>
      </c>
      <c r="AA2175" s="5" t="s">
        <v>44</v>
      </c>
      <c r="AB2175" s="5" t="s">
        <v>9612</v>
      </c>
      <c r="AC2175" s="8" t="str">
        <f>HYPERLINK("https://drive.google.com/file/d/1FHayWpXgyQFHzDvf-anAW8Cf7p8qLsLE/view?usp=drivesdk", "Abrir_Factura")</f>
        <v>Abrir_Factura</v>
      </c>
      <c r="AD2175" s="9">
        <v>46066.579687500001</v>
      </c>
    </row>
    <row r="2176" spans="1:30" ht="12.5">
      <c r="A2176" s="4">
        <v>46066.35413118056</v>
      </c>
      <c r="B2176" s="5">
        <v>91914</v>
      </c>
      <c r="C2176" s="5">
        <v>1033443706</v>
      </c>
      <c r="D2176" s="5" t="s">
        <v>9830</v>
      </c>
      <c r="F2176" s="5" t="s">
        <v>9831</v>
      </c>
      <c r="H2176" s="5">
        <v>573164465809</v>
      </c>
      <c r="J2176" s="5" t="s">
        <v>9832</v>
      </c>
      <c r="K2176" s="5" t="s">
        <v>886</v>
      </c>
      <c r="L2176" s="5" t="s">
        <v>9833</v>
      </c>
      <c r="M2176" s="5">
        <v>3164465809</v>
      </c>
      <c r="N2176" s="6">
        <v>46066</v>
      </c>
      <c r="O2176" s="7">
        <v>0</v>
      </c>
      <c r="P2176" s="5">
        <v>1</v>
      </c>
      <c r="Q2176" s="5" t="s">
        <v>6874</v>
      </c>
      <c r="R2176" s="5">
        <v>120000</v>
      </c>
      <c r="S2176" s="5">
        <v>0</v>
      </c>
      <c r="T2176" s="5">
        <v>12000</v>
      </c>
      <c r="U2176" s="5">
        <v>132000</v>
      </c>
      <c r="V2176" s="5" t="s">
        <v>9834</v>
      </c>
      <c r="W2176" s="5" t="s">
        <v>36</v>
      </c>
      <c r="X2176" s="5" t="s">
        <v>7644</v>
      </c>
      <c r="Z2176" s="5" t="s">
        <v>9835</v>
      </c>
      <c r="AA2176" s="5" t="s">
        <v>44</v>
      </c>
      <c r="AB2176" s="5" t="s">
        <v>9836</v>
      </c>
      <c r="AC2176" s="8" t="str">
        <f>HYPERLINK("https://drive.google.com/file/d/17DsMlLcjkO9ZQAzAv4-CtByV0odd-kFh/view?usp=drivesdk", "Abrir_Factura")</f>
        <v>Abrir_Factura</v>
      </c>
      <c r="AD2176" s="9">
        <v>46066.364942129629</v>
      </c>
    </row>
    <row r="2177" spans="1:30" ht="12.5">
      <c r="A2177" s="4">
        <v>46066.359017037037</v>
      </c>
      <c r="B2177" s="5">
        <v>91915</v>
      </c>
      <c r="C2177" s="5">
        <v>1048069323</v>
      </c>
      <c r="D2177" s="5" t="s">
        <v>468</v>
      </c>
      <c r="F2177" s="5" t="s">
        <v>9837</v>
      </c>
      <c r="H2177" s="5">
        <v>573233900013</v>
      </c>
      <c r="J2177" s="5" t="s">
        <v>2287</v>
      </c>
      <c r="K2177" s="5" t="s">
        <v>124</v>
      </c>
      <c r="L2177" s="5" t="s">
        <v>9838</v>
      </c>
      <c r="M2177" s="5">
        <v>3174273098</v>
      </c>
      <c r="N2177" s="6">
        <v>46066</v>
      </c>
      <c r="O2177" s="7">
        <v>0.45833333333333331</v>
      </c>
      <c r="P2177" s="5">
        <v>1</v>
      </c>
      <c r="Q2177" s="5" t="s">
        <v>9546</v>
      </c>
      <c r="R2177" s="5">
        <v>320000</v>
      </c>
      <c r="S2177" s="5">
        <v>0</v>
      </c>
      <c r="T2177" s="5">
        <v>12000</v>
      </c>
      <c r="U2177" s="5">
        <v>332000</v>
      </c>
      <c r="V2177" s="5"/>
      <c r="W2177" s="5" t="s">
        <v>36</v>
      </c>
      <c r="X2177" s="5" t="s">
        <v>7644</v>
      </c>
      <c r="Z2177" s="5" t="s">
        <v>9839</v>
      </c>
      <c r="AA2177" s="5" t="s">
        <v>44</v>
      </c>
      <c r="AB2177" s="5" t="s">
        <v>9836</v>
      </c>
      <c r="AC2177" s="8" t="str">
        <f>HYPERLINK("https://drive.google.com/file/d/1Du4m1mtBFbRoUe1li3vPTda5Zp2MbpQI/view?usp=drivesdk", "Abrir_Factura")</f>
        <v>Abrir_Factura</v>
      </c>
      <c r="AD2177" s="9">
        <v>46066.371377314812</v>
      </c>
    </row>
    <row r="2178" spans="1:30" ht="12.5">
      <c r="A2178" s="4">
        <v>46066.34779403935</v>
      </c>
      <c r="B2178" s="5">
        <v>91916</v>
      </c>
      <c r="C2178" s="5">
        <v>1001820626</v>
      </c>
      <c r="D2178" s="5" t="s">
        <v>8510</v>
      </c>
      <c r="F2178" s="5" t="s">
        <v>2131</v>
      </c>
      <c r="H2178" s="5">
        <v>573113809866</v>
      </c>
      <c r="J2178" s="5" t="s">
        <v>9840</v>
      </c>
      <c r="K2178" s="5" t="s">
        <v>63</v>
      </c>
      <c r="L2178" s="5" t="s">
        <v>9841</v>
      </c>
      <c r="M2178" s="5">
        <v>3113809866</v>
      </c>
      <c r="N2178" s="6">
        <v>46066</v>
      </c>
      <c r="O2178" s="7">
        <v>0</v>
      </c>
      <c r="P2178" s="5">
        <v>1</v>
      </c>
      <c r="Q2178" s="5" t="s">
        <v>9842</v>
      </c>
      <c r="R2178" s="5">
        <v>200000</v>
      </c>
      <c r="S2178" s="5">
        <v>0</v>
      </c>
      <c r="T2178" s="5">
        <v>17000</v>
      </c>
      <c r="U2178" s="5">
        <v>217000</v>
      </c>
      <c r="V2178" s="5"/>
      <c r="W2178" s="5" t="s">
        <v>36</v>
      </c>
      <c r="X2178" s="5" t="s">
        <v>7644</v>
      </c>
      <c r="AA2178" s="5" t="s">
        <v>69</v>
      </c>
      <c r="AB2178" s="5" t="s">
        <v>2708</v>
      </c>
      <c r="AC2178" s="8" t="str">
        <f>HYPERLINK("https://drive.google.com/file/d/1y5StJvR4Fb7ELM0X9czOritDuYEDxH0z/view?usp=drivesdk", "Abrir_Factura")</f>
        <v>Abrir_Factura</v>
      </c>
      <c r="AD2178" s="9">
        <v>46066.375648148147</v>
      </c>
    </row>
    <row r="2179" spans="1:30" ht="12.5">
      <c r="A2179" s="4">
        <v>46066.369853842596</v>
      </c>
      <c r="B2179" s="5">
        <v>91917</v>
      </c>
      <c r="C2179" s="5">
        <v>1020719891</v>
      </c>
      <c r="D2179" s="5" t="s">
        <v>703</v>
      </c>
      <c r="F2179" s="5" t="s">
        <v>9690</v>
      </c>
      <c r="H2179" s="5">
        <v>573205414689</v>
      </c>
      <c r="J2179" s="5" t="s">
        <v>9843</v>
      </c>
      <c r="K2179" s="5" t="s">
        <v>63</v>
      </c>
      <c r="L2179" s="5" t="s">
        <v>9844</v>
      </c>
      <c r="M2179" s="5">
        <v>3205414689</v>
      </c>
      <c r="N2179" s="6">
        <v>46067</v>
      </c>
      <c r="O2179" s="7">
        <v>0.5</v>
      </c>
      <c r="P2179" s="5">
        <v>1</v>
      </c>
      <c r="Q2179" s="5" t="s">
        <v>9238</v>
      </c>
      <c r="R2179" s="5">
        <v>300000</v>
      </c>
      <c r="S2179" s="5">
        <v>0</v>
      </c>
      <c r="T2179" s="5">
        <v>17000</v>
      </c>
      <c r="U2179" s="5">
        <v>317000</v>
      </c>
      <c r="V2179" s="5" t="s">
        <v>9845</v>
      </c>
      <c r="W2179" s="5" t="s">
        <v>36</v>
      </c>
      <c r="X2179" s="5" t="s">
        <v>7644</v>
      </c>
      <c r="Z2179" s="5" t="s">
        <v>9846</v>
      </c>
      <c r="AA2179" s="5" t="s">
        <v>44</v>
      </c>
      <c r="AB2179" s="5" t="s">
        <v>9600</v>
      </c>
      <c r="AC2179" s="8" t="str">
        <f>HYPERLINK("https://drive.google.com/file/d/11TGjvU-c6XeNz53I6-mhrIqy4t8fhJGG/view?usp=drivesdk", "Abrir_Factura")</f>
        <v>Abrir_Factura</v>
      </c>
      <c r="AD2179" s="9">
        <v>46066.38517361111</v>
      </c>
    </row>
    <row r="2180" spans="1:30" ht="12.5">
      <c r="A2180" s="4">
        <v>46066.389411296295</v>
      </c>
      <c r="B2180" s="5">
        <v>91918</v>
      </c>
      <c r="C2180" s="5">
        <v>1140903899</v>
      </c>
      <c r="D2180" s="5" t="s">
        <v>9847</v>
      </c>
      <c r="F2180" s="5" t="s">
        <v>9848</v>
      </c>
      <c r="H2180" s="5">
        <v>573104482680</v>
      </c>
      <c r="J2180" s="5" t="s">
        <v>297</v>
      </c>
      <c r="K2180" s="5" t="s">
        <v>249</v>
      </c>
      <c r="L2180" s="5" t="s">
        <v>9849</v>
      </c>
      <c r="M2180" s="5">
        <v>3104482680</v>
      </c>
      <c r="N2180" s="6">
        <v>46066</v>
      </c>
      <c r="O2180" s="7">
        <v>0.45833333333333331</v>
      </c>
      <c r="P2180" s="5">
        <v>1</v>
      </c>
      <c r="Q2180" s="5" t="s">
        <v>309</v>
      </c>
      <c r="R2180" s="5">
        <v>88000</v>
      </c>
      <c r="S2180" s="5">
        <v>0</v>
      </c>
      <c r="T2180" s="5">
        <v>10000</v>
      </c>
      <c r="U2180" s="5">
        <v>98000</v>
      </c>
      <c r="V2180" s="5" t="s">
        <v>9850</v>
      </c>
      <c r="W2180" s="5" t="s">
        <v>36</v>
      </c>
      <c r="X2180" s="5" t="s">
        <v>7644</v>
      </c>
      <c r="Z2180" s="5" t="s">
        <v>9851</v>
      </c>
      <c r="AA2180" s="5" t="s">
        <v>44</v>
      </c>
      <c r="AB2180" s="5" t="s">
        <v>9612</v>
      </c>
      <c r="AC2180" s="8" t="str">
        <f>HYPERLINK("https://drive.google.com/file/d/1MflkH5HQq8bueKFf79V9uwxx8veRK1_z/view?usp=drivesdk", "Abrir_Factura")</f>
        <v>Abrir_Factura</v>
      </c>
      <c r="AD2180" s="9">
        <v>46066.393888888888</v>
      </c>
    </row>
    <row r="2181" spans="1:30" ht="12.5">
      <c r="A2181" s="4">
        <v>46066.383860879629</v>
      </c>
      <c r="B2181" s="5">
        <v>91919</v>
      </c>
      <c r="C2181" s="5">
        <v>1010227045</v>
      </c>
      <c r="D2181" s="5" t="s">
        <v>9852</v>
      </c>
      <c r="F2181" s="5" t="s">
        <v>9853</v>
      </c>
      <c r="H2181" s="5">
        <v>17862948181</v>
      </c>
      <c r="J2181" s="5" t="s">
        <v>9854</v>
      </c>
      <c r="K2181" s="5" t="s">
        <v>1317</v>
      </c>
      <c r="L2181" s="5" t="s">
        <v>9855</v>
      </c>
      <c r="M2181" s="5" t="s">
        <v>25421</v>
      </c>
      <c r="N2181" s="6">
        <v>46067</v>
      </c>
      <c r="O2181" s="7">
        <v>0</v>
      </c>
      <c r="P2181" s="5">
        <v>1</v>
      </c>
      <c r="Q2181" s="5" t="s">
        <v>96</v>
      </c>
      <c r="R2181" s="5">
        <v>250000</v>
      </c>
      <c r="S2181" s="5">
        <v>0</v>
      </c>
      <c r="T2181" s="5">
        <v>12000</v>
      </c>
      <c r="U2181" s="5">
        <v>262000</v>
      </c>
      <c r="V2181" s="5" t="s">
        <v>9856</v>
      </c>
      <c r="W2181" s="5" t="s">
        <v>36</v>
      </c>
      <c r="X2181" s="5" t="s">
        <v>1937</v>
      </c>
      <c r="Z2181" s="5" t="s">
        <v>9857</v>
      </c>
      <c r="AA2181" s="5" t="s">
        <v>44</v>
      </c>
      <c r="AB2181" s="5" t="s">
        <v>9858</v>
      </c>
      <c r="AC2181" s="8" t="str">
        <f>HYPERLINK("https://drive.google.com/file/d/1HY9mtBLxiyVZfO03bZDxbPvVkwsZ5KlG/view?usp=drivesdk", "Abrir_Factura")</f>
        <v>Abrir_Factura</v>
      </c>
      <c r="AD2181" s="9">
        <v>46066.395277777781</v>
      </c>
    </row>
    <row r="2182" spans="1:30" ht="12.5">
      <c r="A2182" s="4">
        <v>46066.387574050925</v>
      </c>
      <c r="B2182" s="5">
        <v>91920</v>
      </c>
      <c r="C2182" s="5">
        <v>1192817559</v>
      </c>
      <c r="D2182" s="5" t="s">
        <v>9859</v>
      </c>
      <c r="F2182" s="5" t="s">
        <v>6655</v>
      </c>
      <c r="H2182" s="5">
        <v>573147843995</v>
      </c>
      <c r="J2182" s="5" t="s">
        <v>9860</v>
      </c>
      <c r="K2182" s="5" t="s">
        <v>185</v>
      </c>
      <c r="L2182" s="5" t="s">
        <v>9861</v>
      </c>
      <c r="M2182" s="5">
        <v>3203659741</v>
      </c>
      <c r="N2182" s="6">
        <v>46066</v>
      </c>
      <c r="O2182" s="7">
        <v>0.5</v>
      </c>
      <c r="P2182" s="5">
        <v>1</v>
      </c>
      <c r="Q2182" s="5" t="s">
        <v>9478</v>
      </c>
      <c r="R2182" s="5">
        <v>250000</v>
      </c>
      <c r="S2182" s="5">
        <v>0</v>
      </c>
      <c r="T2182" s="5">
        <v>8000</v>
      </c>
      <c r="U2182" s="5">
        <v>258000</v>
      </c>
      <c r="V2182" s="5" t="s">
        <v>9862</v>
      </c>
      <c r="W2182" s="5" t="s">
        <v>36</v>
      </c>
      <c r="X2182" s="5" t="s">
        <v>7644</v>
      </c>
      <c r="Z2182" s="5" t="s">
        <v>9863</v>
      </c>
      <c r="AA2182" s="5" t="s">
        <v>44</v>
      </c>
      <c r="AB2182" s="5" t="s">
        <v>9600</v>
      </c>
      <c r="AC2182" s="8" t="str">
        <f>HYPERLINK("https://drive.google.com/file/d/1xmfTGuCr7h9uhFPeGKe1zRznXorQjaPu/view?usp=drivesdk", "Abrir_Factura")</f>
        <v>Abrir_Factura</v>
      </c>
      <c r="AD2182" s="9">
        <v>46066.397465277776</v>
      </c>
    </row>
    <row r="2183" spans="1:30" ht="12.5">
      <c r="A2183" s="4">
        <v>46066.39833225694</v>
      </c>
      <c r="B2183" s="5">
        <v>91921</v>
      </c>
      <c r="C2183" s="5">
        <v>1193201958</v>
      </c>
      <c r="D2183" s="5" t="s">
        <v>290</v>
      </c>
      <c r="F2183" s="5" t="s">
        <v>4270</v>
      </c>
      <c r="H2183" s="5">
        <v>573004753197</v>
      </c>
      <c r="J2183" s="5" t="s">
        <v>9864</v>
      </c>
      <c r="K2183" s="5" t="s">
        <v>7476</v>
      </c>
      <c r="L2183" s="5" t="s">
        <v>9865</v>
      </c>
      <c r="M2183" s="5" t="s">
        <v>9866</v>
      </c>
      <c r="N2183" s="6">
        <v>46066</v>
      </c>
      <c r="O2183" s="7">
        <v>0.45833333333333331</v>
      </c>
      <c r="P2183" s="5">
        <v>1</v>
      </c>
      <c r="Q2183" s="5" t="s">
        <v>6874</v>
      </c>
      <c r="R2183" s="5">
        <v>120000</v>
      </c>
      <c r="S2183" s="5">
        <v>0</v>
      </c>
      <c r="T2183" s="5">
        <v>15000</v>
      </c>
      <c r="U2183" s="5">
        <v>135000</v>
      </c>
      <c r="V2183" s="5" t="s">
        <v>9867</v>
      </c>
      <c r="W2183" s="5" t="s">
        <v>36</v>
      </c>
      <c r="X2183" s="5" t="s">
        <v>7644</v>
      </c>
      <c r="Z2183" s="5" t="s">
        <v>9868</v>
      </c>
      <c r="AA2183" s="5" t="s">
        <v>44</v>
      </c>
      <c r="AB2183" s="5" t="s">
        <v>9869</v>
      </c>
      <c r="AC2183" s="8" t="str">
        <f>HYPERLINK("https://drive.google.com/file/d/1SbZK7qZOTB7TNbSc_rIE42zg1KZGiTh3/view?usp=drivesdk", "Abrir_Factura")</f>
        <v>Abrir_Factura</v>
      </c>
      <c r="AD2183" s="9">
        <v>46066.404479166667</v>
      </c>
    </row>
    <row r="2184" spans="1:30" ht="12.5">
      <c r="A2184" s="4">
        <v>46066.401872268514</v>
      </c>
      <c r="B2184" s="5">
        <v>91922</v>
      </c>
      <c r="C2184" s="5">
        <v>1081929456</v>
      </c>
      <c r="D2184" s="5" t="s">
        <v>1038</v>
      </c>
      <c r="F2184" s="5" t="s">
        <v>6490</v>
      </c>
      <c r="H2184" s="5">
        <v>573136478008</v>
      </c>
      <c r="J2184" s="5" t="s">
        <v>6491</v>
      </c>
      <c r="K2184" s="5" t="s">
        <v>249</v>
      </c>
      <c r="L2184" s="5" t="s">
        <v>9870</v>
      </c>
      <c r="M2184" s="5">
        <v>3104032481</v>
      </c>
      <c r="N2184" s="6">
        <v>46066</v>
      </c>
      <c r="O2184" s="7">
        <v>0.66666666666666663</v>
      </c>
      <c r="P2184" s="5">
        <v>1</v>
      </c>
      <c r="Q2184" s="5" t="s">
        <v>9842</v>
      </c>
      <c r="R2184" s="5">
        <v>200000</v>
      </c>
      <c r="S2184" s="5">
        <v>0</v>
      </c>
      <c r="T2184" s="5">
        <v>10000</v>
      </c>
      <c r="U2184" s="5">
        <v>210000</v>
      </c>
      <c r="V2184" s="5" t="s">
        <v>9871</v>
      </c>
      <c r="W2184" s="5" t="s">
        <v>36</v>
      </c>
      <c r="X2184" s="5" t="s">
        <v>7644</v>
      </c>
      <c r="Z2184" s="5" t="s">
        <v>9872</v>
      </c>
      <c r="AA2184" s="5" t="s">
        <v>44</v>
      </c>
      <c r="AB2184" s="5" t="s">
        <v>9873</v>
      </c>
      <c r="AC2184" s="8" t="str">
        <f>HYPERLINK("https://drive.google.com/file/d/1nXAoME6zaqITKIAh9WkfdtjA5k5nAvIV/view?usp=drivesdk", "Abrir_Factura")</f>
        <v>Abrir_Factura</v>
      </c>
      <c r="AD2184" s="9">
        <v>46066.410995370374</v>
      </c>
    </row>
    <row r="2185" spans="1:30" ht="12.5">
      <c r="A2185" s="4">
        <v>46065.622710057869</v>
      </c>
      <c r="B2185" s="5">
        <v>91923</v>
      </c>
      <c r="C2185" s="5">
        <v>1045724362</v>
      </c>
      <c r="D2185" s="5" t="s">
        <v>1159</v>
      </c>
      <c r="F2185" s="5" t="s">
        <v>1607</v>
      </c>
      <c r="H2185" s="5">
        <v>19293511166</v>
      </c>
      <c r="J2185" s="5" t="s">
        <v>9874</v>
      </c>
      <c r="K2185" s="5" t="s">
        <v>249</v>
      </c>
      <c r="L2185" s="5" t="s">
        <v>9875</v>
      </c>
      <c r="M2185" s="5" t="s">
        <v>25421</v>
      </c>
      <c r="N2185" s="6">
        <v>46066</v>
      </c>
      <c r="O2185" s="7">
        <v>0.5</v>
      </c>
      <c r="P2185" s="5">
        <v>1</v>
      </c>
      <c r="Q2185" s="5" t="s">
        <v>9842</v>
      </c>
      <c r="R2185" s="5">
        <v>200000</v>
      </c>
      <c r="S2185" s="5">
        <v>0</v>
      </c>
      <c r="T2185" s="5">
        <v>10000</v>
      </c>
      <c r="U2185" s="5">
        <v>210000</v>
      </c>
      <c r="V2185" s="5" t="s">
        <v>9876</v>
      </c>
      <c r="W2185" s="5" t="s">
        <v>36</v>
      </c>
      <c r="X2185" s="5" t="s">
        <v>7644</v>
      </c>
      <c r="AA2185" s="5" t="s">
        <v>44</v>
      </c>
      <c r="AB2185" s="5" t="s">
        <v>9600</v>
      </c>
      <c r="AC2185" s="8" t="str">
        <f>HYPERLINK("https://drive.google.com/file/d/1y_2hM3n3nHPaIaWNjePMNX-T8C857bwZ/view?usp=drivesdk", "Abrir_Factura")</f>
        <v>Abrir_Factura</v>
      </c>
      <c r="AD2185" s="9">
        <v>46066.417453703703</v>
      </c>
    </row>
    <row r="2186" spans="1:30" ht="12.5">
      <c r="A2186" s="4">
        <v>46065.7895440625</v>
      </c>
      <c r="B2186" s="5">
        <v>91924</v>
      </c>
      <c r="C2186" s="5">
        <v>901942100</v>
      </c>
      <c r="D2186" s="5" t="s">
        <v>1017</v>
      </c>
      <c r="F2186" s="5" t="s">
        <v>2368</v>
      </c>
      <c r="H2186" s="5">
        <v>573043486525</v>
      </c>
      <c r="J2186" s="5" t="s">
        <v>9877</v>
      </c>
      <c r="K2186" s="5" t="s">
        <v>185</v>
      </c>
      <c r="L2186" s="5" t="s">
        <v>9878</v>
      </c>
      <c r="M2186" s="5">
        <v>3145957090</v>
      </c>
      <c r="N2186" s="6">
        <v>46066</v>
      </c>
      <c r="O2186" s="7">
        <v>0.5</v>
      </c>
      <c r="P2186" s="5">
        <v>1</v>
      </c>
      <c r="Q2186" s="5" t="s">
        <v>458</v>
      </c>
      <c r="R2186" s="5">
        <v>360000</v>
      </c>
      <c r="S2186" s="5">
        <v>68400</v>
      </c>
      <c r="T2186" s="5">
        <v>8000</v>
      </c>
      <c r="U2186" s="5">
        <v>436400</v>
      </c>
      <c r="V2186" s="5" t="s">
        <v>9879</v>
      </c>
      <c r="W2186" s="5" t="s">
        <v>36</v>
      </c>
      <c r="X2186" s="5" t="s">
        <v>7644</v>
      </c>
      <c r="Z2186" s="5" t="s">
        <v>9880</v>
      </c>
      <c r="AA2186" s="5" t="s">
        <v>44</v>
      </c>
      <c r="AB2186" s="5" t="s">
        <v>9881</v>
      </c>
      <c r="AC2186" s="8" t="str">
        <f>HYPERLINK("https://drive.google.com/file/d/1SwmNsk1q5ezyuZW0yIuYyNII9GQTS2Pl/view?usp=drivesdk", "Abrir_Factura")</f>
        <v>Abrir_Factura</v>
      </c>
      <c r="AD2186" s="9">
        <v>46066.417939814812</v>
      </c>
    </row>
    <row r="2187" spans="1:30" ht="12.5">
      <c r="A2187" s="4">
        <v>46066.404995624995</v>
      </c>
      <c r="B2187" s="5">
        <v>91925</v>
      </c>
      <c r="C2187" s="5">
        <v>1140895461</v>
      </c>
      <c r="D2187" s="5" t="s">
        <v>1216</v>
      </c>
      <c r="F2187" s="5" t="s">
        <v>8927</v>
      </c>
      <c r="H2187" s="5">
        <v>573145404704</v>
      </c>
      <c r="J2187" s="5" t="s">
        <v>9882</v>
      </c>
      <c r="K2187" s="5" t="s">
        <v>185</v>
      </c>
      <c r="L2187" s="5" t="s">
        <v>9883</v>
      </c>
      <c r="M2187" s="5">
        <v>3145404704</v>
      </c>
      <c r="N2187" s="6">
        <v>46066</v>
      </c>
      <c r="O2187" s="7">
        <v>0</v>
      </c>
      <c r="P2187" s="5">
        <v>1</v>
      </c>
      <c r="Q2187" s="5" t="s">
        <v>210</v>
      </c>
      <c r="R2187" s="5">
        <v>170000</v>
      </c>
      <c r="S2187" s="5">
        <v>0</v>
      </c>
      <c r="T2187" s="5">
        <v>8000</v>
      </c>
      <c r="U2187" s="5">
        <v>178000</v>
      </c>
      <c r="V2187" s="5" t="s">
        <v>9884</v>
      </c>
      <c r="W2187" s="5" t="s">
        <v>36</v>
      </c>
      <c r="X2187" s="5" t="s">
        <v>7644</v>
      </c>
      <c r="AA2187" s="5" t="s">
        <v>44</v>
      </c>
      <c r="AB2187" s="5" t="s">
        <v>2708</v>
      </c>
      <c r="AC2187" s="8" t="str">
        <f>HYPERLINK("https://drive.google.com/file/d/1CoqrpO833eoVuKSvg743WmbBSNLd8ZfB/view?usp=drivesdk", "Abrir_Factura")</f>
        <v>Abrir_Factura</v>
      </c>
      <c r="AD2187" s="9">
        <v>46066.418923611112</v>
      </c>
    </row>
    <row r="2188" spans="1:30" ht="12.5">
      <c r="A2188" s="4">
        <v>46066.408423194443</v>
      </c>
      <c r="B2188" s="5">
        <v>91926</v>
      </c>
      <c r="C2188" s="5">
        <v>1143335571</v>
      </c>
      <c r="D2188" s="5" t="s">
        <v>6678</v>
      </c>
      <c r="F2188" s="5" t="s">
        <v>9885</v>
      </c>
      <c r="H2188" s="5">
        <v>573173819938</v>
      </c>
      <c r="J2188" s="5" t="s">
        <v>9886</v>
      </c>
      <c r="K2188" s="5" t="s">
        <v>7476</v>
      </c>
      <c r="L2188" s="5" t="s">
        <v>9887</v>
      </c>
      <c r="M2188" s="5">
        <v>3017155363</v>
      </c>
      <c r="N2188" s="6">
        <v>46066</v>
      </c>
      <c r="O2188" s="7">
        <v>0</v>
      </c>
      <c r="P2188" s="5">
        <v>1</v>
      </c>
      <c r="Q2188" s="5" t="s">
        <v>9199</v>
      </c>
      <c r="R2188" s="5">
        <v>180000</v>
      </c>
      <c r="S2188" s="5">
        <v>0</v>
      </c>
      <c r="T2188" s="5">
        <v>15000</v>
      </c>
      <c r="U2188" s="5">
        <v>195000</v>
      </c>
      <c r="V2188" s="5" t="s">
        <v>9888</v>
      </c>
      <c r="W2188" s="5" t="s">
        <v>36</v>
      </c>
      <c r="X2188" s="5" t="s">
        <v>9695</v>
      </c>
      <c r="Z2188" s="5" t="s">
        <v>9889</v>
      </c>
      <c r="AA2188" s="5" t="s">
        <v>44</v>
      </c>
      <c r="AB2188" s="5" t="s">
        <v>2708</v>
      </c>
      <c r="AC2188" s="8" t="str">
        <f>HYPERLINK("https://drive.google.com/file/d/1w8WfmjfI9ZdsOU1lVFpl5N8QrcMasttw/view?usp=drivesdk", "Abrir_Factura")</f>
        <v>Abrir_Factura</v>
      </c>
      <c r="AD2188" s="9">
        <v>46066.424618055556</v>
      </c>
    </row>
    <row r="2189" spans="1:30" ht="12.5">
      <c r="A2189" s="4">
        <v>46066.415693657407</v>
      </c>
      <c r="B2189" s="5">
        <v>91927</v>
      </c>
      <c r="C2189" s="5">
        <v>1098734945</v>
      </c>
      <c r="D2189" s="5" t="s">
        <v>2836</v>
      </c>
      <c r="F2189" s="5" t="s">
        <v>455</v>
      </c>
      <c r="H2189" s="5">
        <v>573184113688</v>
      </c>
      <c r="J2189" s="5" t="s">
        <v>9890</v>
      </c>
      <c r="K2189" s="5" t="s">
        <v>103</v>
      </c>
      <c r="L2189" s="5" t="s">
        <v>9891</v>
      </c>
      <c r="M2189" s="5">
        <v>3007763123</v>
      </c>
      <c r="N2189" s="6">
        <v>46066</v>
      </c>
      <c r="O2189" s="7">
        <v>0.52083333333333337</v>
      </c>
      <c r="P2189" s="5">
        <v>1</v>
      </c>
      <c r="Q2189" s="5" t="s">
        <v>9892</v>
      </c>
      <c r="R2189" s="5">
        <v>120000</v>
      </c>
      <c r="S2189" s="5">
        <v>0</v>
      </c>
      <c r="T2189" s="5">
        <v>10000</v>
      </c>
      <c r="U2189" s="5">
        <v>130000</v>
      </c>
      <c r="V2189" s="5" t="s">
        <v>9893</v>
      </c>
      <c r="W2189" s="5" t="s">
        <v>36</v>
      </c>
      <c r="X2189" s="5" t="s">
        <v>7644</v>
      </c>
      <c r="Z2189" s="5" t="s">
        <v>9894</v>
      </c>
      <c r="AA2189" s="5" t="s">
        <v>44</v>
      </c>
      <c r="AB2189" s="5" t="s">
        <v>9612</v>
      </c>
      <c r="AC2189" s="8" t="str">
        <f>HYPERLINK("https://drive.google.com/file/d/1d83XBRDibNL58uz3WgIA46D2q6yMS3LB/view?usp=drivesdk", "Abrir_Factura")</f>
        <v>Abrir_Factura</v>
      </c>
      <c r="AD2189" s="9">
        <v>46066.433865740742</v>
      </c>
    </row>
    <row r="2190" spans="1:30" ht="12.5">
      <c r="A2190" s="4">
        <v>46066.436178483797</v>
      </c>
      <c r="B2190" s="5">
        <v>91928</v>
      </c>
      <c r="C2190" s="5">
        <v>0</v>
      </c>
      <c r="D2190" s="5" t="s">
        <v>9895</v>
      </c>
      <c r="F2190" s="5" t="s">
        <v>9896</v>
      </c>
      <c r="H2190" s="5">
        <v>573122639608</v>
      </c>
      <c r="J2190" s="5" t="s">
        <v>9897</v>
      </c>
      <c r="K2190" s="5" t="s">
        <v>33</v>
      </c>
      <c r="L2190" s="5" t="s">
        <v>34</v>
      </c>
      <c r="M2190" s="5">
        <v>3122639608</v>
      </c>
      <c r="N2190" s="6">
        <v>46066</v>
      </c>
      <c r="O2190" s="7">
        <v>0</v>
      </c>
      <c r="P2190" s="5">
        <v>1</v>
      </c>
      <c r="Q2190" s="5" t="s">
        <v>178</v>
      </c>
      <c r="R2190" s="5">
        <v>110000</v>
      </c>
      <c r="S2190" s="5">
        <v>0</v>
      </c>
      <c r="T2190" s="5">
        <v>0</v>
      </c>
      <c r="U2190" s="5">
        <v>110000</v>
      </c>
      <c r="V2190" s="5"/>
      <c r="W2190" s="5" t="s">
        <v>36</v>
      </c>
      <c r="X2190" s="5" t="s">
        <v>37</v>
      </c>
      <c r="AA2190" s="5" t="s">
        <v>1717</v>
      </c>
      <c r="AB2190" s="5" t="s">
        <v>9898</v>
      </c>
      <c r="AC2190" s="8" t="str">
        <f>HYPERLINK("https://drive.google.com/file/d/1uK88kGnyfLDc1czRydwmMCSYBZClPDgw/view?usp=drivesdk", "Abrir_Factura")</f>
        <v>Abrir_Factura</v>
      </c>
      <c r="AD2190" s="9">
        <v>46066.437071759261</v>
      </c>
    </row>
    <row r="2191" spans="1:30" ht="12.5">
      <c r="A2191" s="4">
        <v>46066.416248182868</v>
      </c>
      <c r="B2191" s="5">
        <v>91929</v>
      </c>
      <c r="C2191" s="5">
        <v>1129572677</v>
      </c>
      <c r="D2191" s="5" t="s">
        <v>349</v>
      </c>
      <c r="F2191" s="5" t="s">
        <v>1747</v>
      </c>
      <c r="H2191" s="5">
        <v>573004558485</v>
      </c>
      <c r="J2191" s="5" t="s">
        <v>9899</v>
      </c>
      <c r="K2191" s="5" t="s">
        <v>185</v>
      </c>
      <c r="L2191" s="5" t="s">
        <v>9900</v>
      </c>
      <c r="M2191" s="5"/>
      <c r="N2191" s="6">
        <v>46066</v>
      </c>
      <c r="O2191" s="7">
        <v>0.58333333333333337</v>
      </c>
      <c r="P2191" s="5">
        <v>1</v>
      </c>
      <c r="Q2191" s="5" t="s">
        <v>9901</v>
      </c>
      <c r="R2191" s="5">
        <v>340000</v>
      </c>
      <c r="S2191" s="5">
        <v>0</v>
      </c>
      <c r="T2191" s="5">
        <v>8000</v>
      </c>
      <c r="U2191" s="5">
        <v>348000</v>
      </c>
      <c r="V2191" s="5" t="s">
        <v>5994</v>
      </c>
      <c r="W2191" s="5" t="s">
        <v>36</v>
      </c>
      <c r="X2191" s="5" t="s">
        <v>7644</v>
      </c>
      <c r="Z2191" s="5" t="s">
        <v>5994</v>
      </c>
      <c r="AA2191" s="5" t="s">
        <v>44</v>
      </c>
      <c r="AB2191" s="5" t="s">
        <v>9600</v>
      </c>
      <c r="AC2191" s="8" t="str">
        <f>HYPERLINK("https://drive.google.com/file/d/1EkxWMmVyqeoF8944hf4yvviN_0oZMaoH/view?usp=drivesdk", "Abrir_Factura")</f>
        <v>Abrir_Factura</v>
      </c>
      <c r="AD2191" s="9">
        <v>46066.438298611109</v>
      </c>
    </row>
    <row r="2192" spans="1:30" ht="12.5">
      <c r="A2192" s="4">
        <v>46066.431034513887</v>
      </c>
      <c r="B2192" s="5">
        <v>91930</v>
      </c>
      <c r="C2192" s="5">
        <v>1019132135</v>
      </c>
      <c r="D2192" s="5" t="s">
        <v>6280</v>
      </c>
      <c r="F2192" s="5" t="s">
        <v>9902</v>
      </c>
      <c r="H2192" s="5">
        <v>17869928070</v>
      </c>
      <c r="J2192" s="5" t="s">
        <v>9903</v>
      </c>
      <c r="K2192" s="5" t="s">
        <v>1317</v>
      </c>
      <c r="L2192" s="5" t="s">
        <v>9904</v>
      </c>
      <c r="M2192" s="5">
        <v>17869928070</v>
      </c>
      <c r="N2192" s="6">
        <v>46066</v>
      </c>
      <c r="O2192" s="7">
        <v>0.52083333333333337</v>
      </c>
      <c r="P2192" s="5">
        <v>1</v>
      </c>
      <c r="Q2192" s="5" t="s">
        <v>1393</v>
      </c>
      <c r="R2192" s="5">
        <v>600000</v>
      </c>
      <c r="S2192" s="5">
        <v>0</v>
      </c>
      <c r="T2192" s="5">
        <v>12000</v>
      </c>
      <c r="U2192" s="5">
        <v>612000</v>
      </c>
      <c r="V2192" s="5" t="s">
        <v>9905</v>
      </c>
      <c r="W2192" s="5" t="s">
        <v>36</v>
      </c>
      <c r="X2192" s="5" t="s">
        <v>1937</v>
      </c>
      <c r="Z2192" s="5" t="s">
        <v>9906</v>
      </c>
      <c r="AA2192" s="5" t="s">
        <v>44</v>
      </c>
      <c r="AB2192" s="5" t="s">
        <v>9612</v>
      </c>
      <c r="AC2192" s="8" t="str">
        <f>HYPERLINK("https://drive.google.com/file/d/1w3TIdxDfWfJJT381j-f8iLE2XMPhjpb-/view?usp=drivesdk", "Abrir_Factura")</f>
        <v>Abrir_Factura</v>
      </c>
      <c r="AD2192" s="9">
        <v>46066.438425925924</v>
      </c>
    </row>
    <row r="2193" spans="1:30" ht="12.5">
      <c r="A2193" s="4">
        <v>46066.393241909725</v>
      </c>
      <c r="B2193" s="5">
        <v>91931</v>
      </c>
      <c r="C2193" s="5">
        <v>1048206720</v>
      </c>
      <c r="D2193" s="5" t="s">
        <v>9907</v>
      </c>
      <c r="F2193" s="5" t="s">
        <v>9908</v>
      </c>
      <c r="H2193" s="5">
        <v>573105242168</v>
      </c>
      <c r="J2193" s="5" t="s">
        <v>9909</v>
      </c>
      <c r="K2193" s="5" t="s">
        <v>265</v>
      </c>
      <c r="L2193" s="5" t="s">
        <v>9910</v>
      </c>
      <c r="M2193" s="5">
        <v>3205556100</v>
      </c>
      <c r="N2193" s="6">
        <v>46066</v>
      </c>
      <c r="O2193" s="7">
        <v>0.58333333333333337</v>
      </c>
      <c r="P2193" s="5">
        <v>1</v>
      </c>
      <c r="Q2193" s="5" t="s">
        <v>9199</v>
      </c>
      <c r="R2193" s="5">
        <v>180000</v>
      </c>
      <c r="S2193" s="5">
        <v>0</v>
      </c>
      <c r="T2193" s="5">
        <v>17000</v>
      </c>
      <c r="U2193" s="5">
        <v>197000</v>
      </c>
      <c r="V2193" s="5" t="s">
        <v>9911</v>
      </c>
      <c r="W2193" s="5" t="s">
        <v>36</v>
      </c>
      <c r="X2193" s="5" t="s">
        <v>7644</v>
      </c>
      <c r="Z2193" s="5" t="s">
        <v>9912</v>
      </c>
      <c r="AA2193" s="5" t="s">
        <v>44</v>
      </c>
      <c r="AB2193" s="5" t="s">
        <v>9600</v>
      </c>
      <c r="AC2193" s="8" t="str">
        <f>HYPERLINK("https://drive.google.com/file/d/1nQWYebpBaSFaLVr2UCgGKh624BTOZxv-/view?usp=drivesdk", "Abrir_Factura")</f>
        <v>Abrir_Factura</v>
      </c>
      <c r="AD2193" s="9">
        <v>46066.440289351849</v>
      </c>
    </row>
    <row r="2194" spans="1:30" ht="12.5">
      <c r="A2194" s="4">
        <v>46066.446593611108</v>
      </c>
      <c r="B2194" s="5">
        <v>91932</v>
      </c>
      <c r="C2194" s="5">
        <v>1129577077</v>
      </c>
      <c r="D2194" s="5" t="s">
        <v>3301</v>
      </c>
      <c r="F2194" s="5" t="s">
        <v>5364</v>
      </c>
      <c r="H2194" s="5">
        <v>573146014820</v>
      </c>
      <c r="J2194" s="5" t="s">
        <v>5365</v>
      </c>
      <c r="K2194" s="5" t="s">
        <v>33</v>
      </c>
      <c r="L2194" s="5" t="s">
        <v>34</v>
      </c>
      <c r="M2194" s="5">
        <v>3146014820</v>
      </c>
      <c r="N2194" s="6">
        <v>46066</v>
      </c>
      <c r="O2194" s="7">
        <v>0</v>
      </c>
      <c r="P2194" s="5">
        <v>1</v>
      </c>
      <c r="Q2194" s="5" t="s">
        <v>42</v>
      </c>
      <c r="R2194" s="5">
        <v>12000</v>
      </c>
      <c r="S2194" s="5">
        <v>0</v>
      </c>
      <c r="T2194" s="5">
        <v>0</v>
      </c>
      <c r="U2194" s="5">
        <v>12000</v>
      </c>
      <c r="V2194" s="5"/>
      <c r="W2194" s="5" t="s">
        <v>36</v>
      </c>
      <c r="X2194" s="5" t="s">
        <v>196</v>
      </c>
      <c r="AA2194" s="5" t="s">
        <v>1717</v>
      </c>
      <c r="AC2194" s="8" t="str">
        <f>HYPERLINK("https://drive.google.com/file/d/1LM0AVLtBAxc4Fmjtzdrw0xzkjaaD2Nfd/view?usp=drivesdk", "Abrir_Factura")</f>
        <v>Abrir_Factura</v>
      </c>
      <c r="AD2194" s="9">
        <v>46066.447789351849</v>
      </c>
    </row>
    <row r="2195" spans="1:30" ht="12.5">
      <c r="A2195" s="4">
        <v>46066.450161550922</v>
      </c>
      <c r="B2195" s="5">
        <v>91933</v>
      </c>
      <c r="C2195" s="5">
        <v>32748863</v>
      </c>
      <c r="D2195" s="5" t="s">
        <v>521</v>
      </c>
      <c r="F2195" s="5" t="s">
        <v>3525</v>
      </c>
      <c r="H2195" s="5">
        <v>573174289182</v>
      </c>
      <c r="J2195" s="5" t="s">
        <v>3330</v>
      </c>
      <c r="K2195" s="5"/>
      <c r="L2195" s="5" t="s">
        <v>9913</v>
      </c>
      <c r="M2195" s="5"/>
      <c r="N2195" s="6">
        <v>46066</v>
      </c>
      <c r="O2195" s="7">
        <v>0</v>
      </c>
      <c r="P2195" s="5">
        <v>1</v>
      </c>
      <c r="Q2195" s="5" t="s">
        <v>42</v>
      </c>
      <c r="R2195" s="5">
        <v>8000</v>
      </c>
      <c r="S2195" s="5">
        <v>0</v>
      </c>
      <c r="T2195" s="5"/>
      <c r="U2195" s="5">
        <v>8000</v>
      </c>
      <c r="V2195" s="5"/>
      <c r="W2195" s="5" t="s">
        <v>36</v>
      </c>
      <c r="X2195" s="5" t="s">
        <v>1481</v>
      </c>
      <c r="AA2195" s="5" t="s">
        <v>44</v>
      </c>
      <c r="AB2195" s="5" t="s">
        <v>9914</v>
      </c>
      <c r="AC2195" s="8" t="str">
        <f>HYPERLINK("https://drive.google.com/file/d/14bIhWcWI6G86FGqPXpWwxrEMZocXdKp5/view?usp=drivesdk", "Abrir_Factura")</f>
        <v>Abrir_Factura</v>
      </c>
      <c r="AD2195" s="9">
        <v>46066.451215277775</v>
      </c>
    </row>
    <row r="2196" spans="1:30" ht="12.5">
      <c r="A2196" s="4">
        <v>46066.463180034727</v>
      </c>
      <c r="B2196" s="5">
        <v>91934</v>
      </c>
      <c r="C2196" s="5">
        <v>1042244482</v>
      </c>
      <c r="D2196" s="5" t="s">
        <v>5128</v>
      </c>
      <c r="F2196" s="5" t="s">
        <v>387</v>
      </c>
      <c r="H2196" s="5">
        <v>573183062297</v>
      </c>
      <c r="J2196" s="5" t="s">
        <v>9915</v>
      </c>
      <c r="K2196" s="5" t="s">
        <v>1921</v>
      </c>
      <c r="L2196" s="5" t="s">
        <v>9916</v>
      </c>
      <c r="M2196" s="5">
        <v>3183062297</v>
      </c>
      <c r="N2196" s="6">
        <v>46066</v>
      </c>
      <c r="O2196" s="7">
        <v>0.58333333333333337</v>
      </c>
      <c r="P2196" s="5">
        <v>1</v>
      </c>
      <c r="Q2196" s="5" t="s">
        <v>309</v>
      </c>
      <c r="R2196" s="5">
        <v>90000</v>
      </c>
      <c r="S2196" s="5">
        <v>0</v>
      </c>
      <c r="T2196" s="5">
        <v>15000</v>
      </c>
      <c r="U2196" s="5">
        <v>105000</v>
      </c>
      <c r="V2196" s="5" t="s">
        <v>9917</v>
      </c>
      <c r="W2196" s="5" t="s">
        <v>36</v>
      </c>
      <c r="X2196" s="5" t="s">
        <v>7644</v>
      </c>
      <c r="Z2196" s="5" t="s">
        <v>5128</v>
      </c>
      <c r="AA2196" s="5" t="s">
        <v>44</v>
      </c>
      <c r="AB2196" s="5" t="s">
        <v>9600</v>
      </c>
      <c r="AC2196" s="8" t="str">
        <f>HYPERLINK("https://drive.google.com/file/d/14FpZghswq48zBGRPDxoVIjvqD70xoLIO/view?usp=drivesdk", "Abrir_Factura")</f>
        <v>Abrir_Factura</v>
      </c>
      <c r="AD2196" s="9">
        <v>46066.468298611115</v>
      </c>
    </row>
    <row r="2197" spans="1:30" ht="12.5">
      <c r="A2197" s="4">
        <v>46066.4717747338</v>
      </c>
      <c r="B2197" s="5">
        <v>91935</v>
      </c>
      <c r="C2197" s="5">
        <v>72197942</v>
      </c>
      <c r="D2197" s="5" t="s">
        <v>4618</v>
      </c>
      <c r="F2197" s="5" t="s">
        <v>9918</v>
      </c>
      <c r="H2197" s="5">
        <v>573034351</v>
      </c>
      <c r="J2197" s="5" t="s">
        <v>9919</v>
      </c>
      <c r="K2197" s="5" t="s">
        <v>33</v>
      </c>
      <c r="L2197" s="5" t="s">
        <v>34</v>
      </c>
      <c r="M2197" s="5">
        <v>3034351</v>
      </c>
      <c r="N2197" s="6">
        <v>46066</v>
      </c>
      <c r="O2197" s="7">
        <v>0</v>
      </c>
      <c r="P2197" s="5">
        <v>1</v>
      </c>
      <c r="Q2197" s="5" t="s">
        <v>42</v>
      </c>
      <c r="R2197" s="5">
        <v>81000</v>
      </c>
      <c r="S2197" s="5">
        <v>0</v>
      </c>
      <c r="T2197" s="5">
        <v>0</v>
      </c>
      <c r="U2197" s="5">
        <v>81000</v>
      </c>
      <c r="V2197" s="5"/>
      <c r="W2197" s="5" t="s">
        <v>36</v>
      </c>
      <c r="X2197" s="5" t="s">
        <v>1705</v>
      </c>
      <c r="AA2197" s="5" t="s">
        <v>1717</v>
      </c>
      <c r="AC2197" s="8" t="str">
        <f>HYPERLINK("https://drive.google.com/file/d/1HtRaNE9tzw2HHvV12DgKJzreg0yZQJsj/view?usp=drivesdk", "Abrir_Factura")</f>
        <v>Abrir_Factura</v>
      </c>
      <c r="AD2197" s="9">
        <v>46066.472708333335</v>
      </c>
    </row>
    <row r="2198" spans="1:30" ht="12.5">
      <c r="A2198" s="4">
        <v>46066.476882604169</v>
      </c>
      <c r="B2198" s="5">
        <v>91936</v>
      </c>
      <c r="C2198" s="5">
        <v>1001918458</v>
      </c>
      <c r="D2198" s="5" t="s">
        <v>4026</v>
      </c>
      <c r="F2198" s="5" t="s">
        <v>9920</v>
      </c>
      <c r="H2198" s="5">
        <v>573007395078</v>
      </c>
      <c r="J2198" s="5" t="s">
        <v>9921</v>
      </c>
      <c r="K2198" s="5" t="s">
        <v>307</v>
      </c>
      <c r="L2198" s="5" t="s">
        <v>9922</v>
      </c>
      <c r="M2198" s="5">
        <v>3175741646</v>
      </c>
      <c r="N2198" s="6">
        <v>46066</v>
      </c>
      <c r="O2198" s="7">
        <v>0</v>
      </c>
      <c r="P2198" s="5">
        <v>1</v>
      </c>
      <c r="Q2198" s="5" t="s">
        <v>375</v>
      </c>
      <c r="R2198" s="5">
        <v>80000</v>
      </c>
      <c r="S2198" s="5">
        <v>0</v>
      </c>
      <c r="T2198" s="5">
        <v>10000</v>
      </c>
      <c r="U2198" s="5">
        <v>90000</v>
      </c>
      <c r="V2198" s="5" t="s">
        <v>9923</v>
      </c>
      <c r="W2198" s="5" t="s">
        <v>36</v>
      </c>
      <c r="X2198" s="5" t="s">
        <v>67</v>
      </c>
      <c r="AA2198" s="5" t="s">
        <v>44</v>
      </c>
      <c r="AB2198" s="5" t="s">
        <v>9600</v>
      </c>
      <c r="AC2198" s="8" t="str">
        <f>HYPERLINK("https://drive.google.com/file/d/1t8h_1dbVle5WIbIc90LjMmB97QeD8Zec/view?usp=drivesdk", "Abrir_Factura")</f>
        <v>Abrir_Factura</v>
      </c>
      <c r="AD2198" s="9">
        <v>46066.686215277776</v>
      </c>
    </row>
    <row r="2199" spans="1:30" ht="12.5">
      <c r="A2199" s="4">
        <v>46066.47858880787</v>
      </c>
      <c r="B2199" s="5">
        <v>91937</v>
      </c>
      <c r="C2199" s="5">
        <v>1047487980</v>
      </c>
      <c r="D2199" s="5" t="s">
        <v>404</v>
      </c>
      <c r="F2199" s="5" t="s">
        <v>1003</v>
      </c>
      <c r="H2199" s="5">
        <v>573107489331</v>
      </c>
      <c r="J2199" s="5" t="s">
        <v>9924</v>
      </c>
      <c r="K2199" s="5" t="s">
        <v>9925</v>
      </c>
      <c r="L2199" s="5" t="s">
        <v>9926</v>
      </c>
      <c r="M2199" s="5">
        <v>3122590130</v>
      </c>
      <c r="N2199" s="6">
        <v>46066</v>
      </c>
      <c r="O2199" s="7">
        <v>0</v>
      </c>
      <c r="P2199" s="5">
        <v>1</v>
      </c>
      <c r="Q2199" s="5" t="s">
        <v>309</v>
      </c>
      <c r="R2199" s="5">
        <v>90000</v>
      </c>
      <c r="S2199" s="5">
        <v>0</v>
      </c>
      <c r="T2199" s="5">
        <v>11000</v>
      </c>
      <c r="U2199" s="5">
        <v>101000</v>
      </c>
      <c r="V2199" s="5" t="s">
        <v>9927</v>
      </c>
      <c r="W2199" s="5" t="s">
        <v>36</v>
      </c>
      <c r="X2199" s="5" t="s">
        <v>7644</v>
      </c>
      <c r="Z2199" s="5" t="s">
        <v>404</v>
      </c>
      <c r="AA2199" s="5" t="s">
        <v>44</v>
      </c>
      <c r="AB2199" s="5" t="s">
        <v>2708</v>
      </c>
      <c r="AC2199" s="8" t="str">
        <f>HYPERLINK("https://drive.google.com/file/d/1b9RzQhc-2g5od4QsHTr_CPhAjVcysj4V/view?usp=drivesdk", "Abrir_Factura")</f>
        <v>Abrir_Factura</v>
      </c>
      <c r="AD2199" s="9">
        <v>46066.485266203701</v>
      </c>
    </row>
    <row r="2200" spans="1:30" ht="12.5">
      <c r="A2200" s="4">
        <v>46066.490384629629</v>
      </c>
      <c r="B2200" s="5">
        <v>91938</v>
      </c>
      <c r="C2200" s="5">
        <v>1018388917</v>
      </c>
      <c r="D2200" s="5" t="s">
        <v>9928</v>
      </c>
      <c r="F2200" s="5" t="s">
        <v>9929</v>
      </c>
      <c r="H2200" s="5">
        <v>570000</v>
      </c>
      <c r="J2200" s="5" t="s">
        <v>9930</v>
      </c>
      <c r="K2200" s="5" t="s">
        <v>33</v>
      </c>
      <c r="L2200" s="5" t="s">
        <v>34</v>
      </c>
      <c r="M2200" s="5">
        <v>0</v>
      </c>
      <c r="N2200" s="6">
        <v>46066</v>
      </c>
      <c r="O2200" s="7">
        <v>0</v>
      </c>
      <c r="P2200" s="5">
        <v>1</v>
      </c>
      <c r="Q2200" s="5" t="s">
        <v>9931</v>
      </c>
      <c r="R2200" s="5">
        <v>200000</v>
      </c>
      <c r="S2200" s="5">
        <v>0</v>
      </c>
      <c r="T2200" s="5">
        <v>0</v>
      </c>
      <c r="U2200" s="5">
        <v>200000</v>
      </c>
      <c r="V2200" s="5"/>
      <c r="W2200" s="5" t="s">
        <v>36</v>
      </c>
      <c r="X2200" s="5" t="s">
        <v>37</v>
      </c>
      <c r="AA2200" s="5" t="s">
        <v>1717</v>
      </c>
      <c r="AB2200" s="5">
        <v>2428369444</v>
      </c>
      <c r="AC2200" s="8" t="str">
        <f>HYPERLINK("https://drive.google.com/file/d/1tqw09YvB6V1grSsGLXtwP5JBbsZx_MZq/view?usp=drivesdk", "Abrir_Factura")</f>
        <v>Abrir_Factura</v>
      </c>
      <c r="AD2200" s="9">
        <v>46066.493078703701</v>
      </c>
    </row>
    <row r="2201" spans="1:30" ht="12.5">
      <c r="A2201" s="4">
        <v>46066.46380513889</v>
      </c>
      <c r="B2201" s="5">
        <v>91939</v>
      </c>
      <c r="C2201" s="5">
        <v>1066269100</v>
      </c>
      <c r="D2201" s="5" t="s">
        <v>9932</v>
      </c>
      <c r="F2201" s="5" t="s">
        <v>1831</v>
      </c>
      <c r="H2201" s="5">
        <v>573114379822</v>
      </c>
      <c r="J2201" s="5" t="s">
        <v>9933</v>
      </c>
      <c r="K2201" s="5" t="s">
        <v>307</v>
      </c>
      <c r="L2201" s="5" t="s">
        <v>9934</v>
      </c>
      <c r="M2201" s="5">
        <v>3112961620</v>
      </c>
      <c r="N2201" s="6">
        <v>46066</v>
      </c>
      <c r="O2201" s="7">
        <v>8.3333333333333329E-2</v>
      </c>
      <c r="P2201" s="5">
        <v>1</v>
      </c>
      <c r="Q2201" s="5" t="s">
        <v>187</v>
      </c>
      <c r="R2201" s="5">
        <v>220000</v>
      </c>
      <c r="S2201" s="5">
        <v>0</v>
      </c>
      <c r="T2201" s="5">
        <v>10000</v>
      </c>
      <c r="U2201" s="5">
        <v>230000</v>
      </c>
      <c r="V2201" s="5" t="s">
        <v>9935</v>
      </c>
      <c r="W2201" s="5" t="s">
        <v>36</v>
      </c>
      <c r="X2201" s="5" t="s">
        <v>9695</v>
      </c>
      <c r="Z2201" s="5" t="s">
        <v>9936</v>
      </c>
      <c r="AA2201" s="5" t="s">
        <v>44</v>
      </c>
      <c r="AB2201" s="5" t="s">
        <v>9612</v>
      </c>
      <c r="AC2201" s="8" t="str">
        <f>HYPERLINK("https://drive.google.com/file/d/1wjb7sypAqLbrLhtJRjmSrC-bcWGvmP3q/view?usp=drivesdk", "Abrir_Factura")</f>
        <v>Abrir_Factura</v>
      </c>
      <c r="AD2201" s="9">
        <v>46066.496331018519</v>
      </c>
    </row>
    <row r="2202" spans="1:30" ht="12.5">
      <c r="A2202" s="4">
        <v>46066.495519942131</v>
      </c>
      <c r="B2202" s="5">
        <v>91940</v>
      </c>
      <c r="C2202" s="5">
        <v>55223981</v>
      </c>
      <c r="D2202" s="5" t="s">
        <v>1602</v>
      </c>
      <c r="F2202" s="5" t="s">
        <v>1924</v>
      </c>
      <c r="H2202" s="5">
        <v>5700000</v>
      </c>
      <c r="J2202" s="5" t="s">
        <v>1925</v>
      </c>
      <c r="K2202" s="5" t="s">
        <v>33</v>
      </c>
      <c r="L2202" s="5" t="s">
        <v>34</v>
      </c>
      <c r="M2202" s="5">
        <v>0</v>
      </c>
      <c r="N2202" s="6">
        <v>46066</v>
      </c>
      <c r="O2202" s="7">
        <v>0</v>
      </c>
      <c r="P2202" s="5">
        <v>1</v>
      </c>
      <c r="Q2202" s="5" t="s">
        <v>42</v>
      </c>
      <c r="R2202" s="5">
        <v>89000</v>
      </c>
      <c r="S2202" s="5">
        <v>0</v>
      </c>
      <c r="T2202" s="5">
        <v>0</v>
      </c>
      <c r="U2202" s="5">
        <v>89000</v>
      </c>
      <c r="V2202" s="5"/>
      <c r="W2202" s="5" t="s">
        <v>36</v>
      </c>
      <c r="X2202" s="5" t="s">
        <v>43</v>
      </c>
      <c r="AA2202" s="5" t="s">
        <v>1717</v>
      </c>
      <c r="AB2202" s="5">
        <v>9</v>
      </c>
      <c r="AC2202" s="8" t="str">
        <f>HYPERLINK("https://drive.google.com/file/d/1-vftQVkY8wZxEZ5LblqtLjDZY-eo5Gse/view?usp=drivesdk", "Abrir_Factura")</f>
        <v>Abrir_Factura</v>
      </c>
      <c r="AD2202" s="9">
        <v>46066.499178240738</v>
      </c>
    </row>
    <row r="2203" spans="1:30" ht="12.5">
      <c r="A2203" s="4">
        <v>46066.509623530088</v>
      </c>
      <c r="B2203" s="5">
        <v>91941</v>
      </c>
      <c r="C2203" s="5">
        <v>1042850974</v>
      </c>
      <c r="D2203" s="5" t="s">
        <v>9937</v>
      </c>
      <c r="F2203" s="5" t="s">
        <v>9938</v>
      </c>
      <c r="H2203" s="5">
        <v>573108301937</v>
      </c>
      <c r="J2203" s="5" t="s">
        <v>9939</v>
      </c>
      <c r="K2203" s="5" t="s">
        <v>33</v>
      </c>
      <c r="L2203" s="5" t="s">
        <v>34</v>
      </c>
      <c r="M2203" s="5">
        <v>0</v>
      </c>
      <c r="N2203" s="6">
        <v>46066</v>
      </c>
      <c r="O2203" s="7">
        <v>0</v>
      </c>
      <c r="P2203" s="5">
        <v>1</v>
      </c>
      <c r="Q2203" s="5" t="s">
        <v>42</v>
      </c>
      <c r="R2203" s="5">
        <v>150000</v>
      </c>
      <c r="S2203" s="5">
        <v>0</v>
      </c>
      <c r="T2203" s="5">
        <v>0</v>
      </c>
      <c r="U2203" s="5">
        <v>150000</v>
      </c>
      <c r="V2203" s="5"/>
      <c r="W2203" s="5" t="s">
        <v>36</v>
      </c>
      <c r="X2203" s="5" t="s">
        <v>1705</v>
      </c>
      <c r="AA2203" s="5" t="s">
        <v>1717</v>
      </c>
      <c r="AB2203" s="5" t="s">
        <v>9940</v>
      </c>
      <c r="AC2203" s="8" t="str">
        <f>HYPERLINK("https://drive.google.com/file/d/12cLqPKhxv_VFGa_CHHlaWgbGDS3MZ_eL/view?usp=drivesdk", "Abrir_Factura")</f>
        <v>Abrir_Factura</v>
      </c>
      <c r="AD2203" s="9">
        <v>46066.510763888888</v>
      </c>
    </row>
    <row r="2204" spans="1:30" ht="12.5">
      <c r="A2204" s="4">
        <v>46066.507131574079</v>
      </c>
      <c r="B2204" s="5">
        <v>91942</v>
      </c>
      <c r="C2204" s="5">
        <v>1045736536</v>
      </c>
      <c r="D2204" s="5" t="s">
        <v>1369</v>
      </c>
      <c r="F2204" s="5" t="s">
        <v>3271</v>
      </c>
      <c r="H2204" s="5">
        <v>573013499354</v>
      </c>
      <c r="J2204" s="5" t="s">
        <v>3272</v>
      </c>
      <c r="K2204" s="5" t="s">
        <v>405</v>
      </c>
      <c r="L2204" s="5" t="s">
        <v>9941</v>
      </c>
      <c r="M2204" s="5">
        <v>3014794374</v>
      </c>
      <c r="N2204" s="6">
        <v>46066</v>
      </c>
      <c r="O2204" s="7">
        <v>0.625</v>
      </c>
      <c r="P2204" s="5">
        <v>1</v>
      </c>
      <c r="Q2204" s="5" t="s">
        <v>1203</v>
      </c>
      <c r="R2204" s="5">
        <v>300000</v>
      </c>
      <c r="S2204" s="5">
        <v>0</v>
      </c>
      <c r="T2204" s="5">
        <v>30000</v>
      </c>
      <c r="U2204" s="5">
        <v>330000</v>
      </c>
      <c r="V2204" s="5" t="s">
        <v>9942</v>
      </c>
      <c r="W2204" s="5" t="s">
        <v>36</v>
      </c>
      <c r="X2204" s="5" t="s">
        <v>7644</v>
      </c>
      <c r="AA2204" s="5" t="s">
        <v>44</v>
      </c>
      <c r="AB2204" s="5" t="s">
        <v>9600</v>
      </c>
      <c r="AC2204" s="8" t="str">
        <f>HYPERLINK("https://drive.google.com/file/d/1yUkfKiD5oAXQE3yBMAfSsrd6zvfGxbdN/view?usp=drivesdk", "Abrir_Factura")</f>
        <v>Abrir_Factura</v>
      </c>
      <c r="AD2204" s="9">
        <v>46066.519907407404</v>
      </c>
    </row>
    <row r="2205" spans="1:30" ht="12.5">
      <c r="A2205" s="4">
        <v>46066.520511215276</v>
      </c>
      <c r="B2205" s="5">
        <v>91943</v>
      </c>
      <c r="C2205" s="5">
        <v>1002158026</v>
      </c>
      <c r="D2205" s="5" t="s">
        <v>8439</v>
      </c>
      <c r="F2205" s="5" t="s">
        <v>9943</v>
      </c>
      <c r="H2205" s="5">
        <v>573015271154</v>
      </c>
      <c r="J2205" s="5" t="s">
        <v>9944</v>
      </c>
      <c r="K2205" s="5" t="s">
        <v>249</v>
      </c>
      <c r="L2205" s="5" t="s">
        <v>9945</v>
      </c>
      <c r="M2205" s="5">
        <v>3015271154</v>
      </c>
      <c r="N2205" s="6">
        <v>46066</v>
      </c>
      <c r="O2205" s="7">
        <v>0</v>
      </c>
      <c r="P2205" s="5">
        <v>1</v>
      </c>
      <c r="Q2205" s="5" t="s">
        <v>6874</v>
      </c>
      <c r="R2205" s="5">
        <v>120000</v>
      </c>
      <c r="S2205" s="5">
        <v>0</v>
      </c>
      <c r="T2205" s="5">
        <v>10000</v>
      </c>
      <c r="U2205" s="5">
        <v>130000</v>
      </c>
      <c r="V2205" s="5"/>
      <c r="W2205" s="5" t="s">
        <v>36</v>
      </c>
      <c r="X2205" s="5" t="s">
        <v>7644</v>
      </c>
      <c r="AA2205" s="5" t="s">
        <v>44</v>
      </c>
      <c r="AB2205" s="5" t="s">
        <v>2708</v>
      </c>
      <c r="AC2205" s="8" t="str">
        <f>HYPERLINK("https://drive.google.com/file/d/1nUSSX7CjjFmIphFVIeptHgRSH9H_4sKP/view?usp=drivesdk", "Abrir_Factura")</f>
        <v>Abrir_Factura</v>
      </c>
      <c r="AD2205" s="9">
        <v>46066.523935185185</v>
      </c>
    </row>
    <row r="2206" spans="1:30" ht="12.5">
      <c r="A2206" s="4">
        <v>46066.518580243057</v>
      </c>
      <c r="B2206" s="5">
        <v>91944</v>
      </c>
      <c r="C2206" s="5">
        <v>32677098</v>
      </c>
      <c r="D2206" s="5" t="s">
        <v>9946</v>
      </c>
      <c r="F2206" s="5" t="s">
        <v>9947</v>
      </c>
      <c r="H2206" s="5">
        <v>573155004647</v>
      </c>
      <c r="J2206" s="5" t="s">
        <v>9948</v>
      </c>
      <c r="K2206" s="5" t="s">
        <v>886</v>
      </c>
      <c r="L2206" s="5" t="s">
        <v>9949</v>
      </c>
      <c r="M2206" s="5">
        <v>3016791092</v>
      </c>
      <c r="N2206" s="6">
        <v>46066</v>
      </c>
      <c r="O2206" s="7">
        <v>0.58333333333333337</v>
      </c>
      <c r="P2206" s="5">
        <v>1</v>
      </c>
      <c r="Q2206" s="5" t="s">
        <v>9950</v>
      </c>
      <c r="R2206" s="5">
        <v>240000</v>
      </c>
      <c r="S2206" s="5">
        <v>0</v>
      </c>
      <c r="T2206" s="5">
        <v>12000</v>
      </c>
      <c r="U2206" s="5">
        <v>252000</v>
      </c>
      <c r="V2206" s="5" t="s">
        <v>9951</v>
      </c>
      <c r="W2206" s="5" t="s">
        <v>36</v>
      </c>
      <c r="X2206" s="5" t="s">
        <v>7644</v>
      </c>
      <c r="Z2206" s="5" t="s">
        <v>9952</v>
      </c>
      <c r="AA2206" s="5" t="s">
        <v>44</v>
      </c>
      <c r="AB2206" s="5" t="s">
        <v>9600</v>
      </c>
      <c r="AC2206" s="8" t="str">
        <f>HYPERLINK("https://drive.google.com/file/d/1hPcispNDApJBbXLG-SKMv3KEhATtz04D/view?usp=drivesdk", "Abrir_Factura")</f>
        <v>Abrir_Factura</v>
      </c>
      <c r="AD2206" s="9">
        <v>46066.525150462963</v>
      </c>
    </row>
    <row r="2207" spans="1:30" ht="12.5">
      <c r="A2207" s="4">
        <v>46066.524171249999</v>
      </c>
      <c r="B2207" s="5">
        <v>91945</v>
      </c>
      <c r="C2207" s="10" t="s">
        <v>9953</v>
      </c>
      <c r="D2207" s="5" t="s">
        <v>5262</v>
      </c>
      <c r="F2207" s="5" t="s">
        <v>9954</v>
      </c>
      <c r="H2207" s="5">
        <v>573003297891</v>
      </c>
      <c r="J2207" s="5" t="s">
        <v>9955</v>
      </c>
      <c r="K2207" s="5" t="s">
        <v>185</v>
      </c>
      <c r="L2207" s="5" t="s">
        <v>9956</v>
      </c>
      <c r="M2207" s="5">
        <v>3164644610</v>
      </c>
      <c r="N2207" s="6">
        <v>46066</v>
      </c>
      <c r="O2207" s="7">
        <v>0</v>
      </c>
      <c r="P2207" s="5">
        <v>1</v>
      </c>
      <c r="Q2207" s="5" t="s">
        <v>42</v>
      </c>
      <c r="R2207" s="5">
        <v>20000</v>
      </c>
      <c r="S2207" s="5">
        <v>0</v>
      </c>
      <c r="T2207" s="5">
        <v>8000</v>
      </c>
      <c r="U2207" s="5">
        <v>28000</v>
      </c>
      <c r="V2207" s="5"/>
      <c r="W2207" s="5" t="s">
        <v>36</v>
      </c>
      <c r="X2207" s="5" t="s">
        <v>1481</v>
      </c>
      <c r="AA2207" s="5" t="s">
        <v>44</v>
      </c>
      <c r="AB2207" s="5" t="s">
        <v>9957</v>
      </c>
      <c r="AC2207" s="8" t="str">
        <f>HYPERLINK("https://drive.google.com/file/d/1I6-0K2cbnx4927htvL0cY-w1Uw6FPkhk/view?usp=drivesdk", "Abrir_Factura")</f>
        <v>Abrir_Factura</v>
      </c>
      <c r="AD2207" s="9">
        <v>46066.526006944441</v>
      </c>
    </row>
    <row r="2208" spans="1:30" ht="12.5">
      <c r="A2208" s="4">
        <v>46066.380719062501</v>
      </c>
      <c r="B2208" s="5">
        <v>91946</v>
      </c>
      <c r="C2208" s="5">
        <v>1002211805</v>
      </c>
      <c r="D2208" s="5" t="s">
        <v>9958</v>
      </c>
      <c r="F2208" s="5" t="s">
        <v>7757</v>
      </c>
      <c r="H2208" s="5">
        <v>573015068573</v>
      </c>
      <c r="J2208" s="5" t="s">
        <v>9959</v>
      </c>
      <c r="K2208" s="5" t="s">
        <v>249</v>
      </c>
      <c r="L2208" s="5" t="s">
        <v>9960</v>
      </c>
      <c r="M2208" s="5">
        <v>3135751105</v>
      </c>
      <c r="N2208" s="6">
        <v>46067</v>
      </c>
      <c r="O2208" s="7">
        <v>0.375</v>
      </c>
      <c r="P2208" s="5">
        <v>1</v>
      </c>
      <c r="Q2208" s="5" t="s">
        <v>96</v>
      </c>
      <c r="R2208" s="5">
        <v>250000</v>
      </c>
      <c r="S2208" s="5">
        <v>0</v>
      </c>
      <c r="T2208" s="5">
        <v>10000</v>
      </c>
      <c r="U2208" s="5">
        <v>260000</v>
      </c>
      <c r="V2208" s="5" t="s">
        <v>9961</v>
      </c>
      <c r="W2208" s="5" t="s">
        <v>36</v>
      </c>
      <c r="X2208" s="5" t="s">
        <v>1937</v>
      </c>
      <c r="Z2208" s="5" t="s">
        <v>9962</v>
      </c>
      <c r="AA2208" s="5" t="s">
        <v>44</v>
      </c>
      <c r="AB2208" s="5" t="s">
        <v>9600</v>
      </c>
      <c r="AC2208" s="8" t="str">
        <f>HYPERLINK("https://drive.google.com/file/d/1uk5AbxqqZ1xt0X9o4M130AtJc1rAMJeW/view?usp=drivesdk", "Abrir_Factura")</f>
        <v>Abrir_Factura</v>
      </c>
      <c r="AD2208" s="9">
        <v>46066.533553240741</v>
      </c>
    </row>
    <row r="2209" spans="1:30" ht="12.5">
      <c r="A2209" s="4">
        <v>46066.530763229166</v>
      </c>
      <c r="B2209" s="5">
        <v>91947</v>
      </c>
      <c r="C2209" s="5">
        <v>45763225</v>
      </c>
      <c r="D2209" s="5" t="s">
        <v>9963</v>
      </c>
      <c r="F2209" s="5" t="s">
        <v>9964</v>
      </c>
      <c r="H2209" s="10" t="s">
        <v>678</v>
      </c>
      <c r="J2209" s="5" t="s">
        <v>7204</v>
      </c>
      <c r="K2209" s="5" t="s">
        <v>33</v>
      </c>
      <c r="L2209" s="5" t="s">
        <v>34</v>
      </c>
      <c r="M2209" s="5"/>
      <c r="N2209" s="6">
        <v>46066</v>
      </c>
      <c r="O2209" s="7">
        <v>0</v>
      </c>
      <c r="P2209" s="5">
        <v>1</v>
      </c>
      <c r="Q2209" s="5" t="s">
        <v>42</v>
      </c>
      <c r="R2209" s="5">
        <v>138000</v>
      </c>
      <c r="S2209" s="5">
        <v>0</v>
      </c>
      <c r="T2209" s="5">
        <v>0</v>
      </c>
      <c r="U2209" s="5">
        <v>138000</v>
      </c>
      <c r="V2209" s="5"/>
      <c r="W2209" s="5" t="s">
        <v>36</v>
      </c>
      <c r="X2209" s="5" t="s">
        <v>1481</v>
      </c>
      <c r="AA2209" s="5" t="s">
        <v>1717</v>
      </c>
      <c r="AC2209" s="8" t="str">
        <f>HYPERLINK("https://drive.google.com/file/d/1voTBUYdSXaeq3ymez03oH9VzHqfmN8mt/view?usp=drivesdk", "Abrir_Factura")</f>
        <v>Abrir_Factura</v>
      </c>
      <c r="AD2209" s="9">
        <v>46066.731770833336</v>
      </c>
    </row>
    <row r="2210" spans="1:30" ht="12.5">
      <c r="A2210" s="4">
        <v>46065.721428078701</v>
      </c>
      <c r="B2210" s="5">
        <v>91948</v>
      </c>
      <c r="C2210" s="5">
        <v>1044612362</v>
      </c>
      <c r="D2210" s="5" t="s">
        <v>9965</v>
      </c>
      <c r="F2210" s="5" t="s">
        <v>9966</v>
      </c>
      <c r="H2210" s="5">
        <v>15405564157</v>
      </c>
      <c r="J2210" s="5" t="s">
        <v>290</v>
      </c>
      <c r="K2210" s="5" t="s">
        <v>448</v>
      </c>
      <c r="L2210" s="5" t="s">
        <v>9967</v>
      </c>
      <c r="M2210" s="5"/>
      <c r="N2210" s="6">
        <v>46066</v>
      </c>
      <c r="O2210" s="7">
        <v>0.10416666666666667</v>
      </c>
      <c r="P2210" s="5">
        <v>1</v>
      </c>
      <c r="Q2210" s="5" t="s">
        <v>309</v>
      </c>
      <c r="R2210" s="5">
        <v>90000</v>
      </c>
      <c r="S2210" s="5">
        <v>0</v>
      </c>
      <c r="T2210" s="5">
        <v>15000</v>
      </c>
      <c r="U2210" s="5">
        <v>105000</v>
      </c>
      <c r="V2210" s="5" t="s">
        <v>9968</v>
      </c>
      <c r="W2210" s="5" t="s">
        <v>36</v>
      </c>
      <c r="X2210" s="5" t="s">
        <v>9695</v>
      </c>
      <c r="Z2210" s="5" t="s">
        <v>9969</v>
      </c>
      <c r="AA2210" s="5" t="s">
        <v>44</v>
      </c>
      <c r="AB2210" s="5" t="s">
        <v>9970</v>
      </c>
      <c r="AC2210" s="8" t="str">
        <f>HYPERLINK("https://drive.google.com/file/d/11Bfw24EAPjmpMTWF0W0ixs3acsqbZr6J/view?usp=drivesdk", "Abrir_Factura")</f>
        <v>Abrir_Factura</v>
      </c>
      <c r="AD2210" s="9">
        <v>46066.536817129629</v>
      </c>
    </row>
    <row r="2211" spans="1:30" ht="12.5">
      <c r="A2211" s="4">
        <v>46066.510098101848</v>
      </c>
      <c r="B2211" s="5">
        <v>91949</v>
      </c>
      <c r="C2211" s="5">
        <v>1006247882</v>
      </c>
      <c r="D2211" s="5" t="s">
        <v>9971</v>
      </c>
      <c r="F2211" s="5" t="s">
        <v>9972</v>
      </c>
      <c r="H2211" s="5">
        <v>573104557947</v>
      </c>
      <c r="J2211" s="5" t="s">
        <v>9973</v>
      </c>
      <c r="K2211" s="5" t="s">
        <v>124</v>
      </c>
      <c r="L2211" s="5" t="s">
        <v>9974</v>
      </c>
      <c r="M2211" s="5">
        <v>3022255352</v>
      </c>
      <c r="N2211" s="6">
        <v>46066</v>
      </c>
      <c r="O2211" s="7">
        <v>0.625</v>
      </c>
      <c r="P2211" s="5">
        <v>1</v>
      </c>
      <c r="Q2211" s="5" t="s">
        <v>9975</v>
      </c>
      <c r="R2211" s="5">
        <v>120000</v>
      </c>
      <c r="S2211" s="5">
        <v>0</v>
      </c>
      <c r="T2211" s="5">
        <v>12000</v>
      </c>
      <c r="U2211" s="5">
        <v>132000</v>
      </c>
      <c r="V2211" s="5" t="s">
        <v>9976</v>
      </c>
      <c r="W2211" s="5" t="s">
        <v>36</v>
      </c>
      <c r="X2211" s="5" t="s">
        <v>7644</v>
      </c>
      <c r="Z2211" s="5" t="s">
        <v>9977</v>
      </c>
      <c r="AA2211" s="5" t="s">
        <v>44</v>
      </c>
      <c r="AB2211" s="5" t="s">
        <v>9600</v>
      </c>
      <c r="AC2211" s="8" t="str">
        <f>HYPERLINK("https://drive.google.com/file/d/1c3ABvJuwTtPqGynqHdbR1YHXCTCuQ03k/view?usp=drivesdk", "Abrir_Factura")</f>
        <v>Abrir_Factura</v>
      </c>
      <c r="AD2211" s="9">
        <v>46066.539050925923</v>
      </c>
    </row>
    <row r="2212" spans="1:30" ht="12.5">
      <c r="A2212" s="4">
        <v>46066.516380729168</v>
      </c>
      <c r="B2212" s="5">
        <v>91950</v>
      </c>
      <c r="C2212" s="5">
        <v>1144171521</v>
      </c>
      <c r="D2212" s="5" t="s">
        <v>9978</v>
      </c>
      <c r="F2212" s="5" t="s">
        <v>9979</v>
      </c>
      <c r="H2212" s="5">
        <v>573104601110</v>
      </c>
      <c r="J2212" s="5" t="s">
        <v>9980</v>
      </c>
      <c r="K2212" s="5" t="s">
        <v>726</v>
      </c>
      <c r="L2212" s="5" t="s">
        <v>9981</v>
      </c>
      <c r="M2212" s="5">
        <v>3123032766</v>
      </c>
      <c r="N2212" s="6">
        <v>46067</v>
      </c>
      <c r="O2212" s="7">
        <v>0</v>
      </c>
      <c r="P2212" s="5">
        <v>1</v>
      </c>
      <c r="Q2212" s="5" t="s">
        <v>330</v>
      </c>
      <c r="R2212" s="5">
        <v>201000</v>
      </c>
      <c r="S2212" s="5">
        <v>0</v>
      </c>
      <c r="T2212" s="5">
        <v>9000</v>
      </c>
      <c r="U2212" s="5">
        <v>210000</v>
      </c>
      <c r="V2212" s="5" t="s">
        <v>9982</v>
      </c>
      <c r="W2212" s="5" t="s">
        <v>36</v>
      </c>
      <c r="X2212" s="5" t="s">
        <v>67</v>
      </c>
      <c r="Z2212" s="5" t="s">
        <v>9983</v>
      </c>
      <c r="AA2212" s="5" t="s">
        <v>44</v>
      </c>
      <c r="AB2212" s="5" t="s">
        <v>2708</v>
      </c>
      <c r="AC2212" s="8" t="str">
        <f>HYPERLINK("https://drive.google.com/file/d/1xKnyjvoJYAjs-66DCwx69nWXeNEiZ6Je/view?usp=drivesdk", "Abrir_Factura")</f>
        <v>Abrir_Factura</v>
      </c>
      <c r="AD2212" s="9">
        <v>46066.739189814813</v>
      </c>
    </row>
    <row r="2213" spans="1:30" ht="12.5">
      <c r="A2213" s="4">
        <v>46066.514849282408</v>
      </c>
      <c r="B2213" s="5">
        <v>91951</v>
      </c>
      <c r="C2213" s="5">
        <v>1103121050</v>
      </c>
      <c r="D2213" s="5" t="s">
        <v>9984</v>
      </c>
      <c r="F2213" s="5" t="s">
        <v>699</v>
      </c>
      <c r="H2213" s="5">
        <v>573043765746</v>
      </c>
      <c r="J2213" s="5" t="s">
        <v>9985</v>
      </c>
      <c r="K2213" s="5" t="s">
        <v>73</v>
      </c>
      <c r="L2213" s="5" t="s">
        <v>9986</v>
      </c>
      <c r="M2213" s="5">
        <v>3106153222</v>
      </c>
      <c r="N2213" s="6">
        <v>46066</v>
      </c>
      <c r="O2213" s="7">
        <v>0.625</v>
      </c>
      <c r="P2213" s="5">
        <v>1</v>
      </c>
      <c r="Q2213" s="5" t="s">
        <v>322</v>
      </c>
      <c r="R2213" s="5">
        <v>135000</v>
      </c>
      <c r="S2213" s="5">
        <v>0</v>
      </c>
      <c r="T2213" s="5">
        <v>8000</v>
      </c>
      <c r="U2213" s="5">
        <v>143000</v>
      </c>
      <c r="V2213" s="5" t="s">
        <v>9987</v>
      </c>
      <c r="W2213" s="5" t="s">
        <v>36</v>
      </c>
      <c r="X2213" s="5" t="s">
        <v>7644</v>
      </c>
      <c r="Z2213" s="5" t="s">
        <v>9988</v>
      </c>
      <c r="AA2213" s="5" t="s">
        <v>44</v>
      </c>
      <c r="AB2213" s="5" t="s">
        <v>9600</v>
      </c>
      <c r="AC2213" s="8" t="str">
        <f>HYPERLINK("https://drive.google.com/file/d/1XoQJ0E_9zd_7lYLjtXatBW1L4-DwhFoM/view?usp=drivesdk", "Abrir_Factura")</f>
        <v>Abrir_Factura</v>
      </c>
      <c r="AD2213" s="9">
        <v>46066.540289351855</v>
      </c>
    </row>
    <row r="2214" spans="1:30" ht="12.5">
      <c r="A2214" s="4">
        <v>46066.53250454861</v>
      </c>
      <c r="B2214" s="5">
        <v>91952</v>
      </c>
      <c r="C2214" s="5">
        <v>1130205123</v>
      </c>
      <c r="D2214" s="5" t="s">
        <v>595</v>
      </c>
      <c r="F2214" s="5" t="s">
        <v>9989</v>
      </c>
      <c r="H2214" s="5">
        <v>4915772517534</v>
      </c>
      <c r="J2214" s="5" t="s">
        <v>9990</v>
      </c>
      <c r="K2214" s="5" t="s">
        <v>79</v>
      </c>
      <c r="L2214" s="5" t="s">
        <v>9991</v>
      </c>
      <c r="M2214" s="5" t="s">
        <v>25421</v>
      </c>
      <c r="N2214" s="6">
        <v>46066</v>
      </c>
      <c r="O2214" s="7">
        <v>0</v>
      </c>
      <c r="P2214" s="5">
        <v>1</v>
      </c>
      <c r="Q2214" s="5" t="s">
        <v>9350</v>
      </c>
      <c r="R2214" s="5">
        <v>150000</v>
      </c>
      <c r="S2214" s="5">
        <v>0</v>
      </c>
      <c r="T2214" s="5">
        <v>10000</v>
      </c>
      <c r="U2214" s="5">
        <v>160000</v>
      </c>
      <c r="V2214" s="5" t="s">
        <v>9992</v>
      </c>
      <c r="W2214" s="5" t="s">
        <v>36</v>
      </c>
      <c r="X2214" s="5" t="s">
        <v>67</v>
      </c>
      <c r="Z2214" s="5" t="s">
        <v>9993</v>
      </c>
      <c r="AA2214" s="5" t="s">
        <v>44</v>
      </c>
      <c r="AB2214" s="5" t="s">
        <v>9600</v>
      </c>
      <c r="AC2214" s="8" t="str">
        <f>HYPERLINK("https://drive.google.com/file/d/1jO_Ifnu4PyS8OjSmmk3W4jZN5oVJsxEZ/view?usp=drivesdk", "Abrir_Factura")</f>
        <v>Abrir_Factura</v>
      </c>
      <c r="AD2214" s="9">
        <v>46066.542199074072</v>
      </c>
    </row>
    <row r="2215" spans="1:30" ht="12.5">
      <c r="A2215" s="4">
        <v>46066.54341643519</v>
      </c>
      <c r="B2215" s="5">
        <v>91953</v>
      </c>
      <c r="C2215" s="5">
        <v>1193444954</v>
      </c>
      <c r="D2215" s="5" t="s">
        <v>9786</v>
      </c>
      <c r="F2215" s="5" t="s">
        <v>9994</v>
      </c>
      <c r="H2215" s="5">
        <v>573156543534</v>
      </c>
      <c r="J2215" s="5" t="s">
        <v>9995</v>
      </c>
      <c r="K2215" s="5" t="s">
        <v>73</v>
      </c>
      <c r="L2215" s="5" t="s">
        <v>9996</v>
      </c>
      <c r="M2215" s="5">
        <v>3156543534</v>
      </c>
      <c r="N2215" s="6">
        <v>46066</v>
      </c>
      <c r="O2215" s="7">
        <v>0.25</v>
      </c>
      <c r="P2215" s="5">
        <v>1</v>
      </c>
      <c r="Q2215" s="5" t="s">
        <v>42</v>
      </c>
      <c r="R2215" s="5">
        <v>302000</v>
      </c>
      <c r="S2215" s="5">
        <v>0</v>
      </c>
      <c r="T2215" s="5">
        <v>8000</v>
      </c>
      <c r="U2215" s="5">
        <v>310000</v>
      </c>
      <c r="V2215" s="5" t="s">
        <v>9997</v>
      </c>
      <c r="W2215" s="5" t="s">
        <v>36</v>
      </c>
      <c r="X2215" s="5" t="s">
        <v>67</v>
      </c>
      <c r="AA2215" s="5" t="s">
        <v>44</v>
      </c>
      <c r="AB2215" s="5" t="s">
        <v>9998</v>
      </c>
      <c r="AC2215" s="8" t="str">
        <f>HYPERLINK("https://drive.google.com/file/d/1OpDr6F4tsrBttCdDX_S9kQIY01nDOfcL/view?usp=drivesdk", "Abrir_Factura")</f>
        <v>Abrir_Factura</v>
      </c>
      <c r="AD2215" s="9">
        <v>46066.740034722221</v>
      </c>
    </row>
    <row r="2216" spans="1:30" ht="12.5">
      <c r="A2216" s="4">
        <v>46066.551681041667</v>
      </c>
      <c r="B2216" s="5">
        <v>91954</v>
      </c>
      <c r="C2216" s="5">
        <v>1020797983</v>
      </c>
      <c r="D2216" s="5" t="s">
        <v>5576</v>
      </c>
      <c r="F2216" s="5" t="s">
        <v>9999</v>
      </c>
      <c r="H2216" s="5">
        <v>573015978676</v>
      </c>
      <c r="J2216" s="5" t="s">
        <v>5576</v>
      </c>
      <c r="K2216" s="5" t="s">
        <v>4558</v>
      </c>
      <c r="L2216" s="5" t="s">
        <v>10000</v>
      </c>
      <c r="M2216" s="5"/>
      <c r="N2216" s="6">
        <v>46067</v>
      </c>
      <c r="O2216" s="7">
        <v>0</v>
      </c>
      <c r="P2216" s="5">
        <v>1</v>
      </c>
      <c r="Q2216" s="5" t="s">
        <v>10001</v>
      </c>
      <c r="R2216" s="5">
        <v>200000</v>
      </c>
      <c r="S2216" s="5">
        <v>0</v>
      </c>
      <c r="T2216" s="5">
        <v>10000</v>
      </c>
      <c r="U2216" s="5">
        <v>210000</v>
      </c>
      <c r="V2216" s="5"/>
      <c r="W2216" s="5" t="s">
        <v>36</v>
      </c>
      <c r="X2216" s="5" t="s">
        <v>7644</v>
      </c>
      <c r="AA2216" s="5" t="s">
        <v>44</v>
      </c>
      <c r="AB2216" s="5" t="s">
        <v>2708</v>
      </c>
      <c r="AC2216" s="8" t="str">
        <f>HYPERLINK("https://drive.google.com/file/d/1TwxhrApJBVLvDcvGz1RVJhQGJj87tzmN/view?usp=drivesdk", "Abrir_Factura")</f>
        <v>Abrir_Factura</v>
      </c>
      <c r="AD2216" s="9">
        <v>46066.553738425922</v>
      </c>
    </row>
    <row r="2217" spans="1:30" ht="12.5">
      <c r="A2217" s="4">
        <v>46066.532813726852</v>
      </c>
      <c r="B2217" s="5">
        <v>91955</v>
      </c>
      <c r="C2217" s="5">
        <v>900771314</v>
      </c>
      <c r="D2217" s="5" t="s">
        <v>10002</v>
      </c>
      <c r="F2217" s="5" t="s">
        <v>10002</v>
      </c>
      <c r="H2217" s="5">
        <v>573007531938</v>
      </c>
      <c r="J2217" s="5" t="s">
        <v>10003</v>
      </c>
      <c r="K2217" s="5" t="s">
        <v>110</v>
      </c>
      <c r="L2217" s="5" t="s">
        <v>10004</v>
      </c>
      <c r="M2217" s="5">
        <v>3007531938</v>
      </c>
      <c r="N2217" s="6">
        <v>46066</v>
      </c>
      <c r="O2217" s="7">
        <v>0.625</v>
      </c>
      <c r="P2217" s="5">
        <v>1</v>
      </c>
      <c r="Q2217" s="5" t="s">
        <v>6874</v>
      </c>
      <c r="R2217" s="5">
        <v>120000</v>
      </c>
      <c r="S2217" s="5">
        <v>22800</v>
      </c>
      <c r="T2217" s="5">
        <v>6000</v>
      </c>
      <c r="U2217" s="5">
        <v>148800</v>
      </c>
      <c r="V2217" s="5"/>
      <c r="W2217" s="5" t="s">
        <v>36</v>
      </c>
      <c r="X2217" s="5" t="s">
        <v>67</v>
      </c>
      <c r="Z2217" s="5" t="s">
        <v>10005</v>
      </c>
      <c r="AA2217" s="5" t="s">
        <v>44</v>
      </c>
      <c r="AB2217" s="5" t="s">
        <v>10006</v>
      </c>
      <c r="AC2217" s="8" t="str">
        <f>HYPERLINK("https://drive.google.com/file/d/1aNc6aGgizTU6_wkasW_BKbjvGxM3G3qi/view?usp=drivesdk", "Abrir_Factura")</f>
        <v>Abrir_Factura</v>
      </c>
      <c r="AD2217" s="9">
        <v>46066.555451388886</v>
      </c>
    </row>
    <row r="2218" spans="1:30" ht="12.5">
      <c r="A2218" s="4">
        <v>46066.562655567133</v>
      </c>
      <c r="B2218" s="5">
        <v>91956</v>
      </c>
      <c r="C2218" s="5">
        <v>1047471462</v>
      </c>
      <c r="D2218" s="5" t="s">
        <v>3005</v>
      </c>
      <c r="F2218" s="5" t="s">
        <v>3006</v>
      </c>
      <c r="H2218" s="5">
        <v>573157132910</v>
      </c>
      <c r="J2218" s="5" t="s">
        <v>3007</v>
      </c>
      <c r="K2218" s="5"/>
      <c r="L2218" s="5" t="s">
        <v>10007</v>
      </c>
      <c r="M2218" s="5"/>
      <c r="N2218" s="6">
        <v>46067</v>
      </c>
      <c r="O2218" s="7">
        <v>0.41666666666666669</v>
      </c>
      <c r="P2218" s="5">
        <v>1</v>
      </c>
      <c r="Q2218" s="5" t="s">
        <v>6874</v>
      </c>
      <c r="R2218" s="5">
        <v>120000</v>
      </c>
      <c r="S2218" s="5">
        <v>0</v>
      </c>
      <c r="T2218" s="5"/>
      <c r="U2218" s="5">
        <v>120000</v>
      </c>
      <c r="V2218" s="5"/>
      <c r="W2218" s="5" t="s">
        <v>36</v>
      </c>
      <c r="X2218" s="5" t="s">
        <v>2438</v>
      </c>
      <c r="AA2218" s="5" t="s">
        <v>44</v>
      </c>
      <c r="AC2218" s="8" t="str">
        <f>HYPERLINK("https://drive.google.com/file/d/1srUsEz2I63R58Jo2SD-G5IMpr4fs-7k-/view?usp=drivesdk", "Abrir_Factura")</f>
        <v>Abrir_Factura</v>
      </c>
      <c r="AD2218" s="9">
        <v>46066.563402777778</v>
      </c>
    </row>
    <row r="2219" spans="1:30" ht="12.5">
      <c r="A2219" s="4">
        <v>46066.564115405097</v>
      </c>
      <c r="B2219" s="5">
        <v>91957</v>
      </c>
      <c r="C2219" s="5">
        <v>1045709359</v>
      </c>
      <c r="D2219" s="5" t="s">
        <v>968</v>
      </c>
      <c r="F2219" s="5" t="s">
        <v>298</v>
      </c>
      <c r="H2219" s="5">
        <v>573156701654</v>
      </c>
      <c r="J2219" s="5" t="s">
        <v>10008</v>
      </c>
      <c r="K2219" s="5"/>
      <c r="L2219" s="5" t="s">
        <v>10009</v>
      </c>
      <c r="M2219" s="5"/>
      <c r="N2219" s="6">
        <v>46066</v>
      </c>
      <c r="O2219" s="7">
        <v>0</v>
      </c>
      <c r="P2219" s="5">
        <v>1</v>
      </c>
      <c r="Q2219" s="5" t="s">
        <v>9693</v>
      </c>
      <c r="R2219" s="5">
        <v>65000</v>
      </c>
      <c r="S2219" s="5">
        <v>0</v>
      </c>
      <c r="T2219" s="5"/>
      <c r="U2219" s="5">
        <v>65000</v>
      </c>
      <c r="V2219" s="5"/>
      <c r="W2219" s="5" t="s">
        <v>36</v>
      </c>
      <c r="X2219" s="5" t="s">
        <v>1705</v>
      </c>
      <c r="AA2219" s="5" t="s">
        <v>1717</v>
      </c>
      <c r="AC2219" s="8" t="str">
        <f>HYPERLINK("https://drive.google.com/file/d/1o1oigVLy6mTyf4Wel-bgNb8Zd5g7qDdh/view?usp=drivesdk", "Abrir_Factura")</f>
        <v>Abrir_Factura</v>
      </c>
      <c r="AD2219" s="9">
        <v>46066.565960648149</v>
      </c>
    </row>
    <row r="2220" spans="1:30" ht="12.5">
      <c r="A2220" s="4">
        <v>46066.547926412037</v>
      </c>
      <c r="B2220" s="5">
        <v>91958</v>
      </c>
      <c r="C2220" s="5">
        <v>1124828029</v>
      </c>
      <c r="D2220" s="5" t="s">
        <v>107</v>
      </c>
      <c r="F2220" s="5" t="s">
        <v>2884</v>
      </c>
      <c r="H2220" s="5">
        <v>573227117619</v>
      </c>
      <c r="J2220" s="5" t="s">
        <v>2885</v>
      </c>
      <c r="K2220" s="5" t="s">
        <v>4749</v>
      </c>
      <c r="L2220" s="5" t="s">
        <v>10010</v>
      </c>
      <c r="M2220" s="5">
        <v>3042115469</v>
      </c>
      <c r="N2220" s="6">
        <v>46067</v>
      </c>
      <c r="O2220" s="7">
        <v>0.375</v>
      </c>
      <c r="P2220" s="5">
        <v>1</v>
      </c>
      <c r="Q2220" s="5" t="s">
        <v>9152</v>
      </c>
      <c r="R2220" s="5">
        <v>220000</v>
      </c>
      <c r="S2220" s="5">
        <v>0</v>
      </c>
      <c r="T2220" s="5">
        <v>17000</v>
      </c>
      <c r="U2220" s="5">
        <v>237000</v>
      </c>
      <c r="V2220" s="5" t="s">
        <v>10011</v>
      </c>
      <c r="W2220" s="5" t="s">
        <v>36</v>
      </c>
      <c r="X2220" s="5" t="s">
        <v>7644</v>
      </c>
      <c r="AA2220" s="5" t="s">
        <v>44</v>
      </c>
      <c r="AB2220" s="5" t="s">
        <v>9600</v>
      </c>
      <c r="AC2220" s="8" t="str">
        <f>HYPERLINK("https://drive.google.com/file/d/1LRWwfM09MSEmoc6kDXhoEaVST7h2JTrK/view?usp=drivesdk", "Abrir_Factura")</f>
        <v>Abrir_Factura</v>
      </c>
      <c r="AD2220" s="9">
        <v>46066.569236111114</v>
      </c>
    </row>
    <row r="2221" spans="1:30" ht="12.5">
      <c r="A2221" s="4">
        <v>46066.545523726847</v>
      </c>
      <c r="B2221" s="5">
        <v>91959</v>
      </c>
      <c r="C2221" s="5">
        <v>1102870010</v>
      </c>
      <c r="D2221" s="5" t="s">
        <v>10012</v>
      </c>
      <c r="F2221" s="5" t="s">
        <v>10013</v>
      </c>
      <c r="H2221" s="5">
        <v>573003788247</v>
      </c>
      <c r="J2221" s="5" t="s">
        <v>10014</v>
      </c>
      <c r="K2221" s="5" t="s">
        <v>63</v>
      </c>
      <c r="L2221" s="5" t="s">
        <v>10015</v>
      </c>
      <c r="M2221" s="5">
        <v>3235206049</v>
      </c>
      <c r="N2221" s="6">
        <v>46067</v>
      </c>
      <c r="O2221" s="7">
        <v>0</v>
      </c>
      <c r="P2221" s="5">
        <v>1</v>
      </c>
      <c r="Q2221" s="5" t="s">
        <v>9444</v>
      </c>
      <c r="R2221" s="5">
        <v>250000</v>
      </c>
      <c r="S2221" s="5">
        <v>0</v>
      </c>
      <c r="T2221" s="5">
        <v>17000</v>
      </c>
      <c r="U2221" s="5">
        <v>267000</v>
      </c>
      <c r="V2221" s="5" t="s">
        <v>10016</v>
      </c>
      <c r="W2221" s="5" t="s">
        <v>36</v>
      </c>
      <c r="X2221" s="5" t="s">
        <v>7644</v>
      </c>
      <c r="Z2221" s="5" t="s">
        <v>10017</v>
      </c>
      <c r="AA2221" s="5" t="s">
        <v>44</v>
      </c>
      <c r="AB2221" s="5" t="s">
        <v>2708</v>
      </c>
      <c r="AC2221" s="8" t="str">
        <f>HYPERLINK("https://drive.google.com/file/d/1dTBvbI1ZL7qfcUFOIlekfei3cVT2n4kP/view?usp=drivesdk", "Abrir_Factura")</f>
        <v>Abrir_Factura</v>
      </c>
      <c r="AD2221" s="9">
        <v>46066.583460648151</v>
      </c>
    </row>
    <row r="2222" spans="1:30" ht="12.5">
      <c r="A2222" s="4">
        <v>46066.556317974537</v>
      </c>
      <c r="B2222" s="5">
        <v>91960</v>
      </c>
      <c r="C2222" s="5">
        <v>91533398</v>
      </c>
      <c r="D2222" s="5" t="s">
        <v>10018</v>
      </c>
      <c r="F2222" s="5" t="s">
        <v>10019</v>
      </c>
      <c r="H2222" s="5">
        <v>573017851412</v>
      </c>
      <c r="J2222" s="5" t="s">
        <v>10020</v>
      </c>
      <c r="K2222" s="5" t="s">
        <v>1317</v>
      </c>
      <c r="L2222" s="5" t="s">
        <v>10021</v>
      </c>
      <c r="M2222" s="5">
        <v>3203464765</v>
      </c>
      <c r="N2222" s="6">
        <v>46067</v>
      </c>
      <c r="O2222" s="7">
        <v>0.375</v>
      </c>
      <c r="P2222" s="5">
        <v>1</v>
      </c>
      <c r="Q2222" s="5" t="s">
        <v>6874</v>
      </c>
      <c r="R2222" s="5">
        <v>120000</v>
      </c>
      <c r="S2222" s="5">
        <v>0</v>
      </c>
      <c r="T2222" s="5">
        <v>12000</v>
      </c>
      <c r="U2222" s="5">
        <v>132000</v>
      </c>
      <c r="V2222" s="5" t="s">
        <v>10022</v>
      </c>
      <c r="W2222" s="5" t="s">
        <v>36</v>
      </c>
      <c r="X2222" s="5" t="s">
        <v>7644</v>
      </c>
      <c r="Z2222" s="5" t="s">
        <v>10018</v>
      </c>
      <c r="AA2222" s="5" t="s">
        <v>44</v>
      </c>
      <c r="AB2222" s="5" t="s">
        <v>2708</v>
      </c>
      <c r="AC2222" s="8" t="str">
        <f>HYPERLINK("https://drive.google.com/file/d/1-LHDKEG9DjdV5QOqEH7gCMe6dax_1M5F/view?usp=drivesdk", "Abrir_Factura")</f>
        <v>Abrir_Factura</v>
      </c>
      <c r="AD2222" s="9">
        <v>46066.598726851851</v>
      </c>
    </row>
    <row r="2223" spans="1:30" ht="12.5">
      <c r="A2223" s="4">
        <v>46066.553785868055</v>
      </c>
      <c r="B2223" s="5">
        <v>91961</v>
      </c>
      <c r="C2223" s="5">
        <v>1002209262</v>
      </c>
      <c r="D2223" s="5" t="s">
        <v>10023</v>
      </c>
      <c r="F2223" s="5" t="s">
        <v>1336</v>
      </c>
      <c r="H2223" s="5">
        <v>573113793246</v>
      </c>
      <c r="J2223" s="5" t="s">
        <v>1071</v>
      </c>
      <c r="K2223" s="5" t="s">
        <v>185</v>
      </c>
      <c r="L2223" s="5" t="s">
        <v>10024</v>
      </c>
      <c r="M2223" s="5" t="s">
        <v>25421</v>
      </c>
      <c r="N2223" s="6">
        <v>46067</v>
      </c>
      <c r="O2223" s="7">
        <v>0.66666666666666663</v>
      </c>
      <c r="P2223" s="5">
        <v>1</v>
      </c>
      <c r="Q2223" s="5" t="s">
        <v>133</v>
      </c>
      <c r="R2223" s="5">
        <v>150000</v>
      </c>
      <c r="S2223" s="5">
        <v>0</v>
      </c>
      <c r="T2223" s="5">
        <v>8000</v>
      </c>
      <c r="U2223" s="5">
        <v>158000</v>
      </c>
      <c r="V2223" s="5" t="s">
        <v>10025</v>
      </c>
      <c r="W2223" s="5" t="s">
        <v>36</v>
      </c>
      <c r="X2223" s="5" t="s">
        <v>7644</v>
      </c>
      <c r="Z2223" s="5" t="s">
        <v>10026</v>
      </c>
      <c r="AA2223" s="5" t="s">
        <v>44</v>
      </c>
      <c r="AB2223" s="5" t="s">
        <v>9600</v>
      </c>
      <c r="AC2223" s="8" t="str">
        <f>HYPERLINK("https://drive.google.com/file/d/1m0jgNmF7dj8bsc9XXSIWX7npa4miZlFR/view?usp=drivesdk", "Abrir_Factura")</f>
        <v>Abrir_Factura</v>
      </c>
      <c r="AD2223" s="9">
        <v>46066.590092592596</v>
      </c>
    </row>
    <row r="2224" spans="1:30" ht="12.5">
      <c r="A2224" s="4">
        <v>46066.59268170139</v>
      </c>
      <c r="B2224" s="5">
        <v>91962</v>
      </c>
      <c r="C2224" s="5">
        <v>1045667780</v>
      </c>
      <c r="D2224" s="5" t="s">
        <v>217</v>
      </c>
      <c r="F2224" s="5" t="s">
        <v>1819</v>
      </c>
      <c r="H2224" s="5">
        <v>17025164014</v>
      </c>
      <c r="J2224" s="5" t="s">
        <v>10027</v>
      </c>
      <c r="K2224" s="5"/>
      <c r="L2224" s="5" t="s">
        <v>10028</v>
      </c>
      <c r="M2224" s="5"/>
      <c r="N2224" s="6">
        <v>46066</v>
      </c>
      <c r="O2224" s="7">
        <v>0</v>
      </c>
      <c r="P2224" s="5">
        <v>1</v>
      </c>
      <c r="Q2224" s="5" t="s">
        <v>96</v>
      </c>
      <c r="R2224" s="5">
        <v>300000</v>
      </c>
      <c r="S2224" s="5">
        <v>0</v>
      </c>
      <c r="T2224" s="5"/>
      <c r="U2224" s="5">
        <v>300000</v>
      </c>
      <c r="V2224" s="5"/>
      <c r="W2224" s="5" t="s">
        <v>36</v>
      </c>
      <c r="X2224" s="5" t="s">
        <v>1937</v>
      </c>
      <c r="AA2224" s="5" t="s">
        <v>332</v>
      </c>
      <c r="AC2224" s="8" t="str">
        <f>HYPERLINK("https://drive.google.com/file/d/1ANzjeU6Vkd0E1ma5rfKTqP8j1l25LDUu/view?usp=drivesdk", "Abrir_Factura")</f>
        <v>Abrir_Factura</v>
      </c>
      <c r="AD2224" s="9">
        <v>46066.593229166669</v>
      </c>
    </row>
    <row r="2225" spans="1:30" ht="12.5">
      <c r="A2225" s="4">
        <v>46066.554165879628</v>
      </c>
      <c r="B2225" s="5">
        <v>91963</v>
      </c>
      <c r="C2225" s="5">
        <v>419776</v>
      </c>
      <c r="D2225" s="5" t="s">
        <v>10029</v>
      </c>
      <c r="F2225" s="5" t="s">
        <v>10030</v>
      </c>
      <c r="H2225" s="5">
        <v>573205167153</v>
      </c>
      <c r="J2225" s="5" t="s">
        <v>10031</v>
      </c>
      <c r="K2225" s="5" t="s">
        <v>63</v>
      </c>
      <c r="L2225" s="5" t="s">
        <v>10032</v>
      </c>
      <c r="M2225" s="5">
        <v>3107400357</v>
      </c>
      <c r="N2225" s="6">
        <v>46067</v>
      </c>
      <c r="O2225" s="7">
        <v>0.41666666666666669</v>
      </c>
      <c r="P2225" s="5">
        <v>1</v>
      </c>
      <c r="Q2225" s="5" t="s">
        <v>112</v>
      </c>
      <c r="R2225" s="5">
        <v>300000</v>
      </c>
      <c r="S2225" s="5">
        <v>0</v>
      </c>
      <c r="T2225" s="5">
        <v>17000</v>
      </c>
      <c r="U2225" s="5">
        <v>317000</v>
      </c>
      <c r="V2225" s="5" t="s">
        <v>10033</v>
      </c>
      <c r="W2225" s="5" t="s">
        <v>36</v>
      </c>
      <c r="X2225" s="5" t="s">
        <v>67</v>
      </c>
      <c r="Z2225" s="5" t="s">
        <v>10034</v>
      </c>
      <c r="AA2225" s="5" t="s">
        <v>44</v>
      </c>
      <c r="AB2225" s="5" t="s">
        <v>10035</v>
      </c>
      <c r="AC2225" s="8" t="str">
        <f>HYPERLINK("https://drive.google.com/file/d/1_VmnMk6DMOeYCQwmAQja5MeGD0IlLPJL/view?usp=drivesdk", "Abrir_Factura")</f>
        <v>Abrir_Factura</v>
      </c>
      <c r="AD2225" s="9">
        <v>46066.594768518517</v>
      </c>
    </row>
    <row r="2226" spans="1:30" ht="12.5">
      <c r="A2226" s="4">
        <v>46066.559967407404</v>
      </c>
      <c r="B2226" s="5">
        <v>91964</v>
      </c>
      <c r="C2226" s="5">
        <v>1046701733</v>
      </c>
      <c r="D2226" s="5" t="s">
        <v>10036</v>
      </c>
      <c r="F2226" s="5" t="s">
        <v>10037</v>
      </c>
      <c r="H2226" s="5">
        <v>573236883110</v>
      </c>
      <c r="J2226" s="5" t="s">
        <v>10038</v>
      </c>
      <c r="K2226" s="5" t="s">
        <v>6692</v>
      </c>
      <c r="L2226" s="5" t="s">
        <v>10039</v>
      </c>
      <c r="M2226" s="5">
        <v>3126033444</v>
      </c>
      <c r="N2226" s="6">
        <v>46066</v>
      </c>
      <c r="O2226" s="7">
        <v>0.66666666666666663</v>
      </c>
      <c r="P2226" s="5">
        <v>1</v>
      </c>
      <c r="Q2226" s="5" t="s">
        <v>210</v>
      </c>
      <c r="R2226" s="5">
        <v>170000</v>
      </c>
      <c r="S2226" s="5">
        <v>0</v>
      </c>
      <c r="T2226" s="5">
        <v>20000</v>
      </c>
      <c r="U2226" s="5">
        <v>190000</v>
      </c>
      <c r="V2226" s="5"/>
      <c r="W2226" s="5" t="s">
        <v>36</v>
      </c>
      <c r="X2226" s="5" t="s">
        <v>7644</v>
      </c>
      <c r="Z2226" s="5" t="s">
        <v>10040</v>
      </c>
      <c r="AA2226" s="5" t="s">
        <v>69</v>
      </c>
      <c r="AC2226" s="8" t="str">
        <f>HYPERLINK("https://drive.google.com/file/d/17dV-EX8cOPAPH1BDz3biRD9FTWCfNyd7/view?usp=drivesdk", "Abrir_Factura")</f>
        <v>Abrir_Factura</v>
      </c>
      <c r="AD2226" s="9">
        <v>46066.598344907405</v>
      </c>
    </row>
    <row r="2227" spans="1:30" ht="12.5">
      <c r="A2227" s="4">
        <v>46066.601776481482</v>
      </c>
      <c r="B2227" s="5">
        <v>91965</v>
      </c>
      <c r="C2227" s="5">
        <v>1192893049</v>
      </c>
      <c r="D2227" s="5" t="s">
        <v>10041</v>
      </c>
      <c r="F2227" s="5" t="s">
        <v>10042</v>
      </c>
      <c r="H2227" s="5">
        <v>573186323485</v>
      </c>
      <c r="J2227" s="5" t="s">
        <v>10043</v>
      </c>
      <c r="K2227" s="5" t="s">
        <v>103</v>
      </c>
      <c r="L2227" s="5" t="s">
        <v>10044</v>
      </c>
      <c r="M2227" s="5" t="s">
        <v>25421</v>
      </c>
      <c r="N2227" s="6">
        <v>46067</v>
      </c>
      <c r="O2227" s="7">
        <v>0.33333333333333331</v>
      </c>
      <c r="P2227" s="5">
        <v>1</v>
      </c>
      <c r="Q2227" s="5" t="s">
        <v>649</v>
      </c>
      <c r="R2227" s="5">
        <v>200000</v>
      </c>
      <c r="S2227" s="5">
        <v>0</v>
      </c>
      <c r="T2227" s="5">
        <v>10000</v>
      </c>
      <c r="U2227" s="5">
        <v>210000</v>
      </c>
      <c r="V2227" s="5" t="s">
        <v>10045</v>
      </c>
      <c r="W2227" s="5" t="s">
        <v>36</v>
      </c>
      <c r="X2227" s="5" t="s">
        <v>83</v>
      </c>
      <c r="Z2227" s="5" t="s">
        <v>10046</v>
      </c>
      <c r="AA2227" s="5" t="s">
        <v>44</v>
      </c>
      <c r="AB2227" s="5" t="s">
        <v>9612</v>
      </c>
      <c r="AC2227" s="8" t="str">
        <f>HYPERLINK("https://drive.google.com/file/d/1VtFIilniPnAKZUMskUFQnusBQQgtsXCc/view?usp=drivesdk", "Abrir_Factura")</f>
        <v>Abrir_Factura</v>
      </c>
      <c r="AD2227" s="9">
        <v>46066.608611111114</v>
      </c>
    </row>
    <row r="2228" spans="1:30" ht="12.5">
      <c r="A2228" s="4">
        <v>46065.793748402779</v>
      </c>
      <c r="B2228" s="5">
        <v>91966</v>
      </c>
      <c r="C2228" s="5">
        <v>13821315</v>
      </c>
      <c r="D2228" s="5" t="s">
        <v>10047</v>
      </c>
      <c r="F2228" s="5" t="s">
        <v>418</v>
      </c>
      <c r="H2228" s="5">
        <v>525540814027</v>
      </c>
      <c r="J2228" s="5" t="s">
        <v>10048</v>
      </c>
      <c r="K2228" s="5"/>
      <c r="L2228" s="5" t="s">
        <v>10049</v>
      </c>
      <c r="M2228" s="5" t="s">
        <v>25421</v>
      </c>
      <c r="N2228" s="6">
        <v>46067</v>
      </c>
      <c r="O2228" s="7">
        <v>0.33333333333333331</v>
      </c>
      <c r="P2228" s="5">
        <v>1</v>
      </c>
      <c r="Q2228" s="5" t="s">
        <v>309</v>
      </c>
      <c r="R2228" s="5">
        <v>90000</v>
      </c>
      <c r="S2228" s="5">
        <v>0</v>
      </c>
      <c r="T2228" s="5"/>
      <c r="U2228" s="5">
        <v>90000</v>
      </c>
      <c r="V2228" s="5" t="s">
        <v>10050</v>
      </c>
      <c r="W2228" s="5" t="s">
        <v>36</v>
      </c>
      <c r="X2228" s="5" t="s">
        <v>1937</v>
      </c>
      <c r="Z2228" s="5" t="s">
        <v>10051</v>
      </c>
      <c r="AA2228" s="5" t="s">
        <v>44</v>
      </c>
      <c r="AB2228" s="5" t="s">
        <v>10052</v>
      </c>
      <c r="AC2228" s="8" t="str">
        <f>HYPERLINK("https://drive.google.com/file/d/1RdiO_ZTvuuEAF3fCBhXq8VhYnZSOqfFP/view?usp=drivesdk", "Abrir_Factura")</f>
        <v>Abrir_Factura</v>
      </c>
      <c r="AD2228" s="9">
        <v>46066.615879629629</v>
      </c>
    </row>
    <row r="2229" spans="1:30" ht="12.5">
      <c r="A2229" s="4">
        <v>46066.602128148152</v>
      </c>
      <c r="B2229" s="5">
        <v>91967</v>
      </c>
      <c r="C2229" s="5">
        <v>1123402931</v>
      </c>
      <c r="D2229" s="5" t="s">
        <v>10053</v>
      </c>
      <c r="F2229" s="5" t="s">
        <v>2622</v>
      </c>
      <c r="H2229" s="5">
        <v>573003922505</v>
      </c>
      <c r="J2229" s="5" t="s">
        <v>10054</v>
      </c>
      <c r="K2229" s="5" t="s">
        <v>6194</v>
      </c>
      <c r="L2229" s="5" t="s">
        <v>10055</v>
      </c>
      <c r="M2229" s="5">
        <v>3052946583</v>
      </c>
      <c r="N2229" s="6">
        <v>46066</v>
      </c>
      <c r="O2229" s="7">
        <v>0.1875</v>
      </c>
      <c r="P2229" s="5">
        <v>1</v>
      </c>
      <c r="Q2229" s="5" t="s">
        <v>9576</v>
      </c>
      <c r="R2229" s="5">
        <v>90000</v>
      </c>
      <c r="S2229" s="5">
        <v>0</v>
      </c>
      <c r="T2229" s="5">
        <v>18000</v>
      </c>
      <c r="U2229" s="5">
        <v>108000</v>
      </c>
      <c r="V2229" s="5" t="s">
        <v>10056</v>
      </c>
      <c r="W2229" s="5" t="s">
        <v>36</v>
      </c>
      <c r="X2229" s="5" t="s">
        <v>7644</v>
      </c>
      <c r="Z2229" s="5" t="s">
        <v>10057</v>
      </c>
      <c r="AA2229" s="5" t="s">
        <v>44</v>
      </c>
      <c r="AB2229" s="5" t="s">
        <v>10058</v>
      </c>
      <c r="AC2229" s="8" t="str">
        <f>HYPERLINK("https://drive.google.com/file/d/1kGoAGyO2ybfusW90WqDwQyMQAHjOutIP/view?usp=drivesdk", "Abrir_Factura")</f>
        <v>Abrir_Factura</v>
      </c>
      <c r="AD2229" s="9">
        <v>46066.625949074078</v>
      </c>
    </row>
    <row r="2230" spans="1:30" ht="12.5">
      <c r="A2230" s="4">
        <v>46066.550282777782</v>
      </c>
      <c r="B2230" s="5">
        <v>91968</v>
      </c>
      <c r="C2230" s="5">
        <v>393885025</v>
      </c>
      <c r="D2230" s="5" t="s">
        <v>10059</v>
      </c>
      <c r="F2230" s="5" t="s">
        <v>10060</v>
      </c>
      <c r="H2230" s="5">
        <v>17046182800</v>
      </c>
      <c r="J2230" s="5" t="s">
        <v>10061</v>
      </c>
      <c r="K2230" s="5" t="s">
        <v>265</v>
      </c>
      <c r="L2230" s="5" t="s">
        <v>10062</v>
      </c>
      <c r="M2230" s="5" t="s">
        <v>25421</v>
      </c>
      <c r="N2230" s="6">
        <v>46067</v>
      </c>
      <c r="O2230" s="7">
        <v>0.375</v>
      </c>
      <c r="P2230" s="5">
        <v>1</v>
      </c>
      <c r="Q2230" s="5" t="s">
        <v>9546</v>
      </c>
      <c r="R2230" s="5">
        <v>320000</v>
      </c>
      <c r="S2230" s="5">
        <v>0</v>
      </c>
      <c r="T2230" s="5">
        <v>17000</v>
      </c>
      <c r="U2230" s="5">
        <v>337000</v>
      </c>
      <c r="V2230" s="5" t="s">
        <v>10063</v>
      </c>
      <c r="W2230" s="5" t="s">
        <v>36</v>
      </c>
      <c r="X2230" s="5" t="s">
        <v>1937</v>
      </c>
      <c r="AA2230" s="5" t="s">
        <v>69</v>
      </c>
      <c r="AC2230" s="8" t="str">
        <f>HYPERLINK("https://drive.google.com/file/d/1ciFbykPB42Zw9tq6INJn9bC3tO0P7cu8/view?usp=drivesdk", "Abrir_Factura")</f>
        <v>Abrir_Factura</v>
      </c>
      <c r="AD2230" s="9">
        <v>46066.622418981482</v>
      </c>
    </row>
    <row r="2231" spans="1:30" ht="12.5">
      <c r="A2231" s="4">
        <v>46066.625093182869</v>
      </c>
      <c r="B2231" s="5">
        <v>91969</v>
      </c>
      <c r="C2231" s="5">
        <v>1046696106</v>
      </c>
      <c r="D2231" s="5" t="s">
        <v>6348</v>
      </c>
      <c r="F2231" s="5" t="s">
        <v>10064</v>
      </c>
      <c r="H2231" s="5">
        <v>573136834537</v>
      </c>
      <c r="J2231" s="5" t="s">
        <v>10065</v>
      </c>
      <c r="K2231" s="5" t="s">
        <v>33</v>
      </c>
      <c r="L2231" s="5" t="s">
        <v>34</v>
      </c>
      <c r="M2231" s="5">
        <v>3136834537</v>
      </c>
      <c r="N2231" s="6">
        <v>46067</v>
      </c>
      <c r="O2231" s="7">
        <v>0.41666666666666669</v>
      </c>
      <c r="P2231" s="5">
        <v>1</v>
      </c>
      <c r="Q2231" s="5" t="s">
        <v>42</v>
      </c>
      <c r="R2231" s="5">
        <v>80000</v>
      </c>
      <c r="S2231" s="5">
        <v>0</v>
      </c>
      <c r="T2231" s="5">
        <v>0</v>
      </c>
      <c r="U2231" s="5">
        <v>80000</v>
      </c>
      <c r="V2231" s="5" t="s">
        <v>8491</v>
      </c>
      <c r="W2231" s="5" t="s">
        <v>36</v>
      </c>
      <c r="X2231" s="5" t="s">
        <v>196</v>
      </c>
      <c r="AA2231" s="5" t="s">
        <v>1717</v>
      </c>
      <c r="AB2231" s="5" t="s">
        <v>10066</v>
      </c>
      <c r="AC2231" s="8" t="str">
        <f>HYPERLINK("https://drive.google.com/file/d/1bKsB7A_cW459spikC2TDOOMTEBINbSrz/view?usp=drivesdk", "Abrir_Factura")</f>
        <v>Abrir_Factura</v>
      </c>
      <c r="AD2231" s="9">
        <v>46066.625972222224</v>
      </c>
    </row>
    <row r="2232" spans="1:30" ht="12.5">
      <c r="A2232" s="4">
        <v>46066.638314675925</v>
      </c>
      <c r="B2232" s="5">
        <v>91970</v>
      </c>
      <c r="C2232" s="5">
        <v>1140884476</v>
      </c>
      <c r="D2232" s="5" t="s">
        <v>5391</v>
      </c>
      <c r="F2232" s="5" t="s">
        <v>10067</v>
      </c>
      <c r="H2232" s="5">
        <v>5700000</v>
      </c>
      <c r="J2232" s="5" t="s">
        <v>10068</v>
      </c>
      <c r="K2232" s="5"/>
      <c r="L2232" s="5" t="s">
        <v>10069</v>
      </c>
      <c r="M2232" s="5"/>
      <c r="N2232" s="6">
        <v>46066</v>
      </c>
      <c r="O2232" s="7">
        <v>0</v>
      </c>
      <c r="P2232" s="5">
        <v>1</v>
      </c>
      <c r="Q2232" s="5" t="s">
        <v>6874</v>
      </c>
      <c r="R2232" s="5">
        <v>120000</v>
      </c>
      <c r="S2232" s="5">
        <v>0</v>
      </c>
      <c r="T2232" s="5"/>
      <c r="U2232" s="5">
        <v>120000</v>
      </c>
      <c r="V2232" s="5"/>
      <c r="W2232" s="5" t="s">
        <v>36</v>
      </c>
      <c r="X2232" s="5" t="s">
        <v>7644</v>
      </c>
      <c r="AA2232" s="5" t="s">
        <v>44</v>
      </c>
      <c r="AB2232" s="5" t="s">
        <v>10070</v>
      </c>
      <c r="AC2232" s="8" t="str">
        <f>HYPERLINK("https://drive.google.com/file/d/10-MxXUFC0bW91dnrh9LdS04KW-cPIYp4/view?usp=drivesdk", "Abrir_Factura")</f>
        <v>Abrir_Factura</v>
      </c>
      <c r="AD2232" s="9">
        <v>46066.648217592592</v>
      </c>
    </row>
    <row r="2233" spans="1:30" ht="12.5">
      <c r="A2233" s="4">
        <v>46066.638681435186</v>
      </c>
      <c r="B2233" s="5">
        <v>91971</v>
      </c>
      <c r="C2233" s="5">
        <v>84036790</v>
      </c>
      <c r="D2233" s="5" t="s">
        <v>10071</v>
      </c>
      <c r="F2233" s="5" t="s">
        <v>10072</v>
      </c>
      <c r="H2233" s="5">
        <v>573176481134</v>
      </c>
      <c r="J2233" s="5" t="s">
        <v>10073</v>
      </c>
      <c r="K2233" s="5" t="s">
        <v>110</v>
      </c>
      <c r="L2233" s="5" t="s">
        <v>10074</v>
      </c>
      <c r="M2233" s="5">
        <v>3112011805</v>
      </c>
      <c r="N2233" s="6">
        <v>46066</v>
      </c>
      <c r="O2233" s="7">
        <v>0</v>
      </c>
      <c r="P2233" s="5">
        <v>1</v>
      </c>
      <c r="Q2233" s="5" t="s">
        <v>10075</v>
      </c>
      <c r="R2233" s="5">
        <v>300000</v>
      </c>
      <c r="S2233" s="5">
        <v>0</v>
      </c>
      <c r="T2233" s="5">
        <v>6000</v>
      </c>
      <c r="U2233" s="5">
        <v>306000</v>
      </c>
      <c r="V2233" s="5"/>
      <c r="W2233" s="5" t="s">
        <v>36</v>
      </c>
      <c r="X2233" s="5" t="s">
        <v>196</v>
      </c>
      <c r="AA2233" s="5" t="s">
        <v>1717</v>
      </c>
      <c r="AC2233" s="8" t="str">
        <f>HYPERLINK("https://drive.google.com/file/d/1xGEiTAWoENoqjmXya6pBka-ToUfryUfM/view?usp=drivesdk", "Abrir_Factura")</f>
        <v>Abrir_Factura</v>
      </c>
      <c r="AD2233" s="9">
        <v>46066.640150462961</v>
      </c>
    </row>
    <row r="2234" spans="1:30" ht="12.5">
      <c r="A2234" s="4">
        <v>46066.617990312501</v>
      </c>
      <c r="B2234" s="5">
        <v>91972</v>
      </c>
      <c r="C2234" s="5">
        <v>1001942066</v>
      </c>
      <c r="D2234" s="5" t="s">
        <v>10076</v>
      </c>
      <c r="F2234" s="5" t="s">
        <v>418</v>
      </c>
      <c r="H2234" s="5">
        <v>573012268956</v>
      </c>
      <c r="J2234" s="5" t="s">
        <v>7835</v>
      </c>
      <c r="K2234" s="5" t="s">
        <v>879</v>
      </c>
      <c r="L2234" s="5" t="s">
        <v>10077</v>
      </c>
      <c r="M2234" s="5" t="s">
        <v>10078</v>
      </c>
      <c r="N2234" s="6">
        <v>46067</v>
      </c>
      <c r="O2234" s="7">
        <v>0</v>
      </c>
      <c r="P2234" s="5">
        <v>1</v>
      </c>
      <c r="Q2234" s="5" t="s">
        <v>649</v>
      </c>
      <c r="R2234" s="5">
        <v>200000</v>
      </c>
      <c r="S2234" s="5">
        <v>0</v>
      </c>
      <c r="T2234" s="5">
        <v>20000</v>
      </c>
      <c r="U2234" s="5">
        <v>220000</v>
      </c>
      <c r="V2234" s="5" t="s">
        <v>10079</v>
      </c>
      <c r="W2234" s="5" t="s">
        <v>36</v>
      </c>
      <c r="X2234" s="5" t="s">
        <v>83</v>
      </c>
      <c r="Z2234" s="5" t="s">
        <v>10080</v>
      </c>
      <c r="AA2234" s="5" t="s">
        <v>44</v>
      </c>
      <c r="AB2234" s="5" t="s">
        <v>2708</v>
      </c>
      <c r="AC2234" s="8" t="str">
        <f>HYPERLINK("https://drive.google.com/file/d/1dwhM5djbYmobdXaYCsV3GNZbGh4sE0JU/view?usp=drivesdk", "Abrir_Factura")</f>
        <v>Abrir_Factura</v>
      </c>
      <c r="AD2234" s="9">
        <v>46066.64398148148</v>
      </c>
    </row>
    <row r="2235" spans="1:30" ht="13">
      <c r="A2235" s="4">
        <v>46066.641354282408</v>
      </c>
      <c r="B2235" s="5">
        <v>91973</v>
      </c>
      <c r="C2235" s="5">
        <v>1002022882</v>
      </c>
      <c r="D2235" s="5" t="s">
        <v>1555</v>
      </c>
      <c r="F2235" s="5" t="s">
        <v>1752</v>
      </c>
      <c r="H2235" s="5">
        <v>573003799031</v>
      </c>
      <c r="I2235" s="3"/>
      <c r="J2235" s="5" t="s">
        <v>10081</v>
      </c>
      <c r="K2235" s="5" t="s">
        <v>124</v>
      </c>
      <c r="L2235" s="5" t="s">
        <v>10082</v>
      </c>
      <c r="M2235" s="5">
        <v>3197052180</v>
      </c>
      <c r="N2235" s="6">
        <v>46067</v>
      </c>
      <c r="O2235" s="7">
        <v>0</v>
      </c>
      <c r="P2235" s="5">
        <v>1</v>
      </c>
      <c r="Q2235" s="5" t="s">
        <v>9576</v>
      </c>
      <c r="R2235" s="5">
        <v>90000</v>
      </c>
      <c r="S2235" s="5">
        <v>0</v>
      </c>
      <c r="T2235" s="5">
        <v>12000</v>
      </c>
      <c r="U2235" s="5">
        <v>102000</v>
      </c>
      <c r="V2235" s="5" t="s">
        <v>10083</v>
      </c>
      <c r="W2235" s="5" t="s">
        <v>36</v>
      </c>
      <c r="X2235" s="5" t="s">
        <v>67</v>
      </c>
      <c r="Z2235" s="5" t="s">
        <v>10084</v>
      </c>
      <c r="AA2235" s="5" t="s">
        <v>69</v>
      </c>
      <c r="AB2235" s="5" t="s">
        <v>2708</v>
      </c>
      <c r="AC2235" s="8" t="str">
        <f>HYPERLINK("https://drive.google.com/file/d/1hd5SLHyWAvWcymTwWDslVHreHYmahu3P/view?usp=drivesdk", "Abrir_Factura")</f>
        <v>Abrir_Factura</v>
      </c>
      <c r="AD2235" s="9">
        <v>46066.661278750005</v>
      </c>
    </row>
    <row r="2236" spans="1:30" ht="12.5">
      <c r="A2236" s="4">
        <v>46066.627962557875</v>
      </c>
      <c r="B2236" s="5">
        <v>91974</v>
      </c>
      <c r="C2236" s="5">
        <v>1098358630</v>
      </c>
      <c r="D2236" s="5" t="s">
        <v>3530</v>
      </c>
      <c r="F2236" s="5" t="s">
        <v>10085</v>
      </c>
      <c r="H2236" s="5">
        <v>573142986019</v>
      </c>
      <c r="J2236" s="5" t="s">
        <v>10086</v>
      </c>
      <c r="K2236" s="5" t="s">
        <v>9925</v>
      </c>
      <c r="L2236" s="5" t="s">
        <v>10087</v>
      </c>
      <c r="M2236" s="5"/>
      <c r="N2236" s="6">
        <v>46067</v>
      </c>
      <c r="O2236" s="7">
        <v>0.375</v>
      </c>
      <c r="P2236" s="5">
        <v>1</v>
      </c>
      <c r="Q2236" s="5" t="s">
        <v>178</v>
      </c>
      <c r="R2236" s="5">
        <v>110000</v>
      </c>
      <c r="S2236" s="5">
        <v>0</v>
      </c>
      <c r="T2236" s="5">
        <v>11000</v>
      </c>
      <c r="U2236" s="5">
        <v>121000</v>
      </c>
      <c r="V2236" s="5" t="s">
        <v>10088</v>
      </c>
      <c r="W2236" s="5" t="s">
        <v>36</v>
      </c>
      <c r="X2236" s="5" t="s">
        <v>7644</v>
      </c>
      <c r="Z2236" s="5" t="s">
        <v>1051</v>
      </c>
      <c r="AA2236" s="5" t="s">
        <v>44</v>
      </c>
      <c r="AB2236" s="5" t="s">
        <v>9600</v>
      </c>
      <c r="AC2236" s="8" t="str">
        <f>HYPERLINK("https://drive.google.com/file/d/1WDTAn6JdBCLnWhQcJ5w3d5ihT7lIpvXL/view?usp=drivesdk", "Abrir_Factura")</f>
        <v>Abrir_Factura</v>
      </c>
      <c r="AD2236" s="9">
        <v>46066.663292280093</v>
      </c>
    </row>
    <row r="2237" spans="1:30" ht="12.5">
      <c r="A2237" s="4">
        <v>46066.628845393519</v>
      </c>
      <c r="B2237" s="5">
        <v>91975</v>
      </c>
      <c r="C2237" s="5">
        <v>0</v>
      </c>
      <c r="D2237" s="5" t="s">
        <v>10089</v>
      </c>
      <c r="F2237" s="5" t="s">
        <v>10090</v>
      </c>
      <c r="H2237" s="5">
        <v>523334177913</v>
      </c>
      <c r="J2237" s="5" t="s">
        <v>10091</v>
      </c>
      <c r="K2237" s="5" t="s">
        <v>103</v>
      </c>
      <c r="L2237" s="5" t="s">
        <v>10092</v>
      </c>
      <c r="M2237" s="5">
        <v>3165221351</v>
      </c>
      <c r="N2237" s="6">
        <v>46067</v>
      </c>
      <c r="O2237" s="7">
        <v>0.375</v>
      </c>
      <c r="P2237" s="5">
        <v>1</v>
      </c>
      <c r="Q2237" s="5" t="s">
        <v>1126</v>
      </c>
      <c r="R2237" s="5">
        <v>340000</v>
      </c>
      <c r="S2237" s="5">
        <v>0</v>
      </c>
      <c r="T2237" s="5">
        <v>10000</v>
      </c>
      <c r="U2237" s="5">
        <v>350000</v>
      </c>
      <c r="V2237" s="5" t="s">
        <v>10093</v>
      </c>
      <c r="W2237" s="5" t="s">
        <v>36</v>
      </c>
      <c r="X2237" s="5" t="s">
        <v>1937</v>
      </c>
      <c r="Z2237" s="5" t="s">
        <v>10094</v>
      </c>
      <c r="AA2237" s="5" t="s">
        <v>69</v>
      </c>
      <c r="AB2237" s="5" t="s">
        <v>10095</v>
      </c>
      <c r="AC2237" s="8" t="str">
        <f>HYPERLINK("https://drive.google.com/file/d/1LcT87A6NsGJz7dSKX2TAGr1QVxDPZ6nH/view?usp=drivesdk", "Abrir_Factura")</f>
        <v>Abrir_Factura</v>
      </c>
      <c r="AD2237" s="9">
        <v>46066.663704525461</v>
      </c>
    </row>
    <row r="2238" spans="1:30" ht="12.5">
      <c r="A2238" s="4">
        <v>46066.652166631946</v>
      </c>
      <c r="B2238" s="5">
        <v>91976</v>
      </c>
      <c r="C2238" s="5">
        <v>1143227614</v>
      </c>
      <c r="D2238" s="5" t="s">
        <v>10096</v>
      </c>
      <c r="F2238" s="5" t="s">
        <v>10097</v>
      </c>
      <c r="H2238" s="5">
        <v>57000</v>
      </c>
      <c r="J2238" s="5" t="s">
        <v>10098</v>
      </c>
      <c r="K2238" s="5" t="s">
        <v>33</v>
      </c>
      <c r="L2238" s="5" t="s">
        <v>34</v>
      </c>
      <c r="M2238" s="5">
        <v>0</v>
      </c>
      <c r="N2238" s="6">
        <v>46066</v>
      </c>
      <c r="O2238" s="7">
        <v>0</v>
      </c>
      <c r="P2238" s="5">
        <v>1</v>
      </c>
      <c r="Q2238" s="5" t="s">
        <v>309</v>
      </c>
      <c r="R2238" s="5">
        <v>88000</v>
      </c>
      <c r="S2238" s="5">
        <v>0</v>
      </c>
      <c r="T2238" s="5">
        <v>0</v>
      </c>
      <c r="U2238" s="5">
        <v>88000</v>
      </c>
      <c r="V2238" s="5"/>
      <c r="W2238" s="5" t="s">
        <v>36</v>
      </c>
      <c r="X2238" s="5" t="s">
        <v>37</v>
      </c>
      <c r="AA2238" s="5" t="s">
        <v>37</v>
      </c>
      <c r="AB2238" s="5">
        <v>22428487985</v>
      </c>
      <c r="AC2238" s="8" t="str">
        <f>HYPERLINK("https://drive.google.com/file/d/1VdZAUjjKcCjBNtnTHS94OTqgCF7D5Txk/view?usp=drivesdk", "Abrir_Factura")</f>
        <v>Abrir_Factura</v>
      </c>
      <c r="AD2238" s="9">
        <v>46066.653298611112</v>
      </c>
    </row>
    <row r="2239" spans="1:30" ht="12.5">
      <c r="A2239" s="4">
        <v>46066.650257025467</v>
      </c>
      <c r="B2239" s="5">
        <v>91977</v>
      </c>
      <c r="C2239" s="5">
        <v>1001888981</v>
      </c>
      <c r="D2239" s="5" t="s">
        <v>6400</v>
      </c>
      <c r="F2239" s="5" t="s">
        <v>10099</v>
      </c>
      <c r="H2239" s="5">
        <v>573226471069</v>
      </c>
      <c r="J2239" s="5" t="s">
        <v>3078</v>
      </c>
      <c r="K2239" s="5" t="s">
        <v>9925</v>
      </c>
      <c r="L2239" s="5" t="s">
        <v>10100</v>
      </c>
      <c r="M2239" s="5">
        <v>3022453560</v>
      </c>
      <c r="N2239" s="6">
        <v>46067</v>
      </c>
      <c r="O2239" s="7">
        <v>0.375</v>
      </c>
      <c r="P2239" s="5">
        <v>1</v>
      </c>
      <c r="Q2239" s="5" t="s">
        <v>6874</v>
      </c>
      <c r="R2239" s="5">
        <v>120000</v>
      </c>
      <c r="S2239" s="5">
        <v>0</v>
      </c>
      <c r="T2239" s="5">
        <v>11000</v>
      </c>
      <c r="U2239" s="5">
        <v>131000</v>
      </c>
      <c r="V2239" s="5" t="s">
        <v>10101</v>
      </c>
      <c r="W2239" s="5" t="s">
        <v>36</v>
      </c>
      <c r="X2239" s="5" t="s">
        <v>7644</v>
      </c>
      <c r="Z2239" s="5" t="s">
        <v>10102</v>
      </c>
      <c r="AA2239" s="5" t="s">
        <v>69</v>
      </c>
      <c r="AB2239" s="5" t="s">
        <v>10103</v>
      </c>
      <c r="AC2239" s="8" t="str">
        <f>HYPERLINK("https://drive.google.com/file/d/1FjNXseiK4kuEKmEo_JzyIVWtjUS6jzem/view?usp=drivesdk", "Abrir_Factura")</f>
        <v>Abrir_Factura</v>
      </c>
      <c r="AD2239" s="9">
        <v>46066.654826388891</v>
      </c>
    </row>
    <row r="2240" spans="1:30" ht="12.5">
      <c r="A2240" s="4">
        <v>46066.544560787035</v>
      </c>
      <c r="B2240" s="5">
        <v>91978</v>
      </c>
      <c r="C2240" s="5">
        <v>1001817876</v>
      </c>
      <c r="D2240" s="5" t="s">
        <v>2239</v>
      </c>
      <c r="F2240" s="5" t="s">
        <v>2240</v>
      </c>
      <c r="H2240" s="5">
        <v>18579305737</v>
      </c>
      <c r="J2240" s="5" t="s">
        <v>10104</v>
      </c>
      <c r="K2240" s="5"/>
      <c r="L2240" s="5" t="s">
        <v>10105</v>
      </c>
      <c r="M2240" s="5"/>
      <c r="N2240" s="6">
        <v>46066</v>
      </c>
      <c r="O2240" s="7">
        <v>0.20833333333333334</v>
      </c>
      <c r="P2240" s="5">
        <v>1</v>
      </c>
      <c r="Q2240" s="5" t="s">
        <v>35</v>
      </c>
      <c r="R2240" s="5">
        <v>130000</v>
      </c>
      <c r="S2240" s="5">
        <v>0</v>
      </c>
      <c r="T2240" s="5"/>
      <c r="U2240" s="5">
        <v>130000</v>
      </c>
      <c r="V2240" s="5" t="s">
        <v>10106</v>
      </c>
      <c r="W2240" s="5" t="s">
        <v>36</v>
      </c>
      <c r="X2240" s="5" t="s">
        <v>196</v>
      </c>
      <c r="Z2240" s="5" t="s">
        <v>10107</v>
      </c>
      <c r="AA2240" s="5" t="s">
        <v>44</v>
      </c>
      <c r="AB2240" s="5" t="s">
        <v>9612</v>
      </c>
      <c r="AC2240" s="8" t="str">
        <f>HYPERLINK("https://drive.google.com/file/d/1aefNeuHBQHGrit0bHHIbDxtqlF2fEFrQ/view?usp=drivesdk", "Abrir_Factura")</f>
        <v>Abrir_Factura</v>
      </c>
      <c r="AD2240" s="9">
        <v>46066.781828703701</v>
      </c>
    </row>
    <row r="2241" spans="1:30" ht="12.5">
      <c r="A2241" s="4">
        <v>46066.659976238428</v>
      </c>
      <c r="B2241" s="5">
        <v>91979</v>
      </c>
      <c r="C2241" s="5">
        <v>1044212521</v>
      </c>
      <c r="D2241" s="5" t="s">
        <v>6639</v>
      </c>
      <c r="F2241" s="5" t="s">
        <v>7203</v>
      </c>
      <c r="H2241" s="5">
        <v>573116251075</v>
      </c>
      <c r="J2241" s="5" t="s">
        <v>10108</v>
      </c>
      <c r="K2241" s="5"/>
      <c r="L2241" s="5" t="s">
        <v>10109</v>
      </c>
      <c r="M2241" s="5"/>
      <c r="N2241" s="6">
        <v>46066</v>
      </c>
      <c r="O2241" s="7">
        <v>0</v>
      </c>
      <c r="P2241" s="5">
        <v>1</v>
      </c>
      <c r="Q2241" s="5" t="s">
        <v>309</v>
      </c>
      <c r="R2241" s="5">
        <v>90000</v>
      </c>
      <c r="S2241" s="5">
        <v>0</v>
      </c>
      <c r="T2241" s="5"/>
      <c r="U2241" s="5">
        <v>90000</v>
      </c>
      <c r="V2241" s="5" t="s">
        <v>10110</v>
      </c>
      <c r="W2241" s="5" t="s">
        <v>36</v>
      </c>
      <c r="X2241" s="5" t="s">
        <v>2438</v>
      </c>
      <c r="Z2241" s="5" t="s">
        <v>10111</v>
      </c>
      <c r="AA2241" s="5" t="s">
        <v>44</v>
      </c>
      <c r="AC2241" s="8" t="str">
        <f>HYPERLINK("https://drive.google.com/file/d/1xHCc53VDKskMRsc_LKc1T9K4Wa6RQeGg/view?usp=drivesdk", "Abrir_Factura")</f>
        <v>Abrir_Factura</v>
      </c>
      <c r="AD2241" s="9">
        <v>46066.660868055558</v>
      </c>
    </row>
    <row r="2242" spans="1:30" ht="12.5">
      <c r="A2242" s="4">
        <v>46066.652025636577</v>
      </c>
      <c r="B2242" s="5">
        <v>91980</v>
      </c>
      <c r="C2242" s="5">
        <v>1127349590</v>
      </c>
      <c r="D2242" s="5" t="s">
        <v>10112</v>
      </c>
      <c r="F2242" s="5" t="s">
        <v>10113</v>
      </c>
      <c r="H2242" s="5">
        <v>573152530349</v>
      </c>
      <c r="J2242" s="5" t="s">
        <v>10114</v>
      </c>
      <c r="K2242" s="5" t="s">
        <v>892</v>
      </c>
      <c r="L2242" s="5" t="s">
        <v>10115</v>
      </c>
      <c r="M2242" s="5">
        <v>3154392021</v>
      </c>
      <c r="N2242" s="6">
        <v>46067</v>
      </c>
      <c r="O2242" s="7">
        <v>0</v>
      </c>
      <c r="P2242" s="5">
        <v>1</v>
      </c>
      <c r="Q2242" s="5" t="s">
        <v>309</v>
      </c>
      <c r="R2242" s="5">
        <v>90000</v>
      </c>
      <c r="S2242" s="5">
        <v>0</v>
      </c>
      <c r="T2242" s="5">
        <v>10000</v>
      </c>
      <c r="U2242" s="5">
        <v>100000</v>
      </c>
      <c r="V2242" s="5" t="s">
        <v>10116</v>
      </c>
      <c r="W2242" s="5" t="s">
        <v>36</v>
      </c>
      <c r="X2242" s="5" t="s">
        <v>7644</v>
      </c>
      <c r="Z2242" s="5" t="s">
        <v>10112</v>
      </c>
      <c r="AA2242" s="5" t="s">
        <v>44</v>
      </c>
      <c r="AB2242" s="5" t="s">
        <v>2708</v>
      </c>
      <c r="AC2242" s="8" t="str">
        <f>HYPERLINK("https://drive.google.com/file/d/164HKeMCy7zNZ_7lHzvulHeqB1VjM4AqC/view?usp=drivesdk", "Abrir_Factura")</f>
        <v>Abrir_Factura</v>
      </c>
      <c r="AD2242" s="9">
        <v>46066.667037037034</v>
      </c>
    </row>
    <row r="2243" spans="1:30" ht="12.5">
      <c r="A2243" s="4">
        <v>46066.623185821758</v>
      </c>
      <c r="B2243" s="5">
        <v>91981</v>
      </c>
      <c r="C2243" s="5">
        <v>1029720897</v>
      </c>
      <c r="D2243" s="5" t="s">
        <v>10117</v>
      </c>
      <c r="F2243" s="5" t="s">
        <v>10118</v>
      </c>
      <c r="H2243" s="5">
        <v>573028640221</v>
      </c>
      <c r="J2243" s="5" t="s">
        <v>10119</v>
      </c>
      <c r="K2243" s="5" t="s">
        <v>783</v>
      </c>
      <c r="L2243" s="5" t="s">
        <v>10120</v>
      </c>
      <c r="M2243" s="5">
        <v>3114339762</v>
      </c>
      <c r="N2243" s="6">
        <v>46067</v>
      </c>
      <c r="O2243" s="7">
        <v>0.375</v>
      </c>
      <c r="P2243" s="5">
        <v>1</v>
      </c>
      <c r="Q2243" s="5" t="s">
        <v>375</v>
      </c>
      <c r="R2243" s="5">
        <v>80000</v>
      </c>
      <c r="S2243" s="5">
        <v>0</v>
      </c>
      <c r="T2243" s="5">
        <v>17000</v>
      </c>
      <c r="U2243" s="5">
        <v>97000</v>
      </c>
      <c r="V2243" s="5" t="s">
        <v>10121</v>
      </c>
      <c r="W2243" s="5" t="s">
        <v>36</v>
      </c>
      <c r="X2243" s="5" t="s">
        <v>83</v>
      </c>
      <c r="Z2243" s="5" t="s">
        <v>10122</v>
      </c>
      <c r="AA2243" s="5" t="s">
        <v>44</v>
      </c>
      <c r="AB2243" s="5" t="s">
        <v>9600</v>
      </c>
      <c r="AC2243" s="8" t="str">
        <f>HYPERLINK("https://drive.google.com/file/d/1LDrrabIiRn33f6qzM1BmkxD5FRl7EL7p/view?usp=drivesdk", "Abrir_Factura")</f>
        <v>Abrir_Factura</v>
      </c>
      <c r="AD2243" s="9">
        <v>46066.772245370368</v>
      </c>
    </row>
    <row r="2244" spans="1:30" ht="12.5">
      <c r="A2244" s="4">
        <v>46066.648652800926</v>
      </c>
      <c r="B2244" s="5">
        <v>91982</v>
      </c>
      <c r="C2244" s="5">
        <v>1140897963</v>
      </c>
      <c r="D2244" s="5" t="s">
        <v>10123</v>
      </c>
      <c r="F2244" s="5" t="s">
        <v>10124</v>
      </c>
      <c r="H2244" s="5">
        <v>573016146980</v>
      </c>
      <c r="J2244" s="5" t="s">
        <v>10125</v>
      </c>
      <c r="K2244" s="5" t="s">
        <v>2090</v>
      </c>
      <c r="L2244" s="5" t="s">
        <v>10126</v>
      </c>
      <c r="M2244" s="5"/>
      <c r="N2244" s="6">
        <v>46067</v>
      </c>
      <c r="O2244" s="7">
        <v>0.33333333333333331</v>
      </c>
      <c r="P2244" s="5">
        <v>1</v>
      </c>
      <c r="Q2244" s="5" t="s">
        <v>9152</v>
      </c>
      <c r="R2244" s="5">
        <v>220000</v>
      </c>
      <c r="S2244" s="5">
        <v>0</v>
      </c>
      <c r="T2244" s="5">
        <v>10000</v>
      </c>
      <c r="U2244" s="5">
        <v>230000</v>
      </c>
      <c r="V2244" s="5" t="s">
        <v>10127</v>
      </c>
      <c r="W2244" s="5" t="s">
        <v>36</v>
      </c>
      <c r="X2244" s="5" t="s">
        <v>1937</v>
      </c>
      <c r="Z2244" s="5" t="s">
        <v>10128</v>
      </c>
      <c r="AA2244" s="5" t="s">
        <v>44</v>
      </c>
      <c r="AB2244" s="5" t="s">
        <v>9612</v>
      </c>
      <c r="AC2244" s="8" t="str">
        <f>HYPERLINK("https://drive.google.com/file/d/1Rfnh2zQBtlfZRm1WM5vt_6V-MI-R4x56/view?usp=drivesdk", "Abrir_Factura")</f>
        <v>Abrir_Factura</v>
      </c>
      <c r="AD2244" s="9">
        <v>46066.668900462966</v>
      </c>
    </row>
    <row r="2245" spans="1:30" ht="12.5">
      <c r="A2245" s="4">
        <v>46066.668601412035</v>
      </c>
      <c r="B2245" s="5">
        <v>91983</v>
      </c>
      <c r="C2245" s="5">
        <v>1234095361</v>
      </c>
      <c r="D2245" s="5" t="s">
        <v>10129</v>
      </c>
      <c r="F2245" s="5" t="s">
        <v>7768</v>
      </c>
      <c r="H2245" s="5">
        <v>570000</v>
      </c>
      <c r="J2245" s="5" t="s">
        <v>10130</v>
      </c>
      <c r="K2245" s="5"/>
      <c r="L2245" s="5" t="s">
        <v>10069</v>
      </c>
      <c r="M2245" s="5">
        <v>0</v>
      </c>
      <c r="N2245" s="6">
        <v>46066</v>
      </c>
      <c r="O2245" s="7">
        <v>0</v>
      </c>
      <c r="P2245" s="5">
        <v>1</v>
      </c>
      <c r="Q2245" s="5" t="s">
        <v>35</v>
      </c>
      <c r="R2245" s="5">
        <v>130000</v>
      </c>
      <c r="S2245" s="5">
        <v>0</v>
      </c>
      <c r="T2245" s="5"/>
      <c r="U2245" s="5">
        <v>130000</v>
      </c>
      <c r="V2245" s="5"/>
      <c r="W2245" s="5" t="s">
        <v>36</v>
      </c>
      <c r="X2245" s="5" t="s">
        <v>196</v>
      </c>
      <c r="AA2245" s="5" t="s">
        <v>1717</v>
      </c>
      <c r="AC2245" s="8" t="str">
        <f>HYPERLINK("https://drive.google.com/file/d/1FwZ_BOCLVHUVZx-6cXRL8wRON20vGIcW/view?usp=drivesdk", "Abrir_Factura")</f>
        <v>Abrir_Factura</v>
      </c>
      <c r="AD2245" s="9">
        <v>46066.669050925928</v>
      </c>
    </row>
    <row r="2246" spans="1:30" ht="12.5">
      <c r="A2246" s="4">
        <v>46066.67322759259</v>
      </c>
      <c r="B2246" s="5">
        <v>91984</v>
      </c>
      <c r="C2246" s="5">
        <v>1001853500</v>
      </c>
      <c r="D2246" s="5" t="s">
        <v>3075</v>
      </c>
      <c r="F2246" s="5" t="s">
        <v>1855</v>
      </c>
      <c r="H2246" s="5">
        <v>573113467688</v>
      </c>
      <c r="J2246" s="5" t="s">
        <v>492</v>
      </c>
      <c r="K2246" s="5" t="s">
        <v>328</v>
      </c>
      <c r="L2246" s="5" t="s">
        <v>10131</v>
      </c>
      <c r="M2246" s="5" t="s">
        <v>10132</v>
      </c>
      <c r="N2246" s="6">
        <v>46067</v>
      </c>
      <c r="O2246" s="7">
        <v>0.375</v>
      </c>
      <c r="P2246" s="5">
        <v>1</v>
      </c>
      <c r="Q2246" s="5" t="s">
        <v>9576</v>
      </c>
      <c r="R2246" s="5">
        <v>90000</v>
      </c>
      <c r="S2246" s="5">
        <v>0</v>
      </c>
      <c r="T2246" s="5">
        <v>12000</v>
      </c>
      <c r="U2246" s="5">
        <v>102000</v>
      </c>
      <c r="V2246" s="5" t="s">
        <v>10133</v>
      </c>
      <c r="W2246" s="5" t="s">
        <v>36</v>
      </c>
      <c r="X2246" s="5" t="s">
        <v>7644</v>
      </c>
      <c r="Z2246" s="5" t="s">
        <v>6666</v>
      </c>
      <c r="AA2246" s="5" t="s">
        <v>44</v>
      </c>
      <c r="AC2246" s="8" t="str">
        <f>HYPERLINK("https://drive.google.com/file/d/1LzcvfzMQY1UiGHUUGOTzfWCGcl9tQMbJ/view?usp=drivesdk", "Abrir_Factura")</f>
        <v>Abrir_Factura</v>
      </c>
      <c r="AD2246" s="9">
        <v>46066.691967592589</v>
      </c>
    </row>
    <row r="2247" spans="1:30" ht="12.5">
      <c r="A2247" s="4">
        <v>46066.679707384261</v>
      </c>
      <c r="B2247" s="5">
        <v>91985</v>
      </c>
      <c r="C2247" s="5">
        <v>1062955759</v>
      </c>
      <c r="D2247" s="5" t="s">
        <v>968</v>
      </c>
      <c r="F2247" s="5" t="s">
        <v>2673</v>
      </c>
      <c r="H2247" s="5">
        <v>573219670367</v>
      </c>
      <c r="J2247" s="5" t="s">
        <v>10134</v>
      </c>
      <c r="K2247" s="5" t="s">
        <v>103</v>
      </c>
      <c r="L2247" s="5" t="s">
        <v>10135</v>
      </c>
      <c r="M2247" s="5">
        <v>3007814789</v>
      </c>
      <c r="N2247" s="6">
        <v>46067</v>
      </c>
      <c r="O2247" s="7">
        <v>0.45833333333333331</v>
      </c>
      <c r="P2247" s="5">
        <v>1</v>
      </c>
      <c r="Q2247" s="5" t="s">
        <v>1111</v>
      </c>
      <c r="R2247" s="5">
        <v>140000</v>
      </c>
      <c r="S2247" s="5">
        <v>0</v>
      </c>
      <c r="T2247" s="5">
        <v>10000</v>
      </c>
      <c r="U2247" s="5">
        <v>150000</v>
      </c>
      <c r="V2247" s="5" t="s">
        <v>10136</v>
      </c>
      <c r="W2247" s="5" t="s">
        <v>36</v>
      </c>
      <c r="X2247" s="5" t="s">
        <v>7644</v>
      </c>
      <c r="Z2247" s="5" t="s">
        <v>10137</v>
      </c>
      <c r="AA2247" s="5" t="s">
        <v>44</v>
      </c>
      <c r="AB2247" s="5" t="s">
        <v>9600</v>
      </c>
      <c r="AC2247" s="8" t="str">
        <f>HYPERLINK("https://drive.google.com/file/d/17yKV6bLne2Ji2AGYyxOVXxS4Ak70C3Nl/view?usp=drivesdk", "Abrir_Factura")</f>
        <v>Abrir_Factura</v>
      </c>
      <c r="AD2247" s="9">
        <v>46066.707465277781</v>
      </c>
    </row>
    <row r="2248" spans="1:30" ht="12.5">
      <c r="A2248" s="4">
        <v>46066.140889571761</v>
      </c>
      <c r="B2248" s="5">
        <v>91986</v>
      </c>
      <c r="C2248" s="5">
        <v>52516659</v>
      </c>
      <c r="D2248" s="5" t="s">
        <v>10138</v>
      </c>
      <c r="F2248" s="5" t="s">
        <v>10139</v>
      </c>
      <c r="H2248" s="5">
        <v>573103078739</v>
      </c>
      <c r="J2248" s="5" t="s">
        <v>10140</v>
      </c>
      <c r="K2248" s="5" t="s">
        <v>79</v>
      </c>
      <c r="L2248" s="5" t="s">
        <v>10141</v>
      </c>
      <c r="M2248" s="5">
        <v>3102776325</v>
      </c>
      <c r="N2248" s="6">
        <v>46066</v>
      </c>
      <c r="O2248" s="7">
        <v>0.375</v>
      </c>
      <c r="P2248" s="5">
        <v>1</v>
      </c>
      <c r="Q2248" s="5" t="s">
        <v>309</v>
      </c>
      <c r="R2248" s="5">
        <v>90000</v>
      </c>
      <c r="S2248" s="5">
        <v>0</v>
      </c>
      <c r="T2248" s="5">
        <v>10000</v>
      </c>
      <c r="U2248" s="5">
        <v>100000</v>
      </c>
      <c r="V2248" s="5" t="s">
        <v>10142</v>
      </c>
      <c r="W2248" s="5" t="s">
        <v>36</v>
      </c>
      <c r="X2248" s="5" t="s">
        <v>1937</v>
      </c>
      <c r="Z2248" s="5" t="s">
        <v>10143</v>
      </c>
      <c r="AA2248" s="5" t="s">
        <v>44</v>
      </c>
      <c r="AC2248" s="8" t="str">
        <f>HYPERLINK("https://drive.google.com/file/d/15ZknlYePKbWOmLM3wh18OKclcUFouYCv/view?usp=drivesdk", "Abrir_Factura")</f>
        <v>Abrir_Factura</v>
      </c>
      <c r="AD2248" s="9">
        <v>46066.707685185182</v>
      </c>
    </row>
    <row r="2249" spans="1:30" ht="12.5">
      <c r="A2249" s="4">
        <v>46066.59884387732</v>
      </c>
      <c r="B2249" s="5">
        <v>91987</v>
      </c>
      <c r="C2249" s="5">
        <v>1000894463</v>
      </c>
      <c r="D2249" s="5" t="s">
        <v>10144</v>
      </c>
      <c r="F2249" s="5" t="s">
        <v>10145</v>
      </c>
      <c r="H2249" s="5">
        <v>573212739897</v>
      </c>
      <c r="J2249" s="5" t="s">
        <v>10146</v>
      </c>
      <c r="K2249" s="5" t="s">
        <v>516</v>
      </c>
      <c r="L2249" s="5" t="s">
        <v>10147</v>
      </c>
      <c r="M2249" s="5" t="s">
        <v>10148</v>
      </c>
      <c r="N2249" s="6">
        <v>46066</v>
      </c>
      <c r="O2249" s="7">
        <v>0.75</v>
      </c>
      <c r="P2249" s="5">
        <v>1</v>
      </c>
      <c r="Q2249" s="5" t="s">
        <v>10001</v>
      </c>
      <c r="R2249" s="5">
        <v>200000</v>
      </c>
      <c r="S2249" s="5">
        <v>0</v>
      </c>
      <c r="T2249" s="5">
        <v>10000</v>
      </c>
      <c r="U2249" s="5">
        <v>210000</v>
      </c>
      <c r="V2249" s="5" t="s">
        <v>10149</v>
      </c>
      <c r="W2249" s="5" t="s">
        <v>36</v>
      </c>
      <c r="X2249" s="5" t="s">
        <v>83</v>
      </c>
      <c r="Z2249" s="5" t="s">
        <v>10150</v>
      </c>
      <c r="AA2249" s="5" t="s">
        <v>44</v>
      </c>
      <c r="AC2249" s="8" t="str">
        <f>HYPERLINK("https://drive.google.com/file/d/1TYeJhY3UOiJPibSwW-35UEIsr7mA_Pwk/view?usp=drivesdk", "Abrir_Factura")</f>
        <v>Abrir_Factura</v>
      </c>
      <c r="AD2249" s="9">
        <v>46066.712071759262</v>
      </c>
    </row>
    <row r="2250" spans="1:30" ht="12.5">
      <c r="A2250" s="4">
        <v>46066.61394491898</v>
      </c>
      <c r="B2250" s="5">
        <v>91988</v>
      </c>
      <c r="C2250" s="5">
        <v>73176777</v>
      </c>
      <c r="D2250" s="5" t="s">
        <v>4145</v>
      </c>
      <c r="F2250" s="5" t="s">
        <v>10151</v>
      </c>
      <c r="H2250" s="5">
        <v>5751942932654</v>
      </c>
      <c r="J2250" s="5" t="s">
        <v>10152</v>
      </c>
      <c r="K2250" s="5" t="s">
        <v>185</v>
      </c>
      <c r="L2250" s="5" t="s">
        <v>10153</v>
      </c>
      <c r="M2250" s="5">
        <v>3015068968</v>
      </c>
      <c r="N2250" s="6">
        <v>46067</v>
      </c>
      <c r="O2250" s="7">
        <v>0</v>
      </c>
      <c r="P2250" s="5">
        <v>1</v>
      </c>
      <c r="Q2250" s="5" t="s">
        <v>6874</v>
      </c>
      <c r="R2250" s="5">
        <v>120000</v>
      </c>
      <c r="S2250" s="5">
        <v>0</v>
      </c>
      <c r="T2250" s="5">
        <v>8000</v>
      </c>
      <c r="U2250" s="5">
        <v>128000</v>
      </c>
      <c r="V2250" s="5" t="s">
        <v>10154</v>
      </c>
      <c r="W2250" s="5" t="s">
        <v>36</v>
      </c>
      <c r="X2250" s="5" t="s">
        <v>1937</v>
      </c>
      <c r="AA2250" s="5" t="s">
        <v>44</v>
      </c>
      <c r="AC2250" s="8" t="str">
        <f>HYPERLINK("https://drive.google.com/file/d/1StWw9MbQMCD6fh16W8BWeAsgteRYuQZS/view?usp=drivesdk", "Abrir_Factura")</f>
        <v>Abrir_Factura</v>
      </c>
      <c r="AD2250" s="9">
        <v>46066.712361111109</v>
      </c>
    </row>
    <row r="2251" spans="1:30" ht="12.5">
      <c r="A2251" s="4">
        <v>46066.675980613421</v>
      </c>
      <c r="B2251" s="5">
        <v>91989</v>
      </c>
      <c r="C2251" s="5">
        <v>1129575427</v>
      </c>
      <c r="D2251" s="5" t="s">
        <v>290</v>
      </c>
      <c r="F2251" s="5" t="s">
        <v>5529</v>
      </c>
      <c r="H2251" s="5">
        <v>15514822719</v>
      </c>
      <c r="J2251" s="5" t="s">
        <v>10155</v>
      </c>
      <c r="K2251" s="5" t="s">
        <v>79</v>
      </c>
      <c r="L2251" s="5" t="s">
        <v>10156</v>
      </c>
      <c r="M2251" s="5"/>
      <c r="N2251" s="6">
        <v>46067</v>
      </c>
      <c r="O2251" s="7">
        <v>0.41666666666666669</v>
      </c>
      <c r="P2251" s="5">
        <v>4</v>
      </c>
      <c r="Q2251" s="5" t="s">
        <v>10157</v>
      </c>
      <c r="R2251" s="5">
        <v>380000</v>
      </c>
      <c r="S2251" s="5">
        <v>0</v>
      </c>
      <c r="T2251" s="5">
        <v>10000</v>
      </c>
      <c r="U2251" s="5">
        <v>390000</v>
      </c>
      <c r="V2251" s="5"/>
      <c r="W2251" s="5" t="s">
        <v>36</v>
      </c>
      <c r="X2251" s="5" t="s">
        <v>7644</v>
      </c>
      <c r="AA2251" s="5" t="s">
        <v>44</v>
      </c>
      <c r="AB2251" s="5" t="s">
        <v>9600</v>
      </c>
      <c r="AC2251" s="8" t="str">
        <f>HYPERLINK("https://drive.google.com/file/d/1jkK-mL0uO1ZPStGCzzbOdvuPedKPK7G0/view?usp=drivesdk", "Abrir_Factura")</f>
        <v>Abrir_Factura</v>
      </c>
      <c r="AD2251" s="9">
        <v>46066.720173611109</v>
      </c>
    </row>
    <row r="2252" spans="1:30" ht="12.5">
      <c r="A2252" s="4">
        <v>46066.685060532407</v>
      </c>
      <c r="B2252" s="5">
        <v>91990</v>
      </c>
      <c r="C2252" s="5">
        <v>1043446251</v>
      </c>
      <c r="D2252" s="5" t="s">
        <v>10158</v>
      </c>
      <c r="F2252" s="5" t="s">
        <v>10159</v>
      </c>
      <c r="H2252" s="5">
        <v>573058681889</v>
      </c>
      <c r="J2252" s="5" t="s">
        <v>10160</v>
      </c>
      <c r="K2252" s="5" t="s">
        <v>307</v>
      </c>
      <c r="L2252" s="5" t="s">
        <v>10161</v>
      </c>
      <c r="M2252" s="5">
        <v>3058681889</v>
      </c>
      <c r="N2252" s="6">
        <v>46066</v>
      </c>
      <c r="O2252" s="7">
        <v>0</v>
      </c>
      <c r="P2252" s="5">
        <v>1</v>
      </c>
      <c r="Q2252" s="5" t="s">
        <v>9280</v>
      </c>
      <c r="R2252" s="5">
        <v>95000</v>
      </c>
      <c r="S2252" s="5">
        <v>0</v>
      </c>
      <c r="T2252" s="5">
        <v>10000</v>
      </c>
      <c r="U2252" s="5">
        <v>105000</v>
      </c>
      <c r="V2252" s="5" t="s">
        <v>10162</v>
      </c>
      <c r="W2252" s="5" t="s">
        <v>36</v>
      </c>
      <c r="X2252" s="5" t="s">
        <v>7644</v>
      </c>
      <c r="Z2252" s="5" t="s">
        <v>10163</v>
      </c>
      <c r="AA2252" s="5" t="s">
        <v>44</v>
      </c>
      <c r="AB2252" s="5" t="s">
        <v>2708</v>
      </c>
      <c r="AC2252" s="8" t="str">
        <f>HYPERLINK("https://drive.google.com/file/d/123GAE2lhBbglslqYBp49rD2PF7mQribx/view?usp=drivesdk", "Abrir_Factura")</f>
        <v>Abrir_Factura</v>
      </c>
      <c r="AD2252" s="9">
        <v>46066.721863425926</v>
      </c>
    </row>
    <row r="2253" spans="1:30" ht="12.5">
      <c r="A2253" s="4">
        <v>46066.684058993051</v>
      </c>
      <c r="B2253" s="5">
        <v>91991</v>
      </c>
      <c r="C2253" s="5">
        <v>13165896</v>
      </c>
      <c r="D2253" s="5" t="s">
        <v>46</v>
      </c>
      <c r="F2253" s="5" t="s">
        <v>10164</v>
      </c>
      <c r="H2253" s="5">
        <v>573008366502</v>
      </c>
      <c r="J2253" s="5" t="s">
        <v>10165</v>
      </c>
      <c r="K2253" s="5" t="s">
        <v>73</v>
      </c>
      <c r="L2253" s="5" t="s">
        <v>10166</v>
      </c>
      <c r="M2253" s="5">
        <v>3008366502</v>
      </c>
      <c r="N2253" s="6">
        <v>46067</v>
      </c>
      <c r="O2253" s="7">
        <v>0.41666666666666669</v>
      </c>
      <c r="P2253" s="5">
        <v>1</v>
      </c>
      <c r="Q2253" s="5" t="s">
        <v>9478</v>
      </c>
      <c r="R2253" s="5">
        <v>250000</v>
      </c>
      <c r="S2253" s="5">
        <v>0</v>
      </c>
      <c r="T2253" s="5">
        <v>8000</v>
      </c>
      <c r="U2253" s="5">
        <v>258000</v>
      </c>
      <c r="V2253" s="5" t="s">
        <v>10167</v>
      </c>
      <c r="W2253" s="5" t="s">
        <v>36</v>
      </c>
      <c r="X2253" s="5" t="s">
        <v>7644</v>
      </c>
      <c r="Z2253" s="5" t="s">
        <v>46</v>
      </c>
      <c r="AA2253" s="5" t="s">
        <v>44</v>
      </c>
      <c r="AB2253" s="5" t="s">
        <v>10168</v>
      </c>
      <c r="AC2253" s="8" t="str">
        <f>HYPERLINK("https://drive.google.com/file/d/15rqJ5pL18p2_R85M7kX3D2vBp-deTGJ_/view?usp=drivesdk", "Abrir_Factura")</f>
        <v>Abrir_Factura</v>
      </c>
      <c r="AD2253" s="9">
        <v>46066.724039351851</v>
      </c>
    </row>
    <row r="2254" spans="1:30" ht="12.5">
      <c r="A2254" s="4">
        <v>46066.70299262731</v>
      </c>
      <c r="B2254" s="5">
        <v>91992</v>
      </c>
      <c r="C2254" s="5">
        <v>1140838807</v>
      </c>
      <c r="D2254" s="5" t="s">
        <v>10169</v>
      </c>
      <c r="F2254" s="5" t="s">
        <v>1585</v>
      </c>
      <c r="H2254" s="5">
        <v>573013945945</v>
      </c>
      <c r="J2254" s="5" t="s">
        <v>10170</v>
      </c>
      <c r="K2254" s="5" t="s">
        <v>2090</v>
      </c>
      <c r="L2254" s="5" t="s">
        <v>10171</v>
      </c>
      <c r="M2254" s="5" t="s">
        <v>10172</v>
      </c>
      <c r="N2254" s="6">
        <v>46066</v>
      </c>
      <c r="O2254" s="7">
        <v>0</v>
      </c>
      <c r="P2254" s="5">
        <v>1</v>
      </c>
      <c r="Q2254" s="5" t="s">
        <v>10173</v>
      </c>
      <c r="R2254" s="5">
        <v>205000</v>
      </c>
      <c r="S2254" s="5">
        <v>0</v>
      </c>
      <c r="T2254" s="5">
        <v>10000</v>
      </c>
      <c r="U2254" s="5">
        <v>215000</v>
      </c>
      <c r="V2254" s="5" t="s">
        <v>10174</v>
      </c>
      <c r="W2254" s="5" t="s">
        <v>36</v>
      </c>
      <c r="X2254" s="5" t="s">
        <v>7644</v>
      </c>
      <c r="AA2254" s="5" t="s">
        <v>44</v>
      </c>
      <c r="AB2254" s="5" t="s">
        <v>2708</v>
      </c>
      <c r="AC2254" s="8" t="str">
        <f>HYPERLINK("https://drive.google.com/file/d/11my1wMrLvixEs0tko8BpIQ683CXioOJR/view?usp=drivesdk", "Abrir_Factura")</f>
        <v>Abrir_Factura</v>
      </c>
      <c r="AD2254" s="9">
        <v>46066.726689814815</v>
      </c>
    </row>
    <row r="2255" spans="1:30" ht="12.5">
      <c r="A2255" s="4">
        <v>46066.733815694446</v>
      </c>
      <c r="B2255" s="5">
        <v>91993</v>
      </c>
      <c r="C2255" s="5">
        <v>57290174</v>
      </c>
      <c r="D2255" s="5" t="s">
        <v>10175</v>
      </c>
      <c r="F2255" s="5" t="s">
        <v>2534</v>
      </c>
      <c r="H2255" s="5">
        <v>573003954858</v>
      </c>
      <c r="J2255" s="5" t="s">
        <v>10176</v>
      </c>
      <c r="K2255" s="5" t="s">
        <v>886</v>
      </c>
      <c r="L2255" s="5" t="s">
        <v>10177</v>
      </c>
      <c r="M2255" s="5"/>
      <c r="N2255" s="6">
        <v>46066</v>
      </c>
      <c r="O2255" s="7">
        <v>0.75</v>
      </c>
      <c r="P2255" s="5">
        <v>1</v>
      </c>
      <c r="Q2255" s="5" t="s">
        <v>4516</v>
      </c>
      <c r="R2255" s="5">
        <v>888000</v>
      </c>
      <c r="S2255" s="5">
        <v>0</v>
      </c>
      <c r="T2255" s="5">
        <v>12000</v>
      </c>
      <c r="U2255" s="5">
        <v>900000</v>
      </c>
      <c r="V2255" s="5" t="s">
        <v>10178</v>
      </c>
      <c r="W2255" s="5" t="s">
        <v>36</v>
      </c>
      <c r="X2255" s="5" t="s">
        <v>7644</v>
      </c>
      <c r="AA2255" s="5" t="s">
        <v>44</v>
      </c>
      <c r="AC2255" s="8" t="str">
        <f>HYPERLINK("https://drive.google.com/file/d/1M6oQu0Xlv1_ZoqLbNF04RJslcxg8W7MI/view?usp=drivesdk", "Abrir_Factura")</f>
        <v>Abrir_Factura</v>
      </c>
      <c r="AD2255" s="9">
        <v>46066.776597222219</v>
      </c>
    </row>
    <row r="2256" spans="1:30" ht="12.5">
      <c r="A2256" s="4">
        <v>46066.717405590272</v>
      </c>
      <c r="B2256" s="5">
        <v>91994</v>
      </c>
      <c r="C2256" s="5">
        <v>1042246397</v>
      </c>
      <c r="D2256" s="5" t="s">
        <v>9677</v>
      </c>
      <c r="F2256" s="5" t="s">
        <v>10179</v>
      </c>
      <c r="H2256" s="5">
        <v>573012282165</v>
      </c>
      <c r="J2256" s="5" t="s">
        <v>10180</v>
      </c>
      <c r="K2256" s="5" t="s">
        <v>73</v>
      </c>
      <c r="L2256" s="5" t="s">
        <v>10181</v>
      </c>
      <c r="M2256" s="5">
        <v>3012282165</v>
      </c>
      <c r="N2256" s="6">
        <v>46066</v>
      </c>
      <c r="O2256" s="7">
        <v>0</v>
      </c>
      <c r="P2256" s="5">
        <v>1</v>
      </c>
      <c r="Q2256" s="5" t="s">
        <v>309</v>
      </c>
      <c r="R2256" s="5">
        <v>90000</v>
      </c>
      <c r="S2256" s="5">
        <v>0</v>
      </c>
      <c r="T2256" s="5">
        <v>8000</v>
      </c>
      <c r="U2256" s="5">
        <v>98000</v>
      </c>
      <c r="V2256" s="5" t="s">
        <v>10182</v>
      </c>
      <c r="W2256" s="5" t="s">
        <v>36</v>
      </c>
      <c r="X2256" s="5" t="s">
        <v>7644</v>
      </c>
      <c r="Z2256" s="5" t="s">
        <v>10183</v>
      </c>
      <c r="AA2256" s="5" t="s">
        <v>44</v>
      </c>
      <c r="AB2256" s="5" t="s">
        <v>2708</v>
      </c>
      <c r="AC2256" s="8" t="str">
        <f>HYPERLINK("https://drive.google.com/file/d/1FW2WOJmPrAmP0fbe82PW-SOXCrcDxjmr/view?usp=drivesdk", "Abrir_Factura")</f>
        <v>Abrir_Factura</v>
      </c>
      <c r="AD2256" s="9">
        <v>46066.737407407411</v>
      </c>
    </row>
    <row r="2257" spans="1:30" ht="12.5">
      <c r="A2257" s="4">
        <v>46066.734834201387</v>
      </c>
      <c r="B2257" s="5">
        <v>91995</v>
      </c>
      <c r="C2257" s="5">
        <v>33752883</v>
      </c>
      <c r="D2257" s="5" t="s">
        <v>10184</v>
      </c>
      <c r="F2257" s="5" t="s">
        <v>5424</v>
      </c>
      <c r="H2257" s="5">
        <v>573007463854</v>
      </c>
      <c r="J2257" s="5" t="s">
        <v>10185</v>
      </c>
      <c r="K2257" s="5" t="s">
        <v>328</v>
      </c>
      <c r="L2257" s="5" t="s">
        <v>10186</v>
      </c>
      <c r="M2257" s="5">
        <v>3007463854</v>
      </c>
      <c r="N2257" s="6">
        <v>46067</v>
      </c>
      <c r="O2257" s="7">
        <v>0.375</v>
      </c>
      <c r="P2257" s="5">
        <v>1</v>
      </c>
      <c r="Q2257" s="5" t="s">
        <v>6874</v>
      </c>
      <c r="R2257" s="5">
        <v>120000</v>
      </c>
      <c r="S2257" s="5">
        <v>0</v>
      </c>
      <c r="T2257" s="5">
        <v>12000</v>
      </c>
      <c r="U2257" s="5">
        <v>132000</v>
      </c>
      <c r="V2257" s="5" t="s">
        <v>10187</v>
      </c>
      <c r="W2257" s="5" t="s">
        <v>36</v>
      </c>
      <c r="X2257" s="5" t="s">
        <v>7644</v>
      </c>
      <c r="Z2257" s="5" t="s">
        <v>10188</v>
      </c>
      <c r="AA2257" s="5" t="s">
        <v>44</v>
      </c>
      <c r="AC2257" s="8" t="str">
        <f>HYPERLINK("https://drive.google.com/file/d/1dJERZYlC_j-2d8xpcSGCj7Ci5GVSbR5n/view?usp=drivesdk", "Abrir_Factura")</f>
        <v>Abrir_Factura</v>
      </c>
      <c r="AD2257" s="9">
        <v>46066.740277777775</v>
      </c>
    </row>
    <row r="2258" spans="1:30" ht="12.5">
      <c r="A2258" s="4">
        <v>46066.733702280093</v>
      </c>
      <c r="B2258" s="5">
        <v>91996</v>
      </c>
      <c r="C2258" s="5">
        <v>1102872841</v>
      </c>
      <c r="D2258" s="5" t="s">
        <v>10189</v>
      </c>
      <c r="F2258" s="5" t="s">
        <v>5352</v>
      </c>
      <c r="H2258" s="5">
        <v>573014833570</v>
      </c>
      <c r="J2258" s="5" t="s">
        <v>10190</v>
      </c>
      <c r="K2258" s="5" t="s">
        <v>10191</v>
      </c>
      <c r="L2258" s="5" t="s">
        <v>10192</v>
      </c>
      <c r="M2258" s="5">
        <v>3054198028</v>
      </c>
      <c r="N2258" s="6">
        <v>46067</v>
      </c>
      <c r="O2258" s="7">
        <v>0</v>
      </c>
      <c r="P2258" s="5">
        <v>1</v>
      </c>
      <c r="Q2258" s="5" t="s">
        <v>6874</v>
      </c>
      <c r="R2258" s="5">
        <v>120000</v>
      </c>
      <c r="S2258" s="5">
        <v>0</v>
      </c>
      <c r="T2258" s="5">
        <v>30000</v>
      </c>
      <c r="U2258" s="5">
        <v>150000</v>
      </c>
      <c r="V2258" s="5" t="s">
        <v>10193</v>
      </c>
      <c r="W2258" s="5" t="s">
        <v>36</v>
      </c>
      <c r="X2258" s="5" t="s">
        <v>7644</v>
      </c>
      <c r="Z2258" s="5" t="s">
        <v>10194</v>
      </c>
      <c r="AA2258" s="5" t="s">
        <v>44</v>
      </c>
      <c r="AB2258" s="5" t="s">
        <v>2708</v>
      </c>
      <c r="AC2258" s="8" t="str">
        <f>HYPERLINK("https://drive.google.com/file/d/103s2uw9-WfZbyzCUjvyh26lrwlqlGLHV/view?usp=drivesdk", "Abrir_Factura")</f>
        <v>Abrir_Factura</v>
      </c>
      <c r="AD2258" s="9">
        <v>46066.743171296293</v>
      </c>
    </row>
    <row r="2259" spans="1:30" ht="12.5">
      <c r="A2259" s="4">
        <v>46066.712954282411</v>
      </c>
      <c r="B2259" s="5">
        <v>91997</v>
      </c>
      <c r="C2259" s="5">
        <v>1137624223</v>
      </c>
      <c r="D2259" s="5" t="s">
        <v>1056</v>
      </c>
      <c r="F2259" s="5" t="s">
        <v>8606</v>
      </c>
      <c r="H2259" s="5">
        <v>573507722312</v>
      </c>
      <c r="J2259" s="5" t="s">
        <v>10195</v>
      </c>
      <c r="K2259" s="5" t="s">
        <v>103</v>
      </c>
      <c r="L2259" s="5" t="s">
        <v>10196</v>
      </c>
      <c r="M2259" s="5">
        <v>3137795620</v>
      </c>
      <c r="N2259" s="6">
        <v>46067</v>
      </c>
      <c r="O2259" s="7">
        <v>0</v>
      </c>
      <c r="P2259" s="5">
        <v>1</v>
      </c>
      <c r="Q2259" s="5" t="s">
        <v>10001</v>
      </c>
      <c r="R2259" s="5">
        <v>200000</v>
      </c>
      <c r="S2259" s="5">
        <v>0</v>
      </c>
      <c r="T2259" s="5">
        <v>10000</v>
      </c>
      <c r="U2259" s="5">
        <v>210000</v>
      </c>
      <c r="V2259" s="5" t="s">
        <v>10197</v>
      </c>
      <c r="W2259" s="5" t="s">
        <v>36</v>
      </c>
      <c r="X2259" s="5" t="s">
        <v>7644</v>
      </c>
      <c r="Z2259" s="5" t="s">
        <v>10198</v>
      </c>
      <c r="AA2259" s="5" t="s">
        <v>44</v>
      </c>
      <c r="AB2259" s="5" t="s">
        <v>2708</v>
      </c>
      <c r="AC2259" s="8" t="str">
        <f>HYPERLINK("https://drive.google.com/file/d/11Za932GI-rMYBtmZ1cNo714WczvRTHGE/view?usp=drivesdk", "Abrir_Factura")</f>
        <v>Abrir_Factura</v>
      </c>
      <c r="AD2259" s="9">
        <v>46066.755381944444</v>
      </c>
    </row>
    <row r="2260" spans="1:30" ht="12.5">
      <c r="A2260" s="4">
        <v>46066.751880613425</v>
      </c>
      <c r="B2260" s="5">
        <v>91998</v>
      </c>
      <c r="C2260" s="5">
        <v>1047482340</v>
      </c>
      <c r="D2260" s="5" t="s">
        <v>290</v>
      </c>
      <c r="F2260" s="5" t="s">
        <v>10199</v>
      </c>
      <c r="H2260" s="5">
        <v>34633151152</v>
      </c>
      <c r="J2260" s="5" t="s">
        <v>10200</v>
      </c>
      <c r="K2260" s="5" t="s">
        <v>193</v>
      </c>
      <c r="L2260" s="5" t="s">
        <v>10201</v>
      </c>
      <c r="M2260" s="5">
        <v>633888910</v>
      </c>
      <c r="N2260" s="6">
        <v>46067</v>
      </c>
      <c r="O2260" s="7">
        <v>0.41666666666666669</v>
      </c>
      <c r="P2260" s="5">
        <v>1</v>
      </c>
      <c r="Q2260" s="5" t="s">
        <v>35</v>
      </c>
      <c r="R2260" s="5">
        <v>130000</v>
      </c>
      <c r="S2260" s="5">
        <v>0</v>
      </c>
      <c r="T2260" s="5">
        <v>15000</v>
      </c>
      <c r="U2260" s="5">
        <v>145000</v>
      </c>
      <c r="V2260" s="5" t="s">
        <v>10202</v>
      </c>
      <c r="W2260" s="5" t="s">
        <v>36</v>
      </c>
      <c r="X2260" s="5" t="s">
        <v>7644</v>
      </c>
      <c r="Z2260" s="5" t="s">
        <v>10203</v>
      </c>
      <c r="AA2260" s="5" t="s">
        <v>44</v>
      </c>
      <c r="AB2260" s="5" t="s">
        <v>10204</v>
      </c>
      <c r="AC2260" s="8" t="str">
        <f>HYPERLINK("https://drive.google.com/file/d/1AdhiPgQVTObSKwO38gxjtvLVQdStzluk/view?usp=drivesdk", "Abrir_Factura")</f>
        <v>Abrir_Factura</v>
      </c>
      <c r="AD2260" s="9">
        <v>46066.756064814814</v>
      </c>
    </row>
    <row r="2261" spans="1:30" ht="12.5">
      <c r="A2261" s="4">
        <v>46066.744386828708</v>
      </c>
      <c r="B2261" s="5">
        <v>91999</v>
      </c>
      <c r="C2261" s="5">
        <v>72204997</v>
      </c>
      <c r="D2261" s="5" t="s">
        <v>10205</v>
      </c>
      <c r="F2261" s="5" t="s">
        <v>10206</v>
      </c>
      <c r="H2261" s="5">
        <v>573007503700</v>
      </c>
      <c r="J2261" s="5" t="s">
        <v>10207</v>
      </c>
      <c r="K2261" s="5" t="s">
        <v>33</v>
      </c>
      <c r="L2261" s="5" t="s">
        <v>34</v>
      </c>
      <c r="M2261" s="5">
        <v>3007503700</v>
      </c>
      <c r="N2261" s="6">
        <v>46066</v>
      </c>
      <c r="O2261" s="7">
        <v>0</v>
      </c>
      <c r="P2261" s="5">
        <v>1</v>
      </c>
      <c r="Q2261" s="5" t="s">
        <v>10208</v>
      </c>
      <c r="R2261" s="5">
        <v>100000</v>
      </c>
      <c r="S2261" s="5">
        <v>0</v>
      </c>
      <c r="T2261" s="5">
        <v>0</v>
      </c>
      <c r="U2261" s="5">
        <v>100000</v>
      </c>
      <c r="V2261" s="5"/>
      <c r="W2261" s="5" t="s">
        <v>36</v>
      </c>
      <c r="X2261" s="5" t="s">
        <v>1705</v>
      </c>
      <c r="AA2261" s="5" t="s">
        <v>1717</v>
      </c>
      <c r="AC2261" s="8" t="str">
        <f>HYPERLINK("https://drive.google.com/file/d/1oWHz3xa3Ymzm1fzpDU4g4Sq-8md5mH5e/view?usp=drivesdk", "Abrir_Factura")</f>
        <v>Abrir_Factura</v>
      </c>
      <c r="AD2261" s="9">
        <v>46066.756145833337</v>
      </c>
    </row>
    <row r="2262" spans="1:30" ht="12.5">
      <c r="A2262" s="4">
        <v>46066.749371944446</v>
      </c>
      <c r="B2262" s="5">
        <v>92000</v>
      </c>
      <c r="C2262" s="5">
        <v>32606925</v>
      </c>
      <c r="D2262" s="5" t="s">
        <v>10209</v>
      </c>
      <c r="F2262" s="5" t="s">
        <v>10210</v>
      </c>
      <c r="H2262" s="5">
        <v>573106364062</v>
      </c>
      <c r="J2262" s="5" t="s">
        <v>10211</v>
      </c>
      <c r="K2262" s="5" t="s">
        <v>161</v>
      </c>
      <c r="L2262" s="5" t="s">
        <v>10212</v>
      </c>
      <c r="M2262" s="5">
        <v>3106865424</v>
      </c>
      <c r="N2262" s="6">
        <v>46067</v>
      </c>
      <c r="O2262" s="7">
        <v>0</v>
      </c>
      <c r="P2262" s="5">
        <v>1</v>
      </c>
      <c r="Q2262" s="5" t="s">
        <v>35</v>
      </c>
      <c r="R2262" s="5">
        <v>130000</v>
      </c>
      <c r="S2262" s="5">
        <v>0</v>
      </c>
      <c r="T2262" s="5">
        <v>8000</v>
      </c>
      <c r="U2262" s="5">
        <v>138000</v>
      </c>
      <c r="V2262" s="5" t="s">
        <v>1806</v>
      </c>
      <c r="W2262" s="5" t="s">
        <v>36</v>
      </c>
      <c r="X2262" s="5" t="s">
        <v>7644</v>
      </c>
      <c r="Z2262" s="5" t="s">
        <v>10213</v>
      </c>
      <c r="AA2262" s="5" t="s">
        <v>44</v>
      </c>
      <c r="AB2262" s="5" t="s">
        <v>2708</v>
      </c>
      <c r="AC2262" s="8" t="str">
        <f>HYPERLINK("https://drive.google.com/file/d/1BClLFt1dSa9xOnvB1O6f2U5XpZAI4LPj/view?usp=drivesdk", "Abrir_Factura")</f>
        <v>Abrir_Factura</v>
      </c>
      <c r="AD2262" s="9">
        <v>46066.762303240743</v>
      </c>
    </row>
    <row r="2263" spans="1:30" ht="12.5">
      <c r="A2263" s="4">
        <v>46066.732440995373</v>
      </c>
      <c r="B2263" s="5">
        <v>92001</v>
      </c>
      <c r="C2263" s="5">
        <v>73081618</v>
      </c>
      <c r="D2263" s="5" t="s">
        <v>6834</v>
      </c>
      <c r="F2263" s="5" t="s">
        <v>10214</v>
      </c>
      <c r="H2263" s="5">
        <v>573156127941</v>
      </c>
      <c r="J2263" s="5" t="s">
        <v>10215</v>
      </c>
      <c r="K2263" s="5" t="s">
        <v>185</v>
      </c>
      <c r="L2263" s="5" t="s">
        <v>10216</v>
      </c>
      <c r="M2263" s="5">
        <v>3106309359</v>
      </c>
      <c r="N2263" s="6">
        <v>46067</v>
      </c>
      <c r="O2263" s="7">
        <v>0</v>
      </c>
      <c r="P2263" s="5">
        <v>1</v>
      </c>
      <c r="Q2263" s="5" t="s">
        <v>559</v>
      </c>
      <c r="R2263" s="5">
        <v>99000</v>
      </c>
      <c r="S2263" s="5">
        <v>0</v>
      </c>
      <c r="T2263" s="5">
        <v>8000</v>
      </c>
      <c r="U2263" s="5">
        <v>107000</v>
      </c>
      <c r="V2263" s="5" t="s">
        <v>10217</v>
      </c>
      <c r="W2263" s="5" t="s">
        <v>36</v>
      </c>
      <c r="X2263" s="5" t="s">
        <v>7644</v>
      </c>
      <c r="Z2263" s="5" t="s">
        <v>10218</v>
      </c>
      <c r="AA2263" s="5" t="s">
        <v>44</v>
      </c>
      <c r="AB2263" s="5" t="s">
        <v>2708</v>
      </c>
      <c r="AC2263" s="8" t="str">
        <f>HYPERLINK("https://drive.google.com/file/d/1-nsml2-M5gk4lXHjxfhE_dVdSUVlz-0R/view?usp=drivesdk", "Abrir_Factura")</f>
        <v>Abrir_Factura</v>
      </c>
      <c r="AD2263" s="9">
        <v>46066.766643518517</v>
      </c>
    </row>
    <row r="2264" spans="1:30" ht="12.5">
      <c r="A2264" s="4">
        <v>46066.769391585651</v>
      </c>
      <c r="B2264" s="5">
        <v>92002</v>
      </c>
      <c r="C2264" s="5">
        <v>52954663</v>
      </c>
      <c r="D2264" s="5" t="s">
        <v>7453</v>
      </c>
      <c r="F2264" s="5" t="s">
        <v>10219</v>
      </c>
      <c r="H2264" s="5">
        <v>570000</v>
      </c>
      <c r="J2264" s="5" t="s">
        <v>10220</v>
      </c>
      <c r="K2264" s="5" t="s">
        <v>33</v>
      </c>
      <c r="L2264" s="5" t="s">
        <v>34</v>
      </c>
      <c r="M2264" s="5"/>
      <c r="N2264" s="6">
        <v>46066</v>
      </c>
      <c r="O2264" s="7">
        <v>0</v>
      </c>
      <c r="P2264" s="5">
        <v>1</v>
      </c>
      <c r="Q2264" s="5" t="s">
        <v>42</v>
      </c>
      <c r="R2264" s="5">
        <v>50000</v>
      </c>
      <c r="S2264" s="5">
        <v>0</v>
      </c>
      <c r="T2264" s="5">
        <v>0</v>
      </c>
      <c r="U2264" s="5">
        <v>50000</v>
      </c>
      <c r="V2264" s="5"/>
      <c r="W2264" s="5" t="s">
        <v>36</v>
      </c>
      <c r="X2264" s="5" t="s">
        <v>196</v>
      </c>
      <c r="AA2264" s="5" t="s">
        <v>1717</v>
      </c>
      <c r="AC2264" s="8" t="str">
        <f>HYPERLINK("https://drive.google.com/file/d/1rOYtzYlygATIP5rZVkymo9prv5nFzNwi/view?usp=drivesdk", "Abrir_Factura")</f>
        <v>Abrir_Factura</v>
      </c>
      <c r="AD2264" s="9">
        <v>46066.769814814812</v>
      </c>
    </row>
    <row r="2265" spans="1:30" ht="12.5">
      <c r="A2265" s="4">
        <v>46066.773325243055</v>
      </c>
      <c r="B2265" s="5">
        <v>92003</v>
      </c>
      <c r="C2265" s="5">
        <v>110145576</v>
      </c>
      <c r="D2265" s="5" t="s">
        <v>8318</v>
      </c>
      <c r="F2265" s="5" t="s">
        <v>1566</v>
      </c>
      <c r="H2265" s="5">
        <v>573153143394</v>
      </c>
      <c r="J2265" s="5" t="s">
        <v>10221</v>
      </c>
      <c r="K2265" s="5" t="s">
        <v>33</v>
      </c>
      <c r="L2265" s="5" t="s">
        <v>34</v>
      </c>
      <c r="M2265" s="5">
        <v>3153143394</v>
      </c>
      <c r="N2265" s="6">
        <v>46066</v>
      </c>
      <c r="O2265" s="7">
        <v>0</v>
      </c>
      <c r="P2265" s="5">
        <v>1</v>
      </c>
      <c r="Q2265" s="5" t="s">
        <v>6874</v>
      </c>
      <c r="R2265" s="5">
        <v>120000</v>
      </c>
      <c r="S2265" s="5">
        <v>0</v>
      </c>
      <c r="T2265" s="5">
        <v>0</v>
      </c>
      <c r="U2265" s="5">
        <v>120000</v>
      </c>
      <c r="V2265" s="5"/>
      <c r="W2265" s="5" t="s">
        <v>36</v>
      </c>
      <c r="X2265" s="5" t="s">
        <v>1705</v>
      </c>
      <c r="AA2265" s="5" t="s">
        <v>1717</v>
      </c>
      <c r="AC2265" s="8" t="str">
        <f>HYPERLINK("https://drive.google.com/file/d/1WLOiozBEnXfUrveYtD7QwTbtCX2l9kCy/view?usp=drivesdk", "Abrir_Factura")</f>
        <v>Abrir_Factura</v>
      </c>
      <c r="AD2265" s="9">
        <v>46066.773854166669</v>
      </c>
    </row>
    <row r="2266" spans="1:30" ht="12.5">
      <c r="A2266" s="4">
        <v>46066.802791238428</v>
      </c>
      <c r="B2266" s="5">
        <v>92004</v>
      </c>
      <c r="C2266" s="5">
        <v>1006823746</v>
      </c>
      <c r="D2266" s="5" t="s">
        <v>10222</v>
      </c>
      <c r="F2266" s="5" t="s">
        <v>6017</v>
      </c>
      <c r="H2266" s="5">
        <v>570000</v>
      </c>
      <c r="J2266" s="5" t="s">
        <v>10223</v>
      </c>
      <c r="K2266" s="5" t="s">
        <v>33</v>
      </c>
      <c r="L2266" s="5" t="s">
        <v>34</v>
      </c>
      <c r="M2266" s="5">
        <v>0</v>
      </c>
      <c r="N2266" s="6">
        <v>46067</v>
      </c>
      <c r="O2266" s="7">
        <v>0.41666666666666669</v>
      </c>
      <c r="P2266" s="5">
        <v>1</v>
      </c>
      <c r="Q2266" s="5" t="s">
        <v>6874</v>
      </c>
      <c r="R2266" s="5">
        <v>120000</v>
      </c>
      <c r="S2266" s="5">
        <v>0</v>
      </c>
      <c r="T2266" s="5">
        <v>0</v>
      </c>
      <c r="U2266" s="5">
        <v>120000</v>
      </c>
      <c r="V2266" s="5"/>
      <c r="W2266" s="5" t="s">
        <v>36</v>
      </c>
      <c r="X2266" s="5" t="s">
        <v>43</v>
      </c>
      <c r="AA2266" s="5" t="s">
        <v>37</v>
      </c>
      <c r="AB2266" s="5" t="s">
        <v>10224</v>
      </c>
      <c r="AC2266" s="8" t="str">
        <f>HYPERLINK("https://drive.google.com/file/d/1t_Xf1ah1JWa-XBUumuywTgln1Q48MWF3/view?usp=drivesdk", "Abrir_Factura")</f>
        <v>Abrir_Factura</v>
      </c>
      <c r="AD2266" s="9">
        <v>46066.804050925923</v>
      </c>
    </row>
    <row r="2267" spans="1:30" ht="12.5">
      <c r="A2267" s="4">
        <v>46066.803540208333</v>
      </c>
      <c r="B2267" s="5">
        <v>92005</v>
      </c>
      <c r="C2267" s="5">
        <v>576520552</v>
      </c>
      <c r="D2267" s="5" t="s">
        <v>10225</v>
      </c>
      <c r="F2267" s="5" t="s">
        <v>9485</v>
      </c>
      <c r="H2267" s="5">
        <v>574086795988000</v>
      </c>
      <c r="J2267" s="5" t="s">
        <v>9486</v>
      </c>
      <c r="K2267" s="5" t="s">
        <v>33</v>
      </c>
      <c r="L2267" s="5" t="s">
        <v>34</v>
      </c>
      <c r="M2267" s="5">
        <v>4086795988000</v>
      </c>
      <c r="N2267" s="6">
        <v>46067</v>
      </c>
      <c r="O2267" s="7">
        <v>0.375</v>
      </c>
      <c r="P2267" s="5">
        <v>1</v>
      </c>
      <c r="Q2267" s="5" t="s">
        <v>6874</v>
      </c>
      <c r="R2267" s="5">
        <v>120000</v>
      </c>
      <c r="S2267" s="5">
        <v>0</v>
      </c>
      <c r="T2267" s="5">
        <v>0</v>
      </c>
      <c r="U2267" s="5">
        <v>120000</v>
      </c>
      <c r="V2267" s="5"/>
      <c r="W2267" s="5" t="s">
        <v>36</v>
      </c>
      <c r="X2267" s="5" t="s">
        <v>37</v>
      </c>
      <c r="AA2267" s="5" t="s">
        <v>37</v>
      </c>
      <c r="AB2267" s="5" t="s">
        <v>10226</v>
      </c>
      <c r="AC2267" s="8" t="str">
        <f>HYPERLINK("https://drive.google.com/file/d/1h1N-kXmenXtxFEIWwgCiJ8vRKOy3Gg5z/view?usp=drivesdk", "Abrir_Factura")</f>
        <v>Abrir_Factura</v>
      </c>
      <c r="AD2267" s="9">
        <v>46066.804444444446</v>
      </c>
    </row>
    <row r="2268" spans="1:30" ht="12.5">
      <c r="A2268" s="4">
        <v>46066.667393263888</v>
      </c>
      <c r="B2268" s="5">
        <v>92006</v>
      </c>
      <c r="C2268" s="5">
        <v>1234097480</v>
      </c>
      <c r="D2268" s="5" t="s">
        <v>10227</v>
      </c>
      <c r="F2268" s="5" t="s">
        <v>3057</v>
      </c>
      <c r="H2268" s="5">
        <v>14153746935</v>
      </c>
      <c r="J2268" s="5" t="s">
        <v>10228</v>
      </c>
      <c r="K2268" s="5" t="s">
        <v>10229</v>
      </c>
      <c r="L2268" s="5" t="s">
        <v>10230</v>
      </c>
      <c r="M2268" s="5" t="s">
        <v>25421</v>
      </c>
      <c r="N2268" s="6">
        <v>46067</v>
      </c>
      <c r="O2268" s="7">
        <v>0.41666666666666669</v>
      </c>
      <c r="P2268" s="5">
        <v>1</v>
      </c>
      <c r="Q2268" s="5" t="s">
        <v>10231</v>
      </c>
      <c r="R2268" s="5">
        <v>440000</v>
      </c>
      <c r="S2268" s="5">
        <v>0</v>
      </c>
      <c r="T2268" s="5">
        <v>20000</v>
      </c>
      <c r="U2268" s="5">
        <v>460000</v>
      </c>
      <c r="V2268" s="5" t="s">
        <v>10232</v>
      </c>
      <c r="W2268" s="5" t="s">
        <v>36</v>
      </c>
      <c r="X2268" s="5" t="s">
        <v>1705</v>
      </c>
      <c r="Z2268" s="5" t="s">
        <v>10233</v>
      </c>
      <c r="AA2268" s="5" t="s">
        <v>44</v>
      </c>
      <c r="AC2268" s="8" t="str">
        <f>HYPERLINK("https://drive.google.com/file/d/1CS8yn3JqcX5XQV_AuMjmhmSG9fjD0PwG/view?usp=drivesdk", "Abrir_Factura")</f>
        <v>Abrir_Factura</v>
      </c>
      <c r="AD2268" s="9">
        <v>46066.811631944445</v>
      </c>
    </row>
    <row r="2269" spans="1:30" ht="12.5">
      <c r="A2269" s="4">
        <v>46066.817501840276</v>
      </c>
      <c r="B2269" s="5">
        <v>92007</v>
      </c>
      <c r="C2269" s="5">
        <v>1042090607</v>
      </c>
      <c r="D2269" s="5" t="s">
        <v>10234</v>
      </c>
      <c r="F2269" s="5" t="s">
        <v>10235</v>
      </c>
      <c r="H2269" s="5">
        <v>57000</v>
      </c>
      <c r="J2269" s="5" t="s">
        <v>10236</v>
      </c>
      <c r="K2269" s="5" t="s">
        <v>892</v>
      </c>
      <c r="L2269" s="5" t="s">
        <v>10237</v>
      </c>
      <c r="M2269" s="5"/>
      <c r="N2269" s="6">
        <v>46067</v>
      </c>
      <c r="O2269" s="7">
        <v>0</v>
      </c>
      <c r="P2269" s="5">
        <v>1</v>
      </c>
      <c r="Q2269" s="5" t="s">
        <v>9336</v>
      </c>
      <c r="R2269" s="5">
        <v>780000</v>
      </c>
      <c r="S2269" s="5">
        <v>0</v>
      </c>
      <c r="T2269" s="5">
        <v>10000</v>
      </c>
      <c r="U2269" s="5">
        <v>790000</v>
      </c>
      <c r="V2269" s="5" t="s">
        <v>10238</v>
      </c>
      <c r="W2269" s="5" t="s">
        <v>36</v>
      </c>
      <c r="X2269" s="5" t="s">
        <v>7644</v>
      </c>
      <c r="AA2269" s="5" t="s">
        <v>69</v>
      </c>
      <c r="AC2269" s="8" t="str">
        <f>HYPERLINK("https://drive.google.com/file/d/1kkY2OJxW1jOmDTKGMZ3xCqBlR3BeSKfV/view?usp=drivesdk", "Abrir_Factura")</f>
        <v>Abrir_Factura</v>
      </c>
      <c r="AD2269" s="9">
        <v>46067.589062500003</v>
      </c>
    </row>
    <row r="2270" spans="1:30" ht="12.5">
      <c r="A2270" s="4">
        <v>46066.693784722222</v>
      </c>
      <c r="B2270" s="5">
        <v>92008</v>
      </c>
      <c r="C2270" s="5">
        <v>1140837600</v>
      </c>
      <c r="D2270" s="5" t="s">
        <v>2500</v>
      </c>
      <c r="F2270" s="5" t="s">
        <v>2501</v>
      </c>
      <c r="H2270" s="5">
        <v>573005778957</v>
      </c>
      <c r="J2270" s="5" t="s">
        <v>6959</v>
      </c>
      <c r="K2270" s="5" t="s">
        <v>103</v>
      </c>
      <c r="L2270" s="5" t="s">
        <v>10239</v>
      </c>
      <c r="M2270" s="5">
        <v>3126144514</v>
      </c>
      <c r="N2270" s="6">
        <v>46067</v>
      </c>
      <c r="O2270" s="7">
        <v>0</v>
      </c>
      <c r="P2270" s="5">
        <v>1</v>
      </c>
      <c r="Q2270" s="5" t="s">
        <v>10240</v>
      </c>
      <c r="R2270" s="5">
        <v>170000</v>
      </c>
      <c r="S2270" s="5">
        <v>0</v>
      </c>
      <c r="T2270" s="5">
        <v>10000</v>
      </c>
      <c r="U2270" s="5">
        <v>180000</v>
      </c>
      <c r="V2270" s="5" t="s">
        <v>10241</v>
      </c>
      <c r="W2270" s="5" t="s">
        <v>36</v>
      </c>
      <c r="X2270" s="5" t="s">
        <v>67</v>
      </c>
      <c r="AA2270" s="5" t="s">
        <v>44</v>
      </c>
      <c r="AB2270" s="5" t="s">
        <v>2708</v>
      </c>
      <c r="AC2270" s="8" t="str">
        <f>HYPERLINK("https://drive.google.com/file/d/1Ax_mkIcMlT5c0neNwoZhhD-Wlkv1Q_jv/view?usp=drivesdk", "Abrir_Factura")</f>
        <v>Abrir_Factura</v>
      </c>
      <c r="AD2270" s="9">
        <v>46067.614178240743</v>
      </c>
    </row>
    <row r="2271" spans="1:30" ht="12.5">
      <c r="A2271" s="4">
        <v>46066.76226393519</v>
      </c>
      <c r="B2271" s="5">
        <v>92009</v>
      </c>
      <c r="C2271" s="5">
        <v>1038096097</v>
      </c>
      <c r="D2271" s="5" t="s">
        <v>3105</v>
      </c>
      <c r="F2271" s="5" t="s">
        <v>3702</v>
      </c>
      <c r="H2271" s="5">
        <v>573014018301</v>
      </c>
      <c r="J2271" s="5" t="s">
        <v>10242</v>
      </c>
      <c r="K2271" s="5" t="s">
        <v>405</v>
      </c>
      <c r="L2271" s="5" t="s">
        <v>10243</v>
      </c>
      <c r="M2271" s="5" t="s">
        <v>10244</v>
      </c>
      <c r="N2271" s="6">
        <v>46067</v>
      </c>
      <c r="O2271" s="7">
        <v>0</v>
      </c>
      <c r="P2271" s="5">
        <v>1</v>
      </c>
      <c r="Q2271" s="5" t="s">
        <v>9576</v>
      </c>
      <c r="R2271" s="5">
        <v>90000</v>
      </c>
      <c r="S2271" s="5">
        <v>0</v>
      </c>
      <c r="T2271" s="5">
        <v>30000</v>
      </c>
      <c r="U2271" s="5">
        <v>120000</v>
      </c>
      <c r="V2271" s="5"/>
      <c r="W2271" s="5" t="s">
        <v>36</v>
      </c>
      <c r="X2271" s="5" t="s">
        <v>7644</v>
      </c>
      <c r="AA2271" s="5" t="s">
        <v>44</v>
      </c>
      <c r="AB2271" s="5" t="s">
        <v>10245</v>
      </c>
      <c r="AC2271" s="8" t="str">
        <f>HYPERLINK("https://drive.google.com/file/d/1aVCfybKzg8Iu_DKsEVmzwLT8BK5DUtpz/view?usp=drivesdk", "Abrir_Factura")</f>
        <v>Abrir_Factura</v>
      </c>
      <c r="AD2271" s="9">
        <v>46067.378255798612</v>
      </c>
    </row>
    <row r="2272" spans="1:30" ht="12.5">
      <c r="A2272" s="4">
        <v>46067.385608796292</v>
      </c>
      <c r="B2272" s="5">
        <v>92010</v>
      </c>
      <c r="C2272" s="5">
        <v>1043437441</v>
      </c>
      <c r="D2272" s="5" t="s">
        <v>10246</v>
      </c>
      <c r="F2272" s="5" t="s">
        <v>10247</v>
      </c>
      <c r="H2272" s="5">
        <v>573044616834</v>
      </c>
      <c r="J2272" s="5" t="s">
        <v>10248</v>
      </c>
      <c r="K2272" s="5" t="s">
        <v>33</v>
      </c>
      <c r="L2272" s="5" t="s">
        <v>34</v>
      </c>
      <c r="M2272" s="5">
        <v>3044616834</v>
      </c>
      <c r="N2272" s="6">
        <v>46067</v>
      </c>
      <c r="O2272" s="7">
        <v>0.41666666666666669</v>
      </c>
      <c r="P2272" s="5">
        <v>1</v>
      </c>
      <c r="Q2272" s="5" t="s">
        <v>10249</v>
      </c>
      <c r="R2272" s="5">
        <v>280000</v>
      </c>
      <c r="S2272" s="5">
        <v>0</v>
      </c>
      <c r="T2272" s="5">
        <v>0</v>
      </c>
      <c r="U2272" s="5">
        <v>280000</v>
      </c>
      <c r="V2272" s="5"/>
      <c r="W2272" s="5" t="s">
        <v>36</v>
      </c>
      <c r="X2272" s="5" t="s">
        <v>1705</v>
      </c>
      <c r="AA2272" s="5" t="s">
        <v>1717</v>
      </c>
      <c r="AC2272" s="8" t="str">
        <f>HYPERLINK("https://drive.google.com/file/d/1OANUVZEvfsr5fvn0OfE2msk_nyl2YFay/view?usp=drivesdk", "Abrir_Factura")</f>
        <v>Abrir_Factura</v>
      </c>
      <c r="AD2272" s="9">
        <v>46067.386759259258</v>
      </c>
    </row>
    <row r="2273" spans="1:30" ht="12.5">
      <c r="A2273" s="4">
        <v>46066.816386979168</v>
      </c>
      <c r="B2273" s="5">
        <v>92011</v>
      </c>
      <c r="C2273" s="5">
        <v>1045714527</v>
      </c>
      <c r="D2273" s="5" t="s">
        <v>10250</v>
      </c>
      <c r="F2273" s="5" t="s">
        <v>10251</v>
      </c>
      <c r="H2273" s="5">
        <v>573012033643</v>
      </c>
      <c r="J2273" s="5" t="s">
        <v>10252</v>
      </c>
      <c r="K2273" s="5" t="s">
        <v>63</v>
      </c>
      <c r="L2273" s="5" t="s">
        <v>10253</v>
      </c>
      <c r="M2273" s="5">
        <v>3187157298</v>
      </c>
      <c r="N2273" s="6">
        <v>46067</v>
      </c>
      <c r="O2273" s="7">
        <v>0</v>
      </c>
      <c r="P2273" s="5">
        <v>1</v>
      </c>
      <c r="Q2273" s="5" t="s">
        <v>10254</v>
      </c>
      <c r="R2273" s="5">
        <v>350000</v>
      </c>
      <c r="S2273" s="5">
        <v>0</v>
      </c>
      <c r="T2273" s="5">
        <v>17000</v>
      </c>
      <c r="U2273" s="5">
        <v>367000</v>
      </c>
      <c r="V2273" s="5" t="s">
        <v>10255</v>
      </c>
      <c r="W2273" s="5" t="s">
        <v>36</v>
      </c>
      <c r="X2273" s="5" t="s">
        <v>7644</v>
      </c>
      <c r="Z2273" s="5" t="s">
        <v>10256</v>
      </c>
      <c r="AA2273" s="5" t="s">
        <v>44</v>
      </c>
      <c r="AB2273" s="5" t="s">
        <v>2708</v>
      </c>
      <c r="AC2273" s="8" t="str">
        <f>HYPERLINK("https://drive.google.com/file/d/13GZKAVy2o2DI2IOsXqQ9ln0IqknTXqbA/view?usp=drivesdk", "Abrir_Factura")</f>
        <v>Abrir_Factura</v>
      </c>
      <c r="AD2273" s="9">
        <v>46067.620486111111</v>
      </c>
    </row>
    <row r="2274" spans="1:30" ht="12.5">
      <c r="A2274" s="4">
        <v>46067.390220717592</v>
      </c>
      <c r="B2274" s="5">
        <v>92012</v>
      </c>
      <c r="C2274" s="5">
        <v>32798307</v>
      </c>
      <c r="D2274" s="5" t="s">
        <v>10257</v>
      </c>
      <c r="F2274" s="5" t="s">
        <v>10258</v>
      </c>
      <c r="H2274" s="5">
        <v>573205413971</v>
      </c>
      <c r="J2274" s="5" t="s">
        <v>10259</v>
      </c>
      <c r="K2274" s="5" t="s">
        <v>33</v>
      </c>
      <c r="L2274" s="5" t="s">
        <v>34</v>
      </c>
      <c r="M2274" s="5">
        <v>3205413971</v>
      </c>
      <c r="N2274" s="6">
        <v>46067</v>
      </c>
      <c r="O2274" s="7">
        <v>0</v>
      </c>
      <c r="P2274" s="5">
        <v>1</v>
      </c>
      <c r="Q2274" s="5" t="s">
        <v>10260</v>
      </c>
      <c r="R2274" s="5">
        <v>100000</v>
      </c>
      <c r="S2274" s="5">
        <v>0</v>
      </c>
      <c r="T2274" s="5">
        <v>0</v>
      </c>
      <c r="U2274" s="5">
        <v>100000</v>
      </c>
      <c r="V2274" s="5"/>
      <c r="W2274" s="5" t="s">
        <v>36</v>
      </c>
      <c r="X2274" s="5" t="s">
        <v>1705</v>
      </c>
      <c r="AA2274" s="5" t="s">
        <v>1717</v>
      </c>
      <c r="AB2274" s="5" t="s">
        <v>10261</v>
      </c>
      <c r="AC2274" s="8" t="str">
        <f>HYPERLINK("https://drive.google.com/file/d/1FksAOIvnBooHVJ8mZcLg35kCSAndIv2Z/view?usp=drivesdk", "Abrir_Factura")</f>
        <v>Abrir_Factura</v>
      </c>
      <c r="AD2274" s="9">
        <v>46067.391261574077</v>
      </c>
    </row>
    <row r="2275" spans="1:30" ht="12.5">
      <c r="A2275" s="4">
        <v>46067.391822986116</v>
      </c>
      <c r="B2275" s="5">
        <v>92013</v>
      </c>
      <c r="C2275" s="5">
        <v>1234095334</v>
      </c>
      <c r="D2275" s="5" t="s">
        <v>6639</v>
      </c>
      <c r="F2275" s="5" t="s">
        <v>7174</v>
      </c>
      <c r="H2275" s="5">
        <v>57795430</v>
      </c>
      <c r="J2275" s="5" t="s">
        <v>7175</v>
      </c>
      <c r="K2275" s="5" t="s">
        <v>33</v>
      </c>
      <c r="L2275" s="5" t="s">
        <v>34</v>
      </c>
      <c r="M2275" s="5">
        <v>795430</v>
      </c>
      <c r="N2275" s="6">
        <v>46067</v>
      </c>
      <c r="O2275" s="7">
        <v>0</v>
      </c>
      <c r="P2275" s="5">
        <v>1</v>
      </c>
      <c r="Q2275" s="5" t="s">
        <v>9280</v>
      </c>
      <c r="R2275" s="5">
        <v>95000</v>
      </c>
      <c r="S2275" s="5">
        <v>0</v>
      </c>
      <c r="T2275" s="5">
        <v>0</v>
      </c>
      <c r="U2275" s="5">
        <v>95000</v>
      </c>
      <c r="V2275" s="5"/>
      <c r="W2275" s="5" t="s">
        <v>36</v>
      </c>
      <c r="X2275" s="5" t="s">
        <v>1705</v>
      </c>
      <c r="AA2275" s="5" t="s">
        <v>1717</v>
      </c>
      <c r="AC2275" s="8" t="str">
        <f>HYPERLINK("https://drive.google.com/file/d/1v27Au0VG3gOlhKErOsyXahCQ93goj0uq/view?usp=drivesdk", "Abrir_Factura")</f>
        <v>Abrir_Factura</v>
      </c>
      <c r="AD2275" s="9">
        <v>46067.392604166664</v>
      </c>
    </row>
    <row r="2276" spans="1:30" ht="12.5">
      <c r="A2276" s="4">
        <v>46067.39742523148</v>
      </c>
      <c r="B2276" s="5">
        <v>92014</v>
      </c>
      <c r="C2276" s="5">
        <v>72008289</v>
      </c>
      <c r="D2276" s="5" t="s">
        <v>6639</v>
      </c>
      <c r="F2276" s="5" t="s">
        <v>10262</v>
      </c>
      <c r="H2276" s="5">
        <v>573164375999</v>
      </c>
      <c r="J2276" s="5" t="s">
        <v>10263</v>
      </c>
      <c r="K2276" s="5" t="s">
        <v>33</v>
      </c>
      <c r="L2276" s="5" t="s">
        <v>34</v>
      </c>
      <c r="M2276" s="5">
        <v>3164375999</v>
      </c>
      <c r="N2276" s="6">
        <v>46067</v>
      </c>
      <c r="O2276" s="7">
        <v>0</v>
      </c>
      <c r="P2276" s="5">
        <v>1</v>
      </c>
      <c r="Q2276" s="5" t="s">
        <v>10264</v>
      </c>
      <c r="R2276" s="5">
        <v>218000</v>
      </c>
      <c r="S2276" s="5">
        <v>0</v>
      </c>
      <c r="T2276" s="5">
        <v>0</v>
      </c>
      <c r="U2276" s="5">
        <v>218000</v>
      </c>
      <c r="V2276" s="5"/>
      <c r="W2276" s="5" t="s">
        <v>36</v>
      </c>
      <c r="X2276" s="5" t="s">
        <v>37</v>
      </c>
      <c r="AA2276" s="5" t="s">
        <v>37</v>
      </c>
      <c r="AB2276" s="5" t="s">
        <v>10265</v>
      </c>
      <c r="AC2276" s="8" t="str">
        <f>HYPERLINK("https://drive.google.com/file/d/1vONbZl8VyMEBcDPHn6VIbObX8vi4ATRP/view?usp=drivesdk", "Abrir_Factura")</f>
        <v>Abrir_Factura</v>
      </c>
      <c r="AD2276" s="9">
        <v>46067.398333333331</v>
      </c>
    </row>
    <row r="2277" spans="1:30" ht="12.5">
      <c r="A2277" s="4">
        <v>46067.404009259262</v>
      </c>
      <c r="B2277" s="5">
        <v>92015</v>
      </c>
      <c r="C2277" s="5">
        <v>7879302262</v>
      </c>
      <c r="D2277" s="5" t="s">
        <v>10266</v>
      </c>
      <c r="F2277" s="5" t="s">
        <v>10267</v>
      </c>
      <c r="H2277" s="5">
        <v>5700000</v>
      </c>
      <c r="J2277" s="5" t="s">
        <v>10268</v>
      </c>
      <c r="K2277" s="5" t="s">
        <v>33</v>
      </c>
      <c r="L2277" s="5" t="s">
        <v>34</v>
      </c>
      <c r="M2277" s="5"/>
      <c r="N2277" s="6">
        <v>46067</v>
      </c>
      <c r="O2277" s="7">
        <v>0</v>
      </c>
      <c r="P2277" s="5">
        <v>1</v>
      </c>
      <c r="Q2277" s="5" t="s">
        <v>10269</v>
      </c>
      <c r="R2277" s="5">
        <v>185000</v>
      </c>
      <c r="S2277" s="5">
        <v>0</v>
      </c>
      <c r="T2277" s="5">
        <v>0</v>
      </c>
      <c r="U2277" s="5">
        <v>185000</v>
      </c>
      <c r="V2277" s="5"/>
      <c r="W2277" s="5" t="s">
        <v>36</v>
      </c>
      <c r="X2277" s="5" t="s">
        <v>37</v>
      </c>
      <c r="AA2277" s="5" t="s">
        <v>37</v>
      </c>
      <c r="AB2277" s="5" t="s">
        <v>10270</v>
      </c>
      <c r="AC2277" s="8" t="str">
        <f>HYPERLINK("https://drive.google.com/file/d/1tEjjtshrYENDAScYCeCRym0cJEp5BfNh/view?usp=drivesdk", "Abrir_Factura")</f>
        <v>Abrir_Factura</v>
      </c>
      <c r="AD2277" s="9">
        <v>46067.405173611114</v>
      </c>
    </row>
    <row r="2278" spans="1:30" ht="12.5">
      <c r="A2278" s="4">
        <v>46067.406582870375</v>
      </c>
      <c r="B2278" s="5">
        <v>92016</v>
      </c>
      <c r="C2278" s="5">
        <v>1140885824</v>
      </c>
      <c r="D2278" s="5" t="s">
        <v>10271</v>
      </c>
      <c r="F2278" s="5" t="s">
        <v>10272</v>
      </c>
      <c r="H2278" s="5">
        <v>573107217947</v>
      </c>
      <c r="J2278" s="5" t="s">
        <v>10273</v>
      </c>
      <c r="K2278" s="5" t="s">
        <v>33</v>
      </c>
      <c r="L2278" s="5" t="s">
        <v>34</v>
      </c>
      <c r="M2278" s="5" t="s">
        <v>10274</v>
      </c>
      <c r="N2278" s="6">
        <v>46067</v>
      </c>
      <c r="O2278" s="7">
        <v>0.45833333333333331</v>
      </c>
      <c r="P2278" s="5">
        <v>1</v>
      </c>
      <c r="Q2278" s="5" t="s">
        <v>309</v>
      </c>
      <c r="R2278" s="5">
        <v>130000</v>
      </c>
      <c r="S2278" s="5">
        <v>0</v>
      </c>
      <c r="T2278" s="5">
        <v>0</v>
      </c>
      <c r="U2278" s="5">
        <v>130000</v>
      </c>
      <c r="V2278" s="5"/>
      <c r="W2278" s="5" t="s">
        <v>36</v>
      </c>
      <c r="X2278" s="5" t="s">
        <v>1705</v>
      </c>
      <c r="AA2278" s="5" t="s">
        <v>44</v>
      </c>
      <c r="AB2278" s="5" t="s">
        <v>10275</v>
      </c>
      <c r="AC2278" s="8" t="str">
        <f>HYPERLINK("https://drive.google.com/file/d/1vziTgv0TZY9eTaSgfolYYDfDuCMgWQ-E/view?usp=drivesdk", "Abrir_Factura")</f>
        <v>Abrir_Factura</v>
      </c>
      <c r="AD2278" s="9">
        <v>46067.63689814815</v>
      </c>
    </row>
    <row r="2279" spans="1:30" ht="12.5">
      <c r="A2279" s="4">
        <v>46067.406300659721</v>
      </c>
      <c r="B2279" s="5">
        <v>92017</v>
      </c>
      <c r="C2279" s="5">
        <v>1083561180</v>
      </c>
      <c r="D2279" s="5" t="s">
        <v>10276</v>
      </c>
      <c r="F2279" s="5" t="s">
        <v>10277</v>
      </c>
      <c r="H2279" s="5">
        <v>573006268023</v>
      </c>
      <c r="J2279" s="5" t="s">
        <v>10278</v>
      </c>
      <c r="K2279" s="5" t="s">
        <v>328</v>
      </c>
      <c r="L2279" s="5" t="s">
        <v>10279</v>
      </c>
      <c r="M2279" s="5">
        <v>3014109562</v>
      </c>
      <c r="N2279" s="6">
        <v>46067</v>
      </c>
      <c r="O2279" s="7">
        <v>0</v>
      </c>
      <c r="P2279" s="5">
        <v>1</v>
      </c>
      <c r="Q2279" s="5" t="s">
        <v>35</v>
      </c>
      <c r="R2279" s="5">
        <v>130000</v>
      </c>
      <c r="S2279" s="5">
        <v>0</v>
      </c>
      <c r="T2279" s="5">
        <v>12000</v>
      </c>
      <c r="U2279" s="5">
        <v>142000</v>
      </c>
      <c r="V2279" s="5" t="s">
        <v>10280</v>
      </c>
      <c r="W2279" s="5" t="s">
        <v>36</v>
      </c>
      <c r="X2279" s="5" t="s">
        <v>9695</v>
      </c>
      <c r="AA2279" s="5" t="s">
        <v>44</v>
      </c>
      <c r="AB2279" s="5" t="s">
        <v>2708</v>
      </c>
      <c r="AC2279" s="8" t="str">
        <f>HYPERLINK("https://drive.google.com/file/d/179MHnlTr7bIX7W6Ul3jLT9RFd3P2UsyY/view?usp=drivesdk", "Abrir_Factura")</f>
        <v>Abrir_Factura</v>
      </c>
      <c r="AD2279" s="9">
        <v>46067.408275462964</v>
      </c>
    </row>
    <row r="2280" spans="1:30" ht="12.5">
      <c r="A2280" s="4">
        <v>46067.413787523154</v>
      </c>
      <c r="B2280" s="5">
        <v>92018</v>
      </c>
      <c r="C2280" s="5">
        <v>237856054000</v>
      </c>
      <c r="D2280" s="5" t="s">
        <v>10281</v>
      </c>
      <c r="F2280" s="5" t="s">
        <v>10282</v>
      </c>
      <c r="H2280" s="5">
        <v>570000</v>
      </c>
      <c r="J2280" s="5" t="s">
        <v>10283</v>
      </c>
      <c r="K2280" s="5" t="s">
        <v>33</v>
      </c>
      <c r="L2280" s="5" t="s">
        <v>34</v>
      </c>
      <c r="M2280" s="5">
        <v>0</v>
      </c>
      <c r="N2280" s="6">
        <v>46067</v>
      </c>
      <c r="O2280" s="7">
        <v>0</v>
      </c>
      <c r="P2280" s="5">
        <v>1</v>
      </c>
      <c r="Q2280" s="5" t="s">
        <v>9842</v>
      </c>
      <c r="R2280" s="5">
        <v>200000</v>
      </c>
      <c r="S2280" s="5">
        <v>0</v>
      </c>
      <c r="T2280" s="5">
        <v>0</v>
      </c>
      <c r="U2280" s="5">
        <v>200000</v>
      </c>
      <c r="V2280" s="5"/>
      <c r="W2280" s="5" t="s">
        <v>36</v>
      </c>
      <c r="X2280" s="5" t="s">
        <v>1705</v>
      </c>
      <c r="AA2280" s="5" t="s">
        <v>1717</v>
      </c>
      <c r="AC2280" s="8" t="str">
        <f>HYPERLINK("https://drive.google.com/file/d/1dgqvhYSlkp1ip08v1ETRmDG-0rPTfx2L/view?usp=drivesdk", "Abrir_Factura")</f>
        <v>Abrir_Factura</v>
      </c>
      <c r="AD2280" s="9">
        <v>46067.414525462962</v>
      </c>
    </row>
    <row r="2281" spans="1:30" ht="12.5">
      <c r="A2281" s="4">
        <v>46066.767007291666</v>
      </c>
      <c r="B2281" s="5">
        <v>92019</v>
      </c>
      <c r="C2281" s="5">
        <v>1193043243</v>
      </c>
      <c r="D2281" s="5" t="s">
        <v>158</v>
      </c>
      <c r="F2281" s="5" t="s">
        <v>10284</v>
      </c>
      <c r="H2281" s="5">
        <v>573016578880</v>
      </c>
      <c r="J2281" s="5" t="s">
        <v>10285</v>
      </c>
      <c r="K2281" s="5" t="s">
        <v>3874</v>
      </c>
      <c r="L2281" s="5" t="s">
        <v>10286</v>
      </c>
      <c r="M2281" s="5">
        <v>3217556823</v>
      </c>
      <c r="N2281" s="6">
        <v>46067</v>
      </c>
      <c r="O2281" s="7">
        <v>0.45833333333333331</v>
      </c>
      <c r="P2281" s="5">
        <v>1</v>
      </c>
      <c r="Q2281" s="5" t="s">
        <v>9152</v>
      </c>
      <c r="R2281" s="5">
        <v>220000</v>
      </c>
      <c r="S2281" s="5">
        <v>0</v>
      </c>
      <c r="T2281" s="5">
        <v>18000</v>
      </c>
      <c r="U2281" s="5">
        <v>238000</v>
      </c>
      <c r="V2281" s="5" t="s">
        <v>10287</v>
      </c>
      <c r="W2281" s="5" t="s">
        <v>36</v>
      </c>
      <c r="X2281" s="5" t="s">
        <v>3754</v>
      </c>
      <c r="Z2281" s="5" t="s">
        <v>10288</v>
      </c>
      <c r="AA2281" s="5" t="s">
        <v>44</v>
      </c>
      <c r="AB2281" s="5" t="s">
        <v>9612</v>
      </c>
      <c r="AC2281" s="8" t="str">
        <f>HYPERLINK("https://drive.google.com/file/d/1oAcesbybwNXJUZZkYb-OBsUIhO7Ytrj3/view?usp=drivesdk", "Abrir_Factura")</f>
        <v>Abrir_Factura</v>
      </c>
      <c r="AD2281" s="9">
        <v>46067.418530092589</v>
      </c>
    </row>
    <row r="2282" spans="1:30" ht="12.5">
      <c r="A2282" s="4">
        <v>46067.392947638888</v>
      </c>
      <c r="B2282" s="5">
        <v>92020</v>
      </c>
      <c r="C2282" s="5">
        <v>1234100409</v>
      </c>
      <c r="D2282" s="5" t="s">
        <v>1144</v>
      </c>
      <c r="F2282" s="5" t="s">
        <v>10289</v>
      </c>
      <c r="H2282" s="5">
        <v>573152633822</v>
      </c>
      <c r="J2282" s="5" t="s">
        <v>10290</v>
      </c>
      <c r="K2282" s="5" t="s">
        <v>7476</v>
      </c>
      <c r="L2282" s="5" t="s">
        <v>10291</v>
      </c>
      <c r="M2282" s="5">
        <v>3203226165</v>
      </c>
      <c r="N2282" s="6">
        <v>46067</v>
      </c>
      <c r="O2282" s="7">
        <v>0</v>
      </c>
      <c r="P2282" s="5">
        <v>1</v>
      </c>
      <c r="Q2282" s="5" t="s">
        <v>6874</v>
      </c>
      <c r="R2282" s="5">
        <v>120000</v>
      </c>
      <c r="S2282" s="5">
        <v>0</v>
      </c>
      <c r="T2282" s="5">
        <v>15000</v>
      </c>
      <c r="U2282" s="5">
        <v>135000</v>
      </c>
      <c r="V2282" s="5" t="s">
        <v>10292</v>
      </c>
      <c r="W2282" s="5" t="s">
        <v>36</v>
      </c>
      <c r="X2282" s="5" t="s">
        <v>7644</v>
      </c>
      <c r="Z2282" s="5" t="s">
        <v>2350</v>
      </c>
      <c r="AA2282" s="5" t="s">
        <v>44</v>
      </c>
      <c r="AB2282" s="5" t="s">
        <v>2708</v>
      </c>
      <c r="AC2282" s="8" t="str">
        <f>HYPERLINK("https://drive.google.com/file/d/17fOAkUAzsvB_cqX12Y6AcnTK3N-1VhTf/view?usp=drivesdk", "Abrir_Factura")</f>
        <v>Abrir_Factura</v>
      </c>
      <c r="AD2282" s="9">
        <v>46067.423159722224</v>
      </c>
    </row>
    <row r="2283" spans="1:30" ht="12.5">
      <c r="A2283" s="4">
        <v>46067.353519791664</v>
      </c>
      <c r="B2283" s="5">
        <v>92021</v>
      </c>
      <c r="C2283" s="5">
        <v>72270834</v>
      </c>
      <c r="D2283" s="5" t="s">
        <v>1513</v>
      </c>
      <c r="F2283" s="5" t="s">
        <v>93</v>
      </c>
      <c r="H2283" s="5">
        <v>13217459164</v>
      </c>
      <c r="J2283" s="5" t="s">
        <v>10293</v>
      </c>
      <c r="K2283" s="5" t="s">
        <v>351</v>
      </c>
      <c r="L2283" s="5" t="s">
        <v>10294</v>
      </c>
      <c r="M2283" s="5">
        <v>3056442527</v>
      </c>
      <c r="N2283" s="6">
        <v>46067</v>
      </c>
      <c r="O2283" s="7">
        <v>0</v>
      </c>
      <c r="P2283" s="5">
        <v>1</v>
      </c>
      <c r="Q2283" s="5" t="s">
        <v>35</v>
      </c>
      <c r="R2283" s="5">
        <v>130000</v>
      </c>
      <c r="S2283" s="5">
        <v>0</v>
      </c>
      <c r="T2283" s="5">
        <v>12000</v>
      </c>
      <c r="U2283" s="5">
        <v>142000</v>
      </c>
      <c r="V2283" s="5" t="s">
        <v>10295</v>
      </c>
      <c r="W2283" s="5" t="s">
        <v>36</v>
      </c>
      <c r="X2283" s="5" t="s">
        <v>7644</v>
      </c>
      <c r="Z2283" s="5" t="s">
        <v>1513</v>
      </c>
      <c r="AA2283" s="5" t="s">
        <v>44</v>
      </c>
      <c r="AB2283" s="5" t="s">
        <v>2708</v>
      </c>
      <c r="AC2283" s="8" t="str">
        <f>HYPERLINK("https://drive.google.com/file/d/1X5luFEzLYx-kj5YwlMWhcrUBMznl365h/view?usp=drivesdk", "Abrir_Factura")</f>
        <v>Abrir_Factura</v>
      </c>
      <c r="AD2283" s="9">
        <v>46067.427673611113</v>
      </c>
    </row>
    <row r="2284" spans="1:30" ht="12.5">
      <c r="A2284" s="4">
        <v>46067.433170879631</v>
      </c>
      <c r="B2284" s="5">
        <v>92022</v>
      </c>
      <c r="C2284" s="5">
        <v>22613775</v>
      </c>
      <c r="D2284" s="5" t="s">
        <v>7962</v>
      </c>
      <c r="F2284" s="5" t="s">
        <v>10296</v>
      </c>
      <c r="H2284" s="5">
        <v>573007645151</v>
      </c>
      <c r="J2284" s="5" t="s">
        <v>10297</v>
      </c>
      <c r="K2284" s="5" t="s">
        <v>33</v>
      </c>
      <c r="L2284" s="5" t="s">
        <v>34</v>
      </c>
      <c r="M2284" s="5">
        <v>3007645151</v>
      </c>
      <c r="N2284" s="6">
        <v>46067</v>
      </c>
      <c r="O2284" s="7">
        <v>0</v>
      </c>
      <c r="P2284" s="5">
        <v>1</v>
      </c>
      <c r="Q2284" s="5" t="s">
        <v>9576</v>
      </c>
      <c r="R2284" s="5">
        <v>90000</v>
      </c>
      <c r="S2284" s="5">
        <v>0</v>
      </c>
      <c r="T2284" s="5">
        <v>0</v>
      </c>
      <c r="U2284" s="5">
        <v>90000</v>
      </c>
      <c r="V2284" s="5"/>
      <c r="W2284" s="5" t="s">
        <v>36</v>
      </c>
      <c r="X2284" s="5" t="s">
        <v>1705</v>
      </c>
      <c r="AA2284" s="5" t="s">
        <v>1717</v>
      </c>
      <c r="AC2284" s="8" t="str">
        <f>HYPERLINK("https://drive.google.com/file/d/1zGM6hpecmox8R3BePnleK5VM4_4n5jXI/view?usp=drivesdk", "Abrir_Factura")</f>
        <v>Abrir_Factura</v>
      </c>
      <c r="AD2284" s="9">
        <v>46067.434328703705</v>
      </c>
    </row>
    <row r="2285" spans="1:30" ht="12.5">
      <c r="A2285" s="4">
        <v>46067.406105057875</v>
      </c>
      <c r="B2285" s="5">
        <v>92023</v>
      </c>
      <c r="C2285" s="5">
        <v>1140839354</v>
      </c>
      <c r="D2285" s="5" t="s">
        <v>1526</v>
      </c>
      <c r="F2285" s="5" t="s">
        <v>10298</v>
      </c>
      <c r="H2285" s="5">
        <v>14157928852</v>
      </c>
      <c r="J2285" s="5" t="s">
        <v>8586</v>
      </c>
      <c r="K2285" s="5" t="s">
        <v>103</v>
      </c>
      <c r="L2285" s="5" t="s">
        <v>10299</v>
      </c>
      <c r="M2285" s="5">
        <v>3505834440</v>
      </c>
      <c r="N2285" s="6">
        <v>46067</v>
      </c>
      <c r="O2285" s="7">
        <v>0</v>
      </c>
      <c r="P2285" s="5">
        <v>1</v>
      </c>
      <c r="Q2285" s="5" t="s">
        <v>50</v>
      </c>
      <c r="R2285" s="5">
        <v>220000</v>
      </c>
      <c r="S2285" s="5">
        <v>0</v>
      </c>
      <c r="T2285" s="5">
        <v>10000</v>
      </c>
      <c r="U2285" s="5">
        <v>230000</v>
      </c>
      <c r="V2285" s="5" t="s">
        <v>10300</v>
      </c>
      <c r="W2285" s="5" t="s">
        <v>36</v>
      </c>
      <c r="X2285" s="5" t="s">
        <v>7644</v>
      </c>
      <c r="Z2285" s="5" t="s">
        <v>1526</v>
      </c>
      <c r="AA2285" s="5" t="s">
        <v>44</v>
      </c>
      <c r="AB2285" s="5" t="s">
        <v>2708</v>
      </c>
      <c r="AC2285" s="8" t="str">
        <f>HYPERLINK("https://drive.google.com/file/d/1UuU88msy2wVGITf7YnfGhqBN1WtO2aq7/view?usp=drivesdk", "Abrir_Factura")</f>
        <v>Abrir_Factura</v>
      </c>
      <c r="AD2285" s="9">
        <v>46067.4377662037</v>
      </c>
    </row>
    <row r="2286" spans="1:30" ht="12.5">
      <c r="A2286" s="4">
        <v>46067.438642777779</v>
      </c>
      <c r="B2286" s="5">
        <v>92024</v>
      </c>
      <c r="C2286" s="5">
        <v>14652469</v>
      </c>
      <c r="D2286" s="5" t="s">
        <v>10301</v>
      </c>
      <c r="F2286" s="5" t="s">
        <v>10302</v>
      </c>
      <c r="H2286" s="5">
        <v>573156125956</v>
      </c>
      <c r="J2286" s="5" t="s">
        <v>10303</v>
      </c>
      <c r="K2286" s="5" t="s">
        <v>33</v>
      </c>
      <c r="L2286" s="5" t="s">
        <v>34</v>
      </c>
      <c r="M2286" s="5">
        <v>3156125956</v>
      </c>
      <c r="N2286" s="6">
        <v>46067</v>
      </c>
      <c r="O2286" s="7">
        <v>0</v>
      </c>
      <c r="P2286" s="5">
        <v>1</v>
      </c>
      <c r="Q2286" s="5" t="s">
        <v>309</v>
      </c>
      <c r="R2286" s="5">
        <v>90000</v>
      </c>
      <c r="S2286" s="5">
        <v>0</v>
      </c>
      <c r="T2286" s="5">
        <v>0</v>
      </c>
      <c r="U2286" s="5">
        <v>90000</v>
      </c>
      <c r="V2286" s="5"/>
      <c r="W2286" s="5" t="s">
        <v>36</v>
      </c>
      <c r="X2286" s="5" t="s">
        <v>1705</v>
      </c>
      <c r="AA2286" s="5" t="s">
        <v>1717</v>
      </c>
      <c r="AC2286" s="8" t="str">
        <f>HYPERLINK("https://drive.google.com/file/d/1X58VTMwGdiJYFb_O2C2tvtYMQQnj1OGf/view?usp=drivesdk", "Abrir_Factura")</f>
        <v>Abrir_Factura</v>
      </c>
      <c r="AD2286" s="9">
        <v>46067.439756944441</v>
      </c>
    </row>
    <row r="2287" spans="1:30" ht="12.5">
      <c r="A2287" s="4">
        <v>46067.441669039355</v>
      </c>
      <c r="B2287" s="5">
        <v>92025</v>
      </c>
      <c r="C2287" s="5">
        <v>2428745459</v>
      </c>
      <c r="D2287" s="5" t="s">
        <v>10304</v>
      </c>
      <c r="F2287" s="5" t="s">
        <v>10305</v>
      </c>
      <c r="H2287" s="5">
        <v>572428745459</v>
      </c>
      <c r="J2287" s="5" t="s">
        <v>10306</v>
      </c>
      <c r="K2287" s="5"/>
      <c r="L2287" s="5" t="s">
        <v>34</v>
      </c>
      <c r="M2287" s="5">
        <v>2428745459</v>
      </c>
      <c r="N2287" s="6">
        <v>46067</v>
      </c>
      <c r="O2287" s="7">
        <v>0</v>
      </c>
      <c r="P2287" s="5">
        <v>1</v>
      </c>
      <c r="Q2287" s="5" t="s">
        <v>35</v>
      </c>
      <c r="R2287" s="5">
        <v>130000</v>
      </c>
      <c r="S2287" s="5">
        <v>0</v>
      </c>
      <c r="T2287" s="5"/>
      <c r="U2287" s="5">
        <v>130000</v>
      </c>
      <c r="V2287" s="5"/>
      <c r="W2287" s="5" t="s">
        <v>36</v>
      </c>
      <c r="X2287" s="5" t="s">
        <v>37</v>
      </c>
      <c r="AA2287" s="5" t="s">
        <v>1717</v>
      </c>
      <c r="AC2287" s="8" t="str">
        <f>HYPERLINK("https://drive.google.com/file/d/1uHBVXWw0ikVEQBGHh_XK05h4JX-lblEw/view?usp=drivesdk", "Abrir_Factura")</f>
        <v>Abrir_Factura</v>
      </c>
      <c r="AD2287" s="9">
        <v>46067.442395833335</v>
      </c>
    </row>
    <row r="2288" spans="1:30" ht="12.5">
      <c r="A2288" s="4">
        <v>46067.444522627316</v>
      </c>
      <c r="B2288" s="5">
        <v>92026</v>
      </c>
      <c r="C2288" s="5">
        <v>1002000274</v>
      </c>
      <c r="D2288" s="5" t="s">
        <v>773</v>
      </c>
      <c r="F2288" s="5" t="s">
        <v>10307</v>
      </c>
      <c r="H2288" s="5">
        <v>573002525881</v>
      </c>
      <c r="J2288" s="5" t="s">
        <v>10308</v>
      </c>
      <c r="K2288" s="5" t="s">
        <v>6662</v>
      </c>
      <c r="L2288" s="5" t="s">
        <v>10309</v>
      </c>
      <c r="M2288" s="5" t="s">
        <v>10310</v>
      </c>
      <c r="N2288" s="6">
        <v>46067</v>
      </c>
      <c r="O2288" s="7">
        <v>0</v>
      </c>
      <c r="P2288" s="5">
        <v>1</v>
      </c>
      <c r="Q2288" s="5" t="s">
        <v>75</v>
      </c>
      <c r="R2288" s="5">
        <v>80000</v>
      </c>
      <c r="S2288" s="5">
        <v>0</v>
      </c>
      <c r="T2288" s="5">
        <v>15000</v>
      </c>
      <c r="U2288" s="5">
        <v>95000</v>
      </c>
      <c r="V2288" s="5" t="s">
        <v>10311</v>
      </c>
      <c r="W2288" s="5" t="s">
        <v>36</v>
      </c>
      <c r="X2288" s="5" t="s">
        <v>7644</v>
      </c>
      <c r="AA2288" s="5" t="s">
        <v>69</v>
      </c>
      <c r="AB2288" s="5" t="s">
        <v>10312</v>
      </c>
      <c r="AC2288" s="8" t="str">
        <f>HYPERLINK("https://drive.google.com/file/d/1rYXlRBScHtXuCZsEppTSn1-3vZsnlkk_/view?usp=drivesdk", "Abrir_Factura")</f>
        <v>Abrir_Factura</v>
      </c>
      <c r="AD2288" s="9">
        <v>46067.445659722223</v>
      </c>
    </row>
    <row r="2289" spans="1:30" ht="12.5">
      <c r="A2289" s="4">
        <v>46067.416502673615</v>
      </c>
      <c r="B2289" s="5">
        <v>92027</v>
      </c>
      <c r="C2289" s="5">
        <v>80041678</v>
      </c>
      <c r="D2289" s="5" t="s">
        <v>10313</v>
      </c>
      <c r="F2289" s="5" t="s">
        <v>10314</v>
      </c>
      <c r="H2289" s="5">
        <v>19549956972</v>
      </c>
      <c r="J2289" s="5" t="s">
        <v>10315</v>
      </c>
      <c r="K2289" s="5" t="s">
        <v>783</v>
      </c>
      <c r="L2289" s="5" t="s">
        <v>10316</v>
      </c>
      <c r="M2289" s="5" t="s">
        <v>25421</v>
      </c>
      <c r="N2289" s="6">
        <v>46067</v>
      </c>
      <c r="O2289" s="7">
        <v>0</v>
      </c>
      <c r="P2289" s="5">
        <v>1</v>
      </c>
      <c r="Q2289" s="5" t="s">
        <v>10317</v>
      </c>
      <c r="R2289" s="5">
        <v>320000</v>
      </c>
      <c r="S2289" s="5">
        <v>0</v>
      </c>
      <c r="T2289" s="5">
        <v>17000</v>
      </c>
      <c r="U2289" s="5">
        <v>337000</v>
      </c>
      <c r="V2289" s="5" t="s">
        <v>10318</v>
      </c>
      <c r="W2289" s="5" t="s">
        <v>36</v>
      </c>
      <c r="X2289" s="5" t="s">
        <v>9695</v>
      </c>
      <c r="Z2289" s="5" t="s">
        <v>10319</v>
      </c>
      <c r="AA2289" s="5" t="s">
        <v>69</v>
      </c>
      <c r="AC2289" s="8" t="str">
        <f>HYPERLINK("https://drive.google.com/file/d/1-tKXxiq6XYcMv4LGkZ9AON5ltP_s8aXK/view?usp=drivesdk", "Abrir_Factura")</f>
        <v>Abrir_Factura</v>
      </c>
      <c r="AD2289" s="9">
        <v>46067.652175925927</v>
      </c>
    </row>
    <row r="2290" spans="1:30" ht="12.5">
      <c r="A2290" s="4">
        <v>46067.432627245369</v>
      </c>
      <c r="B2290" s="5">
        <v>92028</v>
      </c>
      <c r="C2290" s="5">
        <v>1104259995</v>
      </c>
      <c r="D2290" s="5" t="s">
        <v>10320</v>
      </c>
      <c r="F2290" s="5" t="s">
        <v>10321</v>
      </c>
      <c r="H2290" s="5">
        <v>573023773683</v>
      </c>
      <c r="J2290" s="5" t="s">
        <v>10322</v>
      </c>
      <c r="K2290" s="5" t="s">
        <v>307</v>
      </c>
      <c r="L2290" s="5" t="s">
        <v>10323</v>
      </c>
      <c r="M2290" s="5" t="s">
        <v>25421</v>
      </c>
      <c r="N2290" s="6">
        <v>46067</v>
      </c>
      <c r="O2290" s="7">
        <v>0.5</v>
      </c>
      <c r="P2290" s="5">
        <v>1</v>
      </c>
      <c r="Q2290" s="5" t="s">
        <v>35</v>
      </c>
      <c r="R2290" s="5">
        <v>130000</v>
      </c>
      <c r="S2290" s="5">
        <v>0</v>
      </c>
      <c r="T2290" s="5">
        <v>10000</v>
      </c>
      <c r="U2290" s="5">
        <v>140000</v>
      </c>
      <c r="V2290" s="5" t="s">
        <v>10324</v>
      </c>
      <c r="W2290" s="5" t="s">
        <v>36</v>
      </c>
      <c r="X2290" s="5" t="s">
        <v>7644</v>
      </c>
      <c r="Z2290" s="5" t="s">
        <v>10325</v>
      </c>
      <c r="AA2290" s="5" t="s">
        <v>44</v>
      </c>
      <c r="AB2290" s="5" t="s">
        <v>10326</v>
      </c>
      <c r="AC2290" s="8" t="str">
        <f>HYPERLINK("https://drive.google.com/file/d/1QqNfbYfPzjQxo1m2jJnjEW2S5UetziYK/view?usp=drivesdk", "Abrir_Factura")</f>
        <v>Abrir_Factura</v>
      </c>
      <c r="AD2290" s="9">
        <v>46067.451192129629</v>
      </c>
    </row>
    <row r="2291" spans="1:30" ht="12.5">
      <c r="A2291" s="4">
        <v>46067.42178074074</v>
      </c>
      <c r="B2291" s="5">
        <v>92029</v>
      </c>
      <c r="C2291" s="5">
        <v>1140890727</v>
      </c>
      <c r="D2291" s="5" t="s">
        <v>825</v>
      </c>
      <c r="F2291" s="5" t="s">
        <v>6751</v>
      </c>
      <c r="H2291" s="5">
        <v>573137308438</v>
      </c>
      <c r="J2291" s="5" t="s">
        <v>10327</v>
      </c>
      <c r="K2291" s="5" t="s">
        <v>7476</v>
      </c>
      <c r="L2291" s="5" t="s">
        <v>10328</v>
      </c>
      <c r="M2291" s="5">
        <v>3022614505</v>
      </c>
      <c r="N2291" s="6">
        <v>46067</v>
      </c>
      <c r="O2291" s="7">
        <v>0</v>
      </c>
      <c r="P2291" s="5">
        <v>1</v>
      </c>
      <c r="Q2291" s="5" t="s">
        <v>10329</v>
      </c>
      <c r="R2291" s="5">
        <v>272000</v>
      </c>
      <c r="S2291" s="5">
        <v>0</v>
      </c>
      <c r="T2291" s="5">
        <v>15000</v>
      </c>
      <c r="U2291" s="5">
        <v>287000</v>
      </c>
      <c r="V2291" s="5"/>
      <c r="W2291" s="5" t="s">
        <v>36</v>
      </c>
      <c r="X2291" s="5" t="s">
        <v>9695</v>
      </c>
      <c r="AA2291" s="5" t="s">
        <v>69</v>
      </c>
      <c r="AC2291" s="8" t="str">
        <f>HYPERLINK("https://drive.google.com/file/d/1ZmIs45u3nQF3SFPbpJCkQnRlc9utSL8v/view?usp=drivesdk", "Abrir_Factura")</f>
        <v>Abrir_Factura</v>
      </c>
      <c r="AD2291" s="9">
        <v>46067.65457175926</v>
      </c>
    </row>
    <row r="2292" spans="1:30" ht="12.5">
      <c r="A2292" s="4">
        <v>46067.399510821764</v>
      </c>
      <c r="B2292" s="5">
        <v>92030</v>
      </c>
      <c r="C2292" s="5">
        <v>1140903364</v>
      </c>
      <c r="D2292" s="5" t="s">
        <v>698</v>
      </c>
      <c r="F2292" s="5" t="s">
        <v>2890</v>
      </c>
      <c r="H2292" s="5">
        <v>573015190837</v>
      </c>
      <c r="J2292" s="5" t="s">
        <v>8945</v>
      </c>
      <c r="K2292" s="5" t="s">
        <v>598</v>
      </c>
      <c r="L2292" s="5" t="s">
        <v>10330</v>
      </c>
      <c r="M2292" s="5" t="s">
        <v>10331</v>
      </c>
      <c r="N2292" s="6">
        <v>46067</v>
      </c>
      <c r="O2292" s="7">
        <v>0.52083333333333337</v>
      </c>
      <c r="P2292" s="5">
        <v>1</v>
      </c>
      <c r="Q2292" s="5" t="s">
        <v>187</v>
      </c>
      <c r="R2292" s="5">
        <v>220000</v>
      </c>
      <c r="S2292" s="5">
        <v>0</v>
      </c>
      <c r="T2292" s="5">
        <v>10000</v>
      </c>
      <c r="U2292" s="5">
        <v>230000</v>
      </c>
      <c r="V2292" s="5" t="s">
        <v>10332</v>
      </c>
      <c r="W2292" s="5" t="s">
        <v>36</v>
      </c>
      <c r="X2292" s="5" t="s">
        <v>7644</v>
      </c>
      <c r="Z2292" s="5" t="s">
        <v>5249</v>
      </c>
      <c r="AA2292" s="5" t="s">
        <v>44</v>
      </c>
      <c r="AB2292" s="5" t="s">
        <v>9612</v>
      </c>
      <c r="AC2292" s="8" t="str">
        <f>HYPERLINK("https://drive.google.com/file/d/1DMg4ODeJhf6PNZpr52exrwBREwUCW9h_/view?usp=drivesdk", "Abrir_Factura")</f>
        <v>Abrir_Factura</v>
      </c>
      <c r="AD2292" s="9">
        <v>46067.458553240744</v>
      </c>
    </row>
    <row r="2293" spans="1:30" ht="12.5">
      <c r="A2293" s="4">
        <v>46067.420538749997</v>
      </c>
      <c r="B2293" s="5">
        <v>92031</v>
      </c>
      <c r="C2293" s="5">
        <v>1140832641</v>
      </c>
      <c r="D2293" s="5" t="s">
        <v>4026</v>
      </c>
      <c r="F2293" s="5" t="s">
        <v>10333</v>
      </c>
      <c r="H2293" s="5">
        <v>573006607691</v>
      </c>
      <c r="J2293" s="5" t="s">
        <v>10334</v>
      </c>
      <c r="K2293" s="5" t="s">
        <v>161</v>
      </c>
      <c r="L2293" s="5" t="s">
        <v>10335</v>
      </c>
      <c r="M2293" s="5">
        <v>3006607691</v>
      </c>
      <c r="N2293" s="6">
        <v>46067</v>
      </c>
      <c r="O2293" s="7">
        <v>0.52083333333333337</v>
      </c>
      <c r="P2293" s="5">
        <v>1</v>
      </c>
      <c r="Q2293" s="5" t="s">
        <v>9892</v>
      </c>
      <c r="R2293" s="5">
        <v>120000</v>
      </c>
      <c r="S2293" s="5">
        <v>0</v>
      </c>
      <c r="T2293" s="5">
        <v>8000</v>
      </c>
      <c r="U2293" s="5">
        <v>128000</v>
      </c>
      <c r="V2293" s="5" t="s">
        <v>10336</v>
      </c>
      <c r="W2293" s="5" t="s">
        <v>36</v>
      </c>
      <c r="X2293" s="5" t="s">
        <v>7644</v>
      </c>
      <c r="Z2293" s="5" t="s">
        <v>10337</v>
      </c>
      <c r="AA2293" s="5" t="s">
        <v>44</v>
      </c>
      <c r="AB2293" s="5" t="s">
        <v>9612</v>
      </c>
      <c r="AC2293" s="8" t="str">
        <f>HYPERLINK("https://drive.google.com/file/d/1cp7vXCZs6teanr9wFPyKmpmDDsTSiHKp/view?usp=drivesdk", "Abrir_Factura")</f>
        <v>Abrir_Factura</v>
      </c>
      <c r="AD2293" s="9">
        <v>46067.461805555555</v>
      </c>
    </row>
    <row r="2294" spans="1:30" ht="12.5">
      <c r="A2294" s="4">
        <v>46067.445811053243</v>
      </c>
      <c r="B2294" s="5">
        <v>92032</v>
      </c>
      <c r="C2294" s="5">
        <v>1065593364</v>
      </c>
      <c r="D2294" s="5" t="s">
        <v>3965</v>
      </c>
      <c r="F2294" s="5" t="s">
        <v>10338</v>
      </c>
      <c r="H2294" s="5">
        <v>573043692560</v>
      </c>
      <c r="J2294" s="5" t="s">
        <v>10339</v>
      </c>
      <c r="K2294" s="5" t="s">
        <v>516</v>
      </c>
      <c r="L2294" s="5" t="s">
        <v>10340</v>
      </c>
      <c r="M2294" s="5" t="s">
        <v>25421</v>
      </c>
      <c r="N2294" s="6">
        <v>46067</v>
      </c>
      <c r="O2294" s="7">
        <v>0</v>
      </c>
      <c r="P2294" s="5">
        <v>1</v>
      </c>
      <c r="Q2294" s="5" t="s">
        <v>6874</v>
      </c>
      <c r="R2294" s="5">
        <v>120000</v>
      </c>
      <c r="S2294" s="5">
        <v>0</v>
      </c>
      <c r="T2294" s="5">
        <v>10000</v>
      </c>
      <c r="U2294" s="5">
        <v>130000</v>
      </c>
      <c r="V2294" s="5" t="s">
        <v>10341</v>
      </c>
      <c r="W2294" s="5" t="s">
        <v>36</v>
      </c>
      <c r="X2294" s="5" t="s">
        <v>7644</v>
      </c>
      <c r="Z2294" s="5" t="s">
        <v>595</v>
      </c>
      <c r="AA2294" s="5" t="s">
        <v>69</v>
      </c>
      <c r="AC2294" s="8" t="str">
        <f>HYPERLINK("https://drive.google.com/file/d/1Pn-pC7uV8jIWuxCfE4Uspv__jMzyjnlV/view?usp=drivesdk", "Abrir_Factura")</f>
        <v>Abrir_Factura</v>
      </c>
      <c r="AD2294" s="9">
        <v>46067.462638888886</v>
      </c>
    </row>
    <row r="2295" spans="1:30" ht="12.5">
      <c r="A2295" s="4">
        <v>46067.448315879628</v>
      </c>
      <c r="B2295" s="5">
        <v>92033</v>
      </c>
      <c r="C2295" s="5">
        <v>1001777727</v>
      </c>
      <c r="D2295" s="5" t="s">
        <v>10342</v>
      </c>
      <c r="F2295" s="5" t="s">
        <v>10343</v>
      </c>
      <c r="H2295" s="5">
        <v>573244926686</v>
      </c>
      <c r="J2295" s="5" t="s">
        <v>10344</v>
      </c>
      <c r="K2295" s="5" t="s">
        <v>33</v>
      </c>
      <c r="L2295" s="5" t="s">
        <v>34</v>
      </c>
      <c r="M2295" s="5">
        <v>3244926686</v>
      </c>
      <c r="N2295" s="6">
        <v>46067</v>
      </c>
      <c r="O2295" s="7">
        <v>0</v>
      </c>
      <c r="P2295" s="5">
        <v>1</v>
      </c>
      <c r="Q2295" s="5" t="s">
        <v>9892</v>
      </c>
      <c r="R2295" s="5">
        <v>120000</v>
      </c>
      <c r="S2295" s="5">
        <v>0</v>
      </c>
      <c r="T2295" s="5">
        <v>0</v>
      </c>
      <c r="U2295" s="5">
        <v>120000</v>
      </c>
      <c r="V2295" s="5"/>
      <c r="W2295" s="5" t="s">
        <v>36</v>
      </c>
      <c r="X2295" s="5" t="s">
        <v>7644</v>
      </c>
      <c r="AA2295" s="5" t="s">
        <v>44</v>
      </c>
      <c r="AC2295" s="8" t="str">
        <f>HYPERLINK("https://drive.google.com/file/d/1w1tfvqy9nd5aC7bET6DMbQOGWll-xbGI/view?usp=drivesdk", "Abrir_Factura")</f>
        <v>Abrir_Factura</v>
      </c>
      <c r="AD2295" s="9">
        <v>46067.463622685187</v>
      </c>
    </row>
    <row r="2296" spans="1:30" ht="12.5">
      <c r="A2296" s="4">
        <v>46067.465902928241</v>
      </c>
      <c r="B2296" s="5">
        <v>92034</v>
      </c>
      <c r="C2296" s="5">
        <v>2428768683</v>
      </c>
      <c r="D2296" s="5" t="s">
        <v>10345</v>
      </c>
      <c r="F2296" s="5" t="s">
        <v>225</v>
      </c>
      <c r="H2296" s="5">
        <v>572428768683</v>
      </c>
      <c r="J2296" s="5" t="s">
        <v>10346</v>
      </c>
      <c r="K2296" s="5" t="s">
        <v>33</v>
      </c>
      <c r="L2296" s="5" t="s">
        <v>34</v>
      </c>
      <c r="M2296" s="5">
        <v>2428768683</v>
      </c>
      <c r="N2296" s="6">
        <v>46067</v>
      </c>
      <c r="O2296" s="7">
        <v>0</v>
      </c>
      <c r="P2296" s="5">
        <v>1</v>
      </c>
      <c r="Q2296" s="5" t="s">
        <v>10347</v>
      </c>
      <c r="R2296" s="5">
        <v>150000</v>
      </c>
      <c r="S2296" s="5">
        <v>0</v>
      </c>
      <c r="T2296" s="5">
        <v>0</v>
      </c>
      <c r="U2296" s="5">
        <v>150000</v>
      </c>
      <c r="V2296" s="5"/>
      <c r="W2296" s="5" t="s">
        <v>36</v>
      </c>
      <c r="X2296" s="5" t="s">
        <v>37</v>
      </c>
      <c r="AA2296" s="5" t="s">
        <v>1717</v>
      </c>
      <c r="AC2296" s="8" t="str">
        <f>HYPERLINK("https://drive.google.com/file/d/1znOddimCGhxt_02pOKuRQ2f7KLvN8IoX/view?usp=drivesdk", "Abrir_Factura")</f>
        <v>Abrir_Factura</v>
      </c>
      <c r="AD2296" s="9">
        <v>46067.468645833331</v>
      </c>
    </row>
    <row r="2297" spans="1:30" ht="12.5">
      <c r="A2297" s="4">
        <v>46067.423070347228</v>
      </c>
      <c r="B2297" s="5">
        <v>92035</v>
      </c>
      <c r="C2297" s="5">
        <v>1045723046</v>
      </c>
      <c r="D2297" s="5" t="s">
        <v>10348</v>
      </c>
      <c r="F2297" s="5" t="s">
        <v>10349</v>
      </c>
      <c r="H2297" s="5">
        <v>41774494454</v>
      </c>
      <c r="J2297" s="5" t="s">
        <v>10350</v>
      </c>
      <c r="K2297" s="5" t="s">
        <v>9925</v>
      </c>
      <c r="L2297" s="5" t="s">
        <v>10351</v>
      </c>
      <c r="M2297" s="5">
        <v>3145048313</v>
      </c>
      <c r="N2297" s="6">
        <v>46067</v>
      </c>
      <c r="O2297" s="7">
        <v>0.52083333333333337</v>
      </c>
      <c r="P2297" s="5">
        <v>2</v>
      </c>
      <c r="Q2297" s="5" t="s">
        <v>10352</v>
      </c>
      <c r="R2297" s="5">
        <v>180000</v>
      </c>
      <c r="S2297" s="5">
        <v>0</v>
      </c>
      <c r="T2297" s="5">
        <v>11000</v>
      </c>
      <c r="U2297" s="5">
        <v>191000</v>
      </c>
      <c r="V2297" s="5" t="s">
        <v>10353</v>
      </c>
      <c r="W2297" s="5" t="s">
        <v>36</v>
      </c>
      <c r="X2297" s="5" t="s">
        <v>7644</v>
      </c>
      <c r="Z2297" s="5" t="s">
        <v>10354</v>
      </c>
      <c r="AA2297" s="5" t="s">
        <v>44</v>
      </c>
      <c r="AB2297" s="5" t="s">
        <v>9612</v>
      </c>
      <c r="AC2297" s="8" t="str">
        <f>HYPERLINK("https://drive.google.com/file/d/1YaaGfxRtG_8frqAEPklCp_F5UQgBadfz/view?usp=drivesdk", "Abrir_Factura")</f>
        <v>Abrir_Factura</v>
      </c>
      <c r="AD2297" s="9">
        <v>46067.466956018521</v>
      </c>
    </row>
    <row r="2298" spans="1:30" ht="12.5">
      <c r="A2298" s="4">
        <v>46067.437236226848</v>
      </c>
      <c r="B2298" s="5">
        <v>92036</v>
      </c>
      <c r="C2298" s="5">
        <v>1045723046</v>
      </c>
      <c r="D2298" s="5" t="s">
        <v>10355</v>
      </c>
      <c r="F2298" s="5" t="s">
        <v>10349</v>
      </c>
      <c r="H2298" s="5">
        <v>41774494454</v>
      </c>
      <c r="J2298" s="5" t="s">
        <v>10356</v>
      </c>
      <c r="K2298" s="5" t="s">
        <v>907</v>
      </c>
      <c r="L2298" s="5" t="s">
        <v>10357</v>
      </c>
      <c r="M2298" s="5" t="s">
        <v>10358</v>
      </c>
      <c r="N2298" s="6">
        <v>46067</v>
      </c>
      <c r="O2298" s="7">
        <v>0.52083333333333337</v>
      </c>
      <c r="P2298" s="5">
        <v>1</v>
      </c>
      <c r="Q2298" s="5" t="s">
        <v>9693</v>
      </c>
      <c r="R2298" s="5">
        <v>65000</v>
      </c>
      <c r="S2298" s="5">
        <v>0</v>
      </c>
      <c r="T2298" s="5">
        <v>30000</v>
      </c>
      <c r="U2298" s="5">
        <v>95000</v>
      </c>
      <c r="V2298" s="5" t="s">
        <v>10359</v>
      </c>
      <c r="W2298" s="5" t="s">
        <v>36</v>
      </c>
      <c r="X2298" s="5" t="s">
        <v>7644</v>
      </c>
      <c r="Z2298" s="5" t="s">
        <v>10354</v>
      </c>
      <c r="AA2298" s="5" t="s">
        <v>44</v>
      </c>
      <c r="AB2298" s="5" t="s">
        <v>10360</v>
      </c>
      <c r="AC2298" s="8" t="str">
        <f>HYPERLINK("https://drive.google.com/file/d/198PuTastJt7fdsW3UTuOjSOgIYI67oD7/view?usp=drivesdk", "Abrir_Factura")</f>
        <v>Abrir_Factura</v>
      </c>
      <c r="AD2298" s="9">
        <v>46067.469571759262</v>
      </c>
    </row>
    <row r="2299" spans="1:30" ht="12.5">
      <c r="A2299" s="4">
        <v>46067.469491111115</v>
      </c>
      <c r="B2299" s="5">
        <v>92037</v>
      </c>
      <c r="C2299" s="5">
        <v>2428754066</v>
      </c>
      <c r="D2299" s="5" t="s">
        <v>9786</v>
      </c>
      <c r="F2299" s="5" t="s">
        <v>225</v>
      </c>
      <c r="H2299" s="5">
        <v>572428754066</v>
      </c>
      <c r="J2299" s="5" t="s">
        <v>10361</v>
      </c>
      <c r="K2299" s="5" t="s">
        <v>33</v>
      </c>
      <c r="L2299" s="5" t="s">
        <v>34</v>
      </c>
      <c r="M2299" s="5">
        <v>2428754066</v>
      </c>
      <c r="N2299" s="6">
        <v>46067</v>
      </c>
      <c r="O2299" s="7">
        <v>0</v>
      </c>
      <c r="P2299" s="5">
        <v>1</v>
      </c>
      <c r="Q2299" s="5" t="s">
        <v>309</v>
      </c>
      <c r="R2299" s="5">
        <v>90000</v>
      </c>
      <c r="S2299" s="5">
        <v>0</v>
      </c>
      <c r="T2299" s="5">
        <v>0</v>
      </c>
      <c r="U2299" s="5">
        <v>90000</v>
      </c>
      <c r="V2299" s="5"/>
      <c r="W2299" s="5" t="s">
        <v>36</v>
      </c>
      <c r="X2299" s="5" t="s">
        <v>37</v>
      </c>
      <c r="AA2299" s="5" t="s">
        <v>1717</v>
      </c>
      <c r="AC2299" s="8" t="str">
        <f>HYPERLINK("https://drive.google.com/file/d/1unWqN62tdC5SaEUE4IWrXeLmsfr-o0k3/view?usp=drivesdk", "Abrir_Factura")</f>
        <v>Abrir_Factura</v>
      </c>
      <c r="AD2299" s="9">
        <v>46067.470069444447</v>
      </c>
    </row>
    <row r="2300" spans="1:30" ht="12.5">
      <c r="A2300" s="4">
        <v>46067.471392013889</v>
      </c>
      <c r="B2300" s="5">
        <v>92038</v>
      </c>
      <c r="C2300" s="5">
        <v>2428762519</v>
      </c>
      <c r="D2300" s="5" t="s">
        <v>10362</v>
      </c>
      <c r="F2300" s="5" t="s">
        <v>225</v>
      </c>
      <c r="H2300" s="5">
        <v>572428762519</v>
      </c>
      <c r="J2300" s="5" t="s">
        <v>10363</v>
      </c>
      <c r="K2300" s="5" t="s">
        <v>33</v>
      </c>
      <c r="L2300" s="5" t="s">
        <v>34</v>
      </c>
      <c r="M2300" s="5">
        <v>2428762519</v>
      </c>
      <c r="N2300" s="6">
        <v>46067</v>
      </c>
      <c r="O2300" s="7">
        <v>0</v>
      </c>
      <c r="P2300" s="5">
        <v>1</v>
      </c>
      <c r="Q2300" s="5" t="s">
        <v>9892</v>
      </c>
      <c r="R2300" s="5">
        <v>120000</v>
      </c>
      <c r="S2300" s="5">
        <v>0</v>
      </c>
      <c r="T2300" s="5">
        <v>0</v>
      </c>
      <c r="U2300" s="5">
        <v>120000</v>
      </c>
      <c r="V2300" s="5"/>
      <c r="W2300" s="5" t="s">
        <v>36</v>
      </c>
      <c r="X2300" s="5" t="s">
        <v>37</v>
      </c>
      <c r="AA2300" s="5" t="s">
        <v>1717</v>
      </c>
      <c r="AC2300" s="8" t="str">
        <f>HYPERLINK("https://drive.google.com/file/d/1bNzjnBQ4fkwsX7u_lneMZ_5_8gDLhIdr/view?usp=drivesdk", "Abrir_Factura")</f>
        <v>Abrir_Factura</v>
      </c>
      <c r="AD2300" s="9">
        <v>46067.472094907411</v>
      </c>
    </row>
    <row r="2301" spans="1:30" ht="12.5">
      <c r="A2301" s="4">
        <v>46067.445860138891</v>
      </c>
      <c r="B2301" s="5">
        <v>92039</v>
      </c>
      <c r="C2301" s="5">
        <v>1053002375</v>
      </c>
      <c r="D2301" s="5" t="s">
        <v>3398</v>
      </c>
      <c r="F2301" s="5" t="s">
        <v>10364</v>
      </c>
      <c r="H2301" s="5">
        <v>573105816661</v>
      </c>
      <c r="J2301" s="5" t="s">
        <v>10365</v>
      </c>
      <c r="K2301" s="5" t="s">
        <v>7476</v>
      </c>
      <c r="L2301" s="5" t="s">
        <v>10366</v>
      </c>
      <c r="M2301" s="5" t="s">
        <v>10367</v>
      </c>
      <c r="N2301" s="6">
        <v>46067</v>
      </c>
      <c r="O2301" s="7">
        <v>0</v>
      </c>
      <c r="P2301" s="5">
        <v>1</v>
      </c>
      <c r="Q2301" s="5" t="s">
        <v>309</v>
      </c>
      <c r="R2301" s="5">
        <v>90000</v>
      </c>
      <c r="S2301" s="5">
        <v>0</v>
      </c>
      <c r="T2301" s="5">
        <v>15000</v>
      </c>
      <c r="U2301" s="5">
        <v>105000</v>
      </c>
      <c r="V2301" s="5" t="s">
        <v>10368</v>
      </c>
      <c r="W2301" s="5" t="s">
        <v>36</v>
      </c>
      <c r="X2301" s="5" t="s">
        <v>7644</v>
      </c>
      <c r="Z2301" s="5" t="s">
        <v>10369</v>
      </c>
      <c r="AA2301" s="5" t="s">
        <v>44</v>
      </c>
      <c r="AB2301" s="5" t="s">
        <v>2708</v>
      </c>
      <c r="AC2301" s="8" t="str">
        <f>HYPERLINK("https://drive.google.com/file/d/1diHI_m9ObQxvxPbnqYQ_a8BFmqJAo59Q/view?usp=drivesdk", "Abrir_Factura")</f>
        <v>Abrir_Factura</v>
      </c>
      <c r="AD2301" s="9">
        <v>46067.473958333336</v>
      </c>
    </row>
    <row r="2302" spans="1:30" ht="12.5">
      <c r="A2302" s="4">
        <v>46066.85228324074</v>
      </c>
      <c r="B2302" s="5">
        <v>92040</v>
      </c>
      <c r="C2302" s="5">
        <v>1140880105</v>
      </c>
      <c r="D2302" s="5" t="s">
        <v>290</v>
      </c>
      <c r="F2302" s="5" t="s">
        <v>10370</v>
      </c>
      <c r="H2302" s="5">
        <v>573013791058</v>
      </c>
      <c r="J2302" s="5" t="s">
        <v>10371</v>
      </c>
      <c r="K2302" s="5" t="s">
        <v>124</v>
      </c>
      <c r="L2302" s="5" t="s">
        <v>10372</v>
      </c>
      <c r="M2302" s="5">
        <v>3013791058</v>
      </c>
      <c r="N2302" s="6">
        <v>46067</v>
      </c>
      <c r="O2302" s="7">
        <v>4.1666666666666664E-2</v>
      </c>
      <c r="P2302" s="5">
        <v>1</v>
      </c>
      <c r="Q2302" s="5" t="s">
        <v>35</v>
      </c>
      <c r="R2302" s="5">
        <v>130000</v>
      </c>
      <c r="S2302" s="5">
        <v>0</v>
      </c>
      <c r="T2302" s="5">
        <v>12000</v>
      </c>
      <c r="U2302" s="5">
        <v>142000</v>
      </c>
      <c r="V2302" s="5" t="s">
        <v>10373</v>
      </c>
      <c r="W2302" s="5" t="s">
        <v>36</v>
      </c>
      <c r="X2302" s="5" t="s">
        <v>7644</v>
      </c>
      <c r="Z2302" s="5" t="s">
        <v>10374</v>
      </c>
      <c r="AA2302" s="5" t="s">
        <v>44</v>
      </c>
      <c r="AB2302" s="5" t="s">
        <v>9612</v>
      </c>
      <c r="AC2302" s="8" t="str">
        <f>HYPERLINK("https://drive.google.com/file/d/1FGGcpFJZ9Rb7jGwCvoVWutGAeRYXBo7D/view?usp=drivesdk", "Abrir_Factura")</f>
        <v>Abrir_Factura</v>
      </c>
      <c r="AD2302" s="9">
        <v>46067.47550925926</v>
      </c>
    </row>
    <row r="2303" spans="1:30" ht="12.5">
      <c r="A2303" s="4">
        <v>46067.39779260417</v>
      </c>
      <c r="B2303" s="5">
        <v>92041</v>
      </c>
      <c r="C2303" s="5">
        <v>1234093547</v>
      </c>
      <c r="D2303" s="5" t="s">
        <v>825</v>
      </c>
      <c r="F2303" s="5" t="s">
        <v>10375</v>
      </c>
      <c r="H2303" s="5">
        <v>573003987082</v>
      </c>
      <c r="J2303" s="5" t="s">
        <v>10376</v>
      </c>
      <c r="K2303" s="5" t="s">
        <v>448</v>
      </c>
      <c r="L2303" s="5" t="s">
        <v>10377</v>
      </c>
      <c r="M2303" s="5">
        <v>3022088217</v>
      </c>
      <c r="N2303" s="6">
        <v>46067</v>
      </c>
      <c r="O2303" s="7">
        <v>0</v>
      </c>
      <c r="P2303" s="5">
        <v>1</v>
      </c>
      <c r="Q2303" s="5" t="s">
        <v>9280</v>
      </c>
      <c r="R2303" s="5">
        <v>95000</v>
      </c>
      <c r="S2303" s="5">
        <v>0</v>
      </c>
      <c r="T2303" s="5">
        <v>15000</v>
      </c>
      <c r="U2303" s="5">
        <v>110000</v>
      </c>
      <c r="V2303" s="5" t="s">
        <v>10378</v>
      </c>
      <c r="W2303" s="5" t="s">
        <v>36</v>
      </c>
      <c r="X2303" s="5" t="s">
        <v>7644</v>
      </c>
      <c r="Z2303" s="5" t="s">
        <v>10379</v>
      </c>
      <c r="AA2303" s="5" t="s">
        <v>44</v>
      </c>
      <c r="AB2303" s="5" t="s">
        <v>2708</v>
      </c>
      <c r="AC2303" s="8" t="str">
        <f>HYPERLINK("https://drive.google.com/file/d/1xXzmVFIupNQYnk_yY2Iv7DsFzw3tAgex/view?usp=drivesdk", "Abrir_Factura")</f>
        <v>Abrir_Factura</v>
      </c>
      <c r="AD2303" s="9">
        <v>46067.479212962964</v>
      </c>
    </row>
    <row r="2304" spans="1:30" ht="12.5">
      <c r="A2304" s="4">
        <v>46067.458976666661</v>
      </c>
      <c r="B2304" s="5">
        <v>92042</v>
      </c>
      <c r="C2304" s="5">
        <v>1045739598</v>
      </c>
      <c r="D2304" s="5" t="s">
        <v>7744</v>
      </c>
      <c r="F2304" s="5" t="s">
        <v>7298</v>
      </c>
      <c r="H2304" s="5">
        <v>573503394890</v>
      </c>
      <c r="J2304" s="5" t="s">
        <v>10380</v>
      </c>
      <c r="K2304" s="5" t="s">
        <v>265</v>
      </c>
      <c r="L2304" s="5" t="s">
        <v>10381</v>
      </c>
      <c r="M2304" s="5"/>
      <c r="N2304" s="6">
        <v>46067</v>
      </c>
      <c r="O2304" s="7">
        <v>0</v>
      </c>
      <c r="P2304" s="5">
        <v>1</v>
      </c>
      <c r="Q2304" s="5" t="s">
        <v>9576</v>
      </c>
      <c r="R2304" s="5">
        <v>90000</v>
      </c>
      <c r="S2304" s="5">
        <v>0</v>
      </c>
      <c r="T2304" s="5">
        <v>17000</v>
      </c>
      <c r="U2304" s="5">
        <v>107000</v>
      </c>
      <c r="V2304" s="5" t="s">
        <v>10382</v>
      </c>
      <c r="W2304" s="5" t="s">
        <v>36</v>
      </c>
      <c r="X2304" s="5" t="s">
        <v>7644</v>
      </c>
      <c r="Z2304" s="5" t="s">
        <v>10382</v>
      </c>
      <c r="AA2304" s="5" t="s">
        <v>44</v>
      </c>
      <c r="AB2304" s="5" t="s">
        <v>2708</v>
      </c>
      <c r="AC2304" s="8" t="str">
        <f>HYPERLINK("https://drive.google.com/file/d/1wY9Xaojs6VITddNjeotIvtv_v_koXm7r/view?usp=drivesdk", "Abrir_Factura")</f>
        <v>Abrir_Factura</v>
      </c>
      <c r="AD2304" s="9">
        <v>46067.482222222221</v>
      </c>
    </row>
    <row r="2305" spans="1:30" ht="12.5">
      <c r="A2305" s="4">
        <v>46067.463930671292</v>
      </c>
      <c r="B2305" s="5">
        <v>92043</v>
      </c>
      <c r="C2305" s="5">
        <v>1002032451</v>
      </c>
      <c r="D2305" s="5" t="s">
        <v>4856</v>
      </c>
      <c r="F2305" s="5" t="s">
        <v>6790</v>
      </c>
      <c r="H2305" s="5">
        <v>573008794217</v>
      </c>
      <c r="J2305" s="5" t="s">
        <v>10383</v>
      </c>
      <c r="K2305" s="5" t="s">
        <v>6692</v>
      </c>
      <c r="L2305" s="5" t="s">
        <v>10384</v>
      </c>
      <c r="M2305" s="5">
        <v>3008704217</v>
      </c>
      <c r="N2305" s="6">
        <v>46067</v>
      </c>
      <c r="O2305" s="7">
        <v>0</v>
      </c>
      <c r="P2305" s="5">
        <v>1</v>
      </c>
      <c r="Q2305" s="5" t="s">
        <v>9842</v>
      </c>
      <c r="R2305" s="5">
        <v>200000</v>
      </c>
      <c r="S2305" s="5">
        <v>0</v>
      </c>
      <c r="T2305" s="5">
        <v>20000</v>
      </c>
      <c r="U2305" s="5">
        <v>220000</v>
      </c>
      <c r="V2305" s="5" t="s">
        <v>10385</v>
      </c>
      <c r="W2305" s="5" t="s">
        <v>36</v>
      </c>
      <c r="X2305" s="5" t="s">
        <v>7644</v>
      </c>
      <c r="Z2305" s="5" t="s">
        <v>4856</v>
      </c>
      <c r="AA2305" s="5" t="s">
        <v>44</v>
      </c>
      <c r="AB2305" s="5" t="s">
        <v>2708</v>
      </c>
      <c r="AC2305" s="8" t="str">
        <f>HYPERLINK("https://drive.google.com/file/d/1lVOySJ06PqOVp9e1G8FtLF3G_SF-jECi/view?usp=drivesdk", "Abrir Factura")</f>
        <v>Abrir Factura</v>
      </c>
      <c r="AD2305" s="9">
        <v>46067.486238425925</v>
      </c>
    </row>
    <row r="2306" spans="1:30" ht="12.5">
      <c r="A2306" s="4">
        <v>46067.48922743056</v>
      </c>
      <c r="B2306" s="5">
        <v>92044</v>
      </c>
      <c r="C2306" s="5">
        <v>1140883117</v>
      </c>
      <c r="D2306" s="5" t="s">
        <v>4261</v>
      </c>
      <c r="F2306" s="5" t="s">
        <v>10386</v>
      </c>
      <c r="H2306" s="5">
        <v>573172648892</v>
      </c>
      <c r="J2306" s="5" t="s">
        <v>10387</v>
      </c>
      <c r="K2306" s="5" t="s">
        <v>33</v>
      </c>
      <c r="L2306" s="5" t="s">
        <v>34</v>
      </c>
      <c r="M2306" s="5">
        <v>3172648892</v>
      </c>
      <c r="N2306" s="6">
        <v>46067</v>
      </c>
      <c r="O2306" s="7">
        <v>0</v>
      </c>
      <c r="P2306" s="5">
        <v>1</v>
      </c>
      <c r="Q2306" s="5" t="s">
        <v>6874</v>
      </c>
      <c r="R2306" s="5">
        <v>120000</v>
      </c>
      <c r="S2306" s="5">
        <v>0</v>
      </c>
      <c r="T2306" s="5">
        <v>0</v>
      </c>
      <c r="U2306" s="5">
        <v>120000</v>
      </c>
      <c r="V2306" s="5"/>
      <c r="W2306" s="5" t="s">
        <v>36</v>
      </c>
      <c r="X2306" s="5" t="s">
        <v>1705</v>
      </c>
      <c r="AA2306" s="5" t="s">
        <v>1717</v>
      </c>
      <c r="AC2306" s="8" t="str">
        <f>HYPERLINK("https://drive.google.com/file/d/1IMV3e89I5nIgubHso-j3WEtl8uHHM-8S/view?usp=drivesdk", "Abrir_Factura")</f>
        <v>Abrir_Factura</v>
      </c>
      <c r="AD2306" s="9">
        <v>46067.49013888889</v>
      </c>
    </row>
    <row r="2307" spans="1:30" ht="12.5">
      <c r="A2307" s="4">
        <v>46066.936463692131</v>
      </c>
      <c r="B2307" s="5">
        <v>92045</v>
      </c>
      <c r="C2307" s="5">
        <v>1193482053</v>
      </c>
      <c r="D2307" s="5" t="s">
        <v>2451</v>
      </c>
      <c r="F2307" s="5" t="s">
        <v>10388</v>
      </c>
      <c r="H2307" s="5">
        <v>573122486421</v>
      </c>
      <c r="J2307" s="5" t="s">
        <v>10389</v>
      </c>
      <c r="K2307" s="5" t="s">
        <v>54</v>
      </c>
      <c r="L2307" s="5" t="s">
        <v>10390</v>
      </c>
      <c r="M2307" s="5">
        <v>3022820261</v>
      </c>
      <c r="N2307" s="6">
        <v>46067</v>
      </c>
      <c r="O2307" s="7">
        <v>0</v>
      </c>
      <c r="P2307" s="5">
        <v>1</v>
      </c>
      <c r="Q2307" s="5" t="s">
        <v>375</v>
      </c>
      <c r="R2307" s="5">
        <v>60000</v>
      </c>
      <c r="S2307" s="5">
        <v>0</v>
      </c>
      <c r="T2307" s="5">
        <v>20000</v>
      </c>
      <c r="U2307" s="5">
        <v>80000</v>
      </c>
      <c r="V2307" s="5" t="s">
        <v>10391</v>
      </c>
      <c r="W2307" s="5" t="s">
        <v>36</v>
      </c>
      <c r="X2307" s="5" t="s">
        <v>7644</v>
      </c>
      <c r="Z2307" s="5" t="s">
        <v>5249</v>
      </c>
      <c r="AA2307" s="5" t="s">
        <v>44</v>
      </c>
      <c r="AB2307" s="5" t="s">
        <v>2708</v>
      </c>
      <c r="AC2307" s="8" t="str">
        <f>HYPERLINK("https://drive.google.com/file/d/1nrl6BhwhMdhLYPAP4jrSPuQYiNbWb6gp/view?usp=drivesdk", "Abrir_Factura")</f>
        <v>Abrir_Factura</v>
      </c>
      <c r="AD2307" s="9">
        <v>46067.678032407406</v>
      </c>
    </row>
    <row r="2308" spans="1:30" ht="12.5">
      <c r="A2308" s="4">
        <v>46067.490124884258</v>
      </c>
      <c r="B2308" s="5">
        <v>92046</v>
      </c>
      <c r="C2308" s="5">
        <v>1129566793</v>
      </c>
      <c r="D2308" s="5" t="s">
        <v>703</v>
      </c>
      <c r="F2308" s="5" t="s">
        <v>10392</v>
      </c>
      <c r="H2308" s="5">
        <v>17866453589</v>
      </c>
      <c r="J2308" s="5" t="s">
        <v>10393</v>
      </c>
      <c r="K2308" s="5" t="s">
        <v>33</v>
      </c>
      <c r="L2308" s="5" t="s">
        <v>34</v>
      </c>
      <c r="M2308" s="5">
        <v>7866453589</v>
      </c>
      <c r="N2308" s="6">
        <v>46067</v>
      </c>
      <c r="O2308" s="7">
        <v>0.52083333333333337</v>
      </c>
      <c r="P2308" s="5">
        <v>1</v>
      </c>
      <c r="Q2308" s="5" t="s">
        <v>42</v>
      </c>
      <c r="R2308" s="5">
        <v>35000</v>
      </c>
      <c r="S2308" s="5">
        <v>0</v>
      </c>
      <c r="T2308" s="5">
        <v>0</v>
      </c>
      <c r="U2308" s="5">
        <v>35000</v>
      </c>
      <c r="V2308" s="5" t="s">
        <v>10394</v>
      </c>
      <c r="W2308" s="5" t="s">
        <v>36</v>
      </c>
      <c r="X2308" s="5" t="s">
        <v>2438</v>
      </c>
      <c r="Z2308" s="5" t="s">
        <v>703</v>
      </c>
      <c r="AA2308" s="5" t="s">
        <v>44</v>
      </c>
      <c r="AB2308" s="5" t="s">
        <v>10395</v>
      </c>
      <c r="AC2308" s="8" t="str">
        <f>HYPERLINK("https://drive.google.com/file/d/1W9ThQqCZjalZm829ao1v5USRTqagzywQ/view?usp=drivesdk", "Abrir_Factura")</f>
        <v>Abrir_Factura</v>
      </c>
      <c r="AD2308" s="9">
        <v>46067.498645833337</v>
      </c>
    </row>
    <row r="2309" spans="1:30" ht="12.5">
      <c r="A2309" s="4">
        <v>46067.485256377317</v>
      </c>
      <c r="B2309" s="5">
        <v>92047</v>
      </c>
      <c r="C2309" s="5">
        <v>1002029840</v>
      </c>
      <c r="D2309" s="5" t="s">
        <v>10396</v>
      </c>
      <c r="F2309" s="5" t="s">
        <v>10397</v>
      </c>
      <c r="H2309" s="5">
        <v>573013886448</v>
      </c>
      <c r="J2309" s="5" t="s">
        <v>10398</v>
      </c>
      <c r="K2309" s="5" t="s">
        <v>33</v>
      </c>
      <c r="L2309" s="5" t="s">
        <v>34</v>
      </c>
      <c r="M2309" s="5">
        <v>3013886448</v>
      </c>
      <c r="N2309" s="6">
        <v>46067</v>
      </c>
      <c r="O2309" s="7">
        <v>0</v>
      </c>
      <c r="P2309" s="5">
        <v>1</v>
      </c>
      <c r="Q2309" s="5" t="s">
        <v>10399</v>
      </c>
      <c r="R2309" s="5">
        <v>95000</v>
      </c>
      <c r="S2309" s="5">
        <v>0</v>
      </c>
      <c r="T2309" s="5">
        <v>0</v>
      </c>
      <c r="U2309" s="5">
        <v>95000</v>
      </c>
      <c r="V2309" s="5"/>
      <c r="W2309" s="5" t="s">
        <v>36</v>
      </c>
      <c r="X2309" s="5" t="s">
        <v>1705</v>
      </c>
      <c r="AA2309" s="5" t="s">
        <v>1717</v>
      </c>
      <c r="AC2309" s="8" t="str">
        <f>HYPERLINK("https://drive.google.com/file/d/1MwlKITwkh8YF6z0t2FycMfCPE3DxrUhi/view?usp=drivesdk", "Abrir_Factura")</f>
        <v>Abrir_Factura</v>
      </c>
      <c r="AD2309" s="9">
        <v>46067.503478159721</v>
      </c>
    </row>
    <row r="2310" spans="1:30" ht="12.5">
      <c r="A2310" s="4">
        <v>46067.491332500002</v>
      </c>
      <c r="B2310" s="5">
        <v>92050</v>
      </c>
      <c r="C2310" s="5">
        <v>1129566793</v>
      </c>
      <c r="D2310" s="5" t="s">
        <v>703</v>
      </c>
      <c r="F2310" s="5" t="s">
        <v>10392</v>
      </c>
      <c r="H2310" s="5">
        <v>117866453589</v>
      </c>
      <c r="J2310" s="5" t="s">
        <v>10400</v>
      </c>
      <c r="K2310" s="5" t="s">
        <v>33</v>
      </c>
      <c r="L2310" s="5" t="s">
        <v>34</v>
      </c>
      <c r="M2310" s="5">
        <v>17866453589</v>
      </c>
      <c r="N2310" s="6">
        <v>46067</v>
      </c>
      <c r="O2310" s="7">
        <v>0.52083333333333337</v>
      </c>
      <c r="P2310" s="5">
        <v>1</v>
      </c>
      <c r="Q2310" s="5" t="s">
        <v>42</v>
      </c>
      <c r="R2310" s="5">
        <v>25000</v>
      </c>
      <c r="S2310" s="5">
        <v>0</v>
      </c>
      <c r="T2310" s="5">
        <v>0</v>
      </c>
      <c r="U2310" s="5">
        <v>25000</v>
      </c>
      <c r="V2310" s="5" t="s">
        <v>10401</v>
      </c>
      <c r="W2310" s="5" t="s">
        <v>36</v>
      </c>
      <c r="X2310" s="5" t="s">
        <v>2438</v>
      </c>
      <c r="Z2310" s="5" t="s">
        <v>8526</v>
      </c>
      <c r="AA2310" s="5" t="s">
        <v>44</v>
      </c>
      <c r="AB2310" s="5" t="s">
        <v>10402</v>
      </c>
      <c r="AC2310" s="8" t="str">
        <f>HYPERLINK("https://drive.google.com/file/d/1Q-DQV7VubiDuTVXQvkS1TG7WD1R8Lo0X/view?usp=drivesdk", "Abrir_Factura")</f>
        <v>Abrir_Factura</v>
      </c>
      <c r="AD2310" s="9">
        <v>46067.509467592594</v>
      </c>
    </row>
    <row r="2311" spans="1:30" ht="12.5">
      <c r="A2311" s="4">
        <v>46067.493374675927</v>
      </c>
      <c r="B2311" s="5">
        <v>92049</v>
      </c>
      <c r="C2311" s="5">
        <v>22479960</v>
      </c>
      <c r="D2311" s="5" t="s">
        <v>8767</v>
      </c>
      <c r="F2311" s="5" t="s">
        <v>10403</v>
      </c>
      <c r="H2311" s="5">
        <v>573008022701</v>
      </c>
      <c r="J2311" s="5" t="s">
        <v>10404</v>
      </c>
      <c r="K2311" s="5" t="s">
        <v>79</v>
      </c>
      <c r="L2311" s="5" t="s">
        <v>10405</v>
      </c>
      <c r="M2311" s="5"/>
      <c r="N2311" s="6">
        <v>46067</v>
      </c>
      <c r="O2311" s="7">
        <v>0</v>
      </c>
      <c r="P2311" s="5">
        <v>1</v>
      </c>
      <c r="Q2311" s="5" t="s">
        <v>6874</v>
      </c>
      <c r="R2311" s="5">
        <v>120000</v>
      </c>
      <c r="S2311" s="5">
        <v>0</v>
      </c>
      <c r="T2311" s="5">
        <v>10000</v>
      </c>
      <c r="U2311" s="5">
        <v>130000</v>
      </c>
      <c r="V2311" s="5" t="s">
        <v>10406</v>
      </c>
      <c r="W2311" s="5" t="s">
        <v>36</v>
      </c>
      <c r="X2311" s="5" t="s">
        <v>7644</v>
      </c>
      <c r="Z2311" s="5" t="s">
        <v>10407</v>
      </c>
      <c r="AA2311" s="5" t="s">
        <v>44</v>
      </c>
      <c r="AB2311" s="5" t="s">
        <v>2708</v>
      </c>
      <c r="AC2311" s="8" t="str">
        <f>HYPERLINK("https://drive.google.com/file/d/16bBoR9Zt0rVTTuG1QLqnxWaCrpNU5SSO/view?usp=drivesdk", "Abrir_Factura")</f>
        <v>Abrir_Factura</v>
      </c>
      <c r="AD2311" s="9">
        <v>46067.504675925928</v>
      </c>
    </row>
    <row r="2312" spans="1:30" ht="12.5">
      <c r="A2312" s="4">
        <v>46067.363322280093</v>
      </c>
      <c r="B2312" s="5">
        <v>92067</v>
      </c>
      <c r="C2312" s="5">
        <v>1005236159</v>
      </c>
      <c r="D2312" s="5" t="s">
        <v>595</v>
      </c>
      <c r="F2312" s="5" t="s">
        <v>6058</v>
      </c>
      <c r="H2312" s="5">
        <v>573003415463</v>
      </c>
      <c r="J2312" s="5" t="s">
        <v>10408</v>
      </c>
      <c r="K2312" s="5" t="s">
        <v>265</v>
      </c>
      <c r="L2312" s="5" t="s">
        <v>10409</v>
      </c>
      <c r="M2312" s="5">
        <v>3046497409</v>
      </c>
      <c r="N2312" s="6">
        <v>46067</v>
      </c>
      <c r="O2312" s="7">
        <v>0.625</v>
      </c>
      <c r="P2312" s="5">
        <v>1</v>
      </c>
      <c r="Q2312" s="5" t="s">
        <v>309</v>
      </c>
      <c r="R2312" s="5">
        <v>90000</v>
      </c>
      <c r="S2312" s="5">
        <v>0</v>
      </c>
      <c r="T2312" s="5">
        <v>17000</v>
      </c>
      <c r="U2312" s="5">
        <v>107000</v>
      </c>
      <c r="V2312" s="5" t="s">
        <v>10410</v>
      </c>
      <c r="W2312" s="5" t="s">
        <v>36</v>
      </c>
      <c r="X2312" s="5" t="s">
        <v>9695</v>
      </c>
      <c r="Z2312" s="5" t="s">
        <v>6062</v>
      </c>
      <c r="AA2312" s="5" t="s">
        <v>69</v>
      </c>
      <c r="AB2312" s="5" t="s">
        <v>10411</v>
      </c>
      <c r="AC2312" s="8" t="str">
        <f>HYPERLINK("https://drive.google.com/file/d/1M9OrByUF7LldXupWNW3eUqVp-Fv-fp2A/view?usp=drivesdk", "Abrir_Factura")</f>
        <v>Abrir_Factura</v>
      </c>
      <c r="AD2312" s="9">
        <v>46067.716493055559</v>
      </c>
    </row>
    <row r="2313" spans="1:30" ht="12.5">
      <c r="A2313" s="4">
        <v>46067.422189942125</v>
      </c>
      <c r="B2313" s="5">
        <v>92052</v>
      </c>
      <c r="C2313" s="5">
        <v>1125779104</v>
      </c>
      <c r="D2313" s="5" t="s">
        <v>10412</v>
      </c>
      <c r="F2313" s="5" t="s">
        <v>10413</v>
      </c>
      <c r="H2313" s="5">
        <v>573148447485</v>
      </c>
      <c r="J2313" s="5" t="s">
        <v>10414</v>
      </c>
      <c r="K2313" s="5" t="s">
        <v>249</v>
      </c>
      <c r="L2313" s="5" t="s">
        <v>10415</v>
      </c>
      <c r="M2313" s="5">
        <v>3103897558</v>
      </c>
      <c r="N2313" s="6">
        <v>46067</v>
      </c>
      <c r="O2313" s="7">
        <v>0</v>
      </c>
      <c r="P2313" s="5">
        <v>1</v>
      </c>
      <c r="Q2313" s="5" t="s">
        <v>9842</v>
      </c>
      <c r="R2313" s="5">
        <v>200000</v>
      </c>
      <c r="S2313" s="5">
        <v>0</v>
      </c>
      <c r="T2313" s="5">
        <v>10000</v>
      </c>
      <c r="U2313" s="5">
        <v>210000</v>
      </c>
      <c r="V2313" s="5" t="s">
        <v>10416</v>
      </c>
      <c r="W2313" s="5" t="s">
        <v>36</v>
      </c>
      <c r="X2313" s="5" t="s">
        <v>7644</v>
      </c>
      <c r="Z2313" s="5" t="s">
        <v>10417</v>
      </c>
      <c r="AA2313" s="5" t="s">
        <v>44</v>
      </c>
      <c r="AB2313" s="5" t="s">
        <v>2708</v>
      </c>
      <c r="AC2313" s="8" t="str">
        <f>HYPERLINK("https://drive.google.com/file/d/1inBO_mGHMHxc69DcRnNpuYCmji1GXdNU/view?usp=drivesdk", "Abrir_Factura")</f>
        <v>Abrir_Factura</v>
      </c>
      <c r="AD2313" s="9">
        <v>46067.510983796295</v>
      </c>
    </row>
    <row r="2314" spans="1:30" ht="12.5">
      <c r="A2314" s="4">
        <v>46067.423186493055</v>
      </c>
      <c r="B2314" s="5">
        <v>92072</v>
      </c>
      <c r="C2314" s="5">
        <v>1143149494</v>
      </c>
      <c r="D2314" s="5" t="s">
        <v>10418</v>
      </c>
      <c r="F2314" s="5" t="s">
        <v>2368</v>
      </c>
      <c r="H2314" s="5">
        <v>573015488840</v>
      </c>
      <c r="J2314" s="5" t="s">
        <v>10419</v>
      </c>
      <c r="K2314" s="5" t="s">
        <v>265</v>
      </c>
      <c r="L2314" s="5" t="s">
        <v>10420</v>
      </c>
      <c r="M2314" s="5" t="s">
        <v>10421</v>
      </c>
      <c r="N2314" s="6">
        <v>46067</v>
      </c>
      <c r="O2314" s="7">
        <v>0</v>
      </c>
      <c r="P2314" s="5">
        <v>1</v>
      </c>
      <c r="Q2314" s="5" t="s">
        <v>9152</v>
      </c>
      <c r="R2314" s="5">
        <v>220000</v>
      </c>
      <c r="S2314" s="5">
        <v>0</v>
      </c>
      <c r="T2314" s="5">
        <v>17000</v>
      </c>
      <c r="U2314" s="5">
        <v>237000</v>
      </c>
      <c r="V2314" s="5" t="s">
        <v>10422</v>
      </c>
      <c r="W2314" s="5" t="s">
        <v>36</v>
      </c>
      <c r="X2314" s="5" t="s">
        <v>7644</v>
      </c>
      <c r="Z2314" s="5" t="s">
        <v>10423</v>
      </c>
      <c r="AA2314" s="5" t="s">
        <v>69</v>
      </c>
      <c r="AB2314" s="5" t="s">
        <v>10424</v>
      </c>
      <c r="AC2314" s="8" t="str">
        <f>HYPERLINK("https://drive.google.com/file/d/1pP4s-Sh1KATQo9qGYhiH-Y94em9piKHL/view?usp=drivesdk", "Abrir_Factura")</f>
        <v>Abrir_Factura</v>
      </c>
      <c r="AD2314" s="9">
        <v>46067.580046296294</v>
      </c>
    </row>
    <row r="2315" spans="1:30" ht="12.5">
      <c r="A2315" s="4">
        <v>46067.429198090278</v>
      </c>
      <c r="B2315" s="5">
        <v>92057</v>
      </c>
      <c r="C2315" s="5">
        <v>1043021512</v>
      </c>
      <c r="D2315" s="5" t="s">
        <v>10425</v>
      </c>
      <c r="F2315" s="5" t="s">
        <v>10426</v>
      </c>
      <c r="H2315" s="5">
        <v>573004455700</v>
      </c>
      <c r="J2315" s="5" t="s">
        <v>10427</v>
      </c>
      <c r="K2315" s="5" t="s">
        <v>307</v>
      </c>
      <c r="L2315" s="5" t="s">
        <v>10428</v>
      </c>
      <c r="M2315" s="5">
        <v>3184000726</v>
      </c>
      <c r="N2315" s="6">
        <v>46067</v>
      </c>
      <c r="O2315" s="7">
        <v>0</v>
      </c>
      <c r="P2315" s="5">
        <v>1</v>
      </c>
      <c r="Q2315" s="5" t="s">
        <v>6874</v>
      </c>
      <c r="R2315" s="5">
        <v>120000</v>
      </c>
      <c r="S2315" s="5">
        <v>0</v>
      </c>
      <c r="T2315" s="5">
        <v>10000</v>
      </c>
      <c r="U2315" s="5">
        <v>130000</v>
      </c>
      <c r="V2315" s="5" t="s">
        <v>10429</v>
      </c>
      <c r="W2315" s="5" t="s">
        <v>36</v>
      </c>
      <c r="X2315" s="5" t="s">
        <v>7644</v>
      </c>
      <c r="Z2315" s="5" t="s">
        <v>1784</v>
      </c>
      <c r="AA2315" s="5" t="s">
        <v>44</v>
      </c>
      <c r="AB2315" s="5" t="s">
        <v>2708</v>
      </c>
      <c r="AC2315" s="8" t="str">
        <f>HYPERLINK("https://drive.google.com/file/d/1dpGoxCyi8qL4QXhDVfjB9M5EiYqzTtf-/view?usp=drivesdk", "Abrir_Factura")</f>
        <v>Abrir_Factura</v>
      </c>
      <c r="AD2315" s="9">
        <v>46067.5234375</v>
      </c>
    </row>
    <row r="2316" spans="1:30" ht="12.5">
      <c r="A2316" s="4">
        <v>46067.440531192129</v>
      </c>
      <c r="B2316" s="5">
        <v>92083</v>
      </c>
      <c r="C2316" s="5">
        <v>0</v>
      </c>
      <c r="D2316" s="5" t="s">
        <v>1051</v>
      </c>
      <c r="F2316" s="5" t="s">
        <v>1585</v>
      </c>
      <c r="H2316" s="5">
        <v>17633105984</v>
      </c>
      <c r="J2316" s="5" t="s">
        <v>10430</v>
      </c>
      <c r="K2316" s="5" t="s">
        <v>1006</v>
      </c>
      <c r="L2316" s="5" t="s">
        <v>10431</v>
      </c>
      <c r="M2316" s="5" t="s">
        <v>25421</v>
      </c>
      <c r="N2316" s="6">
        <v>46074</v>
      </c>
      <c r="O2316" s="7">
        <v>0.33333333333333331</v>
      </c>
      <c r="P2316" s="5">
        <v>1</v>
      </c>
      <c r="Q2316" s="5" t="s">
        <v>9892</v>
      </c>
      <c r="R2316" s="5">
        <v>120000</v>
      </c>
      <c r="S2316" s="5">
        <v>0</v>
      </c>
      <c r="T2316" s="5">
        <v>18000</v>
      </c>
      <c r="U2316" s="5">
        <v>138000</v>
      </c>
      <c r="V2316" s="5" t="s">
        <v>10432</v>
      </c>
      <c r="W2316" s="5" t="s">
        <v>36</v>
      </c>
      <c r="X2316" s="5" t="s">
        <v>3754</v>
      </c>
      <c r="Z2316" s="5" t="s">
        <v>10433</v>
      </c>
      <c r="AA2316" s="5" t="s">
        <v>44</v>
      </c>
      <c r="AB2316" s="5" t="s">
        <v>2708</v>
      </c>
      <c r="AC2316" s="8" t="str">
        <f>HYPERLINK("https://drive.google.com/file/d/1d5r095iX-lZITOxbVwHZjRAnArhG3Qa1/view?usp=drivesdk", "Abrir_Factura")</f>
        <v>Abrir_Factura</v>
      </c>
      <c r="AD2316" s="9">
        <v>46067.606608796297</v>
      </c>
    </row>
    <row r="2317" spans="1:30" ht="12.5">
      <c r="A2317" s="4">
        <v>46067.475372789355</v>
      </c>
      <c r="B2317" s="5">
        <v>92106</v>
      </c>
      <c r="C2317" s="5">
        <v>43868406</v>
      </c>
      <c r="D2317" s="5" t="s">
        <v>2293</v>
      </c>
      <c r="F2317" s="5" t="s">
        <v>1940</v>
      </c>
      <c r="H2317" s="5">
        <v>573052476428</v>
      </c>
      <c r="J2317" s="5" t="s">
        <v>10434</v>
      </c>
      <c r="K2317" s="5" t="s">
        <v>5574</v>
      </c>
      <c r="L2317" s="5" t="s">
        <v>10435</v>
      </c>
      <c r="M2317" s="5">
        <v>3242557097</v>
      </c>
      <c r="N2317" s="6">
        <v>46067</v>
      </c>
      <c r="O2317" s="7">
        <v>0</v>
      </c>
      <c r="P2317" s="5">
        <v>1</v>
      </c>
      <c r="Q2317" s="5" t="s">
        <v>6874</v>
      </c>
      <c r="R2317" s="5">
        <v>120000</v>
      </c>
      <c r="S2317" s="5">
        <v>0</v>
      </c>
      <c r="T2317" s="5">
        <v>10000</v>
      </c>
      <c r="U2317" s="5">
        <v>130000</v>
      </c>
      <c r="V2317" s="5" t="s">
        <v>10436</v>
      </c>
      <c r="W2317" s="5" t="s">
        <v>36</v>
      </c>
      <c r="X2317" s="5" t="s">
        <v>7644</v>
      </c>
      <c r="Z2317" s="5" t="s">
        <v>2293</v>
      </c>
      <c r="AA2317" s="5" t="s">
        <v>44</v>
      </c>
      <c r="AC2317" s="8" t="str">
        <f>HYPERLINK("https://drive.google.com/file/d/11MfE1IyE4QSXH-VLYhoc8a_PEfgf6x_I/view?usp=drivesdk", "Abrir_Factura")</f>
        <v>Abrir_Factura</v>
      </c>
      <c r="AD2317" s="9">
        <v>46067.672997685186</v>
      </c>
    </row>
    <row r="2318" spans="1:30" ht="12.5">
      <c r="A2318" s="4">
        <v>46067.487972303235</v>
      </c>
      <c r="B2318" s="5">
        <v>92060</v>
      </c>
      <c r="C2318" s="5">
        <v>1137199118</v>
      </c>
      <c r="D2318" s="5" t="s">
        <v>10437</v>
      </c>
      <c r="F2318" s="5" t="s">
        <v>5142</v>
      </c>
      <c r="H2318" s="5">
        <v>573108362504</v>
      </c>
      <c r="J2318" s="5" t="s">
        <v>10438</v>
      </c>
      <c r="K2318" s="5" t="s">
        <v>33</v>
      </c>
      <c r="L2318" s="5" t="s">
        <v>10439</v>
      </c>
      <c r="M2318" s="5">
        <v>3108362504</v>
      </c>
      <c r="N2318" s="6">
        <v>46067</v>
      </c>
      <c r="O2318" s="7">
        <v>8.3333333333333329E-2</v>
      </c>
      <c r="P2318" s="5">
        <v>1</v>
      </c>
      <c r="Q2318" s="5" t="s">
        <v>10001</v>
      </c>
      <c r="R2318" s="5">
        <v>200000</v>
      </c>
      <c r="S2318" s="5">
        <v>0</v>
      </c>
      <c r="T2318" s="5">
        <v>0</v>
      </c>
      <c r="U2318" s="5">
        <v>200000</v>
      </c>
      <c r="V2318" s="5" t="s">
        <v>10440</v>
      </c>
      <c r="W2318" s="5" t="s">
        <v>36</v>
      </c>
      <c r="X2318" s="5" t="s">
        <v>7644</v>
      </c>
      <c r="Z2318" s="5" t="s">
        <v>10441</v>
      </c>
      <c r="AA2318" s="5" t="s">
        <v>44</v>
      </c>
      <c r="AB2318" s="5" t="s">
        <v>9612</v>
      </c>
      <c r="AC2318" s="8" t="str">
        <f>HYPERLINK("https://drive.google.com/file/d/13wLHuPNRuDaPHlGW4nfohPY3EkibVKuX/view?usp=drivesdk", "Abrir_Factura")</f>
        <v>Abrir_Factura</v>
      </c>
      <c r="AD2318" s="9">
        <v>46067.531643518516</v>
      </c>
    </row>
    <row r="2319" spans="1:30" ht="12.5">
      <c r="A2319" s="4">
        <v>46067.496141238429</v>
      </c>
      <c r="B2319" s="5">
        <v>92051</v>
      </c>
      <c r="C2319" s="5">
        <v>1048065813</v>
      </c>
      <c r="D2319" s="5" t="s">
        <v>4594</v>
      </c>
      <c r="F2319" s="5" t="s">
        <v>5296</v>
      </c>
      <c r="H2319" s="5">
        <v>573011445505</v>
      </c>
      <c r="J2319" s="5" t="s">
        <v>10442</v>
      </c>
      <c r="K2319" s="5" t="s">
        <v>73</v>
      </c>
      <c r="L2319" s="5" t="s">
        <v>10443</v>
      </c>
      <c r="M2319" s="5">
        <v>3011445505</v>
      </c>
      <c r="N2319" s="6">
        <v>46067</v>
      </c>
      <c r="O2319" s="7">
        <v>0</v>
      </c>
      <c r="P2319" s="5">
        <v>1</v>
      </c>
      <c r="Q2319" s="5" t="s">
        <v>6874</v>
      </c>
      <c r="R2319" s="5">
        <v>120000</v>
      </c>
      <c r="S2319" s="5">
        <v>0</v>
      </c>
      <c r="T2319" s="5">
        <v>8000</v>
      </c>
      <c r="U2319" s="5">
        <v>128000</v>
      </c>
      <c r="V2319" s="5" t="s">
        <v>10444</v>
      </c>
      <c r="W2319" s="5" t="s">
        <v>36</v>
      </c>
      <c r="X2319" s="5" t="s">
        <v>7644</v>
      </c>
      <c r="Z2319" s="5" t="s">
        <v>10445</v>
      </c>
      <c r="AA2319" s="5" t="s">
        <v>44</v>
      </c>
      <c r="AB2319" s="5" t="s">
        <v>10446</v>
      </c>
      <c r="AC2319" s="8" t="str">
        <f>HYPERLINK("https://drive.google.com/file/d/1Y3EW8H-y8Xuy-2Q44m1IpurVK3WhxmT5/view?usp=drivesdk", "Abrir_Factura")</f>
        <v>Abrir_Factura</v>
      </c>
      <c r="AD2319" s="9">
        <v>46067.509976851848</v>
      </c>
    </row>
    <row r="2320" spans="1:30" ht="12.5">
      <c r="A2320" s="4">
        <v>46067.497739803242</v>
      </c>
      <c r="B2320" s="5">
        <v>92056</v>
      </c>
      <c r="C2320" s="5">
        <v>1234093433</v>
      </c>
      <c r="D2320" s="5" t="s">
        <v>226</v>
      </c>
      <c r="F2320" s="5" t="s">
        <v>8455</v>
      </c>
      <c r="H2320" s="5">
        <v>573042048136</v>
      </c>
      <c r="J2320" s="5" t="s">
        <v>10447</v>
      </c>
      <c r="K2320" s="5" t="s">
        <v>892</v>
      </c>
      <c r="L2320" s="5" t="s">
        <v>10448</v>
      </c>
      <c r="M2320" s="5">
        <v>3105001555</v>
      </c>
      <c r="N2320" s="6">
        <v>46067</v>
      </c>
      <c r="O2320" s="7">
        <v>0</v>
      </c>
      <c r="P2320" s="5">
        <v>1</v>
      </c>
      <c r="Q2320" s="5" t="s">
        <v>10449</v>
      </c>
      <c r="R2320" s="5">
        <v>265000</v>
      </c>
      <c r="S2320" s="5">
        <v>0</v>
      </c>
      <c r="T2320" s="5">
        <v>10000</v>
      </c>
      <c r="U2320" s="5">
        <v>275000</v>
      </c>
      <c r="V2320" s="5" t="s">
        <v>10450</v>
      </c>
      <c r="W2320" s="5" t="s">
        <v>36</v>
      </c>
      <c r="X2320" s="5" t="s">
        <v>7644</v>
      </c>
      <c r="Z2320" s="5" t="s">
        <v>10451</v>
      </c>
      <c r="AA2320" s="5" t="s">
        <v>44</v>
      </c>
      <c r="AC2320" s="8" t="str">
        <f>HYPERLINK("https://drive.google.com/file/d/1dIiqUXZDYWWUlopyGxfKMuytC724efgL/view?usp=drivesdk", "Abrir_Factura")</f>
        <v>Abrir_Factura</v>
      </c>
      <c r="AD2320" s="9">
        <v>46067.522534722222</v>
      </c>
    </row>
    <row r="2321" spans="1:30" ht="12.5">
      <c r="A2321" s="4">
        <v>46067.499895879635</v>
      </c>
      <c r="B2321" s="5">
        <v>92055</v>
      </c>
      <c r="C2321" s="5">
        <v>1002162815</v>
      </c>
      <c r="D2321" s="5" t="s">
        <v>4856</v>
      </c>
      <c r="F2321" s="5" t="s">
        <v>4891</v>
      </c>
      <c r="H2321" s="5">
        <v>573046167890</v>
      </c>
      <c r="J2321" s="5" t="s">
        <v>3450</v>
      </c>
      <c r="K2321" s="5" t="s">
        <v>892</v>
      </c>
      <c r="L2321" s="5" t="s">
        <v>10452</v>
      </c>
      <c r="M2321" s="5">
        <v>3207472778</v>
      </c>
      <c r="N2321" s="6">
        <v>46067</v>
      </c>
      <c r="O2321" s="7">
        <v>8.3333333333333329E-2</v>
      </c>
      <c r="P2321" s="5">
        <v>1</v>
      </c>
      <c r="Q2321" s="5" t="s">
        <v>6874</v>
      </c>
      <c r="R2321" s="5">
        <v>120000</v>
      </c>
      <c r="S2321" s="5">
        <v>0</v>
      </c>
      <c r="T2321" s="5">
        <v>10000</v>
      </c>
      <c r="U2321" s="5">
        <v>130000</v>
      </c>
      <c r="V2321" s="5" t="s">
        <v>10453</v>
      </c>
      <c r="W2321" s="5" t="s">
        <v>36</v>
      </c>
      <c r="X2321" s="5" t="s">
        <v>7644</v>
      </c>
      <c r="AA2321" s="5" t="s">
        <v>44</v>
      </c>
      <c r="AB2321" s="5" t="s">
        <v>9612</v>
      </c>
      <c r="AC2321" s="8" t="str">
        <f>HYPERLINK("https://drive.google.com/file/d/1bBGwcs6Vk4QPVUEeyjak-9u_l5twsoIf/view?usp=drivesdk", "Abrir_Factura")</f>
        <v>Abrir_Factura</v>
      </c>
      <c r="AD2321" s="9">
        <v>46067.520370370374</v>
      </c>
    </row>
    <row r="2322" spans="1:30" ht="12.5">
      <c r="A2322" s="4">
        <v>46067.513018981481</v>
      </c>
      <c r="B2322" s="5">
        <v>35000</v>
      </c>
      <c r="C2322" s="5">
        <v>1140850708</v>
      </c>
      <c r="D2322" s="5" t="s">
        <v>5182</v>
      </c>
      <c r="F2322" s="5" t="s">
        <v>5183</v>
      </c>
      <c r="H2322" s="5">
        <v>573002219667</v>
      </c>
      <c r="J2322" s="5" t="s">
        <v>5184</v>
      </c>
      <c r="K2322" s="5" t="s">
        <v>33</v>
      </c>
      <c r="L2322" s="5" t="s">
        <v>34</v>
      </c>
      <c r="M2322" s="5">
        <v>3002219667</v>
      </c>
      <c r="N2322" s="6">
        <v>46067</v>
      </c>
      <c r="O2322" s="7">
        <v>0</v>
      </c>
      <c r="P2322" s="5">
        <v>1</v>
      </c>
      <c r="Q2322" s="5" t="s">
        <v>42</v>
      </c>
      <c r="R2322" s="5">
        <v>0</v>
      </c>
      <c r="S2322" s="5">
        <v>0</v>
      </c>
      <c r="T2322" s="5">
        <v>0</v>
      </c>
      <c r="U2322" s="5">
        <v>0</v>
      </c>
      <c r="V2322" s="5"/>
      <c r="W2322" s="5" t="s">
        <v>36</v>
      </c>
      <c r="X2322" s="5" t="s">
        <v>1705</v>
      </c>
      <c r="AA2322" s="5" t="s">
        <v>1717</v>
      </c>
      <c r="AB2322" s="5" t="s">
        <v>10454</v>
      </c>
      <c r="AC2322" s="8" t="str">
        <f>HYPERLINK("https://drive.google.com/file/d/1rK3VbAVH-aNcIy3bqnQVGsQk1vKemHTE/view?usp=drivesdk", "Abrir_Factura")</f>
        <v>Abrir_Factura</v>
      </c>
      <c r="AD2322" s="9">
        <v>46067.515439814815</v>
      </c>
    </row>
    <row r="2323" spans="1:30" ht="12.5">
      <c r="A2323" s="4">
        <v>46067.513517905092</v>
      </c>
      <c r="B2323" s="5">
        <v>92058</v>
      </c>
      <c r="C2323" s="5">
        <v>1065847094</v>
      </c>
      <c r="D2323" s="5" t="s">
        <v>4992</v>
      </c>
      <c r="F2323" s="5" t="s">
        <v>9142</v>
      </c>
      <c r="H2323" s="5">
        <v>112029755636</v>
      </c>
      <c r="J2323" s="5" t="s">
        <v>9143</v>
      </c>
      <c r="K2323" s="5" t="s">
        <v>185</v>
      </c>
      <c r="L2323" s="5" t="s">
        <v>10455</v>
      </c>
      <c r="M2323" s="5">
        <v>3156656633</v>
      </c>
      <c r="N2323" s="6">
        <v>46067</v>
      </c>
      <c r="O2323" s="7">
        <v>8.3333333333333329E-2</v>
      </c>
      <c r="P2323" s="5">
        <v>1</v>
      </c>
      <c r="Q2323" s="5" t="s">
        <v>9892</v>
      </c>
      <c r="R2323" s="5">
        <v>120000</v>
      </c>
      <c r="S2323" s="5">
        <v>0</v>
      </c>
      <c r="T2323" s="5">
        <v>8000</v>
      </c>
      <c r="U2323" s="5">
        <v>128000</v>
      </c>
      <c r="V2323" s="5" t="s">
        <v>10456</v>
      </c>
      <c r="W2323" s="5" t="s">
        <v>36</v>
      </c>
      <c r="X2323" s="5" t="s">
        <v>1937</v>
      </c>
      <c r="Z2323" s="5" t="s">
        <v>4992</v>
      </c>
      <c r="AA2323" s="5" t="s">
        <v>44</v>
      </c>
      <c r="AB2323" s="5" t="s">
        <v>9612</v>
      </c>
      <c r="AC2323" s="8" t="str">
        <f>HYPERLINK("https://drive.google.com/file/d/1DuikH730btstpufUV7-39DKXORWABusb/view?usp=drivesdk", "Abrir_Factura")</f>
        <v>Abrir_Factura</v>
      </c>
      <c r="AD2323" s="9">
        <v>46067.526423611111</v>
      </c>
    </row>
    <row r="2324" spans="1:30" ht="12.5">
      <c r="A2324" s="4">
        <v>46067.514013958338</v>
      </c>
      <c r="B2324" s="5">
        <v>92053</v>
      </c>
      <c r="C2324" s="5">
        <v>1140889790</v>
      </c>
      <c r="D2324" s="5" t="s">
        <v>10457</v>
      </c>
      <c r="F2324" s="5" t="s">
        <v>3571</v>
      </c>
      <c r="H2324" s="5">
        <v>573205428081</v>
      </c>
      <c r="J2324" s="5" t="s">
        <v>10458</v>
      </c>
      <c r="K2324" s="5" t="s">
        <v>103</v>
      </c>
      <c r="L2324" s="5" t="s">
        <v>10459</v>
      </c>
      <c r="M2324" s="5"/>
      <c r="N2324" s="6">
        <v>46067</v>
      </c>
      <c r="O2324" s="7">
        <v>6.25E-2</v>
      </c>
      <c r="P2324" s="5">
        <v>1</v>
      </c>
      <c r="Q2324" s="5" t="s">
        <v>42</v>
      </c>
      <c r="R2324" s="5">
        <v>100000</v>
      </c>
      <c r="S2324" s="5">
        <v>0</v>
      </c>
      <c r="T2324" s="5">
        <v>10000</v>
      </c>
      <c r="U2324" s="5">
        <v>110000</v>
      </c>
      <c r="V2324" s="5" t="s">
        <v>10460</v>
      </c>
      <c r="W2324" s="5" t="s">
        <v>36</v>
      </c>
      <c r="X2324" s="5" t="s">
        <v>7644</v>
      </c>
      <c r="AA2324" s="5" t="s">
        <v>44</v>
      </c>
      <c r="AB2324" s="5" t="s">
        <v>10461</v>
      </c>
      <c r="AC2324" s="8" t="str">
        <f>HYPERLINK("https://drive.google.com/file/d/14o7eBBoHg4QsQJmn2wODRfSoW_gnKxH0/view?usp=drivesdk", "Abrir_Factura")</f>
        <v>Abrir_Factura</v>
      </c>
      <c r="AD2324" s="9">
        <v>46067.515173611115</v>
      </c>
    </row>
    <row r="2325" spans="1:30" ht="12.5">
      <c r="A2325" s="4">
        <v>46067.517602812499</v>
      </c>
      <c r="B2325" s="5">
        <v>92054</v>
      </c>
      <c r="C2325" s="5">
        <v>2428791648</v>
      </c>
      <c r="D2325" s="5" t="s">
        <v>10462</v>
      </c>
      <c r="F2325" s="5" t="s">
        <v>31</v>
      </c>
      <c r="H2325" s="5">
        <v>572428791648</v>
      </c>
      <c r="J2325" s="5" t="s">
        <v>10463</v>
      </c>
      <c r="K2325" s="5" t="s">
        <v>33</v>
      </c>
      <c r="L2325" s="5" t="s">
        <v>34</v>
      </c>
      <c r="M2325" s="5">
        <v>2428791648</v>
      </c>
      <c r="N2325" s="6">
        <v>46067</v>
      </c>
      <c r="O2325" s="7">
        <v>0</v>
      </c>
      <c r="P2325" s="5">
        <v>1</v>
      </c>
      <c r="Q2325" s="5" t="s">
        <v>35</v>
      </c>
      <c r="R2325" s="5">
        <v>130000</v>
      </c>
      <c r="S2325" s="5">
        <v>0</v>
      </c>
      <c r="T2325" s="5">
        <v>0</v>
      </c>
      <c r="U2325" s="5">
        <v>130000</v>
      </c>
      <c r="V2325" s="5"/>
      <c r="W2325" s="5" t="s">
        <v>36</v>
      </c>
      <c r="X2325" s="5" t="s">
        <v>37</v>
      </c>
      <c r="AA2325" s="5" t="s">
        <v>1717</v>
      </c>
      <c r="AC2325" s="8" t="str">
        <f>HYPERLINK("https://drive.google.com/file/d/17B5O1o0yaoWxbsMz4VCR9L8SjFKj9nWB/view?usp=drivesdk", "Abrir_Factura")</f>
        <v>Abrir_Factura</v>
      </c>
      <c r="AD2325" s="9">
        <v>46067.519004629627</v>
      </c>
    </row>
    <row r="2326" spans="1:30" ht="12.5">
      <c r="A2326" s="4">
        <v>46067.518264016202</v>
      </c>
      <c r="B2326" s="5">
        <v>92059</v>
      </c>
      <c r="C2326" s="5">
        <v>1627200200064</v>
      </c>
      <c r="D2326" s="5" t="s">
        <v>968</v>
      </c>
      <c r="F2326" s="5" t="s">
        <v>7632</v>
      </c>
      <c r="H2326" s="5">
        <v>50450497268800</v>
      </c>
      <c r="J2326" s="5" t="s">
        <v>10464</v>
      </c>
      <c r="K2326" s="5" t="s">
        <v>63</v>
      </c>
      <c r="L2326" s="5" t="s">
        <v>10465</v>
      </c>
      <c r="M2326" s="5" t="s">
        <v>25421</v>
      </c>
      <c r="N2326" s="6">
        <v>46067</v>
      </c>
      <c r="O2326" s="7">
        <v>0</v>
      </c>
      <c r="P2326" s="5">
        <v>1</v>
      </c>
      <c r="Q2326" s="5" t="s">
        <v>9152</v>
      </c>
      <c r="R2326" s="5">
        <v>220000</v>
      </c>
      <c r="S2326" s="5">
        <v>0</v>
      </c>
      <c r="T2326" s="5">
        <v>17000</v>
      </c>
      <c r="U2326" s="5">
        <v>237000</v>
      </c>
      <c r="V2326" s="5" t="s">
        <v>10466</v>
      </c>
      <c r="W2326" s="5" t="s">
        <v>36</v>
      </c>
      <c r="X2326" s="5" t="s">
        <v>1937</v>
      </c>
      <c r="Z2326" s="5" t="s">
        <v>10467</v>
      </c>
      <c r="AA2326" s="5" t="s">
        <v>44</v>
      </c>
      <c r="AB2326" s="5" t="s">
        <v>10468</v>
      </c>
      <c r="AC2326" s="8" t="str">
        <f>HYPERLINK("https://drive.google.com/file/d/15jpYSVRlk70L9P9QjA2dJODdCPuCMi-f/view?usp=drivesdk", "Abrir_Factura")</f>
        <v>Abrir_Factura</v>
      </c>
      <c r="AD2326" s="9">
        <v>46067.52820601852</v>
      </c>
    </row>
    <row r="2327" spans="1:30" ht="12.5">
      <c r="A2327" s="4">
        <v>46067.527006574077</v>
      </c>
      <c r="B2327" s="5">
        <v>92061</v>
      </c>
      <c r="C2327" s="5">
        <v>1140884553</v>
      </c>
      <c r="D2327" s="5" t="s">
        <v>10469</v>
      </c>
      <c r="F2327" s="5" t="s">
        <v>10470</v>
      </c>
      <c r="H2327" s="5">
        <v>573126989935</v>
      </c>
      <c r="J2327" s="5" t="s">
        <v>10471</v>
      </c>
      <c r="K2327" s="5" t="s">
        <v>73</v>
      </c>
      <c r="L2327" s="5" t="s">
        <v>10472</v>
      </c>
      <c r="M2327" s="5">
        <v>3106279289</v>
      </c>
      <c r="N2327" s="6">
        <v>46067</v>
      </c>
      <c r="O2327" s="7">
        <v>8.3333333333333329E-2</v>
      </c>
      <c r="P2327" s="5">
        <v>1</v>
      </c>
      <c r="Q2327" s="5" t="s">
        <v>9350</v>
      </c>
      <c r="R2327" s="5">
        <v>150000</v>
      </c>
      <c r="S2327" s="5">
        <v>0</v>
      </c>
      <c r="T2327" s="5">
        <v>8000</v>
      </c>
      <c r="U2327" s="5">
        <v>158000</v>
      </c>
      <c r="V2327" s="5" t="s">
        <v>10473</v>
      </c>
      <c r="W2327" s="5" t="s">
        <v>36</v>
      </c>
      <c r="X2327" s="5" t="s">
        <v>7644</v>
      </c>
      <c r="Z2327" s="5" t="s">
        <v>10469</v>
      </c>
      <c r="AA2327" s="5" t="s">
        <v>44</v>
      </c>
      <c r="AB2327" s="5" t="s">
        <v>9612</v>
      </c>
      <c r="AC2327" s="8" t="str">
        <f>HYPERLINK("https://drive.google.com/file/d/1-4IWihOR0psQuiuMKvwvG7Ad1CgEnOZH/view?usp=drivesdk", "Abrir_Factura")</f>
        <v>Abrir_Factura</v>
      </c>
      <c r="AD2327" s="9">
        <v>46067.537268518521</v>
      </c>
    </row>
    <row r="2328" spans="1:30" ht="12.5">
      <c r="A2328" s="4">
        <v>46067.534943900464</v>
      </c>
      <c r="B2328" s="5">
        <v>92064</v>
      </c>
      <c r="C2328" s="5">
        <v>1121530574</v>
      </c>
      <c r="D2328" s="5" t="s">
        <v>10474</v>
      </c>
      <c r="F2328" s="5" t="s">
        <v>10475</v>
      </c>
      <c r="H2328" s="5">
        <v>573207350254</v>
      </c>
      <c r="J2328" s="5" t="s">
        <v>10476</v>
      </c>
      <c r="K2328" s="5" t="s">
        <v>351</v>
      </c>
      <c r="L2328" s="5" t="s">
        <v>10477</v>
      </c>
      <c r="M2328" s="5">
        <v>3102226787</v>
      </c>
      <c r="N2328" s="6">
        <v>46067</v>
      </c>
      <c r="O2328" s="7">
        <v>0.10416666666666667</v>
      </c>
      <c r="P2328" s="5">
        <v>1</v>
      </c>
      <c r="Q2328" s="5" t="s">
        <v>9280</v>
      </c>
      <c r="R2328" s="5">
        <v>95000</v>
      </c>
      <c r="S2328" s="5">
        <v>0</v>
      </c>
      <c r="T2328" s="5">
        <v>12000</v>
      </c>
      <c r="U2328" s="5">
        <v>107000</v>
      </c>
      <c r="V2328" s="5" t="s">
        <v>10478</v>
      </c>
      <c r="W2328" s="5" t="s">
        <v>36</v>
      </c>
      <c r="X2328" s="5" t="s">
        <v>7644</v>
      </c>
      <c r="Z2328" s="5" t="s">
        <v>10479</v>
      </c>
      <c r="AA2328" s="5" t="s">
        <v>44</v>
      </c>
      <c r="AB2328" s="5" t="s">
        <v>10480</v>
      </c>
      <c r="AC2328" s="8" t="str">
        <f>HYPERLINK("https://drive.google.com/file/d/1GbUQI4SXpNeDRedfnHn_dSpRd-szXPDi/view?usp=drivesdk", "Abrir_Factura")</f>
        <v>Abrir_Factura</v>
      </c>
      <c r="AD2328" s="9">
        <v>46067.545092592591</v>
      </c>
    </row>
    <row r="2329" spans="1:30" ht="12.5">
      <c r="A2329" s="4">
        <v>46067.535962789349</v>
      </c>
      <c r="B2329" s="5">
        <v>92062</v>
      </c>
      <c r="C2329" s="5">
        <v>1139424989</v>
      </c>
      <c r="D2329" s="5" t="s">
        <v>10481</v>
      </c>
      <c r="F2329" s="5" t="s">
        <v>4175</v>
      </c>
      <c r="H2329" s="5">
        <v>573217684110</v>
      </c>
      <c r="J2329" s="5" t="s">
        <v>10482</v>
      </c>
      <c r="K2329" s="5" t="s">
        <v>63</v>
      </c>
      <c r="L2329" s="5" t="s">
        <v>10483</v>
      </c>
      <c r="M2329" s="5">
        <v>3217684110</v>
      </c>
      <c r="N2329" s="6">
        <v>46067</v>
      </c>
      <c r="O2329" s="7">
        <v>0</v>
      </c>
      <c r="P2329" s="5">
        <v>1</v>
      </c>
      <c r="Q2329" s="5" t="s">
        <v>42</v>
      </c>
      <c r="R2329" s="5">
        <v>160000</v>
      </c>
      <c r="S2329" s="5">
        <v>0</v>
      </c>
      <c r="T2329" s="5">
        <v>17000</v>
      </c>
      <c r="U2329" s="5">
        <v>177000</v>
      </c>
      <c r="V2329" s="5" t="s">
        <v>10484</v>
      </c>
      <c r="W2329" s="5" t="s">
        <v>36</v>
      </c>
      <c r="X2329" s="5" t="s">
        <v>7644</v>
      </c>
      <c r="AA2329" s="5" t="s">
        <v>69</v>
      </c>
      <c r="AC2329" s="8" t="str">
        <f>HYPERLINK("https://drive.google.com/file/d/1ChBkod36I0vRDbQN4Jb_ldEGGWGoDWju/view?usp=drivesdk", "Abrir_Factura")</f>
        <v>Abrir_Factura</v>
      </c>
      <c r="AD2329" s="9">
        <v>46067.537557870368</v>
      </c>
    </row>
    <row r="2330" spans="1:30" ht="12.5">
      <c r="A2330" s="4">
        <v>46067.540123125</v>
      </c>
      <c r="B2330" s="5">
        <v>92063</v>
      </c>
      <c r="C2330" s="5">
        <v>1047502709</v>
      </c>
      <c r="D2330" s="5" t="s">
        <v>226</v>
      </c>
      <c r="F2330" s="5" t="s">
        <v>8911</v>
      </c>
      <c r="H2330" s="5">
        <v>573154165888</v>
      </c>
      <c r="J2330" s="5" t="s">
        <v>1928</v>
      </c>
      <c r="K2330" s="5" t="s">
        <v>33</v>
      </c>
      <c r="L2330" s="5" t="s">
        <v>34</v>
      </c>
      <c r="M2330" s="5">
        <v>3005116760</v>
      </c>
      <c r="N2330" s="6">
        <v>46067</v>
      </c>
      <c r="O2330" s="7">
        <v>0</v>
      </c>
      <c r="P2330" s="5">
        <v>1</v>
      </c>
      <c r="Q2330" s="5" t="s">
        <v>57</v>
      </c>
      <c r="R2330" s="5">
        <v>120000</v>
      </c>
      <c r="S2330" s="5">
        <v>0</v>
      </c>
      <c r="T2330" s="5">
        <v>0</v>
      </c>
      <c r="U2330" s="5">
        <v>120000</v>
      </c>
      <c r="V2330" s="5" t="s">
        <v>10485</v>
      </c>
      <c r="W2330" s="5" t="s">
        <v>36</v>
      </c>
      <c r="X2330" s="5" t="s">
        <v>2438</v>
      </c>
      <c r="Z2330" s="5" t="s">
        <v>8915</v>
      </c>
      <c r="AA2330" s="5" t="s">
        <v>44</v>
      </c>
      <c r="AB2330" s="5" t="s">
        <v>2708</v>
      </c>
      <c r="AC2330" s="8" t="str">
        <f>HYPERLINK("https://drive.google.com/file/d/1TioJA52XWKXKWr6xQYz6FfyjWCzPjKXE/view?usp=drivesdk", "Abrir_Factura")</f>
        <v>Abrir_Factura</v>
      </c>
      <c r="AD2330" s="9">
        <v>46067.544074074074</v>
      </c>
    </row>
    <row r="2331" spans="1:30" ht="12.5">
      <c r="A2331" s="4">
        <v>46067.54857846065</v>
      </c>
      <c r="B2331" s="5">
        <v>92065</v>
      </c>
      <c r="C2331" s="5">
        <v>1193576311</v>
      </c>
      <c r="D2331" s="5" t="s">
        <v>1038</v>
      </c>
      <c r="F2331" s="5" t="s">
        <v>10486</v>
      </c>
      <c r="H2331" s="5">
        <v>573017240790</v>
      </c>
      <c r="J2331" s="5" t="s">
        <v>10487</v>
      </c>
      <c r="K2331" s="5" t="s">
        <v>73</v>
      </c>
      <c r="L2331" s="5" t="s">
        <v>10488</v>
      </c>
      <c r="M2331" s="5" t="s">
        <v>10489</v>
      </c>
      <c r="N2331" s="6">
        <v>46067</v>
      </c>
      <c r="O2331" s="7">
        <v>0.125</v>
      </c>
      <c r="P2331" s="5">
        <v>1</v>
      </c>
      <c r="Q2331" s="5" t="s">
        <v>9693</v>
      </c>
      <c r="R2331" s="5">
        <v>65000</v>
      </c>
      <c r="S2331" s="5">
        <v>0</v>
      </c>
      <c r="T2331" s="5">
        <v>8000</v>
      </c>
      <c r="U2331" s="5">
        <v>73000</v>
      </c>
      <c r="V2331" s="5" t="s">
        <v>10083</v>
      </c>
      <c r="W2331" s="5" t="s">
        <v>36</v>
      </c>
      <c r="X2331" s="5" t="s">
        <v>7644</v>
      </c>
      <c r="Z2331" s="5" t="s">
        <v>310</v>
      </c>
      <c r="AA2331" s="5" t="s">
        <v>44</v>
      </c>
      <c r="AB2331" s="5" t="s">
        <v>10490</v>
      </c>
      <c r="AC2331" s="8" t="str">
        <f>HYPERLINK("https://drive.google.com/file/d/1Ih1hvYqmEtM2cwyXrY9B1TpBDDIxSrz6/view?usp=drivesdk", "Abrir_Factura")</f>
        <v>Abrir_Factura</v>
      </c>
      <c r="AD2331" s="9">
        <v>46067.555648148147</v>
      </c>
    </row>
    <row r="2332" spans="1:30" ht="12.5">
      <c r="A2332" s="4">
        <v>46067.555763113429</v>
      </c>
      <c r="B2332" s="5">
        <v>92066</v>
      </c>
      <c r="C2332" s="5">
        <v>40879478</v>
      </c>
      <c r="D2332" s="5" t="s">
        <v>10491</v>
      </c>
      <c r="F2332" s="5" t="s">
        <v>10492</v>
      </c>
      <c r="H2332" s="5">
        <v>570000</v>
      </c>
      <c r="J2332" s="5" t="s">
        <v>10491</v>
      </c>
      <c r="K2332" s="5" t="s">
        <v>73</v>
      </c>
      <c r="L2332" s="5" t="s">
        <v>10493</v>
      </c>
      <c r="M2332" s="5">
        <v>3105730849</v>
      </c>
      <c r="N2332" s="6">
        <v>46067</v>
      </c>
      <c r="O2332" s="7">
        <v>0.58333333333333337</v>
      </c>
      <c r="P2332" s="5">
        <v>1</v>
      </c>
      <c r="Q2332" s="5" t="s">
        <v>42</v>
      </c>
      <c r="R2332" s="5">
        <v>82000</v>
      </c>
      <c r="S2332" s="5">
        <v>0</v>
      </c>
      <c r="T2332" s="5">
        <v>8000</v>
      </c>
      <c r="U2332" s="5">
        <v>90000</v>
      </c>
      <c r="V2332" s="5"/>
      <c r="W2332" s="5" t="s">
        <v>36</v>
      </c>
      <c r="X2332" s="5" t="s">
        <v>67</v>
      </c>
      <c r="AA2332" s="5" t="s">
        <v>44</v>
      </c>
      <c r="AB2332" s="5" t="s">
        <v>10494</v>
      </c>
      <c r="AC2332" s="8" t="str">
        <f>HYPERLINK("https://drive.google.com/file/d/1LW2UqfHHd0DDgg683yF6T8T0tjCEt8JB/view?usp=drivesdk", "Abrir_Factura")</f>
        <v>Abrir_Factura</v>
      </c>
      <c r="AD2332" s="9">
        <v>46067.712013888886</v>
      </c>
    </row>
    <row r="2333" spans="1:30" ht="12.5">
      <c r="A2333" s="4">
        <v>46067.55699542824</v>
      </c>
      <c r="B2333" s="5">
        <v>92086</v>
      </c>
      <c r="C2333" s="5">
        <v>1045717294</v>
      </c>
      <c r="D2333" s="5" t="s">
        <v>10495</v>
      </c>
      <c r="F2333" s="5" t="s">
        <v>10496</v>
      </c>
      <c r="H2333" s="5">
        <v>573013894849</v>
      </c>
      <c r="J2333" s="5" t="s">
        <v>10497</v>
      </c>
      <c r="K2333" s="5" t="s">
        <v>63</v>
      </c>
      <c r="L2333" s="5" t="s">
        <v>10498</v>
      </c>
      <c r="M2333" s="5">
        <v>3013894849</v>
      </c>
      <c r="N2333" s="6">
        <v>46067</v>
      </c>
      <c r="O2333" s="7">
        <v>0</v>
      </c>
      <c r="P2333" s="5">
        <v>1</v>
      </c>
      <c r="Q2333" s="5" t="s">
        <v>9238</v>
      </c>
      <c r="R2333" s="5">
        <v>300000</v>
      </c>
      <c r="S2333" s="5">
        <v>0</v>
      </c>
      <c r="T2333" s="5">
        <v>17000</v>
      </c>
      <c r="U2333" s="5">
        <v>317000</v>
      </c>
      <c r="V2333" s="5" t="s">
        <v>10499</v>
      </c>
      <c r="W2333" s="5" t="s">
        <v>36</v>
      </c>
      <c r="X2333" s="5" t="s">
        <v>2438</v>
      </c>
      <c r="Z2333" s="5" t="s">
        <v>10500</v>
      </c>
      <c r="AA2333" s="5" t="s">
        <v>44</v>
      </c>
      <c r="AC2333" s="8" t="str">
        <f>HYPERLINK("https://drive.google.com/file/d/1H0giweM1HO1kwecOz-7Pbb5DQOAq0dJB/view?usp=drivesdk", "Abrir_Factura")</f>
        <v>Abrir_Factura</v>
      </c>
      <c r="AD2333" s="9">
        <v>46067.612291666665</v>
      </c>
    </row>
    <row r="2334" spans="1:30" ht="12.5">
      <c r="A2334" s="4">
        <v>46067.559436921292</v>
      </c>
      <c r="B2334" s="5">
        <v>92069</v>
      </c>
      <c r="C2334" s="5">
        <v>1041691627</v>
      </c>
      <c r="D2334" s="5" t="s">
        <v>1051</v>
      </c>
      <c r="F2334" s="5" t="s">
        <v>2622</v>
      </c>
      <c r="H2334" s="5">
        <v>573223789127</v>
      </c>
      <c r="J2334" s="5" t="s">
        <v>10501</v>
      </c>
      <c r="K2334" s="5" t="s">
        <v>154</v>
      </c>
      <c r="L2334" s="5" t="s">
        <v>10502</v>
      </c>
      <c r="M2334" s="5">
        <v>3105638845</v>
      </c>
      <c r="N2334" s="6">
        <v>46067</v>
      </c>
      <c r="O2334" s="7">
        <v>0.125</v>
      </c>
      <c r="P2334" s="5">
        <v>1</v>
      </c>
      <c r="Q2334" s="5" t="s">
        <v>309</v>
      </c>
      <c r="R2334" s="5">
        <v>90000</v>
      </c>
      <c r="S2334" s="5">
        <v>0</v>
      </c>
      <c r="T2334" s="5">
        <v>8000</v>
      </c>
      <c r="U2334" s="5">
        <v>98000</v>
      </c>
      <c r="V2334" s="5" t="s">
        <v>10503</v>
      </c>
      <c r="W2334" s="5" t="s">
        <v>36</v>
      </c>
      <c r="X2334" s="5" t="s">
        <v>7644</v>
      </c>
      <c r="Z2334" s="5" t="s">
        <v>10504</v>
      </c>
      <c r="AA2334" s="5" t="s">
        <v>44</v>
      </c>
      <c r="AB2334" s="5" t="s">
        <v>9612</v>
      </c>
      <c r="AC2334" s="8" t="str">
        <f>HYPERLINK("https://drive.google.com/file/d/1_--VXiw3AVIBUv5wq99gZRfUWAkAksxi/view?usp=drivesdk", "Abrir_Factura")</f>
        <v>Abrir_Factura</v>
      </c>
      <c r="AD2334" s="9">
        <v>46067.572025462963</v>
      </c>
    </row>
    <row r="2335" spans="1:30" ht="12.5">
      <c r="A2335" s="4">
        <v>46067.55945458333</v>
      </c>
      <c r="B2335" s="5">
        <v>92070</v>
      </c>
      <c r="C2335" s="5">
        <v>1042848336</v>
      </c>
      <c r="D2335" s="5" t="s">
        <v>1069</v>
      </c>
      <c r="F2335" s="5" t="s">
        <v>10505</v>
      </c>
      <c r="H2335" s="5">
        <v>573116673450</v>
      </c>
      <c r="J2335" s="5" t="s">
        <v>10506</v>
      </c>
      <c r="K2335" s="5" t="s">
        <v>420</v>
      </c>
      <c r="L2335" s="5" t="s">
        <v>10507</v>
      </c>
      <c r="M2335" s="5">
        <v>3013201719</v>
      </c>
      <c r="N2335" s="6">
        <v>46067</v>
      </c>
      <c r="O2335" s="7">
        <v>0.125</v>
      </c>
      <c r="P2335" s="5">
        <v>1</v>
      </c>
      <c r="Q2335" s="5" t="s">
        <v>309</v>
      </c>
      <c r="R2335" s="5">
        <v>90000</v>
      </c>
      <c r="S2335" s="5">
        <v>0</v>
      </c>
      <c r="T2335" s="5">
        <v>16000</v>
      </c>
      <c r="U2335" s="5">
        <v>106000</v>
      </c>
      <c r="V2335" s="5" t="s">
        <v>10508</v>
      </c>
      <c r="W2335" s="5" t="s">
        <v>36</v>
      </c>
      <c r="X2335" s="5" t="s">
        <v>7644</v>
      </c>
      <c r="Z2335" s="5" t="s">
        <v>10509</v>
      </c>
      <c r="AA2335" s="5" t="s">
        <v>44</v>
      </c>
      <c r="AB2335" s="5" t="s">
        <v>2708</v>
      </c>
      <c r="AC2335" s="8" t="str">
        <f>HYPERLINK("https://drive.google.com/file/d/1A5VONoU7FIKjjfwYn8V-WoVEu70VtZJX/view?usp=drivesdk", "Abrir_Factura")</f>
        <v>Abrir_Factura</v>
      </c>
      <c r="AD2335" s="9">
        <v>46067.593113425923</v>
      </c>
    </row>
    <row r="2336" spans="1:30" ht="12.5">
      <c r="A2336" s="4">
        <v>46067.562997650464</v>
      </c>
      <c r="B2336" s="5">
        <v>92068</v>
      </c>
      <c r="C2336" s="5">
        <v>1001947073</v>
      </c>
      <c r="D2336" s="5" t="s">
        <v>2783</v>
      </c>
      <c r="F2336" s="5" t="s">
        <v>10510</v>
      </c>
      <c r="H2336" s="5">
        <v>573006397155</v>
      </c>
      <c r="J2336" s="5" t="s">
        <v>10511</v>
      </c>
      <c r="K2336" s="5" t="s">
        <v>249</v>
      </c>
      <c r="L2336" s="5" t="s">
        <v>10512</v>
      </c>
      <c r="M2336" s="5">
        <v>3214326156</v>
      </c>
      <c r="N2336" s="6">
        <v>46067</v>
      </c>
      <c r="O2336" s="7">
        <v>0.125</v>
      </c>
      <c r="P2336" s="5">
        <v>1</v>
      </c>
      <c r="Q2336" s="5" t="s">
        <v>1111</v>
      </c>
      <c r="R2336" s="5">
        <v>140000</v>
      </c>
      <c r="S2336" s="5">
        <v>0</v>
      </c>
      <c r="T2336" s="5">
        <v>10000</v>
      </c>
      <c r="U2336" s="5">
        <v>150000</v>
      </c>
      <c r="V2336" s="5" t="s">
        <v>10513</v>
      </c>
      <c r="W2336" s="5" t="s">
        <v>36</v>
      </c>
      <c r="X2336" s="5" t="s">
        <v>7644</v>
      </c>
      <c r="Z2336" s="5" t="s">
        <v>10514</v>
      </c>
      <c r="AA2336" s="5" t="s">
        <v>44</v>
      </c>
      <c r="AB2336" s="5" t="s">
        <v>9612</v>
      </c>
      <c r="AC2336" s="8" t="str">
        <f>HYPERLINK("https://drive.google.com/file/d/1Zsdx7GyZZX2TUxXzIIfItehhECDGOdwC/view?usp=drivesdk", "Abrir_Factura")</f>
        <v>Abrir_Factura</v>
      </c>
      <c r="AD2336" s="9">
        <v>46067.565717592595</v>
      </c>
    </row>
    <row r="2337" spans="1:30" ht="12.5">
      <c r="A2337" s="4">
        <v>46067.564101249998</v>
      </c>
      <c r="B2337" s="5">
        <v>92092</v>
      </c>
      <c r="C2337" s="5">
        <v>19586084</v>
      </c>
      <c r="D2337" s="5" t="s">
        <v>10515</v>
      </c>
      <c r="F2337" s="5" t="s">
        <v>10516</v>
      </c>
      <c r="H2337" s="5">
        <v>584149190080</v>
      </c>
      <c r="J2337" s="5" t="s">
        <v>10517</v>
      </c>
      <c r="K2337" s="5" t="s">
        <v>185</v>
      </c>
      <c r="L2337" s="5" t="s">
        <v>10518</v>
      </c>
      <c r="M2337" s="5" t="s">
        <v>25421</v>
      </c>
      <c r="N2337" s="6">
        <v>46067</v>
      </c>
      <c r="O2337" s="7">
        <v>0.16666666666666666</v>
      </c>
      <c r="P2337" s="5">
        <v>1</v>
      </c>
      <c r="Q2337" s="5" t="s">
        <v>10519</v>
      </c>
      <c r="R2337" s="5">
        <v>560000</v>
      </c>
      <c r="S2337" s="5">
        <v>0</v>
      </c>
      <c r="T2337" s="5">
        <v>8000</v>
      </c>
      <c r="U2337" s="5">
        <v>568000</v>
      </c>
      <c r="V2337" s="5" t="s">
        <v>10520</v>
      </c>
      <c r="W2337" s="5" t="s">
        <v>36</v>
      </c>
      <c r="X2337" s="5" t="s">
        <v>3754</v>
      </c>
      <c r="Z2337" s="5" t="s">
        <v>10521</v>
      </c>
      <c r="AA2337" s="5" t="s">
        <v>44</v>
      </c>
      <c r="AB2337" s="5" t="s">
        <v>9612</v>
      </c>
      <c r="AC2337" s="8" t="str">
        <f>HYPERLINK("https://drive.google.com/file/d/1fEGiXvGHytVlwd9Fp1ysg77RdDW_UJuk/view?usp=drivesdk", "Abrir_Factura")</f>
        <v>Abrir_Factura</v>
      </c>
      <c r="AD2337" s="9">
        <v>46067.622256944444</v>
      </c>
    </row>
    <row r="2338" spans="1:30" ht="12.5">
      <c r="A2338" s="4">
        <v>46067.567750208334</v>
      </c>
      <c r="B2338" s="5">
        <v>92100</v>
      </c>
      <c r="C2338" s="5">
        <v>1046697921</v>
      </c>
      <c r="D2338" s="5" t="s">
        <v>1069</v>
      </c>
      <c r="F2338" s="5" t="s">
        <v>10510</v>
      </c>
      <c r="H2338" s="5">
        <v>573002839116</v>
      </c>
      <c r="J2338" s="5" t="s">
        <v>1467</v>
      </c>
      <c r="K2338" s="5" t="s">
        <v>73</v>
      </c>
      <c r="L2338" s="5" t="s">
        <v>10522</v>
      </c>
      <c r="M2338" s="5">
        <v>3043867003</v>
      </c>
      <c r="N2338" s="6">
        <v>46067</v>
      </c>
      <c r="O2338" s="7">
        <v>0</v>
      </c>
      <c r="P2338" s="5">
        <v>1</v>
      </c>
      <c r="Q2338" s="5" t="s">
        <v>8347</v>
      </c>
      <c r="R2338" s="5">
        <v>350000</v>
      </c>
      <c r="S2338" s="5">
        <v>0</v>
      </c>
      <c r="T2338" s="5">
        <v>8000</v>
      </c>
      <c r="U2338" s="5">
        <v>358000</v>
      </c>
      <c r="V2338" s="5" t="s">
        <v>10523</v>
      </c>
      <c r="W2338" s="5" t="s">
        <v>36</v>
      </c>
      <c r="X2338" s="5" t="s">
        <v>67</v>
      </c>
      <c r="Z2338" s="5" t="s">
        <v>7798</v>
      </c>
      <c r="AA2338" s="5" t="s">
        <v>44</v>
      </c>
      <c r="AB2338" s="5" t="s">
        <v>9612</v>
      </c>
      <c r="AC2338" s="8" t="str">
        <f>HYPERLINK("https://drive.google.com/file/d/1_gDbaufpPvAo-23wHmq-5Yh5dT29s93x/view?usp=drivesdk", "Abrir_Factura")</f>
        <v>Abrir_Factura</v>
      </c>
      <c r="AD2338" s="9">
        <v>46067.65184027778</v>
      </c>
    </row>
    <row r="2339" spans="1:30" ht="12.5">
      <c r="A2339" s="4">
        <v>46067.569856956019</v>
      </c>
      <c r="B2339" s="5">
        <v>92075</v>
      </c>
      <c r="C2339" s="5">
        <v>1090503124</v>
      </c>
      <c r="D2339" s="5" t="s">
        <v>3508</v>
      </c>
      <c r="F2339" s="5" t="s">
        <v>10524</v>
      </c>
      <c r="H2339" s="5">
        <v>573158585683</v>
      </c>
      <c r="J2339" s="5" t="s">
        <v>10525</v>
      </c>
      <c r="K2339" s="5" t="s">
        <v>10526</v>
      </c>
      <c r="L2339" s="5" t="s">
        <v>10527</v>
      </c>
      <c r="M2339" s="5">
        <v>3158585683</v>
      </c>
      <c r="N2339" s="6">
        <v>46067</v>
      </c>
      <c r="O2339" s="7">
        <v>0.125</v>
      </c>
      <c r="P2339" s="5">
        <v>1</v>
      </c>
      <c r="Q2339" s="5" t="s">
        <v>6874</v>
      </c>
      <c r="R2339" s="5">
        <v>120000</v>
      </c>
      <c r="S2339" s="5">
        <v>0</v>
      </c>
      <c r="T2339" s="5">
        <v>12000</v>
      </c>
      <c r="U2339" s="5">
        <v>132000</v>
      </c>
      <c r="V2339" s="5" t="s">
        <v>10528</v>
      </c>
      <c r="W2339" s="5" t="s">
        <v>36</v>
      </c>
      <c r="X2339" s="5" t="s">
        <v>1937</v>
      </c>
      <c r="Z2339" s="5" t="s">
        <v>10529</v>
      </c>
      <c r="AA2339" s="5" t="s">
        <v>44</v>
      </c>
      <c r="AB2339" s="5" t="s">
        <v>10530</v>
      </c>
      <c r="AC2339" s="8" t="str">
        <f>HYPERLINK("https://drive.google.com/file/d/1spEMwZ9FER_L7CWFBkYOSXLKdbKRROxc/view?usp=drivesdk", "Abrir_Factura")</f>
        <v>Abrir_Factura</v>
      </c>
      <c r="AD2339" s="9">
        <v>46067.584467592591</v>
      </c>
    </row>
    <row r="2340" spans="1:30" ht="12.5">
      <c r="A2340" s="4">
        <v>46067.575232974537</v>
      </c>
      <c r="B2340" s="5">
        <v>92071</v>
      </c>
      <c r="C2340" s="5">
        <v>1048068984</v>
      </c>
      <c r="D2340" s="5" t="s">
        <v>10531</v>
      </c>
      <c r="F2340" s="5" t="s">
        <v>10532</v>
      </c>
      <c r="H2340" s="5">
        <v>573022102353</v>
      </c>
      <c r="J2340" s="5" t="s">
        <v>10533</v>
      </c>
      <c r="K2340" s="5" t="s">
        <v>33</v>
      </c>
      <c r="L2340" s="5" t="s">
        <v>34</v>
      </c>
      <c r="M2340" s="5">
        <v>3022102353</v>
      </c>
      <c r="N2340" s="6">
        <v>46067</v>
      </c>
      <c r="O2340" s="7">
        <v>0.125</v>
      </c>
      <c r="P2340" s="5">
        <v>1</v>
      </c>
      <c r="Q2340" s="5" t="s">
        <v>9842</v>
      </c>
      <c r="R2340" s="5">
        <v>200000</v>
      </c>
      <c r="S2340" s="5">
        <v>0</v>
      </c>
      <c r="T2340" s="5">
        <v>0</v>
      </c>
      <c r="U2340" s="5">
        <v>200000</v>
      </c>
      <c r="V2340" s="5" t="s">
        <v>10534</v>
      </c>
      <c r="W2340" s="5" t="s">
        <v>36</v>
      </c>
      <c r="X2340" s="5" t="s">
        <v>2438</v>
      </c>
      <c r="Z2340" s="5" t="s">
        <v>10535</v>
      </c>
      <c r="AA2340" s="5" t="s">
        <v>44</v>
      </c>
      <c r="AB2340" s="5" t="s">
        <v>9612</v>
      </c>
      <c r="AC2340" s="8" t="str">
        <f>HYPERLINK("https://drive.google.com/file/d/1N9Xg2M9DjyGavuEkz-vaJ5bBNQpSk2g1/view?usp=drivesdk", "Abrir_Factura")</f>
        <v>Abrir_Factura</v>
      </c>
      <c r="AD2340" s="9">
        <v>46067.577418981484</v>
      </c>
    </row>
    <row r="2341" spans="1:30" ht="12.5">
      <c r="A2341" s="4">
        <v>46067.575326423612</v>
      </c>
      <c r="B2341" s="5">
        <v>92078</v>
      </c>
      <c r="C2341" s="5">
        <v>40231054566</v>
      </c>
      <c r="D2341" s="5" t="s">
        <v>968</v>
      </c>
      <c r="F2341" s="5" t="s">
        <v>8252</v>
      </c>
      <c r="H2341" s="5">
        <v>182918293411451</v>
      </c>
      <c r="J2341" s="5" t="s">
        <v>8253</v>
      </c>
      <c r="K2341" s="5" t="s">
        <v>185</v>
      </c>
      <c r="L2341" s="5" t="s">
        <v>10536</v>
      </c>
      <c r="M2341" s="5" t="s">
        <v>25421</v>
      </c>
      <c r="N2341" s="6">
        <v>46067</v>
      </c>
      <c r="O2341" s="7">
        <v>0</v>
      </c>
      <c r="P2341" s="5">
        <v>1</v>
      </c>
      <c r="Q2341" s="5" t="s">
        <v>458</v>
      </c>
      <c r="R2341" s="5">
        <v>360000</v>
      </c>
      <c r="S2341" s="5">
        <v>0</v>
      </c>
      <c r="T2341" s="5">
        <v>8000</v>
      </c>
      <c r="U2341" s="5">
        <v>368000</v>
      </c>
      <c r="V2341" s="5" t="s">
        <v>10537</v>
      </c>
      <c r="W2341" s="5" t="s">
        <v>36</v>
      </c>
      <c r="X2341" s="5" t="s">
        <v>3754</v>
      </c>
      <c r="AA2341" s="5" t="s">
        <v>44</v>
      </c>
      <c r="AB2341" s="5" t="s">
        <v>2708</v>
      </c>
      <c r="AC2341" s="8" t="str">
        <f>HYPERLINK("https://drive.google.com/file/d/1Lm6s3ceCJXpyE9nQ-dVcOcQ5FyUsl2DQ/view?usp=drivesdk", "Abrir_Factura")</f>
        <v>Abrir_Factura</v>
      </c>
      <c r="AD2341" s="9">
        <v>46067.589062500003</v>
      </c>
    </row>
    <row r="2342" spans="1:30" ht="12.5">
      <c r="A2342" s="4">
        <v>46067.575875937502</v>
      </c>
      <c r="B2342" s="5">
        <v>92074</v>
      </c>
      <c r="C2342" s="5">
        <v>1044429110</v>
      </c>
      <c r="D2342" s="5" t="s">
        <v>2652</v>
      </c>
      <c r="F2342" s="5" t="s">
        <v>10538</v>
      </c>
      <c r="H2342" s="5">
        <v>573147821786</v>
      </c>
      <c r="J2342" s="5" t="s">
        <v>10539</v>
      </c>
      <c r="K2342" s="5"/>
      <c r="L2342" s="5" t="s">
        <v>10540</v>
      </c>
      <c r="M2342" s="5">
        <v>3008970260</v>
      </c>
      <c r="N2342" s="6">
        <v>46067</v>
      </c>
      <c r="O2342" s="7">
        <v>0</v>
      </c>
      <c r="P2342" s="5">
        <v>1</v>
      </c>
      <c r="Q2342" s="5" t="s">
        <v>9693</v>
      </c>
      <c r="R2342" s="5">
        <v>65000</v>
      </c>
      <c r="S2342" s="5">
        <v>0</v>
      </c>
      <c r="T2342" s="5"/>
      <c r="U2342" s="5">
        <v>65000</v>
      </c>
      <c r="V2342" s="5" t="s">
        <v>10541</v>
      </c>
      <c r="W2342" s="5" t="s">
        <v>36</v>
      </c>
      <c r="X2342" s="5" t="s">
        <v>7644</v>
      </c>
      <c r="Z2342" s="5" t="s">
        <v>10542</v>
      </c>
      <c r="AA2342" s="5" t="s">
        <v>69</v>
      </c>
      <c r="AC2342" s="8" t="str">
        <f>HYPERLINK("https://drive.google.com/file/d/1ORamoJJ6HERJpMViuJMAXMySg7kwT1oQ/view?usp=drivesdk", "Abrir_Factura")</f>
        <v>Abrir_Factura</v>
      </c>
      <c r="AD2342" s="9">
        <v>46067.583437499998</v>
      </c>
    </row>
    <row r="2343" spans="1:30" ht="12.5">
      <c r="A2343" s="4">
        <v>46067.57831449074</v>
      </c>
      <c r="B2343" s="5">
        <v>92081</v>
      </c>
      <c r="C2343" s="5">
        <v>1042261203</v>
      </c>
      <c r="D2343" s="5" t="s">
        <v>10543</v>
      </c>
      <c r="F2343" s="5" t="s">
        <v>4951</v>
      </c>
      <c r="H2343" s="5">
        <v>573207169243</v>
      </c>
      <c r="J2343" s="5" t="s">
        <v>10544</v>
      </c>
      <c r="K2343" s="5" t="s">
        <v>79</v>
      </c>
      <c r="L2343" s="5" t="s">
        <v>10545</v>
      </c>
      <c r="M2343" s="5" t="s">
        <v>25421</v>
      </c>
      <c r="N2343" s="6">
        <v>46067</v>
      </c>
      <c r="O2343" s="7">
        <v>0</v>
      </c>
      <c r="P2343" s="5">
        <v>1</v>
      </c>
      <c r="Q2343" s="5" t="s">
        <v>9152</v>
      </c>
      <c r="R2343" s="5">
        <v>220000</v>
      </c>
      <c r="S2343" s="5">
        <v>41800</v>
      </c>
      <c r="T2343" s="5">
        <v>10000</v>
      </c>
      <c r="U2343" s="5">
        <v>271800</v>
      </c>
      <c r="V2343" s="5" t="s">
        <v>10546</v>
      </c>
      <c r="W2343" s="5" t="s">
        <v>36</v>
      </c>
      <c r="X2343" s="5" t="s">
        <v>7644</v>
      </c>
      <c r="Z2343" s="5" t="s">
        <v>10547</v>
      </c>
      <c r="AA2343" s="5" t="s">
        <v>44</v>
      </c>
      <c r="AB2343" s="5" t="s">
        <v>2708</v>
      </c>
      <c r="AC2343" s="8" t="str">
        <f>HYPERLINK("https://drive.google.com/file/d/1RCD0M7RvzkBct1z6gFQBoJuT8KkgVrUD/view?usp=drivesdk", "Abrir_Factura")</f>
        <v>Abrir_Factura</v>
      </c>
      <c r="AD2343" s="9">
        <v>46067.60229166667</v>
      </c>
    </row>
    <row r="2344" spans="1:30" ht="12.5">
      <c r="A2344" s="4">
        <v>46067.580838877315</v>
      </c>
      <c r="B2344" s="5">
        <v>92073</v>
      </c>
      <c r="C2344" s="5">
        <v>1042256416</v>
      </c>
      <c r="D2344" s="5" t="s">
        <v>9683</v>
      </c>
      <c r="F2344" s="5" t="s">
        <v>10548</v>
      </c>
      <c r="H2344" s="5">
        <v>573001241116</v>
      </c>
      <c r="J2344" s="5" t="s">
        <v>10549</v>
      </c>
      <c r="K2344" s="5" t="s">
        <v>33</v>
      </c>
      <c r="L2344" s="5" t="s">
        <v>34</v>
      </c>
      <c r="M2344" s="5">
        <v>3001241116</v>
      </c>
      <c r="N2344" s="6">
        <v>46067</v>
      </c>
      <c r="O2344" s="7">
        <v>0</v>
      </c>
      <c r="P2344" s="5">
        <v>1</v>
      </c>
      <c r="Q2344" s="5" t="s">
        <v>42</v>
      </c>
      <c r="R2344" s="5">
        <v>35000</v>
      </c>
      <c r="S2344" s="5">
        <v>0</v>
      </c>
      <c r="T2344" s="5">
        <v>0</v>
      </c>
      <c r="U2344" s="5">
        <v>35000</v>
      </c>
      <c r="V2344" s="5"/>
      <c r="W2344" s="5" t="s">
        <v>36</v>
      </c>
      <c r="X2344" s="5" t="s">
        <v>196</v>
      </c>
      <c r="AA2344" s="5" t="s">
        <v>1717</v>
      </c>
      <c r="AB2344" s="5" t="s">
        <v>10550</v>
      </c>
      <c r="AC2344" s="8" t="str">
        <f>HYPERLINK("https://drive.google.com/file/d/1H0Pyxsv2oIk9tcrvGTsD2erj6uV7sGoz/view?usp=drivesdk", "Abrir_Factura")</f>
        <v>Abrir_Factura</v>
      </c>
      <c r="AD2344" s="9">
        <v>46067.58189814815</v>
      </c>
    </row>
    <row r="2345" spans="1:30" ht="12.5">
      <c r="A2345" s="4">
        <v>46067.581381493059</v>
      </c>
      <c r="B2345" s="5">
        <v>92087</v>
      </c>
      <c r="C2345" s="5">
        <v>1043966575</v>
      </c>
      <c r="D2345" s="5" t="s">
        <v>968</v>
      </c>
      <c r="F2345" s="5" t="s">
        <v>2986</v>
      </c>
      <c r="H2345" s="5">
        <v>573023584727</v>
      </c>
      <c r="J2345" s="5" t="s">
        <v>10551</v>
      </c>
      <c r="K2345" s="5" t="s">
        <v>193</v>
      </c>
      <c r="L2345" s="5" t="s">
        <v>10552</v>
      </c>
      <c r="M2345" s="5" t="s">
        <v>25421</v>
      </c>
      <c r="N2345" s="6">
        <v>46067</v>
      </c>
      <c r="O2345" s="7">
        <v>0</v>
      </c>
      <c r="P2345" s="5">
        <v>1</v>
      </c>
      <c r="Q2345" s="5" t="s">
        <v>35</v>
      </c>
      <c r="R2345" s="5">
        <v>130000</v>
      </c>
      <c r="S2345" s="5">
        <v>0</v>
      </c>
      <c r="T2345" s="5">
        <v>15000</v>
      </c>
      <c r="U2345" s="5">
        <v>145000</v>
      </c>
      <c r="V2345" s="5" t="s">
        <v>10553</v>
      </c>
      <c r="W2345" s="5" t="s">
        <v>36</v>
      </c>
      <c r="X2345" s="5" t="s">
        <v>7644</v>
      </c>
      <c r="Z2345" s="5" t="s">
        <v>968</v>
      </c>
      <c r="AA2345" s="5" t="s">
        <v>69</v>
      </c>
      <c r="AC2345" s="8" t="str">
        <f>HYPERLINK("https://drive.google.com/file/d/1H6gKrIkNdSSa2uO_2Y2sGn_ZVs2bZRjA/view?usp=drivesdk", "Abrir_Factura")</f>
        <v>Abrir_Factura</v>
      </c>
      <c r="AD2345" s="9">
        <v>46067.614386574074</v>
      </c>
    </row>
    <row r="2346" spans="1:30" ht="12.5">
      <c r="A2346" s="4">
        <v>46067.582540370371</v>
      </c>
      <c r="B2346" s="5">
        <v>92084</v>
      </c>
      <c r="C2346" s="5">
        <v>1098745476</v>
      </c>
      <c r="D2346" s="5" t="s">
        <v>584</v>
      </c>
      <c r="F2346" s="5" t="s">
        <v>10554</v>
      </c>
      <c r="H2346" s="5">
        <v>573165653164</v>
      </c>
      <c r="J2346" s="5" t="s">
        <v>5086</v>
      </c>
      <c r="K2346" s="5" t="s">
        <v>5574</v>
      </c>
      <c r="L2346" s="5" t="s">
        <v>10555</v>
      </c>
      <c r="M2346" s="5"/>
      <c r="N2346" s="6">
        <v>46067</v>
      </c>
      <c r="O2346" s="7">
        <v>0</v>
      </c>
      <c r="P2346" s="5">
        <v>1</v>
      </c>
      <c r="Q2346" s="5" t="s">
        <v>9546</v>
      </c>
      <c r="R2346" s="5">
        <v>320000</v>
      </c>
      <c r="S2346" s="5">
        <v>0</v>
      </c>
      <c r="T2346" s="5">
        <v>10000</v>
      </c>
      <c r="U2346" s="5">
        <v>330000</v>
      </c>
      <c r="V2346" s="5" t="s">
        <v>10556</v>
      </c>
      <c r="W2346" s="5" t="s">
        <v>36</v>
      </c>
      <c r="X2346" s="5" t="s">
        <v>1937</v>
      </c>
      <c r="Z2346" s="5" t="s">
        <v>584</v>
      </c>
      <c r="AA2346" s="5" t="s">
        <v>44</v>
      </c>
      <c r="AB2346" s="5" t="s">
        <v>2708</v>
      </c>
      <c r="AC2346" s="8" t="str">
        <f>HYPERLINK("https://drive.google.com/file/d/1D7e7Qo0RvyMnOtQz8M0EmXOibyFgaVGs/view?usp=drivesdk", "Abrir_Factura")</f>
        <v>Abrir_Factura</v>
      </c>
      <c r="AD2346" s="9">
        <v>46067.609444444446</v>
      </c>
    </row>
    <row r="2347" spans="1:30" ht="12.5">
      <c r="A2347" s="4">
        <v>46067.584183240746</v>
      </c>
      <c r="B2347" s="5">
        <v>92076</v>
      </c>
      <c r="C2347" s="5">
        <v>1140869783</v>
      </c>
      <c r="D2347" s="5" t="s">
        <v>10557</v>
      </c>
      <c r="F2347" s="5" t="s">
        <v>10558</v>
      </c>
      <c r="H2347" s="5">
        <v>573155811212</v>
      </c>
      <c r="J2347" s="5" t="s">
        <v>10559</v>
      </c>
      <c r="K2347" s="5" t="s">
        <v>33</v>
      </c>
      <c r="L2347" s="5" t="s">
        <v>34</v>
      </c>
      <c r="M2347" s="5">
        <v>3155811212</v>
      </c>
      <c r="N2347" s="6">
        <v>46067</v>
      </c>
      <c r="O2347" s="7">
        <v>0</v>
      </c>
      <c r="P2347" s="5">
        <v>1</v>
      </c>
      <c r="Q2347" s="5" t="s">
        <v>6874</v>
      </c>
      <c r="R2347" s="5">
        <v>120000</v>
      </c>
      <c r="S2347" s="5">
        <v>0</v>
      </c>
      <c r="T2347" s="5">
        <v>0</v>
      </c>
      <c r="U2347" s="5">
        <v>120000</v>
      </c>
      <c r="V2347" s="5"/>
      <c r="W2347" s="5" t="s">
        <v>36</v>
      </c>
      <c r="X2347" s="5" t="s">
        <v>1705</v>
      </c>
      <c r="AA2347" s="5" t="s">
        <v>1717</v>
      </c>
      <c r="AC2347" s="8" t="str">
        <f>HYPERLINK("https://drive.google.com/file/d/1V74zGfURomaFY4OKfkviFyxkVeoJRVnZ/view?usp=drivesdk", "Abrir_Factura")</f>
        <v>Abrir_Factura</v>
      </c>
      <c r="AD2347" s="9">
        <v>46067.585300925923</v>
      </c>
    </row>
    <row r="2348" spans="1:30" ht="12.5">
      <c r="A2348" s="4">
        <v>46067.584202337966</v>
      </c>
      <c r="B2348" s="5">
        <v>92088</v>
      </c>
      <c r="C2348" s="5">
        <v>1001820738</v>
      </c>
      <c r="D2348" s="5" t="s">
        <v>1097</v>
      </c>
      <c r="F2348" s="10" t="s">
        <v>3330</v>
      </c>
      <c r="H2348" s="5">
        <v>573154526922</v>
      </c>
      <c r="J2348" s="5" t="s">
        <v>10560</v>
      </c>
      <c r="K2348" s="5" t="s">
        <v>73</v>
      </c>
      <c r="L2348" s="5" t="s">
        <v>10561</v>
      </c>
      <c r="M2348" s="5" t="s">
        <v>25421</v>
      </c>
      <c r="N2348" s="6">
        <v>46067</v>
      </c>
      <c r="O2348" s="7">
        <v>0.16666666666666666</v>
      </c>
      <c r="P2348" s="5">
        <v>1</v>
      </c>
      <c r="Q2348" s="5" t="s">
        <v>35</v>
      </c>
      <c r="R2348" s="5">
        <v>130000</v>
      </c>
      <c r="S2348" s="5">
        <v>0</v>
      </c>
      <c r="T2348" s="5">
        <v>8000</v>
      </c>
      <c r="U2348" s="5">
        <v>138000</v>
      </c>
      <c r="V2348" s="5" t="s">
        <v>10562</v>
      </c>
      <c r="W2348" s="5" t="s">
        <v>36</v>
      </c>
      <c r="X2348" s="5" t="s">
        <v>7644</v>
      </c>
      <c r="Z2348" s="5" t="s">
        <v>10563</v>
      </c>
      <c r="AA2348" s="5" t="s">
        <v>44</v>
      </c>
      <c r="AB2348" s="5" t="s">
        <v>9612</v>
      </c>
      <c r="AC2348" s="8" t="str">
        <f>HYPERLINK("https://drive.google.com/file/d/1rAXlLj-VF8drP62SC5S88-fybjZoj1Qi/view?usp=drivesdk", "Abrir_Factura")</f>
        <v>Abrir_Factura</v>
      </c>
      <c r="AD2348" s="9">
        <v>46067.615590277775</v>
      </c>
    </row>
    <row r="2349" spans="1:30" ht="12.5">
      <c r="A2349" s="4">
        <v>46067.587090983798</v>
      </c>
      <c r="B2349" s="5">
        <v>92089</v>
      </c>
      <c r="C2349" s="5">
        <v>1044425791</v>
      </c>
      <c r="D2349" s="5" t="s">
        <v>1513</v>
      </c>
      <c r="F2349" s="5" t="s">
        <v>6354</v>
      </c>
      <c r="H2349" s="5">
        <v>573156540065</v>
      </c>
      <c r="J2349" s="5" t="s">
        <v>10564</v>
      </c>
      <c r="K2349" s="5" t="s">
        <v>185</v>
      </c>
      <c r="L2349" s="5" t="s">
        <v>10565</v>
      </c>
      <c r="M2349" s="5">
        <v>3156540065</v>
      </c>
      <c r="N2349" s="6">
        <v>46067</v>
      </c>
      <c r="O2349" s="7">
        <v>0</v>
      </c>
      <c r="P2349" s="5">
        <v>1</v>
      </c>
      <c r="Q2349" s="5" t="s">
        <v>178</v>
      </c>
      <c r="R2349" s="5">
        <v>110000</v>
      </c>
      <c r="S2349" s="5">
        <v>0</v>
      </c>
      <c r="T2349" s="5">
        <v>8000</v>
      </c>
      <c r="U2349" s="5">
        <v>118000</v>
      </c>
      <c r="V2349" s="5" t="s">
        <v>10566</v>
      </c>
      <c r="W2349" s="5" t="s">
        <v>36</v>
      </c>
      <c r="X2349" s="5" t="s">
        <v>7644</v>
      </c>
      <c r="Z2349" s="5" t="s">
        <v>1513</v>
      </c>
      <c r="AA2349" s="5" t="s">
        <v>44</v>
      </c>
      <c r="AB2349" s="5" t="s">
        <v>2708</v>
      </c>
      <c r="AC2349" s="8" t="str">
        <f>HYPERLINK("https://drive.google.com/file/d/1WMybCIeQyb4kRUsFXPEqgccjppnGYiZ3/view?usp=drivesdk", "Abrir_Factura")</f>
        <v>Abrir_Factura</v>
      </c>
      <c r="AD2349" s="9">
        <v>46067.615995370368</v>
      </c>
    </row>
    <row r="2350" spans="1:30" ht="12.5">
      <c r="A2350" s="4">
        <v>46067.587591770833</v>
      </c>
      <c r="B2350" s="5">
        <v>92077</v>
      </c>
      <c r="C2350" s="5">
        <v>1140891609</v>
      </c>
      <c r="D2350" s="5" t="s">
        <v>2293</v>
      </c>
      <c r="F2350" s="5" t="s">
        <v>1145</v>
      </c>
      <c r="H2350" s="5">
        <v>573153514436</v>
      </c>
      <c r="J2350" s="5" t="s">
        <v>1146</v>
      </c>
      <c r="K2350" s="5" t="s">
        <v>33</v>
      </c>
      <c r="L2350" s="5" t="s">
        <v>34</v>
      </c>
      <c r="M2350" s="5">
        <v>3153514436</v>
      </c>
      <c r="N2350" s="6">
        <v>46067</v>
      </c>
      <c r="O2350" s="7">
        <v>0</v>
      </c>
      <c r="P2350" s="5">
        <v>1</v>
      </c>
      <c r="Q2350" s="5" t="s">
        <v>6874</v>
      </c>
      <c r="R2350" s="5">
        <v>120000</v>
      </c>
      <c r="S2350" s="5">
        <v>0</v>
      </c>
      <c r="T2350" s="5">
        <v>0</v>
      </c>
      <c r="U2350" s="5">
        <v>120000</v>
      </c>
      <c r="V2350" s="5"/>
      <c r="W2350" s="5" t="s">
        <v>36</v>
      </c>
      <c r="X2350" s="5" t="s">
        <v>1705</v>
      </c>
      <c r="AA2350" s="5" t="s">
        <v>1717</v>
      </c>
      <c r="AC2350" s="8" t="str">
        <f>HYPERLINK("https://drive.google.com/file/d/1QjTWT0H90NkkI-7SGHQBJwdY-8dmExDH/view?usp=drivesdk", "Abrir_Factura")</f>
        <v>Abrir_Factura</v>
      </c>
      <c r="AD2350" s="9">
        <v>46067.588182870371</v>
      </c>
    </row>
    <row r="2351" spans="1:30" ht="12.5">
      <c r="A2351" s="4">
        <v>46067.589852187499</v>
      </c>
      <c r="B2351" s="5">
        <v>92091</v>
      </c>
      <c r="C2351" s="5">
        <v>1143428806</v>
      </c>
      <c r="D2351" s="5" t="s">
        <v>639</v>
      </c>
      <c r="F2351" s="5" t="s">
        <v>1822</v>
      </c>
      <c r="H2351" s="5">
        <v>573014050942</v>
      </c>
      <c r="J2351" s="5" t="s">
        <v>10567</v>
      </c>
      <c r="K2351" s="5" t="s">
        <v>7476</v>
      </c>
      <c r="L2351" s="5" t="s">
        <v>10568</v>
      </c>
      <c r="M2351" s="5" t="s">
        <v>25421</v>
      </c>
      <c r="N2351" s="6">
        <v>46067</v>
      </c>
      <c r="O2351" s="7">
        <v>0</v>
      </c>
      <c r="P2351" s="5">
        <v>1</v>
      </c>
      <c r="Q2351" s="5" t="s">
        <v>9576</v>
      </c>
      <c r="R2351" s="5">
        <v>140000</v>
      </c>
      <c r="S2351" s="5">
        <v>0</v>
      </c>
      <c r="T2351" s="5">
        <v>15000</v>
      </c>
      <c r="U2351" s="5">
        <v>155000</v>
      </c>
      <c r="V2351" s="5" t="s">
        <v>10569</v>
      </c>
      <c r="W2351" s="5" t="s">
        <v>36</v>
      </c>
      <c r="X2351" s="5" t="s">
        <v>7644</v>
      </c>
      <c r="Z2351" s="5" t="s">
        <v>10570</v>
      </c>
      <c r="AA2351" s="5" t="s">
        <v>44</v>
      </c>
      <c r="AB2351" s="5" t="s">
        <v>10571</v>
      </c>
      <c r="AC2351" s="8" t="str">
        <f>HYPERLINK("https://drive.google.com/file/d/1PPi2VW4TZEVQo8K_YqMW2twu92_3VK0-/view?usp=drivesdk", "Abrir_Factura")</f>
        <v>Abrir_Factura</v>
      </c>
      <c r="AD2351" s="9">
        <v>46067.620474537034</v>
      </c>
    </row>
    <row r="2352" spans="1:30" ht="12.5">
      <c r="A2352" s="4">
        <v>46067.590661793976</v>
      </c>
      <c r="B2352" s="5">
        <v>92079</v>
      </c>
      <c r="C2352" s="5">
        <v>1234091739</v>
      </c>
      <c r="D2352" s="5" t="s">
        <v>953</v>
      </c>
      <c r="F2352" s="5" t="s">
        <v>437</v>
      </c>
      <c r="H2352" s="5">
        <v>573215534601</v>
      </c>
      <c r="J2352" s="5" t="s">
        <v>10572</v>
      </c>
      <c r="K2352" s="5" t="s">
        <v>33</v>
      </c>
      <c r="L2352" s="5" t="s">
        <v>34</v>
      </c>
      <c r="M2352" s="5">
        <v>3215534601</v>
      </c>
      <c r="N2352" s="6">
        <v>46067</v>
      </c>
      <c r="O2352" s="7">
        <v>0</v>
      </c>
      <c r="P2352" s="5">
        <v>1</v>
      </c>
      <c r="Q2352" s="5" t="s">
        <v>42</v>
      </c>
      <c r="R2352" s="5">
        <v>120000</v>
      </c>
      <c r="S2352" s="5">
        <v>0</v>
      </c>
      <c r="T2352" s="5">
        <v>0</v>
      </c>
      <c r="U2352" s="5">
        <v>120000</v>
      </c>
      <c r="V2352" s="5"/>
      <c r="W2352" s="5" t="s">
        <v>36</v>
      </c>
      <c r="X2352" s="5" t="s">
        <v>1705</v>
      </c>
      <c r="AA2352" s="5" t="s">
        <v>1717</v>
      </c>
      <c r="AC2352" s="8" t="str">
        <f>HYPERLINK("https://drive.google.com/file/d/1J-VUWp4cKiyTTiT2y6wfOWVQcUz65A9q/view?usp=drivesdk", "Abrir_Factura")</f>
        <v>Abrir_Factura</v>
      </c>
      <c r="AD2352" s="9">
        <v>46067.591550925928</v>
      </c>
    </row>
    <row r="2353" spans="1:30" ht="12.5">
      <c r="A2353" s="4">
        <v>46067.597026041665</v>
      </c>
      <c r="B2353" s="5">
        <v>92080</v>
      </c>
      <c r="C2353" s="5">
        <v>1082846458</v>
      </c>
      <c r="D2353" s="5" t="s">
        <v>10573</v>
      </c>
      <c r="F2353" s="5" t="s">
        <v>10574</v>
      </c>
      <c r="H2353" s="5">
        <v>573128516965</v>
      </c>
      <c r="J2353" s="5" t="s">
        <v>10575</v>
      </c>
      <c r="K2353" s="5" t="s">
        <v>103</v>
      </c>
      <c r="L2353" s="5" t="s">
        <v>10576</v>
      </c>
      <c r="M2353" s="5">
        <v>3128516965</v>
      </c>
      <c r="N2353" s="6">
        <v>46067</v>
      </c>
      <c r="O2353" s="7">
        <v>0.14583333333333334</v>
      </c>
      <c r="P2353" s="5">
        <v>1</v>
      </c>
      <c r="Q2353" s="5" t="s">
        <v>9546</v>
      </c>
      <c r="R2353" s="5">
        <v>320000</v>
      </c>
      <c r="S2353" s="5">
        <v>0</v>
      </c>
      <c r="T2353" s="5">
        <v>10000</v>
      </c>
      <c r="U2353" s="5">
        <v>330000</v>
      </c>
      <c r="V2353" s="5" t="s">
        <v>10577</v>
      </c>
      <c r="W2353" s="5" t="s">
        <v>36</v>
      </c>
      <c r="X2353" s="5" t="s">
        <v>7644</v>
      </c>
      <c r="AA2353" s="5" t="s">
        <v>44</v>
      </c>
      <c r="AB2353" s="5" t="s">
        <v>10578</v>
      </c>
      <c r="AC2353" s="8" t="str">
        <f>HYPERLINK("https://drive.google.com/file/d/13ZWZAmjxSbzx_mOxP34mvbBzURGluDA1/view?usp=drivesdk", "Abrir_Factura")</f>
        <v>Abrir_Factura</v>
      </c>
      <c r="AD2353" s="9">
        <v>46067.597858796296</v>
      </c>
    </row>
    <row r="2354" spans="1:30" ht="12.5">
      <c r="A2354" s="4">
        <v>46067.602023692132</v>
      </c>
      <c r="B2354" s="5">
        <v>92082</v>
      </c>
      <c r="C2354" s="5">
        <v>1047473800</v>
      </c>
      <c r="D2354" s="5" t="s">
        <v>84</v>
      </c>
      <c r="F2354" s="5" t="s">
        <v>5985</v>
      </c>
      <c r="H2354" s="5">
        <v>573116853400</v>
      </c>
      <c r="J2354" s="5" t="s">
        <v>10579</v>
      </c>
      <c r="K2354" s="5" t="s">
        <v>33</v>
      </c>
      <c r="L2354" s="5" t="s">
        <v>34</v>
      </c>
      <c r="M2354" s="5">
        <v>3116853400</v>
      </c>
      <c r="N2354" s="6">
        <v>46067</v>
      </c>
      <c r="O2354" s="7">
        <v>0</v>
      </c>
      <c r="P2354" s="5">
        <v>1</v>
      </c>
      <c r="Q2354" s="5" t="s">
        <v>679</v>
      </c>
      <c r="R2354" s="5">
        <v>200000</v>
      </c>
      <c r="S2354" s="5">
        <v>0</v>
      </c>
      <c r="T2354" s="5">
        <v>0</v>
      </c>
      <c r="U2354" s="5">
        <v>200000</v>
      </c>
      <c r="V2354" s="5"/>
      <c r="W2354" s="5" t="s">
        <v>36</v>
      </c>
      <c r="X2354" s="5" t="s">
        <v>1705</v>
      </c>
      <c r="AA2354" s="5" t="s">
        <v>1717</v>
      </c>
      <c r="AC2354" s="8" t="str">
        <f>HYPERLINK("https://drive.google.com/file/d/10I_5xUjdHOhQIhZc8iv6jm18BLOJfTNW/view?usp=drivesdk", "Abrir_Factura")</f>
        <v>Abrir_Factura</v>
      </c>
      <c r="AD2354" s="9">
        <v>46067.603402777779</v>
      </c>
    </row>
    <row r="2355" spans="1:30" ht="12.5">
      <c r="A2355" s="4">
        <v>46067.609480173611</v>
      </c>
      <c r="B2355" s="5">
        <v>92085</v>
      </c>
      <c r="C2355" s="5">
        <v>2428877424</v>
      </c>
      <c r="D2355" s="5" t="s">
        <v>10580</v>
      </c>
      <c r="F2355" s="10" t="s">
        <v>10581</v>
      </c>
      <c r="H2355" s="5">
        <v>572428877424</v>
      </c>
      <c r="J2355" s="5" t="s">
        <v>10580</v>
      </c>
      <c r="K2355" s="5" t="s">
        <v>33</v>
      </c>
      <c r="L2355" s="5" t="s">
        <v>34</v>
      </c>
      <c r="M2355" s="5">
        <v>2428877424</v>
      </c>
      <c r="N2355" s="6">
        <v>46067</v>
      </c>
      <c r="O2355" s="7">
        <v>0</v>
      </c>
      <c r="P2355" s="5">
        <v>1</v>
      </c>
      <c r="Q2355" s="5" t="s">
        <v>35</v>
      </c>
      <c r="R2355" s="5">
        <v>130000</v>
      </c>
      <c r="S2355" s="5">
        <v>0</v>
      </c>
      <c r="T2355" s="5">
        <v>0</v>
      </c>
      <c r="U2355" s="5">
        <v>130000</v>
      </c>
      <c r="V2355" s="5"/>
      <c r="W2355" s="5" t="s">
        <v>36</v>
      </c>
      <c r="X2355" s="5" t="s">
        <v>37</v>
      </c>
      <c r="AA2355" s="5" t="s">
        <v>37</v>
      </c>
      <c r="AC2355" s="8" t="str">
        <f>HYPERLINK("https://drive.google.com/file/d/1n36WYGPLmWnpgiQnXw2abnopFQ8WcjRm/view?usp=drivesdk", "Abrir_Factura")</f>
        <v>Abrir_Factura</v>
      </c>
      <c r="AD2355" s="9">
        <v>46067.610625000001</v>
      </c>
    </row>
    <row r="2356" spans="1:30" ht="12.5">
      <c r="A2356" s="4">
        <v>46067.61535162037</v>
      </c>
      <c r="B2356" s="5">
        <v>92090</v>
      </c>
      <c r="C2356" s="5">
        <v>1129514346</v>
      </c>
      <c r="D2356" s="5" t="s">
        <v>10582</v>
      </c>
      <c r="F2356" s="5" t="s">
        <v>10583</v>
      </c>
      <c r="H2356" s="5">
        <v>573054555576</v>
      </c>
      <c r="J2356" s="5" t="s">
        <v>10584</v>
      </c>
      <c r="K2356" s="5" t="s">
        <v>33</v>
      </c>
      <c r="L2356" s="5" t="s">
        <v>34</v>
      </c>
      <c r="M2356" s="5">
        <v>3054555576</v>
      </c>
      <c r="N2356" s="6">
        <v>46067</v>
      </c>
      <c r="O2356" s="7">
        <v>0</v>
      </c>
      <c r="P2356" s="5">
        <v>1</v>
      </c>
      <c r="Q2356" s="5" t="s">
        <v>9576</v>
      </c>
      <c r="R2356" s="5">
        <v>105000</v>
      </c>
      <c r="S2356" s="5">
        <v>0</v>
      </c>
      <c r="T2356" s="5">
        <v>0</v>
      </c>
      <c r="U2356" s="5">
        <v>105000</v>
      </c>
      <c r="V2356" s="5"/>
      <c r="W2356" s="5" t="s">
        <v>36</v>
      </c>
      <c r="X2356" s="5" t="s">
        <v>196</v>
      </c>
      <c r="AA2356" s="5" t="s">
        <v>1717</v>
      </c>
      <c r="AB2356" s="5" t="s">
        <v>10585</v>
      </c>
      <c r="AC2356" s="8" t="str">
        <f>HYPERLINK("https://drive.google.com/file/d/1ho2_DTYN3EtuDlNtBO07-_YvQ8Y64YcI/view?usp=drivesdk", "Abrir_Factura")</f>
        <v>Abrir_Factura</v>
      </c>
      <c r="AD2356" s="9">
        <v>46067.616412037038</v>
      </c>
    </row>
    <row r="2357" spans="1:30" ht="12.5">
      <c r="A2357" s="4">
        <v>46067.625005995375</v>
      </c>
      <c r="B2357" s="5">
        <v>92097</v>
      </c>
      <c r="C2357" s="5">
        <v>100587189</v>
      </c>
      <c r="D2357" s="5" t="s">
        <v>825</v>
      </c>
      <c r="F2357" s="5" t="s">
        <v>10586</v>
      </c>
      <c r="H2357" s="5">
        <v>573164217190</v>
      </c>
      <c r="J2357" s="5" t="s">
        <v>10587</v>
      </c>
      <c r="K2357" s="5" t="s">
        <v>7476</v>
      </c>
      <c r="L2357" s="5" t="s">
        <v>10588</v>
      </c>
      <c r="M2357" s="5">
        <v>3042862546</v>
      </c>
      <c r="N2357" s="6">
        <v>46067</v>
      </c>
      <c r="O2357" s="7">
        <v>0</v>
      </c>
      <c r="P2357" s="5">
        <v>1</v>
      </c>
      <c r="Q2357" s="5" t="s">
        <v>10589</v>
      </c>
      <c r="R2357" s="5">
        <v>115000</v>
      </c>
      <c r="S2357" s="5">
        <v>0</v>
      </c>
      <c r="T2357" s="5">
        <v>15000</v>
      </c>
      <c r="U2357" s="5">
        <v>130000</v>
      </c>
      <c r="V2357" s="5" t="s">
        <v>10590</v>
      </c>
      <c r="W2357" s="5" t="s">
        <v>36</v>
      </c>
      <c r="X2357" s="5" t="s">
        <v>7644</v>
      </c>
      <c r="Z2357" s="5" t="s">
        <v>10590</v>
      </c>
      <c r="AA2357" s="5" t="s">
        <v>44</v>
      </c>
      <c r="AC2357" s="8" t="str">
        <f>HYPERLINK("https://drive.google.com/file/d/1FiZ101VHjIrqm0E1E6d0TGZrEEhpU-1T/view?usp=drivesdk", "Abrir_Factura")</f>
        <v>Abrir_Factura</v>
      </c>
      <c r="AD2357" s="9">
        <v>46067.643310185187</v>
      </c>
    </row>
    <row r="2358" spans="1:30" ht="12.5">
      <c r="A2358" s="4">
        <v>46067.627292708334</v>
      </c>
      <c r="B2358" s="5">
        <v>92111</v>
      </c>
      <c r="C2358" s="5">
        <v>73557696</v>
      </c>
      <c r="D2358" s="5" t="s">
        <v>10591</v>
      </c>
      <c r="F2358" s="5" t="s">
        <v>10592</v>
      </c>
      <c r="H2358" s="5">
        <v>573188402905</v>
      </c>
      <c r="J2358" s="5" t="s">
        <v>10593</v>
      </c>
      <c r="K2358" s="5" t="s">
        <v>103</v>
      </c>
      <c r="L2358" s="5" t="s">
        <v>10594</v>
      </c>
      <c r="M2358" s="5">
        <v>3015646140</v>
      </c>
      <c r="N2358" s="6">
        <v>46067</v>
      </c>
      <c r="O2358" s="7">
        <v>0</v>
      </c>
      <c r="P2358" s="5">
        <v>1</v>
      </c>
      <c r="Q2358" s="5" t="s">
        <v>6874</v>
      </c>
      <c r="R2358" s="5">
        <v>120000</v>
      </c>
      <c r="S2358" s="5">
        <v>0</v>
      </c>
      <c r="T2358" s="5">
        <v>10000</v>
      </c>
      <c r="U2358" s="5">
        <v>130000</v>
      </c>
      <c r="V2358" s="5" t="s">
        <v>10595</v>
      </c>
      <c r="W2358" s="5" t="s">
        <v>36</v>
      </c>
      <c r="X2358" s="5" t="s">
        <v>7644</v>
      </c>
      <c r="Z2358" s="5" t="s">
        <v>10596</v>
      </c>
      <c r="AA2358" s="5" t="s">
        <v>44</v>
      </c>
      <c r="AB2358" s="5" t="s">
        <v>2708</v>
      </c>
      <c r="AC2358" s="8" t="str">
        <f>HYPERLINK("https://drive.google.com/file/d/1QUKPnaiWdSILaACRuI2fKhIVEFcoUP3A/view?usp=drivesdk", "Abrir_Factura")</f>
        <v>Abrir_Factura</v>
      </c>
      <c r="AD2358" s="9">
        <v>46067.70103009259</v>
      </c>
    </row>
    <row r="2359" spans="1:30" ht="12.5">
      <c r="A2359" s="4">
        <v>46067.62980174768</v>
      </c>
      <c r="B2359" s="5">
        <v>92093</v>
      </c>
      <c r="C2359" s="5">
        <v>1146534626</v>
      </c>
      <c r="D2359" s="5" t="s">
        <v>10597</v>
      </c>
      <c r="F2359" s="5" t="s">
        <v>10067</v>
      </c>
      <c r="H2359" s="5">
        <v>573176582298</v>
      </c>
      <c r="J2359" s="5" t="s">
        <v>10598</v>
      </c>
      <c r="K2359" s="5" t="s">
        <v>33</v>
      </c>
      <c r="L2359" s="5" t="s">
        <v>34</v>
      </c>
      <c r="M2359" s="5">
        <v>3176582298</v>
      </c>
      <c r="N2359" s="6">
        <v>46067</v>
      </c>
      <c r="O2359" s="7">
        <v>0</v>
      </c>
      <c r="P2359" s="5">
        <v>1</v>
      </c>
      <c r="Q2359" s="5" t="s">
        <v>9444</v>
      </c>
      <c r="R2359" s="5">
        <v>250000</v>
      </c>
      <c r="S2359" s="5">
        <v>0</v>
      </c>
      <c r="T2359" s="5">
        <v>0</v>
      </c>
      <c r="U2359" s="5">
        <v>250000</v>
      </c>
      <c r="V2359" s="5"/>
      <c r="W2359" s="5" t="s">
        <v>36</v>
      </c>
      <c r="X2359" s="5" t="s">
        <v>7644</v>
      </c>
      <c r="AA2359" s="5" t="s">
        <v>1717</v>
      </c>
      <c r="AC2359" s="8" t="str">
        <f>HYPERLINK("https://drive.google.com/file/d/1Y_yXgmVdSzRiij6Fqz6N9xAmrZ_IdrOY/view?usp=drivesdk", "Abrir_Factura")</f>
        <v>Abrir_Factura</v>
      </c>
      <c r="AD2359" s="9">
        <v>46067.630532407406</v>
      </c>
    </row>
    <row r="2360" spans="1:30" ht="12.5">
      <c r="A2360" s="4">
        <v>46067.632092210653</v>
      </c>
      <c r="B2360" s="5">
        <v>92094</v>
      </c>
      <c r="C2360" s="5">
        <v>1041696696</v>
      </c>
      <c r="D2360" s="5" t="s">
        <v>2967</v>
      </c>
      <c r="F2360" s="5" t="s">
        <v>10599</v>
      </c>
      <c r="H2360" s="5">
        <v>573145968573</v>
      </c>
      <c r="J2360" s="5" t="s">
        <v>10600</v>
      </c>
      <c r="K2360" s="5" t="s">
        <v>33</v>
      </c>
      <c r="L2360" s="5" t="s">
        <v>34</v>
      </c>
      <c r="M2360" s="5">
        <v>3145968573</v>
      </c>
      <c r="N2360" s="6">
        <v>46067</v>
      </c>
      <c r="O2360" s="7">
        <v>0</v>
      </c>
      <c r="P2360" s="5">
        <v>1</v>
      </c>
      <c r="Q2360" s="5" t="s">
        <v>6874</v>
      </c>
      <c r="R2360" s="5">
        <v>120000</v>
      </c>
      <c r="S2360" s="5">
        <v>0</v>
      </c>
      <c r="T2360" s="5">
        <v>0</v>
      </c>
      <c r="U2360" s="5">
        <v>120000</v>
      </c>
      <c r="V2360" s="5"/>
      <c r="W2360" s="5" t="s">
        <v>36</v>
      </c>
      <c r="X2360" s="5" t="s">
        <v>7644</v>
      </c>
      <c r="AA2360" s="5" t="s">
        <v>1717</v>
      </c>
      <c r="AC2360" s="8" t="str">
        <f>HYPERLINK("https://drive.google.com/file/d/1b0hKkaFYzlzlzybUhZirTy84gLUoVoz5/view?usp=drivesdk", "Abrir_Factura")</f>
        <v>Abrir_Factura</v>
      </c>
      <c r="AD2360" s="9">
        <v>46067.632824074077</v>
      </c>
    </row>
    <row r="2361" spans="1:30" ht="12.5">
      <c r="A2361" s="4">
        <v>46067.633039872686</v>
      </c>
      <c r="B2361" s="5">
        <v>92095</v>
      </c>
      <c r="C2361" s="5">
        <v>1001877483</v>
      </c>
      <c r="D2361" s="5" t="s">
        <v>1204</v>
      </c>
      <c r="F2361" s="5" t="s">
        <v>1324</v>
      </c>
      <c r="H2361" s="5">
        <v>573008700406</v>
      </c>
      <c r="J2361" s="5" t="s">
        <v>10601</v>
      </c>
      <c r="K2361" s="5" t="s">
        <v>87</v>
      </c>
      <c r="L2361" s="5" t="s">
        <v>10602</v>
      </c>
      <c r="M2361" s="5">
        <v>3008700406</v>
      </c>
      <c r="N2361" s="6">
        <v>46067</v>
      </c>
      <c r="O2361" s="7">
        <v>0</v>
      </c>
      <c r="P2361" s="5">
        <v>1</v>
      </c>
      <c r="Q2361" s="5" t="s">
        <v>309</v>
      </c>
      <c r="R2361" s="5">
        <v>90000</v>
      </c>
      <c r="S2361" s="5">
        <v>0</v>
      </c>
      <c r="T2361" s="5">
        <v>13000</v>
      </c>
      <c r="U2361" s="5">
        <v>103000</v>
      </c>
      <c r="V2361" s="5" t="s">
        <v>10603</v>
      </c>
      <c r="W2361" s="5" t="s">
        <v>36</v>
      </c>
      <c r="X2361" s="5" t="s">
        <v>7644</v>
      </c>
      <c r="Z2361" s="5" t="s">
        <v>8787</v>
      </c>
      <c r="AA2361" s="5" t="s">
        <v>44</v>
      </c>
      <c r="AC2361" s="8" t="str">
        <f>HYPERLINK("https://drive.google.com/file/d/19dVaaenKlluo_DxXpydtG6WIHb2qNtgM/view?usp=drivesdk", "Abrir_Factura")</f>
        <v>Abrir_Factura</v>
      </c>
      <c r="AD2361" s="9">
        <v>46067.637175925927</v>
      </c>
    </row>
    <row r="2362" spans="1:30" ht="12.5">
      <c r="A2362" s="4">
        <v>46067.641834120368</v>
      </c>
      <c r="B2362" s="5">
        <v>92096</v>
      </c>
      <c r="C2362" s="5">
        <v>1007241055</v>
      </c>
      <c r="D2362" s="5" t="s">
        <v>10604</v>
      </c>
      <c r="F2362" s="5" t="s">
        <v>10605</v>
      </c>
      <c r="H2362" s="5">
        <v>573057442707</v>
      </c>
      <c r="J2362" s="5" t="s">
        <v>10606</v>
      </c>
      <c r="K2362" s="5" t="s">
        <v>1317</v>
      </c>
      <c r="L2362" s="5" t="s">
        <v>10607</v>
      </c>
      <c r="M2362" s="5"/>
      <c r="N2362" s="6">
        <v>46067</v>
      </c>
      <c r="O2362" s="7">
        <v>0</v>
      </c>
      <c r="P2362" s="5">
        <v>1</v>
      </c>
      <c r="Q2362" s="5" t="s">
        <v>10608</v>
      </c>
      <c r="R2362" s="5">
        <v>650000</v>
      </c>
      <c r="S2362" s="5">
        <v>0</v>
      </c>
      <c r="T2362" s="5">
        <v>12000</v>
      </c>
      <c r="U2362" s="5">
        <v>662000</v>
      </c>
      <c r="V2362" s="5" t="s">
        <v>10609</v>
      </c>
      <c r="W2362" s="5" t="s">
        <v>36</v>
      </c>
      <c r="X2362" s="5" t="s">
        <v>7644</v>
      </c>
      <c r="AA2362" s="5" t="s">
        <v>69</v>
      </c>
      <c r="AB2362" s="5" t="s">
        <v>5294</v>
      </c>
      <c r="AC2362" s="8" t="str">
        <f>HYPERLINK("https://drive.google.com/file/d/1c7CVKZVMQjhJsXJYjtE1aXhzrIjeRsHg/view?usp=drivesdk", "Abrir_Factura")</f>
        <v>Abrir_Factura</v>
      </c>
      <c r="AD2362" s="9">
        <v>46067.64266203704</v>
      </c>
    </row>
    <row r="2363" spans="1:30" ht="12.5">
      <c r="A2363" s="4">
        <v>46067.642065995373</v>
      </c>
      <c r="B2363" s="5">
        <v>92101</v>
      </c>
      <c r="C2363" s="5">
        <v>1143463504</v>
      </c>
      <c r="D2363" s="5" t="s">
        <v>3530</v>
      </c>
      <c r="F2363" s="5" t="s">
        <v>4117</v>
      </c>
      <c r="H2363" s="5">
        <v>573144544581</v>
      </c>
      <c r="J2363" s="5" t="s">
        <v>10610</v>
      </c>
      <c r="K2363" s="5" t="s">
        <v>33</v>
      </c>
      <c r="L2363" s="5" t="s">
        <v>34</v>
      </c>
      <c r="M2363" s="5">
        <v>3144544581</v>
      </c>
      <c r="N2363" s="6">
        <v>46067</v>
      </c>
      <c r="O2363" s="7">
        <v>0</v>
      </c>
      <c r="P2363" s="5">
        <v>1</v>
      </c>
      <c r="Q2363" s="5" t="s">
        <v>375</v>
      </c>
      <c r="R2363" s="5">
        <v>80000</v>
      </c>
      <c r="S2363" s="5">
        <v>0</v>
      </c>
      <c r="T2363" s="5">
        <v>0</v>
      </c>
      <c r="U2363" s="5">
        <v>80000</v>
      </c>
      <c r="V2363" s="5" t="s">
        <v>10611</v>
      </c>
      <c r="W2363" s="5" t="s">
        <v>36</v>
      </c>
      <c r="X2363" s="5" t="s">
        <v>67</v>
      </c>
      <c r="Z2363" s="5" t="s">
        <v>10612</v>
      </c>
      <c r="AA2363" s="5" t="s">
        <v>44</v>
      </c>
      <c r="AB2363" s="5" t="s">
        <v>2708</v>
      </c>
      <c r="AC2363" s="8" t="str">
        <f>HYPERLINK("https://drive.google.com/file/d/1KwCERZ03X3tpTLtH_SdwZ2dXDP2TGkRk/view?usp=drivesdk", "Abrir_Factura")</f>
        <v>Abrir_Factura</v>
      </c>
      <c r="AD2363" s="9">
        <v>46067.655624999999</v>
      </c>
    </row>
    <row r="2364" spans="1:30" ht="12.5">
      <c r="A2364" s="4">
        <v>46067.647156550927</v>
      </c>
      <c r="B2364" s="5">
        <v>92098</v>
      </c>
      <c r="C2364" s="5">
        <v>1044426151</v>
      </c>
      <c r="D2364" s="5" t="s">
        <v>10613</v>
      </c>
      <c r="F2364" s="5" t="s">
        <v>10614</v>
      </c>
      <c r="H2364" s="5">
        <v>573205760938</v>
      </c>
      <c r="J2364" s="5" t="s">
        <v>10615</v>
      </c>
      <c r="K2364" s="5" t="s">
        <v>33</v>
      </c>
      <c r="L2364" s="5" t="s">
        <v>34</v>
      </c>
      <c r="M2364" s="5">
        <v>3205760938</v>
      </c>
      <c r="N2364" s="6">
        <v>46067</v>
      </c>
      <c r="O2364" s="7">
        <v>0</v>
      </c>
      <c r="P2364" s="5">
        <v>3</v>
      </c>
      <c r="Q2364" s="5" t="s">
        <v>10616</v>
      </c>
      <c r="R2364" s="5">
        <v>300000</v>
      </c>
      <c r="S2364" s="5">
        <v>0</v>
      </c>
      <c r="T2364" s="5">
        <v>0</v>
      </c>
      <c r="U2364" s="5">
        <v>300000</v>
      </c>
      <c r="V2364" s="5"/>
      <c r="W2364" s="5" t="s">
        <v>36</v>
      </c>
      <c r="X2364" s="5" t="s">
        <v>7644</v>
      </c>
      <c r="AA2364" s="5" t="s">
        <v>1717</v>
      </c>
      <c r="AC2364" s="8" t="str">
        <f>HYPERLINK("https://drive.google.com/file/d/14T-RQNBUUK-Vc1i_giCw3XuaPbuaWpWU/view?usp=drivesdk", "Abrir_Factura")</f>
        <v>Abrir_Factura</v>
      </c>
      <c r="AD2364" s="9">
        <v>46067.648599537039</v>
      </c>
    </row>
    <row r="2365" spans="1:30" ht="12.5">
      <c r="A2365" s="4">
        <v>46067.650222673612</v>
      </c>
      <c r="B2365" s="5">
        <v>92099</v>
      </c>
      <c r="C2365" s="5">
        <v>1001876704</v>
      </c>
      <c r="D2365" s="5" t="s">
        <v>10617</v>
      </c>
      <c r="F2365" s="5" t="s">
        <v>10618</v>
      </c>
      <c r="H2365" s="5">
        <v>573017450007</v>
      </c>
      <c r="J2365" s="5" t="s">
        <v>10619</v>
      </c>
      <c r="K2365" s="5" t="s">
        <v>33</v>
      </c>
      <c r="L2365" s="5" t="s">
        <v>34</v>
      </c>
      <c r="M2365" s="5">
        <v>3017450007</v>
      </c>
      <c r="N2365" s="6">
        <v>46067</v>
      </c>
      <c r="O2365" s="7">
        <v>0</v>
      </c>
      <c r="P2365" s="5">
        <v>1</v>
      </c>
      <c r="Q2365" s="5" t="s">
        <v>6874</v>
      </c>
      <c r="R2365" s="5">
        <v>120000</v>
      </c>
      <c r="S2365" s="5">
        <v>0</v>
      </c>
      <c r="T2365" s="5">
        <v>0</v>
      </c>
      <c r="U2365" s="5">
        <v>120000</v>
      </c>
      <c r="V2365" s="5"/>
      <c r="W2365" s="5" t="s">
        <v>36</v>
      </c>
      <c r="X2365" s="5" t="s">
        <v>1705</v>
      </c>
      <c r="AA2365" s="5" t="s">
        <v>1717</v>
      </c>
      <c r="AC2365" s="8" t="str">
        <f>HYPERLINK("https://drive.google.com/file/d/1nk4QqTg3FODyIzPPhup339zvN4sih0vB/view?usp=drivesdk", "Abrir_Factura")</f>
        <v>Abrir_Factura</v>
      </c>
      <c r="AD2365" s="9">
        <v>46067.650868055556</v>
      </c>
    </row>
    <row r="2366" spans="1:30" ht="12.5">
      <c r="A2366" s="4">
        <v>46067.655655023147</v>
      </c>
      <c r="B2366" s="5">
        <v>92104</v>
      </c>
      <c r="C2366" s="5">
        <v>1065847899</v>
      </c>
      <c r="D2366" s="5" t="s">
        <v>5319</v>
      </c>
      <c r="F2366" s="5" t="s">
        <v>10620</v>
      </c>
      <c r="H2366" s="5">
        <v>573015064609</v>
      </c>
      <c r="J2366" s="5" t="s">
        <v>10621</v>
      </c>
      <c r="K2366" s="5"/>
      <c r="L2366" s="5" t="s">
        <v>10622</v>
      </c>
      <c r="M2366" s="5">
        <v>3015064609</v>
      </c>
      <c r="N2366" s="6">
        <v>46067</v>
      </c>
      <c r="O2366" s="7">
        <v>0</v>
      </c>
      <c r="P2366" s="5">
        <v>1</v>
      </c>
      <c r="Q2366" s="5" t="s">
        <v>9842</v>
      </c>
      <c r="R2366" s="5">
        <v>210000</v>
      </c>
      <c r="S2366" s="5">
        <v>0</v>
      </c>
      <c r="T2366" s="5"/>
      <c r="U2366" s="5">
        <v>210000</v>
      </c>
      <c r="V2366" s="5" t="s">
        <v>10623</v>
      </c>
      <c r="W2366" s="5" t="s">
        <v>36</v>
      </c>
      <c r="X2366" s="5" t="s">
        <v>7644</v>
      </c>
      <c r="AA2366" s="5" t="s">
        <v>44</v>
      </c>
      <c r="AC2366" s="8" t="str">
        <f>HYPERLINK("https://drive.google.com/file/d/1jgm3HWdXKiHpq2wLwNvV_QrLYqzNZ6jE/view?usp=drivesdk", "Abrir_Factura")</f>
        <v>Abrir_Factura</v>
      </c>
      <c r="AD2366" s="9">
        <v>46067.670914351853</v>
      </c>
    </row>
    <row r="2367" spans="1:30" ht="12.5">
      <c r="A2367" s="4">
        <v>46067.660087152777</v>
      </c>
      <c r="B2367" s="5">
        <v>92102</v>
      </c>
      <c r="C2367" s="5">
        <v>1005661506</v>
      </c>
      <c r="D2367" s="5" t="s">
        <v>10624</v>
      </c>
      <c r="F2367" s="5" t="s">
        <v>10625</v>
      </c>
      <c r="H2367" s="5">
        <v>573215415485</v>
      </c>
      <c r="J2367" s="5" t="s">
        <v>10626</v>
      </c>
      <c r="K2367" s="5" t="s">
        <v>33</v>
      </c>
      <c r="L2367" s="5" t="s">
        <v>34</v>
      </c>
      <c r="M2367" s="5">
        <v>3215415485</v>
      </c>
      <c r="N2367" s="6">
        <v>46067</v>
      </c>
      <c r="O2367" s="7">
        <v>0</v>
      </c>
      <c r="P2367" s="5">
        <v>1</v>
      </c>
      <c r="Q2367" s="5" t="s">
        <v>42</v>
      </c>
      <c r="R2367" s="5">
        <v>180000</v>
      </c>
      <c r="S2367" s="5">
        <v>0</v>
      </c>
      <c r="T2367" s="5">
        <v>0</v>
      </c>
      <c r="U2367" s="5">
        <v>180000</v>
      </c>
      <c r="V2367" s="5"/>
      <c r="W2367" s="5" t="s">
        <v>36</v>
      </c>
      <c r="X2367" s="5" t="s">
        <v>196</v>
      </c>
      <c r="AA2367" s="5" t="s">
        <v>1717</v>
      </c>
      <c r="AB2367" s="5" t="s">
        <v>10627</v>
      </c>
      <c r="AC2367" s="8" t="str">
        <f>HYPERLINK("https://drive.google.com/file/d/1NImYKjzjF__6zGUoeF-yiZN3XLxOGOdA/view?usp=drivesdk", "Abrir_Factura")</f>
        <v>Abrir_Factura</v>
      </c>
      <c r="AD2367" s="9">
        <v>46067.660937499997</v>
      </c>
    </row>
    <row r="2368" spans="1:30" ht="12.5">
      <c r="A2368" s="4">
        <v>46067.661746099533</v>
      </c>
      <c r="B2368" s="5">
        <v>92105</v>
      </c>
      <c r="C2368" s="5">
        <v>1043306848</v>
      </c>
      <c r="D2368" s="5" t="s">
        <v>876</v>
      </c>
      <c r="F2368" s="5" t="s">
        <v>10628</v>
      </c>
      <c r="H2368" s="5">
        <v>573214611724</v>
      </c>
      <c r="J2368" s="5" t="s">
        <v>10629</v>
      </c>
      <c r="K2368" s="5" t="s">
        <v>161</v>
      </c>
      <c r="L2368" s="5" t="s">
        <v>10630</v>
      </c>
      <c r="M2368" s="5">
        <v>3046494553</v>
      </c>
      <c r="N2368" s="6">
        <v>46067</v>
      </c>
      <c r="O2368" s="7">
        <v>0.20833333333333334</v>
      </c>
      <c r="P2368" s="5">
        <v>1</v>
      </c>
      <c r="Q2368" s="5" t="s">
        <v>679</v>
      </c>
      <c r="R2368" s="5">
        <v>200000</v>
      </c>
      <c r="S2368" s="5">
        <v>0</v>
      </c>
      <c r="T2368" s="5">
        <v>8000</v>
      </c>
      <c r="U2368" s="5">
        <v>208000</v>
      </c>
      <c r="V2368" s="5" t="s">
        <v>4937</v>
      </c>
      <c r="W2368" s="5" t="s">
        <v>36</v>
      </c>
      <c r="X2368" s="5" t="s">
        <v>7644</v>
      </c>
      <c r="Z2368" s="5" t="s">
        <v>10631</v>
      </c>
      <c r="AA2368" s="5" t="s">
        <v>44</v>
      </c>
      <c r="AB2368" s="5" t="s">
        <v>9612</v>
      </c>
      <c r="AC2368" s="8" t="str">
        <f>HYPERLINK("https://drive.google.com/file/d/1V_2106okKwttuBPyzdSG0_HiKAnbmXsu/view?usp=drivesdk", "Abrir_Factura")</f>
        <v>Abrir_Factura</v>
      </c>
      <c r="AD2368" s="9">
        <v>46067.6716087963</v>
      </c>
    </row>
    <row r="2369" spans="1:30" ht="12.5">
      <c r="A2369" s="4">
        <v>46067.666748819443</v>
      </c>
      <c r="B2369" s="5">
        <v>92103</v>
      </c>
      <c r="C2369" s="5">
        <v>1048072011</v>
      </c>
      <c r="D2369" s="5" t="s">
        <v>10632</v>
      </c>
      <c r="F2369" s="5" t="s">
        <v>10633</v>
      </c>
      <c r="H2369" s="5">
        <v>573012402716</v>
      </c>
      <c r="J2369" s="5" t="s">
        <v>10634</v>
      </c>
      <c r="K2369" s="5" t="s">
        <v>33</v>
      </c>
      <c r="L2369" s="5" t="s">
        <v>34</v>
      </c>
      <c r="M2369" s="5">
        <v>3012402716</v>
      </c>
      <c r="N2369" s="6">
        <v>46067</v>
      </c>
      <c r="O2369" s="7">
        <v>0</v>
      </c>
      <c r="P2369" s="5">
        <v>1</v>
      </c>
      <c r="Q2369" s="5" t="s">
        <v>9576</v>
      </c>
      <c r="R2369" s="5">
        <v>90000</v>
      </c>
      <c r="S2369" s="5">
        <v>0</v>
      </c>
      <c r="T2369" s="5">
        <v>0</v>
      </c>
      <c r="U2369" s="5">
        <v>90000</v>
      </c>
      <c r="V2369" s="5"/>
      <c r="W2369" s="5" t="s">
        <v>36</v>
      </c>
      <c r="X2369" s="5" t="s">
        <v>1705</v>
      </c>
      <c r="AA2369" s="5" t="s">
        <v>1717</v>
      </c>
      <c r="AC2369" s="8" t="str">
        <f>HYPERLINK("https://drive.google.com/file/d/1IAW3e05hUDgnwDHhtZGQFGspxgs6OwGt/view?usp=drivesdk", "Abrir_Factura")</f>
        <v>Abrir_Factura</v>
      </c>
      <c r="AD2369" s="9">
        <v>46067.668090277781</v>
      </c>
    </row>
    <row r="2370" spans="1:30" ht="12.5">
      <c r="A2370" s="4">
        <v>46067.679197395832</v>
      </c>
      <c r="B2370" s="5">
        <v>92107</v>
      </c>
      <c r="C2370" s="5">
        <v>1140837698</v>
      </c>
      <c r="D2370" s="5" t="s">
        <v>4840</v>
      </c>
      <c r="F2370" s="5" t="s">
        <v>10635</v>
      </c>
      <c r="H2370" s="5">
        <v>17863857865</v>
      </c>
      <c r="J2370" s="5" t="s">
        <v>10636</v>
      </c>
      <c r="K2370" s="5" t="s">
        <v>307</v>
      </c>
      <c r="L2370" s="5" t="s">
        <v>10637</v>
      </c>
      <c r="M2370" s="5">
        <v>3053164383</v>
      </c>
      <c r="N2370" s="6">
        <v>46067</v>
      </c>
      <c r="O2370" s="7">
        <v>0</v>
      </c>
      <c r="P2370" s="5">
        <v>1</v>
      </c>
      <c r="Q2370" s="5" t="s">
        <v>309</v>
      </c>
      <c r="R2370" s="5">
        <v>90000</v>
      </c>
      <c r="S2370" s="5">
        <v>0</v>
      </c>
      <c r="T2370" s="5">
        <v>10000</v>
      </c>
      <c r="U2370" s="5">
        <v>100000</v>
      </c>
      <c r="V2370" s="5" t="s">
        <v>10638</v>
      </c>
      <c r="W2370" s="5" t="s">
        <v>36</v>
      </c>
      <c r="X2370" s="5" t="s">
        <v>7644</v>
      </c>
      <c r="Z2370" s="5" t="s">
        <v>10639</v>
      </c>
      <c r="AA2370" s="5" t="s">
        <v>44</v>
      </c>
      <c r="AC2370" s="8" t="str">
        <f>HYPERLINK("https://drive.google.com/file/d/1NfKRKyMmbb8W0GRgcFzfnLv9PpmB88bY/view?usp=drivesdk", "Abrir_Factura")</f>
        <v>Abrir_Factura</v>
      </c>
      <c r="AD2370" s="9">
        <v>46067.685717592591</v>
      </c>
    </row>
    <row r="2371" spans="1:30" ht="12.5">
      <c r="A2371" s="4">
        <v>46067.688130266208</v>
      </c>
      <c r="B2371" s="5">
        <v>92108</v>
      </c>
      <c r="C2371" s="5">
        <v>1007017200</v>
      </c>
      <c r="D2371" s="5" t="s">
        <v>698</v>
      </c>
      <c r="F2371" s="5" t="s">
        <v>10470</v>
      </c>
      <c r="H2371" s="5">
        <v>573145282079</v>
      </c>
      <c r="J2371" s="5" t="s">
        <v>10640</v>
      </c>
      <c r="K2371" s="5" t="s">
        <v>63</v>
      </c>
      <c r="L2371" s="5" t="s">
        <v>10641</v>
      </c>
      <c r="M2371" s="5" t="s">
        <v>25421</v>
      </c>
      <c r="N2371" s="6">
        <v>46067</v>
      </c>
      <c r="O2371" s="7">
        <v>0</v>
      </c>
      <c r="P2371" s="5">
        <v>1</v>
      </c>
      <c r="Q2371" s="5" t="s">
        <v>9350</v>
      </c>
      <c r="R2371" s="5">
        <v>150000</v>
      </c>
      <c r="S2371" s="5">
        <v>0</v>
      </c>
      <c r="T2371" s="5">
        <v>17000</v>
      </c>
      <c r="U2371" s="5">
        <v>167000</v>
      </c>
      <c r="V2371" s="5" t="s">
        <v>10642</v>
      </c>
      <c r="W2371" s="5" t="s">
        <v>36</v>
      </c>
      <c r="X2371" s="5" t="s">
        <v>7644</v>
      </c>
      <c r="Z2371" s="5" t="s">
        <v>10643</v>
      </c>
      <c r="AA2371" s="5" t="s">
        <v>44</v>
      </c>
      <c r="AC2371" s="8" t="str">
        <f>HYPERLINK("https://drive.google.com/file/d/1nTiVDP1ZV16QxVA8YtTXHD78sH549152/view?usp=drivesdk", "Abrir_Factura")</f>
        <v>Abrir_Factura</v>
      </c>
      <c r="AD2371" s="9">
        <v>46067.691331018519</v>
      </c>
    </row>
    <row r="2372" spans="1:30" ht="12.5">
      <c r="A2372" s="4">
        <v>46067.689752395832</v>
      </c>
      <c r="B2372" s="5">
        <v>92110</v>
      </c>
      <c r="C2372" s="5">
        <v>1126804285</v>
      </c>
      <c r="D2372" s="5" t="s">
        <v>595</v>
      </c>
      <c r="F2372" s="5" t="s">
        <v>1831</v>
      </c>
      <c r="H2372" s="5">
        <v>573124724429</v>
      </c>
      <c r="J2372" s="5" t="s">
        <v>10644</v>
      </c>
      <c r="K2372" s="5" t="s">
        <v>307</v>
      </c>
      <c r="L2372" s="5" t="s">
        <v>10645</v>
      </c>
      <c r="M2372" s="5">
        <v>3124724429</v>
      </c>
      <c r="N2372" s="6">
        <v>46067</v>
      </c>
      <c r="O2372" s="7">
        <v>0</v>
      </c>
      <c r="P2372" s="5">
        <v>1</v>
      </c>
      <c r="Q2372" s="5" t="s">
        <v>42</v>
      </c>
      <c r="R2372" s="5">
        <v>60000</v>
      </c>
      <c r="S2372" s="5">
        <v>0</v>
      </c>
      <c r="T2372" s="5">
        <v>10000</v>
      </c>
      <c r="U2372" s="5">
        <v>70000</v>
      </c>
      <c r="V2372" s="5"/>
      <c r="W2372" s="5" t="s">
        <v>36</v>
      </c>
      <c r="X2372" s="5" t="s">
        <v>7644</v>
      </c>
      <c r="AA2372" s="5" t="s">
        <v>44</v>
      </c>
      <c r="AB2372" s="5" t="s">
        <v>10646</v>
      </c>
      <c r="AC2372" s="8" t="str">
        <f>HYPERLINK("https://drive.google.com/file/d/1_v_gtuyVGXKlrPDyoiHKikybCPqx8stK/view?usp=drivesdk", "Abrir_Factura")</f>
        <v>Abrir_Factura</v>
      </c>
      <c r="AD2372" s="9">
        <v>46067.699537037035</v>
      </c>
    </row>
    <row r="2373" spans="1:30" ht="12.5">
      <c r="A2373" s="4">
        <v>46067.692846342594</v>
      </c>
      <c r="B2373" s="5">
        <v>92109</v>
      </c>
      <c r="C2373" s="5">
        <v>1125598566</v>
      </c>
      <c r="D2373" s="5" t="s">
        <v>10647</v>
      </c>
      <c r="F2373" s="5" t="s">
        <v>5263</v>
      </c>
      <c r="H2373" s="5">
        <v>573157827681</v>
      </c>
      <c r="J2373" s="5" t="s">
        <v>10648</v>
      </c>
      <c r="K2373" s="5" t="s">
        <v>33</v>
      </c>
      <c r="L2373" s="5" t="s">
        <v>34</v>
      </c>
      <c r="M2373" s="5">
        <v>3157827681</v>
      </c>
      <c r="N2373" s="6">
        <v>46067</v>
      </c>
      <c r="O2373" s="7">
        <v>0</v>
      </c>
      <c r="P2373" s="5">
        <v>1</v>
      </c>
      <c r="Q2373" s="5" t="s">
        <v>10649</v>
      </c>
      <c r="R2373" s="5">
        <v>90000</v>
      </c>
      <c r="S2373" s="5">
        <v>0</v>
      </c>
      <c r="T2373" s="5">
        <v>0</v>
      </c>
      <c r="U2373" s="5">
        <v>90000</v>
      </c>
      <c r="V2373" s="5"/>
      <c r="W2373" s="5" t="s">
        <v>36</v>
      </c>
      <c r="X2373" s="5" t="s">
        <v>1705</v>
      </c>
      <c r="AA2373" s="5" t="s">
        <v>1717</v>
      </c>
      <c r="AC2373" s="8" t="str">
        <f>HYPERLINK("https://drive.google.com/file/d/1AyfsfPZOINlyQ7HCVS-3YVwLF68WcYCP/view?usp=drivesdk", "Abrir_Factura")</f>
        <v>Abrir_Factura</v>
      </c>
      <c r="AD2373" s="9">
        <v>46067.696400462963</v>
      </c>
    </row>
    <row r="2374" spans="1:30" ht="12.5">
      <c r="A2374" s="4">
        <v>46067.706396168986</v>
      </c>
      <c r="B2374" s="5">
        <v>92112</v>
      </c>
      <c r="C2374" s="5">
        <v>22222</v>
      </c>
      <c r="D2374" s="5" t="s">
        <v>10650</v>
      </c>
      <c r="F2374" s="5" t="s">
        <v>10651</v>
      </c>
      <c r="H2374" s="5">
        <v>14348824401</v>
      </c>
      <c r="J2374" s="5" t="s">
        <v>10652</v>
      </c>
      <c r="K2374" s="5" t="s">
        <v>265</v>
      </c>
      <c r="L2374" s="5" t="s">
        <v>10653</v>
      </c>
      <c r="M2374" s="5" t="s">
        <v>10654</v>
      </c>
      <c r="N2374" s="6">
        <v>46067</v>
      </c>
      <c r="O2374" s="7">
        <v>0</v>
      </c>
      <c r="P2374" s="5">
        <v>1</v>
      </c>
      <c r="Q2374" s="5" t="s">
        <v>42</v>
      </c>
      <c r="R2374" s="5">
        <v>400000</v>
      </c>
      <c r="S2374" s="5">
        <v>0</v>
      </c>
      <c r="T2374" s="5">
        <v>17000</v>
      </c>
      <c r="U2374" s="5">
        <v>417000</v>
      </c>
      <c r="V2374" s="5" t="s">
        <v>10655</v>
      </c>
      <c r="W2374" s="5" t="s">
        <v>36</v>
      </c>
      <c r="X2374" s="5" t="s">
        <v>1937</v>
      </c>
      <c r="AA2374" s="5" t="s">
        <v>44</v>
      </c>
      <c r="AB2374" s="5" t="s">
        <v>10656</v>
      </c>
      <c r="AC2374" s="8" t="str">
        <f>HYPERLINK("https://drive.google.com/file/d/1ubMKEcfwm-E-2VTgTMFETlHXpvoUb751/view?usp=drivesdk", "Abrir_Factura")</f>
        <v>Abrir_Factura</v>
      </c>
      <c r="AD2374" s="9">
        <v>46067.709872685184</v>
      </c>
    </row>
    <row r="2375" spans="1:30" ht="12.5">
      <c r="A2375" s="4">
        <v>46067.726367256946</v>
      </c>
      <c r="B2375" s="5">
        <v>92113</v>
      </c>
      <c r="C2375" s="5">
        <v>544600723</v>
      </c>
      <c r="D2375" s="5" t="s">
        <v>10657</v>
      </c>
      <c r="F2375" s="5" t="s">
        <v>10658</v>
      </c>
      <c r="H2375" s="5">
        <v>570000</v>
      </c>
      <c r="J2375" s="5" t="s">
        <v>10659</v>
      </c>
      <c r="K2375" s="5" t="s">
        <v>33</v>
      </c>
      <c r="L2375" s="5" t="s">
        <v>34</v>
      </c>
      <c r="M2375" s="5">
        <v>0</v>
      </c>
      <c r="N2375" s="6">
        <v>46067</v>
      </c>
      <c r="O2375" s="7">
        <v>0</v>
      </c>
      <c r="P2375" s="5">
        <v>1</v>
      </c>
      <c r="Q2375" s="5" t="s">
        <v>42</v>
      </c>
      <c r="R2375" s="5">
        <v>100000</v>
      </c>
      <c r="S2375" s="5">
        <v>0</v>
      </c>
      <c r="T2375" s="5">
        <v>0</v>
      </c>
      <c r="U2375" s="5">
        <v>100000</v>
      </c>
      <c r="V2375" s="5"/>
      <c r="W2375" s="5" t="s">
        <v>36</v>
      </c>
      <c r="X2375" s="5" t="s">
        <v>1705</v>
      </c>
      <c r="AA2375" s="5" t="s">
        <v>44</v>
      </c>
      <c r="AB2375" s="5" t="s">
        <v>10660</v>
      </c>
      <c r="AC2375" s="8" t="str">
        <f>HYPERLINK("https://drive.google.com/file/d/1aEX9-xmlZkcRw0UcTkchyaNUKyAyT-qq/view?usp=drivesdk", "Abrir_Factura")</f>
        <v>Abrir_Factura</v>
      </c>
      <c r="AD2375" s="9">
        <v>46067.729039351849</v>
      </c>
    </row>
    <row r="2376" spans="1:30" ht="12.5">
      <c r="A2376" s="4">
        <v>46070.699510844905</v>
      </c>
      <c r="B2376" s="5">
        <v>92118</v>
      </c>
      <c r="C2376" s="5">
        <v>4773191</v>
      </c>
      <c r="D2376" s="5" t="s">
        <v>10661</v>
      </c>
      <c r="F2376" s="5" t="s">
        <v>4441</v>
      </c>
      <c r="H2376" s="5">
        <v>573118660183</v>
      </c>
      <c r="J2376" s="5" t="s">
        <v>10662</v>
      </c>
      <c r="K2376" s="5" t="s">
        <v>249</v>
      </c>
      <c r="L2376" s="5" t="s">
        <v>10663</v>
      </c>
      <c r="M2376" s="5">
        <v>3118660183</v>
      </c>
      <c r="N2376" s="6">
        <v>46071</v>
      </c>
      <c r="O2376" s="7">
        <v>0.41666666666666669</v>
      </c>
      <c r="P2376" s="5">
        <v>1</v>
      </c>
      <c r="Q2376" s="5" t="s">
        <v>10664</v>
      </c>
      <c r="R2376" s="5">
        <v>88000</v>
      </c>
      <c r="S2376" s="5">
        <v>0</v>
      </c>
      <c r="T2376" s="5">
        <v>10000</v>
      </c>
      <c r="U2376" s="5">
        <v>98000</v>
      </c>
      <c r="V2376" s="5" t="s">
        <v>10665</v>
      </c>
      <c r="W2376" s="5" t="s">
        <v>36</v>
      </c>
      <c r="X2376" s="5" t="s">
        <v>1481</v>
      </c>
      <c r="Z2376" s="5" t="s">
        <v>10666</v>
      </c>
      <c r="AA2376" s="5" t="s">
        <v>44</v>
      </c>
      <c r="AC2376" s="8" t="str">
        <f>HYPERLINK("https://drive.google.com/file/d/1_HzLIm4mbAJrZvkghY2Hm4UQnVcan2wP/view?usp=drivesdk", "Abrir_Factura")</f>
        <v>Abrir_Factura</v>
      </c>
      <c r="AD2376" s="9">
        <v>46071.357418981483</v>
      </c>
    </row>
    <row r="2377" spans="1:30" ht="12.5">
      <c r="A2377" s="4">
        <v>46071.283499027777</v>
      </c>
      <c r="B2377" s="5">
        <v>92134</v>
      </c>
      <c r="C2377" s="5">
        <v>1003376225</v>
      </c>
      <c r="D2377" s="5" t="s">
        <v>1949</v>
      </c>
      <c r="F2377" s="5" t="s">
        <v>1950</v>
      </c>
      <c r="H2377" s="5">
        <v>573228690977</v>
      </c>
      <c r="J2377" s="5" t="s">
        <v>10667</v>
      </c>
      <c r="K2377" s="5" t="s">
        <v>33</v>
      </c>
      <c r="L2377" s="5" t="s">
        <v>34</v>
      </c>
      <c r="M2377" s="5">
        <v>3228690977</v>
      </c>
      <c r="N2377" s="6">
        <v>46071</v>
      </c>
      <c r="O2377" s="7">
        <v>0</v>
      </c>
      <c r="P2377" s="5">
        <v>1</v>
      </c>
      <c r="Q2377" s="5" t="s">
        <v>42</v>
      </c>
      <c r="R2377" s="5">
        <v>50000</v>
      </c>
      <c r="S2377" s="5">
        <v>0</v>
      </c>
      <c r="T2377" s="5">
        <v>0</v>
      </c>
      <c r="U2377" s="5">
        <v>50000</v>
      </c>
      <c r="V2377" s="5" t="s">
        <v>10668</v>
      </c>
      <c r="W2377" s="5" t="s">
        <v>36</v>
      </c>
      <c r="X2377" s="5" t="s">
        <v>1481</v>
      </c>
      <c r="AA2377" s="5" t="s">
        <v>69</v>
      </c>
      <c r="AB2377" s="5" t="s">
        <v>7733</v>
      </c>
      <c r="AC2377" s="8" t="str">
        <f>HYPERLINK("https://drive.google.com/file/d/14GsSjHUd0LQyFsmxwLLwNqniCCVeSEq0/view?usp=drivesdk", "Abrir_Factura")</f>
        <v>Abrir_Factura</v>
      </c>
      <c r="AD2377" s="9">
        <v>46071.476793981485</v>
      </c>
    </row>
    <row r="2378" spans="1:30" ht="12.5">
      <c r="A2378" s="4">
        <v>46071.318592175929</v>
      </c>
      <c r="B2378" s="5">
        <v>92114</v>
      </c>
      <c r="C2378" s="5">
        <v>900521807</v>
      </c>
      <c r="D2378" s="5" t="s">
        <v>1231</v>
      </c>
      <c r="F2378" s="5" t="s">
        <v>2159</v>
      </c>
      <c r="H2378" s="5">
        <v>573007682024</v>
      </c>
      <c r="J2378" s="5" t="s">
        <v>5734</v>
      </c>
      <c r="K2378" s="5" t="s">
        <v>33</v>
      </c>
      <c r="L2378" s="5" t="s">
        <v>34</v>
      </c>
      <c r="M2378" s="5">
        <v>3007682024</v>
      </c>
      <c r="N2378" s="6">
        <v>46071</v>
      </c>
      <c r="O2378" s="7">
        <v>0</v>
      </c>
      <c r="P2378" s="5">
        <v>1</v>
      </c>
      <c r="Q2378" s="5" t="s">
        <v>42</v>
      </c>
      <c r="R2378" s="5">
        <v>0</v>
      </c>
      <c r="S2378" s="5">
        <v>0</v>
      </c>
      <c r="T2378" s="5">
        <v>0</v>
      </c>
      <c r="U2378" s="5">
        <v>0</v>
      </c>
      <c r="V2378" s="5"/>
      <c r="W2378" s="5" t="s">
        <v>36</v>
      </c>
      <c r="X2378" s="5" t="s">
        <v>43</v>
      </c>
      <c r="AA2378" s="5" t="s">
        <v>44</v>
      </c>
      <c r="AB2378" s="5" t="s">
        <v>10669</v>
      </c>
      <c r="AC2378" s="8" t="str">
        <f>HYPERLINK("https://drive.google.com/file/d/1QPR6brnxYAW4ckxqUnQef2d8C5vfTB-Y/view?usp=drivesdk", "Abrir_Factura")</f>
        <v>Abrir_Factura</v>
      </c>
      <c r="AD2378" s="9">
        <v>46071.327962962961</v>
      </c>
    </row>
    <row r="2379" spans="1:30" ht="12.5">
      <c r="A2379" s="4">
        <v>46071.326851307866</v>
      </c>
      <c r="B2379" s="5">
        <v>92124</v>
      </c>
      <c r="C2379" s="5">
        <v>79326014</v>
      </c>
      <c r="D2379" s="5" t="s">
        <v>3732</v>
      </c>
      <c r="F2379" s="5" t="s">
        <v>3733</v>
      </c>
      <c r="H2379" s="5">
        <v>573205746096</v>
      </c>
      <c r="J2379" s="5" t="s">
        <v>10670</v>
      </c>
      <c r="K2379" s="5" t="s">
        <v>307</v>
      </c>
      <c r="L2379" s="5" t="s">
        <v>10671</v>
      </c>
      <c r="M2379" s="5">
        <v>3015016575</v>
      </c>
      <c r="N2379" s="6">
        <v>46072</v>
      </c>
      <c r="O2379" s="7">
        <v>0.45833333333333331</v>
      </c>
      <c r="P2379" s="5">
        <v>1</v>
      </c>
      <c r="Q2379" s="5" t="s">
        <v>918</v>
      </c>
      <c r="R2379" s="5">
        <v>250000</v>
      </c>
      <c r="S2379" s="5">
        <v>0</v>
      </c>
      <c r="T2379" s="5">
        <v>10000</v>
      </c>
      <c r="U2379" s="5">
        <v>260000</v>
      </c>
      <c r="V2379" s="5" t="s">
        <v>10672</v>
      </c>
      <c r="W2379" s="5" t="s">
        <v>36</v>
      </c>
      <c r="X2379" s="5" t="s">
        <v>1937</v>
      </c>
      <c r="Z2379" s="5" t="s">
        <v>686</v>
      </c>
      <c r="AA2379" s="5" t="s">
        <v>44</v>
      </c>
      <c r="AC2379" s="8" t="str">
        <f>HYPERLINK("https://drive.google.com/file/d/1bZeSfyAPn_T0msy_tk-n6j9jSYmdnnP-/view?usp=drivesdk", "Abrir_Factura")</f>
        <v>Abrir_Factura</v>
      </c>
      <c r="AD2379" s="9">
        <v>46071.395775462966</v>
      </c>
    </row>
    <row r="2380" spans="1:30" ht="12.5">
      <c r="A2380" s="4">
        <v>46071.33679105324</v>
      </c>
      <c r="B2380" s="5">
        <v>92115</v>
      </c>
      <c r="C2380" s="5">
        <v>3136726588</v>
      </c>
      <c r="D2380" s="5" t="s">
        <v>10673</v>
      </c>
      <c r="F2380" s="5" t="s">
        <v>6140</v>
      </c>
      <c r="H2380" s="5">
        <v>57</v>
      </c>
      <c r="J2380" s="5" t="s">
        <v>10674</v>
      </c>
      <c r="K2380" s="5" t="s">
        <v>33</v>
      </c>
      <c r="L2380" s="5" t="s">
        <v>34</v>
      </c>
      <c r="M2380" s="5"/>
      <c r="N2380" s="6">
        <v>46071</v>
      </c>
      <c r="O2380" s="7">
        <v>0</v>
      </c>
      <c r="P2380" s="5">
        <v>1</v>
      </c>
      <c r="Q2380" s="5" t="s">
        <v>42</v>
      </c>
      <c r="R2380" s="5">
        <v>50000</v>
      </c>
      <c r="S2380" s="5">
        <v>0</v>
      </c>
      <c r="T2380" s="5">
        <v>0</v>
      </c>
      <c r="U2380" s="5">
        <v>50000</v>
      </c>
      <c r="V2380" s="5"/>
      <c r="W2380" s="5" t="s">
        <v>36</v>
      </c>
      <c r="X2380" s="5" t="s">
        <v>196</v>
      </c>
      <c r="AA2380" s="5" t="s">
        <v>1717</v>
      </c>
      <c r="AB2380" s="5" t="s">
        <v>2275</v>
      </c>
      <c r="AC2380" s="8" t="str">
        <f>HYPERLINK("https://drive.google.com/file/d/1NaKXc_V5dpaOtejFdRCHew-r-WKkMuRv/view?usp=drivesdk", "Abrir_Factura")</f>
        <v>Abrir_Factura</v>
      </c>
      <c r="AD2380" s="9">
        <v>46071.337997685187</v>
      </c>
    </row>
    <row r="2381" spans="1:30" ht="12.5">
      <c r="A2381" s="4">
        <v>46071.348454490741</v>
      </c>
      <c r="B2381" s="5">
        <v>92116</v>
      </c>
      <c r="C2381" s="5">
        <v>1140905046</v>
      </c>
      <c r="D2381" s="5" t="s">
        <v>283</v>
      </c>
      <c r="F2381" s="5" t="s">
        <v>10675</v>
      </c>
      <c r="H2381" s="5">
        <v>573005088989</v>
      </c>
      <c r="J2381" s="5" t="s">
        <v>10676</v>
      </c>
      <c r="K2381" s="5" t="s">
        <v>33</v>
      </c>
      <c r="L2381" s="5" t="s">
        <v>34</v>
      </c>
      <c r="M2381" s="5">
        <v>3005088989</v>
      </c>
      <c r="N2381" s="6">
        <v>46071</v>
      </c>
      <c r="O2381" s="7">
        <v>0</v>
      </c>
      <c r="P2381" s="5">
        <v>1</v>
      </c>
      <c r="Q2381" s="5" t="s">
        <v>309</v>
      </c>
      <c r="R2381" s="5">
        <v>88000</v>
      </c>
      <c r="S2381" s="5">
        <v>0</v>
      </c>
      <c r="T2381" s="5">
        <v>0</v>
      </c>
      <c r="U2381" s="5">
        <v>88000</v>
      </c>
      <c r="V2381" s="5"/>
      <c r="W2381" s="5" t="s">
        <v>36</v>
      </c>
      <c r="X2381" s="5" t="s">
        <v>37</v>
      </c>
      <c r="AA2381" s="5" t="s">
        <v>37</v>
      </c>
      <c r="AB2381" s="5" t="s">
        <v>10677</v>
      </c>
      <c r="AC2381" s="8" t="str">
        <f>HYPERLINK("https://drive.google.com/file/d/1z6VJ2Hi8al3hVrgTSXlEcBP4FUaT8jYX/view?usp=drivesdk", "Abrir_Factura")</f>
        <v>Abrir_Factura</v>
      </c>
      <c r="AD2381" s="9">
        <v>46071.350138888891</v>
      </c>
    </row>
    <row r="2382" spans="1:30" ht="12.5">
      <c r="A2382" s="4">
        <v>46071.349655555554</v>
      </c>
      <c r="B2382" s="5">
        <v>92117</v>
      </c>
      <c r="C2382" s="5">
        <v>1044422035</v>
      </c>
      <c r="D2382" s="5" t="s">
        <v>10678</v>
      </c>
      <c r="F2382" s="5" t="s">
        <v>10679</v>
      </c>
      <c r="H2382" s="5">
        <v>573013640820</v>
      </c>
      <c r="J2382" s="5" t="s">
        <v>10680</v>
      </c>
      <c r="K2382" s="5" t="s">
        <v>33</v>
      </c>
      <c r="L2382" s="5" t="s">
        <v>34</v>
      </c>
      <c r="M2382" s="5">
        <v>3013640820</v>
      </c>
      <c r="N2382" s="6">
        <v>46071</v>
      </c>
      <c r="O2382" s="7">
        <v>0</v>
      </c>
      <c r="P2382" s="5">
        <v>1</v>
      </c>
      <c r="Q2382" s="5" t="s">
        <v>309</v>
      </c>
      <c r="R2382" s="5">
        <v>88000</v>
      </c>
      <c r="S2382" s="5">
        <v>0</v>
      </c>
      <c r="T2382" s="5">
        <v>0</v>
      </c>
      <c r="U2382" s="5">
        <v>88000</v>
      </c>
      <c r="V2382" s="5"/>
      <c r="W2382" s="5" t="s">
        <v>36</v>
      </c>
      <c r="X2382" s="5" t="s">
        <v>37</v>
      </c>
      <c r="AA2382" s="5" t="s">
        <v>37</v>
      </c>
      <c r="AB2382" s="5" t="s">
        <v>10681</v>
      </c>
      <c r="AC2382" s="8" t="str">
        <f>HYPERLINK("https://drive.google.com/file/d/1I_PfZVqUEjmy0B1Gkd0tHchiKWr9MhRU/view?usp=drivesdk", "Abrir_Factura")</f>
        <v>Abrir_Factura</v>
      </c>
      <c r="AD2382" s="9">
        <v>46071.350497685184</v>
      </c>
    </row>
    <row r="2383" spans="1:30" ht="12.5">
      <c r="A2383" s="4">
        <v>46071.350311979171</v>
      </c>
      <c r="B2383" s="5">
        <v>92120</v>
      </c>
      <c r="C2383" s="5">
        <v>1119392011</v>
      </c>
      <c r="D2383" s="5" t="s">
        <v>10682</v>
      </c>
      <c r="F2383" s="5" t="s">
        <v>10683</v>
      </c>
      <c r="H2383" s="5">
        <v>573008771538</v>
      </c>
      <c r="J2383" s="5" t="s">
        <v>10684</v>
      </c>
      <c r="K2383" s="5" t="s">
        <v>103</v>
      </c>
      <c r="L2383" s="5" t="s">
        <v>10685</v>
      </c>
      <c r="M2383" s="5">
        <v>3008771538</v>
      </c>
      <c r="N2383" s="6">
        <v>46071</v>
      </c>
      <c r="O2383" s="7">
        <v>0.41666666666666669</v>
      </c>
      <c r="P2383" s="5">
        <v>1</v>
      </c>
      <c r="Q2383" s="5" t="s">
        <v>75</v>
      </c>
      <c r="R2383" s="5">
        <v>80000</v>
      </c>
      <c r="S2383" s="5">
        <v>0</v>
      </c>
      <c r="T2383" s="5">
        <v>10000</v>
      </c>
      <c r="U2383" s="5">
        <v>90000</v>
      </c>
      <c r="V2383" s="5" t="s">
        <v>10686</v>
      </c>
      <c r="W2383" s="5" t="s">
        <v>36</v>
      </c>
      <c r="X2383" s="5" t="s">
        <v>180</v>
      </c>
      <c r="Z2383" s="5" t="s">
        <v>10687</v>
      </c>
      <c r="AA2383" s="5" t="s">
        <v>69</v>
      </c>
      <c r="AC2383" s="8" t="str">
        <f>HYPERLINK("https://drive.google.com/file/d/10n3eXMKqZKyRWgbew_GmfMPGANo8gKZk/view?usp=drivesdk", "Abrir_Factura")</f>
        <v>Abrir_Factura</v>
      </c>
      <c r="AD2383" s="9">
        <v>46071.364953703705</v>
      </c>
    </row>
    <row r="2384" spans="1:30" ht="12.5">
      <c r="A2384" s="4">
        <v>46071.361999629633</v>
      </c>
      <c r="B2384" s="5">
        <v>92122</v>
      </c>
      <c r="C2384" s="5">
        <v>1045743517</v>
      </c>
      <c r="D2384" s="5" t="s">
        <v>10688</v>
      </c>
      <c r="F2384" s="5" t="s">
        <v>455</v>
      </c>
      <c r="H2384" s="5">
        <v>573053433925</v>
      </c>
      <c r="J2384" s="5" t="s">
        <v>10689</v>
      </c>
      <c r="K2384" s="5" t="s">
        <v>124</v>
      </c>
      <c r="L2384" s="5" t="s">
        <v>10690</v>
      </c>
      <c r="M2384" s="5">
        <v>3017704566</v>
      </c>
      <c r="N2384" s="6">
        <v>46071</v>
      </c>
      <c r="O2384" s="7">
        <v>0</v>
      </c>
      <c r="P2384" s="5">
        <v>1</v>
      </c>
      <c r="Q2384" s="5" t="s">
        <v>8347</v>
      </c>
      <c r="R2384" s="5">
        <v>350000</v>
      </c>
      <c r="S2384" s="5">
        <v>0</v>
      </c>
      <c r="T2384" s="5">
        <v>12000</v>
      </c>
      <c r="U2384" s="5">
        <v>362000</v>
      </c>
      <c r="V2384" s="5" t="s">
        <v>10691</v>
      </c>
      <c r="W2384" s="5" t="s">
        <v>36</v>
      </c>
      <c r="X2384" s="5" t="s">
        <v>1481</v>
      </c>
      <c r="Z2384" s="5" t="s">
        <v>10692</v>
      </c>
      <c r="AA2384" s="5" t="s">
        <v>44</v>
      </c>
      <c r="AC2384" s="8" t="str">
        <f>HYPERLINK("https://drive.google.com/file/d/1JOnBxkwkVVpvwM7VStoE0IYAwtQNraKl/view?usp=drivesdk", "Abrir_Factura")</f>
        <v>Abrir_Factura</v>
      </c>
      <c r="AD2384" s="9">
        <v>46071.370497685188</v>
      </c>
    </row>
    <row r="2385" spans="1:30" ht="12.5">
      <c r="A2385" s="4">
        <v>46071.362761192126</v>
      </c>
      <c r="B2385" s="5">
        <v>92119</v>
      </c>
      <c r="C2385" s="5">
        <v>1129582551</v>
      </c>
      <c r="D2385" s="5" t="s">
        <v>10693</v>
      </c>
      <c r="F2385" s="5" t="s">
        <v>10694</v>
      </c>
      <c r="H2385" s="5">
        <v>573145037702</v>
      </c>
      <c r="J2385" s="5" t="s">
        <v>10695</v>
      </c>
      <c r="K2385" s="5" t="s">
        <v>103</v>
      </c>
      <c r="L2385" s="5" t="s">
        <v>10696</v>
      </c>
      <c r="M2385" s="5">
        <v>3145037702</v>
      </c>
      <c r="N2385" s="6">
        <v>46071</v>
      </c>
      <c r="O2385" s="7">
        <v>0.41666666666666669</v>
      </c>
      <c r="P2385" s="5">
        <v>1</v>
      </c>
      <c r="Q2385" s="5" t="s">
        <v>322</v>
      </c>
      <c r="R2385" s="5">
        <v>135000</v>
      </c>
      <c r="S2385" s="5">
        <v>0</v>
      </c>
      <c r="T2385" s="5">
        <v>10000</v>
      </c>
      <c r="U2385" s="5">
        <v>145000</v>
      </c>
      <c r="V2385" s="5"/>
      <c r="W2385" s="5" t="s">
        <v>36</v>
      </c>
      <c r="X2385" s="5" t="s">
        <v>1481</v>
      </c>
      <c r="AA2385" s="5" t="s">
        <v>44</v>
      </c>
      <c r="AB2385" s="5" t="s">
        <v>10697</v>
      </c>
      <c r="AC2385" s="8" t="str">
        <f>HYPERLINK("https://drive.google.com/file/d/1x4CEq0oHFFRIilMAJR34ZI5iAvJYtMIU/view?usp=drivesdk", "Abrir_Factura")</f>
        <v>Abrir_Factura</v>
      </c>
      <c r="AD2385" s="9">
        <v>46071.36378472222</v>
      </c>
    </row>
    <row r="2386" spans="1:30" ht="12.5">
      <c r="A2386" s="4">
        <v>46071.364940335647</v>
      </c>
      <c r="B2386" s="5">
        <v>92121</v>
      </c>
      <c r="C2386" s="5">
        <v>1041691972</v>
      </c>
      <c r="D2386" s="5" t="s">
        <v>1026</v>
      </c>
      <c r="F2386" s="5" t="s">
        <v>10698</v>
      </c>
      <c r="H2386" s="5">
        <v>573022929215</v>
      </c>
      <c r="J2386" s="5" t="s">
        <v>10699</v>
      </c>
      <c r="K2386" s="5" t="s">
        <v>1317</v>
      </c>
      <c r="L2386" s="5" t="s">
        <v>10700</v>
      </c>
      <c r="M2386" s="5">
        <v>3023900082</v>
      </c>
      <c r="N2386" s="6">
        <v>46071</v>
      </c>
      <c r="O2386" s="7">
        <v>0.41666666666666669</v>
      </c>
      <c r="P2386" s="5">
        <v>1</v>
      </c>
      <c r="Q2386" s="5" t="s">
        <v>309</v>
      </c>
      <c r="R2386" s="5">
        <v>88000</v>
      </c>
      <c r="S2386" s="5">
        <v>0</v>
      </c>
      <c r="T2386" s="5">
        <v>12000</v>
      </c>
      <c r="U2386" s="5">
        <v>100000</v>
      </c>
      <c r="V2386" s="5" t="s">
        <v>10701</v>
      </c>
      <c r="W2386" s="5" t="s">
        <v>36</v>
      </c>
      <c r="X2386" s="5" t="s">
        <v>1481</v>
      </c>
      <c r="Z2386" s="5" t="s">
        <v>10702</v>
      </c>
      <c r="AA2386" s="5" t="s">
        <v>44</v>
      </c>
      <c r="AB2386" s="5" t="s">
        <v>10703</v>
      </c>
      <c r="AC2386" s="8" t="str">
        <f>HYPERLINK("https://drive.google.com/file/d/1KzQ_GKIXBwtP__UX9XU6JZRPOUI7kGfj/view?usp=drivesdk", "Abrir_Factura")</f>
        <v>Abrir_Factura</v>
      </c>
      <c r="AD2386" s="9">
        <v>46071.369039351855</v>
      </c>
    </row>
    <row r="2387" spans="1:30" ht="12.5">
      <c r="A2387" s="4">
        <v>46071.391032141204</v>
      </c>
      <c r="B2387" s="5">
        <v>92123</v>
      </c>
      <c r="C2387" s="5">
        <v>1042242899</v>
      </c>
      <c r="D2387" s="5" t="s">
        <v>7560</v>
      </c>
      <c r="F2387" s="5" t="s">
        <v>10704</v>
      </c>
      <c r="H2387" s="5">
        <v>573023611782</v>
      </c>
      <c r="J2387" s="5" t="s">
        <v>10705</v>
      </c>
      <c r="K2387" s="5" t="s">
        <v>33</v>
      </c>
      <c r="L2387" s="5" t="s">
        <v>34</v>
      </c>
      <c r="M2387" s="5">
        <v>3023611782</v>
      </c>
      <c r="N2387" s="6">
        <v>46071</v>
      </c>
      <c r="O2387" s="7">
        <v>0.4375</v>
      </c>
      <c r="P2387" s="5">
        <v>1</v>
      </c>
      <c r="Q2387" s="5" t="s">
        <v>8347</v>
      </c>
      <c r="R2387" s="5">
        <v>350000</v>
      </c>
      <c r="S2387" s="5">
        <v>0</v>
      </c>
      <c r="T2387" s="5">
        <v>0</v>
      </c>
      <c r="U2387" s="5">
        <v>350000</v>
      </c>
      <c r="V2387" s="5"/>
      <c r="W2387" s="5" t="s">
        <v>36</v>
      </c>
      <c r="X2387" s="5" t="s">
        <v>1705</v>
      </c>
      <c r="AA2387" s="5" t="s">
        <v>1717</v>
      </c>
      <c r="AB2387" s="5" t="s">
        <v>10706</v>
      </c>
      <c r="AC2387" s="8" t="str">
        <f>HYPERLINK("https://drive.google.com/file/d/1jrf2pFgRGdgUoZTY78JpWp8-sEbEgf5R/view?usp=drivesdk", "Abrir_Factura")</f>
        <v>Abrir_Factura</v>
      </c>
      <c r="AD2387" s="9">
        <v>46071.393391203703</v>
      </c>
    </row>
    <row r="2388" spans="1:30" ht="12.5">
      <c r="A2388" s="4">
        <v>46071.391266006947</v>
      </c>
      <c r="B2388" s="5">
        <v>92127</v>
      </c>
      <c r="C2388" s="5">
        <v>55302554</v>
      </c>
      <c r="D2388" s="5" t="s">
        <v>158</v>
      </c>
      <c r="F2388" s="5" t="s">
        <v>1785</v>
      </c>
      <c r="H2388" s="5">
        <v>573013716965</v>
      </c>
      <c r="J2388" s="5" t="s">
        <v>10707</v>
      </c>
      <c r="K2388" s="5" t="s">
        <v>73</v>
      </c>
      <c r="L2388" s="5" t="s">
        <v>10708</v>
      </c>
      <c r="M2388" s="5">
        <v>3004410923</v>
      </c>
      <c r="N2388" s="6">
        <v>46074</v>
      </c>
      <c r="O2388" s="7">
        <v>0</v>
      </c>
      <c r="P2388" s="5">
        <v>1</v>
      </c>
      <c r="Q2388" s="5" t="s">
        <v>1049</v>
      </c>
      <c r="R2388" s="5">
        <v>300000</v>
      </c>
      <c r="S2388" s="5">
        <v>0</v>
      </c>
      <c r="T2388" s="5">
        <v>8000</v>
      </c>
      <c r="U2388" s="5">
        <v>308000</v>
      </c>
      <c r="V2388" s="5" t="s">
        <v>10709</v>
      </c>
      <c r="W2388" s="5" t="s">
        <v>36</v>
      </c>
      <c r="X2388" s="5" t="s">
        <v>1481</v>
      </c>
      <c r="Z2388" s="5" t="s">
        <v>10710</v>
      </c>
      <c r="AA2388" s="5" t="s">
        <v>69</v>
      </c>
      <c r="AB2388" s="5" t="s">
        <v>10711</v>
      </c>
      <c r="AC2388" s="8" t="str">
        <f>HYPERLINK("https://drive.google.com/file/d/1r2xrNymRDKhSeB0-ElJoUjnq01krzp0V/view?usp=drivesdk", "Abrir_Factura")</f>
        <v>Abrir_Factura</v>
      </c>
      <c r="AD2388" s="9">
        <v>46071.421585648146</v>
      </c>
    </row>
    <row r="2389" spans="1:30" ht="12.5">
      <c r="A2389" s="4">
        <v>46071.397567835651</v>
      </c>
      <c r="B2389" s="5">
        <v>92128</v>
      </c>
      <c r="C2389" s="5">
        <v>1010224863</v>
      </c>
      <c r="D2389" s="5" t="s">
        <v>711</v>
      </c>
      <c r="F2389" s="5" t="s">
        <v>4070</v>
      </c>
      <c r="H2389" s="5">
        <v>573192835538</v>
      </c>
      <c r="J2389" s="5" t="s">
        <v>4071</v>
      </c>
      <c r="K2389" s="5" t="s">
        <v>185</v>
      </c>
      <c r="L2389" s="5" t="s">
        <v>10712</v>
      </c>
      <c r="M2389" s="5">
        <v>3192835538</v>
      </c>
      <c r="N2389" s="6">
        <v>46077</v>
      </c>
      <c r="O2389" s="7">
        <v>0</v>
      </c>
      <c r="P2389" s="5">
        <v>1</v>
      </c>
      <c r="Q2389" s="5" t="s">
        <v>65</v>
      </c>
      <c r="R2389" s="5">
        <v>80000</v>
      </c>
      <c r="S2389" s="5">
        <v>0</v>
      </c>
      <c r="T2389" s="5">
        <v>8000</v>
      </c>
      <c r="U2389" s="5">
        <v>88000</v>
      </c>
      <c r="V2389" s="5" t="s">
        <v>10713</v>
      </c>
      <c r="W2389" s="5" t="s">
        <v>36</v>
      </c>
      <c r="X2389" s="5" t="s">
        <v>1705</v>
      </c>
      <c r="AA2389" s="5" t="s">
        <v>44</v>
      </c>
      <c r="AB2389" s="5" t="s">
        <v>10714</v>
      </c>
      <c r="AC2389" s="8" t="str">
        <f>HYPERLINK("https://drive.google.com/file/d/1kkqImDcUAXLMzXPN_HFfbC93xd-zucrM/view?usp=drivesdk", "Abrir_Factura")</f>
        <v>Abrir_Factura</v>
      </c>
      <c r="AD2389" s="9">
        <v>46071.428287037037</v>
      </c>
    </row>
    <row r="2390" spans="1:30" ht="12.5">
      <c r="A2390" s="4">
        <v>46071.403294756943</v>
      </c>
      <c r="B2390" s="5">
        <v>92125</v>
      </c>
      <c r="C2390" s="5">
        <v>1020838394</v>
      </c>
      <c r="D2390" s="5" t="s">
        <v>3647</v>
      </c>
      <c r="F2390" s="5" t="s">
        <v>10715</v>
      </c>
      <c r="H2390" s="5">
        <v>573185720163</v>
      </c>
      <c r="J2390" s="5" t="s">
        <v>10716</v>
      </c>
      <c r="K2390" s="5" t="s">
        <v>6905</v>
      </c>
      <c r="L2390" s="5" t="s">
        <v>10717</v>
      </c>
      <c r="M2390" s="5"/>
      <c r="N2390" s="6">
        <v>46071</v>
      </c>
      <c r="O2390" s="7">
        <v>0.45833333333333331</v>
      </c>
      <c r="P2390" s="5">
        <v>1</v>
      </c>
      <c r="Q2390" s="5" t="s">
        <v>42</v>
      </c>
      <c r="R2390" s="5">
        <v>100000</v>
      </c>
      <c r="S2390" s="5">
        <v>0</v>
      </c>
      <c r="T2390" s="5">
        <v>25000</v>
      </c>
      <c r="U2390" s="5">
        <v>125000</v>
      </c>
      <c r="V2390" s="5" t="s">
        <v>10718</v>
      </c>
      <c r="W2390" s="5" t="s">
        <v>36</v>
      </c>
      <c r="X2390" s="5" t="s">
        <v>1481</v>
      </c>
      <c r="AA2390" s="5" t="s">
        <v>44</v>
      </c>
      <c r="AB2390" s="5" t="s">
        <v>10719</v>
      </c>
      <c r="AC2390" s="8" t="str">
        <f>HYPERLINK("https://drive.google.com/file/d/1U5Ur7MklL7dU5zPyLrERlJ1tGbY_E3x9/view?usp=drivesdk", "Abrir_Factura")</f>
        <v>Abrir_Factura</v>
      </c>
      <c r="AD2390" s="9">
        <v>46072.685289351852</v>
      </c>
    </row>
    <row r="2391" spans="1:30" ht="12.5">
      <c r="A2391" s="4">
        <v>46071.411337488425</v>
      </c>
      <c r="B2391" s="5">
        <v>92126</v>
      </c>
      <c r="C2391" s="5">
        <v>1045725921</v>
      </c>
      <c r="D2391" s="5" t="s">
        <v>1989</v>
      </c>
      <c r="F2391" s="5" t="s">
        <v>10720</v>
      </c>
      <c r="H2391" s="5">
        <v>573173467743</v>
      </c>
      <c r="J2391" s="5" t="s">
        <v>10721</v>
      </c>
      <c r="K2391" s="5" t="s">
        <v>73</v>
      </c>
      <c r="L2391" s="5" t="s">
        <v>10722</v>
      </c>
      <c r="M2391" s="5">
        <v>3133954102</v>
      </c>
      <c r="N2391" s="6">
        <v>46071</v>
      </c>
      <c r="O2391" s="7">
        <v>0</v>
      </c>
      <c r="P2391" s="5">
        <v>1</v>
      </c>
      <c r="Q2391" s="5" t="s">
        <v>3111</v>
      </c>
      <c r="R2391" s="5">
        <v>220000</v>
      </c>
      <c r="S2391" s="5">
        <v>0</v>
      </c>
      <c r="T2391" s="5">
        <v>8000</v>
      </c>
      <c r="U2391" s="5">
        <v>228000</v>
      </c>
      <c r="V2391" s="5" t="s">
        <v>10723</v>
      </c>
      <c r="W2391" s="5" t="s">
        <v>36</v>
      </c>
      <c r="X2391" s="5" t="s">
        <v>1937</v>
      </c>
      <c r="Z2391" s="5" t="s">
        <v>10724</v>
      </c>
      <c r="AA2391" s="5" t="s">
        <v>44</v>
      </c>
      <c r="AC2391" s="8" t="str">
        <f>HYPERLINK("https://drive.google.com/file/d/1vVCdCcx0TrJs0bqF8TA9Jk7ww9wGkZtg/view?usp=drivesdk", "Abrir_Factura")</f>
        <v>Abrir_Factura</v>
      </c>
      <c r="AD2391" s="9">
        <v>46071.419699074075</v>
      </c>
    </row>
    <row r="2392" spans="1:30" ht="12.5">
      <c r="A2392" s="4">
        <v>46071.44630466435</v>
      </c>
      <c r="B2392" s="5">
        <v>92129</v>
      </c>
      <c r="C2392" s="5">
        <v>1047447961</v>
      </c>
      <c r="D2392" s="5" t="s">
        <v>10725</v>
      </c>
      <c r="F2392" s="5" t="s">
        <v>10726</v>
      </c>
      <c r="H2392" s="5">
        <v>573004605616</v>
      </c>
      <c r="J2392" s="5" t="s">
        <v>10727</v>
      </c>
      <c r="K2392" s="5" t="s">
        <v>33</v>
      </c>
      <c r="L2392" s="5" t="s">
        <v>34</v>
      </c>
      <c r="M2392" s="5">
        <v>3004605616</v>
      </c>
      <c r="N2392" s="6">
        <v>46071</v>
      </c>
      <c r="O2392" s="7">
        <v>0</v>
      </c>
      <c r="P2392" s="5">
        <v>1</v>
      </c>
      <c r="Q2392" s="5" t="s">
        <v>435</v>
      </c>
      <c r="R2392" s="5">
        <v>65000</v>
      </c>
      <c r="S2392" s="5">
        <v>0</v>
      </c>
      <c r="T2392" s="5">
        <v>0</v>
      </c>
      <c r="U2392" s="5">
        <v>65000</v>
      </c>
      <c r="V2392" s="5"/>
      <c r="W2392" s="5" t="s">
        <v>36</v>
      </c>
      <c r="X2392" s="5" t="s">
        <v>37</v>
      </c>
      <c r="AA2392" s="5" t="s">
        <v>37</v>
      </c>
      <c r="AB2392" s="5" t="s">
        <v>10728</v>
      </c>
      <c r="AC2392" s="8" t="str">
        <f>HYPERLINK("https://drive.google.com/file/d/12qrmmk8D5I9j2aB4lhu85zSEzBdmt8S-/view?usp=drivesdk", "Abrir_Factura")</f>
        <v>Abrir_Factura</v>
      </c>
      <c r="AD2392" s="9">
        <v>46071.447141203702</v>
      </c>
    </row>
    <row r="2393" spans="1:30" ht="12.5">
      <c r="A2393" s="4">
        <v>46071.44640100695</v>
      </c>
      <c r="B2393" s="5">
        <v>92130</v>
      </c>
      <c r="C2393" s="5">
        <v>1143135418</v>
      </c>
      <c r="D2393" s="5" t="s">
        <v>290</v>
      </c>
      <c r="F2393" s="5" t="s">
        <v>4246</v>
      </c>
      <c r="H2393" s="5">
        <v>5730157180100</v>
      </c>
      <c r="J2393" s="5" t="s">
        <v>10729</v>
      </c>
      <c r="K2393" s="5" t="s">
        <v>33</v>
      </c>
      <c r="L2393" s="5" t="s">
        <v>34</v>
      </c>
      <c r="M2393" s="5">
        <v>30157180100</v>
      </c>
      <c r="N2393" s="6">
        <v>46071</v>
      </c>
      <c r="O2393" s="7">
        <v>0.47916666666666669</v>
      </c>
      <c r="P2393" s="5">
        <v>1</v>
      </c>
      <c r="Q2393" s="5" t="s">
        <v>210</v>
      </c>
      <c r="R2393" s="5">
        <v>170000</v>
      </c>
      <c r="S2393" s="5">
        <v>0</v>
      </c>
      <c r="T2393" s="5">
        <v>0</v>
      </c>
      <c r="U2393" s="5">
        <v>170000</v>
      </c>
      <c r="V2393" s="5"/>
      <c r="W2393" s="5" t="s">
        <v>36</v>
      </c>
      <c r="X2393" s="5" t="s">
        <v>1481</v>
      </c>
      <c r="AA2393" s="5" t="s">
        <v>44</v>
      </c>
      <c r="AC2393" s="8" t="str">
        <f>HYPERLINK("https://drive.google.com/file/d/1EffFoGcbzDdZTvlUZ6G3jzzi1c5VZrq5/view?usp=drivesdk", "Abrir_Factura")</f>
        <v>Abrir_Factura</v>
      </c>
      <c r="AD2393" s="9">
        <v>46071.45380787037</v>
      </c>
    </row>
    <row r="2394" spans="1:30" ht="12.5">
      <c r="A2394" s="4">
        <v>46071.455798981478</v>
      </c>
      <c r="B2394" s="5">
        <v>92131</v>
      </c>
      <c r="C2394" s="5">
        <v>1193123279</v>
      </c>
      <c r="D2394" s="5" t="s">
        <v>10730</v>
      </c>
      <c r="F2394" s="5" t="s">
        <v>1324</v>
      </c>
      <c r="H2394" s="5">
        <v>573016973797</v>
      </c>
      <c r="J2394" s="5" t="s">
        <v>10731</v>
      </c>
      <c r="K2394" s="5" t="s">
        <v>33</v>
      </c>
      <c r="L2394" s="5" t="s">
        <v>34</v>
      </c>
      <c r="M2394" s="5">
        <v>3016973797</v>
      </c>
      <c r="N2394" s="6">
        <v>46071</v>
      </c>
      <c r="O2394" s="7">
        <v>0</v>
      </c>
      <c r="P2394" s="5">
        <v>1</v>
      </c>
      <c r="Q2394" s="5" t="s">
        <v>178</v>
      </c>
      <c r="R2394" s="5">
        <v>110000</v>
      </c>
      <c r="S2394" s="5">
        <v>0</v>
      </c>
      <c r="T2394" s="5">
        <v>0</v>
      </c>
      <c r="U2394" s="5">
        <v>110000</v>
      </c>
      <c r="V2394" s="5"/>
      <c r="W2394" s="5" t="s">
        <v>36</v>
      </c>
      <c r="X2394" s="5" t="s">
        <v>37</v>
      </c>
      <c r="AA2394" s="5" t="s">
        <v>37</v>
      </c>
      <c r="AB2394" s="5" t="s">
        <v>10732</v>
      </c>
      <c r="AC2394" s="8" t="str">
        <f>HYPERLINK("https://drive.google.com/file/d/1Ddj5sdIDjJwhqulxkqoEdnFXotCGWvb1/view?usp=drivesdk", "Abrir_Factura")</f>
        <v>Abrir_Factura</v>
      </c>
      <c r="AD2394" s="9">
        <v>46071.456423611111</v>
      </c>
    </row>
    <row r="2395" spans="1:30" ht="12.5">
      <c r="A2395" s="4">
        <v>46071.459850277781</v>
      </c>
      <c r="B2395" s="5">
        <v>92132</v>
      </c>
      <c r="C2395" s="5">
        <v>32629071</v>
      </c>
      <c r="D2395" s="5" t="s">
        <v>10733</v>
      </c>
      <c r="F2395" s="5" t="s">
        <v>10734</v>
      </c>
      <c r="H2395" s="5">
        <v>57000</v>
      </c>
      <c r="J2395" s="5" t="s">
        <v>10735</v>
      </c>
      <c r="K2395" s="5"/>
      <c r="L2395" s="5" t="s">
        <v>10736</v>
      </c>
      <c r="M2395" s="5"/>
      <c r="N2395" s="6">
        <v>46071</v>
      </c>
      <c r="O2395" s="7">
        <v>0</v>
      </c>
      <c r="P2395" s="5">
        <v>1</v>
      </c>
      <c r="Q2395" s="5" t="s">
        <v>42</v>
      </c>
      <c r="R2395" s="5">
        <v>120000</v>
      </c>
      <c r="S2395" s="5">
        <v>0</v>
      </c>
      <c r="T2395" s="5"/>
      <c r="U2395" s="5">
        <v>120000</v>
      </c>
      <c r="V2395" s="5" t="s">
        <v>10737</v>
      </c>
      <c r="W2395" s="5" t="s">
        <v>36</v>
      </c>
      <c r="X2395" s="5" t="s">
        <v>7644</v>
      </c>
      <c r="AA2395" s="5" t="s">
        <v>332</v>
      </c>
      <c r="AB2395" s="5" t="s">
        <v>10738</v>
      </c>
      <c r="AC2395" s="8" t="str">
        <f>HYPERLINK("https://drive.google.com/file/d/1AUdq9uB6vUB8NN4RKk8y0VxHZxWZIPE3/view?usp=drivesdk", "Abrir_Factura")</f>
        <v>Abrir_Factura</v>
      </c>
      <c r="AD2395" s="9">
        <v>46071.497187499997</v>
      </c>
    </row>
    <row r="2396" spans="1:30" ht="12.5">
      <c r="A2396" s="4">
        <v>46071.469214733792</v>
      </c>
      <c r="B2396" s="5">
        <v>92133</v>
      </c>
      <c r="C2396" s="5">
        <v>1082963863</v>
      </c>
      <c r="D2396" s="5" t="s">
        <v>7442</v>
      </c>
      <c r="F2396" s="5" t="s">
        <v>4231</v>
      </c>
      <c r="H2396" s="5">
        <v>573013638788</v>
      </c>
      <c r="J2396" s="5" t="s">
        <v>4232</v>
      </c>
      <c r="K2396" s="5" t="s">
        <v>33</v>
      </c>
      <c r="L2396" s="5" t="s">
        <v>34</v>
      </c>
      <c r="M2396" s="5">
        <v>3013638788</v>
      </c>
      <c r="N2396" s="6">
        <v>46071</v>
      </c>
      <c r="O2396" s="7">
        <v>0</v>
      </c>
      <c r="P2396" s="5">
        <v>1</v>
      </c>
      <c r="Q2396" s="5" t="s">
        <v>42</v>
      </c>
      <c r="R2396" s="5">
        <v>90000</v>
      </c>
      <c r="S2396" s="5">
        <v>0</v>
      </c>
      <c r="T2396" s="5">
        <v>0</v>
      </c>
      <c r="U2396" s="5">
        <v>90000</v>
      </c>
      <c r="V2396" s="5"/>
      <c r="W2396" s="5" t="s">
        <v>36</v>
      </c>
      <c r="X2396" s="5" t="s">
        <v>1481</v>
      </c>
      <c r="AA2396" s="5" t="s">
        <v>44</v>
      </c>
      <c r="AB2396" s="5" t="s">
        <v>525</v>
      </c>
      <c r="AC2396" s="8" t="str">
        <f>HYPERLINK("https://drive.google.com/file/d/1NaXoPmHBqDZTZBdVSm2iG5BDFyE1sCTI/view?usp=drivesdk", "Abrir_Factura")</f>
        <v>Abrir_Factura</v>
      </c>
      <c r="AD2396" s="9">
        <v>46071.47515046296</v>
      </c>
    </row>
    <row r="2397" spans="1:30" ht="12.5">
      <c r="A2397" s="4">
        <v>46071.506222407406</v>
      </c>
      <c r="B2397" s="5">
        <v>92135</v>
      </c>
      <c r="C2397" s="5">
        <v>1032456787</v>
      </c>
      <c r="D2397" s="5" t="s">
        <v>3935</v>
      </c>
      <c r="F2397" s="5" t="s">
        <v>10739</v>
      </c>
      <c r="H2397" s="5">
        <v>573125108177</v>
      </c>
      <c r="J2397" s="5" t="s">
        <v>10740</v>
      </c>
      <c r="K2397" s="5" t="s">
        <v>63</v>
      </c>
      <c r="L2397" s="5" t="s">
        <v>10741</v>
      </c>
      <c r="M2397" s="5">
        <v>3245900846</v>
      </c>
      <c r="N2397" s="6">
        <v>46071</v>
      </c>
      <c r="O2397" s="7">
        <v>0</v>
      </c>
      <c r="P2397" s="5">
        <v>1</v>
      </c>
      <c r="Q2397" s="5" t="s">
        <v>7527</v>
      </c>
      <c r="R2397" s="5">
        <v>200000</v>
      </c>
      <c r="S2397" s="5">
        <v>0</v>
      </c>
      <c r="T2397" s="5">
        <v>17000</v>
      </c>
      <c r="U2397" s="5">
        <v>217000</v>
      </c>
      <c r="V2397" s="5" t="s">
        <v>10742</v>
      </c>
      <c r="W2397" s="5" t="s">
        <v>36</v>
      </c>
      <c r="X2397" s="5" t="s">
        <v>204</v>
      </c>
      <c r="Z2397" s="5" t="s">
        <v>10743</v>
      </c>
      <c r="AA2397" s="5" t="s">
        <v>44</v>
      </c>
      <c r="AB2397" s="5" t="s">
        <v>10744</v>
      </c>
      <c r="AC2397" s="8" t="str">
        <f>HYPERLINK("https://drive.google.com/file/d/18uLTq6fa5PiYG2O8MAEjXbvWbQlzRR2Q/view?usp=drivesdk", "Abrir_Factura")</f>
        <v>Abrir_Factura</v>
      </c>
      <c r="AD2397" s="9">
        <v>46071.508981481478</v>
      </c>
    </row>
    <row r="2398" spans="1:30" ht="12.5">
      <c r="A2398" s="4">
        <v>46071.520703379632</v>
      </c>
      <c r="B2398" s="5">
        <v>92137</v>
      </c>
      <c r="C2398" s="5">
        <v>1047409145</v>
      </c>
      <c r="D2398" s="5" t="s">
        <v>10745</v>
      </c>
      <c r="F2398" s="5" t="s">
        <v>10746</v>
      </c>
      <c r="H2398" s="5">
        <v>57000</v>
      </c>
      <c r="J2398" s="5" t="s">
        <v>10747</v>
      </c>
      <c r="K2398" s="5" t="s">
        <v>33</v>
      </c>
      <c r="L2398" s="5" t="s">
        <v>34</v>
      </c>
      <c r="M2398" s="5">
        <v>0</v>
      </c>
      <c r="N2398" s="6">
        <v>46071</v>
      </c>
      <c r="O2398" s="7">
        <v>0</v>
      </c>
      <c r="P2398" s="5">
        <v>1</v>
      </c>
      <c r="Q2398" s="5" t="s">
        <v>42</v>
      </c>
      <c r="R2398" s="5">
        <v>300000</v>
      </c>
      <c r="S2398" s="5">
        <v>0</v>
      </c>
      <c r="T2398" s="5">
        <v>0</v>
      </c>
      <c r="U2398" s="5">
        <v>300000</v>
      </c>
      <c r="V2398" s="5"/>
      <c r="W2398" s="5" t="s">
        <v>36</v>
      </c>
      <c r="X2398" s="5" t="s">
        <v>1705</v>
      </c>
      <c r="AA2398" s="5" t="s">
        <v>1717</v>
      </c>
      <c r="AB2398" s="5" t="s">
        <v>10748</v>
      </c>
      <c r="AC2398" s="8" t="str">
        <f>HYPERLINK("https://drive.google.com/file/d/1Qxo-YE3-WiMnpdPjkCwqpfv_HaWYQn72/view?usp=drivesdk", "Abrir_Factura")</f>
        <v>Abrir_Factura</v>
      </c>
      <c r="AD2398" s="9">
        <v>46071.540543981479</v>
      </c>
    </row>
    <row r="2399" spans="1:30" ht="12.5">
      <c r="A2399" s="4">
        <v>46071.533411863427</v>
      </c>
      <c r="B2399" s="5">
        <v>92136</v>
      </c>
      <c r="C2399" s="5">
        <v>0</v>
      </c>
      <c r="D2399" s="5" t="s">
        <v>10749</v>
      </c>
      <c r="F2399" s="5" t="s">
        <v>1155</v>
      </c>
      <c r="H2399" s="5">
        <v>573116881567</v>
      </c>
      <c r="J2399" s="5" t="s">
        <v>10750</v>
      </c>
      <c r="K2399" s="5" t="s">
        <v>161</v>
      </c>
      <c r="L2399" s="5" t="s">
        <v>10751</v>
      </c>
      <c r="M2399" s="5"/>
      <c r="N2399" s="6">
        <v>46071</v>
      </c>
      <c r="O2399" s="7">
        <v>0</v>
      </c>
      <c r="P2399" s="5">
        <v>1</v>
      </c>
      <c r="Q2399" s="5" t="s">
        <v>42</v>
      </c>
      <c r="R2399" s="5">
        <v>67000</v>
      </c>
      <c r="S2399" s="5">
        <v>0</v>
      </c>
      <c r="T2399" s="5">
        <v>8000</v>
      </c>
      <c r="U2399" s="5">
        <v>75000</v>
      </c>
      <c r="V2399" s="5"/>
      <c r="W2399" s="5" t="s">
        <v>36</v>
      </c>
      <c r="X2399" s="5" t="s">
        <v>1481</v>
      </c>
      <c r="AA2399" s="5" t="s">
        <v>44</v>
      </c>
      <c r="AB2399" s="5" t="s">
        <v>10752</v>
      </c>
      <c r="AC2399" s="8" t="str">
        <f>HYPERLINK("https://drive.google.com/file/d/1q256GxXOdoAtBzp5ZDTvBvXBci1dsupR/view?usp=drivesdk", "Abrir_Factura")</f>
        <v>Abrir_Factura</v>
      </c>
      <c r="AD2399" s="9">
        <v>46071.534456018519</v>
      </c>
    </row>
    <row r="2400" spans="1:30" ht="12.5">
      <c r="A2400" s="4">
        <v>46071.53859729167</v>
      </c>
      <c r="B2400" s="5">
        <v>92140</v>
      </c>
      <c r="C2400" s="5">
        <v>1047040080</v>
      </c>
      <c r="D2400" s="5" t="s">
        <v>10753</v>
      </c>
      <c r="F2400" s="5" t="s">
        <v>10754</v>
      </c>
      <c r="H2400" s="5">
        <v>573044900659</v>
      </c>
      <c r="J2400" s="5" t="s">
        <v>5827</v>
      </c>
      <c r="K2400" s="5" t="s">
        <v>103</v>
      </c>
      <c r="L2400" s="5" t="s">
        <v>10755</v>
      </c>
      <c r="M2400" s="5">
        <v>3023618030</v>
      </c>
      <c r="N2400" s="6">
        <v>46071</v>
      </c>
      <c r="O2400" s="7">
        <v>0</v>
      </c>
      <c r="P2400" s="5">
        <v>1</v>
      </c>
      <c r="Q2400" s="5" t="s">
        <v>335</v>
      </c>
      <c r="R2400" s="5">
        <v>120000</v>
      </c>
      <c r="S2400" s="5">
        <v>0</v>
      </c>
      <c r="T2400" s="5">
        <v>10000</v>
      </c>
      <c r="U2400" s="5">
        <v>130000</v>
      </c>
      <c r="V2400" s="5" t="s">
        <v>10756</v>
      </c>
      <c r="W2400" s="5" t="s">
        <v>36</v>
      </c>
      <c r="X2400" s="5" t="s">
        <v>204</v>
      </c>
      <c r="AA2400" s="5" t="s">
        <v>44</v>
      </c>
      <c r="AC2400" s="8" t="str">
        <f>HYPERLINK("https://drive.google.com/file/d/15VOBiCLHIq8fOSN5HMpAJvuyXO7djcEZ/view?usp=drivesdk", "Abrir_Factura")</f>
        <v>Abrir_Factura</v>
      </c>
      <c r="AD2400" s="9">
        <v>46071.572824074072</v>
      </c>
    </row>
    <row r="2401" spans="1:30" ht="12.5">
      <c r="A2401" s="4">
        <v>46071.539756643513</v>
      </c>
      <c r="B2401" s="5">
        <v>92138</v>
      </c>
      <c r="C2401" s="5">
        <v>1140853098</v>
      </c>
      <c r="D2401" s="5" t="s">
        <v>5128</v>
      </c>
      <c r="F2401" s="5" t="s">
        <v>10757</v>
      </c>
      <c r="H2401" s="5">
        <v>17866725297</v>
      </c>
      <c r="J2401" s="5" t="s">
        <v>10758</v>
      </c>
      <c r="K2401" s="5" t="s">
        <v>124</v>
      </c>
      <c r="L2401" s="5" t="s">
        <v>10759</v>
      </c>
      <c r="M2401" s="5">
        <v>3006113742</v>
      </c>
      <c r="N2401" s="6">
        <v>46071</v>
      </c>
      <c r="O2401" s="7">
        <v>0</v>
      </c>
      <c r="P2401" s="5">
        <v>1</v>
      </c>
      <c r="Q2401" s="5" t="s">
        <v>330</v>
      </c>
      <c r="R2401" s="5">
        <v>200000</v>
      </c>
      <c r="S2401" s="5">
        <v>0</v>
      </c>
      <c r="T2401" s="5">
        <v>12000</v>
      </c>
      <c r="U2401" s="5">
        <v>212000</v>
      </c>
      <c r="V2401" s="5" t="s">
        <v>10760</v>
      </c>
      <c r="W2401" s="5" t="s">
        <v>36</v>
      </c>
      <c r="X2401" s="5" t="s">
        <v>1481</v>
      </c>
      <c r="Z2401" s="5" t="s">
        <v>10761</v>
      </c>
      <c r="AA2401" s="5" t="s">
        <v>44</v>
      </c>
      <c r="AC2401" s="8" t="str">
        <f>HYPERLINK("https://drive.google.com/file/d/1-taRZl80pPi6OXPbicw3bK0j8YzG0r21/view?usp=drivesdk", "Abrir_Factura")</f>
        <v>Abrir_Factura</v>
      </c>
      <c r="AD2401" s="9">
        <v>46071.552245370367</v>
      </c>
    </row>
    <row r="2402" spans="1:30" ht="12.5">
      <c r="A2402" s="4">
        <v>46071.55447278935</v>
      </c>
      <c r="B2402" s="5">
        <v>92142</v>
      </c>
      <c r="C2402" s="5">
        <v>1001817949</v>
      </c>
      <c r="D2402" s="5" t="s">
        <v>10762</v>
      </c>
      <c r="F2402" s="5" t="s">
        <v>10763</v>
      </c>
      <c r="H2402" s="5">
        <v>573215240869</v>
      </c>
      <c r="J2402" s="5" t="s">
        <v>10764</v>
      </c>
      <c r="K2402" s="5" t="s">
        <v>33</v>
      </c>
      <c r="L2402" s="5" t="s">
        <v>34</v>
      </c>
      <c r="M2402" s="5">
        <v>3215240869</v>
      </c>
      <c r="N2402" s="6">
        <v>46071</v>
      </c>
      <c r="O2402" s="7">
        <v>0</v>
      </c>
      <c r="P2402" s="5">
        <v>1</v>
      </c>
      <c r="Q2402" s="5" t="s">
        <v>384</v>
      </c>
      <c r="R2402" s="5">
        <v>200000</v>
      </c>
      <c r="S2402" s="5">
        <v>0</v>
      </c>
      <c r="T2402" s="5">
        <v>0</v>
      </c>
      <c r="U2402" s="5">
        <v>200000</v>
      </c>
      <c r="V2402" s="5" t="s">
        <v>10765</v>
      </c>
      <c r="W2402" s="5" t="s">
        <v>36</v>
      </c>
      <c r="X2402" s="5" t="s">
        <v>1481</v>
      </c>
      <c r="Z2402" s="5" t="s">
        <v>10766</v>
      </c>
      <c r="AA2402" s="5" t="s">
        <v>44</v>
      </c>
      <c r="AC2402" s="8" t="str">
        <f>HYPERLINK("https://drive.google.com/file/d/1OLlOb5EOWgu3cFK5ZfENuCoZP0ojaFsO/view?usp=drivesdk", "Abrir_Factura")</f>
        <v>Abrir_Factura</v>
      </c>
      <c r="AD2402" s="9">
        <v>46071.577696759261</v>
      </c>
    </row>
    <row r="2403" spans="1:30" ht="12.5">
      <c r="A2403" s="4">
        <v>46071.565991493058</v>
      </c>
      <c r="B2403" s="5">
        <v>92141</v>
      </c>
      <c r="C2403" s="5">
        <v>860036884</v>
      </c>
      <c r="D2403" s="5" t="s">
        <v>10767</v>
      </c>
      <c r="F2403" s="5" t="s">
        <v>10768</v>
      </c>
      <c r="H2403" s="5">
        <v>573176652449</v>
      </c>
      <c r="J2403" s="5" t="s">
        <v>10769</v>
      </c>
      <c r="K2403" s="5" t="s">
        <v>161</v>
      </c>
      <c r="L2403" s="5" t="s">
        <v>10770</v>
      </c>
      <c r="M2403" s="5" t="s">
        <v>25421</v>
      </c>
      <c r="N2403" s="6">
        <v>46071</v>
      </c>
      <c r="O2403" s="7">
        <v>0</v>
      </c>
      <c r="P2403" s="5">
        <v>1</v>
      </c>
      <c r="Q2403" s="5" t="s">
        <v>10771</v>
      </c>
      <c r="R2403" s="5">
        <v>370000</v>
      </c>
      <c r="S2403" s="5">
        <v>70300</v>
      </c>
      <c r="T2403" s="5">
        <v>8000</v>
      </c>
      <c r="U2403" s="5">
        <v>448300</v>
      </c>
      <c r="V2403" s="5" t="s">
        <v>10772</v>
      </c>
      <c r="W2403" s="5" t="s">
        <v>36</v>
      </c>
      <c r="X2403" s="5" t="s">
        <v>2163</v>
      </c>
      <c r="Z2403" s="5" t="s">
        <v>10773</v>
      </c>
      <c r="AA2403" s="5" t="s">
        <v>44</v>
      </c>
      <c r="AC2403" s="8" t="str">
        <f>HYPERLINK("https://drive.google.com/file/d/1NdpSgFitbUTxPrMvFFjhjMBpfL9uIRtv/view?usp=drivesdk", "Abrir_Factura")</f>
        <v>Abrir_Factura</v>
      </c>
      <c r="AD2403" s="9">
        <v>46071.750092592592</v>
      </c>
    </row>
    <row r="2404" spans="1:30" ht="12.5">
      <c r="A2404" s="4">
        <v>46071.569701111111</v>
      </c>
      <c r="B2404" s="5">
        <v>92139</v>
      </c>
      <c r="C2404" s="5">
        <v>1045694047</v>
      </c>
      <c r="D2404" s="5" t="s">
        <v>9586</v>
      </c>
      <c r="F2404" s="5" t="s">
        <v>1747</v>
      </c>
      <c r="H2404" s="5">
        <v>573002447555</v>
      </c>
      <c r="J2404" s="5" t="s">
        <v>10774</v>
      </c>
      <c r="K2404" s="5" t="s">
        <v>33</v>
      </c>
      <c r="L2404" s="5" t="s">
        <v>34</v>
      </c>
      <c r="M2404" s="5">
        <v>3002447555</v>
      </c>
      <c r="N2404" s="6">
        <v>46071</v>
      </c>
      <c r="O2404" s="7">
        <v>0</v>
      </c>
      <c r="P2404" s="5">
        <v>1</v>
      </c>
      <c r="Q2404" s="5" t="s">
        <v>309</v>
      </c>
      <c r="R2404" s="5">
        <v>88000</v>
      </c>
      <c r="S2404" s="5">
        <v>0</v>
      </c>
      <c r="T2404" s="5">
        <v>0</v>
      </c>
      <c r="U2404" s="5">
        <v>88000</v>
      </c>
      <c r="V2404" s="5"/>
      <c r="W2404" s="5" t="s">
        <v>36</v>
      </c>
      <c r="X2404" s="5" t="s">
        <v>37</v>
      </c>
      <c r="AA2404" s="5" t="s">
        <v>37</v>
      </c>
      <c r="AB2404" s="5" t="s">
        <v>10775</v>
      </c>
      <c r="AC2404" s="8" t="str">
        <f>HYPERLINK("https://drive.google.com/file/d/15TglxKO3nhvxuv5A-pXj-8S3chSHYtTq/view?usp=drivesdk", "Abrir_Factura")</f>
        <v>Abrir_Factura</v>
      </c>
      <c r="AD2404" s="9">
        <v>46071.570254629631</v>
      </c>
    </row>
    <row r="2405" spans="1:30" ht="12.5">
      <c r="A2405" s="4">
        <v>46071.571474375</v>
      </c>
      <c r="B2405" s="5">
        <v>92150</v>
      </c>
      <c r="C2405" s="5">
        <v>8001908216</v>
      </c>
      <c r="D2405" s="5" t="s">
        <v>10776</v>
      </c>
      <c r="F2405" s="5" t="s">
        <v>10777</v>
      </c>
      <c r="H2405" s="5">
        <v>573106462770</v>
      </c>
      <c r="J2405" s="5" t="s">
        <v>10778</v>
      </c>
      <c r="K2405" s="5" t="s">
        <v>516</v>
      </c>
      <c r="L2405" s="5" t="s">
        <v>10779</v>
      </c>
      <c r="M2405" s="5">
        <v>3106462770</v>
      </c>
      <c r="N2405" s="6">
        <v>46072</v>
      </c>
      <c r="O2405" s="7">
        <v>0.375</v>
      </c>
      <c r="P2405" s="5">
        <v>1</v>
      </c>
      <c r="Q2405" s="5" t="s">
        <v>42</v>
      </c>
      <c r="R2405" s="5">
        <v>416200</v>
      </c>
      <c r="S2405" s="5">
        <v>0</v>
      </c>
      <c r="T2405" s="5">
        <v>10000</v>
      </c>
      <c r="U2405" s="5">
        <v>426200</v>
      </c>
      <c r="V2405" s="5"/>
      <c r="W2405" s="5" t="s">
        <v>36</v>
      </c>
      <c r="X2405" s="5" t="s">
        <v>67</v>
      </c>
      <c r="Z2405" s="5" t="s">
        <v>480</v>
      </c>
      <c r="AA2405" s="5" t="s">
        <v>44</v>
      </c>
      <c r="AC2405" s="8" t="str">
        <f>HYPERLINK("https://drive.google.com/file/d/1mY8tumWr_kdHCVyAyPRe5xMmpr_ANoEJ/view?usp=drivesdk", "Abrir_Factura")</f>
        <v>Abrir_Factura</v>
      </c>
      <c r="AD2405" s="9">
        <v>46071.65828703704</v>
      </c>
    </row>
    <row r="2406" spans="1:30" ht="12.5">
      <c r="A2406" s="4">
        <v>46071.581671782405</v>
      </c>
      <c r="B2406" s="5">
        <v>92147</v>
      </c>
      <c r="C2406" s="5">
        <v>1234097133</v>
      </c>
      <c r="D2406" s="5" t="s">
        <v>165</v>
      </c>
      <c r="F2406" s="5" t="s">
        <v>166</v>
      </c>
      <c r="H2406" s="5">
        <v>573209485304</v>
      </c>
      <c r="J2406" s="5" t="s">
        <v>10780</v>
      </c>
      <c r="K2406" s="5" t="s">
        <v>33</v>
      </c>
      <c r="L2406" s="5" t="s">
        <v>34</v>
      </c>
      <c r="M2406" s="5"/>
      <c r="N2406" s="6">
        <v>46071</v>
      </c>
      <c r="O2406" s="7">
        <v>0</v>
      </c>
      <c r="P2406" s="5">
        <v>1</v>
      </c>
      <c r="Q2406" s="5" t="s">
        <v>649</v>
      </c>
      <c r="R2406" s="5">
        <v>200000</v>
      </c>
      <c r="S2406" s="5">
        <v>0</v>
      </c>
      <c r="T2406" s="5">
        <v>0</v>
      </c>
      <c r="U2406" s="5">
        <v>200000</v>
      </c>
      <c r="V2406" s="5"/>
      <c r="W2406" s="5" t="s">
        <v>36</v>
      </c>
      <c r="X2406" s="5" t="s">
        <v>1481</v>
      </c>
      <c r="AA2406" s="5" t="s">
        <v>44</v>
      </c>
      <c r="AC2406" s="8" t="str">
        <f>HYPERLINK("https://drive.google.com/file/d/1AmldVlBtUrTIKqOcHWVuREeymhAHcwAt/view?usp=drivesdk", "Abrir_Factura")</f>
        <v>Abrir_Factura</v>
      </c>
      <c r="AD2406" s="9">
        <v>46071.635601851849</v>
      </c>
    </row>
    <row r="2407" spans="1:30" ht="12.5">
      <c r="A2407" s="4">
        <v>46071.608954814816</v>
      </c>
      <c r="B2407" s="5">
        <v>92143</v>
      </c>
      <c r="C2407" s="5">
        <v>1140837374</v>
      </c>
      <c r="D2407" s="5" t="s">
        <v>10781</v>
      </c>
      <c r="F2407" s="5" t="s">
        <v>298</v>
      </c>
      <c r="H2407" s="5">
        <v>57973824520</v>
      </c>
      <c r="J2407" s="5" t="s">
        <v>10782</v>
      </c>
      <c r="K2407" s="5" t="s">
        <v>33</v>
      </c>
      <c r="L2407" s="5" t="s">
        <v>34</v>
      </c>
      <c r="M2407" s="5">
        <v>973824520</v>
      </c>
      <c r="N2407" s="6">
        <v>46071</v>
      </c>
      <c r="O2407" s="7">
        <v>0</v>
      </c>
      <c r="P2407" s="5">
        <v>1</v>
      </c>
      <c r="Q2407" s="5" t="s">
        <v>384</v>
      </c>
      <c r="R2407" s="5">
        <v>200000</v>
      </c>
      <c r="S2407" s="5">
        <v>0</v>
      </c>
      <c r="T2407" s="5">
        <v>0</v>
      </c>
      <c r="U2407" s="5">
        <v>200000</v>
      </c>
      <c r="V2407" s="5"/>
      <c r="W2407" s="5" t="s">
        <v>36</v>
      </c>
      <c r="X2407" s="5" t="s">
        <v>43</v>
      </c>
      <c r="AA2407" s="5" t="s">
        <v>37</v>
      </c>
      <c r="AB2407" s="5" t="s">
        <v>10783</v>
      </c>
      <c r="AC2407" s="8" t="str">
        <f>HYPERLINK("https://drive.google.com/file/d/1WtMbQFSXo2QDQYHkCn5a7VDGhqrBnUP2/view?usp=drivesdk", "Abrir_Factura")</f>
        <v>Abrir_Factura</v>
      </c>
      <c r="AD2407" s="9">
        <v>46071.609560185185</v>
      </c>
    </row>
    <row r="2408" spans="1:30" ht="12.5">
      <c r="A2408" s="4">
        <v>46071.614775509261</v>
      </c>
      <c r="B2408" s="5">
        <v>92145</v>
      </c>
      <c r="C2408" s="5">
        <v>1192746880</v>
      </c>
      <c r="D2408" s="5" t="s">
        <v>1216</v>
      </c>
      <c r="F2408" s="5" t="s">
        <v>1628</v>
      </c>
      <c r="H2408" s="5">
        <v>5717862711105</v>
      </c>
      <c r="J2408" s="5" t="s">
        <v>10784</v>
      </c>
      <c r="K2408" s="5" t="s">
        <v>73</v>
      </c>
      <c r="L2408" s="5" t="s">
        <v>10785</v>
      </c>
      <c r="M2408" s="5" t="s">
        <v>25421</v>
      </c>
      <c r="N2408" s="6">
        <v>46071</v>
      </c>
      <c r="O2408" s="7">
        <v>0</v>
      </c>
      <c r="P2408" s="5">
        <v>1</v>
      </c>
      <c r="Q2408" s="5" t="s">
        <v>133</v>
      </c>
      <c r="R2408" s="5">
        <v>150000</v>
      </c>
      <c r="S2408" s="5">
        <v>0</v>
      </c>
      <c r="T2408" s="5">
        <v>8000</v>
      </c>
      <c r="U2408" s="5">
        <v>158000</v>
      </c>
      <c r="V2408" s="5" t="s">
        <v>10786</v>
      </c>
      <c r="W2408" s="5" t="s">
        <v>36</v>
      </c>
      <c r="X2408" s="5" t="s">
        <v>1937</v>
      </c>
      <c r="Z2408" s="5" t="s">
        <v>10787</v>
      </c>
      <c r="AA2408" s="5" t="s">
        <v>44</v>
      </c>
      <c r="AC2408" s="8" t="str">
        <f>HYPERLINK("https://drive.google.com/file/d/1w1LmttjWOJxQ_mNBhNF03KPc9ggC7fob/view?usp=drivesdk", "Abrir_Factura")</f>
        <v>Abrir_Factura</v>
      </c>
      <c r="AD2408" s="9">
        <v>46071.626331018517</v>
      </c>
    </row>
    <row r="2409" spans="1:30" ht="12.5">
      <c r="A2409" s="4">
        <v>46071.614811134263</v>
      </c>
      <c r="B2409" s="5">
        <v>92144</v>
      </c>
      <c r="C2409" s="5">
        <v>1140895461</v>
      </c>
      <c r="D2409" s="5" t="s">
        <v>1216</v>
      </c>
      <c r="F2409" s="5" t="s">
        <v>8927</v>
      </c>
      <c r="H2409" s="5">
        <v>573145404704</v>
      </c>
      <c r="J2409" s="5" t="s">
        <v>10788</v>
      </c>
      <c r="K2409" s="5" t="s">
        <v>185</v>
      </c>
      <c r="L2409" s="5" t="s">
        <v>10789</v>
      </c>
      <c r="M2409" s="5"/>
      <c r="N2409" s="6">
        <v>46071</v>
      </c>
      <c r="O2409" s="7">
        <v>0</v>
      </c>
      <c r="P2409" s="5">
        <v>1</v>
      </c>
      <c r="Q2409" s="5" t="s">
        <v>2586</v>
      </c>
      <c r="R2409" s="5">
        <v>190000</v>
      </c>
      <c r="S2409" s="5">
        <v>0</v>
      </c>
      <c r="T2409" s="5">
        <v>8000</v>
      </c>
      <c r="U2409" s="5">
        <v>198000</v>
      </c>
      <c r="V2409" s="5" t="s">
        <v>10790</v>
      </c>
      <c r="W2409" s="5" t="s">
        <v>36</v>
      </c>
      <c r="X2409" s="5" t="s">
        <v>1481</v>
      </c>
      <c r="AA2409" s="5" t="s">
        <v>44</v>
      </c>
      <c r="AC2409" s="8" t="str">
        <f>HYPERLINK("https://drive.google.com/file/d/1Y9Vqj4FJ0dI2mlbLQzl5uDeD1tkIgxWG/view?usp=drivesdk", "Abrir_Factura")</f>
        <v>Abrir_Factura</v>
      </c>
      <c r="AD2409" s="9">
        <v>46071.615300925929</v>
      </c>
    </row>
    <row r="2410" spans="1:30" ht="12.5">
      <c r="A2410" s="4">
        <v>46071.616529131948</v>
      </c>
      <c r="B2410" s="5">
        <v>92146</v>
      </c>
      <c r="C2410" s="5">
        <v>1041901418</v>
      </c>
      <c r="D2410" s="5" t="s">
        <v>10481</v>
      </c>
      <c r="F2410" s="5" t="s">
        <v>10791</v>
      </c>
      <c r="H2410" s="5">
        <v>573006243506</v>
      </c>
      <c r="J2410" s="5" t="s">
        <v>7673</v>
      </c>
      <c r="K2410" s="5" t="s">
        <v>405</v>
      </c>
      <c r="L2410" s="5" t="s">
        <v>10792</v>
      </c>
      <c r="M2410" s="5">
        <v>3006243506</v>
      </c>
      <c r="N2410" s="6">
        <v>46071</v>
      </c>
      <c r="O2410" s="7">
        <v>0</v>
      </c>
      <c r="P2410" s="5">
        <v>1</v>
      </c>
      <c r="Q2410" s="5" t="s">
        <v>156</v>
      </c>
      <c r="R2410" s="5">
        <v>80000</v>
      </c>
      <c r="S2410" s="5">
        <v>0</v>
      </c>
      <c r="T2410" s="5">
        <v>30000</v>
      </c>
      <c r="U2410" s="5">
        <v>110000</v>
      </c>
      <c r="V2410" s="5" t="s">
        <v>10793</v>
      </c>
      <c r="W2410" s="5" t="s">
        <v>36</v>
      </c>
      <c r="X2410" s="5" t="s">
        <v>67</v>
      </c>
      <c r="Z2410" s="5" t="s">
        <v>10794</v>
      </c>
      <c r="AA2410" s="5" t="s">
        <v>44</v>
      </c>
      <c r="AC2410" s="8" t="str">
        <f>HYPERLINK("https://drive.google.com/file/d/1wcegYW3N-3UNo5103pfitts31OiPCWPn/view?usp=drivesdk", "Abrir_Factura")</f>
        <v>Abrir_Factura</v>
      </c>
      <c r="AD2410" s="9">
        <v>46071.627743055556</v>
      </c>
    </row>
    <row r="2411" spans="1:30" ht="12.5">
      <c r="A2411" s="4">
        <v>46071.624178379629</v>
      </c>
      <c r="B2411" s="5">
        <v>92148</v>
      </c>
      <c r="C2411" s="5">
        <v>1221980417</v>
      </c>
      <c r="D2411" s="5" t="s">
        <v>2095</v>
      </c>
      <c r="F2411" s="5" t="s">
        <v>10795</v>
      </c>
      <c r="H2411" s="5">
        <v>573183495776</v>
      </c>
      <c r="J2411" s="5" t="s">
        <v>10796</v>
      </c>
      <c r="K2411" s="5" t="s">
        <v>33</v>
      </c>
      <c r="L2411" s="5" t="s">
        <v>34</v>
      </c>
      <c r="M2411" s="5"/>
      <c r="N2411" s="6">
        <v>46071</v>
      </c>
      <c r="O2411" s="7">
        <v>0.66666666666666663</v>
      </c>
      <c r="P2411" s="5">
        <v>1</v>
      </c>
      <c r="Q2411" s="5" t="s">
        <v>309</v>
      </c>
      <c r="R2411" s="5">
        <v>88000</v>
      </c>
      <c r="S2411" s="5">
        <v>0</v>
      </c>
      <c r="T2411" s="5">
        <v>0</v>
      </c>
      <c r="U2411" s="5">
        <v>88000</v>
      </c>
      <c r="V2411" s="5"/>
      <c r="W2411" s="5" t="s">
        <v>36</v>
      </c>
      <c r="X2411" s="5" t="s">
        <v>2163</v>
      </c>
      <c r="Z2411" s="5" t="s">
        <v>10797</v>
      </c>
      <c r="AA2411" s="5" t="s">
        <v>44</v>
      </c>
      <c r="AB2411" s="5" t="s">
        <v>10798</v>
      </c>
      <c r="AC2411" s="8" t="str">
        <f>HYPERLINK("https://drive.google.com/file/d/1VsNpPTpBqNGPQ1ztL_VY1B9xgKor8HYz/view?usp=drivesdk", "Abrir_Factura")</f>
        <v>Abrir_Factura</v>
      </c>
      <c r="AD2411" s="9">
        <v>46071.63721064815</v>
      </c>
    </row>
    <row r="2412" spans="1:30" ht="12.5">
      <c r="A2412" s="4">
        <v>46071.629867013893</v>
      </c>
      <c r="B2412" s="5">
        <v>92149</v>
      </c>
      <c r="C2412" s="5">
        <v>1140843403</v>
      </c>
      <c r="D2412" s="5" t="s">
        <v>10799</v>
      </c>
      <c r="F2412" s="5" t="s">
        <v>5393</v>
      </c>
      <c r="H2412" s="5">
        <v>573017395185</v>
      </c>
      <c r="J2412" s="5" t="s">
        <v>10800</v>
      </c>
      <c r="K2412" s="5" t="s">
        <v>63</v>
      </c>
      <c r="L2412" s="5" t="s">
        <v>10801</v>
      </c>
      <c r="M2412" s="5">
        <v>3017395185</v>
      </c>
      <c r="N2412" s="6">
        <v>46071</v>
      </c>
      <c r="O2412" s="7">
        <v>0</v>
      </c>
      <c r="P2412" s="5">
        <v>1</v>
      </c>
      <c r="Q2412" s="5" t="s">
        <v>309</v>
      </c>
      <c r="R2412" s="5">
        <v>88000</v>
      </c>
      <c r="S2412" s="5">
        <v>0</v>
      </c>
      <c r="T2412" s="5">
        <v>17000</v>
      </c>
      <c r="U2412" s="5">
        <v>105000</v>
      </c>
      <c r="V2412" s="5" t="s">
        <v>10802</v>
      </c>
      <c r="W2412" s="5" t="s">
        <v>36</v>
      </c>
      <c r="X2412" s="5" t="s">
        <v>67</v>
      </c>
      <c r="Z2412" s="5" t="s">
        <v>10803</v>
      </c>
      <c r="AA2412" s="5" t="s">
        <v>44</v>
      </c>
      <c r="AB2412" s="5" t="s">
        <v>10804</v>
      </c>
      <c r="AC2412" s="8" t="str">
        <f>HYPERLINK("https://drive.google.com/file/d/1AToLcpCYds2J2zocScGZdaUu4GxWAu-P/view?usp=drivesdk", "Abrir_Factura")</f>
        <v>Abrir_Factura</v>
      </c>
      <c r="AD2412" s="9">
        <v>46071.644791666666</v>
      </c>
    </row>
    <row r="2413" spans="1:30" ht="12.5">
      <c r="A2413" s="4">
        <v>46071.705091944445</v>
      </c>
      <c r="B2413" s="5">
        <v>92153</v>
      </c>
      <c r="C2413" s="5">
        <v>85155465</v>
      </c>
      <c r="D2413" s="5" t="s">
        <v>10805</v>
      </c>
      <c r="F2413" s="5" t="s">
        <v>10806</v>
      </c>
      <c r="H2413" s="5">
        <v>573015156415</v>
      </c>
      <c r="J2413" s="5" t="s">
        <v>10807</v>
      </c>
      <c r="K2413" s="5" t="s">
        <v>33</v>
      </c>
      <c r="L2413" s="5" t="s">
        <v>34</v>
      </c>
      <c r="M2413" s="5"/>
      <c r="N2413" s="6">
        <v>46074</v>
      </c>
      <c r="O2413" s="7">
        <v>0.375</v>
      </c>
      <c r="P2413" s="5">
        <v>1</v>
      </c>
      <c r="Q2413" s="5" t="s">
        <v>3159</v>
      </c>
      <c r="R2413" s="5">
        <v>220000</v>
      </c>
      <c r="S2413" s="5">
        <v>0</v>
      </c>
      <c r="T2413" s="5">
        <v>0</v>
      </c>
      <c r="U2413" s="5">
        <v>220000</v>
      </c>
      <c r="V2413" s="5" t="s">
        <v>10808</v>
      </c>
      <c r="W2413" s="5" t="s">
        <v>36</v>
      </c>
      <c r="X2413" s="5" t="s">
        <v>67</v>
      </c>
      <c r="Z2413" s="5" t="s">
        <v>10809</v>
      </c>
      <c r="AA2413" s="5" t="s">
        <v>44</v>
      </c>
      <c r="AC2413" s="8" t="str">
        <f>HYPERLINK("https://drive.google.com/file/d/17NIy4Q1KmONficghvp3aRuJrLxKJbNS1/view?usp=drivesdk", "Abrir_Factura")</f>
        <v>Abrir_Factura</v>
      </c>
      <c r="AD2413" s="9">
        <v>46071.714212962965</v>
      </c>
    </row>
    <row r="2414" spans="1:30" ht="12.5">
      <c r="A2414" s="4">
        <v>46071.705193541668</v>
      </c>
      <c r="B2414" s="5">
        <v>92152</v>
      </c>
      <c r="C2414" s="5">
        <v>1140868974</v>
      </c>
      <c r="D2414" s="5" t="s">
        <v>1241</v>
      </c>
      <c r="F2414" s="5" t="s">
        <v>10810</v>
      </c>
      <c r="H2414" s="5">
        <v>572123900256</v>
      </c>
      <c r="J2414" s="5" t="s">
        <v>10811</v>
      </c>
      <c r="K2414" s="5" t="s">
        <v>73</v>
      </c>
      <c r="L2414" s="5" t="s">
        <v>10812</v>
      </c>
      <c r="M2414" s="5" t="s">
        <v>25421</v>
      </c>
      <c r="N2414" s="6">
        <v>46071</v>
      </c>
      <c r="O2414" s="7">
        <v>0</v>
      </c>
      <c r="P2414" s="5">
        <v>1</v>
      </c>
      <c r="Q2414" s="5" t="s">
        <v>734</v>
      </c>
      <c r="R2414" s="5">
        <v>99000</v>
      </c>
      <c r="S2414" s="5">
        <v>0</v>
      </c>
      <c r="T2414" s="5">
        <v>8000</v>
      </c>
      <c r="U2414" s="5">
        <v>107000</v>
      </c>
      <c r="V2414" s="5" t="s">
        <v>10813</v>
      </c>
      <c r="W2414" s="5" t="s">
        <v>36</v>
      </c>
      <c r="X2414" s="5" t="s">
        <v>1937</v>
      </c>
      <c r="Z2414" s="5" t="s">
        <v>10814</v>
      </c>
      <c r="AA2414" s="5" t="s">
        <v>69</v>
      </c>
      <c r="AC2414" s="8" t="str">
        <f>HYPERLINK("https://drive.google.com/file/d/1ewc7C7C5jcGvZ_zctk5eeUargVg0HlY3/view?usp=drivesdk", "Abrir_Factura")</f>
        <v>Abrir_Factura</v>
      </c>
      <c r="AD2414" s="9">
        <v>46071.712835648148</v>
      </c>
    </row>
    <row r="2415" spans="1:30" ht="12.5">
      <c r="A2415" s="4">
        <v>46071.707357638894</v>
      </c>
      <c r="B2415" s="5">
        <v>92151</v>
      </c>
      <c r="C2415" s="5">
        <v>811020344</v>
      </c>
      <c r="D2415" s="5" t="s">
        <v>10815</v>
      </c>
      <c r="F2415" s="5" t="s">
        <v>7818</v>
      </c>
      <c r="H2415" s="5">
        <v>573167433876</v>
      </c>
      <c r="J2415" s="5" t="s">
        <v>10816</v>
      </c>
      <c r="K2415" s="5" t="s">
        <v>33</v>
      </c>
      <c r="L2415" s="5" t="s">
        <v>34</v>
      </c>
      <c r="M2415" s="5">
        <v>3167433876</v>
      </c>
      <c r="N2415" s="6">
        <v>46071</v>
      </c>
      <c r="O2415" s="7">
        <v>0</v>
      </c>
      <c r="P2415" s="5">
        <v>1</v>
      </c>
      <c r="Q2415" s="5" t="s">
        <v>42</v>
      </c>
      <c r="R2415" s="5">
        <v>39800</v>
      </c>
      <c r="S2415" s="5">
        <v>0</v>
      </c>
      <c r="T2415" s="5">
        <v>0</v>
      </c>
      <c r="U2415" s="5">
        <v>39800</v>
      </c>
      <c r="V2415" s="5"/>
      <c r="W2415" s="5" t="s">
        <v>36</v>
      </c>
      <c r="X2415" s="5" t="s">
        <v>2636</v>
      </c>
      <c r="AA2415" s="5" t="s">
        <v>1717</v>
      </c>
      <c r="AC2415" s="8" t="str">
        <f>HYPERLINK("https://drive.google.com/file/d/1-n-BX4P6WMI0NAEHYUvjBPKa8jd899-Y/view?usp=drivesdk", "Abrir_Factura")</f>
        <v>Abrir_Factura</v>
      </c>
      <c r="AD2415" s="9">
        <v>46071.708634259259</v>
      </c>
    </row>
    <row r="2416" spans="1:30" ht="12.5">
      <c r="A2416" s="4">
        <v>46071.726996365745</v>
      </c>
      <c r="B2416" s="5">
        <v>92154</v>
      </c>
      <c r="C2416" s="5">
        <v>1140870623</v>
      </c>
      <c r="D2416" s="5" t="s">
        <v>10817</v>
      </c>
      <c r="F2416" s="5" t="s">
        <v>10818</v>
      </c>
      <c r="H2416" s="5">
        <v>573003816859</v>
      </c>
      <c r="J2416" s="5" t="s">
        <v>10819</v>
      </c>
      <c r="K2416" s="5" t="s">
        <v>33</v>
      </c>
      <c r="L2416" s="5" t="s">
        <v>34</v>
      </c>
      <c r="M2416" s="5">
        <v>3003816859</v>
      </c>
      <c r="N2416" s="6">
        <v>46071</v>
      </c>
      <c r="O2416" s="7">
        <v>0</v>
      </c>
      <c r="P2416" s="5">
        <v>1</v>
      </c>
      <c r="Q2416" s="5" t="s">
        <v>309</v>
      </c>
      <c r="R2416" s="5">
        <v>88000</v>
      </c>
      <c r="S2416" s="5">
        <v>0</v>
      </c>
      <c r="T2416" s="5">
        <v>0</v>
      </c>
      <c r="U2416" s="5">
        <v>88000</v>
      </c>
      <c r="V2416" s="5"/>
      <c r="W2416" s="5" t="s">
        <v>36</v>
      </c>
      <c r="X2416" s="5" t="s">
        <v>37</v>
      </c>
      <c r="AA2416" s="5" t="s">
        <v>37</v>
      </c>
      <c r="AB2416" s="5" t="s">
        <v>10820</v>
      </c>
      <c r="AC2416" s="8" t="str">
        <f>HYPERLINK("https://drive.google.com/file/d/1mP33OAXAGt3grTdrzEjrEGpSAE-9dTSd/view?usp=drivesdk", "Abrir_Factura")</f>
        <v>Abrir_Factura</v>
      </c>
      <c r="AD2416" s="9">
        <v>46071.727662037039</v>
      </c>
    </row>
    <row r="2417" spans="1:30" ht="12.5">
      <c r="A2417" s="4">
        <v>46071.728763865744</v>
      </c>
      <c r="B2417" s="5">
        <v>92159</v>
      </c>
      <c r="C2417" s="5">
        <v>1143145840</v>
      </c>
      <c r="D2417" s="5" t="s">
        <v>1449</v>
      </c>
      <c r="F2417" s="5" t="s">
        <v>591</v>
      </c>
      <c r="H2417" s="5">
        <v>573023618030</v>
      </c>
      <c r="J2417" s="5" t="s">
        <v>10821</v>
      </c>
      <c r="K2417" s="5" t="s">
        <v>154</v>
      </c>
      <c r="L2417" s="5" t="s">
        <v>9753</v>
      </c>
      <c r="M2417" s="5">
        <v>3243204809</v>
      </c>
      <c r="N2417" s="6">
        <v>46072</v>
      </c>
      <c r="O2417" s="7">
        <v>0.375</v>
      </c>
      <c r="P2417" s="5">
        <v>1</v>
      </c>
      <c r="Q2417" s="5" t="s">
        <v>375</v>
      </c>
      <c r="R2417" s="5">
        <v>80000</v>
      </c>
      <c r="S2417" s="5">
        <v>0</v>
      </c>
      <c r="T2417" s="5">
        <v>8000</v>
      </c>
      <c r="U2417" s="5">
        <v>88000</v>
      </c>
      <c r="V2417" s="5" t="s">
        <v>10822</v>
      </c>
      <c r="W2417" s="5" t="s">
        <v>36</v>
      </c>
      <c r="X2417" s="5" t="s">
        <v>180</v>
      </c>
      <c r="AA2417" s="5" t="s">
        <v>44</v>
      </c>
      <c r="AC2417" s="8" t="str">
        <f>HYPERLINK("https://drive.google.com/file/d/16STnLdQa_yaEyuF-HuT9U9X9WKzIGNqX/view?usp=drivesdk", "Abrir_Factura")</f>
        <v>Abrir_Factura</v>
      </c>
      <c r="AD2417" s="9">
        <v>46071.760243055556</v>
      </c>
    </row>
    <row r="2418" spans="1:30" ht="12.5">
      <c r="A2418" s="4">
        <v>46071.738229756942</v>
      </c>
      <c r="B2418" s="5">
        <v>92157</v>
      </c>
      <c r="C2418" s="5">
        <v>1044391908</v>
      </c>
      <c r="D2418" s="5" t="s">
        <v>1706</v>
      </c>
      <c r="F2418" s="5" t="s">
        <v>10823</v>
      </c>
      <c r="H2418" s="5">
        <v>573006423322</v>
      </c>
      <c r="J2418" s="5" t="s">
        <v>10824</v>
      </c>
      <c r="K2418" s="5" t="s">
        <v>2880</v>
      </c>
      <c r="L2418" s="5" t="s">
        <v>10825</v>
      </c>
      <c r="M2418" s="5">
        <v>3016734063</v>
      </c>
      <c r="N2418" s="6">
        <v>46072</v>
      </c>
      <c r="O2418" s="7">
        <v>0.375</v>
      </c>
      <c r="P2418" s="5">
        <v>1</v>
      </c>
      <c r="Q2418" s="5" t="s">
        <v>3142</v>
      </c>
      <c r="R2418" s="5">
        <v>300000</v>
      </c>
      <c r="S2418" s="5">
        <v>0</v>
      </c>
      <c r="T2418" s="5">
        <v>25000</v>
      </c>
      <c r="U2418" s="5">
        <v>325000</v>
      </c>
      <c r="V2418" s="5" t="s">
        <v>10826</v>
      </c>
      <c r="W2418" s="5" t="s">
        <v>36</v>
      </c>
      <c r="X2418" s="5" t="s">
        <v>67</v>
      </c>
      <c r="AA2418" s="5" t="s">
        <v>44</v>
      </c>
      <c r="AC2418" s="8" t="str">
        <f>HYPERLINK("https://drive.google.com/file/d/1BaWFoHQ96lgC-sbfxSbxemFbtf5agEes/view?usp=drivesdk", "Abrir_Factura")</f>
        <v>Abrir_Factura</v>
      </c>
      <c r="AD2418" s="9">
        <v>46071.754652777781</v>
      </c>
    </row>
    <row r="2419" spans="1:30" ht="12.5">
      <c r="A2419" s="4">
        <v>46071.747425682872</v>
      </c>
      <c r="B2419" s="5">
        <v>92155</v>
      </c>
      <c r="C2419" s="5">
        <v>1143438379</v>
      </c>
      <c r="D2419" s="5" t="s">
        <v>6096</v>
      </c>
      <c r="F2419" s="5" t="s">
        <v>10827</v>
      </c>
      <c r="H2419" s="5">
        <v>573003278825</v>
      </c>
      <c r="J2419" s="5" t="s">
        <v>10828</v>
      </c>
      <c r="K2419" s="5" t="s">
        <v>33</v>
      </c>
      <c r="L2419" s="5" t="s">
        <v>34</v>
      </c>
      <c r="M2419" s="5">
        <v>3003278825</v>
      </c>
      <c r="N2419" s="6">
        <v>46071</v>
      </c>
      <c r="O2419" s="7">
        <v>0</v>
      </c>
      <c r="P2419" s="5">
        <v>1</v>
      </c>
      <c r="Q2419" s="5" t="s">
        <v>42</v>
      </c>
      <c r="R2419" s="5">
        <v>19000</v>
      </c>
      <c r="S2419" s="5">
        <v>0</v>
      </c>
      <c r="T2419" s="5">
        <v>0</v>
      </c>
      <c r="U2419" s="5">
        <v>19000</v>
      </c>
      <c r="V2419" s="5"/>
      <c r="W2419" s="5" t="s">
        <v>36</v>
      </c>
      <c r="X2419" s="5" t="s">
        <v>1705</v>
      </c>
      <c r="AA2419" s="5" t="s">
        <v>1717</v>
      </c>
      <c r="AC2419" s="8" t="str">
        <f>HYPERLINK("https://drive.google.com/file/d/1R1PARXSj9WXwleOD4U1BcVHsaMK-k60l/view?usp=drivesdk", "Abrir_Factura")</f>
        <v>Abrir_Factura</v>
      </c>
      <c r="AD2419" s="9">
        <v>46071.750393518516</v>
      </c>
    </row>
    <row r="2420" spans="1:30" ht="12.5">
      <c r="A2420" s="4">
        <v>46071.752829548612</v>
      </c>
      <c r="B2420" s="5">
        <v>92156</v>
      </c>
      <c r="C2420" s="5">
        <v>1143438379</v>
      </c>
      <c r="D2420" s="5" t="s">
        <v>6096</v>
      </c>
      <c r="F2420" s="5" t="s">
        <v>10827</v>
      </c>
      <c r="H2420" s="5">
        <v>570000</v>
      </c>
      <c r="J2420" s="5" t="s">
        <v>10828</v>
      </c>
      <c r="K2420" s="5" t="s">
        <v>33</v>
      </c>
      <c r="L2420" s="5" t="s">
        <v>34</v>
      </c>
      <c r="M2420" s="5">
        <v>0</v>
      </c>
      <c r="N2420" s="6">
        <v>46071</v>
      </c>
      <c r="O2420" s="7">
        <v>0</v>
      </c>
      <c r="P2420" s="5">
        <v>1</v>
      </c>
      <c r="Q2420" s="5" t="s">
        <v>42</v>
      </c>
      <c r="R2420" s="5">
        <v>50000</v>
      </c>
      <c r="S2420" s="5">
        <v>0</v>
      </c>
      <c r="T2420" s="5">
        <v>0</v>
      </c>
      <c r="U2420" s="5">
        <v>50000</v>
      </c>
      <c r="V2420" s="5"/>
      <c r="W2420" s="5" t="s">
        <v>36</v>
      </c>
      <c r="X2420" s="5" t="s">
        <v>1705</v>
      </c>
      <c r="AA2420" s="5" t="s">
        <v>1717</v>
      </c>
      <c r="AC2420" s="8" t="str">
        <f>HYPERLINK("https://drive.google.com/file/d/1VEiWEYdq19Mk12N6-X76doUBjEzu--U7/view?usp=drivesdk", "Abrir_Factura")</f>
        <v>Abrir_Factura</v>
      </c>
      <c r="AD2420" s="9">
        <v>46071.753425925926</v>
      </c>
    </row>
    <row r="2421" spans="1:30" ht="12.5">
      <c r="A2421" s="4">
        <v>46071.756604930561</v>
      </c>
      <c r="B2421" s="5">
        <v>92158</v>
      </c>
      <c r="C2421" s="5">
        <v>8721026</v>
      </c>
      <c r="D2421" s="5" t="s">
        <v>7687</v>
      </c>
      <c r="F2421" s="5" t="s">
        <v>3728</v>
      </c>
      <c r="H2421" s="5">
        <v>573013390806</v>
      </c>
      <c r="J2421" s="5" t="s">
        <v>10829</v>
      </c>
      <c r="K2421" s="5" t="s">
        <v>33</v>
      </c>
      <c r="L2421" s="5" t="s">
        <v>34</v>
      </c>
      <c r="M2421" s="5">
        <v>3013390806</v>
      </c>
      <c r="N2421" s="6">
        <v>46071</v>
      </c>
      <c r="O2421" s="7">
        <v>0</v>
      </c>
      <c r="P2421" s="5">
        <v>1</v>
      </c>
      <c r="Q2421" s="5" t="s">
        <v>384</v>
      </c>
      <c r="R2421" s="5">
        <v>200000</v>
      </c>
      <c r="S2421" s="5">
        <v>0</v>
      </c>
      <c r="T2421" s="5">
        <v>0</v>
      </c>
      <c r="U2421" s="5">
        <v>200000</v>
      </c>
      <c r="V2421" s="5"/>
      <c r="W2421" s="5" t="s">
        <v>36</v>
      </c>
      <c r="X2421" s="5" t="s">
        <v>1705</v>
      </c>
      <c r="AA2421" s="5" t="s">
        <v>1717</v>
      </c>
      <c r="AC2421" s="8" t="str">
        <f>HYPERLINK("https://drive.google.com/file/d/1rbffg2s35G_F0Eoixw6lYC9iJMAtdvid/view?usp=drivesdk", "Abrir_Factura")</f>
        <v>Abrir_Factura</v>
      </c>
      <c r="AD2421" s="9">
        <v>46071.757013888891</v>
      </c>
    </row>
    <row r="2422" spans="1:30" ht="12.5">
      <c r="A2422" s="4">
        <v>46072.298866990735</v>
      </c>
      <c r="B2422" s="5">
        <v>92160</v>
      </c>
      <c r="C2422" s="5">
        <v>1015440575</v>
      </c>
      <c r="D2422" s="5" t="s">
        <v>10830</v>
      </c>
      <c r="F2422" s="5" t="s">
        <v>10831</v>
      </c>
      <c r="H2422" s="5">
        <v>573136502403</v>
      </c>
      <c r="J2422" s="5" t="s">
        <v>10832</v>
      </c>
      <c r="K2422" s="5" t="s">
        <v>33</v>
      </c>
      <c r="L2422" s="5" t="s">
        <v>34</v>
      </c>
      <c r="M2422" s="5">
        <v>3136502403</v>
      </c>
      <c r="N2422" s="6">
        <v>46072</v>
      </c>
      <c r="O2422" s="7">
        <v>0.375</v>
      </c>
      <c r="P2422" s="5">
        <v>1</v>
      </c>
      <c r="Q2422" s="5" t="s">
        <v>309</v>
      </c>
      <c r="R2422" s="5">
        <v>88000</v>
      </c>
      <c r="S2422" s="5">
        <v>0</v>
      </c>
      <c r="T2422" s="5">
        <v>0</v>
      </c>
      <c r="U2422" s="5">
        <v>88000</v>
      </c>
      <c r="V2422" s="5"/>
      <c r="W2422" s="5" t="s">
        <v>36</v>
      </c>
      <c r="X2422" s="5" t="s">
        <v>37</v>
      </c>
      <c r="AA2422" s="5" t="s">
        <v>37</v>
      </c>
      <c r="AB2422" s="5" t="s">
        <v>10833</v>
      </c>
      <c r="AC2422" s="8" t="str">
        <f>HYPERLINK("https://drive.google.com/file/d/1thDNxhtobM09XuPEgK7M1dOfI5HCVcXP/view?usp=drivesdk", "Abrir_Factura")</f>
        <v>Abrir_Factura</v>
      </c>
      <c r="AD2422" s="9">
        <v>46072.299398148149</v>
      </c>
    </row>
    <row r="2423" spans="1:30" ht="12.5">
      <c r="A2423" s="4">
        <v>46072.300621597227</v>
      </c>
      <c r="B2423" s="5">
        <v>92161</v>
      </c>
      <c r="C2423" s="5">
        <v>1143157052</v>
      </c>
      <c r="D2423" s="5" t="s">
        <v>10834</v>
      </c>
      <c r="F2423" s="5" t="s">
        <v>10835</v>
      </c>
      <c r="H2423" s="5">
        <v>573225272205</v>
      </c>
      <c r="J2423" s="5" t="s">
        <v>10836</v>
      </c>
      <c r="K2423" s="5" t="s">
        <v>33</v>
      </c>
      <c r="L2423" s="5" t="s">
        <v>34</v>
      </c>
      <c r="M2423" s="5">
        <v>3225272205</v>
      </c>
      <c r="N2423" s="6">
        <v>46072</v>
      </c>
      <c r="O2423" s="7">
        <v>0.375</v>
      </c>
      <c r="P2423" s="5">
        <v>1</v>
      </c>
      <c r="Q2423" s="5" t="s">
        <v>1085</v>
      </c>
      <c r="R2423" s="5">
        <v>130000</v>
      </c>
      <c r="S2423" s="5">
        <v>0</v>
      </c>
      <c r="T2423" s="5">
        <v>0</v>
      </c>
      <c r="U2423" s="5">
        <v>130000</v>
      </c>
      <c r="V2423" s="5" t="s">
        <v>10837</v>
      </c>
      <c r="W2423" s="5" t="s">
        <v>36</v>
      </c>
      <c r="X2423" s="5" t="s">
        <v>37</v>
      </c>
      <c r="AA2423" s="5" t="s">
        <v>37</v>
      </c>
      <c r="AB2423" s="5" t="s">
        <v>10838</v>
      </c>
      <c r="AC2423" s="8" t="str">
        <f>HYPERLINK("https://drive.google.com/file/d/1yYB1n9Th_6Y2D0Bk9rLNW9fjYmbBmDbQ/view?usp=drivesdk", "Abrir_Factura")</f>
        <v>Abrir_Factura</v>
      </c>
      <c r="AD2423" s="9">
        <v>46072.301064814812</v>
      </c>
    </row>
    <row r="2424" spans="1:30" ht="12.5">
      <c r="A2424" s="4">
        <v>46072.320830104167</v>
      </c>
      <c r="B2424" s="5">
        <v>92162</v>
      </c>
      <c r="C2424" s="5">
        <v>1047471462</v>
      </c>
      <c r="D2424" s="5" t="s">
        <v>3005</v>
      </c>
      <c r="F2424" s="5" t="s">
        <v>3006</v>
      </c>
      <c r="H2424" s="5">
        <v>573157132910</v>
      </c>
      <c r="J2424" s="5" t="s">
        <v>3007</v>
      </c>
      <c r="K2424" s="5" t="s">
        <v>33</v>
      </c>
      <c r="L2424" s="5" t="s">
        <v>34</v>
      </c>
      <c r="M2424" s="5">
        <v>3157132910</v>
      </c>
      <c r="N2424" s="6">
        <v>46072</v>
      </c>
      <c r="O2424" s="7">
        <v>0.41666666666666669</v>
      </c>
      <c r="P2424" s="5">
        <v>1</v>
      </c>
      <c r="Q2424" s="5" t="s">
        <v>75</v>
      </c>
      <c r="R2424" s="5">
        <v>80000</v>
      </c>
      <c r="S2424" s="5">
        <v>0</v>
      </c>
      <c r="T2424" s="5">
        <v>0</v>
      </c>
      <c r="U2424" s="5">
        <v>80000</v>
      </c>
      <c r="V2424" s="5"/>
      <c r="W2424" s="5" t="s">
        <v>36</v>
      </c>
      <c r="X2424" s="5" t="s">
        <v>180</v>
      </c>
      <c r="AA2424" s="5" t="s">
        <v>44</v>
      </c>
      <c r="AC2424" s="8" t="str">
        <f>HYPERLINK("https://drive.google.com/file/d/1EYO16j6jaeRO0wfE_ZvSlChGYXJALavi/view?usp=drivesdk", "Abrir_Factura")</f>
        <v>Abrir_Factura</v>
      </c>
      <c r="AD2424" s="9">
        <v>46072.403935185182</v>
      </c>
    </row>
    <row r="2425" spans="1:30" ht="12.5">
      <c r="A2425" s="4">
        <v>46072.350925949075</v>
      </c>
      <c r="B2425" s="5">
        <v>92164</v>
      </c>
      <c r="C2425" s="5">
        <v>22582461</v>
      </c>
      <c r="D2425" s="5" t="s">
        <v>3530</v>
      </c>
      <c r="F2425" s="5" t="s">
        <v>10839</v>
      </c>
      <c r="H2425" s="5">
        <v>573115736914</v>
      </c>
      <c r="J2425" s="5" t="s">
        <v>10840</v>
      </c>
      <c r="K2425" s="5" t="s">
        <v>265</v>
      </c>
      <c r="L2425" s="5" t="s">
        <v>10841</v>
      </c>
      <c r="M2425" s="5">
        <v>3044194720</v>
      </c>
      <c r="N2425" s="6">
        <v>46072</v>
      </c>
      <c r="O2425" s="7">
        <v>0.41666666666666669</v>
      </c>
      <c r="P2425" s="5">
        <v>1</v>
      </c>
      <c r="Q2425" s="5" t="s">
        <v>65</v>
      </c>
      <c r="R2425" s="5">
        <v>80000</v>
      </c>
      <c r="S2425" s="5">
        <v>0</v>
      </c>
      <c r="T2425" s="5">
        <v>17000</v>
      </c>
      <c r="U2425" s="5">
        <v>97000</v>
      </c>
      <c r="V2425" s="5" t="s">
        <v>10842</v>
      </c>
      <c r="W2425" s="5" t="s">
        <v>36</v>
      </c>
      <c r="X2425" s="5" t="s">
        <v>1481</v>
      </c>
      <c r="Z2425" s="5" t="s">
        <v>310</v>
      </c>
      <c r="AA2425" s="5" t="s">
        <v>44</v>
      </c>
      <c r="AB2425" s="5" t="s">
        <v>10843</v>
      </c>
      <c r="AC2425" s="8" t="str">
        <f>HYPERLINK("https://drive.google.com/file/d/1v9RiZSCews_kYNeQ1YKlRQy20UC9Ptyx/view?usp=drivesdk", "Abrir_Factura")</f>
        <v>Abrir_Factura</v>
      </c>
      <c r="AD2425" s="9">
        <v>46072.370381944442</v>
      </c>
    </row>
    <row r="2426" spans="1:30" ht="12.5">
      <c r="A2426" s="4">
        <v>46072.355597488422</v>
      </c>
      <c r="B2426" s="5">
        <v>92165</v>
      </c>
      <c r="C2426" s="5">
        <v>8020173521</v>
      </c>
      <c r="D2426" s="5" t="s">
        <v>2783</v>
      </c>
      <c r="F2426" s="5" t="s">
        <v>9131</v>
      </c>
      <c r="H2426" s="5">
        <v>573145410442</v>
      </c>
      <c r="J2426" s="5" t="s">
        <v>10844</v>
      </c>
      <c r="K2426" s="5" t="s">
        <v>5574</v>
      </c>
      <c r="L2426" s="5" t="s">
        <v>10845</v>
      </c>
      <c r="M2426" s="5" t="s">
        <v>25421</v>
      </c>
      <c r="N2426" s="6">
        <v>46072</v>
      </c>
      <c r="O2426" s="7">
        <v>0.41666666666666669</v>
      </c>
      <c r="P2426" s="5">
        <v>1</v>
      </c>
      <c r="Q2426" s="5" t="s">
        <v>133</v>
      </c>
      <c r="R2426" s="5">
        <v>150000</v>
      </c>
      <c r="S2426" s="5">
        <v>28500</v>
      </c>
      <c r="T2426" s="5">
        <v>10000</v>
      </c>
      <c r="U2426" s="5">
        <v>188500</v>
      </c>
      <c r="V2426" s="5" t="s">
        <v>10846</v>
      </c>
      <c r="W2426" s="5" t="s">
        <v>36</v>
      </c>
      <c r="X2426" s="5" t="s">
        <v>1481</v>
      </c>
      <c r="Z2426" s="5" t="s">
        <v>10847</v>
      </c>
      <c r="AA2426" s="5" t="s">
        <v>69</v>
      </c>
      <c r="AC2426" s="8" t="str">
        <f>HYPERLINK("https://drive.google.com/file/d/1UIBPB0vV9mxaPms7L_gueuLe2LTZDCF-/view?usp=drivesdk", "Abrir_Factura")</f>
        <v>Abrir_Factura</v>
      </c>
      <c r="AD2426" s="9">
        <v>46072.373067129629</v>
      </c>
    </row>
    <row r="2427" spans="1:30" ht="12.5">
      <c r="A2427" s="4">
        <v>46072.358448333332</v>
      </c>
      <c r="B2427" s="5">
        <v>92163</v>
      </c>
      <c r="C2427" s="5">
        <v>55301204</v>
      </c>
      <c r="D2427" s="5" t="s">
        <v>5761</v>
      </c>
      <c r="F2427" s="5" t="s">
        <v>8563</v>
      </c>
      <c r="H2427" s="5">
        <v>573105095798</v>
      </c>
      <c r="J2427" s="5" t="s">
        <v>8564</v>
      </c>
      <c r="K2427" s="5" t="s">
        <v>154</v>
      </c>
      <c r="L2427" s="5" t="s">
        <v>10848</v>
      </c>
      <c r="M2427" s="5"/>
      <c r="N2427" s="6">
        <v>46072</v>
      </c>
      <c r="O2427" s="7">
        <v>0.41666666666666669</v>
      </c>
      <c r="P2427" s="5">
        <v>1</v>
      </c>
      <c r="Q2427" s="5" t="s">
        <v>42</v>
      </c>
      <c r="R2427" s="5">
        <v>24000</v>
      </c>
      <c r="S2427" s="5">
        <v>0</v>
      </c>
      <c r="T2427" s="5">
        <v>8000</v>
      </c>
      <c r="U2427" s="5">
        <v>32000</v>
      </c>
      <c r="V2427" s="5"/>
      <c r="W2427" s="5" t="s">
        <v>36</v>
      </c>
      <c r="X2427" s="5" t="s">
        <v>196</v>
      </c>
      <c r="AA2427" s="5" t="s">
        <v>44</v>
      </c>
      <c r="AC2427" s="8" t="str">
        <f>HYPERLINK("https://drive.google.com/file/d/1SK1nsLVtklGFidNvb9RQvsGUMDR6oNjO/view?usp=drivesdk", "Abrir_Factura")</f>
        <v>Abrir_Factura</v>
      </c>
      <c r="AD2427" s="9">
        <v>46072.467534722222</v>
      </c>
    </row>
    <row r="2428" spans="1:30" ht="12.5">
      <c r="A2428" s="4">
        <v>46072.376655011569</v>
      </c>
      <c r="B2428" s="5">
        <v>92166</v>
      </c>
      <c r="C2428" s="5">
        <v>1018484484</v>
      </c>
      <c r="D2428" s="5" t="s">
        <v>10849</v>
      </c>
      <c r="F2428" s="5" t="s">
        <v>10850</v>
      </c>
      <c r="H2428" s="5">
        <v>573007657567</v>
      </c>
      <c r="J2428" s="5" t="s">
        <v>10851</v>
      </c>
      <c r="K2428" s="5" t="s">
        <v>5574</v>
      </c>
      <c r="L2428" s="5" t="s">
        <v>10852</v>
      </c>
      <c r="M2428" s="5" t="s">
        <v>10853</v>
      </c>
      <c r="N2428" s="6">
        <v>46072</v>
      </c>
      <c r="O2428" s="7">
        <v>0.41666666666666669</v>
      </c>
      <c r="P2428" s="5">
        <v>1</v>
      </c>
      <c r="Q2428" s="5" t="s">
        <v>3014</v>
      </c>
      <c r="R2428" s="5">
        <v>750000</v>
      </c>
      <c r="S2428" s="5">
        <v>0</v>
      </c>
      <c r="T2428" s="5">
        <v>10000</v>
      </c>
      <c r="U2428" s="5">
        <v>760000</v>
      </c>
      <c r="V2428" s="5" t="s">
        <v>10854</v>
      </c>
      <c r="W2428" s="5" t="s">
        <v>36</v>
      </c>
      <c r="X2428" s="5" t="s">
        <v>2151</v>
      </c>
      <c r="AA2428" s="5" t="s">
        <v>44</v>
      </c>
      <c r="AC2428" s="8" t="str">
        <f>HYPERLINK("https://drive.google.com/file/d/1xWLiukMU9CO0tzD40Cd1__F66vs3AibN/view?usp=drivesdk", "Abrir_Factura")</f>
        <v>Abrir_Factura</v>
      </c>
      <c r="AD2428" s="9">
        <v>46072.377233796295</v>
      </c>
    </row>
    <row r="2429" spans="1:30" ht="12.5">
      <c r="A2429" s="4">
        <v>46072.388419097224</v>
      </c>
      <c r="B2429" s="5">
        <v>92167</v>
      </c>
      <c r="C2429" s="5">
        <v>22584043</v>
      </c>
      <c r="D2429" s="5" t="s">
        <v>4504</v>
      </c>
      <c r="F2429" s="5" t="s">
        <v>10855</v>
      </c>
      <c r="H2429" s="5">
        <v>573173009284</v>
      </c>
      <c r="J2429" s="5" t="s">
        <v>10856</v>
      </c>
      <c r="K2429" s="5" t="s">
        <v>33</v>
      </c>
      <c r="L2429" s="5" t="s">
        <v>34</v>
      </c>
      <c r="M2429" s="5" t="s">
        <v>10857</v>
      </c>
      <c r="N2429" s="6">
        <v>46072</v>
      </c>
      <c r="O2429" s="7">
        <v>0.4375</v>
      </c>
      <c r="P2429" s="5">
        <v>1</v>
      </c>
      <c r="Q2429" s="5" t="s">
        <v>309</v>
      </c>
      <c r="R2429" s="5">
        <v>88000</v>
      </c>
      <c r="S2429" s="5">
        <v>0</v>
      </c>
      <c r="T2429" s="5">
        <v>0</v>
      </c>
      <c r="U2429" s="5">
        <v>88000</v>
      </c>
      <c r="V2429" s="5" t="s">
        <v>10858</v>
      </c>
      <c r="W2429" s="5" t="s">
        <v>36</v>
      </c>
      <c r="X2429" s="5" t="s">
        <v>196</v>
      </c>
      <c r="AA2429" s="5" t="s">
        <v>69</v>
      </c>
      <c r="AB2429" s="5" t="s">
        <v>10859</v>
      </c>
      <c r="AC2429" s="8" t="str">
        <f>HYPERLINK("https://drive.google.com/file/d/1sWkx1XNN48P8-1KuRimbBSUKy0mIcvPo/view?usp=drivesdk", "Abrir_Factura")</f>
        <v>Abrir_Factura</v>
      </c>
      <c r="AD2429" s="9">
        <v>46072.699953703705</v>
      </c>
    </row>
    <row r="2430" spans="1:30" ht="12.5">
      <c r="A2430" s="4">
        <v>46072.401215972219</v>
      </c>
      <c r="B2430" s="5">
        <v>92168</v>
      </c>
      <c r="C2430" s="5">
        <v>1140859186</v>
      </c>
      <c r="D2430" s="5" t="s">
        <v>10860</v>
      </c>
      <c r="F2430" s="5" t="s">
        <v>10861</v>
      </c>
      <c r="H2430" s="5">
        <v>573046097173</v>
      </c>
      <c r="J2430" s="5" t="s">
        <v>10862</v>
      </c>
      <c r="K2430" s="5" t="s">
        <v>1047</v>
      </c>
      <c r="L2430" s="5" t="s">
        <v>10863</v>
      </c>
      <c r="M2430" s="5">
        <v>3007093553</v>
      </c>
      <c r="N2430" s="6">
        <v>46072</v>
      </c>
      <c r="O2430" s="7">
        <v>0.45833333333333331</v>
      </c>
      <c r="P2430" s="5">
        <v>1</v>
      </c>
      <c r="Q2430" s="5" t="s">
        <v>375</v>
      </c>
      <c r="R2430" s="5">
        <v>80000</v>
      </c>
      <c r="S2430" s="5">
        <v>0</v>
      </c>
      <c r="T2430" s="5">
        <v>15000</v>
      </c>
      <c r="U2430" s="5">
        <v>95000</v>
      </c>
      <c r="V2430" s="5" t="s">
        <v>10864</v>
      </c>
      <c r="W2430" s="5" t="s">
        <v>36</v>
      </c>
      <c r="X2430" s="5" t="s">
        <v>1481</v>
      </c>
      <c r="Z2430" s="5" t="s">
        <v>10865</v>
      </c>
      <c r="AA2430" s="5" t="s">
        <v>69</v>
      </c>
      <c r="AC2430" s="8" t="str">
        <f>HYPERLINK("https://drive.google.com/file/d/1JiWnbYQbwwZ8CVmsPhbHuhsCM1AmLRim/view?usp=drivesdk", "Abrir_Factura")</f>
        <v>Abrir_Factura</v>
      </c>
      <c r="AD2430" s="9">
        <v>46072.407199074078</v>
      </c>
    </row>
    <row r="2431" spans="1:30" ht="12.5">
      <c r="A2431" s="4">
        <v>46072.410847743056</v>
      </c>
      <c r="B2431" s="5">
        <v>92169</v>
      </c>
      <c r="C2431" s="5">
        <v>1140844390</v>
      </c>
      <c r="D2431" s="5" t="s">
        <v>10866</v>
      </c>
      <c r="F2431" s="5" t="s">
        <v>10867</v>
      </c>
      <c r="H2431" s="5">
        <v>573145958525</v>
      </c>
      <c r="J2431" s="5" t="s">
        <v>10868</v>
      </c>
      <c r="K2431" s="5" t="s">
        <v>33</v>
      </c>
      <c r="L2431" s="5" t="s">
        <v>34</v>
      </c>
      <c r="M2431" s="5" t="s">
        <v>10869</v>
      </c>
      <c r="N2431" s="6">
        <v>46072</v>
      </c>
      <c r="O2431" s="7">
        <v>0.58333333333333337</v>
      </c>
      <c r="P2431" s="5">
        <v>1</v>
      </c>
      <c r="Q2431" s="5" t="s">
        <v>75</v>
      </c>
      <c r="R2431" s="5">
        <v>80000</v>
      </c>
      <c r="S2431" s="5">
        <v>0</v>
      </c>
      <c r="T2431" s="5">
        <v>0</v>
      </c>
      <c r="U2431" s="5">
        <v>80000</v>
      </c>
      <c r="V2431" s="5"/>
      <c r="W2431" s="5" t="s">
        <v>36</v>
      </c>
      <c r="X2431" s="5" t="s">
        <v>196</v>
      </c>
      <c r="AA2431" s="5" t="s">
        <v>69</v>
      </c>
      <c r="AC2431" s="8" t="str">
        <f>HYPERLINK("https://drive.google.com/file/d/1px_jv3TFUCsINu1L_7gAHfTf3fwUgA0-/view?usp=drivesdk", "Abrir_Factura")</f>
        <v>Abrir_Factura</v>
      </c>
      <c r="AD2431" s="9">
        <v>46072.651759259257</v>
      </c>
    </row>
    <row r="2432" spans="1:30" ht="12.5">
      <c r="A2432" s="4">
        <v>46072.418498819447</v>
      </c>
      <c r="B2432" s="5">
        <v>92171</v>
      </c>
      <c r="C2432" s="5">
        <v>1140905569</v>
      </c>
      <c r="D2432" s="5" t="s">
        <v>1051</v>
      </c>
      <c r="F2432" s="5" t="s">
        <v>1607</v>
      </c>
      <c r="H2432" s="5">
        <v>573242223810</v>
      </c>
      <c r="J2432" s="5" t="s">
        <v>10870</v>
      </c>
      <c r="K2432" s="5" t="s">
        <v>598</v>
      </c>
      <c r="L2432" s="5" t="s">
        <v>10871</v>
      </c>
      <c r="M2432" s="5">
        <v>3015926162</v>
      </c>
      <c r="N2432" s="6">
        <v>46072</v>
      </c>
      <c r="O2432" s="7">
        <v>0</v>
      </c>
      <c r="P2432" s="5">
        <v>1</v>
      </c>
      <c r="Q2432" s="5" t="s">
        <v>178</v>
      </c>
      <c r="R2432" s="5">
        <v>110000</v>
      </c>
      <c r="S2432" s="5">
        <v>0</v>
      </c>
      <c r="T2432" s="5">
        <v>10000</v>
      </c>
      <c r="U2432" s="5">
        <v>120000</v>
      </c>
      <c r="V2432" s="5" t="s">
        <v>10872</v>
      </c>
      <c r="W2432" s="5" t="s">
        <v>36</v>
      </c>
      <c r="X2432" s="5" t="s">
        <v>1481</v>
      </c>
      <c r="Z2432" s="5" t="s">
        <v>10873</v>
      </c>
      <c r="AA2432" s="5" t="s">
        <v>44</v>
      </c>
      <c r="AB2432" s="5" t="s">
        <v>10874</v>
      </c>
      <c r="AC2432" s="8" t="str">
        <f>HYPERLINK("https://drive.google.com/file/d/1RKBhkQR1axr7rxJJVm24WTMOHEOcJ8W1/view?usp=drivesdk", "Abrir_Factura")</f>
        <v>Abrir_Factura</v>
      </c>
      <c r="AD2432" s="9">
        <v>46072.427268518521</v>
      </c>
    </row>
    <row r="2433" spans="1:30" ht="12.5">
      <c r="A2433" s="4">
        <v>46072.424106990744</v>
      </c>
      <c r="B2433" s="5">
        <v>92170</v>
      </c>
      <c r="C2433" s="5">
        <v>1045753527</v>
      </c>
      <c r="D2433" s="5" t="s">
        <v>84</v>
      </c>
      <c r="F2433" s="5" t="s">
        <v>10875</v>
      </c>
      <c r="H2433" s="5">
        <v>573218135927</v>
      </c>
      <c r="J2433" s="5" t="s">
        <v>10876</v>
      </c>
      <c r="K2433" s="5" t="s">
        <v>4533</v>
      </c>
      <c r="L2433" s="5" t="s">
        <v>10877</v>
      </c>
      <c r="M2433" s="5" t="s">
        <v>10878</v>
      </c>
      <c r="N2433" s="6">
        <v>46072</v>
      </c>
      <c r="O2433" s="7">
        <v>0</v>
      </c>
      <c r="P2433" s="5">
        <v>1</v>
      </c>
      <c r="Q2433" s="5" t="s">
        <v>347</v>
      </c>
      <c r="R2433" s="5">
        <v>252000</v>
      </c>
      <c r="S2433" s="5">
        <v>0</v>
      </c>
      <c r="T2433" s="5">
        <v>10000</v>
      </c>
      <c r="U2433" s="5">
        <v>262000</v>
      </c>
      <c r="V2433" s="5" t="s">
        <v>10879</v>
      </c>
      <c r="W2433" s="5" t="s">
        <v>36</v>
      </c>
      <c r="X2433" s="5" t="s">
        <v>1481</v>
      </c>
      <c r="AA2433" s="5" t="s">
        <v>69</v>
      </c>
      <c r="AC2433" s="8" t="str">
        <f>HYPERLINK("https://drive.google.com/file/d/1uHmHy_9EW7QKYC67qx0q2Xys_61Q4CgG/view?usp=drivesdk", "Abrir_Factura")</f>
        <v>Abrir_Factura</v>
      </c>
      <c r="AD2433" s="9">
        <v>46072.759293981479</v>
      </c>
    </row>
    <row r="2434" spans="1:30" ht="12.5">
      <c r="A2434" s="4">
        <v>46072.426908356487</v>
      </c>
      <c r="B2434" s="5">
        <v>92175</v>
      </c>
      <c r="C2434" s="5">
        <v>64566678</v>
      </c>
      <c r="D2434" s="5" t="s">
        <v>10880</v>
      </c>
      <c r="F2434" s="5" t="s">
        <v>10881</v>
      </c>
      <c r="H2434" s="5">
        <v>17863182184</v>
      </c>
      <c r="J2434" s="5" t="s">
        <v>10882</v>
      </c>
      <c r="K2434" s="5" t="s">
        <v>124</v>
      </c>
      <c r="L2434" s="5" t="s">
        <v>10883</v>
      </c>
      <c r="M2434" s="5">
        <v>3203659741</v>
      </c>
      <c r="N2434" s="6">
        <v>46072</v>
      </c>
      <c r="O2434" s="7">
        <v>0</v>
      </c>
      <c r="P2434" s="5">
        <v>1</v>
      </c>
      <c r="Q2434" s="5" t="s">
        <v>309</v>
      </c>
      <c r="R2434" s="5">
        <v>88000</v>
      </c>
      <c r="S2434" s="5">
        <v>0</v>
      </c>
      <c r="T2434" s="5">
        <v>12000</v>
      </c>
      <c r="U2434" s="5">
        <v>100000</v>
      </c>
      <c r="V2434" s="5" t="s">
        <v>10884</v>
      </c>
      <c r="W2434" s="5" t="s">
        <v>36</v>
      </c>
      <c r="X2434" s="5" t="s">
        <v>1481</v>
      </c>
      <c r="Z2434" s="5" t="s">
        <v>10885</v>
      </c>
      <c r="AA2434" s="5" t="s">
        <v>44</v>
      </c>
      <c r="AC2434" s="8" t="str">
        <f>HYPERLINK("https://drive.google.com/file/d/117-KMsL4zjKiG2A0gFv1kDpWd5s4rHC8/view?usp=drivesdk", "Abrir_Factura")</f>
        <v>Abrir_Factura</v>
      </c>
      <c r="AD2434" s="9">
        <v>46072.476319444446</v>
      </c>
    </row>
    <row r="2435" spans="1:30" ht="12.5">
      <c r="A2435" s="4">
        <v>46072.44296226852</v>
      </c>
      <c r="B2435" s="5">
        <v>92172</v>
      </c>
      <c r="C2435" s="5">
        <v>1129569990</v>
      </c>
      <c r="D2435" s="5" t="s">
        <v>290</v>
      </c>
      <c r="F2435" s="5" t="s">
        <v>4350</v>
      </c>
      <c r="H2435" s="5">
        <v>573008148314</v>
      </c>
      <c r="J2435" s="5" t="s">
        <v>10886</v>
      </c>
      <c r="K2435" s="5" t="s">
        <v>33</v>
      </c>
      <c r="L2435" s="5" t="s">
        <v>34</v>
      </c>
      <c r="M2435" s="5"/>
      <c r="N2435" s="6">
        <v>46072</v>
      </c>
      <c r="O2435" s="7">
        <v>0</v>
      </c>
      <c r="P2435" s="5">
        <v>1</v>
      </c>
      <c r="Q2435" s="5" t="s">
        <v>42</v>
      </c>
      <c r="R2435" s="5">
        <v>92000</v>
      </c>
      <c r="S2435" s="5">
        <v>0</v>
      </c>
      <c r="T2435" s="5">
        <v>0</v>
      </c>
      <c r="U2435" s="5">
        <v>92000</v>
      </c>
      <c r="V2435" s="5"/>
      <c r="W2435" s="5" t="s">
        <v>36</v>
      </c>
      <c r="X2435" s="5" t="s">
        <v>1705</v>
      </c>
      <c r="AA2435" s="5" t="s">
        <v>44</v>
      </c>
      <c r="AB2435" s="5" t="s">
        <v>1286</v>
      </c>
      <c r="AC2435" s="8" t="str">
        <f>HYPERLINK("https://drive.google.com/file/d/17d9yeTwgbNTeT9ldVK_I9p5SoT8jx_f9/view?usp=drivesdk", "Abrir_Factura")</f>
        <v>Abrir_Factura</v>
      </c>
      <c r="AD2435" s="9">
        <v>46072.600335648145</v>
      </c>
    </row>
    <row r="2436" spans="1:30" ht="12.5">
      <c r="A2436" s="4">
        <v>46072.44446741898</v>
      </c>
      <c r="B2436" s="5">
        <v>92173</v>
      </c>
      <c r="C2436" s="5">
        <v>900521807</v>
      </c>
      <c r="D2436" s="5" t="s">
        <v>1231</v>
      </c>
      <c r="F2436" s="5" t="s">
        <v>2159</v>
      </c>
      <c r="H2436" s="5">
        <v>573007682024</v>
      </c>
      <c r="J2436" s="5" t="s">
        <v>1310</v>
      </c>
      <c r="K2436" s="5"/>
      <c r="L2436" s="5" t="s">
        <v>10887</v>
      </c>
      <c r="M2436" s="5"/>
      <c r="N2436" s="6">
        <v>46072</v>
      </c>
      <c r="O2436" s="7">
        <v>0</v>
      </c>
      <c r="P2436" s="5">
        <v>1</v>
      </c>
      <c r="Q2436" s="5" t="s">
        <v>42</v>
      </c>
      <c r="R2436" s="5">
        <v>0</v>
      </c>
      <c r="S2436" s="5">
        <v>0</v>
      </c>
      <c r="T2436" s="5"/>
      <c r="U2436" s="5">
        <v>0</v>
      </c>
      <c r="V2436" s="5"/>
      <c r="W2436" s="5" t="s">
        <v>36</v>
      </c>
      <c r="X2436" s="5" t="s">
        <v>43</v>
      </c>
      <c r="AA2436" s="5" t="s">
        <v>44</v>
      </c>
      <c r="AB2436" s="5" t="s">
        <v>10888</v>
      </c>
      <c r="AC2436" s="8" t="str">
        <f>HYPERLINK("https://drive.google.com/file/d/1tn47dF_STfEpqb_SXCU1dlDrSydtWrIG/view?usp=drivesdk", "Abrir_Factura")</f>
        <v>Abrir_Factura</v>
      </c>
      <c r="AD2436" s="9">
        <v>46072.445196759261</v>
      </c>
    </row>
    <row r="2437" spans="1:30" ht="12.5">
      <c r="A2437" s="4">
        <v>46072.450001122685</v>
      </c>
      <c r="B2437" s="5">
        <v>92174</v>
      </c>
      <c r="C2437" s="5">
        <v>1083017413</v>
      </c>
      <c r="D2437" s="5" t="s">
        <v>4445</v>
      </c>
      <c r="F2437" s="5" t="s">
        <v>10889</v>
      </c>
      <c r="H2437" s="5">
        <v>573176449067</v>
      </c>
      <c r="J2437" s="5" t="s">
        <v>10890</v>
      </c>
      <c r="K2437" s="5" t="s">
        <v>401</v>
      </c>
      <c r="L2437" s="5" t="s">
        <v>10891</v>
      </c>
      <c r="M2437" s="5">
        <v>3114032310</v>
      </c>
      <c r="N2437" s="6">
        <v>46072</v>
      </c>
      <c r="O2437" s="7">
        <v>0.54166666666666663</v>
      </c>
      <c r="P2437" s="5">
        <v>1</v>
      </c>
      <c r="Q2437" s="5" t="s">
        <v>380</v>
      </c>
      <c r="R2437" s="5">
        <v>340000</v>
      </c>
      <c r="S2437" s="5">
        <v>0</v>
      </c>
      <c r="T2437" s="5">
        <v>12000</v>
      </c>
      <c r="U2437" s="5">
        <v>352000</v>
      </c>
      <c r="V2437" s="5" t="s">
        <v>10892</v>
      </c>
      <c r="W2437" s="5" t="s">
        <v>36</v>
      </c>
      <c r="X2437" s="5" t="s">
        <v>1481</v>
      </c>
      <c r="AA2437" s="5" t="s">
        <v>44</v>
      </c>
      <c r="AC2437" s="8" t="str">
        <f>HYPERLINK("https://drive.google.com/file/d/1TbyaPdZA4oBbbILDlv9NZRWvpycS2HCg/view?usp=drivesdk", "Abrir_Factura")</f>
        <v>Abrir_Factura</v>
      </c>
      <c r="AD2437" s="9">
        <v>46072.466041666667</v>
      </c>
    </row>
    <row r="2438" spans="1:30" ht="12.5">
      <c r="A2438" s="4">
        <v>46072.482971458332</v>
      </c>
      <c r="B2438" s="5">
        <v>92176</v>
      </c>
      <c r="C2438" s="5">
        <v>1069489823</v>
      </c>
      <c r="D2438" s="5" t="s">
        <v>1973</v>
      </c>
      <c r="F2438" s="5" t="s">
        <v>10893</v>
      </c>
      <c r="H2438" s="5">
        <v>573005396796</v>
      </c>
      <c r="J2438" s="5" t="s">
        <v>10894</v>
      </c>
      <c r="K2438" s="5" t="s">
        <v>185</v>
      </c>
      <c r="L2438" s="5" t="s">
        <v>10895</v>
      </c>
      <c r="M2438" s="5" t="s">
        <v>25421</v>
      </c>
      <c r="N2438" s="6">
        <v>46072</v>
      </c>
      <c r="O2438" s="7">
        <v>0</v>
      </c>
      <c r="P2438" s="5">
        <v>1</v>
      </c>
      <c r="Q2438" s="5" t="s">
        <v>361</v>
      </c>
      <c r="R2438" s="5">
        <v>200000</v>
      </c>
      <c r="S2438" s="5">
        <v>0</v>
      </c>
      <c r="T2438" s="5">
        <v>8000</v>
      </c>
      <c r="U2438" s="5">
        <v>208000</v>
      </c>
      <c r="V2438" s="5" t="s">
        <v>10896</v>
      </c>
      <c r="W2438" s="5" t="s">
        <v>36</v>
      </c>
      <c r="X2438" s="5" t="s">
        <v>204</v>
      </c>
      <c r="Z2438" s="5" t="s">
        <v>10897</v>
      </c>
      <c r="AA2438" s="5" t="s">
        <v>44</v>
      </c>
      <c r="AC2438" s="8" t="str">
        <f>HYPERLINK("https://drive.google.com/file/d/1rzH8LhTmB5nVH30D1Ma5YABm5eNT0fj-/view?usp=drivesdk", "Abrir_Factura")</f>
        <v>Abrir_Factura</v>
      </c>
      <c r="AD2438" s="9">
        <v>46072.486678240741</v>
      </c>
    </row>
    <row r="2439" spans="1:30" ht="12.5">
      <c r="A2439" s="4">
        <v>46072.490445567135</v>
      </c>
      <c r="B2439" s="5">
        <v>92177</v>
      </c>
      <c r="C2439" s="5">
        <v>1101385208</v>
      </c>
      <c r="D2439" s="5" t="s">
        <v>10898</v>
      </c>
      <c r="F2439" s="5" t="s">
        <v>10704</v>
      </c>
      <c r="H2439" s="5">
        <v>573146550719</v>
      </c>
      <c r="J2439" s="5" t="s">
        <v>10899</v>
      </c>
      <c r="K2439" s="5" t="s">
        <v>33</v>
      </c>
      <c r="L2439" s="5" t="s">
        <v>34</v>
      </c>
      <c r="M2439" s="5">
        <v>3146550719</v>
      </c>
      <c r="N2439" s="6">
        <v>46072</v>
      </c>
      <c r="O2439" s="7">
        <v>0</v>
      </c>
      <c r="P2439" s="5">
        <v>1</v>
      </c>
      <c r="Q2439" s="5" t="s">
        <v>42</v>
      </c>
      <c r="R2439" s="5">
        <v>40000</v>
      </c>
      <c r="S2439" s="5">
        <v>0</v>
      </c>
      <c r="T2439" s="5">
        <v>0</v>
      </c>
      <c r="U2439" s="5">
        <v>40000</v>
      </c>
      <c r="V2439" s="5"/>
      <c r="W2439" s="5" t="s">
        <v>36</v>
      </c>
      <c r="X2439" s="5" t="s">
        <v>196</v>
      </c>
      <c r="AA2439" s="5" t="s">
        <v>1717</v>
      </c>
      <c r="AC2439" s="8" t="str">
        <f>HYPERLINK("https://drive.google.com/file/d/1cIbjYOvcnZISvBnRu0PxDfvyQJx6WlHM/view?usp=drivesdk", "Abrir_Factura")</f>
        <v>Abrir_Factura</v>
      </c>
      <c r="AD2439" s="9">
        <v>46072.492013888892</v>
      </c>
    </row>
    <row r="2440" spans="1:30" ht="12.5">
      <c r="A2440" s="4">
        <v>46072.513064872684</v>
      </c>
      <c r="B2440" s="5">
        <v>92178</v>
      </c>
      <c r="C2440" s="5">
        <v>37270681</v>
      </c>
      <c r="D2440" s="5" t="s">
        <v>1682</v>
      </c>
      <c r="F2440" s="5" t="s">
        <v>1683</v>
      </c>
      <c r="H2440" s="5">
        <v>573173672739</v>
      </c>
      <c r="J2440" s="5" t="s">
        <v>1685</v>
      </c>
      <c r="K2440" s="5" t="s">
        <v>33</v>
      </c>
      <c r="L2440" s="5" t="s">
        <v>34</v>
      </c>
      <c r="M2440" s="5">
        <v>3173672739</v>
      </c>
      <c r="N2440" s="6">
        <v>46072</v>
      </c>
      <c r="O2440" s="7">
        <v>0</v>
      </c>
      <c r="P2440" s="5">
        <v>1</v>
      </c>
      <c r="Q2440" s="5" t="s">
        <v>42</v>
      </c>
      <c r="R2440" s="5">
        <v>114000</v>
      </c>
      <c r="S2440" s="5">
        <v>0</v>
      </c>
      <c r="T2440" s="5">
        <v>0</v>
      </c>
      <c r="U2440" s="5">
        <v>114000</v>
      </c>
      <c r="V2440" s="5"/>
      <c r="W2440" s="5" t="s">
        <v>36</v>
      </c>
      <c r="X2440" s="5" t="s">
        <v>83</v>
      </c>
      <c r="AA2440" s="5" t="s">
        <v>1717</v>
      </c>
      <c r="AC2440" s="8" t="str">
        <f>HYPERLINK("https://drive.google.com/file/d/1H3DC6RRXHm3nNZlnsw4UeW_bhkp-4dYK/view?usp=drivesdk", "Abrir_Factura")</f>
        <v>Abrir_Factura</v>
      </c>
      <c r="AD2440" s="9">
        <v>46072.600914351853</v>
      </c>
    </row>
    <row r="2441" spans="1:30" ht="12.5">
      <c r="A2441" s="4">
        <v>46072.530028379631</v>
      </c>
      <c r="B2441" s="5">
        <v>92179</v>
      </c>
      <c r="C2441" s="5">
        <v>1140901599</v>
      </c>
      <c r="D2441" s="5" t="s">
        <v>10900</v>
      </c>
      <c r="F2441" s="5" t="s">
        <v>2351</v>
      </c>
      <c r="H2441" s="5">
        <v>573168339599</v>
      </c>
      <c r="J2441" s="5" t="s">
        <v>10901</v>
      </c>
      <c r="K2441" s="5" t="s">
        <v>185</v>
      </c>
      <c r="L2441" s="5" t="s">
        <v>10902</v>
      </c>
      <c r="M2441" s="5">
        <v>3569912</v>
      </c>
      <c r="N2441" s="6">
        <v>46072</v>
      </c>
      <c r="O2441" s="7">
        <v>0.58333333333333337</v>
      </c>
      <c r="P2441" s="5">
        <v>1</v>
      </c>
      <c r="Q2441" s="5" t="s">
        <v>679</v>
      </c>
      <c r="R2441" s="5">
        <v>200000</v>
      </c>
      <c r="S2441" s="5">
        <v>0</v>
      </c>
      <c r="T2441" s="5">
        <v>8000</v>
      </c>
      <c r="U2441" s="5">
        <v>208000</v>
      </c>
      <c r="V2441" s="5" t="s">
        <v>10903</v>
      </c>
      <c r="W2441" s="5" t="s">
        <v>36</v>
      </c>
      <c r="X2441" s="5" t="s">
        <v>180</v>
      </c>
      <c r="Z2441" s="5" t="s">
        <v>10904</v>
      </c>
      <c r="AA2441" s="5" t="s">
        <v>44</v>
      </c>
      <c r="AC2441" s="8" t="str">
        <f>HYPERLINK("https://drive.google.com/file/d/18E3vJFlsWwuSvDdrcs82kpYlnKk1qgbi/view?usp=drivesdk", "Abrir_Factura")</f>
        <v>Abrir_Factura</v>
      </c>
      <c r="AD2441" s="9">
        <v>46072.533831018518</v>
      </c>
    </row>
    <row r="2442" spans="1:30" ht="12.5">
      <c r="A2442" s="4">
        <v>46072.53731240741</v>
      </c>
      <c r="B2442" s="5">
        <v>92180</v>
      </c>
      <c r="C2442" s="5">
        <v>1042357823</v>
      </c>
      <c r="D2442" s="5" t="s">
        <v>10905</v>
      </c>
      <c r="F2442" s="5" t="s">
        <v>10199</v>
      </c>
      <c r="H2442" s="5">
        <v>573158072325</v>
      </c>
      <c r="J2442" s="5" t="s">
        <v>10906</v>
      </c>
      <c r="K2442" s="5" t="s">
        <v>33</v>
      </c>
      <c r="L2442" s="5" t="s">
        <v>34</v>
      </c>
      <c r="M2442" s="5">
        <v>3158072325</v>
      </c>
      <c r="N2442" s="6">
        <v>46072</v>
      </c>
      <c r="O2442" s="7">
        <v>0.58333333333333337</v>
      </c>
      <c r="P2442" s="5">
        <v>1</v>
      </c>
      <c r="Q2442" s="5" t="s">
        <v>178</v>
      </c>
      <c r="R2442" s="5">
        <v>110000</v>
      </c>
      <c r="S2442" s="5">
        <v>0</v>
      </c>
      <c r="T2442" s="5">
        <v>0</v>
      </c>
      <c r="U2442" s="5">
        <v>110000</v>
      </c>
      <c r="V2442" s="5" t="s">
        <v>10907</v>
      </c>
      <c r="W2442" s="5" t="s">
        <v>36</v>
      </c>
      <c r="X2442" s="5" t="s">
        <v>1481</v>
      </c>
      <c r="Z2442" s="5" t="s">
        <v>10908</v>
      </c>
      <c r="AA2442" s="5" t="s">
        <v>69</v>
      </c>
      <c r="AC2442" s="8" t="str">
        <f>HYPERLINK("https://drive.google.com/file/d/1P2vBCBOjGQsWd95TBN-x8xPy0-6lYaY2/view?usp=drivesdk", "Abrir_Factura")</f>
        <v>Abrir_Factura</v>
      </c>
      <c r="AD2442" s="9">
        <v>46072.550775462965</v>
      </c>
    </row>
    <row r="2443" spans="1:30" ht="12.5">
      <c r="A2443" s="4">
        <v>46072.556088761572</v>
      </c>
      <c r="B2443" s="5">
        <v>92182</v>
      </c>
      <c r="C2443" s="5">
        <v>10019140941</v>
      </c>
      <c r="D2443" s="5" t="s">
        <v>290</v>
      </c>
      <c r="F2443" s="5" t="s">
        <v>5606</v>
      </c>
      <c r="H2443" s="5">
        <v>573232205042</v>
      </c>
      <c r="J2443" s="5" t="s">
        <v>5607</v>
      </c>
      <c r="K2443" s="5" t="s">
        <v>161</v>
      </c>
      <c r="L2443" s="5" t="s">
        <v>10909</v>
      </c>
      <c r="M2443" s="5" t="s">
        <v>25421</v>
      </c>
      <c r="N2443" s="6">
        <v>46072</v>
      </c>
      <c r="O2443" s="7">
        <v>0.625</v>
      </c>
      <c r="P2443" s="5">
        <v>1</v>
      </c>
      <c r="Q2443" s="5" t="s">
        <v>1792</v>
      </c>
      <c r="R2443" s="5">
        <v>160000</v>
      </c>
      <c r="S2443" s="5">
        <v>0</v>
      </c>
      <c r="T2443" s="5">
        <v>8000</v>
      </c>
      <c r="U2443" s="5">
        <v>168000</v>
      </c>
      <c r="V2443" s="5" t="s">
        <v>10910</v>
      </c>
      <c r="W2443" s="5" t="s">
        <v>36</v>
      </c>
      <c r="X2443" s="5" t="s">
        <v>1481</v>
      </c>
      <c r="Z2443" s="5" t="s">
        <v>10911</v>
      </c>
      <c r="AA2443" s="5" t="s">
        <v>44</v>
      </c>
      <c r="AB2443" s="5" t="s">
        <v>10912</v>
      </c>
      <c r="AC2443" s="8" t="str">
        <f>HYPERLINK("https://drive.google.com/file/d/1yiwrV9o1TF9D7G2oJTh74JCeGdT7uAQZ/view?usp=drivesdk", "Abrir_Factura")</f>
        <v>Abrir_Factura</v>
      </c>
      <c r="AD2443" s="9">
        <v>46072.562118055554</v>
      </c>
    </row>
    <row r="2444" spans="1:30" ht="12.5">
      <c r="A2444" s="4">
        <v>46072.558213541663</v>
      </c>
      <c r="B2444" s="5">
        <v>92181</v>
      </c>
      <c r="C2444" s="5">
        <v>1129532176</v>
      </c>
      <c r="D2444" s="5" t="s">
        <v>10913</v>
      </c>
      <c r="F2444" s="5" t="s">
        <v>6610</v>
      </c>
      <c r="H2444" s="5">
        <v>573016674977</v>
      </c>
      <c r="J2444" s="5" t="s">
        <v>10914</v>
      </c>
      <c r="K2444" s="5" t="s">
        <v>33</v>
      </c>
      <c r="L2444" s="5" t="s">
        <v>34</v>
      </c>
      <c r="M2444" s="5">
        <v>3016674977</v>
      </c>
      <c r="N2444" s="6">
        <v>46072</v>
      </c>
      <c r="O2444" s="7">
        <v>0</v>
      </c>
      <c r="P2444" s="5">
        <v>1</v>
      </c>
      <c r="Q2444" s="5" t="s">
        <v>178</v>
      </c>
      <c r="R2444" s="5">
        <v>110000</v>
      </c>
      <c r="S2444" s="5">
        <v>0</v>
      </c>
      <c r="T2444" s="5">
        <v>0</v>
      </c>
      <c r="U2444" s="5">
        <v>110000</v>
      </c>
      <c r="V2444" s="5"/>
      <c r="W2444" s="5" t="s">
        <v>36</v>
      </c>
      <c r="X2444" s="5" t="s">
        <v>37</v>
      </c>
      <c r="AA2444" s="5" t="s">
        <v>37</v>
      </c>
      <c r="AB2444" s="5" t="s">
        <v>10915</v>
      </c>
      <c r="AC2444" s="8" t="str">
        <f>HYPERLINK("https://drive.google.com/file/d/1Ty67dqS6G_rm5zcOgqu46um9wJKls4VA/view?usp=drivesdk", "Abrir_Factura")</f>
        <v>Abrir_Factura</v>
      </c>
      <c r="AD2444" s="9">
        <v>46072.558692129627</v>
      </c>
    </row>
    <row r="2445" spans="1:30" ht="12.5">
      <c r="A2445" s="4">
        <v>46072.595790949075</v>
      </c>
      <c r="B2445" s="5">
        <v>92185</v>
      </c>
      <c r="C2445" s="5">
        <v>901495979</v>
      </c>
      <c r="D2445" s="5" t="s">
        <v>10916</v>
      </c>
      <c r="F2445" s="5" t="s">
        <v>10917</v>
      </c>
      <c r="H2445" s="5">
        <v>573166924227</v>
      </c>
      <c r="J2445" s="5" t="s">
        <v>10918</v>
      </c>
      <c r="K2445" s="5" t="s">
        <v>405</v>
      </c>
      <c r="L2445" s="5" t="s">
        <v>10919</v>
      </c>
      <c r="M2445" s="5">
        <v>3166924227</v>
      </c>
      <c r="N2445" s="6">
        <v>46073</v>
      </c>
      <c r="O2445" s="7">
        <v>0.66666666666666663</v>
      </c>
      <c r="P2445" s="5">
        <v>1</v>
      </c>
      <c r="Q2445" s="5" t="s">
        <v>3892</v>
      </c>
      <c r="R2445" s="5">
        <v>270000</v>
      </c>
      <c r="S2445" s="5">
        <v>51300</v>
      </c>
      <c r="T2445" s="5">
        <v>30000</v>
      </c>
      <c r="U2445" s="5">
        <v>351300</v>
      </c>
      <c r="V2445" s="5" t="s">
        <v>10920</v>
      </c>
      <c r="W2445" s="5" t="s">
        <v>36</v>
      </c>
      <c r="X2445" s="5" t="s">
        <v>67</v>
      </c>
      <c r="Z2445" s="5" t="s">
        <v>10921</v>
      </c>
      <c r="AA2445" s="5" t="s">
        <v>44</v>
      </c>
      <c r="AB2445" s="5" t="s">
        <v>10922</v>
      </c>
      <c r="AC2445" s="8" t="str">
        <f>HYPERLINK("https://drive.google.com/file/d/1khE3zDfBioWakFFW_qaWPVgIPdU08jHR/view?usp=drivesdk", "Abrir_Factura")</f>
        <v>Abrir_Factura</v>
      </c>
      <c r="AD2445" s="9">
        <v>46072.607118055559</v>
      </c>
    </row>
    <row r="2446" spans="1:30" ht="12.5">
      <c r="A2446" s="4">
        <v>46072.596126909717</v>
      </c>
      <c r="B2446" s="5">
        <v>92183</v>
      </c>
      <c r="C2446" s="5">
        <v>1140856003</v>
      </c>
      <c r="D2446" s="5" t="s">
        <v>968</v>
      </c>
      <c r="F2446" s="5" t="s">
        <v>10923</v>
      </c>
      <c r="H2446" s="5">
        <v>573126219968</v>
      </c>
      <c r="J2446" s="5" t="s">
        <v>10924</v>
      </c>
      <c r="K2446" s="5" t="s">
        <v>185</v>
      </c>
      <c r="L2446" s="5" t="s">
        <v>10925</v>
      </c>
      <c r="M2446" s="5">
        <v>3126219968</v>
      </c>
      <c r="N2446" s="6">
        <v>46072</v>
      </c>
      <c r="O2446" s="7">
        <v>0.625</v>
      </c>
      <c r="P2446" s="5">
        <v>1</v>
      </c>
      <c r="Q2446" s="5" t="s">
        <v>559</v>
      </c>
      <c r="R2446" s="5">
        <v>99000</v>
      </c>
      <c r="S2446" s="5">
        <v>0</v>
      </c>
      <c r="T2446" s="5">
        <v>8000</v>
      </c>
      <c r="U2446" s="5">
        <v>107000</v>
      </c>
      <c r="V2446" s="5" t="s">
        <v>10926</v>
      </c>
      <c r="W2446" s="5" t="s">
        <v>36</v>
      </c>
      <c r="X2446" s="5" t="s">
        <v>67</v>
      </c>
      <c r="Z2446" s="5" t="s">
        <v>10927</v>
      </c>
      <c r="AA2446" s="5" t="s">
        <v>44</v>
      </c>
      <c r="AC2446" s="8" t="str">
        <f>HYPERLINK("https://drive.google.com/file/d/18GWCuxVBvmUIB6DO2qJToYB8Lq7xcBIq/view?usp=drivesdk", "Abrir_Factura")</f>
        <v>Abrir_Factura</v>
      </c>
      <c r="AD2446" s="9">
        <v>46072.598923611113</v>
      </c>
    </row>
    <row r="2447" spans="1:30" ht="12.5">
      <c r="A2447" s="4">
        <v>46072.604851331023</v>
      </c>
      <c r="B2447" s="5">
        <v>92184</v>
      </c>
      <c r="C2447" s="5">
        <v>1045684146</v>
      </c>
      <c r="D2447" s="5" t="s">
        <v>10928</v>
      </c>
      <c r="F2447" s="5" t="s">
        <v>10929</v>
      </c>
      <c r="H2447" s="5">
        <v>573145933711</v>
      </c>
      <c r="J2447" s="5" t="s">
        <v>10930</v>
      </c>
      <c r="K2447" s="5" t="s">
        <v>63</v>
      </c>
      <c r="L2447" s="5" t="s">
        <v>10931</v>
      </c>
      <c r="M2447" s="5">
        <v>3145933711</v>
      </c>
      <c r="N2447" s="6">
        <v>46072</v>
      </c>
      <c r="O2447" s="7">
        <v>0.64583333333333337</v>
      </c>
      <c r="P2447" s="5">
        <v>1</v>
      </c>
      <c r="Q2447" s="5" t="s">
        <v>309</v>
      </c>
      <c r="R2447" s="5">
        <v>88000</v>
      </c>
      <c r="S2447" s="5">
        <v>0</v>
      </c>
      <c r="T2447" s="5">
        <v>17000</v>
      </c>
      <c r="U2447" s="5">
        <v>105000</v>
      </c>
      <c r="V2447" s="5" t="s">
        <v>10932</v>
      </c>
      <c r="W2447" s="5" t="s">
        <v>36</v>
      </c>
      <c r="X2447" s="5" t="s">
        <v>1481</v>
      </c>
      <c r="AA2447" s="5" t="s">
        <v>44</v>
      </c>
      <c r="AC2447" s="8" t="str">
        <f>HYPERLINK("https://drive.google.com/file/d/1wd3-dFsjy5Do-O_Hilbtk5-1q829PoeN/view?usp=drivesdk", "Abrir_Factura")</f>
        <v>Abrir_Factura</v>
      </c>
      <c r="AD2447" s="9">
        <v>46072.605405092596</v>
      </c>
    </row>
    <row r="2448" spans="1:30" ht="12.5">
      <c r="A2448" s="4">
        <v>46072.632779629625</v>
      </c>
      <c r="B2448" s="5">
        <v>92187</v>
      </c>
      <c r="C2448" s="5">
        <v>55304173</v>
      </c>
      <c r="D2448" s="5" t="s">
        <v>1216</v>
      </c>
      <c r="F2448" s="5" t="s">
        <v>2311</v>
      </c>
      <c r="H2448" s="5">
        <v>573153084082</v>
      </c>
      <c r="J2448" s="5" t="s">
        <v>10933</v>
      </c>
      <c r="K2448" s="5" t="s">
        <v>307</v>
      </c>
      <c r="L2448" s="5" t="s">
        <v>10934</v>
      </c>
      <c r="M2448" s="5">
        <v>3106119745</v>
      </c>
      <c r="N2448" s="6">
        <v>46072</v>
      </c>
      <c r="O2448" s="7">
        <v>0.66666666666666663</v>
      </c>
      <c r="P2448" s="5">
        <v>1</v>
      </c>
      <c r="Q2448" s="5" t="s">
        <v>559</v>
      </c>
      <c r="R2448" s="5">
        <v>99000</v>
      </c>
      <c r="S2448" s="5">
        <v>0</v>
      </c>
      <c r="T2448" s="5">
        <v>10000</v>
      </c>
      <c r="U2448" s="5">
        <v>109000</v>
      </c>
      <c r="V2448" s="5" t="s">
        <v>10935</v>
      </c>
      <c r="W2448" s="5" t="s">
        <v>36</v>
      </c>
      <c r="X2448" s="5" t="s">
        <v>1481</v>
      </c>
      <c r="Z2448" s="5" t="s">
        <v>10936</v>
      </c>
      <c r="AA2448" s="5" t="s">
        <v>44</v>
      </c>
      <c r="AB2448" s="5" t="s">
        <v>10937</v>
      </c>
      <c r="AC2448" s="8" t="str">
        <f>HYPERLINK("https://drive.google.com/file/d/1_JO1DuCICNYRixprLEeYVtQNUJS2jldr/view?usp=drivesdk", "Abrir_Factura")</f>
        <v>Abrir_Factura</v>
      </c>
      <c r="AD2448" s="9">
        <v>46072.643912037034</v>
      </c>
    </row>
    <row r="2449" spans="1:30" ht="12.5">
      <c r="A2449" s="4">
        <v>46072.634594409727</v>
      </c>
      <c r="B2449" s="5">
        <v>92186</v>
      </c>
      <c r="C2449" s="5">
        <v>1143155580</v>
      </c>
      <c r="D2449" s="5" t="s">
        <v>76</v>
      </c>
      <c r="F2449" s="5" t="s">
        <v>10938</v>
      </c>
      <c r="H2449" s="5">
        <v>573016339247</v>
      </c>
      <c r="J2449" s="5" t="s">
        <v>10939</v>
      </c>
      <c r="K2449" s="5" t="s">
        <v>33</v>
      </c>
      <c r="L2449" s="5" t="s">
        <v>34</v>
      </c>
      <c r="M2449" s="5"/>
      <c r="N2449" s="6">
        <v>46074</v>
      </c>
      <c r="O2449" s="7">
        <v>0.375</v>
      </c>
      <c r="P2449" s="5">
        <v>1</v>
      </c>
      <c r="Q2449" s="5" t="s">
        <v>384</v>
      </c>
      <c r="R2449" s="5">
        <v>200000</v>
      </c>
      <c r="S2449" s="5">
        <v>0</v>
      </c>
      <c r="T2449" s="5">
        <v>0</v>
      </c>
      <c r="U2449" s="5">
        <v>200000</v>
      </c>
      <c r="V2449" s="5" t="s">
        <v>10940</v>
      </c>
      <c r="W2449" s="5" t="s">
        <v>36</v>
      </c>
      <c r="X2449" s="5" t="s">
        <v>1481</v>
      </c>
      <c r="Z2449" s="5" t="s">
        <v>10941</v>
      </c>
      <c r="AA2449" s="5" t="s">
        <v>44</v>
      </c>
      <c r="AC2449" s="8" t="str">
        <f>HYPERLINK("https://drive.google.com/file/d/16blAAHviFedPD5zkfGz-Cdwq6KlWrFx_/view?usp=drivesdk", "Abrir_Factura")</f>
        <v>Abrir_Factura</v>
      </c>
      <c r="AD2449" s="9">
        <v>46072.642465277779</v>
      </c>
    </row>
    <row r="2450" spans="1:30" ht="12.5">
      <c r="A2450" s="4">
        <v>46072.638817557869</v>
      </c>
      <c r="B2450" s="5">
        <v>92189</v>
      </c>
      <c r="C2450" s="5">
        <v>22416650</v>
      </c>
      <c r="D2450" s="5" t="s">
        <v>9172</v>
      </c>
      <c r="F2450" s="5" t="s">
        <v>10942</v>
      </c>
      <c r="H2450" s="5">
        <v>573157267202</v>
      </c>
      <c r="J2450" s="5" t="s">
        <v>10943</v>
      </c>
      <c r="K2450" s="5" t="s">
        <v>73</v>
      </c>
      <c r="L2450" s="5" t="s">
        <v>10944</v>
      </c>
      <c r="M2450" s="5"/>
      <c r="N2450" s="6">
        <v>46072</v>
      </c>
      <c r="O2450" s="7">
        <v>0.70833333333333337</v>
      </c>
      <c r="P2450" s="5">
        <v>1</v>
      </c>
      <c r="Q2450" s="5" t="s">
        <v>10945</v>
      </c>
      <c r="R2450" s="5">
        <v>230000</v>
      </c>
      <c r="S2450" s="5">
        <v>0</v>
      </c>
      <c r="T2450" s="5">
        <v>8000</v>
      </c>
      <c r="U2450" s="5">
        <v>238000</v>
      </c>
      <c r="V2450" s="5" t="s">
        <v>10946</v>
      </c>
      <c r="W2450" s="5" t="s">
        <v>36</v>
      </c>
      <c r="X2450" s="5" t="s">
        <v>1481</v>
      </c>
      <c r="Z2450" s="5" t="s">
        <v>10947</v>
      </c>
      <c r="AA2450" s="5" t="s">
        <v>44</v>
      </c>
      <c r="AC2450" s="8" t="str">
        <f>HYPERLINK("https://drive.google.com/file/d/1VVnPRw7h1HZJaYTuTFfZdCm9W9gxPqSK/view?usp=drivesdk", "Abrir_Factura")</f>
        <v>Abrir_Factura</v>
      </c>
      <c r="AD2450" s="9">
        <v>46072.651446759257</v>
      </c>
    </row>
    <row r="2451" spans="1:30" ht="12.5">
      <c r="A2451" s="4">
        <v>46072.648876018517</v>
      </c>
      <c r="B2451" s="5">
        <v>92188</v>
      </c>
      <c r="C2451" s="5">
        <v>72210330</v>
      </c>
      <c r="D2451" s="5" t="s">
        <v>10948</v>
      </c>
      <c r="F2451" s="5" t="s">
        <v>10949</v>
      </c>
      <c r="H2451" s="5">
        <v>573005021649</v>
      </c>
      <c r="J2451" s="5" t="s">
        <v>10950</v>
      </c>
      <c r="K2451" s="5" t="s">
        <v>563</v>
      </c>
      <c r="L2451" s="5" t="s">
        <v>10951</v>
      </c>
      <c r="M2451" s="5"/>
      <c r="N2451" s="6">
        <v>46072</v>
      </c>
      <c r="O2451" s="7">
        <v>0.70833333333333337</v>
      </c>
      <c r="P2451" s="5">
        <v>1</v>
      </c>
      <c r="Q2451" s="5" t="s">
        <v>75</v>
      </c>
      <c r="R2451" s="5">
        <v>80000</v>
      </c>
      <c r="S2451" s="5">
        <v>0</v>
      </c>
      <c r="T2451" s="5">
        <v>12000</v>
      </c>
      <c r="U2451" s="5">
        <v>92000</v>
      </c>
      <c r="V2451" s="5" t="s">
        <v>10952</v>
      </c>
      <c r="W2451" s="5" t="s">
        <v>36</v>
      </c>
      <c r="X2451" s="5" t="s">
        <v>180</v>
      </c>
      <c r="AA2451" s="5" t="s">
        <v>44</v>
      </c>
      <c r="AC2451" s="8" t="str">
        <f>HYPERLINK("https://drive.google.com/file/d/1snzpdPkeP6-azY0DtezfxfVjmtbPqru1/view?usp=drivesdk", "Abrir_Factura")</f>
        <v>Abrir_Factura</v>
      </c>
      <c r="AD2451" s="9">
        <v>46072.649421296293</v>
      </c>
    </row>
    <row r="2452" spans="1:30" ht="12.5">
      <c r="A2452" s="4">
        <v>46072.663041018517</v>
      </c>
      <c r="B2452" s="5">
        <v>92190</v>
      </c>
      <c r="C2452" s="5">
        <v>900798756</v>
      </c>
      <c r="D2452" s="5" t="s">
        <v>7431</v>
      </c>
      <c r="F2452" s="5" t="s">
        <v>2159</v>
      </c>
      <c r="H2452" s="5">
        <v>573147791720</v>
      </c>
      <c r="J2452" s="5" t="s">
        <v>8664</v>
      </c>
      <c r="K2452" s="5" t="s">
        <v>33</v>
      </c>
      <c r="L2452" s="5" t="s">
        <v>34</v>
      </c>
      <c r="M2452" s="5">
        <v>3147791720</v>
      </c>
      <c r="N2452" s="6">
        <v>46072</v>
      </c>
      <c r="O2452" s="7">
        <v>0</v>
      </c>
      <c r="P2452" s="5">
        <v>1</v>
      </c>
      <c r="Q2452" s="5" t="s">
        <v>42</v>
      </c>
      <c r="R2452" s="5">
        <v>101000</v>
      </c>
      <c r="S2452" s="5">
        <v>0</v>
      </c>
      <c r="T2452" s="5">
        <v>0</v>
      </c>
      <c r="U2452" s="5">
        <v>101000</v>
      </c>
      <c r="V2452" s="5"/>
      <c r="W2452" s="5" t="s">
        <v>36</v>
      </c>
      <c r="X2452" s="5" t="s">
        <v>43</v>
      </c>
      <c r="AA2452" s="5" t="s">
        <v>44</v>
      </c>
      <c r="AC2452" s="8" t="str">
        <f>HYPERLINK("https://drive.google.com/file/d/1ApjspE41XM0UfKFT3QMwAaar0pScZXuF/view?usp=drivesdk", "Abrir_Factura")</f>
        <v>Abrir_Factura</v>
      </c>
      <c r="AD2452" s="9">
        <v>46072.664710648147</v>
      </c>
    </row>
    <row r="2453" spans="1:30" ht="12.5">
      <c r="A2453" s="4">
        <v>46072.669755092589</v>
      </c>
      <c r="B2453" s="5">
        <v>92191</v>
      </c>
      <c r="C2453" s="5">
        <v>900521807</v>
      </c>
      <c r="D2453" s="5" t="s">
        <v>1231</v>
      </c>
      <c r="F2453" s="5" t="s">
        <v>2159</v>
      </c>
      <c r="H2453" s="5">
        <v>573007682024</v>
      </c>
      <c r="J2453" s="5" t="s">
        <v>5734</v>
      </c>
      <c r="K2453" s="5" t="s">
        <v>33</v>
      </c>
      <c r="L2453" s="5" t="s">
        <v>34</v>
      </c>
      <c r="M2453" s="5">
        <v>3007682024</v>
      </c>
      <c r="N2453" s="6">
        <v>46072</v>
      </c>
      <c r="O2453" s="7">
        <v>0.33333333333333331</v>
      </c>
      <c r="P2453" s="5">
        <v>1</v>
      </c>
      <c r="Q2453" s="5" t="s">
        <v>42</v>
      </c>
      <c r="R2453" s="5">
        <v>0</v>
      </c>
      <c r="S2453" s="5">
        <v>0</v>
      </c>
      <c r="T2453" s="5">
        <v>0</v>
      </c>
      <c r="U2453" s="5">
        <v>0</v>
      </c>
      <c r="V2453" s="5"/>
      <c r="W2453" s="5" t="s">
        <v>36</v>
      </c>
      <c r="X2453" s="5" t="s">
        <v>43</v>
      </c>
      <c r="AA2453" s="5" t="s">
        <v>44</v>
      </c>
      <c r="AB2453" s="5" t="s">
        <v>10953</v>
      </c>
      <c r="AC2453" s="8" t="str">
        <f>HYPERLINK("https://drive.google.com/file/d/1PXxDUvCn__iaNMMYtli7V8b426Uc5K34/view?usp=drivesdk", "Abrir_Factura")</f>
        <v>Abrir_Factura</v>
      </c>
      <c r="AD2453" s="9">
        <v>46072.675150462965</v>
      </c>
    </row>
    <row r="2454" spans="1:30" ht="12.5">
      <c r="A2454" s="4">
        <v>46072.67212127315</v>
      </c>
      <c r="B2454" s="5">
        <v>92192</v>
      </c>
      <c r="C2454" s="5">
        <v>1234097633</v>
      </c>
      <c r="D2454" s="5" t="s">
        <v>10954</v>
      </c>
      <c r="F2454" s="5" t="s">
        <v>10955</v>
      </c>
      <c r="H2454" s="5">
        <v>573182696179</v>
      </c>
      <c r="J2454" s="5" t="s">
        <v>10956</v>
      </c>
      <c r="K2454" s="5" t="s">
        <v>33</v>
      </c>
      <c r="L2454" s="5" t="s">
        <v>34</v>
      </c>
      <c r="M2454" s="5">
        <v>3182696179</v>
      </c>
      <c r="N2454" s="6">
        <v>46072</v>
      </c>
      <c r="O2454" s="7">
        <v>0</v>
      </c>
      <c r="P2454" s="5">
        <v>1</v>
      </c>
      <c r="Q2454" s="5" t="s">
        <v>309</v>
      </c>
      <c r="R2454" s="5">
        <v>88000</v>
      </c>
      <c r="S2454" s="5">
        <v>0</v>
      </c>
      <c r="T2454" s="5">
        <v>0</v>
      </c>
      <c r="U2454" s="5">
        <v>88000</v>
      </c>
      <c r="V2454" s="5"/>
      <c r="W2454" s="5" t="s">
        <v>36</v>
      </c>
      <c r="X2454" s="5" t="s">
        <v>43</v>
      </c>
      <c r="AA2454" s="5" t="s">
        <v>44</v>
      </c>
      <c r="AB2454" s="5" t="s">
        <v>10957</v>
      </c>
      <c r="AC2454" s="8" t="str">
        <f>HYPERLINK("https://drive.google.com/file/d/1nYt2vmiRmiboFIIRrRnIn-7iq1mWMk0A/view?usp=drivesdk", "Abrir_Factura")</f>
        <v>Abrir_Factura</v>
      </c>
      <c r="AD2454" s="9">
        <v>46072.675451388888</v>
      </c>
    </row>
    <row r="2455" spans="1:30" ht="12.5">
      <c r="A2455" s="4">
        <v>46072.674175057866</v>
      </c>
      <c r="B2455" s="5">
        <v>92193</v>
      </c>
      <c r="C2455" s="5">
        <v>1140830571</v>
      </c>
      <c r="D2455" s="5" t="s">
        <v>10730</v>
      </c>
      <c r="F2455" s="5" t="s">
        <v>10958</v>
      </c>
      <c r="H2455" s="5">
        <v>573162243517</v>
      </c>
      <c r="J2455" s="5" t="s">
        <v>10959</v>
      </c>
      <c r="K2455" s="5" t="s">
        <v>33</v>
      </c>
      <c r="L2455" s="5" t="s">
        <v>34</v>
      </c>
      <c r="M2455" s="5">
        <v>3162243517</v>
      </c>
      <c r="N2455" s="6">
        <v>46072</v>
      </c>
      <c r="O2455" s="7">
        <v>0</v>
      </c>
      <c r="P2455" s="5">
        <v>1</v>
      </c>
      <c r="Q2455" s="5" t="s">
        <v>1085</v>
      </c>
      <c r="R2455" s="5">
        <v>130000</v>
      </c>
      <c r="S2455" s="5">
        <v>0</v>
      </c>
      <c r="T2455" s="5">
        <v>0</v>
      </c>
      <c r="U2455" s="5">
        <v>130000</v>
      </c>
      <c r="V2455" s="5"/>
      <c r="W2455" s="5" t="s">
        <v>36</v>
      </c>
      <c r="X2455" s="5" t="s">
        <v>43</v>
      </c>
      <c r="AA2455" s="5" t="s">
        <v>44</v>
      </c>
      <c r="AB2455" s="5" t="s">
        <v>10960</v>
      </c>
      <c r="AC2455" s="8" t="str">
        <f>HYPERLINK("https://drive.google.com/file/d/1wpSfc1tXarIqVvcT2eaYuB57UgbQy0qX/view?usp=drivesdk", "Abrir_Factura")</f>
        <v>Abrir_Factura</v>
      </c>
      <c r="AD2455" s="9">
        <v>46072.675717592596</v>
      </c>
    </row>
    <row r="2456" spans="1:30" ht="12.5">
      <c r="A2456" s="4">
        <v>46072.687536759258</v>
      </c>
      <c r="B2456" s="5">
        <v>92194</v>
      </c>
      <c r="C2456" s="5">
        <v>72178067</v>
      </c>
      <c r="D2456" s="5" t="s">
        <v>1513</v>
      </c>
      <c r="F2456" s="5" t="s">
        <v>1295</v>
      </c>
      <c r="H2456" s="5">
        <v>573003182878</v>
      </c>
      <c r="J2456" s="5" t="s">
        <v>10961</v>
      </c>
      <c r="K2456" s="5"/>
      <c r="L2456" s="5" t="s">
        <v>10962</v>
      </c>
      <c r="M2456" s="5">
        <v>3003182878</v>
      </c>
      <c r="N2456" s="6">
        <v>46072</v>
      </c>
      <c r="O2456" s="7">
        <v>0</v>
      </c>
      <c r="P2456" s="5">
        <v>1</v>
      </c>
      <c r="Q2456" s="5" t="s">
        <v>10963</v>
      </c>
      <c r="R2456" s="5">
        <v>66000</v>
      </c>
      <c r="S2456" s="5">
        <v>0</v>
      </c>
      <c r="T2456" s="5"/>
      <c r="U2456" s="5">
        <v>66000</v>
      </c>
      <c r="V2456" s="5"/>
      <c r="W2456" s="5" t="s">
        <v>36</v>
      </c>
      <c r="X2456" s="5" t="s">
        <v>67</v>
      </c>
      <c r="AA2456" s="5" t="s">
        <v>44</v>
      </c>
      <c r="AC2456" s="8" t="str">
        <f>HYPERLINK("https://drive.google.com/file/d/1KwWPlDvl6qtAJGJNiFiiztt1r5v8mrkG/view?usp=drivesdk", "Abrir_Factura")</f>
        <v>Abrir_Factura</v>
      </c>
      <c r="AD2456" s="9">
        <v>46072.688402777778</v>
      </c>
    </row>
    <row r="2457" spans="1:30" ht="12.5">
      <c r="A2457" s="4">
        <v>46072.702365543984</v>
      </c>
      <c r="B2457" s="5">
        <v>92195</v>
      </c>
      <c r="C2457" s="5">
        <v>1066175954</v>
      </c>
      <c r="D2457" s="5" t="s">
        <v>10964</v>
      </c>
      <c r="F2457" s="5" t="s">
        <v>10965</v>
      </c>
      <c r="H2457" s="5">
        <v>573114889976</v>
      </c>
      <c r="J2457" s="5" t="s">
        <v>10966</v>
      </c>
      <c r="K2457" s="5" t="s">
        <v>33</v>
      </c>
      <c r="L2457" s="5" t="s">
        <v>34</v>
      </c>
      <c r="M2457" s="5">
        <v>3114889976</v>
      </c>
      <c r="N2457" s="6">
        <v>46072</v>
      </c>
      <c r="O2457" s="7">
        <v>0</v>
      </c>
      <c r="P2457" s="5">
        <v>1</v>
      </c>
      <c r="Q2457" s="5" t="s">
        <v>294</v>
      </c>
      <c r="R2457" s="5">
        <v>180000</v>
      </c>
      <c r="S2457" s="5">
        <v>0</v>
      </c>
      <c r="T2457" s="5">
        <v>0</v>
      </c>
      <c r="U2457" s="5">
        <v>180000</v>
      </c>
      <c r="V2457" s="5" t="s">
        <v>10967</v>
      </c>
      <c r="W2457" s="5" t="s">
        <v>36</v>
      </c>
      <c r="X2457" s="5" t="s">
        <v>2438</v>
      </c>
      <c r="Z2457" s="5" t="s">
        <v>8510</v>
      </c>
      <c r="AA2457" s="5" t="s">
        <v>44</v>
      </c>
      <c r="AB2457" s="5" t="s">
        <v>5994</v>
      </c>
      <c r="AC2457" s="8" t="str">
        <f>HYPERLINK("https://drive.google.com/file/d/1HuvV3Vd4eTzmnLZjgXXD_74yKTIJd-NF/view?usp=drivesdk", "Abrir_Factura")</f>
        <v>Abrir_Factura</v>
      </c>
      <c r="AD2457" s="9">
        <v>46072.705949074072</v>
      </c>
    </row>
    <row r="2458" spans="1:30" ht="12.5">
      <c r="A2458" s="4">
        <v>46072.710678958334</v>
      </c>
      <c r="B2458" s="5">
        <v>92196</v>
      </c>
      <c r="C2458" s="5">
        <v>9010746718</v>
      </c>
      <c r="D2458" s="5" t="s">
        <v>10968</v>
      </c>
      <c r="F2458" s="5" t="s">
        <v>3001</v>
      </c>
      <c r="H2458" s="5">
        <v>573113043191</v>
      </c>
      <c r="J2458" s="5" t="s">
        <v>6387</v>
      </c>
      <c r="K2458" s="5" t="s">
        <v>154</v>
      </c>
      <c r="L2458" s="5" t="s">
        <v>10969</v>
      </c>
      <c r="M2458" s="5">
        <v>3113043191</v>
      </c>
      <c r="N2458" s="6">
        <v>46072</v>
      </c>
      <c r="O2458" s="7">
        <v>0</v>
      </c>
      <c r="P2458" s="5">
        <v>1</v>
      </c>
      <c r="Q2458" s="5" t="s">
        <v>42</v>
      </c>
      <c r="R2458" s="5">
        <v>39000</v>
      </c>
      <c r="S2458" s="5">
        <v>0</v>
      </c>
      <c r="T2458" s="5">
        <v>8000</v>
      </c>
      <c r="U2458" s="5">
        <v>47000</v>
      </c>
      <c r="V2458" s="5"/>
      <c r="W2458" s="5" t="s">
        <v>36</v>
      </c>
      <c r="X2458" s="5" t="s">
        <v>67</v>
      </c>
      <c r="AA2458" s="5" t="s">
        <v>44</v>
      </c>
      <c r="AC2458" s="8" t="str">
        <f>HYPERLINK("https://drive.google.com/file/d/1ugPjoT5V5lUtX5PJu9XYFTvjijuVcaRX/view?usp=drivesdk", "Abrir_Factura")</f>
        <v>Abrir_Factura</v>
      </c>
      <c r="AD2458" s="9">
        <v>46072.712627314817</v>
      </c>
    </row>
    <row r="2459" spans="1:30" ht="12.5">
      <c r="A2459" s="4">
        <v>46072.719886851854</v>
      </c>
      <c r="B2459" s="5">
        <v>92197</v>
      </c>
      <c r="C2459" s="5">
        <v>1002163690</v>
      </c>
      <c r="D2459" s="5" t="s">
        <v>1449</v>
      </c>
      <c r="F2459" s="5" t="s">
        <v>4870</v>
      </c>
      <c r="H2459" s="5">
        <v>573012946957</v>
      </c>
      <c r="J2459" s="5" t="s">
        <v>883</v>
      </c>
      <c r="K2459" s="5" t="s">
        <v>7476</v>
      </c>
      <c r="L2459" s="5" t="s">
        <v>10970</v>
      </c>
      <c r="M2459" s="5" t="s">
        <v>10971</v>
      </c>
      <c r="N2459" s="6">
        <v>46072</v>
      </c>
      <c r="O2459" s="7">
        <v>0</v>
      </c>
      <c r="P2459" s="5">
        <v>1</v>
      </c>
      <c r="Q2459" s="5" t="s">
        <v>178</v>
      </c>
      <c r="R2459" s="5">
        <v>110000</v>
      </c>
      <c r="S2459" s="5">
        <v>0</v>
      </c>
      <c r="T2459" s="5">
        <v>15000</v>
      </c>
      <c r="U2459" s="5">
        <v>125000</v>
      </c>
      <c r="V2459" s="5" t="s">
        <v>10972</v>
      </c>
      <c r="W2459" s="5" t="s">
        <v>36</v>
      </c>
      <c r="X2459" s="5" t="s">
        <v>1481</v>
      </c>
      <c r="Z2459" s="5" t="s">
        <v>10973</v>
      </c>
      <c r="AA2459" s="5" t="s">
        <v>44</v>
      </c>
      <c r="AB2459" s="5" t="s">
        <v>10974</v>
      </c>
      <c r="AC2459" s="8" t="str">
        <f>HYPERLINK("https://drive.google.com/file/d/1RqEUj--gRLYIBj2SEAqYnBKG9R3HGFuB/view?usp=drivesdk", "Abrir_Factura")</f>
        <v>Abrir_Factura</v>
      </c>
      <c r="AD2459" s="9">
        <v>46072.728101851855</v>
      </c>
    </row>
    <row r="2460" spans="1:30" ht="12.5">
      <c r="A2460" s="4">
        <v>46072.738187407405</v>
      </c>
      <c r="B2460" s="5">
        <v>92198</v>
      </c>
      <c r="C2460" s="5">
        <v>0</v>
      </c>
      <c r="D2460" s="5" t="s">
        <v>3720</v>
      </c>
      <c r="F2460" s="5" t="s">
        <v>5216</v>
      </c>
      <c r="H2460" s="5">
        <v>5700000</v>
      </c>
      <c r="J2460" s="5" t="s">
        <v>10975</v>
      </c>
      <c r="K2460" s="5" t="s">
        <v>33</v>
      </c>
      <c r="L2460" s="5" t="s">
        <v>34</v>
      </c>
      <c r="M2460" s="5">
        <v>0</v>
      </c>
      <c r="N2460" s="6">
        <v>46072</v>
      </c>
      <c r="O2460" s="7">
        <v>0</v>
      </c>
      <c r="P2460" s="5">
        <v>1</v>
      </c>
      <c r="Q2460" s="5" t="s">
        <v>42</v>
      </c>
      <c r="R2460" s="5">
        <v>35000</v>
      </c>
      <c r="S2460" s="5">
        <v>0</v>
      </c>
      <c r="T2460" s="5">
        <v>0</v>
      </c>
      <c r="U2460" s="5">
        <v>35000</v>
      </c>
      <c r="V2460" s="5"/>
      <c r="W2460" s="5" t="s">
        <v>36</v>
      </c>
      <c r="X2460" s="5" t="s">
        <v>196</v>
      </c>
      <c r="AA2460" s="5" t="s">
        <v>1717</v>
      </c>
      <c r="AB2460" s="5" t="s">
        <v>525</v>
      </c>
      <c r="AC2460" s="8" t="str">
        <f>HYPERLINK("https://drive.google.com/file/d/1rBFuM7er5EMh-MmGcshE4sCCRNjqvlHq/view?usp=drivesdk", "Abrir_Factura")</f>
        <v>Abrir_Factura</v>
      </c>
      <c r="AD2460" s="9">
        <v>46072.75608796296</v>
      </c>
    </row>
    <row r="2461" spans="1:30" ht="12.5">
      <c r="A2461" s="4">
        <v>46072.755660960647</v>
      </c>
      <c r="B2461" s="5">
        <v>92202</v>
      </c>
      <c r="C2461" s="5">
        <v>770636</v>
      </c>
      <c r="D2461" s="5" t="s">
        <v>46</v>
      </c>
      <c r="F2461" s="5" t="s">
        <v>1566</v>
      </c>
      <c r="H2461" s="5">
        <v>573150463328</v>
      </c>
      <c r="J2461" s="5" t="s">
        <v>10976</v>
      </c>
      <c r="K2461" s="5" t="s">
        <v>6194</v>
      </c>
      <c r="L2461" s="5" t="s">
        <v>10977</v>
      </c>
      <c r="M2461" s="5">
        <v>3150463328</v>
      </c>
      <c r="N2461" s="6">
        <v>46076</v>
      </c>
      <c r="O2461" s="7">
        <v>0.41666666666666669</v>
      </c>
      <c r="P2461" s="5">
        <v>1</v>
      </c>
      <c r="Q2461" s="5" t="s">
        <v>210</v>
      </c>
      <c r="R2461" s="5">
        <v>170000</v>
      </c>
      <c r="S2461" s="5">
        <v>0</v>
      </c>
      <c r="T2461" s="5">
        <v>18000</v>
      </c>
      <c r="U2461" s="5">
        <v>188000</v>
      </c>
      <c r="V2461" s="5" t="s">
        <v>10978</v>
      </c>
      <c r="W2461" s="5" t="s">
        <v>36</v>
      </c>
      <c r="X2461" s="5" t="s">
        <v>180</v>
      </c>
      <c r="Z2461" s="5" t="s">
        <v>10979</v>
      </c>
      <c r="AA2461" s="5" t="s">
        <v>44</v>
      </c>
      <c r="AC2461" s="8" t="str">
        <f>HYPERLINK("https://drive.google.com/file/d/13YGtrnjvLapD_zlZZ8G6Y-va6C3vpO3W/view?usp=drivesdk", "Abrir_Factura")</f>
        <v>Abrir_Factura</v>
      </c>
      <c r="AD2461" s="9">
        <v>46073.289606481485</v>
      </c>
    </row>
    <row r="2462" spans="1:30" ht="12.5">
      <c r="A2462" s="4">
        <v>46072.75756690972</v>
      </c>
      <c r="B2462" s="5">
        <v>92203</v>
      </c>
      <c r="C2462" s="5">
        <v>1234096234</v>
      </c>
      <c r="D2462" s="5" t="s">
        <v>10980</v>
      </c>
      <c r="F2462" s="5" t="s">
        <v>10981</v>
      </c>
      <c r="H2462" s="5">
        <v>573225861836</v>
      </c>
      <c r="J2462" s="5" t="s">
        <v>10982</v>
      </c>
      <c r="K2462" s="5" t="s">
        <v>328</v>
      </c>
      <c r="L2462" s="5" t="s">
        <v>10983</v>
      </c>
      <c r="M2462" s="5">
        <v>3016092914</v>
      </c>
      <c r="N2462" s="6">
        <v>46073</v>
      </c>
      <c r="O2462" s="7">
        <v>0.375</v>
      </c>
      <c r="P2462" s="5">
        <v>1</v>
      </c>
      <c r="Q2462" s="5" t="s">
        <v>309</v>
      </c>
      <c r="R2462" s="5">
        <v>88000</v>
      </c>
      <c r="S2462" s="5">
        <v>0</v>
      </c>
      <c r="T2462" s="5">
        <v>12000</v>
      </c>
      <c r="U2462" s="5">
        <v>100000</v>
      </c>
      <c r="V2462" s="5" t="s">
        <v>10984</v>
      </c>
      <c r="W2462" s="5" t="s">
        <v>36</v>
      </c>
      <c r="X2462" s="5" t="s">
        <v>1481</v>
      </c>
      <c r="Z2462" s="5" t="s">
        <v>10985</v>
      </c>
      <c r="AA2462" s="5" t="s">
        <v>44</v>
      </c>
      <c r="AC2462" s="8" t="str">
        <f>HYPERLINK("https://drive.google.com/file/d/1y_s6VpgJD41Q9jimp8QuuuqqB5FO69gG/view?usp=drivesdk", "Abrir_Factura")</f>
        <v>Abrir_Factura</v>
      </c>
      <c r="AD2462" s="9">
        <v>46073.293865740743</v>
      </c>
    </row>
    <row r="2463" spans="1:30" ht="12.5">
      <c r="A2463" s="4">
        <v>46072.759233958335</v>
      </c>
      <c r="B2463" s="5">
        <v>92201</v>
      </c>
      <c r="C2463" s="5">
        <v>1019017737</v>
      </c>
      <c r="D2463" s="5" t="s">
        <v>1097</v>
      </c>
      <c r="F2463" s="5" t="s">
        <v>7325</v>
      </c>
      <c r="H2463" s="5">
        <v>573185344593</v>
      </c>
      <c r="J2463" s="5" t="s">
        <v>10986</v>
      </c>
      <c r="K2463" s="5" t="s">
        <v>328</v>
      </c>
      <c r="L2463" s="5" t="s">
        <v>10987</v>
      </c>
      <c r="M2463" s="5">
        <v>3185698180</v>
      </c>
      <c r="N2463" s="6">
        <v>46072</v>
      </c>
      <c r="O2463" s="7">
        <v>0.35416666666666669</v>
      </c>
      <c r="P2463" s="5">
        <v>1</v>
      </c>
      <c r="Q2463" s="5" t="s">
        <v>10988</v>
      </c>
      <c r="R2463" s="5">
        <v>370000</v>
      </c>
      <c r="S2463" s="5">
        <v>0</v>
      </c>
      <c r="T2463" s="5">
        <v>12000</v>
      </c>
      <c r="U2463" s="5">
        <v>382000</v>
      </c>
      <c r="V2463" s="5" t="s">
        <v>10989</v>
      </c>
      <c r="W2463" s="5" t="s">
        <v>36</v>
      </c>
      <c r="X2463" s="5" t="s">
        <v>180</v>
      </c>
      <c r="AA2463" s="5" t="s">
        <v>44</v>
      </c>
      <c r="AB2463" s="5" t="s">
        <v>10990</v>
      </c>
      <c r="AC2463" s="8" t="str">
        <f>HYPERLINK("https://drive.google.com/file/d/1ClfV3OOLVRHdXIGxVgDQvJGeGCJ1ijtg/view?usp=drivesdk", "Abrir_Factura")</f>
        <v>Abrir_Factura</v>
      </c>
      <c r="AD2463" s="9">
        <v>46073.284722222219</v>
      </c>
    </row>
    <row r="2464" spans="1:30" ht="12.5">
      <c r="A2464" s="4">
        <v>46072.765431805557</v>
      </c>
      <c r="B2464" s="5">
        <v>92199</v>
      </c>
      <c r="C2464" s="5">
        <v>8901152942</v>
      </c>
      <c r="D2464" s="5" t="s">
        <v>10991</v>
      </c>
      <c r="F2464" s="5" t="s">
        <v>3001</v>
      </c>
      <c r="H2464" s="5">
        <v>573145860469</v>
      </c>
      <c r="J2464" s="5" t="s">
        <v>10992</v>
      </c>
      <c r="K2464" s="5" t="s">
        <v>124</v>
      </c>
      <c r="L2464" s="5" t="s">
        <v>10993</v>
      </c>
      <c r="M2464" s="5"/>
      <c r="N2464" s="6">
        <v>46072</v>
      </c>
      <c r="O2464" s="7">
        <v>0.83333333333333337</v>
      </c>
      <c r="P2464" s="5">
        <v>1</v>
      </c>
      <c r="Q2464" s="5" t="s">
        <v>42</v>
      </c>
      <c r="R2464" s="5">
        <v>238000</v>
      </c>
      <c r="S2464" s="5">
        <v>0</v>
      </c>
      <c r="T2464" s="5">
        <v>12000</v>
      </c>
      <c r="U2464" s="5">
        <v>250000</v>
      </c>
      <c r="V2464" s="5" t="s">
        <v>10994</v>
      </c>
      <c r="W2464" s="5" t="s">
        <v>36</v>
      </c>
      <c r="X2464" s="5" t="s">
        <v>43</v>
      </c>
      <c r="AA2464" s="5" t="s">
        <v>44</v>
      </c>
      <c r="AB2464" s="5" t="s">
        <v>10995</v>
      </c>
      <c r="AC2464" s="8" t="str">
        <f>HYPERLINK("https://drive.google.com/file/d/1lAfpzRaDhwOgvKAIvnaLBAbPNmkBo5_W/view?usp=drivesdk", "Abrir_Factura")</f>
        <v>Abrir_Factura</v>
      </c>
      <c r="AD2464" s="9">
        <v>46072.767569444448</v>
      </c>
    </row>
    <row r="2465" spans="1:30" ht="12.5">
      <c r="A2465" s="4">
        <v>46072.768084710653</v>
      </c>
      <c r="B2465" s="5">
        <v>92200</v>
      </c>
      <c r="C2465" s="5">
        <v>1234092321</v>
      </c>
      <c r="D2465" s="5" t="s">
        <v>7440</v>
      </c>
      <c r="F2465" s="5" t="s">
        <v>3209</v>
      </c>
      <c r="H2465" s="5">
        <v>573024694357</v>
      </c>
      <c r="J2465" s="5" t="s">
        <v>7441</v>
      </c>
      <c r="K2465" s="5" t="s">
        <v>33</v>
      </c>
      <c r="L2465" s="5" t="s">
        <v>34</v>
      </c>
      <c r="M2465" s="5">
        <v>3024694357</v>
      </c>
      <c r="N2465" s="6">
        <v>46072</v>
      </c>
      <c r="O2465" s="7">
        <v>0</v>
      </c>
      <c r="P2465" s="5">
        <v>1</v>
      </c>
      <c r="Q2465" s="5" t="s">
        <v>42</v>
      </c>
      <c r="R2465" s="5">
        <v>28000</v>
      </c>
      <c r="S2465" s="5">
        <v>0</v>
      </c>
      <c r="T2465" s="5">
        <v>0</v>
      </c>
      <c r="U2465" s="5">
        <v>28000</v>
      </c>
      <c r="V2465" s="5"/>
      <c r="W2465" s="5" t="s">
        <v>36</v>
      </c>
      <c r="X2465" s="5" t="s">
        <v>1481</v>
      </c>
      <c r="AA2465" s="5" t="s">
        <v>44</v>
      </c>
      <c r="AB2465" s="5" t="s">
        <v>525</v>
      </c>
      <c r="AC2465" s="8" t="str">
        <f>HYPERLINK("https://drive.google.com/file/d/1nVTdZBHF5ICBUQyahnjFpRqlA0UFN13T/view?usp=drivesdk", "Abrir_Factura")</f>
        <v>Abrir_Factura</v>
      </c>
      <c r="AD2465" s="9">
        <v>46072.769907407404</v>
      </c>
    </row>
    <row r="2466" spans="1:30" ht="12.5">
      <c r="A2466" s="4">
        <v>46073.377873958336</v>
      </c>
      <c r="B2466" s="5">
        <v>92204</v>
      </c>
      <c r="C2466" s="5">
        <v>1048212106</v>
      </c>
      <c r="D2466" s="5" t="s">
        <v>10996</v>
      </c>
      <c r="F2466" s="5" t="s">
        <v>10997</v>
      </c>
      <c r="H2466" s="5">
        <v>573004780247</v>
      </c>
      <c r="J2466" s="5" t="s">
        <v>10998</v>
      </c>
      <c r="K2466" s="5" t="s">
        <v>886</v>
      </c>
      <c r="L2466" s="5" t="s">
        <v>10999</v>
      </c>
      <c r="M2466" s="5">
        <v>3168399827</v>
      </c>
      <c r="N2466" s="6">
        <v>46073</v>
      </c>
      <c r="O2466" s="7">
        <v>0.41666666666666669</v>
      </c>
      <c r="P2466" s="5">
        <v>1</v>
      </c>
      <c r="Q2466" s="5" t="s">
        <v>707</v>
      </c>
      <c r="R2466" s="5">
        <v>360000</v>
      </c>
      <c r="S2466" s="5">
        <v>0</v>
      </c>
      <c r="T2466" s="5">
        <v>12000</v>
      </c>
      <c r="U2466" s="5">
        <v>372000</v>
      </c>
      <c r="V2466" s="5" t="s">
        <v>11000</v>
      </c>
      <c r="W2466" s="5" t="s">
        <v>36</v>
      </c>
      <c r="X2466" s="5" t="s">
        <v>1481</v>
      </c>
      <c r="AA2466" s="5" t="s">
        <v>69</v>
      </c>
      <c r="AC2466" s="8" t="str">
        <f>HYPERLINK("https://drive.google.com/file/d/1Js-zGW988t3GKLHvNCzAG3coETBiLsJm/view?usp=drivesdk", "Abrir_Factura")</f>
        <v>Abrir_Factura</v>
      </c>
      <c r="AD2466" s="9">
        <v>46073.378506944442</v>
      </c>
    </row>
    <row r="2467" spans="1:30" ht="12.5">
      <c r="A2467" s="4">
        <v>46073.382259456019</v>
      </c>
      <c r="B2467" s="5">
        <v>92206</v>
      </c>
      <c r="C2467" s="5">
        <v>1143140096</v>
      </c>
      <c r="D2467" s="5" t="s">
        <v>2228</v>
      </c>
      <c r="F2467" s="5" t="s">
        <v>5376</v>
      </c>
      <c r="H2467" s="5">
        <v>573025953182</v>
      </c>
      <c r="J2467" s="5" t="s">
        <v>11001</v>
      </c>
      <c r="K2467" s="5" t="s">
        <v>124</v>
      </c>
      <c r="L2467" s="5" t="s">
        <v>11002</v>
      </c>
      <c r="M2467" s="5" t="s">
        <v>11003</v>
      </c>
      <c r="N2467" s="6">
        <v>46073</v>
      </c>
      <c r="O2467" s="7">
        <v>0.41666666666666669</v>
      </c>
      <c r="P2467" s="5">
        <v>1</v>
      </c>
      <c r="Q2467" s="5" t="s">
        <v>309</v>
      </c>
      <c r="R2467" s="5">
        <v>88000</v>
      </c>
      <c r="S2467" s="5">
        <v>0</v>
      </c>
      <c r="T2467" s="5">
        <v>12000</v>
      </c>
      <c r="U2467" s="5">
        <v>100000</v>
      </c>
      <c r="V2467" s="5"/>
      <c r="W2467" s="5" t="s">
        <v>36</v>
      </c>
      <c r="X2467" s="5" t="s">
        <v>1481</v>
      </c>
      <c r="AA2467" s="5" t="s">
        <v>69</v>
      </c>
      <c r="AC2467" s="8" t="str">
        <f>HYPERLINK("https://drive.google.com/file/d/1JL5_GTzelDyBoZXPQhCnRID8R_DBFoXW/view?usp=drivesdk", "Abrir_Factura")</f>
        <v>Abrir_Factura</v>
      </c>
      <c r="AD2467" s="9">
        <v>46073.388831018521</v>
      </c>
    </row>
    <row r="2468" spans="1:30" ht="12.5">
      <c r="A2468" s="4">
        <v>46073.383449016204</v>
      </c>
      <c r="B2468" s="5">
        <v>92205</v>
      </c>
      <c r="C2468" s="5">
        <v>0</v>
      </c>
      <c r="D2468" s="5" t="s">
        <v>2799</v>
      </c>
      <c r="F2468" s="5" t="s">
        <v>10614</v>
      </c>
      <c r="H2468" s="5">
        <v>5700000</v>
      </c>
      <c r="J2468" s="5" t="s">
        <v>11004</v>
      </c>
      <c r="K2468" s="5" t="s">
        <v>33</v>
      </c>
      <c r="L2468" s="5" t="s">
        <v>34</v>
      </c>
      <c r="M2468" s="5">
        <v>0</v>
      </c>
      <c r="N2468" s="6">
        <v>46073</v>
      </c>
      <c r="O2468" s="7">
        <v>0</v>
      </c>
      <c r="P2468" s="5">
        <v>1</v>
      </c>
      <c r="Q2468" s="5" t="s">
        <v>42</v>
      </c>
      <c r="R2468" s="5">
        <v>8000</v>
      </c>
      <c r="S2468" s="5">
        <v>0</v>
      </c>
      <c r="T2468" s="5">
        <v>0</v>
      </c>
      <c r="U2468" s="5">
        <v>8000</v>
      </c>
      <c r="V2468" s="5"/>
      <c r="W2468" s="5" t="s">
        <v>36</v>
      </c>
      <c r="X2468" s="5" t="s">
        <v>196</v>
      </c>
      <c r="AA2468" s="5" t="s">
        <v>1717</v>
      </c>
      <c r="AC2468" s="8" t="str">
        <f>HYPERLINK("https://drive.google.com/file/d/18Pho6pZf4Xgc-eHC5A-Nxdaqd974osnc/view?usp=drivesdk", "Abrir_Factura")</f>
        <v>Abrir_Factura</v>
      </c>
      <c r="AD2468" s="9">
        <v>46073.384166666663</v>
      </c>
    </row>
    <row r="2469" spans="1:30" ht="12.5">
      <c r="A2469" s="4">
        <v>46073.396159467593</v>
      </c>
      <c r="B2469" s="5">
        <v>92214</v>
      </c>
      <c r="C2469" s="5">
        <v>1140884862</v>
      </c>
      <c r="D2469" s="5" t="s">
        <v>11005</v>
      </c>
      <c r="F2469" s="5" t="s">
        <v>1919</v>
      </c>
      <c r="H2469" s="5">
        <v>57573135539028</v>
      </c>
      <c r="J2469" s="5" t="s">
        <v>11006</v>
      </c>
      <c r="K2469" s="5" t="s">
        <v>33</v>
      </c>
      <c r="L2469" s="5" t="s">
        <v>34</v>
      </c>
      <c r="M2469" s="5"/>
      <c r="N2469" s="6">
        <v>46073</v>
      </c>
      <c r="O2469" s="7">
        <v>0</v>
      </c>
      <c r="P2469" s="5">
        <v>1</v>
      </c>
      <c r="Q2469" s="5" t="s">
        <v>210</v>
      </c>
      <c r="R2469" s="5">
        <v>170000</v>
      </c>
      <c r="S2469" s="5">
        <v>0</v>
      </c>
      <c r="T2469" s="5">
        <v>0</v>
      </c>
      <c r="U2469" s="5">
        <v>170000</v>
      </c>
      <c r="V2469" s="5" t="s">
        <v>11007</v>
      </c>
      <c r="W2469" s="5" t="s">
        <v>36</v>
      </c>
      <c r="X2469" s="5" t="s">
        <v>1937</v>
      </c>
      <c r="Z2469" s="5" t="s">
        <v>11008</v>
      </c>
      <c r="AA2469" s="5" t="s">
        <v>69</v>
      </c>
      <c r="AC2469" s="8" t="str">
        <f>HYPERLINK("https://drive.google.com/file/d/1_8gigELAB1TJAF35BIyDIIv13ZtYfE_t/view?usp=drivesdk", "Abrir_Factura")</f>
        <v>Abrir_Factura</v>
      </c>
      <c r="AD2469" s="9">
        <v>46073.481874999998</v>
      </c>
    </row>
    <row r="2470" spans="1:30" ht="12.5">
      <c r="A2470" s="4">
        <v>46073.404110034724</v>
      </c>
      <c r="B2470" s="5">
        <v>92207</v>
      </c>
      <c r="C2470" s="5">
        <v>72278833</v>
      </c>
      <c r="D2470" s="5" t="s">
        <v>11009</v>
      </c>
      <c r="F2470" s="5" t="s">
        <v>11010</v>
      </c>
      <c r="H2470" s="5">
        <v>573185149343</v>
      </c>
      <c r="J2470" s="5" t="s">
        <v>11011</v>
      </c>
      <c r="K2470" s="5" t="s">
        <v>161</v>
      </c>
      <c r="L2470" s="5" t="s">
        <v>11012</v>
      </c>
      <c r="M2470" s="5">
        <v>3246826268</v>
      </c>
      <c r="N2470" s="6">
        <v>46073</v>
      </c>
      <c r="O2470" s="7">
        <v>0.41666666666666669</v>
      </c>
      <c r="P2470" s="5">
        <v>1</v>
      </c>
      <c r="Q2470" s="5" t="s">
        <v>210</v>
      </c>
      <c r="R2470" s="5">
        <v>170000</v>
      </c>
      <c r="S2470" s="5">
        <v>0</v>
      </c>
      <c r="T2470" s="5">
        <v>8000</v>
      </c>
      <c r="U2470" s="5">
        <v>178000</v>
      </c>
      <c r="V2470" s="5" t="s">
        <v>11013</v>
      </c>
      <c r="W2470" s="5" t="s">
        <v>36</v>
      </c>
      <c r="X2470" s="5" t="s">
        <v>1481</v>
      </c>
      <c r="AA2470" s="5" t="s">
        <v>44</v>
      </c>
      <c r="AC2470" s="8" t="str">
        <f>HYPERLINK("https://drive.google.com/file/d/1dD_guf_za80pYn5GeB6yYcWbkKncD_II/view?usp=drivesdk", "Abrir_Factura")</f>
        <v>Abrir_Factura</v>
      </c>
      <c r="AD2470" s="9">
        <v>46073.404594907406</v>
      </c>
    </row>
    <row r="2471" spans="1:30" ht="12.5">
      <c r="A2471" s="4">
        <v>46073.407340138889</v>
      </c>
      <c r="B2471" s="5">
        <v>92208</v>
      </c>
      <c r="C2471" s="5">
        <v>1143255219</v>
      </c>
      <c r="D2471" s="5" t="s">
        <v>11014</v>
      </c>
      <c r="F2471" s="5" t="s">
        <v>4281</v>
      </c>
      <c r="H2471" s="5">
        <v>573004768221</v>
      </c>
      <c r="J2471" s="5" t="s">
        <v>11015</v>
      </c>
      <c r="K2471" s="5" t="s">
        <v>1497</v>
      </c>
      <c r="L2471" s="5" t="s">
        <v>11016</v>
      </c>
      <c r="M2471" s="5" t="s">
        <v>11017</v>
      </c>
      <c r="N2471" s="6">
        <v>46073</v>
      </c>
      <c r="O2471" s="7">
        <v>0.41666666666666669</v>
      </c>
      <c r="P2471" s="5">
        <v>1</v>
      </c>
      <c r="Q2471" s="5" t="s">
        <v>330</v>
      </c>
      <c r="R2471" s="5">
        <v>200000</v>
      </c>
      <c r="S2471" s="5">
        <v>0</v>
      </c>
      <c r="T2471" s="5">
        <v>12000</v>
      </c>
      <c r="U2471" s="5">
        <v>212000</v>
      </c>
      <c r="V2471" s="5" t="s">
        <v>11018</v>
      </c>
      <c r="W2471" s="5" t="s">
        <v>36</v>
      </c>
      <c r="X2471" s="5" t="s">
        <v>1481</v>
      </c>
      <c r="AA2471" s="5" t="s">
        <v>69</v>
      </c>
      <c r="AC2471" s="8" t="str">
        <f>HYPERLINK("https://drive.google.com/file/d/1RB7PtJwsXxT-SB7auW2ARDpGm2HB8ZIn/view?usp=drivesdk", "Abrir_Factura")</f>
        <v>Abrir_Factura</v>
      </c>
      <c r="AD2471" s="9">
        <v>46073.40824074074</v>
      </c>
    </row>
    <row r="2472" spans="1:30" ht="12.5">
      <c r="A2472" s="4">
        <v>46073.422041562502</v>
      </c>
      <c r="B2472" s="5">
        <v>92209</v>
      </c>
      <c r="C2472" s="5">
        <v>17976927</v>
      </c>
      <c r="D2472" s="5" t="s">
        <v>11019</v>
      </c>
      <c r="F2472" s="5" t="s">
        <v>1966</v>
      </c>
      <c r="H2472" s="5">
        <v>573244282423</v>
      </c>
      <c r="J2472" s="5" t="s">
        <v>11020</v>
      </c>
      <c r="K2472" s="5" t="s">
        <v>448</v>
      </c>
      <c r="L2472" s="5" t="s">
        <v>11021</v>
      </c>
      <c r="M2472" s="5">
        <v>3003750529</v>
      </c>
      <c r="N2472" s="6">
        <v>46074</v>
      </c>
      <c r="O2472" s="7">
        <v>0.39583333333333331</v>
      </c>
      <c r="P2472" s="5">
        <v>1</v>
      </c>
      <c r="Q2472" s="5" t="s">
        <v>11022</v>
      </c>
      <c r="R2472" s="5">
        <v>160000</v>
      </c>
      <c r="S2472" s="5">
        <v>0</v>
      </c>
      <c r="T2472" s="5">
        <v>15000</v>
      </c>
      <c r="U2472" s="5">
        <v>175000</v>
      </c>
      <c r="V2472" s="5" t="s">
        <v>11023</v>
      </c>
      <c r="W2472" s="5" t="s">
        <v>36</v>
      </c>
      <c r="X2472" s="5" t="s">
        <v>180</v>
      </c>
      <c r="AA2472" s="5" t="s">
        <v>69</v>
      </c>
      <c r="AC2472" s="8" t="str">
        <f>HYPERLINK("https://drive.google.com/file/d/1hq9C6KN_vTr8SMYBq6JwQ3w_eDi6nrxI/view?usp=drivesdk", "Abrir_Factura")</f>
        <v>Abrir_Factura</v>
      </c>
      <c r="AD2472" s="9">
        <v>46073.42291666667</v>
      </c>
    </row>
    <row r="2473" spans="1:30" ht="12.5">
      <c r="A2473" s="4">
        <v>46073.422231261575</v>
      </c>
      <c r="B2473" s="5">
        <v>92210</v>
      </c>
      <c r="C2473" s="5">
        <v>1001938780</v>
      </c>
      <c r="D2473" s="5" t="s">
        <v>10250</v>
      </c>
      <c r="F2473" s="5" t="s">
        <v>4292</v>
      </c>
      <c r="H2473" s="5">
        <v>573053441637</v>
      </c>
      <c r="J2473" s="5" t="s">
        <v>11024</v>
      </c>
      <c r="K2473" s="5" t="s">
        <v>33</v>
      </c>
      <c r="L2473" s="5" t="s">
        <v>34</v>
      </c>
      <c r="M2473" s="5">
        <v>3053441637</v>
      </c>
      <c r="N2473" s="6">
        <v>46073</v>
      </c>
      <c r="O2473" s="7">
        <v>0</v>
      </c>
      <c r="P2473" s="5">
        <v>1</v>
      </c>
      <c r="Q2473" s="5" t="s">
        <v>11025</v>
      </c>
      <c r="R2473" s="5">
        <v>200000</v>
      </c>
      <c r="S2473" s="5">
        <v>0</v>
      </c>
      <c r="T2473" s="5">
        <v>0</v>
      </c>
      <c r="U2473" s="5">
        <v>200000</v>
      </c>
      <c r="V2473" s="5" t="s">
        <v>11026</v>
      </c>
      <c r="W2473" s="5" t="s">
        <v>36</v>
      </c>
      <c r="X2473" s="5" t="s">
        <v>1481</v>
      </c>
      <c r="Z2473" s="5" t="s">
        <v>11027</v>
      </c>
      <c r="AA2473" s="5" t="s">
        <v>69</v>
      </c>
      <c r="AB2473" s="5" t="s">
        <v>11028</v>
      </c>
      <c r="AC2473" s="8" t="str">
        <f>HYPERLINK("https://drive.google.com/file/d/1nNMqQ3mjsD_ejwodQ_z9u_iOdp7wAcz6/view?usp=drivesdk", "Abrir_Factura")</f>
        <v>Abrir_Factura</v>
      </c>
      <c r="AD2473" s="9">
        <v>46073.434236111112</v>
      </c>
    </row>
    <row r="2474" spans="1:30" ht="12.5">
      <c r="A2474" s="4">
        <v>46073.435129398145</v>
      </c>
      <c r="B2474" s="5">
        <v>92211</v>
      </c>
      <c r="C2474" s="5">
        <v>1043439675</v>
      </c>
      <c r="D2474" s="5" t="s">
        <v>417</v>
      </c>
      <c r="F2474" s="5" t="s">
        <v>1344</v>
      </c>
      <c r="H2474" s="5">
        <v>573215205372</v>
      </c>
      <c r="J2474" s="5" t="s">
        <v>11029</v>
      </c>
      <c r="K2474" s="5" t="s">
        <v>73</v>
      </c>
      <c r="L2474" s="5" t="s">
        <v>11030</v>
      </c>
      <c r="M2474" s="5">
        <v>3215205372</v>
      </c>
      <c r="N2474" s="6">
        <v>46073</v>
      </c>
      <c r="O2474" s="7">
        <v>0.45833333333333331</v>
      </c>
      <c r="P2474" s="5">
        <v>1</v>
      </c>
      <c r="Q2474" s="5" t="s">
        <v>148</v>
      </c>
      <c r="R2474" s="5">
        <v>220000</v>
      </c>
      <c r="S2474" s="5">
        <v>0</v>
      </c>
      <c r="T2474" s="5">
        <v>8000</v>
      </c>
      <c r="U2474" s="5">
        <v>228000</v>
      </c>
      <c r="V2474" s="5" t="s">
        <v>11031</v>
      </c>
      <c r="W2474" s="5" t="s">
        <v>36</v>
      </c>
      <c r="X2474" s="5" t="s">
        <v>1481</v>
      </c>
      <c r="Z2474" s="5" t="s">
        <v>11032</v>
      </c>
      <c r="AA2474" s="5" t="s">
        <v>44</v>
      </c>
      <c r="AC2474" s="8" t="str">
        <f>HYPERLINK("https://drive.google.com/file/d/1V6v2w1PvD3q8xOw6wVVatc6kmgylHba9/view?usp=drivesdk", "Abrir_Factura")</f>
        <v>Abrir_Factura</v>
      </c>
      <c r="AD2474" s="9">
        <v>46073.448622685188</v>
      </c>
    </row>
    <row r="2475" spans="1:30" ht="12.5">
      <c r="A2475" s="4">
        <v>46073.444858194445</v>
      </c>
      <c r="B2475" s="5">
        <v>92213</v>
      </c>
      <c r="C2475" s="5">
        <v>1045754324</v>
      </c>
      <c r="D2475" s="5" t="s">
        <v>10418</v>
      </c>
      <c r="F2475" s="5" t="s">
        <v>7014</v>
      </c>
      <c r="H2475" s="5">
        <v>573013119871</v>
      </c>
      <c r="J2475" s="5" t="s">
        <v>11033</v>
      </c>
      <c r="K2475" s="5" t="s">
        <v>185</v>
      </c>
      <c r="L2475" s="5" t="s">
        <v>11034</v>
      </c>
      <c r="M2475" s="5" t="s">
        <v>25421</v>
      </c>
      <c r="N2475" s="6">
        <v>46073</v>
      </c>
      <c r="O2475" s="7">
        <v>0</v>
      </c>
      <c r="P2475" s="5">
        <v>1</v>
      </c>
      <c r="Q2475" s="5" t="s">
        <v>2120</v>
      </c>
      <c r="R2475" s="5">
        <v>230000</v>
      </c>
      <c r="S2475" s="5">
        <v>0</v>
      </c>
      <c r="T2475" s="5">
        <v>8000</v>
      </c>
      <c r="U2475" s="5">
        <v>238000</v>
      </c>
      <c r="V2475" s="5" t="s">
        <v>11035</v>
      </c>
      <c r="W2475" s="5" t="s">
        <v>36</v>
      </c>
      <c r="X2475" s="5" t="s">
        <v>1937</v>
      </c>
      <c r="Z2475" s="5" t="s">
        <v>7069</v>
      </c>
      <c r="AA2475" s="5" t="s">
        <v>44</v>
      </c>
      <c r="AC2475" s="8" t="str">
        <f>HYPERLINK("https://drive.google.com/file/d/13ALQMsCMPHrN9iOHa0ixMsI8xvfv-54q/view?usp=drivesdk", "Abrir_Factura")</f>
        <v>Abrir_Factura</v>
      </c>
      <c r="AD2475" s="9">
        <v>46073.480706018519</v>
      </c>
    </row>
    <row r="2476" spans="1:30" ht="12.5">
      <c r="A2476" s="4">
        <v>46073.465878668983</v>
      </c>
      <c r="B2476" s="5">
        <v>92212</v>
      </c>
      <c r="C2476" s="5">
        <v>1096034679</v>
      </c>
      <c r="D2476" s="5" t="s">
        <v>825</v>
      </c>
      <c r="F2476" s="5" t="s">
        <v>4951</v>
      </c>
      <c r="H2476" s="5">
        <v>573125118337</v>
      </c>
      <c r="J2476" s="5" t="s">
        <v>4952</v>
      </c>
      <c r="K2476" s="5" t="s">
        <v>328</v>
      </c>
      <c r="L2476" s="5" t="s">
        <v>4953</v>
      </c>
      <c r="M2476" s="5">
        <v>3226529301</v>
      </c>
      <c r="N2476" s="6">
        <v>46073</v>
      </c>
      <c r="O2476" s="7">
        <v>0</v>
      </c>
      <c r="P2476" s="5">
        <v>1</v>
      </c>
      <c r="Q2476" s="5" t="s">
        <v>542</v>
      </c>
      <c r="R2476" s="5">
        <v>150000</v>
      </c>
      <c r="S2476" s="5">
        <v>0</v>
      </c>
      <c r="T2476" s="5">
        <v>12000</v>
      </c>
      <c r="U2476" s="5">
        <v>162000</v>
      </c>
      <c r="V2476" s="5" t="s">
        <v>11036</v>
      </c>
      <c r="W2476" s="5" t="s">
        <v>36</v>
      </c>
      <c r="X2476" s="5" t="s">
        <v>1481</v>
      </c>
      <c r="Z2476" s="5" t="s">
        <v>1038</v>
      </c>
      <c r="AA2476" s="5" t="s">
        <v>44</v>
      </c>
      <c r="AC2476" s="8" t="str">
        <f>HYPERLINK("https://drive.google.com/file/d/1Ix4op4FmxhjaIcSv-3PbSrZNdPjbCLcl/view?usp=drivesdk", "Abrir_Factura")</f>
        <v>Abrir_Factura</v>
      </c>
      <c r="AD2476" s="9">
        <v>46073.474687499998</v>
      </c>
    </row>
    <row r="2477" spans="1:30" ht="12.5">
      <c r="A2477" s="4">
        <v>46073.483608946757</v>
      </c>
      <c r="B2477" s="5">
        <v>92215</v>
      </c>
      <c r="C2477" s="5">
        <v>642537</v>
      </c>
      <c r="D2477" s="5" t="s">
        <v>11037</v>
      </c>
      <c r="F2477" s="5" t="s">
        <v>6592</v>
      </c>
      <c r="H2477" s="5">
        <v>573008609388</v>
      </c>
      <c r="J2477" s="5" t="s">
        <v>1371</v>
      </c>
      <c r="K2477" s="5" t="s">
        <v>249</v>
      </c>
      <c r="L2477" s="5" t="s">
        <v>11038</v>
      </c>
      <c r="M2477" s="5">
        <v>3016336272</v>
      </c>
      <c r="N2477" s="6">
        <v>46073</v>
      </c>
      <c r="O2477" s="7">
        <v>0</v>
      </c>
      <c r="P2477" s="5">
        <v>1</v>
      </c>
      <c r="Q2477" s="5" t="s">
        <v>42</v>
      </c>
      <c r="R2477" s="5">
        <v>200000</v>
      </c>
      <c r="S2477" s="5">
        <v>0</v>
      </c>
      <c r="T2477" s="5">
        <v>10000</v>
      </c>
      <c r="U2477" s="5">
        <v>210000</v>
      </c>
      <c r="V2477" s="5" t="s">
        <v>11039</v>
      </c>
      <c r="W2477" s="5" t="s">
        <v>36</v>
      </c>
      <c r="X2477" s="5" t="s">
        <v>1481</v>
      </c>
      <c r="Z2477" s="5" t="s">
        <v>11040</v>
      </c>
      <c r="AA2477" s="5" t="s">
        <v>69</v>
      </c>
      <c r="AB2477" s="5" t="s">
        <v>11041</v>
      </c>
      <c r="AC2477" s="8" t="str">
        <f>HYPERLINK("https://drive.google.com/file/d/1smxHIBUI7MBB_A3-rKejEZ-2QiQ1ru6H/view?usp=drivesdk", "Abrir_Factura")</f>
        <v>Abrir_Factura</v>
      </c>
      <c r="AD2477" s="9">
        <v>46073.498993055553</v>
      </c>
    </row>
    <row r="2478" spans="1:30" ht="12.5">
      <c r="A2478" s="4">
        <v>46073.497385659721</v>
      </c>
      <c r="B2478" s="5">
        <v>92216</v>
      </c>
      <c r="C2478" s="5">
        <v>1042242953</v>
      </c>
      <c r="D2478" s="5" t="s">
        <v>2239</v>
      </c>
      <c r="F2478" s="5" t="s">
        <v>11042</v>
      </c>
      <c r="H2478" s="5">
        <v>573246349185</v>
      </c>
      <c r="J2478" s="5" t="s">
        <v>11043</v>
      </c>
      <c r="K2478" s="5" t="s">
        <v>124</v>
      </c>
      <c r="L2478" s="5" t="s">
        <v>11044</v>
      </c>
      <c r="M2478" s="5">
        <v>3246349185</v>
      </c>
      <c r="N2478" s="6">
        <v>46073</v>
      </c>
      <c r="O2478" s="7">
        <v>0</v>
      </c>
      <c r="P2478" s="5">
        <v>1</v>
      </c>
      <c r="Q2478" s="5" t="s">
        <v>42</v>
      </c>
      <c r="R2478" s="5">
        <v>60000</v>
      </c>
      <c r="S2478" s="5">
        <v>0</v>
      </c>
      <c r="T2478" s="5">
        <v>12000</v>
      </c>
      <c r="U2478" s="5">
        <v>72000</v>
      </c>
      <c r="V2478" s="5" t="s">
        <v>11045</v>
      </c>
      <c r="W2478" s="5" t="s">
        <v>36</v>
      </c>
      <c r="X2478" s="5" t="s">
        <v>67</v>
      </c>
      <c r="Z2478" s="5" t="s">
        <v>11046</v>
      </c>
      <c r="AA2478" s="5" t="s">
        <v>44</v>
      </c>
      <c r="AB2478" s="5" t="s">
        <v>11047</v>
      </c>
      <c r="AC2478" s="8" t="str">
        <f>HYPERLINK("https://drive.google.com/file/d/1gbbIh61QeFwZ7OpEl3MRziY6qpEwVCz1/view?usp=drivesdk", "Abrir_Factura")</f>
        <v>Abrir_Factura</v>
      </c>
      <c r="AD2478" s="9">
        <v>46073.509837962964</v>
      </c>
    </row>
    <row r="2479" spans="1:30" ht="12.5">
      <c r="A2479" s="4">
        <v>46073.535894386572</v>
      </c>
      <c r="B2479" s="5">
        <v>92218</v>
      </c>
      <c r="C2479" s="5">
        <v>1030617070</v>
      </c>
      <c r="D2479" s="5" t="s">
        <v>703</v>
      </c>
      <c r="F2479" s="5" t="s">
        <v>583</v>
      </c>
      <c r="H2479" s="5">
        <v>573143383601</v>
      </c>
      <c r="J2479" s="5" t="s">
        <v>11048</v>
      </c>
      <c r="K2479" s="5" t="s">
        <v>401</v>
      </c>
      <c r="L2479" s="5" t="s">
        <v>11049</v>
      </c>
      <c r="M2479" s="5" t="s">
        <v>25421</v>
      </c>
      <c r="N2479" s="6">
        <v>46073</v>
      </c>
      <c r="O2479" s="7">
        <v>0.625</v>
      </c>
      <c r="P2479" s="5">
        <v>1</v>
      </c>
      <c r="Q2479" s="5" t="s">
        <v>2586</v>
      </c>
      <c r="R2479" s="5">
        <v>190000</v>
      </c>
      <c r="S2479" s="5">
        <v>0</v>
      </c>
      <c r="T2479" s="5">
        <v>12000</v>
      </c>
      <c r="U2479" s="5">
        <v>202000</v>
      </c>
      <c r="V2479" s="5" t="s">
        <v>11050</v>
      </c>
      <c r="W2479" s="5" t="s">
        <v>36</v>
      </c>
      <c r="X2479" s="5" t="s">
        <v>1481</v>
      </c>
      <c r="Z2479" s="5" t="s">
        <v>11051</v>
      </c>
      <c r="AA2479" s="5" t="s">
        <v>44</v>
      </c>
      <c r="AC2479" s="8" t="str">
        <f>HYPERLINK("https://drive.google.com/file/d/1O916i7Ox1Z8Vc1qj9_Z-XPY2ZprWSaVV/view?usp=drivesdk", "Abrir_Factura")</f>
        <v>Abrir_Factura</v>
      </c>
      <c r="AD2479" s="9">
        <v>46073.544062499997</v>
      </c>
    </row>
    <row r="2480" spans="1:30" ht="12.5">
      <c r="A2480" s="4">
        <v>46073.537216979166</v>
      </c>
      <c r="B2480" s="5">
        <v>92217</v>
      </c>
      <c r="C2480" s="5">
        <v>1140859916</v>
      </c>
      <c r="D2480" s="5" t="s">
        <v>11052</v>
      </c>
      <c r="F2480" s="5" t="s">
        <v>11053</v>
      </c>
      <c r="H2480" s="5">
        <v>573249010249</v>
      </c>
      <c r="J2480" s="5" t="s">
        <v>11054</v>
      </c>
      <c r="K2480" s="5" t="s">
        <v>1047</v>
      </c>
      <c r="L2480" s="5" t="s">
        <v>11055</v>
      </c>
      <c r="M2480" s="5">
        <v>3045271987</v>
      </c>
      <c r="N2480" s="6">
        <v>46073</v>
      </c>
      <c r="O2480" s="7">
        <v>0.625</v>
      </c>
      <c r="P2480" s="5">
        <v>1</v>
      </c>
      <c r="Q2480" s="5" t="s">
        <v>187</v>
      </c>
      <c r="R2480" s="5">
        <v>220000</v>
      </c>
      <c r="S2480" s="5">
        <v>0</v>
      </c>
      <c r="T2480" s="5">
        <v>15000</v>
      </c>
      <c r="U2480" s="5">
        <v>235000</v>
      </c>
      <c r="V2480" s="5" t="s">
        <v>11056</v>
      </c>
      <c r="W2480" s="5" t="s">
        <v>36</v>
      </c>
      <c r="X2480" s="5" t="s">
        <v>67</v>
      </c>
      <c r="Z2480" s="5" t="s">
        <v>11057</v>
      </c>
      <c r="AA2480" s="5" t="s">
        <v>44</v>
      </c>
      <c r="AB2480" s="5" t="s">
        <v>11058</v>
      </c>
      <c r="AC2480" s="8" t="str">
        <f>HYPERLINK("https://drive.google.com/file/d/10TCDy2BiRUBB73NELaC8nXH46qS6SgaF/view?usp=drivesdk", "Abrir_Factura")</f>
        <v>Abrir_Factura</v>
      </c>
      <c r="AD2480" s="9">
        <v>46073.542256944442</v>
      </c>
    </row>
    <row r="2481" spans="1:30" ht="12.5">
      <c r="A2481" s="4">
        <v>46073.547254942125</v>
      </c>
      <c r="B2481" s="5">
        <v>92220</v>
      </c>
      <c r="C2481" s="5">
        <v>1043978823</v>
      </c>
      <c r="D2481" s="5" t="s">
        <v>11059</v>
      </c>
      <c r="F2481" s="5" t="s">
        <v>11060</v>
      </c>
      <c r="H2481" s="5">
        <v>573246295444</v>
      </c>
      <c r="J2481" s="5" t="s">
        <v>11061</v>
      </c>
      <c r="K2481" s="5" t="s">
        <v>11062</v>
      </c>
      <c r="L2481" s="5" t="s">
        <v>11063</v>
      </c>
      <c r="M2481" s="5">
        <v>3246295444</v>
      </c>
      <c r="N2481" s="6">
        <v>46073</v>
      </c>
      <c r="O2481" s="7">
        <v>0.625</v>
      </c>
      <c r="P2481" s="5">
        <v>1</v>
      </c>
      <c r="Q2481" s="5" t="s">
        <v>2059</v>
      </c>
      <c r="R2481" s="5">
        <v>260000</v>
      </c>
      <c r="S2481" s="5">
        <v>0</v>
      </c>
      <c r="T2481" s="5">
        <v>20000</v>
      </c>
      <c r="U2481" s="5">
        <v>280000</v>
      </c>
      <c r="V2481" s="5" t="s">
        <v>11064</v>
      </c>
      <c r="W2481" s="5" t="s">
        <v>36</v>
      </c>
      <c r="X2481" s="5" t="s">
        <v>1481</v>
      </c>
      <c r="Z2481" s="5" t="s">
        <v>11065</v>
      </c>
      <c r="AA2481" s="5" t="s">
        <v>44</v>
      </c>
      <c r="AB2481" s="5" t="s">
        <v>11066</v>
      </c>
      <c r="AC2481" s="8" t="str">
        <f>HYPERLINK("https://drive.google.com/file/d/1eYHQ00DySPQqVKzKwF6lIXJSXVhZsz6j/view?usp=drivesdk", "Abrir_Factura")</f>
        <v>Abrir_Factura</v>
      </c>
      <c r="AD2481" s="9">
        <v>46073.558310185188</v>
      </c>
    </row>
    <row r="2482" spans="1:30" ht="12.5">
      <c r="A2482" s="4">
        <v>46073.549213773149</v>
      </c>
      <c r="B2482" s="5">
        <v>92219</v>
      </c>
      <c r="C2482" s="5">
        <v>1044429801</v>
      </c>
      <c r="D2482" s="5" t="s">
        <v>2333</v>
      </c>
      <c r="F2482" s="5" t="s">
        <v>11067</v>
      </c>
      <c r="H2482" s="5">
        <v>573115813885</v>
      </c>
      <c r="J2482" s="5" t="s">
        <v>11068</v>
      </c>
      <c r="K2482" s="5" t="s">
        <v>33</v>
      </c>
      <c r="L2482" s="5" t="s">
        <v>34</v>
      </c>
      <c r="M2482" s="5">
        <v>3115813885</v>
      </c>
      <c r="N2482" s="6">
        <v>46074</v>
      </c>
      <c r="O2482" s="7">
        <v>0.625</v>
      </c>
      <c r="P2482" s="5">
        <v>1</v>
      </c>
      <c r="Q2482" s="5" t="s">
        <v>75</v>
      </c>
      <c r="R2482" s="5">
        <v>80000</v>
      </c>
      <c r="S2482" s="5">
        <v>0</v>
      </c>
      <c r="T2482" s="5">
        <v>0</v>
      </c>
      <c r="U2482" s="5">
        <v>80000</v>
      </c>
      <c r="V2482" s="5" t="s">
        <v>11069</v>
      </c>
      <c r="W2482" s="5" t="s">
        <v>36</v>
      </c>
      <c r="X2482" s="5" t="s">
        <v>2438</v>
      </c>
      <c r="Z2482" s="5" t="s">
        <v>11070</v>
      </c>
      <c r="AA2482" s="5" t="s">
        <v>69</v>
      </c>
      <c r="AC2482" s="8" t="str">
        <f>HYPERLINK("https://drive.google.com/file/d/1B6aVEJShk9ZvzQCcgfE1Itb0uy6Ab6Di/view?usp=drivesdk", "Abrir_Factura")</f>
        <v>Abrir_Factura</v>
      </c>
      <c r="AD2482" s="9">
        <v>46073.55740740741</v>
      </c>
    </row>
    <row r="2483" spans="1:30" ht="12.5">
      <c r="A2483" s="4">
        <v>46073.570065821754</v>
      </c>
      <c r="B2483" s="5">
        <v>92226</v>
      </c>
      <c r="C2483" s="5">
        <v>1005209594</v>
      </c>
      <c r="D2483" s="5" t="s">
        <v>595</v>
      </c>
      <c r="F2483" s="5" t="s">
        <v>6444</v>
      </c>
      <c r="H2483" s="5">
        <v>573164362679</v>
      </c>
      <c r="J2483" s="5" t="s">
        <v>6106</v>
      </c>
      <c r="K2483" s="5" t="s">
        <v>7476</v>
      </c>
      <c r="L2483" s="5" t="s">
        <v>11071</v>
      </c>
      <c r="M2483" s="5">
        <v>3003914984</v>
      </c>
      <c r="N2483" s="6">
        <v>46073</v>
      </c>
      <c r="O2483" s="7">
        <v>0</v>
      </c>
      <c r="P2483" s="5">
        <v>1</v>
      </c>
      <c r="Q2483" s="5" t="s">
        <v>559</v>
      </c>
      <c r="R2483" s="5">
        <v>99000</v>
      </c>
      <c r="S2483" s="5">
        <v>0</v>
      </c>
      <c r="T2483" s="5">
        <v>15000</v>
      </c>
      <c r="U2483" s="5">
        <v>114000</v>
      </c>
      <c r="V2483" s="5" t="s">
        <v>11072</v>
      </c>
      <c r="W2483" s="5" t="s">
        <v>36</v>
      </c>
      <c r="X2483" s="5" t="s">
        <v>1481</v>
      </c>
      <c r="Z2483" s="5" t="s">
        <v>11073</v>
      </c>
      <c r="AA2483" s="5" t="s">
        <v>44</v>
      </c>
      <c r="AB2483" s="5" t="s">
        <v>11074</v>
      </c>
      <c r="AC2483" s="8" t="str">
        <f>HYPERLINK("https://drive.google.com/file/d/1iS5pXkP-BVSsjnuSfnZcWTVnuzfDnCSD/view?usp=drivesdk", "Abrir_Factura")</f>
        <v>Abrir_Factura</v>
      </c>
      <c r="AD2483" s="9">
        <v>46073.66170138889</v>
      </c>
    </row>
    <row r="2484" spans="1:30" ht="12.5">
      <c r="A2484" s="4">
        <v>46073.570254328704</v>
      </c>
      <c r="B2484" s="5">
        <v>92221</v>
      </c>
      <c r="C2484" s="5">
        <v>1140859916</v>
      </c>
      <c r="D2484" s="5" t="s">
        <v>4798</v>
      </c>
      <c r="F2484" s="5" t="s">
        <v>11075</v>
      </c>
      <c r="H2484" s="5">
        <v>573249010249</v>
      </c>
      <c r="J2484" s="5" t="s">
        <v>11076</v>
      </c>
      <c r="K2484" s="5"/>
      <c r="L2484" s="5" t="s">
        <v>11077</v>
      </c>
      <c r="M2484" s="5"/>
      <c r="N2484" s="6">
        <v>46073</v>
      </c>
      <c r="O2484" s="7">
        <v>0</v>
      </c>
      <c r="P2484" s="5">
        <v>1</v>
      </c>
      <c r="Q2484" s="5" t="s">
        <v>9563</v>
      </c>
      <c r="R2484" s="5">
        <v>50000</v>
      </c>
      <c r="S2484" s="5">
        <v>0</v>
      </c>
      <c r="T2484" s="5"/>
      <c r="U2484" s="5">
        <v>50000</v>
      </c>
      <c r="V2484" s="5"/>
      <c r="W2484" s="5" t="s">
        <v>36</v>
      </c>
      <c r="X2484" s="5" t="s">
        <v>67</v>
      </c>
      <c r="AA2484" s="5" t="s">
        <v>44</v>
      </c>
      <c r="AC2484" s="8" t="str">
        <f>HYPERLINK("https://drive.google.com/file/d/1dNJ1fBd-Fh0clYLrz9-pQgEKR9iL2hNZ/view?usp=drivesdk", "Abrir_Factura")</f>
        <v>Abrir_Factura</v>
      </c>
      <c r="AD2484" s="9">
        <v>46073.570856481485</v>
      </c>
    </row>
    <row r="2485" spans="1:30" ht="12.5">
      <c r="A2485" s="4">
        <v>46073.574143854166</v>
      </c>
      <c r="B2485" s="5">
        <v>92224</v>
      </c>
      <c r="C2485" s="5">
        <v>1143233940</v>
      </c>
      <c r="D2485" s="5" t="s">
        <v>11078</v>
      </c>
      <c r="F2485" s="5" t="s">
        <v>11079</v>
      </c>
      <c r="H2485" s="5">
        <v>573016558896</v>
      </c>
      <c r="J2485" s="5" t="s">
        <v>11080</v>
      </c>
      <c r="K2485" s="5" t="s">
        <v>73</v>
      </c>
      <c r="L2485" s="5" t="s">
        <v>11081</v>
      </c>
      <c r="M2485" s="5">
        <v>3016558896</v>
      </c>
      <c r="N2485" s="6">
        <v>46074</v>
      </c>
      <c r="O2485" s="7">
        <v>0</v>
      </c>
      <c r="P2485" s="5">
        <v>1</v>
      </c>
      <c r="Q2485" s="5" t="s">
        <v>178</v>
      </c>
      <c r="R2485" s="5">
        <v>110000</v>
      </c>
      <c r="S2485" s="5">
        <v>0</v>
      </c>
      <c r="T2485" s="5">
        <v>8000</v>
      </c>
      <c r="U2485" s="5">
        <v>118000</v>
      </c>
      <c r="V2485" s="5" t="s">
        <v>11082</v>
      </c>
      <c r="W2485" s="5" t="s">
        <v>36</v>
      </c>
      <c r="X2485" s="5" t="s">
        <v>67</v>
      </c>
      <c r="Z2485" s="5" t="s">
        <v>11083</v>
      </c>
      <c r="AA2485" s="5" t="s">
        <v>44</v>
      </c>
      <c r="AB2485" s="5" t="s">
        <v>11084</v>
      </c>
      <c r="AC2485" s="8" t="str">
        <f>HYPERLINK("https://drive.google.com/file/d/1iCSt860SyJe9m4_7lSVO9tB0vI4CL7wC/view?usp=drivesdk", "Abrir_Factura")</f>
        <v>Abrir_Factura</v>
      </c>
      <c r="AD2485" s="9">
        <v>46073.647662037038</v>
      </c>
    </row>
    <row r="2486" spans="1:30" ht="12.5">
      <c r="A2486" s="4">
        <v>46073.624368900462</v>
      </c>
      <c r="B2486" s="5">
        <v>92222</v>
      </c>
      <c r="C2486" s="5">
        <v>45762125</v>
      </c>
      <c r="D2486" s="5" t="s">
        <v>7202</v>
      </c>
      <c r="F2486" s="5" t="s">
        <v>7203</v>
      </c>
      <c r="H2486" s="5">
        <v>573008183491</v>
      </c>
      <c r="J2486" s="5" t="s">
        <v>7204</v>
      </c>
      <c r="K2486" s="5" t="s">
        <v>33</v>
      </c>
      <c r="L2486" s="5" t="s">
        <v>34</v>
      </c>
      <c r="M2486" s="5">
        <v>3008183491</v>
      </c>
      <c r="N2486" s="6">
        <v>46073</v>
      </c>
      <c r="O2486" s="7">
        <v>0</v>
      </c>
      <c r="P2486" s="5">
        <v>1</v>
      </c>
      <c r="Q2486" s="5" t="s">
        <v>42</v>
      </c>
      <c r="R2486" s="5">
        <v>140000</v>
      </c>
      <c r="S2486" s="5">
        <v>0</v>
      </c>
      <c r="T2486" s="5">
        <v>0</v>
      </c>
      <c r="U2486" s="5">
        <v>140000</v>
      </c>
      <c r="V2486" s="5"/>
      <c r="W2486" s="5" t="s">
        <v>36</v>
      </c>
      <c r="X2486" s="5" t="s">
        <v>43</v>
      </c>
      <c r="AA2486" s="5" t="s">
        <v>44</v>
      </c>
      <c r="AB2486" s="5" t="s">
        <v>525</v>
      </c>
      <c r="AC2486" s="8" t="str">
        <f>HYPERLINK("https://drive.google.com/file/d/1csErKD-7Re-Xs7MremPDVHGoOFMm6Bzh/view?usp=drivesdk", "Abrir_Factura")</f>
        <v>Abrir_Factura</v>
      </c>
      <c r="AD2486" s="9">
        <v>46073.624907407408</v>
      </c>
    </row>
    <row r="2487" spans="1:30" ht="12.5">
      <c r="A2487" s="4">
        <v>46073.628027245373</v>
      </c>
      <c r="B2487" s="5">
        <v>92223</v>
      </c>
      <c r="C2487" s="5">
        <v>1045726078</v>
      </c>
      <c r="D2487" s="5" t="s">
        <v>6465</v>
      </c>
      <c r="F2487" s="5" t="s">
        <v>11085</v>
      </c>
      <c r="H2487" s="5">
        <v>573176694971</v>
      </c>
      <c r="J2487" s="5" t="s">
        <v>11086</v>
      </c>
      <c r="K2487" s="5" t="s">
        <v>1497</v>
      </c>
      <c r="L2487" s="5" t="s">
        <v>11087</v>
      </c>
      <c r="M2487" s="5">
        <v>3013016587</v>
      </c>
      <c r="N2487" s="6">
        <v>46073</v>
      </c>
      <c r="O2487" s="7">
        <v>0</v>
      </c>
      <c r="P2487" s="5">
        <v>1</v>
      </c>
      <c r="Q2487" s="5" t="s">
        <v>375</v>
      </c>
      <c r="R2487" s="5">
        <v>80000</v>
      </c>
      <c r="S2487" s="5">
        <v>0</v>
      </c>
      <c r="T2487" s="5">
        <v>12000</v>
      </c>
      <c r="U2487" s="5">
        <v>92000</v>
      </c>
      <c r="V2487" s="5" t="s">
        <v>11088</v>
      </c>
      <c r="W2487" s="5" t="s">
        <v>36</v>
      </c>
      <c r="X2487" s="5" t="s">
        <v>67</v>
      </c>
      <c r="Z2487" s="5" t="s">
        <v>11089</v>
      </c>
      <c r="AA2487" s="5" t="s">
        <v>44</v>
      </c>
      <c r="AC2487" s="8" t="str">
        <f>HYPERLINK("https://drive.google.com/file/d/1HELleNz1uPxTSwQerL4mC_LaFZ265ZPy/view?usp=drivesdk", "Abrir_Factura")</f>
        <v>Abrir_Factura</v>
      </c>
      <c r="AD2487" s="9">
        <v>46073.641157407408</v>
      </c>
    </row>
    <row r="2488" spans="1:30" ht="12.5">
      <c r="A2488" s="4">
        <v>46073.657185729171</v>
      </c>
      <c r="B2488" s="5">
        <v>92227</v>
      </c>
      <c r="C2488" s="5">
        <v>1002163909</v>
      </c>
      <c r="D2488" s="5" t="s">
        <v>2889</v>
      </c>
      <c r="F2488" s="5" t="s">
        <v>11090</v>
      </c>
      <c r="H2488" s="5">
        <v>573241595500</v>
      </c>
      <c r="J2488" s="5" t="s">
        <v>11091</v>
      </c>
      <c r="K2488" s="5" t="s">
        <v>265</v>
      </c>
      <c r="L2488" s="5" t="s">
        <v>11092</v>
      </c>
      <c r="M2488" s="5" t="s">
        <v>25421</v>
      </c>
      <c r="N2488" s="6">
        <v>46074</v>
      </c>
      <c r="O2488" s="7">
        <v>0</v>
      </c>
      <c r="P2488" s="5">
        <v>1</v>
      </c>
      <c r="Q2488" s="5" t="s">
        <v>75</v>
      </c>
      <c r="R2488" s="5">
        <v>80000</v>
      </c>
      <c r="S2488" s="5">
        <v>0</v>
      </c>
      <c r="T2488" s="5">
        <v>17000</v>
      </c>
      <c r="U2488" s="5">
        <v>97000</v>
      </c>
      <c r="V2488" s="5" t="s">
        <v>11093</v>
      </c>
      <c r="W2488" s="5" t="s">
        <v>36</v>
      </c>
      <c r="X2488" s="5" t="s">
        <v>67</v>
      </c>
      <c r="Z2488" s="5" t="s">
        <v>11094</v>
      </c>
      <c r="AA2488" s="5" t="s">
        <v>44</v>
      </c>
      <c r="AC2488" s="8" t="str">
        <f>HYPERLINK("https://drive.google.com/file/d/1Xm1dxpW1GuBiPeZlneHrObGhVJaJGunt/view?usp=drivesdk", "Abrir_Factura")</f>
        <v>Abrir_Factura</v>
      </c>
      <c r="AD2488" s="9">
        <v>46073.666064814817</v>
      </c>
    </row>
    <row r="2489" spans="1:30" ht="12.5">
      <c r="A2489" s="4">
        <v>46073.659586041671</v>
      </c>
      <c r="B2489" s="5">
        <v>92225</v>
      </c>
      <c r="C2489" s="5">
        <v>1003232462</v>
      </c>
      <c r="D2489" s="5" t="s">
        <v>11095</v>
      </c>
      <c r="F2489" s="5" t="s">
        <v>6747</v>
      </c>
      <c r="H2489" s="5">
        <v>5700000</v>
      </c>
      <c r="J2489" s="5" t="s">
        <v>11096</v>
      </c>
      <c r="K2489" s="5" t="s">
        <v>73</v>
      </c>
      <c r="L2489" s="5" t="s">
        <v>11097</v>
      </c>
      <c r="M2489" s="5">
        <v>0</v>
      </c>
      <c r="N2489" s="6">
        <v>46073</v>
      </c>
      <c r="O2489" s="7">
        <v>0</v>
      </c>
      <c r="P2489" s="5">
        <v>1</v>
      </c>
      <c r="Q2489" s="5" t="s">
        <v>133</v>
      </c>
      <c r="R2489" s="5">
        <v>150000</v>
      </c>
      <c r="S2489" s="5">
        <v>0</v>
      </c>
      <c r="T2489" s="5">
        <v>8000</v>
      </c>
      <c r="U2489" s="5">
        <v>158000</v>
      </c>
      <c r="V2489" s="5" t="s">
        <v>11098</v>
      </c>
      <c r="W2489" s="5" t="s">
        <v>36</v>
      </c>
      <c r="X2489" s="5" t="s">
        <v>1481</v>
      </c>
      <c r="AA2489" s="5" t="s">
        <v>69</v>
      </c>
      <c r="AC2489" s="8" t="str">
        <f>HYPERLINK("https://drive.google.com/file/d/1lVjxaEjb8T542nOyXEVP7RZkrkhe0_J8/view?usp=drivesdk", "Abrir_Factura")</f>
        <v>Abrir_Factura</v>
      </c>
      <c r="AD2489" s="9">
        <v>46073.660034722219</v>
      </c>
    </row>
    <row r="2490" spans="1:30" ht="12.5">
      <c r="A2490" s="4">
        <v>46073.664265671294</v>
      </c>
      <c r="B2490" s="5">
        <v>92228</v>
      </c>
      <c r="C2490" s="5">
        <v>1143442819</v>
      </c>
      <c r="D2490" s="5" t="s">
        <v>1038</v>
      </c>
      <c r="F2490" s="5" t="s">
        <v>11099</v>
      </c>
      <c r="H2490" s="5">
        <v>573225394629</v>
      </c>
      <c r="J2490" s="5" t="s">
        <v>4504</v>
      </c>
      <c r="K2490" s="5" t="s">
        <v>516</v>
      </c>
      <c r="L2490" s="5" t="s">
        <v>11100</v>
      </c>
      <c r="M2490" s="5">
        <v>3012364808</v>
      </c>
      <c r="N2490" s="6">
        <v>46089</v>
      </c>
      <c r="O2490" s="7">
        <v>0</v>
      </c>
      <c r="P2490" s="5">
        <v>1</v>
      </c>
      <c r="Q2490" s="5" t="s">
        <v>42</v>
      </c>
      <c r="R2490" s="5">
        <v>150000</v>
      </c>
      <c r="S2490" s="5">
        <v>0</v>
      </c>
      <c r="T2490" s="5">
        <v>10000</v>
      </c>
      <c r="U2490" s="5">
        <v>160000</v>
      </c>
      <c r="V2490" s="5" t="s">
        <v>11101</v>
      </c>
      <c r="W2490" s="5" t="s">
        <v>36</v>
      </c>
      <c r="X2490" s="5" t="s">
        <v>1937</v>
      </c>
      <c r="Z2490" s="5" t="s">
        <v>1038</v>
      </c>
      <c r="AA2490" s="5" t="s">
        <v>44</v>
      </c>
      <c r="AB2490" s="5" t="s">
        <v>11102</v>
      </c>
      <c r="AC2490" s="8" t="str">
        <f>HYPERLINK("https://drive.google.com/file/d/1LyXLuY9HUZNBJQSYjzlloaiB-YG45N9o/view?usp=drivesdk", "Abrir_Factura")</f>
        <v>Abrir_Factura</v>
      </c>
      <c r="AD2490" s="9">
        <v>46073.676203703704</v>
      </c>
    </row>
    <row r="2491" spans="1:30" ht="12.5">
      <c r="A2491" s="4">
        <v>46073.67448559028</v>
      </c>
      <c r="B2491" s="5">
        <v>92233</v>
      </c>
      <c r="C2491" s="5">
        <v>1143252028</v>
      </c>
      <c r="D2491" s="5" t="s">
        <v>3893</v>
      </c>
      <c r="F2491" s="5" t="s">
        <v>3894</v>
      </c>
      <c r="H2491" s="5">
        <v>573167483308</v>
      </c>
      <c r="J2491" s="5" t="s">
        <v>6841</v>
      </c>
      <c r="K2491" s="5" t="s">
        <v>1124</v>
      </c>
      <c r="L2491" s="5" t="s">
        <v>3896</v>
      </c>
      <c r="M2491" s="5">
        <v>3053816242</v>
      </c>
      <c r="N2491" s="6">
        <v>46074</v>
      </c>
      <c r="O2491" s="7">
        <v>0.64583333333333337</v>
      </c>
      <c r="P2491" s="5">
        <v>1</v>
      </c>
      <c r="Q2491" s="5" t="s">
        <v>1696</v>
      </c>
      <c r="R2491" s="5">
        <v>800000</v>
      </c>
      <c r="S2491" s="5">
        <v>0</v>
      </c>
      <c r="T2491" s="5">
        <v>20000</v>
      </c>
      <c r="U2491" s="5">
        <v>820000</v>
      </c>
      <c r="V2491" s="5" t="s">
        <v>5162</v>
      </c>
      <c r="W2491" s="5" t="s">
        <v>36</v>
      </c>
      <c r="X2491" s="5" t="s">
        <v>1937</v>
      </c>
      <c r="Z2491" s="5" t="s">
        <v>11103</v>
      </c>
      <c r="AA2491" s="5" t="s">
        <v>44</v>
      </c>
      <c r="AB2491" s="5" t="s">
        <v>11104</v>
      </c>
      <c r="AC2491" s="8" t="str">
        <f>HYPERLINK("https://drive.google.com/file/d/1ObIqK_QKO_e7Hxpppv-Dk3B0xVgMCpYy/view?usp=drivesdk", "Abrir_Factura")</f>
        <v>Abrir_Factura</v>
      </c>
      <c r="AD2491" s="9">
        <v>46073.708310185182</v>
      </c>
    </row>
    <row r="2492" spans="1:30" ht="12.5">
      <c r="A2492" s="4">
        <v>46073.674729618055</v>
      </c>
      <c r="B2492" s="5">
        <v>92229</v>
      </c>
      <c r="C2492" s="5">
        <v>1140850584</v>
      </c>
      <c r="D2492" s="5" t="s">
        <v>11105</v>
      </c>
      <c r="F2492" s="5" t="s">
        <v>11106</v>
      </c>
      <c r="H2492" s="5">
        <v>50763866101</v>
      </c>
      <c r="J2492" s="5" t="s">
        <v>11107</v>
      </c>
      <c r="K2492" s="5" t="s">
        <v>328</v>
      </c>
      <c r="L2492" s="5" t="s">
        <v>11108</v>
      </c>
      <c r="M2492" s="5" t="s">
        <v>25421</v>
      </c>
      <c r="N2492" s="6">
        <v>46073</v>
      </c>
      <c r="O2492" s="7">
        <v>0</v>
      </c>
      <c r="P2492" s="5">
        <v>1</v>
      </c>
      <c r="Q2492" s="5" t="s">
        <v>178</v>
      </c>
      <c r="R2492" s="5">
        <v>110000</v>
      </c>
      <c r="S2492" s="5">
        <v>0</v>
      </c>
      <c r="T2492" s="5">
        <v>12000</v>
      </c>
      <c r="U2492" s="5">
        <v>122000</v>
      </c>
      <c r="V2492" s="5" t="s">
        <v>11109</v>
      </c>
      <c r="W2492" s="5" t="s">
        <v>36</v>
      </c>
      <c r="X2492" s="5" t="s">
        <v>67</v>
      </c>
      <c r="Z2492" s="5" t="s">
        <v>11110</v>
      </c>
      <c r="AA2492" s="5" t="s">
        <v>44</v>
      </c>
      <c r="AC2492" s="8" t="str">
        <f>HYPERLINK("https://drive.google.com/file/d/1leym2XRkQEgCtY8jL4vQqd2-9uf_MjGU/view?usp=drivesdk", "Abrir_Factura")</f>
        <v>Abrir_Factura</v>
      </c>
      <c r="AD2492" s="9">
        <v>46073.68173611111</v>
      </c>
    </row>
    <row r="2493" spans="1:30" ht="12.5">
      <c r="A2493" s="4">
        <v>46073.686489444444</v>
      </c>
      <c r="B2493" s="5">
        <v>92231</v>
      </c>
      <c r="C2493" s="5">
        <v>1065826874</v>
      </c>
      <c r="D2493" s="5" t="s">
        <v>11111</v>
      </c>
      <c r="F2493" s="5" t="s">
        <v>11112</v>
      </c>
      <c r="H2493" s="5">
        <v>573174316629</v>
      </c>
      <c r="J2493" s="5" t="s">
        <v>11113</v>
      </c>
      <c r="K2493" s="5" t="s">
        <v>103</v>
      </c>
      <c r="L2493" s="5" t="s">
        <v>11114</v>
      </c>
      <c r="M2493" s="5">
        <v>3188565827</v>
      </c>
      <c r="N2493" s="6">
        <v>46074</v>
      </c>
      <c r="O2493" s="7">
        <v>0.375</v>
      </c>
      <c r="P2493" s="5">
        <v>1</v>
      </c>
      <c r="Q2493" s="5" t="s">
        <v>11115</v>
      </c>
      <c r="R2493" s="5">
        <v>320000</v>
      </c>
      <c r="S2493" s="5">
        <v>0</v>
      </c>
      <c r="T2493" s="5">
        <v>10000</v>
      </c>
      <c r="U2493" s="5">
        <v>330000</v>
      </c>
      <c r="V2493" s="5" t="s">
        <v>11116</v>
      </c>
      <c r="W2493" s="5" t="s">
        <v>36</v>
      </c>
      <c r="X2493" s="5" t="s">
        <v>1937</v>
      </c>
      <c r="Z2493" s="5" t="s">
        <v>11117</v>
      </c>
      <c r="AA2493" s="5" t="s">
        <v>44</v>
      </c>
      <c r="AB2493" s="5" t="s">
        <v>11118</v>
      </c>
      <c r="AC2493" s="8" t="str">
        <f>HYPERLINK("https://drive.google.com/file/d/1HL-KuiP0zbNQquN26LULx5fGUOnEM2ol/view?usp=drivesdk", "Abrir_Factura")</f>
        <v>Abrir_Factura</v>
      </c>
      <c r="AD2493" s="9">
        <v>46073.69804398148</v>
      </c>
    </row>
    <row r="2494" spans="1:30" ht="12.5">
      <c r="A2494" s="4">
        <v>46073.69489269676</v>
      </c>
      <c r="B2494" s="5">
        <v>92230</v>
      </c>
      <c r="C2494" s="5">
        <v>2000008692</v>
      </c>
      <c r="D2494" s="5" t="s">
        <v>11119</v>
      </c>
      <c r="F2494" s="5" t="s">
        <v>11120</v>
      </c>
      <c r="H2494" s="5">
        <v>573215017568</v>
      </c>
      <c r="J2494" s="5" t="s">
        <v>11121</v>
      </c>
      <c r="K2494" s="5" t="s">
        <v>2090</v>
      </c>
      <c r="L2494" s="5" t="s">
        <v>11122</v>
      </c>
      <c r="M2494" s="5">
        <v>3215017568</v>
      </c>
      <c r="N2494" s="6">
        <v>46073</v>
      </c>
      <c r="O2494" s="7">
        <v>0</v>
      </c>
      <c r="P2494" s="5">
        <v>1</v>
      </c>
      <c r="Q2494" s="5" t="s">
        <v>375</v>
      </c>
      <c r="R2494" s="5">
        <v>80000</v>
      </c>
      <c r="S2494" s="5">
        <v>0</v>
      </c>
      <c r="T2494" s="5">
        <v>10000</v>
      </c>
      <c r="U2494" s="5">
        <v>90000</v>
      </c>
      <c r="V2494" s="5" t="s">
        <v>11123</v>
      </c>
      <c r="W2494" s="5" t="s">
        <v>36</v>
      </c>
      <c r="X2494" s="5" t="s">
        <v>67</v>
      </c>
      <c r="AA2494" s="5" t="s">
        <v>69</v>
      </c>
      <c r="AC2494" s="8" t="str">
        <f>HYPERLINK("https://drive.google.com/file/d/1CArMlAT-7cvIi2fgRenDJjhpggges6kH/view?usp=drivesdk", "Abrir_Factura")</f>
        <v>Abrir_Factura</v>
      </c>
      <c r="AD2494" s="9">
        <v>46073.695347222223</v>
      </c>
    </row>
    <row r="2495" spans="1:30" ht="12.5">
      <c r="A2495" s="4">
        <v>46073.701637152779</v>
      </c>
      <c r="B2495" s="5">
        <v>92232</v>
      </c>
      <c r="C2495" s="5">
        <v>1010140788</v>
      </c>
      <c r="D2495" s="5" t="s">
        <v>11124</v>
      </c>
      <c r="F2495" s="5" t="s">
        <v>4570</v>
      </c>
      <c r="H2495" s="5">
        <v>57323914887</v>
      </c>
      <c r="J2495" s="5" t="s">
        <v>11125</v>
      </c>
      <c r="K2495" s="5"/>
      <c r="L2495" s="5" t="s">
        <v>3330</v>
      </c>
      <c r="M2495" s="5"/>
      <c r="N2495" s="6">
        <v>46073</v>
      </c>
      <c r="O2495" s="7">
        <v>0</v>
      </c>
      <c r="P2495" s="5">
        <v>1</v>
      </c>
      <c r="Q2495" s="5" t="s">
        <v>42</v>
      </c>
      <c r="R2495" s="5">
        <v>45000</v>
      </c>
      <c r="S2495" s="5">
        <v>0</v>
      </c>
      <c r="T2495" s="5"/>
      <c r="U2495" s="5">
        <v>45000</v>
      </c>
      <c r="V2495" s="5"/>
      <c r="W2495" s="5" t="s">
        <v>36</v>
      </c>
      <c r="X2495" s="5" t="s">
        <v>196</v>
      </c>
      <c r="AA2495" s="5" t="s">
        <v>1717</v>
      </c>
      <c r="AB2495" s="5" t="s">
        <v>11126</v>
      </c>
      <c r="AC2495" s="8" t="str">
        <f>HYPERLINK("https://drive.google.com/file/d/1Z2KEkkmjh8g6jeuh3iPX6X0_Q3vTC2sf/view?usp=drivesdk", "Abrir_Factura")</f>
        <v>Abrir_Factura</v>
      </c>
      <c r="AD2495" s="9">
        <v>46073.702256944445</v>
      </c>
    </row>
    <row r="2496" spans="1:30" ht="12.5">
      <c r="A2496" s="4">
        <v>46073.747949930555</v>
      </c>
      <c r="B2496" s="5">
        <v>92234</v>
      </c>
      <c r="C2496" s="5">
        <v>1042221203</v>
      </c>
      <c r="D2496" s="5" t="s">
        <v>11127</v>
      </c>
      <c r="F2496" s="5" t="s">
        <v>11128</v>
      </c>
      <c r="H2496" s="5">
        <v>573207169243</v>
      </c>
      <c r="J2496" s="5" t="s">
        <v>11129</v>
      </c>
      <c r="K2496" s="5" t="s">
        <v>33</v>
      </c>
      <c r="L2496" s="5" t="s">
        <v>34</v>
      </c>
      <c r="M2496" s="5">
        <v>3207169243</v>
      </c>
      <c r="N2496" s="6">
        <v>46073</v>
      </c>
      <c r="O2496" s="7">
        <v>0.70833333333333337</v>
      </c>
      <c r="P2496" s="5">
        <v>1</v>
      </c>
      <c r="Q2496" s="5" t="s">
        <v>1126</v>
      </c>
      <c r="R2496" s="5">
        <v>340000</v>
      </c>
      <c r="S2496" s="5">
        <v>0</v>
      </c>
      <c r="T2496" s="5">
        <v>0</v>
      </c>
      <c r="U2496" s="5">
        <v>340000</v>
      </c>
      <c r="V2496" s="5"/>
      <c r="W2496" s="5" t="s">
        <v>36</v>
      </c>
      <c r="X2496" s="5" t="s">
        <v>1705</v>
      </c>
      <c r="AA2496" s="5" t="s">
        <v>1717</v>
      </c>
      <c r="AC2496" s="8" t="str">
        <f>HYPERLINK("https://drive.google.com/file/d/1CituXTz473fMm772ujvmECVUwhtbOD00/view?usp=drivesdk", "Abrir_Factura")</f>
        <v>Abrir_Factura</v>
      </c>
      <c r="AD2496" s="9">
        <v>46073.751747685186</v>
      </c>
    </row>
    <row r="2497" spans="1:30" ht="12.5">
      <c r="A2497" s="4">
        <v>46074.317343668983</v>
      </c>
      <c r="B2497" s="5">
        <v>92238</v>
      </c>
      <c r="C2497" s="5">
        <v>1129576407</v>
      </c>
      <c r="D2497" s="5" t="s">
        <v>3130</v>
      </c>
      <c r="F2497" s="5" t="s">
        <v>93</v>
      </c>
      <c r="H2497" s="5">
        <v>573106926489</v>
      </c>
      <c r="J2497" s="5" t="s">
        <v>11130</v>
      </c>
      <c r="K2497" s="5" t="s">
        <v>726</v>
      </c>
      <c r="L2497" s="5" t="s">
        <v>11131</v>
      </c>
      <c r="M2497" s="5">
        <v>3023548513</v>
      </c>
      <c r="N2497" s="6">
        <v>46074</v>
      </c>
      <c r="O2497" s="7">
        <v>0.41666666666666669</v>
      </c>
      <c r="P2497" s="5">
        <v>1</v>
      </c>
      <c r="Q2497" s="5" t="s">
        <v>4062</v>
      </c>
      <c r="R2497" s="5">
        <v>420000</v>
      </c>
      <c r="S2497" s="5">
        <v>0</v>
      </c>
      <c r="T2497" s="5">
        <v>9000</v>
      </c>
      <c r="U2497" s="5">
        <v>429000</v>
      </c>
      <c r="V2497" s="5" t="s">
        <v>11132</v>
      </c>
      <c r="W2497" s="5" t="s">
        <v>36</v>
      </c>
      <c r="X2497" s="5" t="s">
        <v>180</v>
      </c>
      <c r="Z2497" s="5" t="s">
        <v>11133</v>
      </c>
      <c r="AA2497" s="5" t="s">
        <v>44</v>
      </c>
      <c r="AB2497" s="5" t="s">
        <v>11134</v>
      </c>
      <c r="AC2497" s="8" t="str">
        <f>HYPERLINK("https://drive.google.com/file/d/19_wK3vF1INhUcAxYO_IDJI3d_sY0tdMX/view?usp=drivesdk", "Abrir_Factura")</f>
        <v>Abrir_Factura</v>
      </c>
      <c r="AD2497" s="9">
        <v>46074.374097222222</v>
      </c>
    </row>
    <row r="2498" spans="1:30" ht="12.5">
      <c r="A2498" s="4">
        <v>46074.330277129629</v>
      </c>
      <c r="B2498" s="5">
        <v>92235</v>
      </c>
      <c r="C2498" s="5">
        <v>78024358</v>
      </c>
      <c r="D2498" s="5" t="s">
        <v>1935</v>
      </c>
      <c r="F2498" s="5" t="s">
        <v>11135</v>
      </c>
      <c r="H2498" s="5">
        <v>573107250949</v>
      </c>
      <c r="J2498" s="5" t="s">
        <v>11136</v>
      </c>
      <c r="K2498" s="5" t="s">
        <v>1647</v>
      </c>
      <c r="L2498" s="5" t="s">
        <v>11137</v>
      </c>
      <c r="M2498" s="5"/>
      <c r="N2498" s="6">
        <v>46074</v>
      </c>
      <c r="O2498" s="7">
        <v>0.375</v>
      </c>
      <c r="P2498" s="5">
        <v>1</v>
      </c>
      <c r="Q2498" s="5" t="s">
        <v>11138</v>
      </c>
      <c r="R2498" s="5">
        <v>130000</v>
      </c>
      <c r="S2498" s="5">
        <v>0</v>
      </c>
      <c r="T2498" s="5">
        <v>18000</v>
      </c>
      <c r="U2498" s="5">
        <v>148000</v>
      </c>
      <c r="V2498" s="5" t="s">
        <v>11139</v>
      </c>
      <c r="W2498" s="5" t="s">
        <v>36</v>
      </c>
      <c r="X2498" s="5" t="s">
        <v>1481</v>
      </c>
      <c r="Z2498" s="5" t="s">
        <v>11140</v>
      </c>
      <c r="AA2498" s="5" t="s">
        <v>44</v>
      </c>
      <c r="AC2498" s="8" t="str">
        <f>HYPERLINK("https://drive.google.com/file/d/1Vpr-Col-GJ4c3detDOIIxLqoJMkqmAs5/view?usp=drivesdk", "Abrir_Factura")</f>
        <v>Abrir_Factura</v>
      </c>
      <c r="AD2498" s="9">
        <v>46074.341087962966</v>
      </c>
    </row>
    <row r="2499" spans="1:30" ht="12.5">
      <c r="A2499" s="4">
        <v>46074.35063980324</v>
      </c>
      <c r="B2499" s="5">
        <v>92236</v>
      </c>
      <c r="C2499" s="5">
        <v>1144036300</v>
      </c>
      <c r="D2499" s="5" t="s">
        <v>1520</v>
      </c>
      <c r="F2499" s="5" t="s">
        <v>11141</v>
      </c>
      <c r="H2499" s="5">
        <v>14075330972</v>
      </c>
      <c r="J2499" s="5" t="s">
        <v>11142</v>
      </c>
      <c r="K2499" s="5" t="s">
        <v>185</v>
      </c>
      <c r="L2499" s="5" t="s">
        <v>11143</v>
      </c>
      <c r="M2499" s="5">
        <v>3114189150</v>
      </c>
      <c r="N2499" s="6">
        <v>46076</v>
      </c>
      <c r="O2499" s="7">
        <v>0.41666666666666669</v>
      </c>
      <c r="P2499" s="5">
        <v>1</v>
      </c>
      <c r="Q2499" s="5" t="s">
        <v>4062</v>
      </c>
      <c r="R2499" s="5">
        <v>420000</v>
      </c>
      <c r="S2499" s="5">
        <v>0</v>
      </c>
      <c r="T2499" s="5">
        <v>8000</v>
      </c>
      <c r="U2499" s="5">
        <v>428000</v>
      </c>
      <c r="V2499" s="5" t="s">
        <v>11144</v>
      </c>
      <c r="W2499" s="5" t="s">
        <v>36</v>
      </c>
      <c r="X2499" s="5" t="s">
        <v>1481</v>
      </c>
      <c r="Z2499" s="5" t="s">
        <v>11145</v>
      </c>
      <c r="AA2499" s="5" t="s">
        <v>44</v>
      </c>
      <c r="AB2499" s="5" t="s">
        <v>11146</v>
      </c>
      <c r="AC2499" s="8" t="str">
        <f>HYPERLINK("https://drive.google.com/file/d/11GOwItka4uezhj9toU11NAwldrLdfCdI/view?usp=drivesdk", "Abrir_Factura")</f>
        <v>Abrir_Factura</v>
      </c>
      <c r="AD2499" s="9">
        <v>46074.357152777775</v>
      </c>
    </row>
    <row r="2500" spans="1:30" ht="12.5">
      <c r="A2500" s="4">
        <v>46074.362268807876</v>
      </c>
      <c r="B2500" s="5">
        <v>92237</v>
      </c>
      <c r="C2500" s="5">
        <v>55232132</v>
      </c>
      <c r="D2500" s="5" t="s">
        <v>645</v>
      </c>
      <c r="F2500" s="5" t="s">
        <v>3442</v>
      </c>
      <c r="H2500" s="5">
        <v>573015011750</v>
      </c>
      <c r="J2500" s="5" t="s">
        <v>11147</v>
      </c>
      <c r="K2500" s="5" t="s">
        <v>103</v>
      </c>
      <c r="L2500" s="5" t="s">
        <v>11148</v>
      </c>
      <c r="M2500" s="5">
        <v>3015011750</v>
      </c>
      <c r="N2500" s="6">
        <v>46074</v>
      </c>
      <c r="O2500" s="7">
        <v>0.41666666666666669</v>
      </c>
      <c r="P2500" s="5">
        <v>1</v>
      </c>
      <c r="Q2500" s="5" t="s">
        <v>375</v>
      </c>
      <c r="R2500" s="5">
        <v>80000</v>
      </c>
      <c r="S2500" s="5">
        <v>0</v>
      </c>
      <c r="T2500" s="5">
        <v>10000</v>
      </c>
      <c r="U2500" s="5">
        <v>90000</v>
      </c>
      <c r="V2500" s="5" t="s">
        <v>11149</v>
      </c>
      <c r="W2500" s="5" t="s">
        <v>36</v>
      </c>
      <c r="X2500" s="5" t="s">
        <v>67</v>
      </c>
      <c r="Z2500" s="5" t="s">
        <v>11150</v>
      </c>
      <c r="AA2500" s="5" t="s">
        <v>44</v>
      </c>
      <c r="AC2500" s="8" t="str">
        <f>HYPERLINK("https://drive.google.com/file/d/1vZkd0jNgJ76s0VIDgrEE8mlBKpBiyeJr/view?usp=drivesdk", "Abrir_Factura")</f>
        <v>Abrir_Factura</v>
      </c>
      <c r="AD2500" s="9">
        <v>46074.366307870368</v>
      </c>
    </row>
    <row r="2501" spans="1:30" ht="12.5">
      <c r="A2501" s="4">
        <v>46074.384983495373</v>
      </c>
      <c r="B2501" s="5">
        <v>92239</v>
      </c>
      <c r="C2501" s="5">
        <v>1140881205</v>
      </c>
      <c r="D2501" s="5" t="s">
        <v>11151</v>
      </c>
      <c r="F2501" s="5" t="s">
        <v>11152</v>
      </c>
      <c r="H2501" s="5">
        <v>573005061277</v>
      </c>
      <c r="J2501" s="5" t="s">
        <v>11153</v>
      </c>
      <c r="K2501" s="5" t="s">
        <v>4403</v>
      </c>
      <c r="L2501" s="5" t="s">
        <v>11154</v>
      </c>
      <c r="M2501" s="5"/>
      <c r="N2501" s="6">
        <v>46074</v>
      </c>
      <c r="O2501" s="7">
        <v>0</v>
      </c>
      <c r="P2501" s="5">
        <v>1</v>
      </c>
      <c r="Q2501" s="5" t="s">
        <v>11155</v>
      </c>
      <c r="R2501" s="5">
        <v>1020000</v>
      </c>
      <c r="S2501" s="5">
        <v>0</v>
      </c>
      <c r="T2501" s="5">
        <v>20000</v>
      </c>
      <c r="U2501" s="5">
        <v>1040000</v>
      </c>
      <c r="V2501" s="5"/>
      <c r="W2501" s="5" t="s">
        <v>36</v>
      </c>
      <c r="X2501" s="5" t="s">
        <v>1481</v>
      </c>
      <c r="Z2501" s="5" t="s">
        <v>11156</v>
      </c>
      <c r="AA2501" s="5" t="s">
        <v>44</v>
      </c>
      <c r="AC2501" s="8" t="str">
        <f>HYPERLINK("https://drive.google.com/file/d/1aGrww_JYYAlzlhY6YHWONr3G7PU5ftB2/view?usp=drivesdk", "Abrir_Factura")</f>
        <v>Abrir_Factura</v>
      </c>
      <c r="AD2501" s="9">
        <v>46074.397569444445</v>
      </c>
    </row>
    <row r="2502" spans="1:30" ht="12.5">
      <c r="A2502" s="4">
        <v>46074.399910671294</v>
      </c>
      <c r="B2502" s="5">
        <v>92240</v>
      </c>
      <c r="C2502" s="5">
        <v>1045749332</v>
      </c>
      <c r="D2502" s="5" t="s">
        <v>639</v>
      </c>
      <c r="F2502" s="5" t="s">
        <v>591</v>
      </c>
      <c r="H2502" s="5">
        <v>573177436166</v>
      </c>
      <c r="J2502" s="5" t="s">
        <v>11157</v>
      </c>
      <c r="K2502" s="5" t="s">
        <v>2880</v>
      </c>
      <c r="L2502" s="5" t="s">
        <v>11158</v>
      </c>
      <c r="M2502" s="5">
        <v>3177436166</v>
      </c>
      <c r="N2502" s="6">
        <v>46074</v>
      </c>
      <c r="O2502" s="7">
        <v>0</v>
      </c>
      <c r="P2502" s="5">
        <v>1</v>
      </c>
      <c r="Q2502" s="5" t="s">
        <v>11159</v>
      </c>
      <c r="R2502" s="5">
        <v>50000</v>
      </c>
      <c r="S2502" s="5">
        <v>0</v>
      </c>
      <c r="T2502" s="5">
        <v>25000</v>
      </c>
      <c r="U2502" s="5">
        <v>75000</v>
      </c>
      <c r="V2502" s="5" t="s">
        <v>11160</v>
      </c>
      <c r="W2502" s="5" t="s">
        <v>36</v>
      </c>
      <c r="X2502" s="5" t="s">
        <v>67</v>
      </c>
      <c r="Z2502" s="5" t="s">
        <v>11161</v>
      </c>
      <c r="AA2502" s="5" t="s">
        <v>69</v>
      </c>
      <c r="AB2502" s="5" t="s">
        <v>11162</v>
      </c>
      <c r="AC2502" s="8" t="str">
        <f>HYPERLINK("https://drive.google.com/file/d/1-yXaS3wK38L-uRirOO5AteVfRADUGvQ4/view?usp=drivesdk", "Abrir_Factura")</f>
        <v>Abrir_Factura</v>
      </c>
      <c r="AD2502" s="9">
        <v>46074.405752314815</v>
      </c>
    </row>
    <row r="2503" spans="1:30" ht="12.5">
      <c r="A2503" s="4">
        <v>46074.404833333334</v>
      </c>
      <c r="B2503" s="5">
        <v>92261</v>
      </c>
      <c r="C2503" s="5">
        <v>1140871853</v>
      </c>
      <c r="D2503" s="5" t="s">
        <v>1719</v>
      </c>
      <c r="F2503" s="5" t="s">
        <v>11163</v>
      </c>
      <c r="H2503" s="5">
        <v>573007881975</v>
      </c>
      <c r="J2503" s="5" t="s">
        <v>11164</v>
      </c>
      <c r="K2503" s="5" t="s">
        <v>33</v>
      </c>
      <c r="L2503" s="5" t="s">
        <v>34</v>
      </c>
      <c r="M2503" s="5">
        <v>3007881975</v>
      </c>
      <c r="N2503" s="6">
        <v>46074</v>
      </c>
      <c r="O2503" s="7">
        <v>0.45833333333333331</v>
      </c>
      <c r="P2503" s="5">
        <v>1</v>
      </c>
      <c r="Q2503" s="5" t="s">
        <v>375</v>
      </c>
      <c r="R2503" s="5">
        <v>80000</v>
      </c>
      <c r="S2503" s="5">
        <v>0</v>
      </c>
      <c r="T2503" s="5">
        <v>0</v>
      </c>
      <c r="U2503" s="5">
        <v>80000</v>
      </c>
      <c r="V2503" s="5" t="s">
        <v>11165</v>
      </c>
      <c r="W2503" s="5" t="s">
        <v>36</v>
      </c>
      <c r="X2503" s="5" t="s">
        <v>67</v>
      </c>
      <c r="Z2503" s="5" t="s">
        <v>11166</v>
      </c>
      <c r="AA2503" s="5" t="s">
        <v>44</v>
      </c>
      <c r="AB2503" s="5" t="s">
        <v>11167</v>
      </c>
      <c r="AC2503" s="8" t="str">
        <f>HYPERLINK("https://drive.google.com/file/d/16Yt31ZTYznFKcIRBy3N7VYzw58289_S6/view?usp=drivesdk", "Abrir_Factura")</f>
        <v>Abrir_Factura</v>
      </c>
      <c r="AD2503" s="9">
        <v>46074.671041666668</v>
      </c>
    </row>
    <row r="2504" spans="1:30" ht="12.5">
      <c r="A2504" s="4">
        <v>46074.422742905095</v>
      </c>
      <c r="B2504" s="5">
        <v>92243</v>
      </c>
      <c r="C2504" s="5">
        <v>1018482816</v>
      </c>
      <c r="D2504" s="5" t="s">
        <v>11168</v>
      </c>
      <c r="F2504" s="5" t="s">
        <v>11169</v>
      </c>
      <c r="H2504" s="5">
        <v>573154014269</v>
      </c>
      <c r="J2504" s="5" t="s">
        <v>11170</v>
      </c>
      <c r="K2504" s="5" t="s">
        <v>79</v>
      </c>
      <c r="L2504" s="5" t="s">
        <v>11171</v>
      </c>
      <c r="M2504" s="5" t="s">
        <v>11172</v>
      </c>
      <c r="N2504" s="6">
        <v>46074</v>
      </c>
      <c r="O2504" s="7">
        <v>0</v>
      </c>
      <c r="P2504" s="5">
        <v>1</v>
      </c>
      <c r="Q2504" s="5" t="s">
        <v>42</v>
      </c>
      <c r="R2504" s="5">
        <v>120000</v>
      </c>
      <c r="S2504" s="5">
        <v>0</v>
      </c>
      <c r="T2504" s="5">
        <v>10000</v>
      </c>
      <c r="U2504" s="5">
        <v>130000</v>
      </c>
      <c r="V2504" s="5" t="s">
        <v>11173</v>
      </c>
      <c r="W2504" s="5" t="s">
        <v>36</v>
      </c>
      <c r="X2504" s="5" t="s">
        <v>180</v>
      </c>
      <c r="Z2504" s="5" t="s">
        <v>11174</v>
      </c>
      <c r="AA2504" s="5" t="s">
        <v>44</v>
      </c>
      <c r="AB2504" s="5" t="s">
        <v>11175</v>
      </c>
      <c r="AC2504" s="8" t="str">
        <f>HYPERLINK("https://drive.google.com/file/d/1BKv3XtrDXUsP8csL9g_BCyecJ_TrTBZK/view?usp=drivesdk", "Abrir_Factura")</f>
        <v>Abrir_Factura</v>
      </c>
      <c r="AD2504" s="9">
        <v>46074.438391203701</v>
      </c>
    </row>
    <row r="2505" spans="1:30" ht="12.5">
      <c r="A2505" s="4">
        <v>46074.429848657412</v>
      </c>
      <c r="B2505" s="5">
        <v>92242</v>
      </c>
      <c r="C2505" s="5">
        <v>900521807</v>
      </c>
      <c r="D2505" s="5" t="s">
        <v>1231</v>
      </c>
      <c r="F2505" s="5" t="s">
        <v>2159</v>
      </c>
      <c r="H2505" s="5">
        <v>573007682024</v>
      </c>
      <c r="J2505" s="5" t="s">
        <v>11176</v>
      </c>
      <c r="K2505" s="5"/>
      <c r="L2505" s="5" t="s">
        <v>11177</v>
      </c>
      <c r="M2505" s="5"/>
      <c r="N2505" s="6">
        <v>46074</v>
      </c>
      <c r="O2505" s="7">
        <v>0</v>
      </c>
      <c r="P2505" s="5">
        <v>1</v>
      </c>
      <c r="Q2505" s="5" t="s">
        <v>42</v>
      </c>
      <c r="R2505" s="5">
        <v>0</v>
      </c>
      <c r="S2505" s="5">
        <v>0</v>
      </c>
      <c r="T2505" s="5"/>
      <c r="U2505" s="5">
        <v>0</v>
      </c>
      <c r="V2505" s="5"/>
      <c r="W2505" s="5" t="s">
        <v>36</v>
      </c>
      <c r="X2505" s="5" t="s">
        <v>43</v>
      </c>
      <c r="AA2505" s="5" t="s">
        <v>44</v>
      </c>
      <c r="AB2505" s="5" t="s">
        <v>11178</v>
      </c>
      <c r="AC2505" s="8" t="str">
        <f>HYPERLINK("https://drive.google.com/file/d/10gIFM7dONXLGk6cuYxxiCVUTvWfOr6QD/view?usp=drivesdk", "Abrir_Factura")</f>
        <v>Abrir_Factura</v>
      </c>
      <c r="AD2505" s="9">
        <v>46074.430266203701</v>
      </c>
    </row>
    <row r="2506" spans="1:30" ht="12.5">
      <c r="A2506" s="4">
        <v>46074.432907349532</v>
      </c>
      <c r="B2506" s="5">
        <v>92244</v>
      </c>
      <c r="C2506" s="5">
        <v>1192779038</v>
      </c>
      <c r="D2506" s="5" t="s">
        <v>11179</v>
      </c>
      <c r="F2506" s="5" t="s">
        <v>11180</v>
      </c>
      <c r="H2506" s="5">
        <v>573113059620</v>
      </c>
      <c r="J2506" s="5" t="s">
        <v>11181</v>
      </c>
      <c r="K2506" s="5" t="s">
        <v>249</v>
      </c>
      <c r="L2506" s="5" t="s">
        <v>11182</v>
      </c>
      <c r="M2506" s="5">
        <v>3113059620</v>
      </c>
      <c r="N2506" s="6">
        <v>46074</v>
      </c>
      <c r="O2506" s="7">
        <v>0</v>
      </c>
      <c r="P2506" s="5">
        <v>1</v>
      </c>
      <c r="Q2506" s="5" t="s">
        <v>11183</v>
      </c>
      <c r="R2506" s="5">
        <v>140000</v>
      </c>
      <c r="S2506" s="5">
        <v>0</v>
      </c>
      <c r="T2506" s="5">
        <v>10000</v>
      </c>
      <c r="U2506" s="5">
        <v>150000</v>
      </c>
      <c r="V2506" s="5" t="s">
        <v>11184</v>
      </c>
      <c r="W2506" s="5" t="s">
        <v>36</v>
      </c>
      <c r="X2506" s="5" t="s">
        <v>1481</v>
      </c>
      <c r="Z2506" s="5" t="s">
        <v>11185</v>
      </c>
      <c r="AA2506" s="5" t="s">
        <v>44</v>
      </c>
      <c r="AC2506" s="8" t="str">
        <f>HYPERLINK("https://drive.google.com/file/d/1VxOO-uTkNre0gCI38XmnG1-t5Tacsscm/view?usp=drivesdk", "Abrir_Factura")</f>
        <v>Abrir_Factura</v>
      </c>
      <c r="AD2506" s="9">
        <v>46074.439629629633</v>
      </c>
    </row>
    <row r="2507" spans="1:30" ht="12.5">
      <c r="A2507" s="4">
        <v>46074.467082129631</v>
      </c>
      <c r="B2507" s="5">
        <v>92245</v>
      </c>
      <c r="C2507" s="5">
        <v>36537556</v>
      </c>
      <c r="D2507" s="5" t="s">
        <v>2344</v>
      </c>
      <c r="F2507" s="5" t="s">
        <v>11186</v>
      </c>
      <c r="H2507" s="5">
        <v>573008019940</v>
      </c>
      <c r="J2507" s="5" t="s">
        <v>11187</v>
      </c>
      <c r="K2507" s="5" t="s">
        <v>33</v>
      </c>
      <c r="L2507" s="5" t="s">
        <v>34</v>
      </c>
      <c r="M2507" s="5">
        <v>3008019940</v>
      </c>
      <c r="N2507" s="6">
        <v>46074</v>
      </c>
      <c r="O2507" s="7">
        <v>0</v>
      </c>
      <c r="P2507" s="5">
        <v>1</v>
      </c>
      <c r="Q2507" s="5" t="s">
        <v>42</v>
      </c>
      <c r="R2507" s="5">
        <v>60000</v>
      </c>
      <c r="S2507" s="5">
        <v>0</v>
      </c>
      <c r="T2507" s="5">
        <v>0</v>
      </c>
      <c r="U2507" s="5">
        <v>60000</v>
      </c>
      <c r="V2507" s="5"/>
      <c r="W2507" s="5" t="s">
        <v>36</v>
      </c>
      <c r="X2507" s="5" t="s">
        <v>1705</v>
      </c>
      <c r="AA2507" s="5" t="s">
        <v>1717</v>
      </c>
      <c r="AB2507" s="5" t="s">
        <v>525</v>
      </c>
      <c r="AC2507" s="8" t="str">
        <f>HYPERLINK("https://drive.google.com/file/d/1WAhq4CTS_lWB5vM9hLzzCmqTNulkYR6E/view?usp=drivesdk", "Abrir_Factura")</f>
        <v>Abrir_Factura</v>
      </c>
      <c r="AD2507" s="9">
        <v>46074.472962962966</v>
      </c>
    </row>
    <row r="2508" spans="1:30" ht="12.5">
      <c r="A2508" s="4">
        <v>46074.48816896991</v>
      </c>
      <c r="B2508" s="5">
        <v>92246</v>
      </c>
      <c r="C2508" s="5">
        <v>1103122240</v>
      </c>
      <c r="D2508" s="5" t="s">
        <v>8139</v>
      </c>
      <c r="F2508" s="5" t="s">
        <v>11188</v>
      </c>
      <c r="H2508" s="5">
        <v>573007261699</v>
      </c>
      <c r="J2508" s="5" t="s">
        <v>11189</v>
      </c>
      <c r="K2508" s="5" t="s">
        <v>33</v>
      </c>
      <c r="L2508" s="5" t="s">
        <v>34</v>
      </c>
      <c r="M2508" s="5">
        <v>3007261699</v>
      </c>
      <c r="N2508" s="6">
        <v>46074</v>
      </c>
      <c r="O2508" s="7">
        <v>0</v>
      </c>
      <c r="P2508" s="5">
        <v>1</v>
      </c>
      <c r="Q2508" s="5" t="s">
        <v>42</v>
      </c>
      <c r="R2508" s="5">
        <v>40000</v>
      </c>
      <c r="S2508" s="5">
        <v>0</v>
      </c>
      <c r="T2508" s="5">
        <v>0</v>
      </c>
      <c r="U2508" s="5">
        <v>40000</v>
      </c>
      <c r="V2508" s="5"/>
      <c r="W2508" s="5" t="s">
        <v>36</v>
      </c>
      <c r="X2508" s="5" t="s">
        <v>1705</v>
      </c>
      <c r="AA2508" s="5" t="s">
        <v>1717</v>
      </c>
      <c r="AB2508" s="5" t="s">
        <v>120</v>
      </c>
      <c r="AC2508" s="8" t="str">
        <f>HYPERLINK("https://drive.google.com/file/d/1321JLXyCUQjN4NeZCS9H_eTghfQjBegt/view?usp=drivesdk", "Abrir_Factura")</f>
        <v>Abrir_Factura</v>
      </c>
      <c r="AD2508" s="9">
        <v>46074.489305555559</v>
      </c>
    </row>
    <row r="2509" spans="1:30" ht="12.5">
      <c r="A2509" s="4">
        <v>46074.49830082176</v>
      </c>
      <c r="B2509" s="5">
        <v>92247</v>
      </c>
      <c r="C2509" s="5">
        <v>1140896296</v>
      </c>
      <c r="D2509" s="5" t="s">
        <v>11190</v>
      </c>
      <c r="F2509" s="5" t="s">
        <v>11191</v>
      </c>
      <c r="H2509" s="5">
        <v>573013984286</v>
      </c>
      <c r="J2509" s="5" t="s">
        <v>11192</v>
      </c>
      <c r="K2509" s="5" t="s">
        <v>33</v>
      </c>
      <c r="L2509" s="5" t="s">
        <v>34</v>
      </c>
      <c r="M2509" s="5">
        <v>3013984286</v>
      </c>
      <c r="N2509" s="6">
        <v>46074</v>
      </c>
      <c r="O2509" s="7">
        <v>0</v>
      </c>
      <c r="P2509" s="5">
        <v>1</v>
      </c>
      <c r="Q2509" s="5" t="s">
        <v>11193</v>
      </c>
      <c r="R2509" s="5">
        <v>110000</v>
      </c>
      <c r="S2509" s="5">
        <v>0</v>
      </c>
      <c r="T2509" s="5">
        <v>0</v>
      </c>
      <c r="U2509" s="5">
        <v>110000</v>
      </c>
      <c r="V2509" s="5"/>
      <c r="W2509" s="5" t="s">
        <v>36</v>
      </c>
      <c r="X2509" s="5" t="s">
        <v>196</v>
      </c>
      <c r="AA2509" s="5" t="s">
        <v>1717</v>
      </c>
      <c r="AC2509" s="8" t="str">
        <f>HYPERLINK("https://drive.google.com/file/d/1Sc5AEThyeldif4OpbRCcCSP6i05V3Hjl/view?usp=drivesdk", "Abrir_Factura")</f>
        <v>Abrir_Factura</v>
      </c>
      <c r="AD2509" s="9">
        <v>46074.498854166668</v>
      </c>
    </row>
    <row r="2510" spans="1:30" ht="12.5">
      <c r="A2510" s="4">
        <v>46074.499650208338</v>
      </c>
      <c r="B2510" s="5">
        <v>92250</v>
      </c>
      <c r="C2510" s="5">
        <v>1194964537</v>
      </c>
      <c r="D2510" s="5" t="s">
        <v>11194</v>
      </c>
      <c r="F2510" s="5" t="s">
        <v>11195</v>
      </c>
      <c r="H2510" s="5">
        <v>573113533859</v>
      </c>
      <c r="J2510" s="5" t="s">
        <v>11196</v>
      </c>
      <c r="K2510" s="5" t="s">
        <v>185</v>
      </c>
      <c r="L2510" s="5" t="s">
        <v>11197</v>
      </c>
      <c r="M2510" s="5">
        <v>3113533859</v>
      </c>
      <c r="N2510" s="6">
        <v>46074</v>
      </c>
      <c r="O2510" s="7">
        <v>0.58333333333333337</v>
      </c>
      <c r="P2510" s="5">
        <v>1</v>
      </c>
      <c r="Q2510" s="5" t="s">
        <v>375</v>
      </c>
      <c r="R2510" s="5">
        <v>80000</v>
      </c>
      <c r="S2510" s="5">
        <v>0</v>
      </c>
      <c r="T2510" s="5">
        <v>8000</v>
      </c>
      <c r="U2510" s="5">
        <v>88000</v>
      </c>
      <c r="V2510" s="5" t="s">
        <v>11198</v>
      </c>
      <c r="W2510" s="5" t="s">
        <v>36</v>
      </c>
      <c r="X2510" s="5" t="s">
        <v>67</v>
      </c>
      <c r="Z2510" s="5" t="s">
        <v>11199</v>
      </c>
      <c r="AA2510" s="5" t="s">
        <v>44</v>
      </c>
      <c r="AC2510" s="8" t="str">
        <f>HYPERLINK("https://drive.google.com/file/d/1mLzFrDMegtPC3qlclLknApV1QPJtWDW7/view?usp=drivesdk", "Abrir_Factura")</f>
        <v>Abrir_Factura</v>
      </c>
      <c r="AD2510" s="9">
        <v>46074.517708333333</v>
      </c>
    </row>
    <row r="2511" spans="1:30" ht="12.5">
      <c r="A2511" s="4">
        <v>46074.503373622691</v>
      </c>
      <c r="B2511" s="5">
        <v>92248</v>
      </c>
      <c r="C2511" s="5">
        <v>1041895928</v>
      </c>
      <c r="D2511" s="5" t="s">
        <v>11200</v>
      </c>
      <c r="F2511" s="5" t="s">
        <v>7880</v>
      </c>
      <c r="H2511" s="5">
        <v>573046304222</v>
      </c>
      <c r="J2511" s="5" t="s">
        <v>11201</v>
      </c>
      <c r="K2511" s="5" t="s">
        <v>33</v>
      </c>
      <c r="L2511" s="5" t="s">
        <v>34</v>
      </c>
      <c r="M2511" s="5">
        <v>3046304222</v>
      </c>
      <c r="N2511" s="6">
        <v>46074</v>
      </c>
      <c r="O2511" s="7">
        <v>0</v>
      </c>
      <c r="P2511" s="5">
        <v>1</v>
      </c>
      <c r="Q2511" s="5" t="s">
        <v>65</v>
      </c>
      <c r="R2511" s="5">
        <v>80000</v>
      </c>
      <c r="S2511" s="5">
        <v>0</v>
      </c>
      <c r="T2511" s="5">
        <v>0</v>
      </c>
      <c r="U2511" s="5">
        <v>80000</v>
      </c>
      <c r="V2511" s="5"/>
      <c r="W2511" s="5" t="s">
        <v>36</v>
      </c>
      <c r="X2511" s="5" t="s">
        <v>1705</v>
      </c>
      <c r="AA2511" s="5" t="s">
        <v>1717</v>
      </c>
      <c r="AC2511" s="8" t="str">
        <f>HYPERLINK("https://drive.google.com/file/d/1VausW-FbeBhPXmx1s-oJ2Z9HHIAmvtlS/view?usp=drivesdk", "Abrir_Factura")</f>
        <v>Abrir_Factura</v>
      </c>
      <c r="AD2511" s="9">
        <v>46074.50409722222</v>
      </c>
    </row>
    <row r="2512" spans="1:30" ht="12.5">
      <c r="A2512" s="4">
        <v>46074.51064706019</v>
      </c>
      <c r="B2512" s="5">
        <v>92249</v>
      </c>
      <c r="C2512" s="5">
        <v>22584758</v>
      </c>
      <c r="D2512" s="5" t="s">
        <v>4897</v>
      </c>
      <c r="F2512" s="5" t="s">
        <v>4898</v>
      </c>
      <c r="H2512" s="5">
        <v>573106242990</v>
      </c>
      <c r="J2512" s="5" t="s">
        <v>4899</v>
      </c>
      <c r="K2512" s="5" t="s">
        <v>103</v>
      </c>
      <c r="L2512" s="5" t="s">
        <v>11202</v>
      </c>
      <c r="M2512" s="5"/>
      <c r="N2512" s="6">
        <v>46074</v>
      </c>
      <c r="O2512" s="7">
        <v>0</v>
      </c>
      <c r="P2512" s="5">
        <v>1</v>
      </c>
      <c r="Q2512" s="5" t="s">
        <v>42</v>
      </c>
      <c r="R2512" s="5">
        <v>91000</v>
      </c>
      <c r="S2512" s="5">
        <v>0</v>
      </c>
      <c r="T2512" s="5">
        <v>10000</v>
      </c>
      <c r="U2512" s="5">
        <v>101000</v>
      </c>
      <c r="V2512" s="5"/>
      <c r="W2512" s="5" t="s">
        <v>36</v>
      </c>
      <c r="X2512" s="5" t="s">
        <v>67</v>
      </c>
      <c r="AA2512" s="5" t="s">
        <v>44</v>
      </c>
      <c r="AB2512" s="5" t="s">
        <v>11203</v>
      </c>
      <c r="AC2512" s="8" t="str">
        <f>HYPERLINK("https://drive.google.com/file/d/1fESFAfeL3oepQcTlSs4Wg2_xmZY0D5Tj/view?usp=drivesdk", "Abrir_Factura")</f>
        <v>Abrir_Factura</v>
      </c>
      <c r="AD2512" s="9">
        <v>46074.512025462966</v>
      </c>
    </row>
    <row r="2513" spans="1:30" ht="12.5">
      <c r="A2513" s="4">
        <v>46074.521482881944</v>
      </c>
      <c r="B2513" s="5">
        <v>92251</v>
      </c>
      <c r="C2513" s="5">
        <v>1140874248</v>
      </c>
      <c r="D2513" s="5" t="s">
        <v>8150</v>
      </c>
      <c r="F2513" s="5" t="s">
        <v>11204</v>
      </c>
      <c r="H2513" s="5">
        <v>573045341900</v>
      </c>
      <c r="J2513" s="5" t="s">
        <v>11205</v>
      </c>
      <c r="K2513" s="5" t="s">
        <v>161</v>
      </c>
      <c r="L2513" s="5" t="s">
        <v>11206</v>
      </c>
      <c r="M2513" s="5"/>
      <c r="N2513" s="6">
        <v>46074</v>
      </c>
      <c r="O2513" s="7">
        <v>0</v>
      </c>
      <c r="P2513" s="5">
        <v>1</v>
      </c>
      <c r="Q2513" s="5" t="s">
        <v>42</v>
      </c>
      <c r="R2513" s="5">
        <v>80000</v>
      </c>
      <c r="S2513" s="5">
        <v>0</v>
      </c>
      <c r="T2513" s="5">
        <v>8000</v>
      </c>
      <c r="U2513" s="5">
        <v>88000</v>
      </c>
      <c r="V2513" s="5"/>
      <c r="W2513" s="5" t="s">
        <v>36</v>
      </c>
      <c r="X2513" s="5" t="s">
        <v>1481</v>
      </c>
      <c r="AA2513" s="5" t="s">
        <v>44</v>
      </c>
      <c r="AB2513" s="5" t="s">
        <v>11207</v>
      </c>
      <c r="AC2513" s="8" t="str">
        <f>HYPERLINK("https://drive.google.com/file/d/1Ja7q6bJMO7tJ1VuyAq_Sn9S9t_h4eL8Q/view?usp=drivesdk", "Abrir_Factura")</f>
        <v>Abrir_Factura</v>
      </c>
      <c r="AD2513" s="9">
        <v>46074.522499999999</v>
      </c>
    </row>
    <row r="2514" spans="1:30" ht="12.5">
      <c r="A2514" s="4">
        <v>46074.54292143519</v>
      </c>
      <c r="B2514" s="5">
        <v>92252</v>
      </c>
      <c r="C2514" s="5">
        <v>1063148277</v>
      </c>
      <c r="D2514" s="5" t="s">
        <v>11208</v>
      </c>
      <c r="F2514" s="5" t="s">
        <v>11209</v>
      </c>
      <c r="H2514" s="5">
        <v>573243330422</v>
      </c>
      <c r="J2514" s="5" t="s">
        <v>11210</v>
      </c>
      <c r="K2514" s="5" t="s">
        <v>63</v>
      </c>
      <c r="L2514" s="5" t="s">
        <v>11211</v>
      </c>
      <c r="M2514" s="5">
        <v>3225960096</v>
      </c>
      <c r="N2514" s="6">
        <v>46074</v>
      </c>
      <c r="O2514" s="7">
        <v>0.625</v>
      </c>
      <c r="P2514" s="5">
        <v>1</v>
      </c>
      <c r="Q2514" s="5" t="s">
        <v>380</v>
      </c>
      <c r="R2514" s="5">
        <v>340000</v>
      </c>
      <c r="S2514" s="5">
        <v>0</v>
      </c>
      <c r="T2514" s="5">
        <v>17000</v>
      </c>
      <c r="U2514" s="5">
        <v>357000</v>
      </c>
      <c r="V2514" s="5" t="s">
        <v>11212</v>
      </c>
      <c r="W2514" s="5" t="s">
        <v>36</v>
      </c>
      <c r="X2514" s="5" t="s">
        <v>180</v>
      </c>
      <c r="AA2514" s="5" t="s">
        <v>69</v>
      </c>
      <c r="AC2514" s="8" t="str">
        <f>HYPERLINK("https://drive.google.com/file/d/1xfiGHRBElbna5ot00lIbWjabnfj8ZA56/view?usp=drivesdk", "Abrir_Factura")</f>
        <v>Abrir_Factura</v>
      </c>
      <c r="AD2514" s="9">
        <v>46074.543738425928</v>
      </c>
    </row>
    <row r="2515" spans="1:30" ht="12.5">
      <c r="A2515" s="4">
        <v>46074.546725671295</v>
      </c>
      <c r="B2515" s="5">
        <v>92253</v>
      </c>
      <c r="C2515" s="5">
        <v>72294631</v>
      </c>
      <c r="D2515" s="5" t="s">
        <v>2418</v>
      </c>
      <c r="F2515" s="5" t="s">
        <v>11213</v>
      </c>
      <c r="H2515" s="5">
        <v>573137609962</v>
      </c>
      <c r="J2515" s="5" t="s">
        <v>11214</v>
      </c>
      <c r="K2515" s="5" t="s">
        <v>193</v>
      </c>
      <c r="L2515" s="5" t="s">
        <v>11215</v>
      </c>
      <c r="M2515" s="5"/>
      <c r="N2515" s="6">
        <v>46074</v>
      </c>
      <c r="O2515" s="7">
        <v>0.625</v>
      </c>
      <c r="P2515" s="5">
        <v>1</v>
      </c>
      <c r="Q2515" s="5" t="s">
        <v>11216</v>
      </c>
      <c r="R2515" s="5">
        <v>130000</v>
      </c>
      <c r="S2515" s="5">
        <v>0</v>
      </c>
      <c r="T2515" s="5">
        <v>15000</v>
      </c>
      <c r="U2515" s="5">
        <v>145000</v>
      </c>
      <c r="V2515" s="5" t="s">
        <v>11217</v>
      </c>
      <c r="W2515" s="5" t="s">
        <v>36</v>
      </c>
      <c r="X2515" s="5" t="s">
        <v>67</v>
      </c>
      <c r="AA2515" s="5" t="s">
        <v>44</v>
      </c>
      <c r="AC2515" s="8" t="str">
        <f>HYPERLINK("https://drive.google.com/file/d/1A50vf1PIJLqeroKxG3mbaER3V6yT2F89/view?usp=drivesdk", "Abrir_Factura")</f>
        <v>Abrir_Factura</v>
      </c>
      <c r="AD2515" s="9">
        <v>46074.547523148147</v>
      </c>
    </row>
    <row r="2516" spans="1:30" ht="12.5">
      <c r="A2516" s="4">
        <v>46074.556974224535</v>
      </c>
      <c r="B2516" s="5">
        <v>92259</v>
      </c>
      <c r="C2516" s="5">
        <v>1129519879</v>
      </c>
      <c r="D2516" s="5" t="s">
        <v>711</v>
      </c>
      <c r="F2516" s="5" t="s">
        <v>11218</v>
      </c>
      <c r="H2516" s="5">
        <v>573006304445</v>
      </c>
      <c r="J2516" s="5" t="s">
        <v>11219</v>
      </c>
      <c r="K2516" s="5" t="s">
        <v>892</v>
      </c>
      <c r="L2516" s="5" t="s">
        <v>11220</v>
      </c>
      <c r="M2516" s="5"/>
      <c r="N2516" s="6">
        <v>46074</v>
      </c>
      <c r="O2516" s="7">
        <v>0</v>
      </c>
      <c r="P2516" s="5">
        <v>1</v>
      </c>
      <c r="Q2516" s="5" t="s">
        <v>1203</v>
      </c>
      <c r="R2516" s="5">
        <v>300000</v>
      </c>
      <c r="S2516" s="5">
        <v>0</v>
      </c>
      <c r="T2516" s="5">
        <v>10000</v>
      </c>
      <c r="U2516" s="5">
        <v>310000</v>
      </c>
      <c r="V2516" s="5" t="s">
        <v>11221</v>
      </c>
      <c r="W2516" s="5" t="s">
        <v>36</v>
      </c>
      <c r="X2516" s="5" t="s">
        <v>1481</v>
      </c>
      <c r="Z2516" s="5" t="s">
        <v>711</v>
      </c>
      <c r="AA2516" s="5" t="s">
        <v>44</v>
      </c>
      <c r="AC2516" s="8" t="str">
        <f>HYPERLINK("https://drive.google.com/file/d/1D2wxjLQjPh5vPfFUuStK_mA6mMrqc16c/view?usp=drivesdk", "Abrir_Factura")</f>
        <v>Abrir_Factura</v>
      </c>
      <c r="AD2516" s="9">
        <v>46074.614618055559</v>
      </c>
    </row>
    <row r="2517" spans="1:30" ht="12.5">
      <c r="A2517" s="4">
        <v>46074.570765115743</v>
      </c>
      <c r="B2517" s="5">
        <v>92254</v>
      </c>
      <c r="C2517" s="5">
        <v>1129572016</v>
      </c>
      <c r="D2517" s="5" t="s">
        <v>11222</v>
      </c>
      <c r="F2517" s="5" t="s">
        <v>11223</v>
      </c>
      <c r="H2517" s="5">
        <v>573008001961</v>
      </c>
      <c r="J2517" s="5" t="s">
        <v>11224</v>
      </c>
      <c r="K2517" s="5" t="s">
        <v>161</v>
      </c>
      <c r="L2517" s="5" t="s">
        <v>11225</v>
      </c>
      <c r="M2517" s="5"/>
      <c r="N2517" s="6">
        <v>46074</v>
      </c>
      <c r="O2517" s="7">
        <v>0</v>
      </c>
      <c r="P2517" s="5">
        <v>1</v>
      </c>
      <c r="Q2517" s="5" t="s">
        <v>42</v>
      </c>
      <c r="R2517" s="5">
        <v>48000</v>
      </c>
      <c r="S2517" s="5">
        <v>0</v>
      </c>
      <c r="T2517" s="5">
        <v>8000</v>
      </c>
      <c r="U2517" s="5">
        <v>56000</v>
      </c>
      <c r="V2517" s="5"/>
      <c r="W2517" s="5" t="s">
        <v>36</v>
      </c>
      <c r="X2517" s="5" t="s">
        <v>1481</v>
      </c>
      <c r="AA2517" s="5" t="s">
        <v>44</v>
      </c>
      <c r="AB2517" s="5" t="s">
        <v>11226</v>
      </c>
      <c r="AC2517" s="8" t="str">
        <f>HYPERLINK("https://drive.google.com/file/d/10nrniW8KJ6-40W4-YlQjdLdiJ3vIR17v/view?usp=drivesdk", "Abrir_Factura")</f>
        <v>Abrir_Factura</v>
      </c>
      <c r="AD2517" s="9">
        <v>46076.623171296298</v>
      </c>
    </row>
    <row r="2518" spans="1:30" ht="12.5">
      <c r="A2518" s="4">
        <v>46074.571688391203</v>
      </c>
      <c r="B2518" s="5">
        <v>92257</v>
      </c>
      <c r="C2518" s="5">
        <v>7864733939</v>
      </c>
      <c r="D2518" s="5" t="s">
        <v>11227</v>
      </c>
      <c r="F2518" s="5" t="s">
        <v>640</v>
      </c>
      <c r="H2518" s="5">
        <v>14073719345</v>
      </c>
      <c r="J2518" s="5" t="s">
        <v>11228</v>
      </c>
      <c r="K2518" s="5" t="s">
        <v>2218</v>
      </c>
      <c r="L2518" s="5" t="s">
        <v>11229</v>
      </c>
      <c r="M2518" s="5" t="s">
        <v>11230</v>
      </c>
      <c r="N2518" s="6">
        <v>46079</v>
      </c>
      <c r="O2518" s="7">
        <v>0.70833333333333337</v>
      </c>
      <c r="P2518" s="5">
        <v>1</v>
      </c>
      <c r="Q2518" s="5" t="s">
        <v>1597</v>
      </c>
      <c r="R2518" s="5">
        <v>450000</v>
      </c>
      <c r="S2518" s="5">
        <v>0</v>
      </c>
      <c r="T2518" s="5">
        <v>50000</v>
      </c>
      <c r="U2518" s="5">
        <v>500000</v>
      </c>
      <c r="V2518" s="5" t="s">
        <v>11231</v>
      </c>
      <c r="W2518" s="5" t="s">
        <v>36</v>
      </c>
      <c r="X2518" s="5" t="s">
        <v>1937</v>
      </c>
      <c r="Z2518" s="5" t="s">
        <v>11232</v>
      </c>
      <c r="AA2518" s="5" t="s">
        <v>44</v>
      </c>
      <c r="AC2518" s="8" t="str">
        <f>HYPERLINK("https://drive.google.com/file/d/1aEDYa_81KiYxVwefbm36g3jkWpJUABv4/view?usp=drivesdk", "Abrir_Factura")</f>
        <v>Abrir_Factura</v>
      </c>
      <c r="AD2518" s="9">
        <v>46074.596631944441</v>
      </c>
    </row>
    <row r="2519" spans="1:30" ht="12.5">
      <c r="A2519" s="4">
        <v>46074.58679883102</v>
      </c>
      <c r="B2519" s="5">
        <v>92255</v>
      </c>
      <c r="C2519" s="5">
        <v>32719120</v>
      </c>
      <c r="D2519" s="5" t="s">
        <v>2594</v>
      </c>
      <c r="F2519" s="5" t="s">
        <v>2595</v>
      </c>
      <c r="H2519" s="5">
        <v>573157183766</v>
      </c>
      <c r="J2519" s="5" t="s">
        <v>2596</v>
      </c>
      <c r="K2519" s="5" t="s">
        <v>33</v>
      </c>
      <c r="L2519" s="5" t="s">
        <v>34</v>
      </c>
      <c r="M2519" s="5">
        <v>3157183766</v>
      </c>
      <c r="N2519" s="6">
        <v>46074</v>
      </c>
      <c r="O2519" s="7">
        <v>0</v>
      </c>
      <c r="P2519" s="5">
        <v>1</v>
      </c>
      <c r="Q2519" s="5" t="s">
        <v>309</v>
      </c>
      <c r="R2519" s="5">
        <v>88000</v>
      </c>
      <c r="S2519" s="5">
        <v>0</v>
      </c>
      <c r="T2519" s="5">
        <v>0</v>
      </c>
      <c r="U2519" s="5">
        <v>88000</v>
      </c>
      <c r="V2519" s="5"/>
      <c r="W2519" s="5" t="s">
        <v>36</v>
      </c>
      <c r="X2519" s="5" t="s">
        <v>2636</v>
      </c>
      <c r="AA2519" s="5" t="s">
        <v>1717</v>
      </c>
      <c r="AC2519" s="8" t="str">
        <f>HYPERLINK("https://drive.google.com/file/d/1eCDcAAv6hs8HFEgLBA0f0IR6Nb8lwtU7/view?usp=drivesdk", "Abrir_Factura")</f>
        <v>Abrir_Factura</v>
      </c>
      <c r="AD2519" s="9">
        <v>46074.588483796295</v>
      </c>
    </row>
    <row r="2520" spans="1:30" ht="12.5">
      <c r="A2520" s="4">
        <v>46074.590279259261</v>
      </c>
      <c r="B2520" s="5">
        <v>92256</v>
      </c>
      <c r="C2520" s="5">
        <v>32719120</v>
      </c>
      <c r="D2520" s="5" t="s">
        <v>2594</v>
      </c>
      <c r="F2520" s="5" t="s">
        <v>2595</v>
      </c>
      <c r="H2520" s="5">
        <v>573157183766</v>
      </c>
      <c r="J2520" s="5" t="s">
        <v>2596</v>
      </c>
      <c r="K2520" s="5" t="s">
        <v>33</v>
      </c>
      <c r="L2520" s="5" t="s">
        <v>34</v>
      </c>
      <c r="M2520" s="5">
        <v>3157183766</v>
      </c>
      <c r="N2520" s="6">
        <v>46074</v>
      </c>
      <c r="O2520" s="7">
        <v>0</v>
      </c>
      <c r="P2520" s="5">
        <v>1</v>
      </c>
      <c r="Q2520" s="5" t="s">
        <v>42</v>
      </c>
      <c r="R2520" s="5">
        <v>102000</v>
      </c>
      <c r="S2520" s="5">
        <v>0</v>
      </c>
      <c r="T2520" s="5">
        <v>0</v>
      </c>
      <c r="U2520" s="5">
        <v>102000</v>
      </c>
      <c r="V2520" s="5"/>
      <c r="W2520" s="5" t="s">
        <v>36</v>
      </c>
      <c r="X2520" s="5" t="s">
        <v>2636</v>
      </c>
      <c r="AA2520" s="5" t="s">
        <v>1717</v>
      </c>
      <c r="AC2520" s="8" t="str">
        <f>HYPERLINK("https://drive.google.com/file/d/1tG3pk22fjDVvDlQhf01mL-gdOg-VltNg/view?usp=drivesdk", "Abrir_Factura")</f>
        <v>Abrir_Factura</v>
      </c>
      <c r="AD2520" s="9">
        <v>46074.593877314815</v>
      </c>
    </row>
    <row r="2521" spans="1:30" ht="12.5">
      <c r="A2521" s="4">
        <v>46074.611897013892</v>
      </c>
      <c r="B2521" s="5">
        <v>92258</v>
      </c>
      <c r="C2521" s="5">
        <v>1140864831</v>
      </c>
      <c r="D2521" s="5" t="s">
        <v>11233</v>
      </c>
      <c r="F2521" s="5" t="s">
        <v>11234</v>
      </c>
      <c r="H2521" s="5">
        <v>573008904562</v>
      </c>
      <c r="J2521" s="5" t="s">
        <v>11235</v>
      </c>
      <c r="K2521" s="5" t="s">
        <v>33</v>
      </c>
      <c r="L2521" s="5" t="s">
        <v>34</v>
      </c>
      <c r="M2521" s="5">
        <v>3008904562</v>
      </c>
      <c r="N2521" s="6">
        <v>46074</v>
      </c>
      <c r="O2521" s="7">
        <v>0</v>
      </c>
      <c r="P2521" s="5">
        <v>1</v>
      </c>
      <c r="Q2521" s="5" t="s">
        <v>309</v>
      </c>
      <c r="R2521" s="5">
        <v>88000</v>
      </c>
      <c r="S2521" s="5">
        <v>0</v>
      </c>
      <c r="T2521" s="5">
        <v>0</v>
      </c>
      <c r="U2521" s="5">
        <v>88000</v>
      </c>
      <c r="V2521" s="5"/>
      <c r="W2521" s="5" t="s">
        <v>36</v>
      </c>
      <c r="X2521" s="5" t="s">
        <v>37</v>
      </c>
      <c r="AA2521" s="5" t="s">
        <v>37</v>
      </c>
      <c r="AC2521" s="8" t="str">
        <f>HYPERLINK("https://drive.google.com/file/d/13JomN4IT61LtT0mhWYnOJq-EHen3sQNA/view?usp=drivesdk", "Abrir_Factura")</f>
        <v>Abrir_Factura</v>
      </c>
      <c r="AD2521" s="9">
        <v>46074.612569444442</v>
      </c>
    </row>
    <row r="2522" spans="1:30" ht="12.5">
      <c r="A2522" s="4">
        <v>46074.644521620372</v>
      </c>
      <c r="B2522" s="5">
        <v>92260</v>
      </c>
      <c r="C2522" s="5">
        <v>1065851783</v>
      </c>
      <c r="D2522" s="5" t="s">
        <v>698</v>
      </c>
      <c r="F2522" s="5" t="s">
        <v>11236</v>
      </c>
      <c r="H2522" s="5">
        <v>573222149571</v>
      </c>
      <c r="J2522" s="5" t="s">
        <v>11237</v>
      </c>
      <c r="K2522" s="5" t="s">
        <v>33</v>
      </c>
      <c r="L2522" s="5" t="s">
        <v>34</v>
      </c>
      <c r="M2522" s="5" t="s">
        <v>11238</v>
      </c>
      <c r="N2522" s="6">
        <v>46074</v>
      </c>
      <c r="O2522" s="7">
        <v>0</v>
      </c>
      <c r="P2522" s="5">
        <v>1</v>
      </c>
      <c r="Q2522" s="5" t="s">
        <v>458</v>
      </c>
      <c r="R2522" s="5">
        <v>360000</v>
      </c>
      <c r="S2522" s="5">
        <v>0</v>
      </c>
      <c r="T2522" s="5">
        <v>0</v>
      </c>
      <c r="U2522" s="5">
        <v>360000</v>
      </c>
      <c r="V2522" s="5" t="s">
        <v>11239</v>
      </c>
      <c r="W2522" s="5" t="s">
        <v>36</v>
      </c>
      <c r="X2522" s="5" t="s">
        <v>1481</v>
      </c>
      <c r="AA2522" s="5" t="s">
        <v>69</v>
      </c>
      <c r="AC2522" s="8" t="str">
        <f>HYPERLINK("https://drive.google.com/file/d/1bHzUMz8eWUJon1aDelFJQ2NswQlu7s-T/view?usp=drivesdk", "Abrir_Factura")</f>
        <v>Abrir_Factura</v>
      </c>
      <c r="AD2522" s="9">
        <v>46074.644976851851</v>
      </c>
    </row>
    <row r="2523" spans="1:30" ht="12.5">
      <c r="A2523" s="4">
        <v>46074.674604201384</v>
      </c>
      <c r="B2523" s="5">
        <v>92262</v>
      </c>
      <c r="C2523" s="5">
        <v>1193485390</v>
      </c>
      <c r="D2523" s="5" t="s">
        <v>3352</v>
      </c>
      <c r="F2523" s="5" t="s">
        <v>11240</v>
      </c>
      <c r="H2523" s="5">
        <v>573148727726</v>
      </c>
      <c r="J2523" s="5" t="s">
        <v>11241</v>
      </c>
      <c r="K2523" s="5" t="s">
        <v>6662</v>
      </c>
      <c r="L2523" s="5" t="s">
        <v>11242</v>
      </c>
      <c r="M2523" s="5">
        <v>3148727726</v>
      </c>
      <c r="N2523" s="6">
        <v>46074</v>
      </c>
      <c r="O2523" s="7">
        <v>0</v>
      </c>
      <c r="P2523" s="5">
        <v>1</v>
      </c>
      <c r="Q2523" s="5" t="s">
        <v>309</v>
      </c>
      <c r="R2523" s="5">
        <v>88000</v>
      </c>
      <c r="S2523" s="5">
        <v>0</v>
      </c>
      <c r="T2523" s="5">
        <v>15000</v>
      </c>
      <c r="U2523" s="5">
        <v>103000</v>
      </c>
      <c r="V2523" s="5"/>
      <c r="W2523" s="5" t="s">
        <v>36</v>
      </c>
      <c r="X2523" s="5" t="s">
        <v>1705</v>
      </c>
      <c r="AA2523" s="5" t="s">
        <v>1717</v>
      </c>
      <c r="AC2523" s="8" t="str">
        <f>HYPERLINK("https://drive.google.com/file/d/1Z2zg1gnAY0YcLc8h5_K9T40N4GwqzUll/view?usp=drivesdk", "Abrir_Factura")</f>
        <v>Abrir_Factura</v>
      </c>
      <c r="AD2523" s="9">
        <v>46074.676944444444</v>
      </c>
    </row>
    <row r="2524" spans="1:30" ht="12.5">
      <c r="A2524" s="4">
        <v>46074.683002557867</v>
      </c>
      <c r="B2524" s="5">
        <v>92263</v>
      </c>
      <c r="C2524" s="5">
        <v>0</v>
      </c>
      <c r="D2524" s="5" t="s">
        <v>11243</v>
      </c>
      <c r="F2524" s="5" t="s">
        <v>11244</v>
      </c>
      <c r="H2524" s="5">
        <v>57000000</v>
      </c>
      <c r="J2524" s="5" t="s">
        <v>11245</v>
      </c>
      <c r="K2524" s="5" t="s">
        <v>33</v>
      </c>
      <c r="L2524" s="5" t="s">
        <v>34</v>
      </c>
      <c r="M2524" s="5">
        <v>0</v>
      </c>
      <c r="N2524" s="6">
        <v>46074</v>
      </c>
      <c r="O2524" s="7">
        <v>0</v>
      </c>
      <c r="P2524" s="5">
        <v>1</v>
      </c>
      <c r="Q2524" s="5" t="s">
        <v>75</v>
      </c>
      <c r="R2524" s="5">
        <v>80000</v>
      </c>
      <c r="S2524" s="5">
        <v>0</v>
      </c>
      <c r="T2524" s="5">
        <v>0</v>
      </c>
      <c r="U2524" s="5">
        <v>80000</v>
      </c>
      <c r="V2524" s="5"/>
      <c r="W2524" s="5" t="s">
        <v>36</v>
      </c>
      <c r="X2524" s="5" t="s">
        <v>196</v>
      </c>
      <c r="AA2524" s="5" t="s">
        <v>1717</v>
      </c>
      <c r="AC2524" s="8" t="str">
        <f>HYPERLINK("https://drive.google.com/file/d/1Q024EqRYu6L3L2EcRwuJy98RSGSJQPVS/view?usp=drivesdk", "Abrir_Factura")</f>
        <v>Abrir_Factura</v>
      </c>
      <c r="AD2524" s="9">
        <v>46074.683634259258</v>
      </c>
    </row>
    <row r="2525" spans="1:30" ht="12.5">
      <c r="A2525" s="4">
        <v>46074.700813981486</v>
      </c>
      <c r="B2525" s="5">
        <v>92264</v>
      </c>
      <c r="C2525" s="5">
        <v>1043927139</v>
      </c>
      <c r="D2525" s="5" t="s">
        <v>3499</v>
      </c>
      <c r="F2525" s="5" t="s">
        <v>11246</v>
      </c>
      <c r="H2525" s="5">
        <v>573205403201</v>
      </c>
      <c r="J2525" s="5" t="s">
        <v>11247</v>
      </c>
      <c r="K2525" s="5" t="s">
        <v>11248</v>
      </c>
      <c r="L2525" s="5" t="s">
        <v>11249</v>
      </c>
      <c r="M2525" s="5"/>
      <c r="N2525" s="6">
        <v>46074</v>
      </c>
      <c r="O2525" s="7">
        <v>0</v>
      </c>
      <c r="P2525" s="5">
        <v>1</v>
      </c>
      <c r="Q2525" s="5" t="s">
        <v>330</v>
      </c>
      <c r="R2525" s="5">
        <v>200000</v>
      </c>
      <c r="S2525" s="5">
        <v>0</v>
      </c>
      <c r="T2525" s="5">
        <v>15000</v>
      </c>
      <c r="U2525" s="5">
        <v>215000</v>
      </c>
      <c r="V2525" s="5" t="s">
        <v>11250</v>
      </c>
      <c r="W2525" s="5" t="s">
        <v>36</v>
      </c>
      <c r="X2525" s="5" t="s">
        <v>1481</v>
      </c>
      <c r="AA2525" s="5" t="s">
        <v>69</v>
      </c>
      <c r="AC2525" s="8" t="str">
        <f>HYPERLINK("https://drive.google.com/file/d/1fYGeUZjVnINAHtS6iPOXzZOAKT63OUuJ/view?usp=drivesdk", "Abrir_Factura")</f>
        <v>Abrir_Factura</v>
      </c>
      <c r="AD2525" s="9">
        <v>46074.701435185183</v>
      </c>
    </row>
    <row r="2526" spans="1:30" ht="12.5">
      <c r="A2526" s="4">
        <v>46074.703767395833</v>
      </c>
      <c r="B2526" s="5">
        <v>92267</v>
      </c>
      <c r="C2526" s="5">
        <v>1102828311</v>
      </c>
      <c r="D2526" s="5" t="s">
        <v>11251</v>
      </c>
      <c r="F2526" s="5" t="s">
        <v>11252</v>
      </c>
      <c r="H2526" s="5">
        <v>573014014792</v>
      </c>
      <c r="J2526" s="5" t="s">
        <v>1222</v>
      </c>
      <c r="K2526" s="5" t="s">
        <v>328</v>
      </c>
      <c r="L2526" s="5" t="s">
        <v>11253</v>
      </c>
      <c r="M2526" s="5">
        <v>3145513701</v>
      </c>
      <c r="N2526" s="6">
        <v>46075</v>
      </c>
      <c r="O2526" s="7">
        <v>0</v>
      </c>
      <c r="P2526" s="5">
        <v>1</v>
      </c>
      <c r="Q2526" s="5" t="s">
        <v>309</v>
      </c>
      <c r="R2526" s="5">
        <v>88000</v>
      </c>
      <c r="S2526" s="5">
        <v>0</v>
      </c>
      <c r="T2526" s="5">
        <v>15000</v>
      </c>
      <c r="U2526" s="5">
        <v>103000</v>
      </c>
      <c r="V2526" s="5" t="s">
        <v>11254</v>
      </c>
      <c r="W2526" s="5" t="s">
        <v>36</v>
      </c>
      <c r="X2526" s="5" t="s">
        <v>1481</v>
      </c>
      <c r="Z2526" s="5" t="s">
        <v>11255</v>
      </c>
      <c r="AA2526" s="5" t="s">
        <v>44</v>
      </c>
      <c r="AB2526" s="5" t="s">
        <v>11256</v>
      </c>
      <c r="AC2526" s="8" t="str">
        <f>HYPERLINK("https://drive.google.com/file/d/1oqd3I88ToIK93w1VTYlILKUS3xgf8qI2/view?usp=drivesdk", "Abrir_Factura")</f>
        <v>Abrir_Factura</v>
      </c>
      <c r="AD2526" s="9">
        <v>46076.695138888892</v>
      </c>
    </row>
    <row r="2527" spans="1:30" ht="12.5">
      <c r="A2527" s="4">
        <v>46074.704155694446</v>
      </c>
      <c r="B2527" s="5">
        <v>92265</v>
      </c>
      <c r="C2527" s="5">
        <v>52954663</v>
      </c>
      <c r="D2527" s="5" t="s">
        <v>7457</v>
      </c>
      <c r="F2527" s="5" t="s">
        <v>10219</v>
      </c>
      <c r="H2527" s="5">
        <v>573213518800</v>
      </c>
      <c r="J2527" s="5" t="s">
        <v>10220</v>
      </c>
      <c r="K2527" s="5" t="s">
        <v>33</v>
      </c>
      <c r="L2527" s="5" t="s">
        <v>34</v>
      </c>
      <c r="M2527" s="5">
        <v>3213518800</v>
      </c>
      <c r="N2527" s="6">
        <v>46074</v>
      </c>
      <c r="O2527" s="7">
        <v>0</v>
      </c>
      <c r="P2527" s="5">
        <v>1</v>
      </c>
      <c r="Q2527" s="5" t="s">
        <v>375</v>
      </c>
      <c r="R2527" s="5">
        <v>80000</v>
      </c>
      <c r="S2527" s="5">
        <v>0</v>
      </c>
      <c r="T2527" s="5">
        <v>0</v>
      </c>
      <c r="U2527" s="5">
        <v>80000</v>
      </c>
      <c r="V2527" s="5"/>
      <c r="W2527" s="5" t="s">
        <v>36</v>
      </c>
      <c r="X2527" s="5" t="s">
        <v>196</v>
      </c>
      <c r="AA2527" s="5" t="s">
        <v>1717</v>
      </c>
      <c r="AC2527" s="8" t="str">
        <f>HYPERLINK("https://drive.google.com/file/d/1RE1cDEORqMvLnlBYCAZ9mAtKd5lShLAj/view?usp=drivesdk", "Abrir_Factura")</f>
        <v>Abrir_Factura</v>
      </c>
      <c r="AD2527" s="9">
        <v>46074.704583333332</v>
      </c>
    </row>
    <row r="2528" spans="1:30" ht="12.5">
      <c r="A2528" s="4">
        <v>46074.709294594912</v>
      </c>
      <c r="B2528" s="5">
        <v>92266</v>
      </c>
      <c r="C2528" s="5">
        <v>55223981</v>
      </c>
      <c r="D2528" s="5" t="s">
        <v>1602</v>
      </c>
      <c r="F2528" s="5" t="s">
        <v>1924</v>
      </c>
      <c r="H2528" s="5">
        <v>573153539732</v>
      </c>
      <c r="J2528" s="5" t="s">
        <v>1925</v>
      </c>
      <c r="K2528" s="5" t="s">
        <v>33</v>
      </c>
      <c r="L2528" s="5" t="s">
        <v>34</v>
      </c>
      <c r="M2528" s="5"/>
      <c r="N2528" s="6">
        <v>46074</v>
      </c>
      <c r="O2528" s="7">
        <v>0</v>
      </c>
      <c r="P2528" s="5">
        <v>1</v>
      </c>
      <c r="Q2528" s="5" t="s">
        <v>42</v>
      </c>
      <c r="R2528" s="5">
        <v>120000</v>
      </c>
      <c r="S2528" s="5">
        <v>0</v>
      </c>
      <c r="T2528" s="5">
        <v>0</v>
      </c>
      <c r="U2528" s="5">
        <v>120000</v>
      </c>
      <c r="V2528" s="5"/>
      <c r="W2528" s="5" t="s">
        <v>36</v>
      </c>
      <c r="X2528" s="5" t="s">
        <v>43</v>
      </c>
      <c r="AA2528" s="5" t="s">
        <v>1717</v>
      </c>
      <c r="AC2528" s="8" t="str">
        <f>HYPERLINK("https://drive.google.com/file/d/1lVoIrFApWqXl_xDCCfqbkQeVqLS7CN66/view?usp=drivesdk", "Abrir_Factura")</f>
        <v>Abrir_Factura</v>
      </c>
      <c r="AD2528" s="9">
        <v>46074.709780092591</v>
      </c>
    </row>
    <row r="2529" spans="1:31" ht="12.5">
      <c r="A2529" s="4">
        <v>46074.719759953703</v>
      </c>
      <c r="B2529" s="5">
        <v>92268</v>
      </c>
      <c r="C2529" s="5">
        <v>52171109</v>
      </c>
      <c r="D2529" s="5" t="s">
        <v>11257</v>
      </c>
      <c r="F2529" s="5" t="s">
        <v>11258</v>
      </c>
      <c r="H2529" s="5">
        <v>573104135877</v>
      </c>
      <c r="J2529" s="5" t="s">
        <v>11259</v>
      </c>
      <c r="K2529" s="5" t="s">
        <v>33</v>
      </c>
      <c r="L2529" s="5" t="s">
        <v>34</v>
      </c>
      <c r="M2529" s="5">
        <v>3104135877</v>
      </c>
      <c r="N2529" s="6">
        <v>46074</v>
      </c>
      <c r="O2529" s="7">
        <v>0</v>
      </c>
      <c r="P2529" s="5">
        <v>1</v>
      </c>
      <c r="Q2529" s="5" t="s">
        <v>42</v>
      </c>
      <c r="R2529" s="5">
        <v>60000</v>
      </c>
      <c r="S2529" s="5">
        <v>0</v>
      </c>
      <c r="T2529" s="5">
        <v>0</v>
      </c>
      <c r="U2529" s="5">
        <v>60000</v>
      </c>
      <c r="V2529" s="5"/>
      <c r="W2529" s="5" t="s">
        <v>36</v>
      </c>
      <c r="X2529" s="5" t="s">
        <v>1705</v>
      </c>
      <c r="AA2529" s="5" t="s">
        <v>1717</v>
      </c>
      <c r="AC2529" s="8" t="str">
        <f>HYPERLINK("https://drive.google.com/file/d/1eOKp9W5TDyhSgdwSrbOkzQZRQcXt6rWx/view?usp=drivesdk", "Abrir_Factura")</f>
        <v>Abrir_Factura</v>
      </c>
      <c r="AD2529" s="9">
        <v>46074.720601851855</v>
      </c>
    </row>
    <row r="2530" spans="1:31" ht="12.5">
      <c r="A2530" s="4">
        <v>46076.326705833329</v>
      </c>
      <c r="B2530" s="5">
        <v>92269</v>
      </c>
      <c r="C2530" s="5">
        <v>0</v>
      </c>
      <c r="D2530" s="5" t="s">
        <v>318</v>
      </c>
      <c r="F2530" s="5" t="s">
        <v>11260</v>
      </c>
      <c r="H2530" s="5">
        <v>5700000</v>
      </c>
      <c r="J2530" s="5" t="s">
        <v>11261</v>
      </c>
      <c r="K2530" s="5" t="s">
        <v>161</v>
      </c>
      <c r="L2530" s="5" t="s">
        <v>11262</v>
      </c>
      <c r="M2530" s="5"/>
      <c r="N2530" s="6">
        <v>46076</v>
      </c>
      <c r="O2530" s="7">
        <v>0.375</v>
      </c>
      <c r="P2530" s="5">
        <v>1</v>
      </c>
      <c r="Q2530" s="5" t="s">
        <v>734</v>
      </c>
      <c r="R2530" s="5">
        <v>99000</v>
      </c>
      <c r="S2530" s="5">
        <v>0</v>
      </c>
      <c r="T2530" s="5">
        <v>8000</v>
      </c>
      <c r="U2530" s="5">
        <v>107000</v>
      </c>
      <c r="V2530" s="5" t="s">
        <v>11263</v>
      </c>
      <c r="W2530" s="5" t="s">
        <v>36</v>
      </c>
      <c r="X2530" s="5" t="s">
        <v>43</v>
      </c>
      <c r="AA2530" s="5" t="s">
        <v>332</v>
      </c>
      <c r="AC2530" s="8" t="str">
        <f>HYPERLINK("https://drive.google.com/file/d/1SJxM6NVK0d4J9R02woIHzAGovLC7LHLv/view?usp=drivesdk", "Abrir_Factura")</f>
        <v>Abrir_Factura</v>
      </c>
      <c r="AD2530" s="9">
        <v>46076.327569444446</v>
      </c>
    </row>
    <row r="2531" spans="1:31" ht="12.5">
      <c r="A2531" s="4">
        <v>46076.354829641205</v>
      </c>
      <c r="B2531" s="5">
        <v>92270</v>
      </c>
      <c r="C2531" s="5">
        <v>1140862390</v>
      </c>
      <c r="D2531" s="5" t="s">
        <v>11264</v>
      </c>
      <c r="F2531" s="5" t="s">
        <v>11265</v>
      </c>
      <c r="H2531" s="5">
        <v>573003655039</v>
      </c>
      <c r="J2531" s="5" t="s">
        <v>11266</v>
      </c>
      <c r="K2531" s="5" t="s">
        <v>11267</v>
      </c>
      <c r="L2531" s="5" t="s">
        <v>11268</v>
      </c>
      <c r="M2531" s="5">
        <v>3015475262</v>
      </c>
      <c r="N2531" s="6">
        <v>46076</v>
      </c>
      <c r="O2531" s="7">
        <v>0</v>
      </c>
      <c r="P2531" s="5">
        <v>1</v>
      </c>
      <c r="Q2531" s="5" t="s">
        <v>251</v>
      </c>
      <c r="R2531" s="5">
        <v>190000</v>
      </c>
      <c r="S2531" s="5">
        <v>0</v>
      </c>
      <c r="T2531" s="5">
        <v>35000</v>
      </c>
      <c r="U2531" s="5">
        <v>225000</v>
      </c>
      <c r="V2531" s="5" t="s">
        <v>11269</v>
      </c>
      <c r="W2531" s="5" t="s">
        <v>36</v>
      </c>
      <c r="X2531" s="5" t="s">
        <v>67</v>
      </c>
      <c r="Z2531" s="5" t="s">
        <v>11270</v>
      </c>
      <c r="AA2531" s="5" t="s">
        <v>44</v>
      </c>
      <c r="AB2531" s="5" t="s">
        <v>11271</v>
      </c>
      <c r="AC2531" s="8" t="str">
        <f>HYPERLINK("https://drive.google.com/file/d/1A1IlWI7fVFh3FtWvqL5SDXRKv8t18CT8/view?usp=drivesdk", "Abrir_Factura")</f>
        <v>Abrir_Factura</v>
      </c>
      <c r="AD2531" s="9">
        <v>46076.611064814817</v>
      </c>
    </row>
    <row r="2532" spans="1:31" ht="12.5">
      <c r="A2532" s="4">
        <v>46076.357406712967</v>
      </c>
      <c r="B2532" s="5">
        <v>92273</v>
      </c>
      <c r="C2532" s="5">
        <v>1000149297</v>
      </c>
      <c r="D2532" s="5" t="s">
        <v>11272</v>
      </c>
      <c r="F2532" s="5" t="s">
        <v>1429</v>
      </c>
      <c r="H2532" s="5">
        <v>573004396910</v>
      </c>
      <c r="J2532" s="5" t="s">
        <v>11273</v>
      </c>
      <c r="K2532" s="5" t="s">
        <v>79</v>
      </c>
      <c r="L2532" s="5" t="s">
        <v>11274</v>
      </c>
      <c r="M2532" s="5" t="s">
        <v>25421</v>
      </c>
      <c r="N2532" s="6">
        <v>46076</v>
      </c>
      <c r="O2532" s="7">
        <v>0.41666666666666669</v>
      </c>
      <c r="P2532" s="5">
        <v>1</v>
      </c>
      <c r="Q2532" s="5" t="s">
        <v>375</v>
      </c>
      <c r="R2532" s="5">
        <v>80000</v>
      </c>
      <c r="S2532" s="5">
        <v>0</v>
      </c>
      <c r="T2532" s="5">
        <v>10000</v>
      </c>
      <c r="U2532" s="5">
        <v>90000</v>
      </c>
      <c r="V2532" s="5" t="s">
        <v>11275</v>
      </c>
      <c r="W2532" s="5" t="s">
        <v>36</v>
      </c>
      <c r="X2532" s="5" t="s">
        <v>67</v>
      </c>
      <c r="Z2532" s="5" t="s">
        <v>11276</v>
      </c>
      <c r="AA2532" s="5" t="s">
        <v>69</v>
      </c>
      <c r="AC2532" s="8" t="str">
        <f>HYPERLINK("https://drive.google.com/file/d/1LLHPqp4WtEKf_yp9H7xJXanWcI_zLWQz/view?usp=drivesdk", "Abrir_Factura")</f>
        <v>Abrir_Factura</v>
      </c>
      <c r="AD2532" s="9">
        <v>46076.393159722225</v>
      </c>
    </row>
    <row r="2533" spans="1:31" ht="12.5">
      <c r="A2533" s="4">
        <v>46076.364409479167</v>
      </c>
      <c r="B2533" s="5">
        <v>92272</v>
      </c>
      <c r="C2533" s="5">
        <v>1048066375</v>
      </c>
      <c r="D2533" s="5" t="s">
        <v>3174</v>
      </c>
      <c r="F2533" s="5" t="s">
        <v>11277</v>
      </c>
      <c r="H2533" s="5">
        <v>573043985350</v>
      </c>
      <c r="J2533" s="5" t="s">
        <v>11278</v>
      </c>
      <c r="K2533" s="5" t="s">
        <v>886</v>
      </c>
      <c r="L2533" s="5" t="s">
        <v>11279</v>
      </c>
      <c r="M2533" s="5" t="s">
        <v>11280</v>
      </c>
      <c r="N2533" s="6">
        <v>46076</v>
      </c>
      <c r="O2533" s="7">
        <v>0</v>
      </c>
      <c r="P2533" s="5">
        <v>1</v>
      </c>
      <c r="Q2533" s="5" t="s">
        <v>65</v>
      </c>
      <c r="R2533" s="5">
        <v>80000</v>
      </c>
      <c r="S2533" s="5">
        <v>0</v>
      </c>
      <c r="T2533" s="5">
        <v>12000</v>
      </c>
      <c r="U2533" s="5">
        <v>92000</v>
      </c>
      <c r="V2533" s="5" t="s">
        <v>11281</v>
      </c>
      <c r="W2533" s="5" t="s">
        <v>36</v>
      </c>
      <c r="X2533" s="5" t="s">
        <v>1937</v>
      </c>
      <c r="Z2533" s="5" t="s">
        <v>11282</v>
      </c>
      <c r="AA2533" s="5" t="s">
        <v>44</v>
      </c>
      <c r="AB2533" s="5" t="s">
        <v>11283</v>
      </c>
      <c r="AC2533" s="8" t="str">
        <f>HYPERLINK("https://drive.google.com/file/d/1Rd06Xf5Y6fYnzsrY0VQvQo0MyesLY35I/view?usp=drivesdk", "Abrir_Factura")</f>
        <v>Abrir_Factura</v>
      </c>
      <c r="AD2533" s="9">
        <v>46076.39199074074</v>
      </c>
    </row>
    <row r="2534" spans="1:31" ht="12.5">
      <c r="A2534" s="4">
        <v>46076.370422395834</v>
      </c>
      <c r="B2534" s="5">
        <v>92277</v>
      </c>
      <c r="C2534" s="5">
        <v>22585584</v>
      </c>
      <c r="D2534" s="5" t="s">
        <v>11284</v>
      </c>
      <c r="F2534" s="5" t="s">
        <v>4835</v>
      </c>
      <c r="H2534" s="5">
        <v>4400450000000000</v>
      </c>
      <c r="J2534" s="5" t="s">
        <v>11285</v>
      </c>
      <c r="K2534" s="5" t="s">
        <v>185</v>
      </c>
      <c r="L2534" s="5" t="s">
        <v>11286</v>
      </c>
      <c r="M2534" s="5"/>
      <c r="N2534" s="6">
        <v>46076</v>
      </c>
      <c r="O2534" s="7">
        <v>0</v>
      </c>
      <c r="P2534" s="5">
        <v>1</v>
      </c>
      <c r="Q2534" s="5" t="s">
        <v>2120</v>
      </c>
      <c r="R2534" s="5">
        <v>230000</v>
      </c>
      <c r="S2534" s="5">
        <v>0</v>
      </c>
      <c r="T2534" s="5">
        <v>8000</v>
      </c>
      <c r="U2534" s="5">
        <v>238000</v>
      </c>
      <c r="V2534" s="5" t="s">
        <v>11287</v>
      </c>
      <c r="W2534" s="5" t="s">
        <v>36</v>
      </c>
      <c r="X2534" s="5" t="s">
        <v>1937</v>
      </c>
      <c r="Z2534" s="5" t="s">
        <v>11288</v>
      </c>
      <c r="AA2534" s="5" t="s">
        <v>44</v>
      </c>
      <c r="AC2534" s="8" t="str">
        <f>HYPERLINK("https://drive.google.com/file/d/1IOETA4GQ1BCfTOCmghd_vcrtnSn83emZ/view?usp=drivesdk", "Abrir_Factura")</f>
        <v>Abrir_Factura</v>
      </c>
      <c r="AD2534" s="9">
        <v>46076.424097222225</v>
      </c>
    </row>
    <row r="2535" spans="1:31" ht="12.5">
      <c r="A2535" s="4">
        <v>46076.376958553243</v>
      </c>
      <c r="B2535" s="5">
        <v>92271</v>
      </c>
      <c r="C2535" s="5">
        <v>72244806</v>
      </c>
      <c r="D2535" s="5" t="s">
        <v>11289</v>
      </c>
      <c r="F2535" s="5" t="s">
        <v>11290</v>
      </c>
      <c r="H2535" s="5">
        <v>573163044463</v>
      </c>
      <c r="J2535" s="5" t="s">
        <v>11291</v>
      </c>
      <c r="K2535" s="5" t="s">
        <v>33</v>
      </c>
      <c r="L2535" s="5" t="s">
        <v>34</v>
      </c>
      <c r="M2535" s="5">
        <v>3163044463</v>
      </c>
      <c r="N2535" s="6">
        <v>46076</v>
      </c>
      <c r="O2535" s="7">
        <v>0.40347222222222223</v>
      </c>
      <c r="P2535" s="5">
        <v>1</v>
      </c>
      <c r="Q2535" s="5" t="s">
        <v>178</v>
      </c>
      <c r="R2535" s="5">
        <v>110000</v>
      </c>
      <c r="S2535" s="5">
        <v>0</v>
      </c>
      <c r="T2535" s="5">
        <v>0</v>
      </c>
      <c r="U2535" s="5">
        <v>110000</v>
      </c>
      <c r="V2535" s="5"/>
      <c r="W2535" s="5" t="s">
        <v>36</v>
      </c>
      <c r="X2535" s="5" t="s">
        <v>43</v>
      </c>
      <c r="AA2535" s="5" t="s">
        <v>37</v>
      </c>
      <c r="AC2535" s="8" t="str">
        <f>HYPERLINK("https://drive.google.com/file/d/1Xq9yyQShLf7gT8bIATxFf_OYLupxh0jy/view?usp=drivesdk", "Abrir_Factura")</f>
        <v>Abrir_Factura</v>
      </c>
      <c r="AD2535" s="9">
        <v>46076.377743055556</v>
      </c>
    </row>
    <row r="2536" spans="1:31" ht="12.5">
      <c r="A2536" s="4">
        <v>46076.387428796297</v>
      </c>
      <c r="B2536" s="5">
        <v>92275</v>
      </c>
      <c r="C2536" s="5">
        <v>55300152</v>
      </c>
      <c r="D2536" s="5" t="s">
        <v>1520</v>
      </c>
      <c r="F2536" s="5" t="s">
        <v>11292</v>
      </c>
      <c r="H2536" s="5">
        <v>573205658135</v>
      </c>
      <c r="J2536" s="5" t="s">
        <v>11293</v>
      </c>
      <c r="K2536" s="5" t="s">
        <v>73</v>
      </c>
      <c r="L2536" s="5" t="s">
        <v>11294</v>
      </c>
      <c r="M2536" s="5"/>
      <c r="N2536" s="6">
        <v>46076</v>
      </c>
      <c r="O2536" s="7">
        <v>0</v>
      </c>
      <c r="P2536" s="5">
        <v>1</v>
      </c>
      <c r="Q2536" s="5" t="s">
        <v>335</v>
      </c>
      <c r="R2536" s="5">
        <v>120000</v>
      </c>
      <c r="S2536" s="5">
        <v>0</v>
      </c>
      <c r="T2536" s="5">
        <v>8000</v>
      </c>
      <c r="U2536" s="5">
        <v>128000</v>
      </c>
      <c r="V2536" s="5" t="s">
        <v>11295</v>
      </c>
      <c r="W2536" s="5" t="s">
        <v>36</v>
      </c>
      <c r="X2536" s="5" t="s">
        <v>204</v>
      </c>
      <c r="Z2536" s="5" t="s">
        <v>11296</v>
      </c>
      <c r="AA2536" s="5" t="s">
        <v>44</v>
      </c>
      <c r="AB2536" s="5" t="s">
        <v>11297</v>
      </c>
      <c r="AC2536" s="8" t="str">
        <f>HYPERLINK("https://drive.google.com/file/d/1UXJ81EUi9du9JSekeC7-GqiKWqQzEnzb/view?usp=drivesdk", "Abrir_Factura")</f>
        <v>Abrir_Factura</v>
      </c>
      <c r="AD2536" s="9">
        <v>46076.414166666669</v>
      </c>
    </row>
    <row r="2537" spans="1:31" ht="12.5">
      <c r="A2537" s="4">
        <v>46076.397352372689</v>
      </c>
      <c r="B2537" s="5">
        <v>92274</v>
      </c>
      <c r="C2537" s="5">
        <v>1067892454</v>
      </c>
      <c r="D2537" s="5" t="s">
        <v>11298</v>
      </c>
      <c r="F2537" s="5" t="s">
        <v>8739</v>
      </c>
      <c r="H2537" s="5">
        <v>573105103018</v>
      </c>
      <c r="J2537" s="5" t="s">
        <v>11299</v>
      </c>
      <c r="K2537" s="5" t="s">
        <v>3091</v>
      </c>
      <c r="L2537" s="5" t="s">
        <v>11300</v>
      </c>
      <c r="M2537" s="5">
        <v>3215400850</v>
      </c>
      <c r="N2537" s="6">
        <v>46077</v>
      </c>
      <c r="O2537" s="7">
        <v>0</v>
      </c>
      <c r="P2537" s="5">
        <v>1</v>
      </c>
      <c r="Q2537" s="5" t="s">
        <v>3111</v>
      </c>
      <c r="R2537" s="5">
        <v>220000</v>
      </c>
      <c r="S2537" s="5">
        <v>0</v>
      </c>
      <c r="T2537" s="5">
        <v>20000</v>
      </c>
      <c r="U2537" s="5">
        <v>240000</v>
      </c>
      <c r="V2537" s="5" t="s">
        <v>11301</v>
      </c>
      <c r="W2537" s="5" t="s">
        <v>36</v>
      </c>
      <c r="X2537" s="5" t="s">
        <v>1481</v>
      </c>
      <c r="Z2537" s="5" t="s">
        <v>11302</v>
      </c>
      <c r="AA2537" s="5" t="s">
        <v>69</v>
      </c>
      <c r="AC2537" s="8" t="str">
        <f>HYPERLINK("https://drive.google.com/file/d/1EqV2qR1u-tA7rFZwJiI2WzPY02k081Z8/view?usp=drivesdk", "Abrir_Factura")</f>
        <v>Abrir_Factura</v>
      </c>
      <c r="AD2537" s="9">
        <v>46076.744502314818</v>
      </c>
    </row>
    <row r="2538" spans="1:31" ht="12.5">
      <c r="A2538" s="4">
        <v>46076.399416817134</v>
      </c>
      <c r="B2538" s="5">
        <v>92276</v>
      </c>
      <c r="C2538" s="5">
        <v>55306958</v>
      </c>
      <c r="D2538" s="5" t="s">
        <v>11303</v>
      </c>
      <c r="F2538" s="5" t="s">
        <v>11304</v>
      </c>
      <c r="H2538" s="5">
        <v>573148449075</v>
      </c>
      <c r="J2538" s="5" t="s">
        <v>11305</v>
      </c>
      <c r="K2538" s="5" t="s">
        <v>448</v>
      </c>
      <c r="L2538" s="5" t="s">
        <v>11306</v>
      </c>
      <c r="M2538" s="5">
        <v>3135580625</v>
      </c>
      <c r="N2538" s="6">
        <v>46076</v>
      </c>
      <c r="O2538" s="7">
        <v>0</v>
      </c>
      <c r="P2538" s="5">
        <v>1</v>
      </c>
      <c r="Q2538" s="5" t="s">
        <v>309</v>
      </c>
      <c r="R2538" s="5">
        <v>88000</v>
      </c>
      <c r="S2538" s="5">
        <v>0</v>
      </c>
      <c r="T2538" s="5">
        <v>15000</v>
      </c>
      <c r="U2538" s="5">
        <v>103000</v>
      </c>
      <c r="V2538" s="5" t="s">
        <v>11307</v>
      </c>
      <c r="W2538" s="5" t="s">
        <v>36</v>
      </c>
      <c r="X2538" s="5" t="s">
        <v>1937</v>
      </c>
      <c r="Z2538" s="5" t="s">
        <v>11308</v>
      </c>
      <c r="AA2538" s="5" t="s">
        <v>44</v>
      </c>
      <c r="AB2538" s="5" t="s">
        <v>11309</v>
      </c>
      <c r="AC2538" s="8" t="str">
        <f>HYPERLINK("https://drive.google.com/file/d/1Ofd0ILX0ikDM4xFrvenQzX9kqpnkYPLm/view?usp=drivesdk", "Abrir_Factura")</f>
        <v>Abrir_Factura</v>
      </c>
      <c r="AD2538" s="9">
        <v>46076.420914351853</v>
      </c>
    </row>
    <row r="2539" spans="1:31" ht="12.5">
      <c r="A2539" s="4">
        <v>46076.409322870371</v>
      </c>
      <c r="B2539" s="5">
        <v>92279</v>
      </c>
      <c r="C2539" s="5">
        <v>1002157808</v>
      </c>
      <c r="D2539" s="5" t="s">
        <v>5611</v>
      </c>
      <c r="E2539" s="5"/>
      <c r="F2539" s="5" t="s">
        <v>11310</v>
      </c>
      <c r="G2539" s="5"/>
      <c r="H2539" s="5">
        <v>573014741914</v>
      </c>
      <c r="J2539" s="5" t="s">
        <v>11311</v>
      </c>
      <c r="K2539" s="5" t="s">
        <v>9002</v>
      </c>
      <c r="L2539" s="5" t="s">
        <v>11312</v>
      </c>
      <c r="M2539" s="5"/>
      <c r="N2539" s="6">
        <v>46076</v>
      </c>
      <c r="O2539" s="7">
        <v>0.45763888888888887</v>
      </c>
      <c r="P2539" s="7">
        <v>1</v>
      </c>
      <c r="Q2539" s="5" t="s">
        <v>375</v>
      </c>
      <c r="R2539" s="5">
        <v>80000</v>
      </c>
      <c r="S2539" s="5">
        <v>0</v>
      </c>
      <c r="T2539" s="5">
        <v>16000</v>
      </c>
      <c r="U2539" s="5">
        <v>96000</v>
      </c>
      <c r="V2539" s="5" t="s">
        <v>11313</v>
      </c>
      <c r="W2539" s="5" t="s">
        <v>36</v>
      </c>
      <c r="X2539" s="5" t="s">
        <v>67</v>
      </c>
      <c r="Z2539" s="5" t="s">
        <v>11314</v>
      </c>
      <c r="AA2539" s="5" t="s">
        <v>44</v>
      </c>
      <c r="AB2539" s="5"/>
      <c r="AC2539" s="8" t="str">
        <f>HYPERLINK("https://drive.google.com/file/d/1I87X1LEoLsr_vBfOqBe3hrWW2WQOeKra/view?usp=drivesdk", "Abrir_Factura")</f>
        <v>Abrir_Factura</v>
      </c>
      <c r="AD2539" s="23">
        <v>46076.435243055559</v>
      </c>
      <c r="AE2539" s="9"/>
    </row>
    <row r="2540" spans="1:31" ht="12.5">
      <c r="A2540" s="4">
        <v>46076.423753923613</v>
      </c>
      <c r="B2540" s="5">
        <v>92278</v>
      </c>
      <c r="C2540" s="5">
        <v>1001888822</v>
      </c>
      <c r="D2540" s="5" t="s">
        <v>11315</v>
      </c>
      <c r="F2540" s="5" t="s">
        <v>11316</v>
      </c>
      <c r="H2540" s="5">
        <v>573046715811</v>
      </c>
      <c r="J2540" s="5" t="s">
        <v>11317</v>
      </c>
      <c r="K2540" s="5" t="s">
        <v>351</v>
      </c>
      <c r="L2540" s="5" t="s">
        <v>11318</v>
      </c>
      <c r="M2540" s="5">
        <v>3046715811</v>
      </c>
      <c r="N2540" s="6">
        <v>46076</v>
      </c>
      <c r="O2540" s="7">
        <v>0</v>
      </c>
      <c r="P2540" s="5">
        <v>1</v>
      </c>
      <c r="Q2540" s="5" t="s">
        <v>11319</v>
      </c>
      <c r="R2540" s="5">
        <v>240000</v>
      </c>
      <c r="S2540" s="5">
        <v>0</v>
      </c>
      <c r="T2540" s="5">
        <v>12000</v>
      </c>
      <c r="U2540" s="5">
        <v>252000</v>
      </c>
      <c r="V2540" s="5" t="s">
        <v>11320</v>
      </c>
      <c r="W2540" s="5" t="s">
        <v>36</v>
      </c>
      <c r="X2540" s="5" t="s">
        <v>2438</v>
      </c>
      <c r="Z2540" s="5" t="s">
        <v>11321</v>
      </c>
      <c r="AA2540" s="5" t="s">
        <v>69</v>
      </c>
      <c r="AC2540" s="8" t="str">
        <f>HYPERLINK("https://drive.google.com/file/d/1hdT5lmraWZUl4O0J3jjclShvgeYEGNxL/view?usp=drivesdk", "Abrir_Factura")</f>
        <v>Abrir_Factura</v>
      </c>
      <c r="AD2540" s="9">
        <v>46076.434178240743</v>
      </c>
    </row>
    <row r="2541" spans="1:31" ht="12.5">
      <c r="A2541" s="4">
        <v>46076.431741342589</v>
      </c>
      <c r="B2541" s="5">
        <v>92280</v>
      </c>
      <c r="C2541" s="5">
        <v>72225741</v>
      </c>
      <c r="D2541" s="5" t="s">
        <v>11322</v>
      </c>
      <c r="F2541" s="5" t="s">
        <v>1585</v>
      </c>
      <c r="H2541" s="5">
        <v>573208825940</v>
      </c>
      <c r="J2541" s="5" t="s">
        <v>11323</v>
      </c>
      <c r="K2541" s="5" t="s">
        <v>33</v>
      </c>
      <c r="L2541" s="5" t="s">
        <v>34</v>
      </c>
      <c r="M2541" s="5">
        <v>3208825940</v>
      </c>
      <c r="N2541" s="6">
        <v>46076</v>
      </c>
      <c r="O2541" s="7">
        <v>0</v>
      </c>
      <c r="P2541" s="5">
        <v>1</v>
      </c>
      <c r="Q2541" s="5" t="s">
        <v>375</v>
      </c>
      <c r="R2541" s="5">
        <v>80000</v>
      </c>
      <c r="S2541" s="5">
        <v>0</v>
      </c>
      <c r="T2541" s="5">
        <v>0</v>
      </c>
      <c r="U2541" s="5">
        <v>80000</v>
      </c>
      <c r="V2541" s="5" t="s">
        <v>11324</v>
      </c>
      <c r="W2541" s="5" t="s">
        <v>36</v>
      </c>
      <c r="X2541" s="5" t="s">
        <v>1481</v>
      </c>
      <c r="Z2541" s="5" t="s">
        <v>11325</v>
      </c>
      <c r="AA2541" s="5" t="s">
        <v>44</v>
      </c>
      <c r="AB2541" s="5" t="s">
        <v>11326</v>
      </c>
      <c r="AC2541" s="8" t="str">
        <f>HYPERLINK("https://drive.google.com/file/d/1nA6rMVtYp3nKaqnExsiC8-Oej-5UTm6g/view?usp=drivesdk", "Abrir_Factura")</f>
        <v>Abrir_Factura</v>
      </c>
      <c r="AD2541" s="9">
        <v>46076.757037037038</v>
      </c>
    </row>
    <row r="2542" spans="1:31" ht="12.5">
      <c r="A2542" s="4">
        <v>46076.450755983795</v>
      </c>
      <c r="B2542" s="5">
        <v>92283</v>
      </c>
      <c r="C2542" s="5">
        <v>1146535292</v>
      </c>
      <c r="D2542" s="5" t="s">
        <v>2772</v>
      </c>
      <c r="F2542" s="5" t="s">
        <v>7325</v>
      </c>
      <c r="H2542" s="5">
        <v>573008420384</v>
      </c>
      <c r="J2542" s="5" t="s">
        <v>11327</v>
      </c>
      <c r="K2542" s="5" t="s">
        <v>63</v>
      </c>
      <c r="L2542" s="5" t="s">
        <v>11328</v>
      </c>
      <c r="M2542" s="5">
        <v>3008420384</v>
      </c>
      <c r="N2542" s="6">
        <v>46076</v>
      </c>
      <c r="O2542" s="7">
        <v>0</v>
      </c>
      <c r="P2542" s="5">
        <v>1</v>
      </c>
      <c r="Q2542" s="5" t="s">
        <v>1111</v>
      </c>
      <c r="R2542" s="5">
        <v>140000</v>
      </c>
      <c r="S2542" s="5">
        <v>0</v>
      </c>
      <c r="T2542" s="5">
        <v>17000</v>
      </c>
      <c r="U2542" s="5">
        <v>157000</v>
      </c>
      <c r="V2542" s="5" t="s">
        <v>11329</v>
      </c>
      <c r="W2542" s="5" t="s">
        <v>36</v>
      </c>
      <c r="X2542" s="5" t="s">
        <v>67</v>
      </c>
      <c r="Z2542" s="5" t="s">
        <v>11330</v>
      </c>
      <c r="AA2542" s="5" t="s">
        <v>44</v>
      </c>
      <c r="AB2542" s="5" t="s">
        <v>11309</v>
      </c>
      <c r="AC2542" s="8" t="str">
        <f>HYPERLINK("https://drive.google.com/file/d/1Siyp--MZYNaw5GYZNJvw7DY-jJ3ORXei/view?usp=drivesdk", "Abrir_Factura")</f>
        <v>Abrir_Factura</v>
      </c>
      <c r="AD2542" s="9">
        <v>46076.459803240738</v>
      </c>
    </row>
    <row r="2543" spans="1:31" ht="12.5">
      <c r="A2543" s="4">
        <v>46076.456367129635</v>
      </c>
      <c r="B2543" s="5">
        <v>92281</v>
      </c>
      <c r="C2543" s="5">
        <v>72244806</v>
      </c>
      <c r="D2543" s="5" t="s">
        <v>11331</v>
      </c>
      <c r="F2543" s="5" t="s">
        <v>11290</v>
      </c>
      <c r="H2543" s="5">
        <v>573163044463</v>
      </c>
      <c r="J2543" s="5" t="s">
        <v>11291</v>
      </c>
      <c r="K2543" s="5" t="s">
        <v>33</v>
      </c>
      <c r="L2543" s="5" t="s">
        <v>34</v>
      </c>
      <c r="M2543" s="5">
        <v>3163044463</v>
      </c>
      <c r="N2543" s="6">
        <v>46076</v>
      </c>
      <c r="O2543" s="7">
        <v>0</v>
      </c>
      <c r="P2543" s="5">
        <v>1</v>
      </c>
      <c r="Q2543" s="5" t="s">
        <v>178</v>
      </c>
      <c r="R2543" s="5">
        <v>110000</v>
      </c>
      <c r="S2543" s="5">
        <v>0</v>
      </c>
      <c r="T2543" s="5">
        <v>0</v>
      </c>
      <c r="U2543" s="5">
        <v>110000</v>
      </c>
      <c r="V2543" s="5"/>
      <c r="W2543" s="5" t="s">
        <v>36</v>
      </c>
      <c r="X2543" s="5" t="s">
        <v>37</v>
      </c>
      <c r="AA2543" s="5" t="s">
        <v>37</v>
      </c>
      <c r="AB2543" s="5" t="s">
        <v>11332</v>
      </c>
      <c r="AC2543" s="8" t="str">
        <f>HYPERLINK("https://drive.google.com/file/d/1HCzjx3IpJBGgcXR-hdrRas8CGEy34hrb/view?usp=drivesdk", "Abrir_Factura")</f>
        <v>Abrir_Factura</v>
      </c>
      <c r="AD2543" s="9">
        <v>46076.45684027778</v>
      </c>
    </row>
    <row r="2544" spans="1:31" ht="12.5">
      <c r="A2544" s="4">
        <v>46076.458250254625</v>
      </c>
      <c r="B2544" s="5">
        <v>92282</v>
      </c>
      <c r="C2544" s="5">
        <v>55232132</v>
      </c>
      <c r="D2544" s="5" t="s">
        <v>11333</v>
      </c>
      <c r="F2544" s="5" t="s">
        <v>11244</v>
      </c>
      <c r="H2544" s="5">
        <v>573205490024</v>
      </c>
      <c r="J2544" s="5" t="s">
        <v>11334</v>
      </c>
      <c r="K2544" s="5" t="s">
        <v>33</v>
      </c>
      <c r="L2544" s="5" t="s">
        <v>34</v>
      </c>
      <c r="M2544" s="5">
        <v>3205490024</v>
      </c>
      <c r="N2544" s="6">
        <v>46076</v>
      </c>
      <c r="O2544" s="7">
        <v>0</v>
      </c>
      <c r="P2544" s="5">
        <v>1</v>
      </c>
      <c r="Q2544" s="5" t="s">
        <v>1102</v>
      </c>
      <c r="R2544" s="5">
        <v>220000</v>
      </c>
      <c r="S2544" s="5">
        <v>0</v>
      </c>
      <c r="T2544" s="5">
        <v>0</v>
      </c>
      <c r="U2544" s="5">
        <v>220000</v>
      </c>
      <c r="V2544" s="5"/>
      <c r="W2544" s="5" t="s">
        <v>36</v>
      </c>
      <c r="X2544" s="5" t="s">
        <v>37</v>
      </c>
      <c r="AA2544" s="5" t="s">
        <v>37</v>
      </c>
      <c r="AB2544" s="5" t="s">
        <v>11335</v>
      </c>
      <c r="AC2544" s="8" t="str">
        <f>HYPERLINK("https://drive.google.com/file/d/1Z5KxVvlOR-3Cii9mGSqHoXDFcXo3QPY_/view?usp=drivesdk", "Abrir_Factura")</f>
        <v>Abrir_Factura</v>
      </c>
      <c r="AD2544" s="9">
        <v>46076.458726851852</v>
      </c>
    </row>
    <row r="2545" spans="1:30" ht="12.5">
      <c r="A2545" s="4">
        <v>46076.459069432865</v>
      </c>
      <c r="B2545" s="5">
        <v>92296</v>
      </c>
      <c r="C2545" s="5">
        <v>1047468823</v>
      </c>
      <c r="D2545" s="5" t="s">
        <v>11336</v>
      </c>
      <c r="F2545" s="5" t="s">
        <v>11337</v>
      </c>
      <c r="H2545" s="5">
        <v>17864403758</v>
      </c>
      <c r="J2545" s="5" t="s">
        <v>11338</v>
      </c>
      <c r="K2545" s="5" t="s">
        <v>161</v>
      </c>
      <c r="L2545" s="5" t="s">
        <v>11339</v>
      </c>
      <c r="M2545" s="5" t="s">
        <v>25421</v>
      </c>
      <c r="N2545" s="6">
        <v>46076</v>
      </c>
      <c r="O2545" s="7">
        <v>0</v>
      </c>
      <c r="P2545" s="5">
        <v>1</v>
      </c>
      <c r="Q2545" s="5" t="s">
        <v>187</v>
      </c>
      <c r="R2545" s="5">
        <v>220000</v>
      </c>
      <c r="S2545" s="5">
        <v>0</v>
      </c>
      <c r="T2545" s="5">
        <v>8000</v>
      </c>
      <c r="U2545" s="5">
        <v>228000</v>
      </c>
      <c r="V2545" s="5" t="s">
        <v>11340</v>
      </c>
      <c r="W2545" s="5" t="s">
        <v>36</v>
      </c>
      <c r="X2545" s="5" t="s">
        <v>1937</v>
      </c>
      <c r="Z2545" s="5" t="s">
        <v>11341</v>
      </c>
      <c r="AA2545" s="5" t="s">
        <v>44</v>
      </c>
      <c r="AB2545" s="5" t="s">
        <v>11342</v>
      </c>
      <c r="AC2545" s="8" t="str">
        <f>HYPERLINK("https://drive.google.com/file/d/1J-5esb0BGySjZGoxEjtJ4ldEv70MKmq1/view?usp=drivesdk", "Abrir_Factura")</f>
        <v>Abrir_Factura</v>
      </c>
      <c r="AD2545" s="9">
        <v>46076.656666666669</v>
      </c>
    </row>
    <row r="2546" spans="1:30" ht="12.5">
      <c r="A2546" s="4">
        <v>46076.465665740739</v>
      </c>
      <c r="B2546" s="5">
        <v>92284</v>
      </c>
      <c r="C2546" s="5">
        <v>1083570303</v>
      </c>
      <c r="D2546" s="5" t="s">
        <v>11343</v>
      </c>
      <c r="F2546" s="5" t="s">
        <v>10938</v>
      </c>
      <c r="H2546" s="5">
        <v>573007013138</v>
      </c>
      <c r="J2546" s="5" t="s">
        <v>11344</v>
      </c>
      <c r="K2546" s="5" t="s">
        <v>73</v>
      </c>
      <c r="L2546" s="5" t="s">
        <v>11345</v>
      </c>
      <c r="M2546" s="5">
        <v>3222541674</v>
      </c>
      <c r="N2546" s="6">
        <v>46076</v>
      </c>
      <c r="O2546" s="7">
        <v>0</v>
      </c>
      <c r="P2546" s="5">
        <v>1</v>
      </c>
      <c r="Q2546" s="5" t="s">
        <v>11346</v>
      </c>
      <c r="R2546" s="5">
        <v>250000</v>
      </c>
      <c r="S2546" s="5">
        <v>0</v>
      </c>
      <c r="T2546" s="5">
        <v>8000</v>
      </c>
      <c r="U2546" s="5">
        <v>258000</v>
      </c>
      <c r="V2546" s="5" t="s">
        <v>11347</v>
      </c>
      <c r="W2546" s="5" t="s">
        <v>36</v>
      </c>
      <c r="X2546" s="5" t="s">
        <v>1481</v>
      </c>
      <c r="AA2546" s="5" t="s">
        <v>69</v>
      </c>
      <c r="AC2546" s="8" t="str">
        <f>HYPERLINK("https://drive.google.com/file/d/1liCuPb24znVxaIBLQTo6QSb_TsVvlPD5/view?usp=drivesdk", "Abrir_Factura")</f>
        <v>Abrir_Factura</v>
      </c>
      <c r="AD2546" s="9">
        <v>46076.591365740744</v>
      </c>
    </row>
    <row r="2547" spans="1:30" ht="12.5">
      <c r="A2547" s="4">
        <v>46076.469160983797</v>
      </c>
      <c r="B2547" s="5">
        <v>92288</v>
      </c>
      <c r="C2547" s="5">
        <v>1234093730</v>
      </c>
      <c r="D2547" s="5" t="s">
        <v>297</v>
      </c>
      <c r="F2547" s="5" t="s">
        <v>11348</v>
      </c>
      <c r="H2547" s="5">
        <v>16476753372</v>
      </c>
      <c r="J2547" s="5" t="s">
        <v>11349</v>
      </c>
      <c r="K2547" s="5" t="s">
        <v>185</v>
      </c>
      <c r="L2547" s="5" t="s">
        <v>11350</v>
      </c>
      <c r="M2547" s="5">
        <v>16476753372</v>
      </c>
      <c r="N2547" s="6">
        <v>46076</v>
      </c>
      <c r="O2547" s="7">
        <v>0.54166666666666663</v>
      </c>
      <c r="P2547" s="5">
        <v>1</v>
      </c>
      <c r="Q2547" s="5" t="s">
        <v>65</v>
      </c>
      <c r="R2547" s="5">
        <v>80000</v>
      </c>
      <c r="S2547" s="5">
        <v>0</v>
      </c>
      <c r="T2547" s="5">
        <v>8000</v>
      </c>
      <c r="U2547" s="5">
        <v>88000</v>
      </c>
      <c r="V2547" s="5" t="s">
        <v>11351</v>
      </c>
      <c r="W2547" s="5" t="s">
        <v>36</v>
      </c>
      <c r="X2547" s="5" t="s">
        <v>67</v>
      </c>
      <c r="Z2547" s="5" t="s">
        <v>11352</v>
      </c>
      <c r="AA2547" s="5" t="s">
        <v>44</v>
      </c>
      <c r="AC2547" s="8" t="str">
        <f>HYPERLINK("https://drive.google.com/file/d/1IKDaMqc2SQqBP4OQrLbBGMIFQVQKxXIn/view?usp=drivesdk", "Abrir_Factura")</f>
        <v>Abrir_Factura</v>
      </c>
      <c r="AD2547" s="9">
        <v>46076.52140046296</v>
      </c>
    </row>
    <row r="2548" spans="1:30" ht="12.5">
      <c r="A2548" s="4">
        <v>46076.472165520834</v>
      </c>
      <c r="B2548" s="5">
        <v>92285</v>
      </c>
      <c r="C2548" s="5">
        <v>332656168</v>
      </c>
      <c r="D2548" s="5" t="s">
        <v>11353</v>
      </c>
      <c r="F2548" s="5" t="s">
        <v>159</v>
      </c>
      <c r="H2548" s="5">
        <v>573153325830</v>
      </c>
      <c r="J2548" s="5" t="s">
        <v>11354</v>
      </c>
      <c r="K2548" s="5" t="s">
        <v>33</v>
      </c>
      <c r="L2548" s="5" t="s">
        <v>11355</v>
      </c>
      <c r="M2548" s="5">
        <v>3153325830</v>
      </c>
      <c r="N2548" s="6">
        <v>46076</v>
      </c>
      <c r="O2548" s="7">
        <v>0.375</v>
      </c>
      <c r="P2548" s="5">
        <v>1</v>
      </c>
      <c r="Q2548" s="5" t="s">
        <v>42</v>
      </c>
      <c r="R2548" s="5">
        <v>57500</v>
      </c>
      <c r="S2548" s="5">
        <v>0</v>
      </c>
      <c r="T2548" s="5">
        <v>0</v>
      </c>
      <c r="U2548" s="5">
        <v>57500</v>
      </c>
      <c r="V2548" s="5"/>
      <c r="W2548" s="5" t="s">
        <v>36</v>
      </c>
      <c r="X2548" s="5" t="s">
        <v>196</v>
      </c>
      <c r="AA2548" s="5" t="s">
        <v>1717</v>
      </c>
      <c r="AB2548" s="5" t="s">
        <v>11356</v>
      </c>
      <c r="AC2548" s="8" t="str">
        <f>HYPERLINK("https://drive.google.com/file/d/107g0UiCd2lQrZ_7Sm9qIq2A9ImGL2xIu/view?usp=drivesdk", "Abrir_Factura")</f>
        <v>Abrir_Factura</v>
      </c>
      <c r="AD2548" s="9">
        <v>46076.481516203705</v>
      </c>
    </row>
    <row r="2549" spans="1:30" ht="12.5">
      <c r="A2549" s="4">
        <v>46076.516984953705</v>
      </c>
      <c r="B2549" s="5">
        <v>92286</v>
      </c>
      <c r="C2549" s="5">
        <v>1143324085</v>
      </c>
      <c r="D2549" s="5" t="s">
        <v>10996</v>
      </c>
      <c r="F2549" s="5" t="s">
        <v>312</v>
      </c>
      <c r="H2549" s="5">
        <v>573156186703</v>
      </c>
      <c r="J2549" s="5" t="s">
        <v>11357</v>
      </c>
      <c r="K2549" s="5" t="s">
        <v>63</v>
      </c>
      <c r="L2549" s="5" t="s">
        <v>11358</v>
      </c>
      <c r="M2549" s="5">
        <v>3205096694</v>
      </c>
      <c r="N2549" s="6">
        <v>46076</v>
      </c>
      <c r="O2549" s="7">
        <v>0</v>
      </c>
      <c r="P2549" s="5">
        <v>1</v>
      </c>
      <c r="Q2549" s="5" t="s">
        <v>347</v>
      </c>
      <c r="R2549" s="5">
        <v>250000</v>
      </c>
      <c r="S2549" s="5">
        <v>0</v>
      </c>
      <c r="T2549" s="5">
        <v>17000</v>
      </c>
      <c r="U2549" s="5">
        <v>267000</v>
      </c>
      <c r="V2549" s="5"/>
      <c r="W2549" s="5" t="s">
        <v>36</v>
      </c>
      <c r="X2549" s="5" t="s">
        <v>67</v>
      </c>
      <c r="AA2549" s="5" t="s">
        <v>44</v>
      </c>
      <c r="AC2549" s="8" t="str">
        <f>HYPERLINK("https://drive.google.com/file/d/15S5bAV8ZU0BUfM6G7yq8hkSrAqDd_9r3/view?usp=drivesdk", "Abrir_Factura")</f>
        <v>Abrir_Factura</v>
      </c>
      <c r="AD2549" s="9">
        <v>46076.517754629633</v>
      </c>
    </row>
    <row r="2550" spans="1:30" ht="12.5">
      <c r="A2550" s="4">
        <v>46076.52033511574</v>
      </c>
      <c r="B2550" s="5">
        <v>92289</v>
      </c>
      <c r="C2550" s="5">
        <v>1129583330</v>
      </c>
      <c r="D2550" s="5" t="s">
        <v>11359</v>
      </c>
      <c r="F2550" s="5" t="s">
        <v>2642</v>
      </c>
      <c r="H2550" s="5">
        <v>573104998328</v>
      </c>
      <c r="J2550" s="5" t="s">
        <v>11360</v>
      </c>
      <c r="K2550" s="5" t="s">
        <v>11361</v>
      </c>
      <c r="L2550" s="5" t="s">
        <v>11362</v>
      </c>
      <c r="M2550" s="5"/>
      <c r="N2550" s="6">
        <v>46076</v>
      </c>
      <c r="O2550" s="7">
        <v>0.57638888888888884</v>
      </c>
      <c r="P2550" s="5">
        <v>1</v>
      </c>
      <c r="Q2550" s="5" t="s">
        <v>42</v>
      </c>
      <c r="R2550" s="5">
        <v>200000</v>
      </c>
      <c r="S2550" s="5">
        <v>0</v>
      </c>
      <c r="T2550" s="5">
        <v>30000</v>
      </c>
      <c r="U2550" s="5">
        <v>230000</v>
      </c>
      <c r="V2550" s="5" t="s">
        <v>11363</v>
      </c>
      <c r="W2550" s="5" t="s">
        <v>36</v>
      </c>
      <c r="X2550" s="5" t="s">
        <v>180</v>
      </c>
      <c r="Z2550" s="5" t="s">
        <v>11364</v>
      </c>
      <c r="AA2550" s="5" t="s">
        <v>44</v>
      </c>
      <c r="AB2550" s="5" t="s">
        <v>11365</v>
      </c>
      <c r="AC2550" s="8" t="str">
        <f>HYPERLINK("https://drive.google.com/file/d/1khWjB2w6l6N4Crsvy1yf4uIn7d9EFmxo/view?usp=drivesdk", "Abrir_Factura")</f>
        <v>Abrir_Factura</v>
      </c>
      <c r="AD2550" s="9">
        <v>46076.543240740742</v>
      </c>
    </row>
    <row r="2551" spans="1:30" ht="12.5">
      <c r="A2551" s="4">
        <v>46076.520549027773</v>
      </c>
      <c r="B2551" s="5">
        <v>92287</v>
      </c>
      <c r="C2551" s="5">
        <v>0</v>
      </c>
      <c r="D2551" s="5" t="s">
        <v>11366</v>
      </c>
      <c r="F2551" s="5" t="s">
        <v>11367</v>
      </c>
      <c r="H2551" s="5">
        <v>573017692214</v>
      </c>
      <c r="J2551" s="5" t="s">
        <v>11368</v>
      </c>
      <c r="K2551" s="5" t="s">
        <v>63</v>
      </c>
      <c r="L2551" s="5" t="s">
        <v>11369</v>
      </c>
      <c r="M2551" s="5">
        <v>3017692214</v>
      </c>
      <c r="N2551" s="6">
        <v>46076</v>
      </c>
      <c r="O2551" s="7">
        <v>0</v>
      </c>
      <c r="P2551" s="5">
        <v>1</v>
      </c>
      <c r="Q2551" s="5" t="s">
        <v>42</v>
      </c>
      <c r="R2551" s="5">
        <v>60000</v>
      </c>
      <c r="S2551" s="5">
        <v>0</v>
      </c>
      <c r="T2551" s="5">
        <v>17000</v>
      </c>
      <c r="U2551" s="5">
        <v>77000</v>
      </c>
      <c r="V2551" s="5" t="s">
        <v>11370</v>
      </c>
      <c r="W2551" s="5" t="s">
        <v>36</v>
      </c>
      <c r="X2551" s="5" t="s">
        <v>67</v>
      </c>
      <c r="AA2551" s="5" t="s">
        <v>44</v>
      </c>
      <c r="AB2551" s="5" t="s">
        <v>11371</v>
      </c>
      <c r="AC2551" s="8" t="str">
        <f>HYPERLINK("https://drive.google.com/file/d/1vL2YMnfQjULQj_HlCXq0qrJIkaTy1BCn/view?usp=drivesdk", "Abrir_Factura")</f>
        <v>Abrir_Factura</v>
      </c>
      <c r="AD2551" s="9">
        <v>46076.6093287037</v>
      </c>
    </row>
    <row r="2552" spans="1:30" ht="18.75" customHeight="1">
      <c r="A2552" s="4">
        <v>46076.561325949078</v>
      </c>
      <c r="B2552" s="5">
        <v>92290</v>
      </c>
      <c r="C2552" s="5">
        <v>1143358692</v>
      </c>
      <c r="D2552" s="5" t="s">
        <v>11372</v>
      </c>
      <c r="F2552" s="5" t="s">
        <v>11373</v>
      </c>
      <c r="H2552" s="5">
        <v>573167450996</v>
      </c>
      <c r="J2552" s="5" t="s">
        <v>11374</v>
      </c>
      <c r="K2552" s="5" t="s">
        <v>1921</v>
      </c>
      <c r="L2552" s="5" t="s">
        <v>11375</v>
      </c>
      <c r="M2552" s="5">
        <v>3167450996</v>
      </c>
      <c r="N2552" s="6">
        <v>46078</v>
      </c>
      <c r="O2552" s="7">
        <v>0.375</v>
      </c>
      <c r="P2552" s="5">
        <v>1</v>
      </c>
      <c r="Q2552" s="5" t="s">
        <v>309</v>
      </c>
      <c r="R2552" s="5">
        <v>88000</v>
      </c>
      <c r="S2552" s="5">
        <v>0</v>
      </c>
      <c r="T2552" s="5">
        <v>15000</v>
      </c>
      <c r="U2552" s="5">
        <v>103000</v>
      </c>
      <c r="V2552" s="5" t="s">
        <v>11376</v>
      </c>
      <c r="W2552" s="5" t="s">
        <v>36</v>
      </c>
      <c r="X2552" s="5" t="s">
        <v>1937</v>
      </c>
      <c r="AA2552" s="5" t="s">
        <v>69</v>
      </c>
      <c r="AC2552" s="8" t="str">
        <f>HYPERLINK("https://drive.google.com/file/d/1cdRCl1T57cuOL7T5yQhKVJOT_St3xlco/view?usp=drivesdk", "Abrir_Factura")</f>
        <v>Abrir_Factura</v>
      </c>
      <c r="AD2552" s="9">
        <v>46076.693379629629</v>
      </c>
    </row>
    <row r="2553" spans="1:30" ht="19.5" customHeight="1">
      <c r="A2553" s="4">
        <v>46076.587479340276</v>
      </c>
      <c r="B2553" s="5">
        <v>92291</v>
      </c>
      <c r="C2553" s="5">
        <v>1143262943</v>
      </c>
      <c r="D2553" s="5" t="s">
        <v>6654</v>
      </c>
      <c r="F2553" s="5" t="s">
        <v>11377</v>
      </c>
      <c r="H2553" s="5">
        <v>573008070954</v>
      </c>
      <c r="J2553" s="5" t="s">
        <v>11378</v>
      </c>
      <c r="K2553" s="5" t="s">
        <v>33</v>
      </c>
      <c r="L2553" s="5" t="s">
        <v>34</v>
      </c>
      <c r="M2553" s="5">
        <v>3008070954</v>
      </c>
      <c r="N2553" s="6">
        <v>46076</v>
      </c>
      <c r="O2553" s="7">
        <v>0.6875</v>
      </c>
      <c r="P2553" s="5">
        <v>1</v>
      </c>
      <c r="Q2553" s="5" t="s">
        <v>42</v>
      </c>
      <c r="R2553" s="5">
        <v>85000</v>
      </c>
      <c r="S2553" s="5">
        <v>0</v>
      </c>
      <c r="T2553" s="5">
        <v>0</v>
      </c>
      <c r="U2553" s="5">
        <v>85000</v>
      </c>
      <c r="V2553" s="5" t="s">
        <v>11379</v>
      </c>
      <c r="W2553" s="5" t="s">
        <v>36</v>
      </c>
      <c r="X2553" s="5" t="s">
        <v>1937</v>
      </c>
      <c r="AA2553" s="5" t="s">
        <v>69</v>
      </c>
      <c r="AB2553" s="5" t="s">
        <v>11380</v>
      </c>
      <c r="AC2553" s="8" t="str">
        <f>HYPERLINK("https://drive.google.com/file/d/1s9DUofzpKYwshQ7MBoXTYR7Jcfp0InQa/view?usp=drivesdk", "Abrir_Factura")</f>
        <v>Abrir_Factura</v>
      </c>
      <c r="AD2553" s="9">
        <v>46076.588831018518</v>
      </c>
    </row>
    <row r="2554" spans="1:30" ht="21.75" customHeight="1">
      <c r="A2554" s="4">
        <v>46076.61518256944</v>
      </c>
      <c r="B2554" s="5">
        <v>92292</v>
      </c>
      <c r="C2554" s="5">
        <v>5615744506</v>
      </c>
      <c r="D2554" s="5" t="s">
        <v>11381</v>
      </c>
      <c r="F2554" s="5" t="s">
        <v>1776</v>
      </c>
      <c r="H2554" s="5">
        <v>570000</v>
      </c>
      <c r="J2554" s="5" t="s">
        <v>11382</v>
      </c>
      <c r="K2554" s="5" t="s">
        <v>33</v>
      </c>
      <c r="L2554" s="5" t="s">
        <v>34</v>
      </c>
      <c r="M2554" s="5"/>
      <c r="N2554" s="6">
        <v>46076</v>
      </c>
      <c r="O2554" s="7">
        <v>0</v>
      </c>
      <c r="P2554" s="5">
        <v>1</v>
      </c>
      <c r="Q2554" s="5" t="s">
        <v>178</v>
      </c>
      <c r="R2554" s="5">
        <v>110000</v>
      </c>
      <c r="S2554" s="5">
        <v>0</v>
      </c>
      <c r="T2554" s="5">
        <v>0</v>
      </c>
      <c r="U2554" s="5">
        <v>110000</v>
      </c>
      <c r="V2554" s="5"/>
      <c r="W2554" s="5" t="s">
        <v>36</v>
      </c>
      <c r="X2554" s="5" t="s">
        <v>37</v>
      </c>
      <c r="AA2554" s="5" t="s">
        <v>37</v>
      </c>
      <c r="AB2554" s="5" t="s">
        <v>11383</v>
      </c>
      <c r="AC2554" s="8" t="str">
        <f>HYPERLINK("https://drive.google.com/file/d/1NZyfw3_FTy8sNz01VnGEw4Lp9zZZmtmN/view?usp=drivesdk", "Abrir_Factura")</f>
        <v>Abrir_Factura</v>
      </c>
      <c r="AD2554" s="9">
        <v>46076.615636574075</v>
      </c>
    </row>
    <row r="2555" spans="1:30" ht="12.5">
      <c r="A2555" s="4">
        <v>46076.619284386572</v>
      </c>
      <c r="B2555" s="5">
        <v>92293</v>
      </c>
      <c r="C2555" s="5">
        <v>1048071603</v>
      </c>
      <c r="D2555" s="5" t="s">
        <v>11384</v>
      </c>
      <c r="F2555" s="5" t="s">
        <v>11385</v>
      </c>
      <c r="H2555" s="5">
        <v>573197604194</v>
      </c>
      <c r="J2555" s="5" t="s">
        <v>11386</v>
      </c>
      <c r="K2555" s="5" t="s">
        <v>307</v>
      </c>
      <c r="L2555" s="5" t="s">
        <v>11387</v>
      </c>
      <c r="M2555" s="5" t="s">
        <v>25421</v>
      </c>
      <c r="N2555" s="6">
        <v>46076</v>
      </c>
      <c r="O2555" s="7">
        <v>0</v>
      </c>
      <c r="P2555" s="5">
        <v>1</v>
      </c>
      <c r="Q2555" s="5" t="s">
        <v>375</v>
      </c>
      <c r="R2555" s="5">
        <v>80000</v>
      </c>
      <c r="S2555" s="5">
        <v>0</v>
      </c>
      <c r="T2555" s="5">
        <v>10000</v>
      </c>
      <c r="U2555" s="5">
        <v>90000</v>
      </c>
      <c r="V2555" s="5" t="s">
        <v>11388</v>
      </c>
      <c r="W2555" s="5" t="s">
        <v>36</v>
      </c>
      <c r="X2555" s="5" t="s">
        <v>67</v>
      </c>
      <c r="Z2555" s="5" t="s">
        <v>11389</v>
      </c>
      <c r="AA2555" s="5" t="s">
        <v>44</v>
      </c>
      <c r="AC2555" s="8" t="str">
        <f>HYPERLINK("https://drive.google.com/file/d/1dRFi3wLpnPVbtg9zgKOwI-1HL6Ik9_Hx/view?usp=drivesdk", "Abrir_Factura")</f>
        <v>Abrir_Factura</v>
      </c>
      <c r="AD2555" s="9">
        <v>46076.625451388885</v>
      </c>
    </row>
    <row r="2556" spans="1:30" ht="12.5">
      <c r="A2556" s="4">
        <v>46076.628691458332</v>
      </c>
      <c r="B2556" s="5">
        <v>92294</v>
      </c>
      <c r="C2556" s="5">
        <v>1129569019</v>
      </c>
      <c r="D2556" s="5" t="s">
        <v>1173</v>
      </c>
      <c r="F2556" s="5" t="s">
        <v>4364</v>
      </c>
      <c r="H2556" s="5">
        <v>573012394343</v>
      </c>
      <c r="J2556" s="5" t="s">
        <v>2150</v>
      </c>
      <c r="K2556" s="5" t="s">
        <v>33</v>
      </c>
      <c r="L2556" s="5" t="s">
        <v>34</v>
      </c>
      <c r="M2556" s="5">
        <v>3012394343</v>
      </c>
      <c r="N2556" s="6">
        <v>46076</v>
      </c>
      <c r="O2556" s="7">
        <v>0</v>
      </c>
      <c r="P2556" s="5">
        <v>1</v>
      </c>
      <c r="Q2556" s="5" t="s">
        <v>42</v>
      </c>
      <c r="R2556" s="5">
        <v>80000</v>
      </c>
      <c r="S2556" s="5">
        <v>0</v>
      </c>
      <c r="T2556" s="5">
        <v>0</v>
      </c>
      <c r="U2556" s="5">
        <v>80000</v>
      </c>
      <c r="V2556" s="5"/>
      <c r="W2556" s="5" t="s">
        <v>36</v>
      </c>
      <c r="X2556" s="5" t="s">
        <v>43</v>
      </c>
      <c r="AA2556" s="5" t="s">
        <v>44</v>
      </c>
      <c r="AC2556" s="8" t="str">
        <f>HYPERLINK("https://drive.google.com/file/d/1k4tRGg5WW-q385_OCEkafjzrvNgoYVGh/view?usp=drivesdk", "Abrir_Factura")</f>
        <v>Abrir_Factura</v>
      </c>
      <c r="AD2556" s="9">
        <v>46076.629270833335</v>
      </c>
    </row>
    <row r="2557" spans="1:30" ht="12.5">
      <c r="A2557" s="4">
        <v>46076.640225138894</v>
      </c>
      <c r="B2557" s="5">
        <v>92295</v>
      </c>
      <c r="C2557" s="5">
        <v>9006135472</v>
      </c>
      <c r="D2557" s="5" t="s">
        <v>5220</v>
      </c>
      <c r="F2557" s="5" t="s">
        <v>11390</v>
      </c>
      <c r="H2557" s="5">
        <v>573174274050</v>
      </c>
      <c r="J2557" s="5" t="s">
        <v>11391</v>
      </c>
      <c r="K2557" s="5" t="s">
        <v>33</v>
      </c>
      <c r="L2557" s="5" t="s">
        <v>34</v>
      </c>
      <c r="M2557" s="5">
        <v>3174274050</v>
      </c>
      <c r="N2557" s="6">
        <v>46076</v>
      </c>
      <c r="O2557" s="7">
        <v>0</v>
      </c>
      <c r="P2557" s="5">
        <v>1</v>
      </c>
      <c r="Q2557" s="5" t="s">
        <v>178</v>
      </c>
      <c r="R2557" s="5">
        <v>110000</v>
      </c>
      <c r="S2557" s="5">
        <v>0</v>
      </c>
      <c r="T2557" s="5">
        <v>0</v>
      </c>
      <c r="U2557" s="5">
        <v>110000</v>
      </c>
      <c r="V2557" s="5"/>
      <c r="W2557" s="5" t="s">
        <v>36</v>
      </c>
      <c r="X2557" s="5" t="s">
        <v>37</v>
      </c>
      <c r="AA2557" s="5" t="s">
        <v>37</v>
      </c>
      <c r="AB2557" s="5" t="s">
        <v>11392</v>
      </c>
      <c r="AC2557" s="8" t="str">
        <f>HYPERLINK("https://drive.google.com/file/d/1CBy0UYOX6I5heypTzp6Ie-eI-PLoJkGX/view?usp=drivesdk", "Abrir_Factura")</f>
        <v>Abrir_Factura</v>
      </c>
      <c r="AD2557" s="9">
        <v>46076.640636574077</v>
      </c>
    </row>
    <row r="2558" spans="1:30" ht="12.5">
      <c r="A2558" s="4">
        <v>46076.682292500001</v>
      </c>
      <c r="B2558" s="5">
        <v>92297</v>
      </c>
      <c r="C2558" s="5">
        <v>1001822576</v>
      </c>
      <c r="D2558" s="5" t="s">
        <v>6702</v>
      </c>
      <c r="F2558" s="5" t="s">
        <v>11393</v>
      </c>
      <c r="H2558" s="5">
        <v>573106717101</v>
      </c>
      <c r="J2558" s="5" t="s">
        <v>11394</v>
      </c>
      <c r="K2558" s="5" t="s">
        <v>33</v>
      </c>
      <c r="L2558" s="5" t="s">
        <v>34</v>
      </c>
      <c r="M2558" s="5">
        <v>3106717101</v>
      </c>
      <c r="N2558" s="6">
        <v>46076</v>
      </c>
      <c r="O2558" s="7">
        <v>0</v>
      </c>
      <c r="P2558" s="5">
        <v>1</v>
      </c>
      <c r="Q2558" s="5" t="s">
        <v>178</v>
      </c>
      <c r="R2558" s="5">
        <v>110000</v>
      </c>
      <c r="S2558" s="5">
        <v>0</v>
      </c>
      <c r="T2558" s="5">
        <v>0</v>
      </c>
      <c r="U2558" s="5">
        <v>110000</v>
      </c>
      <c r="V2558" s="5"/>
      <c r="W2558" s="5" t="s">
        <v>36</v>
      </c>
      <c r="X2558" s="5" t="s">
        <v>1705</v>
      </c>
      <c r="AA2558" s="5" t="s">
        <v>1717</v>
      </c>
      <c r="AC2558" s="8" t="str">
        <f>HYPERLINK("https://drive.google.com/file/d/12P_ZIBThQGxbVzmAMvgp_Dmb-y0OagJN/view?usp=drivesdk", "Abrir_Factura")</f>
        <v>Abrir_Factura</v>
      </c>
      <c r="AD2558" s="9">
        <v>46076.684282407405</v>
      </c>
    </row>
    <row r="2559" spans="1:30" ht="12.5">
      <c r="A2559" s="4">
        <v>46076.697236990745</v>
      </c>
      <c r="B2559" s="5">
        <v>92298</v>
      </c>
      <c r="C2559" s="5">
        <v>3747910</v>
      </c>
      <c r="D2559" s="5" t="s">
        <v>11395</v>
      </c>
      <c r="F2559" s="5" t="s">
        <v>11396</v>
      </c>
      <c r="H2559" s="5">
        <v>573205423436</v>
      </c>
      <c r="J2559" s="5" t="s">
        <v>11397</v>
      </c>
      <c r="K2559" s="5" t="s">
        <v>33</v>
      </c>
      <c r="L2559" s="5" t="s">
        <v>34</v>
      </c>
      <c r="M2559" s="5">
        <v>3205423436</v>
      </c>
      <c r="N2559" s="6">
        <v>46076</v>
      </c>
      <c r="O2559" s="7">
        <v>0</v>
      </c>
      <c r="P2559" s="5">
        <v>1</v>
      </c>
      <c r="Q2559" s="5" t="s">
        <v>178</v>
      </c>
      <c r="R2559" s="5">
        <v>110000</v>
      </c>
      <c r="S2559" s="5">
        <v>0</v>
      </c>
      <c r="T2559" s="5">
        <v>0</v>
      </c>
      <c r="U2559" s="5">
        <v>110000</v>
      </c>
      <c r="V2559" s="5"/>
      <c r="W2559" s="5" t="s">
        <v>36</v>
      </c>
      <c r="X2559" s="5" t="s">
        <v>1705</v>
      </c>
      <c r="AA2559" s="5" t="s">
        <v>1717</v>
      </c>
      <c r="AC2559" s="8" t="str">
        <f>HYPERLINK("https://drive.google.com/file/d/1oyjmF641fFvW0D7jwzVpKCS6o8Fgx0xs/view?usp=drivesdk", "Abrir_Factura")</f>
        <v>Abrir_Factura</v>
      </c>
      <c r="AD2559" s="9">
        <v>46076.698472222219</v>
      </c>
    </row>
    <row r="2560" spans="1:30" ht="12.5">
      <c r="A2560" s="4">
        <v>46076.747901076393</v>
      </c>
      <c r="B2560" s="5">
        <v>92300</v>
      </c>
      <c r="C2560" s="5">
        <v>67023658</v>
      </c>
      <c r="D2560" s="5" t="s">
        <v>8012</v>
      </c>
      <c r="F2560" s="5" t="s">
        <v>11398</v>
      </c>
      <c r="H2560" s="5">
        <v>573148903107</v>
      </c>
      <c r="J2560" s="5" t="s">
        <v>11399</v>
      </c>
      <c r="K2560" s="5" t="s">
        <v>161</v>
      </c>
      <c r="L2560" s="5" t="s">
        <v>11400</v>
      </c>
      <c r="M2560" s="5"/>
      <c r="N2560" s="6">
        <v>46076</v>
      </c>
      <c r="O2560" s="7">
        <v>0</v>
      </c>
      <c r="P2560" s="5">
        <v>1</v>
      </c>
      <c r="Q2560" s="5" t="s">
        <v>42</v>
      </c>
      <c r="R2560" s="5">
        <v>46000</v>
      </c>
      <c r="S2560" s="5">
        <v>0</v>
      </c>
      <c r="T2560" s="5">
        <v>8000</v>
      </c>
      <c r="U2560" s="5">
        <v>54000</v>
      </c>
      <c r="V2560" s="5"/>
      <c r="W2560" s="5" t="s">
        <v>36</v>
      </c>
      <c r="X2560" s="5" t="s">
        <v>43</v>
      </c>
      <c r="AA2560" s="5" t="s">
        <v>44</v>
      </c>
      <c r="AC2560" s="8" t="str">
        <f>HYPERLINK("https://drive.google.com/file/d/1KgmK4h59ULY3L7lg8EAIPDqtYrRp73am/view?usp=drivesdk", "Abrir_Factura")</f>
        <v>Abrir_Factura</v>
      </c>
      <c r="AD2560" s="9">
        <v>46076.755578703705</v>
      </c>
    </row>
    <row r="2561" spans="1:30" ht="12.5">
      <c r="A2561" s="4">
        <v>46076.752023287037</v>
      </c>
      <c r="B2561" s="5">
        <v>92299</v>
      </c>
      <c r="C2561" s="5">
        <v>72286470</v>
      </c>
      <c r="D2561" s="5" t="s">
        <v>1986</v>
      </c>
      <c r="F2561" s="5" t="s">
        <v>1987</v>
      </c>
      <c r="H2561" s="5">
        <v>573006686900</v>
      </c>
      <c r="J2561" s="5" t="s">
        <v>1988</v>
      </c>
      <c r="K2561" s="5" t="s">
        <v>33</v>
      </c>
      <c r="L2561" s="5" t="s">
        <v>34</v>
      </c>
      <c r="M2561" s="5">
        <v>3006686900</v>
      </c>
      <c r="N2561" s="6">
        <v>46076</v>
      </c>
      <c r="O2561" s="7">
        <v>0</v>
      </c>
      <c r="P2561" s="5">
        <v>1</v>
      </c>
      <c r="Q2561" s="5" t="s">
        <v>178</v>
      </c>
      <c r="R2561" s="5">
        <v>110000</v>
      </c>
      <c r="S2561" s="5">
        <v>0</v>
      </c>
      <c r="T2561" s="5">
        <v>0</v>
      </c>
      <c r="U2561" s="5">
        <v>110000</v>
      </c>
      <c r="V2561" s="5"/>
      <c r="W2561" s="5" t="s">
        <v>36</v>
      </c>
      <c r="X2561" s="5" t="s">
        <v>1705</v>
      </c>
      <c r="AA2561" s="5" t="s">
        <v>1717</v>
      </c>
      <c r="AC2561" s="8" t="str">
        <f>HYPERLINK("https://drive.google.com/file/d/1eoyYiB7Njgem8pE_zODG-K8pOAxEC5PK/view?usp=drivesdk", "Abrir_Factura")</f>
        <v>Abrir_Factura</v>
      </c>
      <c r="AD2561" s="9">
        <v>46076.75403935185</v>
      </c>
    </row>
    <row r="2562" spans="1:30" ht="12.5">
      <c r="A2562" s="4">
        <v>46076.853224432867</v>
      </c>
      <c r="B2562" s="5">
        <v>92337</v>
      </c>
      <c r="C2562" s="5">
        <v>92640186</v>
      </c>
      <c r="D2562" s="5" t="s">
        <v>2889</v>
      </c>
      <c r="F2562" s="5" t="s">
        <v>4009</v>
      </c>
      <c r="H2562" s="5">
        <v>573042734865</v>
      </c>
      <c r="J2562" s="5" t="s">
        <v>4010</v>
      </c>
      <c r="K2562" s="5" t="s">
        <v>1317</v>
      </c>
      <c r="L2562" s="5" t="s">
        <v>11401</v>
      </c>
      <c r="M2562" s="5">
        <v>3245192336</v>
      </c>
      <c r="N2562" s="6">
        <v>46109</v>
      </c>
      <c r="O2562" s="7">
        <v>0.66666666666666663</v>
      </c>
      <c r="P2562" s="5">
        <v>1</v>
      </c>
      <c r="Q2562" s="5" t="s">
        <v>649</v>
      </c>
      <c r="R2562" s="5">
        <v>200000</v>
      </c>
      <c r="S2562" s="5">
        <v>0</v>
      </c>
      <c r="T2562" s="5">
        <v>12000</v>
      </c>
      <c r="U2562" s="5">
        <v>212000</v>
      </c>
      <c r="V2562" s="5" t="s">
        <v>11402</v>
      </c>
      <c r="W2562" s="5" t="s">
        <v>36</v>
      </c>
      <c r="X2562" s="5" t="s">
        <v>67</v>
      </c>
      <c r="Z2562" s="5" t="s">
        <v>9723</v>
      </c>
      <c r="AA2562" s="5" t="s">
        <v>44</v>
      </c>
      <c r="AB2562" s="5" t="s">
        <v>11403</v>
      </c>
      <c r="AC2562" s="8" t="str">
        <f>HYPERLINK("https://drive.google.com/file/d/1grtwBJ1gJA-O6ez9W8A0Y1MYpZxtT8Ky/view?usp=drivesdk", "Abrir_Factura")</f>
        <v>Abrir_Factura</v>
      </c>
      <c r="AD2562" s="9">
        <v>46078.3205787037</v>
      </c>
    </row>
    <row r="2563" spans="1:30" ht="12.5">
      <c r="A2563" s="4">
        <v>46077.332144409724</v>
      </c>
      <c r="B2563" s="5">
        <v>92302</v>
      </c>
      <c r="C2563" s="5">
        <v>1046698842</v>
      </c>
      <c r="D2563" s="5" t="s">
        <v>11404</v>
      </c>
      <c r="F2563" s="5" t="s">
        <v>5142</v>
      </c>
      <c r="H2563" s="5">
        <v>573247472483</v>
      </c>
      <c r="J2563" s="5" t="s">
        <v>11405</v>
      </c>
      <c r="K2563" s="5"/>
      <c r="L2563" s="5" t="s">
        <v>11406</v>
      </c>
      <c r="M2563" s="5">
        <v>3247472483</v>
      </c>
      <c r="N2563" s="6">
        <v>46077</v>
      </c>
      <c r="O2563" s="7">
        <v>0.39166666666666666</v>
      </c>
      <c r="P2563" s="5">
        <v>1</v>
      </c>
      <c r="Q2563" s="5" t="s">
        <v>133</v>
      </c>
      <c r="R2563" s="5">
        <v>150000</v>
      </c>
      <c r="S2563" s="5">
        <v>0</v>
      </c>
      <c r="T2563" s="5"/>
      <c r="U2563" s="5">
        <v>150000</v>
      </c>
      <c r="V2563" s="5" t="s">
        <v>11407</v>
      </c>
      <c r="W2563" s="5" t="s">
        <v>36</v>
      </c>
      <c r="X2563" s="5" t="s">
        <v>67</v>
      </c>
      <c r="Z2563" s="5" t="s">
        <v>11408</v>
      </c>
      <c r="AA2563" s="5" t="s">
        <v>44</v>
      </c>
      <c r="AC2563" s="8" t="str">
        <f>HYPERLINK("https://drive.google.com/file/d/1ARmhNuEwwbNE9zO0CmA-9JYlchk52JTk/view?usp=drivesdk", "Abrir_Factura")</f>
        <v>Abrir_Factura</v>
      </c>
      <c r="AD2563" s="9">
        <v>46077.356689814813</v>
      </c>
    </row>
    <row r="2564" spans="1:30" ht="12.5">
      <c r="A2564" s="4">
        <v>46077.333796712963</v>
      </c>
      <c r="B2564" s="5">
        <v>92301</v>
      </c>
      <c r="C2564" s="5">
        <v>0</v>
      </c>
      <c r="D2564" s="5" t="s">
        <v>1559</v>
      </c>
      <c r="F2564" s="5" t="s">
        <v>5376</v>
      </c>
      <c r="H2564" s="5">
        <v>570000</v>
      </c>
      <c r="J2564" s="5" t="s">
        <v>11409</v>
      </c>
      <c r="K2564" s="5" t="s">
        <v>33</v>
      </c>
      <c r="L2564" s="5" t="s">
        <v>34</v>
      </c>
      <c r="M2564" s="5">
        <v>0</v>
      </c>
      <c r="N2564" s="6">
        <v>46077</v>
      </c>
      <c r="O2564" s="7">
        <v>0</v>
      </c>
      <c r="P2564" s="5">
        <v>1</v>
      </c>
      <c r="Q2564" s="5" t="s">
        <v>42</v>
      </c>
      <c r="R2564" s="5">
        <v>14000</v>
      </c>
      <c r="S2564" s="5">
        <v>0</v>
      </c>
      <c r="T2564" s="5">
        <v>0</v>
      </c>
      <c r="U2564" s="5">
        <v>14000</v>
      </c>
      <c r="V2564" s="5"/>
      <c r="W2564" s="5" t="s">
        <v>36</v>
      </c>
      <c r="X2564" s="5" t="s">
        <v>196</v>
      </c>
      <c r="AA2564" s="5" t="s">
        <v>1717</v>
      </c>
      <c r="AC2564" s="8" t="str">
        <f>HYPERLINK("https://drive.google.com/file/d/1kApek7Jdau3XDr_7fLhi6HpoNkhFrsOo/view?usp=drivesdk", "Abrir_Factura")</f>
        <v>Abrir_Factura</v>
      </c>
      <c r="AD2564" s="9">
        <v>46077.334386574075</v>
      </c>
    </row>
    <row r="2565" spans="1:30" ht="12.5">
      <c r="A2565" s="4">
        <v>46077.340237337965</v>
      </c>
      <c r="B2565" s="5">
        <v>92306</v>
      </c>
      <c r="C2565" s="5">
        <v>1124510767</v>
      </c>
      <c r="D2565" s="5" t="s">
        <v>11410</v>
      </c>
      <c r="F2565" s="5" t="s">
        <v>11411</v>
      </c>
      <c r="H2565" s="5">
        <v>573235601059</v>
      </c>
      <c r="J2565" s="5" t="s">
        <v>11412</v>
      </c>
      <c r="K2565" s="5" t="s">
        <v>73</v>
      </c>
      <c r="L2565" s="5" t="s">
        <v>11413</v>
      </c>
      <c r="M2565" s="5"/>
      <c r="N2565" s="6">
        <v>46077</v>
      </c>
      <c r="O2565" s="7">
        <v>0.41666666666666669</v>
      </c>
      <c r="P2565" s="5">
        <v>1</v>
      </c>
      <c r="Q2565" s="5" t="s">
        <v>112</v>
      </c>
      <c r="R2565" s="5">
        <v>300000</v>
      </c>
      <c r="S2565" s="5">
        <v>0</v>
      </c>
      <c r="T2565" s="5">
        <v>8000</v>
      </c>
      <c r="U2565" s="5">
        <v>308000</v>
      </c>
      <c r="V2565" s="5" t="s">
        <v>11414</v>
      </c>
      <c r="W2565" s="5" t="s">
        <v>36</v>
      </c>
      <c r="X2565" s="5" t="s">
        <v>196</v>
      </c>
      <c r="Z2565" s="5" t="s">
        <v>11415</v>
      </c>
      <c r="AA2565" s="5" t="s">
        <v>44</v>
      </c>
      <c r="AB2565" s="5" t="s">
        <v>11416</v>
      </c>
      <c r="AC2565" s="8" t="str">
        <f>HYPERLINK("https://drive.google.com/file/d/1xR-rCidd-HTo7CdCSw6vYmokZCTWDHur/view?usp=drivesdk", "Abrir_Factura")</f>
        <v>Abrir_Factura</v>
      </c>
      <c r="AD2565" s="9">
        <v>46078.637314814812</v>
      </c>
    </row>
    <row r="2566" spans="1:30" ht="12.5">
      <c r="A2566" s="4">
        <v>46077.362519999995</v>
      </c>
      <c r="B2566" s="5">
        <v>92303</v>
      </c>
      <c r="C2566" s="5">
        <v>1143170768</v>
      </c>
      <c r="D2566" s="5" t="s">
        <v>3530</v>
      </c>
      <c r="F2566" s="5" t="s">
        <v>11417</v>
      </c>
      <c r="H2566" s="5">
        <v>573012368044</v>
      </c>
      <c r="J2566" s="5" t="s">
        <v>11418</v>
      </c>
      <c r="K2566" s="5" t="s">
        <v>33</v>
      </c>
      <c r="L2566" s="5" t="s">
        <v>34</v>
      </c>
      <c r="M2566" s="5">
        <v>3012368044</v>
      </c>
      <c r="N2566" s="6">
        <v>46077</v>
      </c>
      <c r="O2566" s="7">
        <v>0.40972222222222221</v>
      </c>
      <c r="P2566" s="5">
        <v>1</v>
      </c>
      <c r="Q2566" s="5" t="s">
        <v>375</v>
      </c>
      <c r="R2566" s="5">
        <v>80000</v>
      </c>
      <c r="S2566" s="5">
        <v>0</v>
      </c>
      <c r="T2566" s="5">
        <v>0</v>
      </c>
      <c r="U2566" s="5">
        <v>80000</v>
      </c>
      <c r="V2566" s="5" t="s">
        <v>11419</v>
      </c>
      <c r="W2566" s="5" t="s">
        <v>36</v>
      </c>
      <c r="X2566" s="5" t="s">
        <v>196</v>
      </c>
      <c r="Z2566" s="5" t="s">
        <v>11420</v>
      </c>
      <c r="AA2566" s="5" t="s">
        <v>69</v>
      </c>
      <c r="AC2566" s="8" t="str">
        <f>HYPERLINK("https://drive.google.com/file/d/1KCRJRYL4WNoYaRFsm2d45CaqMmW8nhty/view?usp=drivesdk", "Abrir_Factura")</f>
        <v>Abrir_Factura</v>
      </c>
      <c r="AD2566" s="9">
        <v>46077.449363425927</v>
      </c>
    </row>
    <row r="2567" spans="1:30" ht="12.5">
      <c r="A2567" s="4">
        <v>46077.370829201391</v>
      </c>
      <c r="B2567" s="5">
        <v>92304</v>
      </c>
      <c r="C2567" s="5">
        <v>11202090</v>
      </c>
      <c r="D2567" s="5" t="s">
        <v>6465</v>
      </c>
      <c r="F2567" s="5" t="s">
        <v>1033</v>
      </c>
      <c r="H2567" s="5">
        <v>573203476161</v>
      </c>
      <c r="J2567" s="5" t="s">
        <v>11421</v>
      </c>
      <c r="K2567" s="5" t="s">
        <v>73</v>
      </c>
      <c r="L2567" s="5" t="s">
        <v>11422</v>
      </c>
      <c r="M2567" s="5">
        <v>3138891870</v>
      </c>
      <c r="N2567" s="6">
        <v>46077</v>
      </c>
      <c r="O2567" s="7">
        <v>0.41666666666666669</v>
      </c>
      <c r="P2567" s="5">
        <v>1</v>
      </c>
      <c r="Q2567" s="5" t="s">
        <v>178</v>
      </c>
      <c r="R2567" s="5">
        <v>110000</v>
      </c>
      <c r="S2567" s="5">
        <v>0</v>
      </c>
      <c r="T2567" s="5">
        <v>8000</v>
      </c>
      <c r="U2567" s="5">
        <v>118000</v>
      </c>
      <c r="V2567" s="5" t="s">
        <v>11423</v>
      </c>
      <c r="W2567" s="5" t="s">
        <v>36</v>
      </c>
      <c r="X2567" s="5" t="s">
        <v>67</v>
      </c>
      <c r="Z2567" s="5" t="s">
        <v>6465</v>
      </c>
      <c r="AA2567" s="5" t="s">
        <v>44</v>
      </c>
      <c r="AC2567" s="8" t="str">
        <f>HYPERLINK("https://drive.google.com/file/d/1P6GUJKkmsMnfM5-KV8bzTSKbc3Tc5Bpj/view?usp=drivesdk", "Abrir_Factura")</f>
        <v>Abrir_Factura</v>
      </c>
      <c r="AD2567" s="9">
        <v>46077.378865740742</v>
      </c>
    </row>
    <row r="2568" spans="1:30" ht="18" customHeight="1">
      <c r="A2568" s="4">
        <v>46077.388082152778</v>
      </c>
      <c r="B2568" s="5">
        <v>92325</v>
      </c>
      <c r="C2568" s="5">
        <v>1001881358</v>
      </c>
      <c r="D2568" s="5" t="s">
        <v>11424</v>
      </c>
      <c r="F2568" s="5" t="s">
        <v>11425</v>
      </c>
      <c r="H2568" s="5">
        <v>573102426557</v>
      </c>
      <c r="J2568" s="5" t="s">
        <v>11426</v>
      </c>
      <c r="K2568" s="5" t="s">
        <v>185</v>
      </c>
      <c r="L2568" s="5" t="s">
        <v>11427</v>
      </c>
      <c r="M2568" s="5" t="s">
        <v>11428</v>
      </c>
      <c r="N2568" s="6">
        <v>46078</v>
      </c>
      <c r="O2568" s="7">
        <v>0.33333333333333331</v>
      </c>
      <c r="P2568" s="5">
        <v>1</v>
      </c>
      <c r="Q2568" s="5" t="s">
        <v>375</v>
      </c>
      <c r="R2568" s="5">
        <v>80000</v>
      </c>
      <c r="S2568" s="5">
        <v>0</v>
      </c>
      <c r="T2568" s="5">
        <v>8000</v>
      </c>
      <c r="U2568" s="5">
        <v>88000</v>
      </c>
      <c r="V2568" s="5" t="s">
        <v>11429</v>
      </c>
      <c r="W2568" s="5" t="s">
        <v>36</v>
      </c>
      <c r="X2568" s="5" t="s">
        <v>67</v>
      </c>
      <c r="Z2568" s="5" t="s">
        <v>11430</v>
      </c>
      <c r="AA2568" s="5" t="s">
        <v>69</v>
      </c>
      <c r="AB2568" s="5"/>
      <c r="AC2568" s="8" t="str">
        <f>HYPERLINK("https://drive.google.com/file/d/1vjw1yqY6kTjrBwfDiRXD0AFtSl6-1zQD/view?usp=drivesdk", "Abrir_Factura")</f>
        <v>Abrir_Factura</v>
      </c>
      <c r="AD2568" s="9">
        <v>46077.637627314813</v>
      </c>
    </row>
    <row r="2569" spans="1:30" ht="16.5" customHeight="1">
      <c r="A2569" s="4">
        <v>46077.394150300926</v>
      </c>
      <c r="B2569" s="5">
        <v>92320</v>
      </c>
      <c r="C2569" s="5">
        <v>1023976136</v>
      </c>
      <c r="D2569" s="5" t="s">
        <v>972</v>
      </c>
      <c r="F2569" s="5" t="s">
        <v>583</v>
      </c>
      <c r="H2569" s="5">
        <v>573138347371</v>
      </c>
      <c r="J2569" s="5" t="s">
        <v>11431</v>
      </c>
      <c r="K2569" s="5" t="s">
        <v>185</v>
      </c>
      <c r="L2569" s="5" t="s">
        <v>11432</v>
      </c>
      <c r="M2569" s="5" t="s">
        <v>11433</v>
      </c>
      <c r="N2569" s="6">
        <v>46077</v>
      </c>
      <c r="O2569" s="7">
        <v>0</v>
      </c>
      <c r="P2569" s="5">
        <v>1</v>
      </c>
      <c r="Q2569" s="5" t="s">
        <v>42</v>
      </c>
      <c r="R2569" s="5">
        <v>100000</v>
      </c>
      <c r="S2569" s="5">
        <v>0</v>
      </c>
      <c r="T2569" s="5">
        <v>8000</v>
      </c>
      <c r="U2569" s="5">
        <v>108000</v>
      </c>
      <c r="V2569" s="5" t="s">
        <v>11434</v>
      </c>
      <c r="W2569" s="5" t="s">
        <v>36</v>
      </c>
      <c r="X2569" s="5" t="s">
        <v>196</v>
      </c>
      <c r="Z2569" s="5" t="s">
        <v>11435</v>
      </c>
      <c r="AA2569" s="5" t="s">
        <v>44</v>
      </c>
      <c r="AB2569" s="5" t="s">
        <v>11436</v>
      </c>
      <c r="AC2569" s="8" t="str">
        <f>HYPERLINK("https://drive.google.com/file/d/1EHVUG0HwV3urOcmmDe71yZ0Vk3lqcFKG/view?usp=drivesdk", "Abrir_Factura")</f>
        <v>Abrir_Factura</v>
      </c>
      <c r="AD2569" s="9">
        <v>46077.569155092591</v>
      </c>
    </row>
    <row r="2570" spans="1:30" ht="16.5" customHeight="1">
      <c r="A2570" s="4">
        <v>46077.398585694449</v>
      </c>
      <c r="B2570" s="5">
        <v>92307</v>
      </c>
      <c r="C2570" s="5">
        <v>1001818614</v>
      </c>
      <c r="D2570" s="5" t="s">
        <v>883</v>
      </c>
      <c r="F2570" s="5" t="s">
        <v>11437</v>
      </c>
      <c r="H2570" s="5">
        <v>573106301186</v>
      </c>
      <c r="J2570" s="5" t="s">
        <v>11438</v>
      </c>
      <c r="K2570" s="5" t="s">
        <v>161</v>
      </c>
      <c r="L2570" s="5" t="s">
        <v>11439</v>
      </c>
      <c r="M2570" s="5">
        <v>3157128859</v>
      </c>
      <c r="N2570" s="6">
        <v>46080</v>
      </c>
      <c r="O2570" s="7">
        <v>0.33333333333333331</v>
      </c>
      <c r="P2570" s="5">
        <v>1</v>
      </c>
      <c r="Q2570" s="5" t="s">
        <v>330</v>
      </c>
      <c r="R2570" s="5">
        <v>200000</v>
      </c>
      <c r="S2570" s="5">
        <v>0</v>
      </c>
      <c r="T2570" s="5">
        <v>8000</v>
      </c>
      <c r="U2570" s="5">
        <v>208000</v>
      </c>
      <c r="V2570" s="5" t="s">
        <v>11440</v>
      </c>
      <c r="W2570" s="5" t="s">
        <v>36</v>
      </c>
      <c r="X2570" s="5" t="s">
        <v>67</v>
      </c>
      <c r="Z2570" s="5" t="s">
        <v>11441</v>
      </c>
      <c r="AA2570" s="5" t="s">
        <v>69</v>
      </c>
      <c r="AB2570" s="5" t="s">
        <v>11442</v>
      </c>
      <c r="AC2570" s="8" t="str">
        <f>HYPERLINK("https://drive.google.com/file/d/1Y6J7AsBfwfr8iEeuIdCXKr-x1hHKzfeR/view?usp=drivesdk", "Abrir_Factura")</f>
        <v>Abrir_Factura</v>
      </c>
      <c r="AD2570" s="9">
        <v>46077.411446759259</v>
      </c>
    </row>
    <row r="2571" spans="1:30" ht="12.5">
      <c r="A2571" s="4">
        <v>46077.426015810182</v>
      </c>
      <c r="B2571" s="5">
        <v>92310</v>
      </c>
      <c r="C2571" s="5">
        <v>1002155366</v>
      </c>
      <c r="D2571" s="5" t="s">
        <v>1291</v>
      </c>
      <c r="F2571" s="5" t="s">
        <v>11443</v>
      </c>
      <c r="H2571" s="5">
        <v>573185216279</v>
      </c>
      <c r="J2571" s="5" t="s">
        <v>11444</v>
      </c>
      <c r="K2571" s="5" t="s">
        <v>328</v>
      </c>
      <c r="L2571" s="5" t="s">
        <v>11445</v>
      </c>
      <c r="M2571" s="5">
        <v>3134578463</v>
      </c>
      <c r="N2571" s="6">
        <v>46077</v>
      </c>
      <c r="O2571" s="7">
        <v>0.54166666666666663</v>
      </c>
      <c r="P2571" s="5">
        <v>1</v>
      </c>
      <c r="Q2571" s="5" t="s">
        <v>4021</v>
      </c>
      <c r="R2571" s="5">
        <v>240000</v>
      </c>
      <c r="S2571" s="5">
        <v>0</v>
      </c>
      <c r="T2571" s="5">
        <v>15000</v>
      </c>
      <c r="U2571" s="5">
        <v>255000</v>
      </c>
      <c r="V2571" s="5" t="s">
        <v>11446</v>
      </c>
      <c r="W2571" s="5" t="s">
        <v>36</v>
      </c>
      <c r="X2571" s="5" t="s">
        <v>180</v>
      </c>
      <c r="Z2571" s="5" t="s">
        <v>11447</v>
      </c>
      <c r="AA2571" s="5" t="s">
        <v>44</v>
      </c>
      <c r="AC2571" s="8" t="str">
        <f>HYPERLINK("https://drive.google.com/file/d/1p9N5LUdgi3yXOrinD1_JeZQv0Kn7pXw6/view?usp=drivesdk", "Abrir_Factura")</f>
        <v>Abrir_Factura</v>
      </c>
      <c r="AD2571" s="9">
        <v>46077.4684375</v>
      </c>
    </row>
    <row r="2572" spans="1:30" ht="12.5">
      <c r="A2572" s="4">
        <v>46077.43816957176</v>
      </c>
      <c r="B2572" s="5">
        <v>92334</v>
      </c>
      <c r="C2572" s="5">
        <v>1047217323</v>
      </c>
      <c r="D2572" s="5" t="s">
        <v>11448</v>
      </c>
      <c r="F2572" s="5" t="s">
        <v>11449</v>
      </c>
      <c r="H2572" s="5">
        <v>573113092602</v>
      </c>
      <c r="J2572" s="5" t="s">
        <v>11450</v>
      </c>
      <c r="K2572" s="5"/>
      <c r="L2572" s="10" t="s">
        <v>3330</v>
      </c>
      <c r="M2572" s="5">
        <v>3113092602</v>
      </c>
      <c r="N2572" s="6">
        <v>46077</v>
      </c>
      <c r="O2572" s="7">
        <v>0</v>
      </c>
      <c r="P2572" s="5">
        <v>1</v>
      </c>
      <c r="Q2572" s="5" t="s">
        <v>42</v>
      </c>
      <c r="R2572" s="5">
        <v>30000</v>
      </c>
      <c r="S2572" s="5">
        <v>0</v>
      </c>
      <c r="T2572" s="5"/>
      <c r="U2572" s="5">
        <v>30000</v>
      </c>
      <c r="V2572" s="5"/>
      <c r="W2572" s="5" t="s">
        <v>36</v>
      </c>
      <c r="X2572" s="5" t="s">
        <v>196</v>
      </c>
      <c r="AA2572" s="5" t="s">
        <v>69</v>
      </c>
      <c r="AC2572" s="8" t="str">
        <f>HYPERLINK("https://drive.google.com/file/d/1ANlN_RlF6vPoPhJYlb5o5p7ShhvOvBwV/view?usp=drivesdk", "Abrir_Factura")</f>
        <v>Abrir_Factura</v>
      </c>
      <c r="AD2572" s="9">
        <v>46077.744270833333</v>
      </c>
    </row>
    <row r="2573" spans="1:30" ht="12.5">
      <c r="A2573" s="4">
        <v>46077.447144305552</v>
      </c>
      <c r="B2573" s="5">
        <v>92309</v>
      </c>
      <c r="C2573" s="5">
        <v>1044210707</v>
      </c>
      <c r="D2573" s="5" t="s">
        <v>11451</v>
      </c>
      <c r="F2573" s="5" t="s">
        <v>11452</v>
      </c>
      <c r="H2573" s="5">
        <v>17816863866</v>
      </c>
      <c r="J2573" s="5" t="s">
        <v>11453</v>
      </c>
      <c r="K2573" s="5" t="s">
        <v>161</v>
      </c>
      <c r="L2573" s="5" t="s">
        <v>11454</v>
      </c>
      <c r="M2573" s="5" t="s">
        <v>25421</v>
      </c>
      <c r="N2573" s="6">
        <v>46077</v>
      </c>
      <c r="O2573" s="7">
        <v>0</v>
      </c>
      <c r="P2573" s="5">
        <v>1</v>
      </c>
      <c r="Q2573" s="5" t="s">
        <v>375</v>
      </c>
      <c r="R2573" s="5">
        <v>80000</v>
      </c>
      <c r="S2573" s="5">
        <v>0</v>
      </c>
      <c r="T2573" s="5">
        <v>8000</v>
      </c>
      <c r="U2573" s="5">
        <v>88000</v>
      </c>
      <c r="V2573" s="5" t="s">
        <v>11455</v>
      </c>
      <c r="W2573" s="5" t="s">
        <v>36</v>
      </c>
      <c r="X2573" s="5" t="s">
        <v>67</v>
      </c>
      <c r="Z2573" s="5" t="s">
        <v>11456</v>
      </c>
      <c r="AA2573" s="5" t="s">
        <v>44</v>
      </c>
      <c r="AB2573" s="5" t="s">
        <v>11457</v>
      </c>
      <c r="AC2573" s="8" t="str">
        <f>HYPERLINK("https://drive.google.com/file/d/185UGO08GrbxYA-fixjCSZDNC6ZKOKUVe/view?usp=drivesdk", "Abrir_Factura")</f>
        <v>Abrir_Factura</v>
      </c>
      <c r="AD2573" s="9">
        <v>46077.454467592594</v>
      </c>
    </row>
    <row r="2574" spans="1:30" ht="12.5">
      <c r="A2574" s="4">
        <v>46077.448379444446</v>
      </c>
      <c r="B2574" s="5">
        <v>92308</v>
      </c>
      <c r="C2574" s="5">
        <v>1140830607</v>
      </c>
      <c r="D2574" s="5" t="s">
        <v>11458</v>
      </c>
      <c r="F2574" s="5" t="s">
        <v>11459</v>
      </c>
      <c r="H2574" s="5">
        <v>573188135134</v>
      </c>
      <c r="J2574" s="5" t="s">
        <v>11460</v>
      </c>
      <c r="K2574" s="5" t="s">
        <v>33</v>
      </c>
      <c r="L2574" s="5" t="s">
        <v>34</v>
      </c>
      <c r="M2574" s="5">
        <v>3188135134</v>
      </c>
      <c r="N2574" s="6">
        <v>46077</v>
      </c>
      <c r="O2574" s="7">
        <v>0</v>
      </c>
      <c r="P2574" s="5">
        <v>1</v>
      </c>
      <c r="Q2574" s="5" t="s">
        <v>178</v>
      </c>
      <c r="R2574" s="5">
        <v>110000</v>
      </c>
      <c r="S2574" s="5">
        <v>0</v>
      </c>
      <c r="T2574" s="5">
        <v>0</v>
      </c>
      <c r="U2574" s="5">
        <v>110000</v>
      </c>
      <c r="V2574" s="5"/>
      <c r="W2574" s="5" t="s">
        <v>36</v>
      </c>
      <c r="X2574" s="5" t="s">
        <v>43</v>
      </c>
      <c r="AA2574" s="5" t="s">
        <v>37</v>
      </c>
      <c r="AB2574" s="10" t="s">
        <v>11461</v>
      </c>
      <c r="AC2574" s="8" t="str">
        <f>HYPERLINK("https://drive.google.com/file/d/1YnjMj-k73cJlmHkykJCM1UguDbMOW2cw/view?usp=drivesdk", "Abrir_Factura")</f>
        <v>Abrir_Factura</v>
      </c>
      <c r="AD2574" s="9">
        <v>46077.449050925927</v>
      </c>
    </row>
    <row r="2575" spans="1:30" ht="12.5">
      <c r="A2575" s="4">
        <v>46077.467634814813</v>
      </c>
      <c r="B2575" s="5">
        <v>92311</v>
      </c>
      <c r="C2575" s="5">
        <v>1234097133</v>
      </c>
      <c r="D2575" s="5" t="s">
        <v>165</v>
      </c>
      <c r="F2575" s="5" t="s">
        <v>166</v>
      </c>
      <c r="H2575" s="5">
        <v>573209485304</v>
      </c>
      <c r="J2575" s="5" t="s">
        <v>167</v>
      </c>
      <c r="K2575" s="5" t="s">
        <v>33</v>
      </c>
      <c r="L2575" s="5" t="s">
        <v>34</v>
      </c>
      <c r="M2575" s="5">
        <v>3209485304</v>
      </c>
      <c r="N2575" s="6">
        <v>46077</v>
      </c>
      <c r="O2575" s="7">
        <v>0.4861111111111111</v>
      </c>
      <c r="P2575" s="5">
        <v>1</v>
      </c>
      <c r="Q2575" s="5" t="s">
        <v>1111</v>
      </c>
      <c r="R2575" s="5">
        <v>140000</v>
      </c>
      <c r="S2575" s="5">
        <v>0</v>
      </c>
      <c r="T2575" s="5">
        <v>0</v>
      </c>
      <c r="U2575" s="5">
        <v>140000</v>
      </c>
      <c r="V2575" s="5"/>
      <c r="W2575" s="5" t="s">
        <v>36</v>
      </c>
      <c r="X2575" s="5" t="s">
        <v>67</v>
      </c>
      <c r="AA2575" s="5" t="s">
        <v>44</v>
      </c>
      <c r="AC2575" s="8" t="str">
        <f>HYPERLINK("https://drive.google.com/file/d/1dUEqmoGXdU8OIvLg8z1u7X1hmljvxNUZ/view?usp=drivesdk", "Abrir_Factura")</f>
        <v>Abrir_Factura</v>
      </c>
      <c r="AD2575" s="9">
        <v>46077.472430555557</v>
      </c>
    </row>
    <row r="2576" spans="1:30" ht="12.5">
      <c r="A2576" s="4">
        <v>46077.471648611114</v>
      </c>
      <c r="B2576" s="5">
        <v>92312</v>
      </c>
      <c r="C2576" s="5">
        <v>1234093730</v>
      </c>
      <c r="D2576" s="5" t="s">
        <v>297</v>
      </c>
      <c r="F2576" s="5" t="s">
        <v>11348</v>
      </c>
      <c r="H2576" s="5">
        <v>16476753372</v>
      </c>
      <c r="J2576" s="5" t="s">
        <v>11349</v>
      </c>
      <c r="K2576" s="5" t="s">
        <v>185</v>
      </c>
      <c r="L2576" s="5" t="s">
        <v>11350</v>
      </c>
      <c r="M2576" s="5">
        <v>16476753372</v>
      </c>
      <c r="N2576" s="6">
        <v>46077</v>
      </c>
      <c r="O2576" s="7">
        <v>0</v>
      </c>
      <c r="P2576" s="5">
        <v>1</v>
      </c>
      <c r="Q2576" s="5" t="s">
        <v>375</v>
      </c>
      <c r="R2576" s="5">
        <v>80000</v>
      </c>
      <c r="S2576" s="5">
        <v>0</v>
      </c>
      <c r="T2576" s="5">
        <v>8000</v>
      </c>
      <c r="U2576" s="5">
        <v>88000</v>
      </c>
      <c r="V2576" s="5" t="s">
        <v>11462</v>
      </c>
      <c r="W2576" s="5" t="s">
        <v>36</v>
      </c>
      <c r="X2576" s="5" t="s">
        <v>67</v>
      </c>
      <c r="Z2576" s="5" t="s">
        <v>11463</v>
      </c>
      <c r="AA2576" s="5" t="s">
        <v>44</v>
      </c>
      <c r="AC2576" s="8" t="str">
        <f>HYPERLINK("https://drive.google.com/file/d/1jiJdbzxLwVJqp4bC_PEKNjm_Fj76mMgG/view?usp=drivesdk", "Abrir_Factura")</f>
        <v>Abrir_Factura</v>
      </c>
      <c r="AD2576" s="9">
        <v>46077.47761574074</v>
      </c>
    </row>
    <row r="2577" spans="1:30" ht="12.5">
      <c r="A2577" s="4">
        <v>46077.489495324073</v>
      </c>
      <c r="B2577" s="5">
        <v>92314</v>
      </c>
      <c r="C2577" s="5">
        <v>1140851525</v>
      </c>
      <c r="D2577" s="5" t="s">
        <v>11464</v>
      </c>
      <c r="F2577" s="5" t="s">
        <v>11465</v>
      </c>
      <c r="H2577" s="5">
        <v>573006749322</v>
      </c>
      <c r="J2577" s="5" t="s">
        <v>11466</v>
      </c>
      <c r="K2577" s="5" t="s">
        <v>6662</v>
      </c>
      <c r="L2577" s="5" t="s">
        <v>11467</v>
      </c>
      <c r="M2577" s="5">
        <v>3006749322</v>
      </c>
      <c r="N2577" s="6">
        <v>46078</v>
      </c>
      <c r="O2577" s="7">
        <v>0.58333333333333337</v>
      </c>
      <c r="P2577" s="5">
        <v>1</v>
      </c>
      <c r="Q2577" s="5" t="s">
        <v>178</v>
      </c>
      <c r="R2577" s="5">
        <v>110000</v>
      </c>
      <c r="S2577" s="5">
        <v>0</v>
      </c>
      <c r="T2577" s="5">
        <v>15000</v>
      </c>
      <c r="U2577" s="5">
        <v>125000</v>
      </c>
      <c r="V2577" s="5"/>
      <c r="W2577" s="5" t="s">
        <v>36</v>
      </c>
      <c r="X2577" s="5" t="s">
        <v>180</v>
      </c>
      <c r="AA2577" s="5" t="s">
        <v>44</v>
      </c>
      <c r="AC2577" s="8" t="str">
        <f>HYPERLINK("https://drive.google.com/file/d/1tXz6jIKte4cggKLYyttSjXKx7gtUcYeC/view?usp=drivesdk", "Abrir_Factura")</f>
        <v>Abrir_Factura</v>
      </c>
      <c r="AD2577" s="9">
        <v>46077.525856481479</v>
      </c>
    </row>
    <row r="2578" spans="1:30" ht="12.5">
      <c r="A2578" s="4">
        <v>46077.501046631944</v>
      </c>
      <c r="B2578" s="5">
        <v>92313</v>
      </c>
      <c r="C2578" s="5">
        <v>22400123</v>
      </c>
      <c r="D2578" s="5" t="s">
        <v>4654</v>
      </c>
      <c r="F2578" s="5" t="s">
        <v>4655</v>
      </c>
      <c r="H2578" s="5">
        <v>5713053384931</v>
      </c>
      <c r="J2578" s="5" t="s">
        <v>11468</v>
      </c>
      <c r="K2578" s="5" t="s">
        <v>161</v>
      </c>
      <c r="L2578" s="5" t="s">
        <v>11469</v>
      </c>
      <c r="M2578" s="5"/>
      <c r="N2578" s="6">
        <v>46077</v>
      </c>
      <c r="O2578" s="7">
        <v>0.58333333333333337</v>
      </c>
      <c r="P2578" s="5">
        <v>1</v>
      </c>
      <c r="Q2578" s="5" t="s">
        <v>11470</v>
      </c>
      <c r="R2578" s="5">
        <v>235000</v>
      </c>
      <c r="S2578" s="5">
        <v>0</v>
      </c>
      <c r="T2578" s="5">
        <v>8000</v>
      </c>
      <c r="U2578" s="5">
        <v>243000</v>
      </c>
      <c r="V2578" s="5" t="s">
        <v>11471</v>
      </c>
      <c r="W2578" s="5" t="s">
        <v>36</v>
      </c>
      <c r="X2578" s="5" t="s">
        <v>1937</v>
      </c>
      <c r="AA2578" s="5" t="s">
        <v>44</v>
      </c>
      <c r="AB2578" s="5" t="s">
        <v>11472</v>
      </c>
      <c r="AC2578" s="8" t="str">
        <f>HYPERLINK("https://drive.google.com/file/d/1SY6YtHI8pPG7mwdkyHDOFoAtKbl0hc7u/view?usp=drivesdk", "Abrir_Factura")</f>
        <v>Abrir_Factura</v>
      </c>
      <c r="AD2578" s="9">
        <v>46077.733240740738</v>
      </c>
    </row>
    <row r="2579" spans="1:30" ht="12.5">
      <c r="A2579" s="4">
        <v>46077.522659965281</v>
      </c>
      <c r="B2579" s="5">
        <v>92315</v>
      </c>
      <c r="C2579" s="5">
        <v>1140886901</v>
      </c>
      <c r="D2579" s="5" t="s">
        <v>11473</v>
      </c>
      <c r="F2579" s="5" t="s">
        <v>11474</v>
      </c>
      <c r="H2579" s="5">
        <v>5719723332888</v>
      </c>
      <c r="J2579" s="5" t="s">
        <v>11475</v>
      </c>
      <c r="K2579" s="5" t="s">
        <v>10526</v>
      </c>
      <c r="L2579" s="5" t="s">
        <v>11476</v>
      </c>
      <c r="M2579" s="5">
        <v>19723332888</v>
      </c>
      <c r="N2579" s="6">
        <v>46081</v>
      </c>
      <c r="O2579" s="7">
        <v>0.33333333333333331</v>
      </c>
      <c r="P2579" s="5">
        <v>1</v>
      </c>
      <c r="Q2579" s="5" t="s">
        <v>335</v>
      </c>
      <c r="R2579" s="5">
        <v>120000</v>
      </c>
      <c r="S2579" s="5">
        <v>0</v>
      </c>
      <c r="T2579" s="5">
        <v>12000</v>
      </c>
      <c r="U2579" s="5">
        <v>132000</v>
      </c>
      <c r="V2579" s="5" t="s">
        <v>11477</v>
      </c>
      <c r="W2579" s="5" t="s">
        <v>36</v>
      </c>
      <c r="X2579" s="5" t="s">
        <v>67</v>
      </c>
      <c r="AA2579" s="5" t="s">
        <v>44</v>
      </c>
      <c r="AC2579" s="8" t="str">
        <f>HYPERLINK("https://drive.google.com/file/d/1K6n8DR38SzYIlTmBvpQX8IeLZkbh6J_Z/view?usp=drivesdk", "Abrir_Factura")</f>
        <v>Abrir_Factura</v>
      </c>
      <c r="AD2579" s="9">
        <v>46077.523425925923</v>
      </c>
    </row>
    <row r="2580" spans="1:30" ht="12.5">
      <c r="A2580" s="4">
        <v>46077.54070420139</v>
      </c>
      <c r="B2580" s="5">
        <v>92316</v>
      </c>
      <c r="C2580" s="5">
        <v>1140886901</v>
      </c>
      <c r="D2580" s="5" t="s">
        <v>11473</v>
      </c>
      <c r="F2580" s="5" t="s">
        <v>2102</v>
      </c>
      <c r="H2580" s="5">
        <v>5719723332888</v>
      </c>
      <c r="J2580" s="5" t="s">
        <v>11478</v>
      </c>
      <c r="K2580" s="5" t="s">
        <v>124</v>
      </c>
      <c r="L2580" s="5" t="s">
        <v>11479</v>
      </c>
      <c r="M2580" s="5">
        <v>3044638773</v>
      </c>
      <c r="N2580" s="6">
        <v>46087</v>
      </c>
      <c r="O2580" s="7">
        <v>0.33333333333333331</v>
      </c>
      <c r="P2580" s="5">
        <v>1</v>
      </c>
      <c r="Q2580" s="5" t="s">
        <v>559</v>
      </c>
      <c r="R2580" s="5">
        <v>99000</v>
      </c>
      <c r="S2580" s="5">
        <v>0</v>
      </c>
      <c r="T2580" s="5">
        <v>12000</v>
      </c>
      <c r="U2580" s="5">
        <v>111000</v>
      </c>
      <c r="V2580" s="5" t="s">
        <v>11480</v>
      </c>
      <c r="W2580" s="5" t="s">
        <v>36</v>
      </c>
      <c r="X2580" s="5" t="s">
        <v>67</v>
      </c>
      <c r="AA2580" s="5" t="s">
        <v>44</v>
      </c>
      <c r="AC2580" s="8" t="str">
        <f>HYPERLINK("https://drive.google.com/file/d/1qd8m3KcZngQhRb1lB8Quy2VjRVZqVXtF/view?usp=drivesdk", "Abrir_Factura")</f>
        <v>Abrir_Factura</v>
      </c>
      <c r="AD2580" s="9">
        <v>46077.543090277781</v>
      </c>
    </row>
    <row r="2581" spans="1:30" ht="12.5">
      <c r="A2581" s="4">
        <v>46077.543482129629</v>
      </c>
      <c r="B2581" s="5">
        <v>92318</v>
      </c>
      <c r="C2581" s="5">
        <v>1140819183</v>
      </c>
      <c r="D2581" s="5" t="s">
        <v>11481</v>
      </c>
      <c r="F2581" s="5" t="s">
        <v>11482</v>
      </c>
      <c r="H2581" s="5">
        <v>573168766165</v>
      </c>
      <c r="J2581" s="5" t="s">
        <v>11483</v>
      </c>
      <c r="K2581" s="5" t="s">
        <v>328</v>
      </c>
      <c r="L2581" s="5" t="s">
        <v>10983</v>
      </c>
      <c r="M2581" s="5">
        <v>3104428271</v>
      </c>
      <c r="N2581" s="6">
        <v>46077</v>
      </c>
      <c r="O2581" s="7">
        <v>0</v>
      </c>
      <c r="P2581" s="5">
        <v>1</v>
      </c>
      <c r="Q2581" s="5" t="s">
        <v>65</v>
      </c>
      <c r="R2581" s="5">
        <v>80000</v>
      </c>
      <c r="S2581" s="5">
        <v>0</v>
      </c>
      <c r="T2581" s="5">
        <v>15000</v>
      </c>
      <c r="U2581" s="5">
        <v>95000</v>
      </c>
      <c r="V2581" s="5" t="s">
        <v>11484</v>
      </c>
      <c r="W2581" s="5" t="s">
        <v>36</v>
      </c>
      <c r="X2581" s="5" t="s">
        <v>67</v>
      </c>
      <c r="Z2581" s="5" t="s">
        <v>11485</v>
      </c>
      <c r="AA2581" s="5" t="s">
        <v>44</v>
      </c>
      <c r="AC2581" s="8" t="str">
        <f>HYPERLINK("https://drive.google.com/file/d/1PhBXU-ZldP3fmYmUY4vNfaQ8Pz9qlJDe/view?usp=drivesdk", "Abrir_Factura")</f>
        <v>Abrir_Factura</v>
      </c>
      <c r="AD2581" s="9">
        <v>46077.551087962966</v>
      </c>
    </row>
    <row r="2582" spans="1:30" ht="12.5">
      <c r="A2582" s="4">
        <v>46077.544892696758</v>
      </c>
      <c r="B2582" s="5">
        <v>92333</v>
      </c>
      <c r="C2582" s="5">
        <v>1001818109</v>
      </c>
      <c r="D2582" s="5" t="s">
        <v>2466</v>
      </c>
      <c r="F2582" s="5" t="s">
        <v>7102</v>
      </c>
      <c r="H2582" s="5">
        <v>573143663864</v>
      </c>
      <c r="J2582" s="5" t="s">
        <v>11486</v>
      </c>
      <c r="K2582" s="5" t="s">
        <v>5574</v>
      </c>
      <c r="L2582" s="5" t="s">
        <v>11487</v>
      </c>
      <c r="M2582" s="5">
        <v>3162271980</v>
      </c>
      <c r="N2582" s="6">
        <v>46077</v>
      </c>
      <c r="O2582" s="7">
        <v>0.70833333333333337</v>
      </c>
      <c r="P2582" s="5">
        <v>1</v>
      </c>
      <c r="Q2582" s="5" t="s">
        <v>42</v>
      </c>
      <c r="R2582" s="5">
        <v>160000</v>
      </c>
      <c r="S2582" s="5">
        <v>0</v>
      </c>
      <c r="T2582" s="5">
        <v>10000</v>
      </c>
      <c r="U2582" s="5">
        <v>170000</v>
      </c>
      <c r="V2582" s="5" t="s">
        <v>11488</v>
      </c>
      <c r="W2582" s="5" t="s">
        <v>36</v>
      </c>
      <c r="X2582" s="5" t="s">
        <v>67</v>
      </c>
      <c r="Z2582" s="5" t="s">
        <v>11489</v>
      </c>
      <c r="AA2582" s="5" t="s">
        <v>69</v>
      </c>
      <c r="AB2582" s="5" t="s">
        <v>11490</v>
      </c>
      <c r="AC2582" s="8" t="str">
        <f>HYPERLINK("https://drive.google.com/file/d/143Gt5-5sAce1dON8vRoItuTbPRqi2e45/view?usp=drivesdk", "Abrir_Factura")</f>
        <v>Abrir_Factura</v>
      </c>
      <c r="AD2582" s="9">
        <v>46077.71943287037</v>
      </c>
    </row>
    <row r="2583" spans="1:30" ht="12.5">
      <c r="A2583" s="4">
        <v>46077.548808912034</v>
      </c>
      <c r="B2583" s="5">
        <v>92317</v>
      </c>
      <c r="C2583" s="5">
        <v>32606993</v>
      </c>
      <c r="D2583" s="5" t="s">
        <v>7624</v>
      </c>
      <c r="F2583" s="5" t="s">
        <v>7625</v>
      </c>
      <c r="H2583" s="5">
        <v>577161</v>
      </c>
      <c r="J2583" s="5" t="s">
        <v>7626</v>
      </c>
      <c r="K2583" s="5" t="s">
        <v>33</v>
      </c>
      <c r="L2583" s="5" t="s">
        <v>34</v>
      </c>
      <c r="M2583" s="5">
        <v>7161</v>
      </c>
      <c r="N2583" s="6">
        <v>46077</v>
      </c>
      <c r="O2583" s="7">
        <v>0</v>
      </c>
      <c r="P2583" s="5">
        <v>1</v>
      </c>
      <c r="Q2583" s="5" t="s">
        <v>42</v>
      </c>
      <c r="R2583" s="5">
        <v>32000</v>
      </c>
      <c r="S2583" s="5">
        <v>0</v>
      </c>
      <c r="T2583" s="5">
        <v>0</v>
      </c>
      <c r="U2583" s="5">
        <v>32000</v>
      </c>
      <c r="V2583" s="5"/>
      <c r="W2583" s="5" t="s">
        <v>36</v>
      </c>
      <c r="X2583" s="5" t="s">
        <v>1705</v>
      </c>
      <c r="AA2583" s="5" t="s">
        <v>1717</v>
      </c>
      <c r="AC2583" s="8" t="str">
        <f>HYPERLINK("https://drive.google.com/file/d/17zib5paB0Hgc-mYvWQkQPmBLwdHcZ__o/view?usp=drivesdk", "Abrir_Factura")</f>
        <v>Abrir_Factura</v>
      </c>
      <c r="AD2583" s="9">
        <v>46077.549942129626</v>
      </c>
    </row>
    <row r="2584" spans="1:30" ht="12.5">
      <c r="A2584" s="4">
        <v>46077.559278819448</v>
      </c>
      <c r="B2584" s="5">
        <v>92319</v>
      </c>
      <c r="C2584" s="5">
        <v>32641128</v>
      </c>
      <c r="D2584" s="5" t="s">
        <v>11491</v>
      </c>
      <c r="F2584" s="5" t="s">
        <v>4909</v>
      </c>
      <c r="H2584" s="5">
        <v>573205420119</v>
      </c>
      <c r="J2584" s="5" t="s">
        <v>11492</v>
      </c>
      <c r="K2584" s="5" t="s">
        <v>33</v>
      </c>
      <c r="L2584" s="5" t="s">
        <v>34</v>
      </c>
      <c r="M2584" s="5">
        <v>3205420119</v>
      </c>
      <c r="N2584" s="6">
        <v>46078</v>
      </c>
      <c r="O2584" s="7">
        <v>0</v>
      </c>
      <c r="P2584" s="5">
        <v>1</v>
      </c>
      <c r="Q2584" s="5" t="s">
        <v>42</v>
      </c>
      <c r="R2584" s="5">
        <v>160000</v>
      </c>
      <c r="S2584" s="5">
        <v>0</v>
      </c>
      <c r="T2584" s="5">
        <v>0</v>
      </c>
      <c r="U2584" s="5">
        <v>160000</v>
      </c>
      <c r="V2584" s="5"/>
      <c r="W2584" s="5" t="s">
        <v>36</v>
      </c>
      <c r="X2584" s="5" t="s">
        <v>67</v>
      </c>
      <c r="AA2584" s="5" t="s">
        <v>69</v>
      </c>
      <c r="AB2584" s="5" t="s">
        <v>11493</v>
      </c>
      <c r="AC2584" s="8" t="str">
        <f>HYPERLINK("https://drive.google.com/file/d/1moVilu6rA5nzluAXIp4DuCUlVWjN72Vn/view?usp=drivesdk", "Abrir_Factura")</f>
        <v>Abrir_Factura</v>
      </c>
      <c r="AD2584" s="9">
        <v>46078.639837962961</v>
      </c>
    </row>
    <row r="2585" spans="1:30" ht="12.5">
      <c r="A2585" s="4">
        <v>46077.560090648149</v>
      </c>
      <c r="B2585" s="5">
        <v>92371</v>
      </c>
      <c r="C2585" s="5">
        <v>1140869119</v>
      </c>
      <c r="D2585" s="5" t="s">
        <v>115</v>
      </c>
      <c r="F2585" s="5" t="s">
        <v>11494</v>
      </c>
      <c r="H2585" s="5">
        <v>573215005033</v>
      </c>
      <c r="J2585" s="5" t="s">
        <v>11495</v>
      </c>
      <c r="K2585" s="5" t="s">
        <v>73</v>
      </c>
      <c r="L2585" s="5" t="s">
        <v>11496</v>
      </c>
      <c r="M2585" s="5"/>
      <c r="N2585" s="6">
        <v>46079</v>
      </c>
      <c r="O2585" s="7">
        <v>0</v>
      </c>
      <c r="P2585" s="5">
        <v>1</v>
      </c>
      <c r="Q2585" s="5" t="s">
        <v>187</v>
      </c>
      <c r="R2585" s="5">
        <v>220000</v>
      </c>
      <c r="S2585" s="5">
        <v>0</v>
      </c>
      <c r="T2585" s="5">
        <v>8000</v>
      </c>
      <c r="U2585" s="5">
        <v>228000</v>
      </c>
      <c r="V2585" s="5" t="s">
        <v>11497</v>
      </c>
      <c r="W2585" s="5" t="s">
        <v>36</v>
      </c>
      <c r="X2585" s="5" t="s">
        <v>1937</v>
      </c>
      <c r="Z2585" s="5" t="s">
        <v>11498</v>
      </c>
      <c r="AA2585" s="5" t="s">
        <v>44</v>
      </c>
      <c r="AC2585" s="8" t="str">
        <f>HYPERLINK("https://drive.google.com/file/d/1hrOzcT_AvUL-gmAlSqfWLDCb9WeUHB3J/view?usp=drivesdk", "Abrir_Factura")</f>
        <v>Abrir_Factura</v>
      </c>
      <c r="AD2585" s="9">
        <v>46078.678483796299</v>
      </c>
    </row>
    <row r="2586" spans="1:30" ht="12.5">
      <c r="A2586" s="4">
        <v>46077.575171655088</v>
      </c>
      <c r="B2586" s="5">
        <v>92322</v>
      </c>
      <c r="C2586" s="5">
        <v>1082888772</v>
      </c>
      <c r="D2586" s="5" t="s">
        <v>11499</v>
      </c>
      <c r="F2586" s="5" t="s">
        <v>11500</v>
      </c>
      <c r="H2586" s="5">
        <v>573007658639</v>
      </c>
      <c r="J2586" s="5" t="s">
        <v>11501</v>
      </c>
      <c r="K2586" s="5" t="s">
        <v>328</v>
      </c>
      <c r="L2586" s="5" t="s">
        <v>11502</v>
      </c>
      <c r="M2586" s="5">
        <v>3045591253</v>
      </c>
      <c r="N2586" s="6">
        <v>46077</v>
      </c>
      <c r="O2586" s="7">
        <v>0</v>
      </c>
      <c r="P2586" s="5">
        <v>1</v>
      </c>
      <c r="Q2586" s="5" t="s">
        <v>178</v>
      </c>
      <c r="R2586" s="5">
        <v>110000</v>
      </c>
      <c r="S2586" s="5">
        <v>0</v>
      </c>
      <c r="T2586" s="5">
        <v>15000</v>
      </c>
      <c r="U2586" s="5">
        <v>125000</v>
      </c>
      <c r="V2586" s="5" t="s">
        <v>11503</v>
      </c>
      <c r="W2586" s="5" t="s">
        <v>36</v>
      </c>
      <c r="X2586" s="5" t="s">
        <v>67</v>
      </c>
      <c r="Z2586" s="5" t="s">
        <v>11504</v>
      </c>
      <c r="AA2586" s="5" t="s">
        <v>44</v>
      </c>
      <c r="AC2586" s="8" t="str">
        <f>HYPERLINK("https://drive.google.com/file/d/1AwNgILnp0QeYrE5B0oOiwvaKfdeEiDcD/view?usp=drivesdk", "Abrir_Factura")</f>
        <v>Abrir_Factura</v>
      </c>
      <c r="AD2586" s="9">
        <v>46077.627418981479</v>
      </c>
    </row>
    <row r="2587" spans="1:30" ht="12.5">
      <c r="A2587" s="4">
        <v>46077.60798778935</v>
      </c>
      <c r="B2587" s="5">
        <v>92323</v>
      </c>
      <c r="C2587" s="5">
        <v>1140893453</v>
      </c>
      <c r="D2587" s="5" t="s">
        <v>3139</v>
      </c>
      <c r="F2587" s="5" t="s">
        <v>8839</v>
      </c>
      <c r="H2587" s="5">
        <v>573003996801</v>
      </c>
      <c r="J2587" s="5" t="s">
        <v>11505</v>
      </c>
      <c r="K2587" s="5" t="s">
        <v>161</v>
      </c>
      <c r="L2587" s="5" t="s">
        <v>11506</v>
      </c>
      <c r="M2587" s="5" t="s">
        <v>25421</v>
      </c>
      <c r="N2587" s="6">
        <v>46077</v>
      </c>
      <c r="O2587" s="7">
        <v>0</v>
      </c>
      <c r="P2587" s="5">
        <v>1</v>
      </c>
      <c r="Q2587" s="5" t="s">
        <v>178</v>
      </c>
      <c r="R2587" s="5">
        <v>110000</v>
      </c>
      <c r="S2587" s="5">
        <v>0</v>
      </c>
      <c r="T2587" s="5">
        <v>8000</v>
      </c>
      <c r="U2587" s="5">
        <v>118000</v>
      </c>
      <c r="V2587" s="5" t="s">
        <v>11507</v>
      </c>
      <c r="W2587" s="5" t="s">
        <v>36</v>
      </c>
      <c r="X2587" s="5" t="s">
        <v>67</v>
      </c>
      <c r="Z2587" s="5" t="s">
        <v>8843</v>
      </c>
      <c r="AA2587" s="5" t="s">
        <v>44</v>
      </c>
      <c r="AC2587" s="8" t="str">
        <f>HYPERLINK("https://drive.google.com/file/d/1TF-7L_NxKyxzl7qpNkDoZtm1lSlMUcQn/view?usp=drivesdk", "Abrir_Factura")</f>
        <v>Abrir_Factura</v>
      </c>
      <c r="AD2587" s="9">
        <v>46077.632905092592</v>
      </c>
    </row>
    <row r="2588" spans="1:30" ht="12.5">
      <c r="A2588" s="4">
        <v>46077.613311180554</v>
      </c>
      <c r="B2588" s="5">
        <v>92324</v>
      </c>
      <c r="C2588" s="5">
        <v>8020011059</v>
      </c>
      <c r="D2588" s="5" t="s">
        <v>11508</v>
      </c>
      <c r="F2588" s="5" t="s">
        <v>6851</v>
      </c>
      <c r="H2588" s="5">
        <v>573158524692</v>
      </c>
      <c r="J2588" s="5" t="s">
        <v>11509</v>
      </c>
      <c r="K2588" s="5" t="s">
        <v>161</v>
      </c>
      <c r="L2588" s="5" t="s">
        <v>11510</v>
      </c>
      <c r="M2588" s="5">
        <v>3158524692</v>
      </c>
      <c r="N2588" s="6">
        <v>46078</v>
      </c>
      <c r="O2588" s="7">
        <v>0.375</v>
      </c>
      <c r="P2588" s="5">
        <v>1</v>
      </c>
      <c r="Q2588" s="5" t="s">
        <v>11511</v>
      </c>
      <c r="R2588" s="5">
        <v>150000</v>
      </c>
      <c r="S2588" s="5">
        <v>28500</v>
      </c>
      <c r="T2588" s="5">
        <v>8000</v>
      </c>
      <c r="U2588" s="5">
        <v>186500</v>
      </c>
      <c r="V2588" s="5" t="s">
        <v>11512</v>
      </c>
      <c r="W2588" s="5" t="s">
        <v>36</v>
      </c>
      <c r="X2588" s="5" t="s">
        <v>2163</v>
      </c>
      <c r="Z2588" s="5" t="s">
        <v>11513</v>
      </c>
      <c r="AA2588" s="5" t="s">
        <v>44</v>
      </c>
      <c r="AC2588" s="8" t="str">
        <f>HYPERLINK("https://drive.google.com/file/d/1zXwebHhOlBg9_LyGp1S4VFYVdn7r-SS7/view?usp=drivesdk", "Abrir_Factura")</f>
        <v>Abrir_Factura</v>
      </c>
      <c r="AD2588" s="9">
        <v>46077.635370370372</v>
      </c>
    </row>
    <row r="2589" spans="1:30" ht="12.5">
      <c r="A2589" s="4">
        <v>46077.623272002311</v>
      </c>
      <c r="B2589" s="5">
        <v>92321</v>
      </c>
      <c r="C2589" s="5">
        <v>1085103984</v>
      </c>
      <c r="D2589" s="5" t="s">
        <v>11514</v>
      </c>
      <c r="F2589" s="5" t="s">
        <v>11515</v>
      </c>
      <c r="H2589" s="5">
        <v>573004892605</v>
      </c>
      <c r="J2589" s="5" t="s">
        <v>11516</v>
      </c>
      <c r="K2589" s="5" t="s">
        <v>154</v>
      </c>
      <c r="L2589" s="5" t="s">
        <v>11517</v>
      </c>
      <c r="M2589" s="5">
        <v>0</v>
      </c>
      <c r="N2589" s="6">
        <v>46077</v>
      </c>
      <c r="O2589" s="7">
        <v>0.66666666666666663</v>
      </c>
      <c r="P2589" s="5">
        <v>1</v>
      </c>
      <c r="Q2589" s="5" t="s">
        <v>649</v>
      </c>
      <c r="R2589" s="5">
        <v>200000</v>
      </c>
      <c r="S2589" s="5">
        <v>0</v>
      </c>
      <c r="T2589" s="5">
        <v>8000</v>
      </c>
      <c r="U2589" s="5">
        <v>208000</v>
      </c>
      <c r="V2589" s="5" t="s">
        <v>11518</v>
      </c>
      <c r="W2589" s="5" t="s">
        <v>36</v>
      </c>
      <c r="X2589" s="5" t="s">
        <v>1937</v>
      </c>
      <c r="AA2589" s="5" t="s">
        <v>44</v>
      </c>
      <c r="AC2589" s="8" t="str">
        <f>HYPERLINK("https://drive.google.com/file/d/1GXC484tIikaoYAFyfZ2_av7HBAd_KKy7/view?usp=drivesdk", "Abrir_Factura")</f>
        <v>Abrir_Factura</v>
      </c>
      <c r="AD2589" s="9">
        <v>46077.625162037039</v>
      </c>
    </row>
    <row r="2590" spans="1:30" ht="12.5">
      <c r="A2590" s="4">
        <v>46077.640478078705</v>
      </c>
      <c r="B2590" s="5">
        <v>92327</v>
      </c>
      <c r="C2590" s="5">
        <v>900521807</v>
      </c>
      <c r="D2590" s="5" t="s">
        <v>1231</v>
      </c>
      <c r="F2590" s="5" t="s">
        <v>2159</v>
      </c>
      <c r="H2590" s="5">
        <v>573153543653</v>
      </c>
      <c r="J2590" s="5" t="s">
        <v>5734</v>
      </c>
      <c r="K2590" s="5" t="s">
        <v>33</v>
      </c>
      <c r="L2590" s="5" t="s">
        <v>34</v>
      </c>
      <c r="M2590" s="5" t="s">
        <v>11519</v>
      </c>
      <c r="N2590" s="6">
        <v>46078</v>
      </c>
      <c r="O2590" s="7">
        <v>0.375</v>
      </c>
      <c r="P2590" s="5">
        <v>1</v>
      </c>
      <c r="Q2590" s="5" t="s">
        <v>42</v>
      </c>
      <c r="R2590" s="5">
        <v>0</v>
      </c>
      <c r="S2590" s="5">
        <v>0</v>
      </c>
      <c r="T2590" s="5">
        <v>0</v>
      </c>
      <c r="U2590" s="5">
        <v>0</v>
      </c>
      <c r="V2590" s="5"/>
      <c r="W2590" s="5" t="s">
        <v>36</v>
      </c>
      <c r="X2590" s="5" t="s">
        <v>43</v>
      </c>
      <c r="AA2590" s="5" t="s">
        <v>44</v>
      </c>
      <c r="AB2590" s="5" t="s">
        <v>11520</v>
      </c>
      <c r="AC2590" s="8" t="str">
        <f>HYPERLINK("https://drive.google.com/file/d/1ZUWFdRFCkyIT_3_9bg8rsYFYxklU5jnu/view?usp=drivesdk", "Abrir_Factura")</f>
        <v>Abrir_Factura</v>
      </c>
      <c r="AD2590" s="9">
        <v>46077.665231481478</v>
      </c>
    </row>
    <row r="2591" spans="1:30" ht="12.5">
      <c r="A2591" s="4">
        <v>46077.660058634261</v>
      </c>
      <c r="B2591" s="5">
        <v>92329</v>
      </c>
      <c r="C2591" s="5">
        <v>1104010120</v>
      </c>
      <c r="D2591" s="5" t="s">
        <v>5685</v>
      </c>
      <c r="F2591" s="5" t="s">
        <v>11521</v>
      </c>
      <c r="H2591" s="5">
        <v>573004218505</v>
      </c>
      <c r="J2591" s="5" t="s">
        <v>11522</v>
      </c>
      <c r="K2591" s="5"/>
      <c r="L2591" s="5" t="s">
        <v>11523</v>
      </c>
      <c r="M2591" s="5">
        <v>3214414139</v>
      </c>
      <c r="N2591" s="6">
        <v>46078</v>
      </c>
      <c r="O2591" s="7">
        <v>0.33333333333333331</v>
      </c>
      <c r="P2591" s="5">
        <v>1</v>
      </c>
      <c r="Q2591" s="5" t="s">
        <v>178</v>
      </c>
      <c r="R2591" s="5">
        <v>135000</v>
      </c>
      <c r="S2591" s="5">
        <v>0</v>
      </c>
      <c r="T2591" s="5"/>
      <c r="U2591" s="5">
        <v>135000</v>
      </c>
      <c r="V2591" s="5"/>
      <c r="W2591" s="5" t="s">
        <v>36</v>
      </c>
      <c r="X2591" s="5" t="s">
        <v>67</v>
      </c>
      <c r="AA2591" s="5" t="s">
        <v>44</v>
      </c>
      <c r="AC2591" s="8" t="str">
        <f>HYPERLINK("https://drive.google.com/file/d/1cVBP4SvIfRnO7CmCq4dOucuMVGURTPol/view?usp=drivesdk", "Abrir_Factura")</f>
        <v>Abrir_Factura</v>
      </c>
      <c r="AD2591" s="9">
        <v>46078.466122685182</v>
      </c>
    </row>
    <row r="2592" spans="1:30" ht="12.5">
      <c r="A2592" s="4">
        <v>46077.664397928238</v>
      </c>
      <c r="B2592" s="5">
        <v>92326</v>
      </c>
      <c r="C2592" s="5">
        <v>1151470934</v>
      </c>
      <c r="D2592" s="5" t="s">
        <v>11111</v>
      </c>
      <c r="F2592" s="5" t="s">
        <v>11524</v>
      </c>
      <c r="H2592" s="5">
        <v>573014722689</v>
      </c>
      <c r="J2592" s="5" t="s">
        <v>11525</v>
      </c>
      <c r="K2592" s="5" t="s">
        <v>5089</v>
      </c>
      <c r="L2592" s="5" t="s">
        <v>11526</v>
      </c>
      <c r="M2592" s="5" t="s">
        <v>25421</v>
      </c>
      <c r="N2592" s="6">
        <v>46078</v>
      </c>
      <c r="O2592" s="7">
        <v>0.375</v>
      </c>
      <c r="P2592" s="5">
        <v>1</v>
      </c>
      <c r="Q2592" s="5" t="s">
        <v>707</v>
      </c>
      <c r="R2592" s="5">
        <v>360000</v>
      </c>
      <c r="S2592" s="5">
        <v>0</v>
      </c>
      <c r="T2592" s="5">
        <v>25000</v>
      </c>
      <c r="U2592" s="5">
        <v>385000</v>
      </c>
      <c r="V2592" s="5" t="s">
        <v>11527</v>
      </c>
      <c r="W2592" s="5" t="s">
        <v>36</v>
      </c>
      <c r="X2592" s="5" t="s">
        <v>67</v>
      </c>
      <c r="AA2592" s="5" t="s">
        <v>44</v>
      </c>
      <c r="AC2592" s="8" t="str">
        <f>HYPERLINK("https://drive.google.com/file/d/1EbvKhIz5G9DJfAWX7kLs1lxFjWiHPLqv/view?usp=drivesdk", "Abrir_Factura")</f>
        <v>Abrir_Factura</v>
      </c>
      <c r="AD2592" s="9">
        <v>46077.664872685185</v>
      </c>
    </row>
    <row r="2593" spans="1:30" ht="12.5">
      <c r="A2593" s="4">
        <v>46077.681487685186</v>
      </c>
      <c r="B2593" s="5">
        <v>92358</v>
      </c>
      <c r="C2593" s="5">
        <v>32793546</v>
      </c>
      <c r="D2593" s="5" t="s">
        <v>4352</v>
      </c>
      <c r="F2593" s="5" t="s">
        <v>4353</v>
      </c>
      <c r="H2593" s="5">
        <v>573114189941</v>
      </c>
      <c r="J2593" s="5" t="s">
        <v>11528</v>
      </c>
      <c r="K2593" s="5"/>
      <c r="L2593" s="5" t="s">
        <v>11529</v>
      </c>
      <c r="M2593" s="5">
        <v>3114189941</v>
      </c>
      <c r="N2593" s="6">
        <v>46077</v>
      </c>
      <c r="O2593" s="7">
        <v>0</v>
      </c>
      <c r="P2593" s="5">
        <v>1</v>
      </c>
      <c r="Q2593" s="5" t="s">
        <v>42</v>
      </c>
      <c r="R2593" s="5">
        <v>110000</v>
      </c>
      <c r="S2593" s="5">
        <v>0</v>
      </c>
      <c r="T2593" s="5"/>
      <c r="U2593" s="5">
        <v>110000</v>
      </c>
      <c r="V2593" s="5"/>
      <c r="W2593" s="5" t="s">
        <v>36</v>
      </c>
      <c r="X2593" s="5" t="s">
        <v>67</v>
      </c>
      <c r="AA2593" s="5" t="s">
        <v>44</v>
      </c>
      <c r="AB2593" s="5" t="s">
        <v>525</v>
      </c>
      <c r="AC2593" s="8" t="str">
        <f>HYPERLINK("https://drive.google.com/file/d/1ZHJO7Xq6aJ7Wjb3bIym09i4f7kbWO2N9/view?usp=drivesdk", "Abrir_Factura")</f>
        <v>Abrir_Factura</v>
      </c>
      <c r="AD2593" s="9">
        <v>46078.572013888886</v>
      </c>
    </row>
    <row r="2594" spans="1:30" ht="12.5">
      <c r="A2594" s="4">
        <v>46077.683454016209</v>
      </c>
      <c r="B2594" s="5">
        <v>92328</v>
      </c>
      <c r="C2594" s="5">
        <v>1144149136</v>
      </c>
      <c r="D2594" s="5" t="s">
        <v>2551</v>
      </c>
      <c r="F2594" s="5" t="s">
        <v>11530</v>
      </c>
      <c r="H2594" s="5">
        <v>570000</v>
      </c>
      <c r="J2594" s="5" t="s">
        <v>11531</v>
      </c>
      <c r="K2594" s="5" t="s">
        <v>33</v>
      </c>
      <c r="L2594" s="5" t="s">
        <v>34</v>
      </c>
      <c r="M2594" s="5">
        <v>0</v>
      </c>
      <c r="N2594" s="6">
        <v>46077</v>
      </c>
      <c r="O2594" s="7">
        <v>0</v>
      </c>
      <c r="P2594" s="5">
        <v>1</v>
      </c>
      <c r="Q2594" s="5" t="s">
        <v>42</v>
      </c>
      <c r="R2594" s="5">
        <v>15000</v>
      </c>
      <c r="S2594" s="5">
        <v>0</v>
      </c>
      <c r="T2594" s="5">
        <v>0</v>
      </c>
      <c r="U2594" s="5">
        <v>15000</v>
      </c>
      <c r="V2594" s="5"/>
      <c r="W2594" s="5" t="s">
        <v>36</v>
      </c>
      <c r="X2594" s="5" t="s">
        <v>196</v>
      </c>
      <c r="AA2594" s="5" t="s">
        <v>1717</v>
      </c>
      <c r="AC2594" s="8" t="str">
        <f>HYPERLINK("https://drive.google.com/file/d/130qf4lUExrXAnQQGNe3cFc7G6VleP_CT/view?usp=drivesdk", "Abrir_Factura")</f>
        <v>Abrir_Factura</v>
      </c>
      <c r="AD2594" s="9">
        <v>46077.683865740742</v>
      </c>
    </row>
    <row r="2595" spans="1:30" ht="12.5">
      <c r="A2595" s="4">
        <v>46077.685213530094</v>
      </c>
      <c r="B2595" s="5">
        <v>92330</v>
      </c>
      <c r="C2595" s="5">
        <v>1143461733</v>
      </c>
      <c r="D2595" s="5" t="s">
        <v>9984</v>
      </c>
      <c r="F2595" s="5" t="s">
        <v>11532</v>
      </c>
      <c r="H2595" s="5">
        <v>573006723153</v>
      </c>
      <c r="J2595" s="5" t="s">
        <v>11533</v>
      </c>
      <c r="K2595" s="5" t="s">
        <v>1047</v>
      </c>
      <c r="L2595" s="5" t="s">
        <v>11534</v>
      </c>
      <c r="M2595" s="5">
        <v>3007462601</v>
      </c>
      <c r="N2595" s="6">
        <v>46078</v>
      </c>
      <c r="O2595" s="7">
        <v>0.375</v>
      </c>
      <c r="P2595" s="5">
        <v>1</v>
      </c>
      <c r="Q2595" s="5" t="s">
        <v>112</v>
      </c>
      <c r="R2595" s="5">
        <v>300000</v>
      </c>
      <c r="S2595" s="5">
        <v>0</v>
      </c>
      <c r="T2595" s="5">
        <v>15000</v>
      </c>
      <c r="U2595" s="5">
        <v>315000</v>
      </c>
      <c r="V2595" s="5" t="s">
        <v>11535</v>
      </c>
      <c r="W2595" s="5" t="s">
        <v>36</v>
      </c>
      <c r="X2595" s="5" t="s">
        <v>1937</v>
      </c>
      <c r="Z2595" s="5" t="s">
        <v>11536</v>
      </c>
      <c r="AA2595" s="5" t="s">
        <v>44</v>
      </c>
      <c r="AC2595" s="8" t="str">
        <f>HYPERLINK("https://drive.google.com/file/d/1DF7ZgB1T4cJcvUinXrSEiOafFEapV6_0/view?usp=drivesdk", "Abrir_Factura")</f>
        <v>Abrir_Factura</v>
      </c>
      <c r="AD2595" s="9">
        <v>46077.696319444447</v>
      </c>
    </row>
    <row r="2596" spans="1:30" ht="12.5">
      <c r="A2596" s="4">
        <v>46077.697509618054</v>
      </c>
      <c r="B2596" s="5">
        <v>92332</v>
      </c>
      <c r="C2596" s="5">
        <v>22550347</v>
      </c>
      <c r="D2596" s="5" t="s">
        <v>1915</v>
      </c>
      <c r="F2596" s="5" t="s">
        <v>6711</v>
      </c>
      <c r="H2596" s="5">
        <v>13235420686</v>
      </c>
      <c r="J2596" s="5" t="s">
        <v>11537</v>
      </c>
      <c r="K2596" s="5" t="s">
        <v>63</v>
      </c>
      <c r="L2596" s="5" t="s">
        <v>11538</v>
      </c>
      <c r="M2596" s="5">
        <v>13235420686</v>
      </c>
      <c r="N2596" s="6">
        <v>46083</v>
      </c>
      <c r="O2596" s="7">
        <v>0.375</v>
      </c>
      <c r="P2596" s="5">
        <v>1</v>
      </c>
      <c r="Q2596" s="5" t="s">
        <v>4062</v>
      </c>
      <c r="R2596" s="5">
        <v>420000</v>
      </c>
      <c r="S2596" s="5">
        <v>0</v>
      </c>
      <c r="T2596" s="5">
        <v>17000</v>
      </c>
      <c r="U2596" s="5">
        <v>437000</v>
      </c>
      <c r="V2596" s="5" t="s">
        <v>11539</v>
      </c>
      <c r="W2596" s="5" t="s">
        <v>36</v>
      </c>
      <c r="X2596" s="5" t="s">
        <v>67</v>
      </c>
      <c r="Z2596" s="5" t="s">
        <v>11540</v>
      </c>
      <c r="AA2596" s="5" t="s">
        <v>44</v>
      </c>
      <c r="AC2596" s="8" t="str">
        <f>HYPERLINK("https://drive.google.com/file/d/1DVBuHgKcEriBNQ1M9VWXx8_Cx5HQ0iKF/view?usp=drivesdk", "Abrir_Factura")</f>
        <v>Abrir_Factura</v>
      </c>
      <c r="AD2596" s="9">
        <v>46077.716747685183</v>
      </c>
    </row>
    <row r="2597" spans="1:30" ht="12.5">
      <c r="A2597" s="4">
        <v>46077.711014490742</v>
      </c>
      <c r="B2597" s="5">
        <v>92331</v>
      </c>
      <c r="C2597" s="5">
        <v>36454887</v>
      </c>
      <c r="D2597" s="5" t="s">
        <v>5035</v>
      </c>
      <c r="F2597" s="5" t="s">
        <v>8045</v>
      </c>
      <c r="H2597" s="5">
        <v>573188882350</v>
      </c>
      <c r="J2597" s="5" t="s">
        <v>11541</v>
      </c>
      <c r="K2597" s="5" t="s">
        <v>63</v>
      </c>
      <c r="L2597" s="5" t="s">
        <v>11542</v>
      </c>
      <c r="M2597" s="5" t="s">
        <v>11543</v>
      </c>
      <c r="N2597" s="6">
        <v>46077</v>
      </c>
      <c r="O2597" s="7">
        <v>0.70833333333333337</v>
      </c>
      <c r="P2597" s="5">
        <v>1</v>
      </c>
      <c r="Q2597" s="5" t="s">
        <v>309</v>
      </c>
      <c r="R2597" s="5">
        <v>88000</v>
      </c>
      <c r="S2597" s="5">
        <v>0</v>
      </c>
      <c r="T2597" s="5">
        <v>17000</v>
      </c>
      <c r="U2597" s="5">
        <v>105000</v>
      </c>
      <c r="V2597" s="5" t="s">
        <v>11544</v>
      </c>
      <c r="W2597" s="5" t="s">
        <v>36</v>
      </c>
      <c r="X2597" s="5" t="s">
        <v>67</v>
      </c>
      <c r="AA2597" s="5" t="s">
        <v>44</v>
      </c>
      <c r="AC2597" s="8" t="str">
        <f>HYPERLINK("https://drive.google.com/file/d/1fsecLcmp5-toFgfXC7OyQZHNyfFS3-g7/view?usp=drivesdk", "Abrir_Factura")</f>
        <v>Abrir_Factura</v>
      </c>
      <c r="AD2597" s="9">
        <v>46077.711527777778</v>
      </c>
    </row>
    <row r="2598" spans="1:30" ht="12.5">
      <c r="A2598" s="4">
        <v>46077.741076238424</v>
      </c>
      <c r="B2598" s="5">
        <v>92335</v>
      </c>
      <c r="C2598" s="5">
        <v>1129578313</v>
      </c>
      <c r="D2598" s="5" t="s">
        <v>8562</v>
      </c>
      <c r="F2598" s="5" t="s">
        <v>3414</v>
      </c>
      <c r="H2598" s="5">
        <v>573205420119</v>
      </c>
      <c r="J2598" s="5" t="s">
        <v>11545</v>
      </c>
      <c r="K2598" s="5"/>
      <c r="L2598" s="5" t="s">
        <v>8077</v>
      </c>
      <c r="M2598" s="5"/>
      <c r="N2598" s="6">
        <v>46078</v>
      </c>
      <c r="O2598" s="7">
        <v>0.375</v>
      </c>
      <c r="P2598" s="5">
        <v>1</v>
      </c>
      <c r="Q2598" s="5" t="s">
        <v>2556</v>
      </c>
      <c r="R2598" s="5">
        <v>400000</v>
      </c>
      <c r="S2598" s="5">
        <v>0</v>
      </c>
      <c r="T2598" s="5"/>
      <c r="U2598" s="5">
        <v>400000</v>
      </c>
      <c r="V2598" s="5"/>
      <c r="W2598" s="5" t="s">
        <v>36</v>
      </c>
      <c r="X2598" s="5" t="s">
        <v>196</v>
      </c>
      <c r="AA2598" s="5" t="s">
        <v>44</v>
      </c>
      <c r="AC2598" s="8" t="str">
        <f>HYPERLINK("https://drive.google.com/file/d/1THjDcfBoUwM6_FI-gpIi5IRqawzuoukm/view?usp=drivesdk", "Abrir_Factura")</f>
        <v>Abrir_Factura</v>
      </c>
      <c r="AD2598" s="9">
        <v>46078.639236111114</v>
      </c>
    </row>
    <row r="2599" spans="1:30" ht="12.5">
      <c r="A2599" s="4">
        <v>46078.312629687498</v>
      </c>
      <c r="B2599" s="5">
        <v>92336</v>
      </c>
      <c r="C2599" s="5">
        <v>62415986</v>
      </c>
      <c r="D2599" s="5" t="s">
        <v>11546</v>
      </c>
      <c r="F2599" s="5" t="s">
        <v>2560</v>
      </c>
      <c r="H2599" s="5">
        <v>577037989675</v>
      </c>
      <c r="J2599" s="5" t="s">
        <v>11547</v>
      </c>
      <c r="K2599" s="5" t="s">
        <v>33</v>
      </c>
      <c r="L2599" s="5" t="s">
        <v>34</v>
      </c>
      <c r="M2599" s="5">
        <v>7037989675</v>
      </c>
      <c r="N2599" s="6">
        <v>46078</v>
      </c>
      <c r="O2599" s="7">
        <v>0</v>
      </c>
      <c r="P2599" s="5">
        <v>1</v>
      </c>
      <c r="Q2599" s="5" t="s">
        <v>384</v>
      </c>
      <c r="R2599" s="5">
        <v>200000</v>
      </c>
      <c r="S2599" s="5">
        <v>0</v>
      </c>
      <c r="T2599" s="5">
        <v>0</v>
      </c>
      <c r="U2599" s="5">
        <v>200000</v>
      </c>
      <c r="V2599" s="5"/>
      <c r="W2599" s="5" t="s">
        <v>36</v>
      </c>
      <c r="X2599" s="5" t="s">
        <v>37</v>
      </c>
      <c r="AA2599" s="5" t="s">
        <v>37</v>
      </c>
      <c r="AB2599" s="5" t="s">
        <v>11548</v>
      </c>
      <c r="AC2599" s="8" t="str">
        <f>HYPERLINK("https://drive.google.com/file/d/16XmCE3oE4Jcqz7Py0yBYG91h98ZAY-ei/view?usp=drivesdk", "Abrir_Factura")</f>
        <v>Abrir_Factura</v>
      </c>
      <c r="AD2599" s="9">
        <v>46078.31318287037</v>
      </c>
    </row>
    <row r="2600" spans="1:30" ht="12.5">
      <c r="A2600" s="4">
        <v>46078.328338182866</v>
      </c>
      <c r="B2600" s="5">
        <v>92373</v>
      </c>
      <c r="C2600" s="5">
        <v>1045058</v>
      </c>
      <c r="D2600" s="5" t="s">
        <v>11549</v>
      </c>
      <c r="F2600" s="5" t="s">
        <v>11550</v>
      </c>
      <c r="H2600" s="5">
        <v>573112773215</v>
      </c>
      <c r="J2600" s="5" t="s">
        <v>11551</v>
      </c>
      <c r="K2600" s="5" t="s">
        <v>103</v>
      </c>
      <c r="L2600" s="5" t="s">
        <v>11552</v>
      </c>
      <c r="M2600" s="5">
        <v>3112773215</v>
      </c>
      <c r="N2600" s="6">
        <v>46080</v>
      </c>
      <c r="O2600" s="7">
        <v>0.375</v>
      </c>
      <c r="P2600" s="5">
        <v>3</v>
      </c>
      <c r="Q2600" s="5" t="s">
        <v>11553</v>
      </c>
      <c r="R2600" s="5">
        <v>264000</v>
      </c>
      <c r="S2600" s="5">
        <v>0</v>
      </c>
      <c r="T2600" s="5">
        <v>10000</v>
      </c>
      <c r="U2600" s="5">
        <v>274000</v>
      </c>
      <c r="V2600" s="5" t="s">
        <v>11554</v>
      </c>
      <c r="W2600" s="5" t="s">
        <v>36</v>
      </c>
      <c r="X2600" s="5" t="s">
        <v>67</v>
      </c>
      <c r="Z2600" s="5" t="s">
        <v>11555</v>
      </c>
      <c r="AA2600" s="5" t="s">
        <v>44</v>
      </c>
      <c r="AB2600" s="5" t="s">
        <v>11556</v>
      </c>
      <c r="AC2600" s="8" t="str">
        <f>HYPERLINK("https://drive.google.com/file/d/1JRCdBfT8AjR6jpIapQhPjLW6J5ng2Ac3/view?usp=drivesdk", "Abrir_Factura")</f>
        <v>Abrir_Factura</v>
      </c>
      <c r="AD2600" s="9">
        <v>46078.704085648147</v>
      </c>
    </row>
    <row r="2601" spans="1:30" ht="12.5">
      <c r="A2601" s="4">
        <v>46078.351133356482</v>
      </c>
      <c r="B2601" s="5">
        <v>92338</v>
      </c>
      <c r="C2601" s="5">
        <v>72265838</v>
      </c>
      <c r="D2601" s="5" t="s">
        <v>10762</v>
      </c>
      <c r="F2601" s="5" t="s">
        <v>1699</v>
      </c>
      <c r="H2601" s="5">
        <v>573013293631</v>
      </c>
      <c r="J2601" s="5" t="s">
        <v>11557</v>
      </c>
      <c r="K2601" s="5" t="s">
        <v>124</v>
      </c>
      <c r="L2601" s="5" t="s">
        <v>11558</v>
      </c>
      <c r="M2601" s="5">
        <v>3012429381</v>
      </c>
      <c r="N2601" s="6">
        <v>46078</v>
      </c>
      <c r="O2601" s="7">
        <v>0.41666666666666669</v>
      </c>
      <c r="P2601" s="5">
        <v>1</v>
      </c>
      <c r="Q2601" s="5" t="s">
        <v>734</v>
      </c>
      <c r="R2601" s="5">
        <v>99000</v>
      </c>
      <c r="S2601" s="5">
        <v>0</v>
      </c>
      <c r="T2601" s="5">
        <v>12000</v>
      </c>
      <c r="U2601" s="5">
        <v>111000</v>
      </c>
      <c r="V2601" s="5" t="s">
        <v>11559</v>
      </c>
      <c r="W2601" s="5" t="s">
        <v>36</v>
      </c>
      <c r="X2601" s="5" t="s">
        <v>67</v>
      </c>
      <c r="Z2601" s="5" t="s">
        <v>310</v>
      </c>
      <c r="AA2601" s="5" t="s">
        <v>44</v>
      </c>
      <c r="AC2601" s="8" t="str">
        <f>HYPERLINK("https://drive.google.com/file/d/1OatU343niJqLK3AQrMuX-WKE7B0ZZtCq/view?usp=drivesdk", "Abrir_Factura")</f>
        <v>Abrir_Factura</v>
      </c>
      <c r="AD2601" s="9">
        <v>46078.359050925923</v>
      </c>
    </row>
    <row r="2602" spans="1:30" ht="12.5">
      <c r="A2602" s="4">
        <v>46078.368264780089</v>
      </c>
      <c r="B2602" s="5">
        <v>92339</v>
      </c>
      <c r="C2602" s="5">
        <v>3157741493</v>
      </c>
      <c r="D2602" s="5" t="s">
        <v>4904</v>
      </c>
      <c r="F2602" s="5" t="s">
        <v>11560</v>
      </c>
      <c r="H2602" s="5">
        <v>570000</v>
      </c>
      <c r="J2602" s="5" t="s">
        <v>11561</v>
      </c>
      <c r="K2602" s="5" t="s">
        <v>33</v>
      </c>
      <c r="L2602" s="5" t="s">
        <v>34</v>
      </c>
      <c r="M2602" s="5">
        <v>0</v>
      </c>
      <c r="N2602" s="6">
        <v>46078</v>
      </c>
      <c r="O2602" s="7">
        <v>0</v>
      </c>
      <c r="P2602" s="5">
        <v>1</v>
      </c>
      <c r="Q2602" s="5" t="s">
        <v>75</v>
      </c>
      <c r="R2602" s="5">
        <v>80000</v>
      </c>
      <c r="S2602" s="5">
        <v>0</v>
      </c>
      <c r="T2602" s="5">
        <v>0</v>
      </c>
      <c r="U2602" s="5">
        <v>80000</v>
      </c>
      <c r="V2602" s="5"/>
      <c r="W2602" s="5" t="s">
        <v>36</v>
      </c>
      <c r="X2602" s="5" t="s">
        <v>37</v>
      </c>
      <c r="AA2602" s="5" t="s">
        <v>37</v>
      </c>
      <c r="AB2602" s="5" t="s">
        <v>11562</v>
      </c>
      <c r="AC2602" s="8" t="str">
        <f>HYPERLINK("https://drive.google.com/file/d/1ZLoBCx5vpGJnXGuLnbOhYSkaR_y6faUt/view?usp=drivesdk", "Abrir_Factura")</f>
        <v>Abrir_Factura</v>
      </c>
      <c r="AD2602" s="9">
        <v>46078.368738425925</v>
      </c>
    </row>
    <row r="2603" spans="1:30" ht="12.5">
      <c r="A2603" s="4">
        <v>46078.378302453704</v>
      </c>
      <c r="B2603" s="5">
        <v>92340</v>
      </c>
      <c r="C2603" s="5">
        <v>32781442</v>
      </c>
      <c r="D2603" s="5" t="s">
        <v>4487</v>
      </c>
      <c r="F2603" s="5" t="s">
        <v>8479</v>
      </c>
      <c r="H2603" s="5">
        <v>573157157026</v>
      </c>
      <c r="J2603" s="5" t="s">
        <v>11563</v>
      </c>
      <c r="K2603" s="5" t="s">
        <v>161</v>
      </c>
      <c r="L2603" s="5" t="s">
        <v>11564</v>
      </c>
      <c r="M2603" s="5">
        <v>3157157026</v>
      </c>
      <c r="N2603" s="6">
        <v>46078</v>
      </c>
      <c r="O2603" s="7">
        <v>0</v>
      </c>
      <c r="P2603" s="5">
        <v>1</v>
      </c>
      <c r="Q2603" s="5" t="s">
        <v>42</v>
      </c>
      <c r="R2603" s="5">
        <v>60000</v>
      </c>
      <c r="S2603" s="5">
        <v>0</v>
      </c>
      <c r="T2603" s="5">
        <v>8000</v>
      </c>
      <c r="U2603" s="5">
        <v>68000</v>
      </c>
      <c r="V2603" s="5"/>
      <c r="W2603" s="5" t="s">
        <v>36</v>
      </c>
      <c r="X2603" s="5" t="s">
        <v>67</v>
      </c>
      <c r="AA2603" s="5" t="s">
        <v>44</v>
      </c>
      <c r="AB2603" s="5" t="s">
        <v>11565</v>
      </c>
      <c r="AC2603" s="8" t="str">
        <f>HYPERLINK("https://drive.google.com/file/d/1wyZbJot8XNKEp806knXvXDw80m2w0L7s/view?usp=drivesdk", "Abrir_Factura")</f>
        <v>Abrir_Factura</v>
      </c>
      <c r="AD2603" s="9">
        <v>46078.378888888888</v>
      </c>
    </row>
    <row r="2604" spans="1:30" ht="12.5">
      <c r="A2604" s="4">
        <v>46078.383462881946</v>
      </c>
      <c r="B2604" s="5">
        <v>92341</v>
      </c>
      <c r="C2604" s="5">
        <v>1103118284</v>
      </c>
      <c r="D2604" s="5" t="s">
        <v>290</v>
      </c>
      <c r="F2604" s="5" t="s">
        <v>1968</v>
      </c>
      <c r="H2604" s="5">
        <v>573004371636</v>
      </c>
      <c r="J2604" s="5" t="s">
        <v>11566</v>
      </c>
      <c r="K2604" s="5" t="s">
        <v>1047</v>
      </c>
      <c r="L2604" s="5" t="s">
        <v>11567</v>
      </c>
      <c r="M2604" s="5" t="s">
        <v>25421</v>
      </c>
      <c r="N2604" s="6">
        <v>46079</v>
      </c>
      <c r="O2604" s="7">
        <v>0.41666666666666669</v>
      </c>
      <c r="P2604" s="5">
        <v>1</v>
      </c>
      <c r="Q2604" s="5" t="s">
        <v>542</v>
      </c>
      <c r="R2604" s="5">
        <v>150000</v>
      </c>
      <c r="S2604" s="5">
        <v>0</v>
      </c>
      <c r="T2604" s="5">
        <v>15000</v>
      </c>
      <c r="U2604" s="5">
        <v>165000</v>
      </c>
      <c r="V2604" s="5" t="s">
        <v>11568</v>
      </c>
      <c r="W2604" s="5" t="s">
        <v>36</v>
      </c>
      <c r="X2604" s="5" t="s">
        <v>67</v>
      </c>
      <c r="Z2604" s="5" t="s">
        <v>11569</v>
      </c>
      <c r="AA2604" s="5" t="s">
        <v>44</v>
      </c>
      <c r="AC2604" s="8" t="str">
        <f>HYPERLINK("https://drive.google.com/file/d/1nYQvJ05wPSrqtITRP7CzVhwmcacrbWwn/view?usp=drivesdk", "Abrir_Factura")</f>
        <v>Abrir_Factura</v>
      </c>
      <c r="AD2604" s="9">
        <v>46078.391377314816</v>
      </c>
    </row>
    <row r="2605" spans="1:30" ht="12.5">
      <c r="A2605" s="4">
        <v>46078.421078923609</v>
      </c>
      <c r="B2605" s="5">
        <v>92342</v>
      </c>
      <c r="C2605" s="5">
        <v>72261698</v>
      </c>
      <c r="D2605" s="5" t="s">
        <v>5357</v>
      </c>
      <c r="F2605" s="5" t="s">
        <v>11570</v>
      </c>
      <c r="H2605" s="5">
        <v>573043806159</v>
      </c>
      <c r="J2605" s="5" t="s">
        <v>11571</v>
      </c>
      <c r="K2605" s="5" t="s">
        <v>103</v>
      </c>
      <c r="L2605" s="5" t="s">
        <v>11572</v>
      </c>
      <c r="M2605" s="5"/>
      <c r="N2605" s="6">
        <v>46078</v>
      </c>
      <c r="O2605" s="7">
        <v>0</v>
      </c>
      <c r="P2605" s="5">
        <v>1</v>
      </c>
      <c r="Q2605" s="5" t="s">
        <v>50</v>
      </c>
      <c r="R2605" s="5">
        <v>220000</v>
      </c>
      <c r="S2605" s="5">
        <v>0</v>
      </c>
      <c r="T2605" s="5">
        <v>10000</v>
      </c>
      <c r="U2605" s="5">
        <v>230000</v>
      </c>
      <c r="V2605" s="5"/>
      <c r="W2605" s="5" t="s">
        <v>36</v>
      </c>
      <c r="X2605" s="5" t="s">
        <v>1705</v>
      </c>
      <c r="AA2605" s="5" t="s">
        <v>1717</v>
      </c>
      <c r="AC2605" s="8" t="str">
        <f>HYPERLINK("https://drive.google.com/file/d/1iwQ2JtIa748obnCzR4IP9gU1U7gbTygu/view?usp=drivesdk", "Abrir_Factura")</f>
        <v>Abrir_Factura</v>
      </c>
      <c r="AD2605" s="9">
        <v>46078.422222222223</v>
      </c>
    </row>
    <row r="2606" spans="1:30" ht="12.5">
      <c r="A2606" s="4">
        <v>46078.424646435189</v>
      </c>
      <c r="B2606" s="5">
        <v>92344</v>
      </c>
      <c r="C2606" s="5">
        <v>1002033407</v>
      </c>
      <c r="D2606" s="5" t="s">
        <v>3341</v>
      </c>
      <c r="F2606" s="5" t="s">
        <v>11573</v>
      </c>
      <c r="H2606" s="5">
        <v>573244514045</v>
      </c>
      <c r="J2606" s="5" t="s">
        <v>1321</v>
      </c>
      <c r="K2606" s="5" t="s">
        <v>1647</v>
      </c>
      <c r="L2606" s="5" t="s">
        <v>11574</v>
      </c>
      <c r="M2606" s="5">
        <v>3244514045</v>
      </c>
      <c r="N2606" s="6">
        <v>46078</v>
      </c>
      <c r="O2606" s="7">
        <v>0</v>
      </c>
      <c r="P2606" s="5">
        <v>1</v>
      </c>
      <c r="Q2606" s="5" t="s">
        <v>75</v>
      </c>
      <c r="R2606" s="5">
        <v>80000</v>
      </c>
      <c r="S2606" s="5">
        <v>0</v>
      </c>
      <c r="T2606" s="5">
        <v>18000</v>
      </c>
      <c r="U2606" s="5">
        <v>98000</v>
      </c>
      <c r="V2606" s="5" t="s">
        <v>11575</v>
      </c>
      <c r="W2606" s="5" t="s">
        <v>36</v>
      </c>
      <c r="X2606" s="5" t="s">
        <v>67</v>
      </c>
      <c r="Z2606" s="5" t="s">
        <v>5249</v>
      </c>
      <c r="AA2606" s="5" t="s">
        <v>44</v>
      </c>
      <c r="AB2606" s="5" t="s">
        <v>11576</v>
      </c>
      <c r="AC2606" s="8" t="str">
        <f>HYPERLINK("https://drive.google.com/file/d/1IOpFc54NRDg1qA1nc1OHnGb8idsev8Um/view?usp=drivesdk", "Abrir_Factura")</f>
        <v>Abrir_Factura</v>
      </c>
      <c r="AD2606" s="9">
        <v>46078.445277777777</v>
      </c>
    </row>
    <row r="2607" spans="1:30" ht="12.5">
      <c r="A2607" s="4">
        <v>46078.431125057876</v>
      </c>
      <c r="B2607" s="5">
        <v>92343</v>
      </c>
      <c r="C2607" s="5">
        <v>1047496283</v>
      </c>
      <c r="D2607" s="5" t="s">
        <v>338</v>
      </c>
      <c r="F2607" s="5" t="s">
        <v>1831</v>
      </c>
      <c r="H2607" s="5">
        <v>573012200325</v>
      </c>
      <c r="J2607" s="5" t="s">
        <v>11577</v>
      </c>
      <c r="K2607" s="5" t="s">
        <v>328</v>
      </c>
      <c r="L2607" s="5" t="s">
        <v>11578</v>
      </c>
      <c r="M2607" s="5">
        <v>3017242159</v>
      </c>
      <c r="N2607" s="6">
        <v>46078</v>
      </c>
      <c r="O2607" s="7">
        <v>0</v>
      </c>
      <c r="P2607" s="5">
        <v>1</v>
      </c>
      <c r="Q2607" s="5" t="s">
        <v>309</v>
      </c>
      <c r="R2607" s="5">
        <v>88000</v>
      </c>
      <c r="S2607" s="5">
        <v>0</v>
      </c>
      <c r="T2607" s="5">
        <v>15000</v>
      </c>
      <c r="U2607" s="5">
        <v>103000</v>
      </c>
      <c r="V2607" s="5" t="s">
        <v>11579</v>
      </c>
      <c r="W2607" s="5" t="s">
        <v>36</v>
      </c>
      <c r="X2607" s="5" t="s">
        <v>67</v>
      </c>
      <c r="Z2607" s="5" t="s">
        <v>11580</v>
      </c>
      <c r="AA2607" s="5" t="s">
        <v>44</v>
      </c>
      <c r="AC2607" s="8" t="str">
        <f>HYPERLINK("https://drive.google.com/file/d/1_vsLk0Q1hBj2J38Ch1symD9tLTd9D8YW/view?usp=drivesdk", "Abrir_Factura")</f>
        <v>Abrir_Factura</v>
      </c>
      <c r="AD2607" s="9">
        <v>46078.44222222222</v>
      </c>
    </row>
    <row r="2608" spans="1:30" ht="12.5">
      <c r="A2608" s="4">
        <v>46078.43586539352</v>
      </c>
      <c r="B2608" s="5">
        <v>92369</v>
      </c>
      <c r="C2608" s="5">
        <v>1140861063</v>
      </c>
      <c r="D2608" s="5" t="s">
        <v>1651</v>
      </c>
      <c r="F2608" s="5" t="s">
        <v>11581</v>
      </c>
      <c r="H2608" s="5">
        <v>573217810116</v>
      </c>
      <c r="J2608" s="5" t="s">
        <v>11582</v>
      </c>
      <c r="K2608" s="5" t="s">
        <v>63</v>
      </c>
      <c r="L2608" s="5" t="s">
        <v>11583</v>
      </c>
      <c r="M2608" s="5" t="s">
        <v>25421</v>
      </c>
      <c r="N2608" s="6">
        <v>46078</v>
      </c>
      <c r="O2608" s="7">
        <v>0.70833333333333337</v>
      </c>
      <c r="P2608" s="5">
        <v>1</v>
      </c>
      <c r="Q2608" s="5" t="s">
        <v>309</v>
      </c>
      <c r="R2608" s="5">
        <v>88000</v>
      </c>
      <c r="S2608" s="5">
        <v>0</v>
      </c>
      <c r="T2608" s="5">
        <v>17000</v>
      </c>
      <c r="U2608" s="5">
        <v>105000</v>
      </c>
      <c r="V2608" s="5" t="s">
        <v>11584</v>
      </c>
      <c r="W2608" s="5" t="s">
        <v>36</v>
      </c>
      <c r="X2608" s="5" t="s">
        <v>67</v>
      </c>
      <c r="Z2608" s="5" t="s">
        <v>11585</v>
      </c>
      <c r="AA2608" s="5" t="s">
        <v>44</v>
      </c>
      <c r="AC2608" s="8" t="str">
        <f>HYPERLINK("https://drive.google.com/file/d/11EZGsGWTx1OPHMqRW2hbZ9mCP3oiYltc/view?usp=drivesdk", "Abrir_Factura")</f>
        <v>Abrir_Factura</v>
      </c>
      <c r="AD2608" s="9">
        <v>46078.668611111112</v>
      </c>
    </row>
    <row r="2609" spans="1:30" ht="12.5">
      <c r="A2609" s="4">
        <v>46078.446439641208</v>
      </c>
      <c r="B2609" s="5">
        <v>92345</v>
      </c>
      <c r="C2609" s="5">
        <v>1067601461</v>
      </c>
      <c r="D2609" s="5" t="s">
        <v>11586</v>
      </c>
      <c r="F2609" s="5" t="s">
        <v>11587</v>
      </c>
      <c r="H2609" s="5">
        <v>573103984207</v>
      </c>
      <c r="J2609" s="5" t="s">
        <v>11588</v>
      </c>
      <c r="K2609" s="5" t="s">
        <v>3267</v>
      </c>
      <c r="L2609" s="5" t="s">
        <v>11589</v>
      </c>
      <c r="M2609" s="5">
        <v>3008077204</v>
      </c>
      <c r="N2609" s="6">
        <v>46078</v>
      </c>
      <c r="O2609" s="7">
        <v>0</v>
      </c>
      <c r="P2609" s="5">
        <v>1</v>
      </c>
      <c r="Q2609" s="5" t="s">
        <v>2983</v>
      </c>
      <c r="R2609" s="5">
        <v>240000</v>
      </c>
      <c r="S2609" s="5">
        <v>0</v>
      </c>
      <c r="T2609" s="5">
        <v>16000</v>
      </c>
      <c r="U2609" s="5">
        <v>256000</v>
      </c>
      <c r="V2609" s="5" t="s">
        <v>11590</v>
      </c>
      <c r="W2609" s="5" t="s">
        <v>36</v>
      </c>
      <c r="X2609" s="5" t="s">
        <v>67</v>
      </c>
      <c r="Z2609" s="5" t="s">
        <v>11591</v>
      </c>
      <c r="AA2609" s="5" t="s">
        <v>44</v>
      </c>
      <c r="AB2609" s="5" t="s">
        <v>11592</v>
      </c>
      <c r="AC2609" s="8" t="str">
        <f>HYPERLINK("https://drive.google.com/file/d/1mJT53PWUT8hRGSb_qHjtgWYteYD3hCPP/view?usp=drivesdk", "Abrir_Factura")</f>
        <v>Abrir_Factura</v>
      </c>
      <c r="AD2609" s="9">
        <v>46078.45685185185</v>
      </c>
    </row>
    <row r="2610" spans="1:30" ht="12.5">
      <c r="A2610" s="4">
        <v>46078.456990185186</v>
      </c>
      <c r="B2610" s="5">
        <v>92347</v>
      </c>
      <c r="C2610" s="5">
        <v>55222190</v>
      </c>
      <c r="D2610" s="5" t="s">
        <v>2941</v>
      </c>
      <c r="F2610" s="5" t="s">
        <v>11593</v>
      </c>
      <c r="H2610" s="5">
        <v>573006337540</v>
      </c>
      <c r="J2610" s="5" t="s">
        <v>11594</v>
      </c>
      <c r="K2610" s="5" t="s">
        <v>63</v>
      </c>
      <c r="L2610" s="5" t="s">
        <v>11595</v>
      </c>
      <c r="M2610" s="5">
        <v>3006337540</v>
      </c>
      <c r="N2610" s="6">
        <v>46078</v>
      </c>
      <c r="O2610" s="7">
        <v>0</v>
      </c>
      <c r="P2610" s="5">
        <v>1</v>
      </c>
      <c r="Q2610" s="5" t="s">
        <v>309</v>
      </c>
      <c r="R2610" s="5">
        <v>88000</v>
      </c>
      <c r="S2610" s="5">
        <v>0</v>
      </c>
      <c r="T2610" s="5">
        <v>17000</v>
      </c>
      <c r="U2610" s="5">
        <v>105000</v>
      </c>
      <c r="V2610" s="5" t="s">
        <v>11596</v>
      </c>
      <c r="W2610" s="5" t="s">
        <v>36</v>
      </c>
      <c r="X2610" s="5" t="s">
        <v>67</v>
      </c>
      <c r="Z2610" s="5" t="s">
        <v>11597</v>
      </c>
      <c r="AA2610" s="5" t="s">
        <v>44</v>
      </c>
      <c r="AB2610" s="5" t="s">
        <v>11598</v>
      </c>
      <c r="AC2610" s="8" t="str">
        <f>HYPERLINK("https://drive.google.com/file/d/1d1FsZS78wB4lHQu0Q3HF3_YpstIWbZvw/view?usp=drivesdk", "Abrir_Factura")</f>
        <v>Abrir_Factura</v>
      </c>
      <c r="AD2610" s="9">
        <v>46078.483761574076</v>
      </c>
    </row>
    <row r="2611" spans="1:30" ht="12.5">
      <c r="A2611" s="4">
        <v>46078.459166192129</v>
      </c>
      <c r="B2611" s="5">
        <v>92349</v>
      </c>
      <c r="C2611" s="5">
        <v>1143351212</v>
      </c>
      <c r="D2611" s="5" t="s">
        <v>311</v>
      </c>
      <c r="F2611" s="5" t="s">
        <v>11599</v>
      </c>
      <c r="H2611" s="5">
        <v>573011113091</v>
      </c>
      <c r="J2611" s="5" t="s">
        <v>70</v>
      </c>
      <c r="K2611" s="5" t="s">
        <v>73</v>
      </c>
      <c r="L2611" s="5" t="s">
        <v>11600</v>
      </c>
      <c r="M2611" s="5">
        <v>3011113091</v>
      </c>
      <c r="N2611" s="6">
        <v>46078</v>
      </c>
      <c r="O2611" s="7">
        <v>0</v>
      </c>
      <c r="P2611" s="5">
        <v>1</v>
      </c>
      <c r="Q2611" s="5" t="s">
        <v>11601</v>
      </c>
      <c r="R2611" s="5">
        <v>242000</v>
      </c>
      <c r="S2611" s="5">
        <v>0</v>
      </c>
      <c r="T2611" s="5">
        <v>8000</v>
      </c>
      <c r="U2611" s="5">
        <v>250000</v>
      </c>
      <c r="V2611" s="5" t="s">
        <v>11602</v>
      </c>
      <c r="W2611" s="5" t="s">
        <v>36</v>
      </c>
      <c r="X2611" s="5" t="s">
        <v>67</v>
      </c>
      <c r="Z2611" s="5" t="s">
        <v>311</v>
      </c>
      <c r="AA2611" s="5" t="s">
        <v>44</v>
      </c>
      <c r="AC2611" s="8" t="str">
        <f>HYPERLINK("https://drive.google.com/file/d/1jtJ0YZvajh9yRxpPVtWwOBxFcY8rmyNX/view?usp=drivesdk", "Abrir_Factura")</f>
        <v>Abrir_Factura</v>
      </c>
      <c r="AD2611" s="9">
        <v>46078.763344907406</v>
      </c>
    </row>
    <row r="2612" spans="1:30" ht="12.5">
      <c r="A2612" s="4">
        <v>46078.466509976854</v>
      </c>
      <c r="B2612" s="5">
        <v>92350</v>
      </c>
      <c r="C2612" s="5">
        <v>1065610806</v>
      </c>
      <c r="D2612" s="5" t="s">
        <v>11603</v>
      </c>
      <c r="F2612" s="5" t="s">
        <v>4847</v>
      </c>
      <c r="H2612" s="5">
        <v>573182725989</v>
      </c>
      <c r="J2612" s="5" t="s">
        <v>11604</v>
      </c>
      <c r="K2612" s="5" t="s">
        <v>11248</v>
      </c>
      <c r="L2612" s="5" t="s">
        <v>11605</v>
      </c>
      <c r="M2612" s="5">
        <v>3002739038</v>
      </c>
      <c r="N2612" s="6">
        <v>46078</v>
      </c>
      <c r="O2612" s="7">
        <v>0</v>
      </c>
      <c r="P2612" s="5">
        <v>1</v>
      </c>
      <c r="Q2612" s="5" t="s">
        <v>210</v>
      </c>
      <c r="R2612" s="5">
        <v>170000</v>
      </c>
      <c r="S2612" s="5">
        <v>0</v>
      </c>
      <c r="T2612" s="5">
        <v>15000</v>
      </c>
      <c r="U2612" s="5">
        <v>185000</v>
      </c>
      <c r="V2612" s="5" t="s">
        <v>11606</v>
      </c>
      <c r="W2612" s="5" t="s">
        <v>36</v>
      </c>
      <c r="X2612" s="5" t="s">
        <v>83</v>
      </c>
      <c r="Z2612" s="5" t="s">
        <v>1939</v>
      </c>
      <c r="AA2612" s="5" t="s">
        <v>44</v>
      </c>
      <c r="AB2612" s="5" t="s">
        <v>11607</v>
      </c>
      <c r="AC2612" s="8" t="str">
        <f>HYPERLINK("https://drive.google.com/file/d/1jyfiJLkI4icxT0awzEgXR6G5RWBhuRN8/view?usp=drivesdk", "Abrir_Factura")</f>
        <v>Abrir_Factura</v>
      </c>
      <c r="AD2612" s="9">
        <v>46078.495763888888</v>
      </c>
    </row>
    <row r="2613" spans="1:30" ht="12.5">
      <c r="A2613" s="4">
        <v>46078.481982662037</v>
      </c>
      <c r="B2613" s="5">
        <v>92348</v>
      </c>
      <c r="C2613" s="5">
        <v>1140836153</v>
      </c>
      <c r="D2613" s="5" t="s">
        <v>11608</v>
      </c>
      <c r="F2613" s="5" t="s">
        <v>11609</v>
      </c>
      <c r="H2613" s="5">
        <v>573045905384</v>
      </c>
      <c r="J2613" s="5" t="s">
        <v>11610</v>
      </c>
      <c r="K2613" s="5" t="s">
        <v>161</v>
      </c>
      <c r="L2613" s="5" t="s">
        <v>11611</v>
      </c>
      <c r="M2613" s="5">
        <v>3207047255</v>
      </c>
      <c r="N2613" s="6">
        <v>46079</v>
      </c>
      <c r="O2613" s="7">
        <v>0</v>
      </c>
      <c r="P2613" s="5">
        <v>1</v>
      </c>
      <c r="Q2613" s="5" t="s">
        <v>375</v>
      </c>
      <c r="R2613" s="5">
        <v>80000</v>
      </c>
      <c r="S2613" s="5">
        <v>0</v>
      </c>
      <c r="T2613" s="5">
        <v>8000</v>
      </c>
      <c r="U2613" s="5">
        <v>88000</v>
      </c>
      <c r="V2613" s="5" t="s">
        <v>11612</v>
      </c>
      <c r="W2613" s="5" t="s">
        <v>36</v>
      </c>
      <c r="X2613" s="5" t="s">
        <v>83</v>
      </c>
      <c r="Z2613" s="5" t="s">
        <v>11613</v>
      </c>
      <c r="AA2613" s="5" t="s">
        <v>44</v>
      </c>
      <c r="AC2613" s="8" t="str">
        <f>HYPERLINK("https://drive.google.com/file/d/1DXhadDJsX7Iq3yhGvwX8TIoHLS4XCRrL/view?usp=drivesdk", "Abrir_Factura")</f>
        <v>Abrir_Factura</v>
      </c>
      <c r="AD2613" s="9">
        <v>46078.492060185185</v>
      </c>
    </row>
    <row r="2614" spans="1:30" ht="12.5">
      <c r="A2614" s="4">
        <v>46078.482232835653</v>
      </c>
      <c r="B2614" s="5">
        <v>92346</v>
      </c>
      <c r="C2614" s="5">
        <v>1129578313</v>
      </c>
      <c r="D2614" s="5" t="s">
        <v>5761</v>
      </c>
      <c r="F2614" s="5" t="s">
        <v>3414</v>
      </c>
      <c r="H2614" s="5">
        <v>573205420119</v>
      </c>
      <c r="J2614" s="5" t="s">
        <v>11614</v>
      </c>
      <c r="K2614" s="5" t="s">
        <v>33</v>
      </c>
      <c r="L2614" s="5" t="s">
        <v>34</v>
      </c>
      <c r="M2614" s="5">
        <v>3205420119</v>
      </c>
      <c r="N2614" s="6">
        <v>46078</v>
      </c>
      <c r="O2614" s="7">
        <v>0</v>
      </c>
      <c r="P2614" s="5">
        <v>1</v>
      </c>
      <c r="Q2614" s="5" t="s">
        <v>11615</v>
      </c>
      <c r="R2614" s="5">
        <v>160000</v>
      </c>
      <c r="S2614" s="5">
        <v>0</v>
      </c>
      <c r="T2614" s="5">
        <v>0</v>
      </c>
      <c r="U2614" s="5">
        <v>160000</v>
      </c>
      <c r="V2614" s="5"/>
      <c r="W2614" s="5" t="s">
        <v>36</v>
      </c>
      <c r="X2614" s="5" t="s">
        <v>67</v>
      </c>
      <c r="AA2614" s="5" t="s">
        <v>44</v>
      </c>
      <c r="AB2614" s="5" t="s">
        <v>525</v>
      </c>
      <c r="AC2614" s="8" t="str">
        <f>HYPERLINK("https://drive.google.com/file/d/1QCY0S0Z0cbDnufemvNhYd3IhXdaSy80s/view?usp=drivesdk", "Abrir_Factura")</f>
        <v>Abrir_Factura</v>
      </c>
      <c r="AD2614" s="9">
        <v>46078.538518518515</v>
      </c>
    </row>
    <row r="2615" spans="1:30" ht="12.5">
      <c r="A2615" s="4">
        <v>46078.488218425926</v>
      </c>
      <c r="B2615" s="5">
        <v>92359</v>
      </c>
      <c r="C2615" s="5">
        <v>1000590295</v>
      </c>
      <c r="D2615" s="5" t="s">
        <v>11616</v>
      </c>
      <c r="F2615" s="5" t="s">
        <v>3442</v>
      </c>
      <c r="H2615" s="5">
        <v>573156970868</v>
      </c>
      <c r="J2615" s="5" t="s">
        <v>11617</v>
      </c>
      <c r="K2615" s="5" t="s">
        <v>185</v>
      </c>
      <c r="L2615" s="5" t="s">
        <v>11618</v>
      </c>
      <c r="M2615" s="5"/>
      <c r="N2615" s="6">
        <v>46078</v>
      </c>
      <c r="O2615" s="7">
        <v>0</v>
      </c>
      <c r="P2615" s="5">
        <v>1</v>
      </c>
      <c r="Q2615" s="5" t="s">
        <v>649</v>
      </c>
      <c r="R2615" s="5">
        <v>200000</v>
      </c>
      <c r="S2615" s="5">
        <v>0</v>
      </c>
      <c r="T2615" s="5">
        <v>8000</v>
      </c>
      <c r="U2615" s="5">
        <v>208000</v>
      </c>
      <c r="V2615" s="5" t="s">
        <v>11619</v>
      </c>
      <c r="W2615" s="5" t="s">
        <v>36</v>
      </c>
      <c r="X2615" s="5" t="s">
        <v>83</v>
      </c>
      <c r="Z2615" s="5" t="s">
        <v>11620</v>
      </c>
      <c r="AA2615" s="5" t="s">
        <v>69</v>
      </c>
      <c r="AB2615" s="5" t="s">
        <v>11621</v>
      </c>
      <c r="AC2615" s="8" t="str">
        <f>HYPERLINK("https://drive.google.com/file/d/1jiIaQervCOpwuvjmjdEEhxdeU2wx4KT5/view?usp=drivesdk", "Abrir_Factura")</f>
        <v>Abrir_Factura</v>
      </c>
      <c r="AD2615" s="9">
        <v>46078.57534722222</v>
      </c>
    </row>
    <row r="2616" spans="1:30" ht="12.5">
      <c r="A2616" s="4">
        <v>46078.489613148151</v>
      </c>
      <c r="B2616" s="5">
        <v>92353</v>
      </c>
      <c r="C2616" s="5">
        <v>114910377</v>
      </c>
      <c r="D2616" s="5" t="s">
        <v>4670</v>
      </c>
      <c r="F2616" s="5" t="s">
        <v>2837</v>
      </c>
      <c r="H2616" s="5">
        <v>118472260826</v>
      </c>
      <c r="J2616" s="5" t="s">
        <v>7628</v>
      </c>
      <c r="K2616" s="5" t="s">
        <v>1497</v>
      </c>
      <c r="L2616" s="5" t="s">
        <v>7629</v>
      </c>
      <c r="M2616" s="5">
        <v>573003819256</v>
      </c>
      <c r="N2616" s="6">
        <v>46079</v>
      </c>
      <c r="O2616" s="7">
        <v>0</v>
      </c>
      <c r="P2616" s="5">
        <v>1</v>
      </c>
      <c r="Q2616" s="5" t="s">
        <v>422</v>
      </c>
      <c r="R2616" s="5">
        <v>150000</v>
      </c>
      <c r="S2616" s="5">
        <v>0</v>
      </c>
      <c r="T2616" s="5">
        <v>12000</v>
      </c>
      <c r="U2616" s="5">
        <v>162000</v>
      </c>
      <c r="V2616" s="5" t="s">
        <v>11622</v>
      </c>
      <c r="W2616" s="5" t="s">
        <v>36</v>
      </c>
      <c r="X2616" s="5" t="s">
        <v>1937</v>
      </c>
      <c r="Z2616" s="5" t="s">
        <v>11623</v>
      </c>
      <c r="AA2616" s="5" t="s">
        <v>44</v>
      </c>
      <c r="AB2616" s="5" t="s">
        <v>11624</v>
      </c>
      <c r="AC2616" s="8" t="str">
        <f>HYPERLINK("https://drive.google.com/file/d/1Bwt8W3Hc-QjbnmIUSjj6_C-jFS1jFoPT/view?usp=drivesdk", "Abrir_Factura")</f>
        <v>Abrir_Factura</v>
      </c>
      <c r="AD2616" s="9">
        <v>46078.516643518517</v>
      </c>
    </row>
    <row r="2617" spans="1:30" ht="12.5">
      <c r="A2617" s="4">
        <v>46078.494928032407</v>
      </c>
      <c r="B2617" s="5">
        <v>92351</v>
      </c>
      <c r="C2617" s="5">
        <v>72263453</v>
      </c>
      <c r="D2617" s="5" t="s">
        <v>11625</v>
      </c>
      <c r="F2617" s="5" t="s">
        <v>11626</v>
      </c>
      <c r="H2617" s="5">
        <v>573008931416</v>
      </c>
      <c r="J2617" s="5" t="s">
        <v>11627</v>
      </c>
      <c r="K2617" s="5" t="s">
        <v>11628</v>
      </c>
      <c r="L2617" s="5" t="s">
        <v>11629</v>
      </c>
      <c r="M2617" s="5"/>
      <c r="N2617" s="6">
        <v>46078</v>
      </c>
      <c r="O2617" s="7">
        <v>0</v>
      </c>
      <c r="P2617" s="5">
        <v>1</v>
      </c>
      <c r="Q2617" s="5" t="s">
        <v>11630</v>
      </c>
      <c r="R2617" s="5">
        <v>200000</v>
      </c>
      <c r="S2617" s="5">
        <v>0</v>
      </c>
      <c r="T2617" s="5">
        <v>12000</v>
      </c>
      <c r="U2617" s="5">
        <v>212000</v>
      </c>
      <c r="V2617" s="5" t="s">
        <v>11631</v>
      </c>
      <c r="W2617" s="5" t="s">
        <v>36</v>
      </c>
      <c r="X2617" s="5" t="s">
        <v>196</v>
      </c>
      <c r="Z2617" s="5" t="s">
        <v>11632</v>
      </c>
      <c r="AA2617" s="5" t="s">
        <v>44</v>
      </c>
      <c r="AC2617" s="8" t="str">
        <f>HYPERLINK("https://drive.google.com/file/d/1Eb7lDWSAX4PvL5z_xO4ji20JMlin9A2n/view?usp=drivesdk", "Abrir_Factura")</f>
        <v>Abrir_Factura</v>
      </c>
      <c r="AD2617" s="9">
        <v>46078.579340277778</v>
      </c>
    </row>
    <row r="2618" spans="1:30" ht="12.5">
      <c r="A2618" s="4">
        <v>46078.509974270833</v>
      </c>
      <c r="B2618" s="5">
        <v>92352</v>
      </c>
      <c r="C2618" s="5">
        <v>52417265</v>
      </c>
      <c r="D2618" s="5" t="s">
        <v>3450</v>
      </c>
      <c r="F2618" s="5" t="s">
        <v>1450</v>
      </c>
      <c r="H2618" s="5">
        <v>573002627762</v>
      </c>
      <c r="J2618" s="5" t="s">
        <v>3451</v>
      </c>
      <c r="K2618" s="5" t="s">
        <v>33</v>
      </c>
      <c r="L2618" s="5" t="s">
        <v>34</v>
      </c>
      <c r="M2618" s="5">
        <v>3002627762</v>
      </c>
      <c r="N2618" s="6">
        <v>46078</v>
      </c>
      <c r="O2618" s="7">
        <v>0</v>
      </c>
      <c r="P2618" s="5">
        <v>1</v>
      </c>
      <c r="Q2618" s="5" t="s">
        <v>42</v>
      </c>
      <c r="R2618" s="5">
        <v>100000</v>
      </c>
      <c r="S2618" s="5">
        <v>0</v>
      </c>
      <c r="T2618" s="5">
        <v>0</v>
      </c>
      <c r="U2618" s="5">
        <v>100000</v>
      </c>
      <c r="V2618" s="5"/>
      <c r="W2618" s="5" t="s">
        <v>36</v>
      </c>
      <c r="X2618" s="5" t="s">
        <v>43</v>
      </c>
      <c r="AA2618" s="5" t="s">
        <v>44</v>
      </c>
      <c r="AB2618" s="5" t="s">
        <v>525</v>
      </c>
      <c r="AC2618" s="8" t="str">
        <f>HYPERLINK("https://drive.google.com/file/d/1G36NmN7HaUHh5hnaxJSxmgdzcI8Je0ge/view?usp=drivesdk", "Abrir_Factura")</f>
        <v>Abrir_Factura</v>
      </c>
      <c r="AD2618" s="9">
        <v>46078.510497685187</v>
      </c>
    </row>
    <row r="2619" spans="1:30" ht="12.5">
      <c r="A2619" s="4">
        <v>46078.515308009257</v>
      </c>
      <c r="B2619" s="5">
        <v>92354</v>
      </c>
      <c r="C2619" s="5">
        <v>1001821264</v>
      </c>
      <c r="D2619" s="5" t="s">
        <v>11633</v>
      </c>
      <c r="F2619" s="5" t="s">
        <v>11634</v>
      </c>
      <c r="H2619" s="5">
        <v>17869685798</v>
      </c>
      <c r="J2619" s="5" t="s">
        <v>11635</v>
      </c>
      <c r="K2619" s="5" t="s">
        <v>249</v>
      </c>
      <c r="L2619" s="5" t="s">
        <v>11636</v>
      </c>
      <c r="M2619" s="5" t="s">
        <v>11637</v>
      </c>
      <c r="N2619" s="6">
        <v>46079</v>
      </c>
      <c r="O2619" s="7">
        <v>0</v>
      </c>
      <c r="P2619" s="5">
        <v>1</v>
      </c>
      <c r="Q2619" s="5" t="s">
        <v>65</v>
      </c>
      <c r="R2619" s="5">
        <v>80000</v>
      </c>
      <c r="S2619" s="5">
        <v>0</v>
      </c>
      <c r="T2619" s="5">
        <v>10000</v>
      </c>
      <c r="U2619" s="5">
        <v>90000</v>
      </c>
      <c r="V2619" s="5" t="s">
        <v>11638</v>
      </c>
      <c r="W2619" s="5" t="s">
        <v>36</v>
      </c>
      <c r="X2619" s="5" t="s">
        <v>83</v>
      </c>
      <c r="Z2619" s="5" t="s">
        <v>11639</v>
      </c>
      <c r="AA2619" s="5" t="s">
        <v>44</v>
      </c>
      <c r="AC2619" s="8" t="str">
        <f>HYPERLINK("https://drive.google.com/file/d/1V7fMI_kKcSsWDGicLMmL9hIOkmcZ2irB/view?usp=drivesdk", "Abrir_Factura")</f>
        <v>Abrir_Factura</v>
      </c>
      <c r="AD2619" s="9">
        <v>46078.524618055555</v>
      </c>
    </row>
    <row r="2620" spans="1:30" ht="12.5">
      <c r="A2620" s="4">
        <v>46078.523782164353</v>
      </c>
      <c r="B2620" s="5">
        <v>92355</v>
      </c>
      <c r="C2620" s="5">
        <v>722084925</v>
      </c>
      <c r="D2620" s="5" t="s">
        <v>11640</v>
      </c>
      <c r="F2620" s="5" t="s">
        <v>11641</v>
      </c>
      <c r="H2620" s="5">
        <v>19293851596</v>
      </c>
      <c r="J2620" s="5" t="s">
        <v>11642</v>
      </c>
      <c r="K2620" s="5" t="s">
        <v>103</v>
      </c>
      <c r="L2620" s="5" t="s">
        <v>11643</v>
      </c>
      <c r="M2620" s="5" t="s">
        <v>25421</v>
      </c>
      <c r="N2620" s="6">
        <v>46078</v>
      </c>
      <c r="O2620" s="7">
        <v>0</v>
      </c>
      <c r="P2620" s="5">
        <v>1</v>
      </c>
      <c r="Q2620" s="5" t="s">
        <v>1251</v>
      </c>
      <c r="R2620" s="5">
        <v>580000</v>
      </c>
      <c r="S2620" s="5">
        <v>0</v>
      </c>
      <c r="T2620" s="5">
        <v>10000</v>
      </c>
      <c r="U2620" s="5">
        <v>590000</v>
      </c>
      <c r="V2620" s="5" t="s">
        <v>11644</v>
      </c>
      <c r="W2620" s="5" t="s">
        <v>36</v>
      </c>
      <c r="X2620" s="5" t="s">
        <v>3754</v>
      </c>
      <c r="Z2620" s="5" t="s">
        <v>11645</v>
      </c>
      <c r="AA2620" s="5" t="s">
        <v>44</v>
      </c>
      <c r="AB2620" s="5" t="s">
        <v>11646</v>
      </c>
      <c r="AC2620" s="8" t="str">
        <f>HYPERLINK("https://drive.google.com/file/d/1ueHA39NT28i17BGnX_8xVSInzdtv8KJz/view?usp=drivesdk", "Abrir_Factura")</f>
        <v>Abrir_Factura</v>
      </c>
      <c r="AD2620" s="9">
        <v>46078.536481481482</v>
      </c>
    </row>
    <row r="2621" spans="1:30" ht="12.5">
      <c r="A2621" s="4">
        <v>46078.528325231484</v>
      </c>
      <c r="B2621" s="5">
        <v>92356</v>
      </c>
      <c r="C2621" s="5">
        <v>1041770585</v>
      </c>
      <c r="D2621" s="5" t="s">
        <v>5024</v>
      </c>
      <c r="F2621" s="5" t="s">
        <v>11647</v>
      </c>
      <c r="H2621" s="5">
        <v>573003314770</v>
      </c>
      <c r="J2621" s="5" t="s">
        <v>11648</v>
      </c>
      <c r="K2621" s="5" t="s">
        <v>351</v>
      </c>
      <c r="L2621" s="5" t="s">
        <v>11649</v>
      </c>
      <c r="M2621" s="5"/>
      <c r="N2621" s="6">
        <v>46078</v>
      </c>
      <c r="O2621" s="7">
        <v>0</v>
      </c>
      <c r="P2621" s="5">
        <v>1</v>
      </c>
      <c r="Q2621" s="5" t="s">
        <v>96</v>
      </c>
      <c r="R2621" s="5">
        <v>250000</v>
      </c>
      <c r="S2621" s="5">
        <v>0</v>
      </c>
      <c r="T2621" s="5">
        <v>12000</v>
      </c>
      <c r="U2621" s="5">
        <v>262000</v>
      </c>
      <c r="V2621" s="5" t="s">
        <v>11650</v>
      </c>
      <c r="W2621" s="5" t="s">
        <v>36</v>
      </c>
      <c r="X2621" s="5" t="s">
        <v>83</v>
      </c>
      <c r="Z2621" s="5" t="s">
        <v>11651</v>
      </c>
      <c r="AA2621" s="5" t="s">
        <v>44</v>
      </c>
      <c r="AC2621" s="8" t="str">
        <f>HYPERLINK("https://drive.google.com/file/d/1uZl1Don8slfZ8Hg9e2Nb7FINx3YwiLmn/view?usp=drivesdk", "Abrir_Factura")</f>
        <v>Abrir_Factura</v>
      </c>
      <c r="AD2621" s="9">
        <v>46078.543715277781</v>
      </c>
    </row>
    <row r="2622" spans="1:30" ht="12.5">
      <c r="A2622" s="4">
        <v>46078.558121875001</v>
      </c>
      <c r="B2622" s="5">
        <v>92357</v>
      </c>
      <c r="C2622" s="5">
        <v>1140875179</v>
      </c>
      <c r="D2622" s="5" t="s">
        <v>11652</v>
      </c>
      <c r="F2622" s="5" t="s">
        <v>4364</v>
      </c>
      <c r="H2622" s="5">
        <v>573005293740</v>
      </c>
      <c r="J2622" s="5" t="s">
        <v>11653</v>
      </c>
      <c r="K2622" s="5" t="s">
        <v>33</v>
      </c>
      <c r="L2622" s="5" t="s">
        <v>34</v>
      </c>
      <c r="M2622" s="5">
        <v>3005293740</v>
      </c>
      <c r="N2622" s="6">
        <v>46078</v>
      </c>
      <c r="O2622" s="7">
        <v>0</v>
      </c>
      <c r="P2622" s="5">
        <v>1</v>
      </c>
      <c r="Q2622" s="5" t="s">
        <v>178</v>
      </c>
      <c r="R2622" s="5">
        <v>100000</v>
      </c>
      <c r="S2622" s="5">
        <v>0</v>
      </c>
      <c r="T2622" s="5">
        <v>0</v>
      </c>
      <c r="U2622" s="5">
        <v>100000</v>
      </c>
      <c r="V2622" s="5"/>
      <c r="W2622" s="5" t="s">
        <v>36</v>
      </c>
      <c r="X2622" s="5" t="s">
        <v>1705</v>
      </c>
      <c r="AA2622" s="5" t="s">
        <v>1717</v>
      </c>
      <c r="AC2622" s="8" t="str">
        <f>HYPERLINK("https://drive.google.com/file/d/1k60AFNVxbGXUvMDGs7ELCehtCbBNM5EG/view?usp=drivesdk", "Abrir_Factura")</f>
        <v>Abrir_Factura</v>
      </c>
      <c r="AD2622" s="9">
        <v>46078.55877314815</v>
      </c>
    </row>
    <row r="2623" spans="1:30" ht="12.5">
      <c r="A2623" s="4">
        <v>46078.558914328707</v>
      </c>
      <c r="B2623" s="5">
        <v>92363</v>
      </c>
      <c r="C2623" s="5">
        <v>1140851405</v>
      </c>
      <c r="D2623" s="5" t="s">
        <v>11654</v>
      </c>
      <c r="F2623" s="5" t="s">
        <v>3131</v>
      </c>
      <c r="H2623" s="5">
        <v>573106175375</v>
      </c>
      <c r="J2623" s="5" t="s">
        <v>11655</v>
      </c>
      <c r="K2623" s="5" t="s">
        <v>328</v>
      </c>
      <c r="L2623" s="5" t="s">
        <v>11656</v>
      </c>
      <c r="M2623" s="5">
        <v>3012170250</v>
      </c>
      <c r="N2623" s="6">
        <v>46079</v>
      </c>
      <c r="O2623" s="7">
        <v>0.375</v>
      </c>
      <c r="P2623" s="5">
        <v>1</v>
      </c>
      <c r="Q2623" s="5" t="s">
        <v>384</v>
      </c>
      <c r="R2623" s="5">
        <v>200000</v>
      </c>
      <c r="S2623" s="5">
        <v>0</v>
      </c>
      <c r="T2623" s="5">
        <v>15000</v>
      </c>
      <c r="U2623" s="5">
        <v>215000</v>
      </c>
      <c r="V2623" s="5" t="s">
        <v>11657</v>
      </c>
      <c r="W2623" s="5" t="s">
        <v>36</v>
      </c>
      <c r="X2623" s="5" t="s">
        <v>83</v>
      </c>
      <c r="Z2623" s="5" t="s">
        <v>8981</v>
      </c>
      <c r="AA2623" s="5" t="s">
        <v>44</v>
      </c>
      <c r="AB2623" s="5" t="s">
        <v>11658</v>
      </c>
      <c r="AC2623" s="8" t="str">
        <f>HYPERLINK("https://drive.google.com/file/d/1A1znz2PiVui0qvtFgLCrKJfZMIDgrVc0/view?usp=drivesdk", "Abrir_Factura")</f>
        <v>Abrir_Factura</v>
      </c>
      <c r="AD2623" s="9">
        <v>46078.62327546296</v>
      </c>
    </row>
    <row r="2624" spans="1:30" ht="12.5">
      <c r="A2624" s="4">
        <v>46078.56908296296</v>
      </c>
      <c r="B2624" s="5">
        <v>92360</v>
      </c>
      <c r="C2624" s="5">
        <v>64479811</v>
      </c>
      <c r="D2624" s="5" t="s">
        <v>11659</v>
      </c>
      <c r="F2624" s="5" t="s">
        <v>4640</v>
      </c>
      <c r="H2624" s="5">
        <v>573133673131</v>
      </c>
      <c r="J2624" s="5" t="s">
        <v>11660</v>
      </c>
      <c r="K2624" s="5" t="s">
        <v>63</v>
      </c>
      <c r="L2624" s="5" t="s">
        <v>11661</v>
      </c>
      <c r="M2624" s="5">
        <v>3133673131</v>
      </c>
      <c r="N2624" s="6">
        <v>46080</v>
      </c>
      <c r="O2624" s="7">
        <v>0.58333333333333337</v>
      </c>
      <c r="P2624" s="5">
        <v>1</v>
      </c>
      <c r="Q2624" s="5" t="s">
        <v>4765</v>
      </c>
      <c r="R2624" s="5">
        <v>110000</v>
      </c>
      <c r="S2624" s="5">
        <v>0</v>
      </c>
      <c r="T2624" s="5">
        <v>17000</v>
      </c>
      <c r="U2624" s="5">
        <v>127000</v>
      </c>
      <c r="V2624" s="5" t="s">
        <v>11662</v>
      </c>
      <c r="W2624" s="5" t="s">
        <v>36</v>
      </c>
      <c r="X2624" s="5" t="s">
        <v>83</v>
      </c>
      <c r="Z2624" s="5" t="s">
        <v>11663</v>
      </c>
      <c r="AA2624" s="5" t="s">
        <v>44</v>
      </c>
      <c r="AB2624" s="5" t="s">
        <v>11664</v>
      </c>
      <c r="AC2624" s="8" t="str">
        <f>HYPERLINK("https://drive.google.com/file/d/1wHebLG4O7zkgYjVO01oNC2zmLKtcZf2h/view?usp=drivesdk", "Abrir_Factura")</f>
        <v>Abrir_Factura</v>
      </c>
      <c r="AD2624" s="9">
        <v>46078.578333333331</v>
      </c>
    </row>
    <row r="2625" spans="1:30" ht="12.5">
      <c r="A2625" s="4">
        <v>46078.605247789354</v>
      </c>
      <c r="B2625" s="5">
        <v>92361</v>
      </c>
      <c r="C2625" s="5">
        <v>1143163171</v>
      </c>
      <c r="D2625" s="5" t="s">
        <v>4445</v>
      </c>
      <c r="F2625" s="5" t="s">
        <v>11665</v>
      </c>
      <c r="H2625" s="5">
        <v>573204022852</v>
      </c>
      <c r="J2625" s="5" t="s">
        <v>11666</v>
      </c>
      <c r="K2625" s="5" t="s">
        <v>33</v>
      </c>
      <c r="L2625" s="5" t="s">
        <v>34</v>
      </c>
      <c r="M2625" s="5">
        <v>3204022852</v>
      </c>
      <c r="N2625" s="6">
        <v>46079</v>
      </c>
      <c r="O2625" s="7">
        <v>0.375</v>
      </c>
      <c r="P2625" s="5">
        <v>1</v>
      </c>
      <c r="Q2625" s="5" t="s">
        <v>42</v>
      </c>
      <c r="R2625" s="5">
        <v>160000</v>
      </c>
      <c r="S2625" s="5">
        <v>0</v>
      </c>
      <c r="T2625" s="5">
        <v>0</v>
      </c>
      <c r="U2625" s="5">
        <v>160000</v>
      </c>
      <c r="V2625" s="5" t="s">
        <v>11667</v>
      </c>
      <c r="W2625" s="5" t="s">
        <v>36</v>
      </c>
      <c r="X2625" s="5" t="s">
        <v>1705</v>
      </c>
      <c r="AA2625" s="5" t="s">
        <v>69</v>
      </c>
      <c r="AB2625" s="5" t="s">
        <v>11668</v>
      </c>
      <c r="AC2625" s="8" t="str">
        <f>HYPERLINK("https://drive.google.com/file/d/1XEPvp7S97IrotObLT6zt2PdVCzAPMeGr/view?usp=drivesdk", "Abrir_Factura")</f>
        <v>Abrir_Factura</v>
      </c>
      <c r="AD2625" s="9">
        <v>46079.733356481483</v>
      </c>
    </row>
    <row r="2626" spans="1:30" ht="12.5">
      <c r="A2626" s="4">
        <v>46078.615762569447</v>
      </c>
      <c r="B2626" s="5">
        <v>92362</v>
      </c>
      <c r="C2626" s="5">
        <v>1121529876</v>
      </c>
      <c r="D2626" s="5" t="s">
        <v>11669</v>
      </c>
      <c r="F2626" s="5" t="s">
        <v>11670</v>
      </c>
      <c r="H2626" s="5">
        <v>573155656648</v>
      </c>
      <c r="J2626" s="5" t="s">
        <v>11671</v>
      </c>
      <c r="K2626" s="5" t="s">
        <v>33</v>
      </c>
      <c r="L2626" s="5" t="s">
        <v>34</v>
      </c>
      <c r="M2626" s="5">
        <v>3155656648</v>
      </c>
      <c r="N2626" s="6">
        <v>46078</v>
      </c>
      <c r="O2626" s="7">
        <v>0.41666666666666669</v>
      </c>
      <c r="P2626" s="5">
        <v>1</v>
      </c>
      <c r="Q2626" s="5" t="s">
        <v>42</v>
      </c>
      <c r="R2626" s="5">
        <v>180000</v>
      </c>
      <c r="S2626" s="5">
        <v>0</v>
      </c>
      <c r="T2626" s="5">
        <v>0</v>
      </c>
      <c r="U2626" s="5">
        <v>180000</v>
      </c>
      <c r="V2626" s="5" t="s">
        <v>11672</v>
      </c>
      <c r="W2626" s="5" t="s">
        <v>36</v>
      </c>
      <c r="X2626" s="5" t="s">
        <v>196</v>
      </c>
      <c r="AA2626" s="5" t="s">
        <v>1717</v>
      </c>
      <c r="AB2626" s="5" t="s">
        <v>11673</v>
      </c>
      <c r="AC2626" s="8" t="str">
        <f>HYPERLINK("https://drive.google.com/file/d/15dDCeGHLwVVT_lhjf4kcfrqKGeNbvEyu/view?usp=drivesdk", "Abrir_Factura")</f>
        <v>Abrir_Factura</v>
      </c>
      <c r="AD2626" s="9">
        <v>46078.758113425924</v>
      </c>
    </row>
    <row r="2627" spans="1:30" ht="12.5">
      <c r="A2627" s="4">
        <v>46078.625200416667</v>
      </c>
      <c r="B2627" s="5">
        <v>92364</v>
      </c>
      <c r="C2627" s="5">
        <v>1140893250</v>
      </c>
      <c r="D2627" s="5" t="s">
        <v>11674</v>
      </c>
      <c r="F2627" s="5" t="s">
        <v>4957</v>
      </c>
      <c r="H2627" s="5">
        <v>573014291268</v>
      </c>
      <c r="J2627" s="5" t="s">
        <v>480</v>
      </c>
      <c r="K2627" s="5" t="s">
        <v>249</v>
      </c>
      <c r="L2627" s="5" t="s">
        <v>11675</v>
      </c>
      <c r="M2627" s="5">
        <v>3008028022</v>
      </c>
      <c r="N2627" s="6">
        <v>46079</v>
      </c>
      <c r="O2627" s="7">
        <v>0.375</v>
      </c>
      <c r="P2627" s="5">
        <v>1</v>
      </c>
      <c r="Q2627" s="5" t="s">
        <v>649</v>
      </c>
      <c r="R2627" s="5">
        <v>200000</v>
      </c>
      <c r="S2627" s="5">
        <v>0</v>
      </c>
      <c r="T2627" s="5">
        <v>10000</v>
      </c>
      <c r="U2627" s="5">
        <v>210000</v>
      </c>
      <c r="V2627" s="5"/>
      <c r="W2627" s="5" t="s">
        <v>36</v>
      </c>
      <c r="X2627" s="5" t="s">
        <v>83</v>
      </c>
      <c r="AA2627" s="5" t="s">
        <v>44</v>
      </c>
      <c r="AB2627" s="5" t="s">
        <v>11676</v>
      </c>
      <c r="AC2627" s="8" t="str">
        <f>HYPERLINK("https://drive.google.com/file/d/1_w6KeAE5Z1il_chqt8ZTpw5oZBoASBjU/view?usp=drivesdk", "Abrir_Factura")</f>
        <v>Abrir_Factura</v>
      </c>
      <c r="AD2627" s="9">
        <v>46078.629328703704</v>
      </c>
    </row>
    <row r="2628" spans="1:30" ht="12.5">
      <c r="A2628" s="4">
        <v>46078.634689918981</v>
      </c>
      <c r="B2628" s="5">
        <v>92368</v>
      </c>
      <c r="C2628" s="5">
        <v>1234096286</v>
      </c>
      <c r="D2628" s="5" t="s">
        <v>2903</v>
      </c>
      <c r="F2628" s="5" t="s">
        <v>11677</v>
      </c>
      <c r="H2628" s="5">
        <v>573217530452</v>
      </c>
      <c r="J2628" s="5" t="s">
        <v>11678</v>
      </c>
      <c r="K2628" s="5" t="s">
        <v>1057</v>
      </c>
      <c r="L2628" s="5" t="s">
        <v>11679</v>
      </c>
      <c r="M2628" s="5">
        <v>3217530452</v>
      </c>
      <c r="N2628" s="6">
        <v>46079</v>
      </c>
      <c r="O2628" s="7">
        <v>0</v>
      </c>
      <c r="P2628" s="5">
        <v>1</v>
      </c>
      <c r="Q2628" s="5" t="s">
        <v>361</v>
      </c>
      <c r="R2628" s="5">
        <v>200000</v>
      </c>
      <c r="S2628" s="5">
        <v>0</v>
      </c>
      <c r="T2628" s="5">
        <v>14000</v>
      </c>
      <c r="U2628" s="5">
        <v>214000</v>
      </c>
      <c r="V2628" s="5" t="s">
        <v>11680</v>
      </c>
      <c r="W2628" s="5" t="s">
        <v>36</v>
      </c>
      <c r="X2628" s="5" t="s">
        <v>204</v>
      </c>
      <c r="Z2628" s="5" t="s">
        <v>11681</v>
      </c>
      <c r="AA2628" s="5" t="s">
        <v>44</v>
      </c>
      <c r="AB2628" s="5" t="s">
        <v>11682</v>
      </c>
      <c r="AC2628" s="8" t="str">
        <f>HYPERLINK("https://drive.google.com/file/d/1Lf6TLtqXIQG4zjpmWUsxSPp8QyQeCli8/view?usp=drivesdk", "Abrir_Factura")</f>
        <v>Abrir_Factura</v>
      </c>
      <c r="AD2628" s="9">
        <v>46078.666516203702</v>
      </c>
    </row>
    <row r="2629" spans="1:30" ht="12.5">
      <c r="A2629" s="4">
        <v>46078.635367997689</v>
      </c>
      <c r="B2629" s="5">
        <v>92365</v>
      </c>
      <c r="C2629" s="5">
        <v>55305751</v>
      </c>
      <c r="D2629" s="5" t="s">
        <v>4174</v>
      </c>
      <c r="F2629" s="5" t="s">
        <v>1387</v>
      </c>
      <c r="H2629" s="5">
        <v>573158714603</v>
      </c>
      <c r="J2629" s="5" t="s">
        <v>11683</v>
      </c>
      <c r="K2629" s="5" t="s">
        <v>33</v>
      </c>
      <c r="L2629" s="5" t="s">
        <v>34</v>
      </c>
      <c r="M2629" s="5">
        <v>3158714603</v>
      </c>
      <c r="N2629" s="6">
        <v>46078</v>
      </c>
      <c r="O2629" s="7">
        <v>0</v>
      </c>
      <c r="P2629" s="5">
        <v>1</v>
      </c>
      <c r="Q2629" s="5" t="s">
        <v>42</v>
      </c>
      <c r="R2629" s="5">
        <v>1300000</v>
      </c>
      <c r="S2629" s="5">
        <v>0</v>
      </c>
      <c r="T2629" s="5">
        <v>0</v>
      </c>
      <c r="U2629" s="5">
        <v>1300000</v>
      </c>
      <c r="V2629" s="5"/>
      <c r="W2629" s="5" t="s">
        <v>36</v>
      </c>
      <c r="X2629" s="5" t="s">
        <v>1481</v>
      </c>
      <c r="AA2629" s="5" t="s">
        <v>332</v>
      </c>
      <c r="AB2629" s="5" t="s">
        <v>11684</v>
      </c>
      <c r="AC2629" s="8" t="str">
        <f>HYPERLINK("https://drive.google.com/file/d/1osHTv0-EGWIke5tM1iUbo4lNylPLIMEO/view?usp=drivesdk", "Abrir_Factura")</f>
        <v>Abrir_Factura</v>
      </c>
      <c r="AD2629" s="9">
        <v>46078.637303240743</v>
      </c>
    </row>
    <row r="2630" spans="1:30" ht="12.5">
      <c r="A2630" s="4">
        <v>46078.637054571758</v>
      </c>
      <c r="B2630" s="5">
        <v>92366</v>
      </c>
      <c r="C2630" s="5">
        <v>100191575</v>
      </c>
      <c r="D2630" s="5" t="s">
        <v>11685</v>
      </c>
      <c r="F2630" s="5" t="s">
        <v>11686</v>
      </c>
      <c r="H2630" s="5">
        <v>573004342758</v>
      </c>
      <c r="J2630" s="5" t="s">
        <v>11687</v>
      </c>
      <c r="K2630" s="5" t="s">
        <v>185</v>
      </c>
      <c r="L2630" s="5" t="s">
        <v>11688</v>
      </c>
      <c r="M2630" s="5">
        <v>3004342758</v>
      </c>
      <c r="N2630" s="6">
        <v>46080</v>
      </c>
      <c r="O2630" s="7">
        <v>0.33333333333333331</v>
      </c>
      <c r="P2630" s="5">
        <v>1</v>
      </c>
      <c r="Q2630" s="5" t="s">
        <v>89</v>
      </c>
      <c r="R2630" s="5">
        <v>170000</v>
      </c>
      <c r="S2630" s="5">
        <v>0</v>
      </c>
      <c r="T2630" s="5">
        <v>8000</v>
      </c>
      <c r="U2630" s="5">
        <v>178000</v>
      </c>
      <c r="V2630" s="5" t="s">
        <v>11689</v>
      </c>
      <c r="W2630" s="5" t="s">
        <v>36</v>
      </c>
      <c r="X2630" s="5" t="s">
        <v>83</v>
      </c>
      <c r="Z2630" s="5" t="s">
        <v>11690</v>
      </c>
      <c r="AA2630" s="5" t="s">
        <v>44</v>
      </c>
      <c r="AB2630" s="5" t="s">
        <v>11691</v>
      </c>
      <c r="AC2630" s="8" t="str">
        <f>HYPERLINK("https://drive.google.com/file/d/1dcJ9OOgZs0gDfbSfjxxTQEwnTfnHnQki/view?usp=drivesdk", "Abrir_Factura")</f>
        <v>Abrir_Factura</v>
      </c>
      <c r="AD2630" s="9">
        <v>46078.649664351855</v>
      </c>
    </row>
    <row r="2631" spans="1:30" ht="12.5">
      <c r="A2631" s="4">
        <v>46078.641223657411</v>
      </c>
      <c r="B2631" s="5">
        <v>92367</v>
      </c>
      <c r="C2631" s="5">
        <v>1140903852</v>
      </c>
      <c r="D2631" s="5" t="s">
        <v>11692</v>
      </c>
      <c r="F2631" s="5" t="s">
        <v>11693</v>
      </c>
      <c r="H2631" s="5">
        <v>573016373200</v>
      </c>
      <c r="J2631" s="5" t="s">
        <v>11694</v>
      </c>
      <c r="K2631" s="5" t="s">
        <v>185</v>
      </c>
      <c r="L2631" s="5" t="s">
        <v>11695</v>
      </c>
      <c r="M2631" s="5">
        <v>3158734575</v>
      </c>
      <c r="N2631" s="6">
        <v>46078</v>
      </c>
      <c r="O2631" s="7">
        <v>0.70833333333333337</v>
      </c>
      <c r="P2631" s="5">
        <v>1</v>
      </c>
      <c r="Q2631" s="5" t="s">
        <v>422</v>
      </c>
      <c r="R2631" s="5">
        <v>150000</v>
      </c>
      <c r="S2631" s="5">
        <v>0</v>
      </c>
      <c r="T2631" s="5">
        <v>8000</v>
      </c>
      <c r="U2631" s="5">
        <v>158000</v>
      </c>
      <c r="V2631" s="5" t="s">
        <v>11696</v>
      </c>
      <c r="W2631" s="5" t="s">
        <v>36</v>
      </c>
      <c r="X2631" s="5" t="s">
        <v>180</v>
      </c>
      <c r="Z2631" s="5" t="s">
        <v>11697</v>
      </c>
      <c r="AA2631" s="5" t="s">
        <v>44</v>
      </c>
      <c r="AB2631" s="5" t="s">
        <v>11698</v>
      </c>
      <c r="AC2631" s="8" t="str">
        <f>HYPERLINK("https://drive.google.com/file/d/1kmZGPqpERNjx0uyK6fiD-6seCq1fMFZO/view?usp=drivesdk", "Abrir_Factura")</f>
        <v>Abrir_Factura</v>
      </c>
      <c r="AD2631" s="9">
        <v>46078.652407407404</v>
      </c>
    </row>
    <row r="2632" spans="1:30" ht="12.5">
      <c r="A2632" s="4">
        <v>46078.652724930551</v>
      </c>
      <c r="B2632" s="5">
        <v>92370</v>
      </c>
      <c r="C2632" s="5">
        <v>1140904233</v>
      </c>
      <c r="D2632" s="5" t="s">
        <v>4102</v>
      </c>
      <c r="F2632" s="5" t="s">
        <v>1444</v>
      </c>
      <c r="H2632" s="5">
        <v>573014404403</v>
      </c>
      <c r="J2632" s="5" t="s">
        <v>4102</v>
      </c>
      <c r="K2632" s="5" t="s">
        <v>307</v>
      </c>
      <c r="L2632" s="5" t="s">
        <v>11699</v>
      </c>
      <c r="M2632" s="5">
        <v>3014404403</v>
      </c>
      <c r="N2632" s="6">
        <v>46079</v>
      </c>
      <c r="O2632" s="7">
        <v>0.41666666666666669</v>
      </c>
      <c r="P2632" s="5">
        <v>1</v>
      </c>
      <c r="Q2632" s="5" t="s">
        <v>187</v>
      </c>
      <c r="R2632" s="5">
        <v>230000</v>
      </c>
      <c r="S2632" s="5">
        <v>0</v>
      </c>
      <c r="T2632" s="5">
        <v>10000</v>
      </c>
      <c r="U2632" s="5">
        <v>240000</v>
      </c>
      <c r="V2632" s="5" t="s">
        <v>11700</v>
      </c>
      <c r="W2632" s="5" t="s">
        <v>36</v>
      </c>
      <c r="X2632" s="5" t="s">
        <v>83</v>
      </c>
      <c r="Z2632" s="5" t="s">
        <v>11701</v>
      </c>
      <c r="AA2632" s="5" t="s">
        <v>44</v>
      </c>
      <c r="AB2632" s="5" t="s">
        <v>11702</v>
      </c>
      <c r="AC2632" s="8" t="str">
        <f>HYPERLINK("https://drive.google.com/file/d/1d92csQYgao87YnxRMgpkVhm0VIvXvtRz/view?usp=drivesdk", "Abrir_Factura")</f>
        <v>Abrir_Factura</v>
      </c>
      <c r="AD2632" s="9">
        <v>46078.770370370374</v>
      </c>
    </row>
    <row r="2633" spans="1:30" ht="12.5">
      <c r="A2633" s="4">
        <v>46078.669571817125</v>
      </c>
      <c r="B2633" s="5">
        <v>92372</v>
      </c>
      <c r="C2633" s="5">
        <v>1066720447</v>
      </c>
      <c r="D2633" s="5" t="s">
        <v>3105</v>
      </c>
      <c r="F2633" s="5" t="s">
        <v>11703</v>
      </c>
      <c r="H2633" s="5">
        <v>573013714345</v>
      </c>
      <c r="J2633" s="5" t="s">
        <v>11704</v>
      </c>
      <c r="K2633" s="5" t="s">
        <v>154</v>
      </c>
      <c r="L2633" s="5" t="s">
        <v>11705</v>
      </c>
      <c r="M2633" s="5">
        <v>3016004691</v>
      </c>
      <c r="N2633" s="6">
        <v>46079</v>
      </c>
      <c r="O2633" s="7">
        <v>0.41666666666666669</v>
      </c>
      <c r="P2633" s="5">
        <v>1</v>
      </c>
      <c r="Q2633" s="5" t="s">
        <v>156</v>
      </c>
      <c r="R2633" s="5">
        <v>80000</v>
      </c>
      <c r="S2633" s="5">
        <v>0</v>
      </c>
      <c r="T2633" s="5">
        <v>8000</v>
      </c>
      <c r="U2633" s="5">
        <v>88000</v>
      </c>
      <c r="V2633" s="5" t="s">
        <v>11706</v>
      </c>
      <c r="W2633" s="5" t="s">
        <v>36</v>
      </c>
      <c r="X2633" s="5" t="s">
        <v>83</v>
      </c>
      <c r="Z2633" s="5" t="s">
        <v>11707</v>
      </c>
      <c r="AA2633" s="5" t="s">
        <v>69</v>
      </c>
      <c r="AB2633" s="5" t="s">
        <v>11708</v>
      </c>
      <c r="AC2633" s="8" t="str">
        <f>HYPERLINK("https://drive.google.com/file/d/1te_-17dTAumCDpR4L4JhSZHc9939JwXb/view?usp=drivesdk", "Abrir_Factura")</f>
        <v>Abrir_Factura</v>
      </c>
      <c r="AD2633" s="9">
        <v>46078.699097222219</v>
      </c>
    </row>
    <row r="2634" spans="1:30" ht="12.5">
      <c r="A2634" s="4">
        <v>46078.68746872685</v>
      </c>
      <c r="B2634" s="5">
        <v>92377</v>
      </c>
      <c r="C2634" s="5">
        <v>1044393682</v>
      </c>
      <c r="D2634" s="5" t="s">
        <v>11709</v>
      </c>
      <c r="F2634" s="5" t="s">
        <v>11710</v>
      </c>
      <c r="H2634" s="5">
        <v>573183922187</v>
      </c>
      <c r="J2634" s="5" t="s">
        <v>11711</v>
      </c>
      <c r="K2634" s="5" t="s">
        <v>975</v>
      </c>
      <c r="L2634" s="5" t="s">
        <v>11712</v>
      </c>
      <c r="M2634" s="5">
        <v>3183922187</v>
      </c>
      <c r="N2634" s="6">
        <v>46079</v>
      </c>
      <c r="O2634" s="7">
        <v>0.34097222222222223</v>
      </c>
      <c r="P2634" s="5">
        <v>1</v>
      </c>
      <c r="Q2634" s="5" t="s">
        <v>187</v>
      </c>
      <c r="R2634" s="5">
        <v>220000</v>
      </c>
      <c r="S2634" s="5">
        <v>0</v>
      </c>
      <c r="T2634" s="5">
        <v>10000</v>
      </c>
      <c r="U2634" s="5">
        <v>230000</v>
      </c>
      <c r="V2634" s="5" t="s">
        <v>11713</v>
      </c>
      <c r="W2634" s="5" t="s">
        <v>36</v>
      </c>
      <c r="X2634" s="5" t="s">
        <v>1937</v>
      </c>
      <c r="Z2634" s="5" t="s">
        <v>11714</v>
      </c>
      <c r="AA2634" s="5" t="s">
        <v>69</v>
      </c>
      <c r="AB2634" s="5" t="s">
        <v>11715</v>
      </c>
      <c r="AC2634" s="8" t="str">
        <f>HYPERLINK("https://drive.google.com/file/d/1HolBvTyuT_DqCkC9FNhZqTQIGUSetSHI/view?usp=drivesdk", "Abrir_Factura")</f>
        <v>Abrir_Factura</v>
      </c>
      <c r="AD2634" s="9">
        <v>46078.752974537034</v>
      </c>
    </row>
    <row r="2635" spans="1:30" ht="12.5">
      <c r="A2635" s="4">
        <v>46078.694609155093</v>
      </c>
      <c r="B2635" s="5">
        <v>92374</v>
      </c>
      <c r="C2635" s="5">
        <v>112050470</v>
      </c>
      <c r="D2635" s="5" t="s">
        <v>11716</v>
      </c>
      <c r="F2635" s="5" t="s">
        <v>2560</v>
      </c>
      <c r="H2635" s="5">
        <v>50688387782</v>
      </c>
      <c r="J2635" s="5" t="s">
        <v>11717</v>
      </c>
      <c r="K2635" s="5" t="s">
        <v>1497</v>
      </c>
      <c r="L2635" s="5" t="s">
        <v>11718</v>
      </c>
      <c r="M2635" s="5" t="s">
        <v>25421</v>
      </c>
      <c r="N2635" s="6">
        <v>46079</v>
      </c>
      <c r="O2635" s="7">
        <v>0.41666666666666669</v>
      </c>
      <c r="P2635" s="5">
        <v>1</v>
      </c>
      <c r="Q2635" s="5" t="s">
        <v>2586</v>
      </c>
      <c r="R2635" s="5">
        <v>190000</v>
      </c>
      <c r="S2635" s="5">
        <v>0</v>
      </c>
      <c r="T2635" s="5">
        <v>12000</v>
      </c>
      <c r="U2635" s="5">
        <v>202000</v>
      </c>
      <c r="V2635" s="5" t="s">
        <v>11719</v>
      </c>
      <c r="W2635" s="5" t="s">
        <v>36</v>
      </c>
      <c r="X2635" s="5" t="s">
        <v>1937</v>
      </c>
      <c r="Z2635" s="5" t="s">
        <v>11720</v>
      </c>
      <c r="AA2635" s="5" t="s">
        <v>44</v>
      </c>
      <c r="AB2635" s="5" t="s">
        <v>11721</v>
      </c>
      <c r="AC2635" s="8" t="str">
        <f>HYPERLINK("https://drive.google.com/file/d/1V-_tf05aJjF-Ij0hRM3bgOFDMKpkQPM7/view?usp=drivesdk", "Abrir_Factura")</f>
        <v>Abrir_Factura</v>
      </c>
      <c r="AD2635" s="9">
        <v>46078.714502314811</v>
      </c>
    </row>
    <row r="2636" spans="1:30" ht="12.5">
      <c r="A2636" s="4">
        <v>46078.719809016198</v>
      </c>
      <c r="B2636" s="5">
        <v>92376</v>
      </c>
      <c r="C2636" s="5">
        <v>1007515176</v>
      </c>
      <c r="D2636" s="5" t="s">
        <v>10515</v>
      </c>
      <c r="F2636" s="5" t="s">
        <v>11722</v>
      </c>
      <c r="H2636" s="5">
        <v>573108315079</v>
      </c>
      <c r="J2636" s="5" t="s">
        <v>11723</v>
      </c>
      <c r="K2636" s="5" t="s">
        <v>103</v>
      </c>
      <c r="L2636" s="5" t="s">
        <v>11724</v>
      </c>
      <c r="M2636" s="5">
        <v>3017226485</v>
      </c>
      <c r="N2636" s="6">
        <v>46081</v>
      </c>
      <c r="O2636" s="7">
        <v>0.35138888888888886</v>
      </c>
      <c r="P2636" s="5">
        <v>1</v>
      </c>
      <c r="Q2636" s="5" t="s">
        <v>11725</v>
      </c>
      <c r="R2636" s="5">
        <v>220000</v>
      </c>
      <c r="S2636" s="5">
        <v>0</v>
      </c>
      <c r="T2636" s="5">
        <v>10000</v>
      </c>
      <c r="U2636" s="5">
        <v>230000</v>
      </c>
      <c r="V2636" s="5" t="s">
        <v>11726</v>
      </c>
      <c r="W2636" s="5" t="s">
        <v>36</v>
      </c>
      <c r="X2636" s="5" t="s">
        <v>83</v>
      </c>
      <c r="Z2636" s="5" t="s">
        <v>11727</v>
      </c>
      <c r="AA2636" s="5" t="s">
        <v>44</v>
      </c>
      <c r="AB2636" s="5" t="s">
        <v>11728</v>
      </c>
      <c r="AC2636" s="8" t="str">
        <f>HYPERLINK("https://drive.google.com/file/d/1Y0ka1CuZKcadmBTy9xHGQ4qvM-gTKqsE/view?usp=drivesdk", "Abrir_Factura")</f>
        <v>Abrir_Factura</v>
      </c>
      <c r="AD2636" s="9">
        <v>46078.749143518522</v>
      </c>
    </row>
    <row r="2637" spans="1:30" ht="12.5">
      <c r="A2637" s="4">
        <v>46078.742189201388</v>
      </c>
      <c r="B2637" s="5">
        <v>92375</v>
      </c>
      <c r="C2637" s="5">
        <v>8600095786</v>
      </c>
      <c r="D2637" s="5" t="s">
        <v>11729</v>
      </c>
      <c r="F2637" s="5" t="s">
        <v>4113</v>
      </c>
      <c r="H2637" s="5">
        <v>573217712414</v>
      </c>
      <c r="J2637" s="5" t="s">
        <v>11730</v>
      </c>
      <c r="K2637" s="5" t="s">
        <v>1317</v>
      </c>
      <c r="L2637" s="5" t="s">
        <v>11731</v>
      </c>
      <c r="M2637" s="5">
        <v>3102458938</v>
      </c>
      <c r="N2637" s="6">
        <v>46079</v>
      </c>
      <c r="O2637" s="7">
        <v>0.33333333333333331</v>
      </c>
      <c r="P2637" s="5">
        <v>1</v>
      </c>
      <c r="Q2637" s="5" t="s">
        <v>649</v>
      </c>
      <c r="R2637" s="5">
        <v>200000</v>
      </c>
      <c r="S2637" s="5">
        <v>38000</v>
      </c>
      <c r="T2637" s="5">
        <v>12000</v>
      </c>
      <c r="U2637" s="5">
        <v>250000</v>
      </c>
      <c r="V2637" s="5" t="s">
        <v>11732</v>
      </c>
      <c r="W2637" s="5" t="s">
        <v>36</v>
      </c>
      <c r="X2637" s="5" t="s">
        <v>67</v>
      </c>
      <c r="Z2637" s="5" t="s">
        <v>11733</v>
      </c>
      <c r="AA2637" s="5" t="s">
        <v>44</v>
      </c>
      <c r="AC2637" s="8" t="str">
        <f>HYPERLINK("https://drive.google.com/file/d/1FO7f8kOl-2iPdjrZl5L4BlF_Vnm0XAYc/view?usp=drivesdk", "Abrir_Factura")</f>
        <v>Abrir_Factura</v>
      </c>
      <c r="AD2637" s="9">
        <v>46078.744386574072</v>
      </c>
    </row>
    <row r="2638" spans="1:30" ht="12.5">
      <c r="A2638" s="4">
        <v>46078.761794895836</v>
      </c>
      <c r="B2638" s="5">
        <v>92378</v>
      </c>
      <c r="C2638" s="5">
        <v>79627731</v>
      </c>
      <c r="D2638" s="5" t="s">
        <v>11734</v>
      </c>
      <c r="F2638" s="5" t="s">
        <v>11735</v>
      </c>
      <c r="H2638" s="5">
        <v>573112957503</v>
      </c>
      <c r="J2638" s="5" t="s">
        <v>11736</v>
      </c>
      <c r="K2638" s="5" t="s">
        <v>33</v>
      </c>
      <c r="L2638" s="5" t="s">
        <v>34</v>
      </c>
      <c r="M2638" s="5">
        <v>3112957503</v>
      </c>
      <c r="N2638" s="6">
        <v>46078</v>
      </c>
      <c r="O2638" s="7">
        <v>0.7680555555555556</v>
      </c>
      <c r="P2638" s="5">
        <v>1</v>
      </c>
      <c r="Q2638" s="5" t="s">
        <v>178</v>
      </c>
      <c r="R2638" s="5">
        <v>110000</v>
      </c>
      <c r="S2638" s="5">
        <v>0</v>
      </c>
      <c r="T2638" s="5">
        <v>0</v>
      </c>
      <c r="U2638" s="5">
        <v>110000</v>
      </c>
      <c r="V2638" s="5"/>
      <c r="W2638" s="5" t="s">
        <v>36</v>
      </c>
      <c r="X2638" s="5" t="s">
        <v>1705</v>
      </c>
      <c r="AA2638" s="5" t="s">
        <v>1717</v>
      </c>
      <c r="AC2638" s="8" t="str">
        <f>HYPERLINK("https://drive.google.com/file/d/176EIVsmyBCF8FUV8oeK1-Igy63kChqX_/view?usp=drivesdk", "Abrir_Factura")</f>
        <v>Abrir_Factura</v>
      </c>
      <c r="AD2638" s="9">
        <v>46078.762523148151</v>
      </c>
    </row>
    <row r="2639" spans="1:30" ht="12.5">
      <c r="A2639" s="4">
        <v>46078.767782708332</v>
      </c>
      <c r="B2639" s="5">
        <v>92379</v>
      </c>
      <c r="C2639" s="5">
        <v>32748863</v>
      </c>
      <c r="D2639" s="5" t="s">
        <v>521</v>
      </c>
      <c r="F2639" s="5" t="s">
        <v>3525</v>
      </c>
      <c r="H2639" s="5">
        <v>573174289182</v>
      </c>
      <c r="J2639" s="5" t="s">
        <v>3526</v>
      </c>
      <c r="K2639" s="5" t="s">
        <v>33</v>
      </c>
      <c r="L2639" s="5" t="s">
        <v>34</v>
      </c>
      <c r="M2639" s="5">
        <v>3174289182</v>
      </c>
      <c r="N2639" s="6">
        <v>46078</v>
      </c>
      <c r="O2639" s="7">
        <v>0.7680555555555556</v>
      </c>
      <c r="P2639" s="5">
        <v>1</v>
      </c>
      <c r="Q2639" s="5" t="s">
        <v>42</v>
      </c>
      <c r="R2639" s="5">
        <v>12000</v>
      </c>
      <c r="S2639" s="5">
        <v>0</v>
      </c>
      <c r="T2639" s="5">
        <v>0</v>
      </c>
      <c r="U2639" s="5">
        <v>12000</v>
      </c>
      <c r="V2639" s="5"/>
      <c r="W2639" s="5" t="s">
        <v>36</v>
      </c>
      <c r="X2639" s="5" t="s">
        <v>1705</v>
      </c>
      <c r="AA2639" s="5" t="s">
        <v>1717</v>
      </c>
      <c r="AB2639" s="5" t="s">
        <v>11737</v>
      </c>
      <c r="AC2639" s="8" t="str">
        <f>HYPERLINK("https://drive.google.com/file/d/1hTJ0aA6YpCvEpzyQArPQDoiKcGeCrukI/view?usp=drivesdk", "Abrir_Factura")</f>
        <v>Abrir_Factura</v>
      </c>
      <c r="AD2639" s="9">
        <v>46078.768449074072</v>
      </c>
    </row>
    <row r="2640" spans="1:30" ht="12.5">
      <c r="A2640" s="4">
        <v>46078.96492697917</v>
      </c>
      <c r="B2640" s="5">
        <v>92384</v>
      </c>
      <c r="C2640" s="5">
        <v>1002256961</v>
      </c>
      <c r="D2640" s="5" t="s">
        <v>1349</v>
      </c>
      <c r="F2640" s="5" t="s">
        <v>11738</v>
      </c>
      <c r="H2640" s="5">
        <v>573016987395</v>
      </c>
      <c r="J2640" s="5" t="s">
        <v>11739</v>
      </c>
      <c r="K2640" s="5" t="s">
        <v>420</v>
      </c>
      <c r="L2640" s="5" t="s">
        <v>11740</v>
      </c>
      <c r="M2640" s="5">
        <v>3116501398</v>
      </c>
      <c r="N2640" s="6">
        <v>46079</v>
      </c>
      <c r="O2640" s="7">
        <v>0.41666666666666669</v>
      </c>
      <c r="P2640" s="5">
        <v>1</v>
      </c>
      <c r="Q2640" s="5" t="s">
        <v>375</v>
      </c>
      <c r="R2640" s="5">
        <v>80000</v>
      </c>
      <c r="S2640" s="5">
        <v>0</v>
      </c>
      <c r="T2640" s="5">
        <v>16000</v>
      </c>
      <c r="U2640" s="5">
        <v>96000</v>
      </c>
      <c r="V2640" s="5" t="s">
        <v>11741</v>
      </c>
      <c r="W2640" s="5" t="s">
        <v>36</v>
      </c>
      <c r="X2640" s="5" t="s">
        <v>1937</v>
      </c>
      <c r="Z2640" s="5" t="s">
        <v>11742</v>
      </c>
      <c r="AA2640" s="5" t="s">
        <v>44</v>
      </c>
      <c r="AB2640" s="5" t="s">
        <v>11743</v>
      </c>
      <c r="AC2640" s="8" t="str">
        <f>HYPERLINK("https://drive.google.com/file/d/1t4H_u6SxPSWIOQcNchrDVORXpJtRozKa/view?usp=drivesdk", "Abrir_Factura")</f>
        <v>Abrir_Factura</v>
      </c>
      <c r="AD2640" s="9">
        <v>46079.397337962961</v>
      </c>
    </row>
    <row r="2641" spans="1:30" ht="12.5">
      <c r="A2641" s="4">
        <v>46079.308687627316</v>
      </c>
      <c r="B2641" s="5">
        <v>92380</v>
      </c>
      <c r="C2641" s="5">
        <v>72002358</v>
      </c>
      <c r="D2641" s="5" t="s">
        <v>2095</v>
      </c>
      <c r="F2641" s="5" t="s">
        <v>3471</v>
      </c>
      <c r="H2641" s="5">
        <v>573157182762</v>
      </c>
      <c r="J2641" s="5" t="s">
        <v>11744</v>
      </c>
      <c r="K2641" s="5" t="s">
        <v>73</v>
      </c>
      <c r="L2641" s="5" t="s">
        <v>11745</v>
      </c>
      <c r="M2641" s="5">
        <v>3157182762</v>
      </c>
      <c r="N2641" s="6">
        <v>46079</v>
      </c>
      <c r="O2641" s="7">
        <v>0.41666666666666669</v>
      </c>
      <c r="P2641" s="5">
        <v>1</v>
      </c>
      <c r="Q2641" s="5" t="s">
        <v>542</v>
      </c>
      <c r="R2641" s="5">
        <v>150000</v>
      </c>
      <c r="S2641" s="5">
        <v>0</v>
      </c>
      <c r="T2641" s="5">
        <v>8000</v>
      </c>
      <c r="U2641" s="5">
        <v>158000</v>
      </c>
      <c r="V2641" s="5" t="s">
        <v>11746</v>
      </c>
      <c r="W2641" s="5" t="s">
        <v>36</v>
      </c>
      <c r="X2641" s="5" t="s">
        <v>1481</v>
      </c>
      <c r="Z2641" s="5" t="s">
        <v>11747</v>
      </c>
      <c r="AA2641" s="5" t="s">
        <v>44</v>
      </c>
      <c r="AB2641" s="5" t="s">
        <v>583</v>
      </c>
      <c r="AC2641" s="8" t="str">
        <f>HYPERLINK("https://drive.google.com/file/d/15bzqTxBKm5DpvuMZznxnfBjCnPG6R31r/view?usp=drivesdk", "Abrir_Factura")</f>
        <v>Abrir_Factura</v>
      </c>
      <c r="AD2641" s="9">
        <v>46079.354502314818</v>
      </c>
    </row>
    <row r="2642" spans="1:30" ht="12.5">
      <c r="A2642" s="4">
        <v>46079.315062303242</v>
      </c>
      <c r="B2642" s="5">
        <v>92382</v>
      </c>
      <c r="C2642" s="5">
        <v>79922468</v>
      </c>
      <c r="D2642" s="5" t="s">
        <v>5128</v>
      </c>
      <c r="F2642" s="5" t="s">
        <v>11748</v>
      </c>
      <c r="H2642" s="5">
        <v>573115998840</v>
      </c>
      <c r="J2642" s="5" t="s">
        <v>11749</v>
      </c>
      <c r="K2642" s="5" t="s">
        <v>249</v>
      </c>
      <c r="L2642" s="5" t="s">
        <v>11750</v>
      </c>
      <c r="M2642" s="5">
        <v>3115998840</v>
      </c>
      <c r="N2642" s="6">
        <v>46079</v>
      </c>
      <c r="O2642" s="7">
        <v>0.41666666666666669</v>
      </c>
      <c r="P2642" s="5">
        <v>1</v>
      </c>
      <c r="Q2642" s="5" t="s">
        <v>384</v>
      </c>
      <c r="R2642" s="5">
        <v>200000</v>
      </c>
      <c r="S2642" s="5">
        <v>0</v>
      </c>
      <c r="T2642" s="5">
        <v>10000</v>
      </c>
      <c r="U2642" s="5">
        <v>210000</v>
      </c>
      <c r="V2642" s="5" t="s">
        <v>11751</v>
      </c>
      <c r="W2642" s="5" t="s">
        <v>36</v>
      </c>
      <c r="X2642" s="5" t="s">
        <v>1481</v>
      </c>
      <c r="Z2642" s="5" t="s">
        <v>11752</v>
      </c>
      <c r="AA2642" s="5" t="s">
        <v>44</v>
      </c>
      <c r="AC2642" s="8" t="str">
        <f>HYPERLINK("https://drive.google.com/file/d/1biRalhDwRJ1vwc1fL2p57FFknfEOJypf/view?usp=drivesdk", "Abrir_Factura")</f>
        <v>Abrir_Factura</v>
      </c>
      <c r="AD2642" s="9">
        <v>46079.366446759261</v>
      </c>
    </row>
    <row r="2643" spans="1:30" ht="12.5">
      <c r="A2643" s="4">
        <v>46079.35678858796</v>
      </c>
      <c r="B2643" s="5">
        <v>92425</v>
      </c>
      <c r="C2643" s="5">
        <v>1140902552</v>
      </c>
      <c r="D2643" s="5" t="s">
        <v>11753</v>
      </c>
      <c r="F2643" s="5" t="s">
        <v>11754</v>
      </c>
      <c r="H2643" s="5">
        <v>573242029594</v>
      </c>
      <c r="J2643" s="5" t="s">
        <v>11755</v>
      </c>
      <c r="K2643" s="5" t="s">
        <v>328</v>
      </c>
      <c r="L2643" s="5" t="s">
        <v>11756</v>
      </c>
      <c r="M2643" s="5" t="s">
        <v>25421</v>
      </c>
      <c r="N2643" s="6">
        <v>46081</v>
      </c>
      <c r="O2643" s="7">
        <v>0.34652777777777777</v>
      </c>
      <c r="P2643" s="5">
        <v>1</v>
      </c>
      <c r="Q2643" s="5" t="s">
        <v>375</v>
      </c>
      <c r="R2643" s="5">
        <v>80000</v>
      </c>
      <c r="S2643" s="5">
        <v>0</v>
      </c>
      <c r="T2643" s="5">
        <v>15000</v>
      </c>
      <c r="U2643" s="5">
        <v>95000</v>
      </c>
      <c r="V2643" s="5" t="s">
        <v>11757</v>
      </c>
      <c r="W2643" s="5" t="s">
        <v>36</v>
      </c>
      <c r="X2643" s="5" t="s">
        <v>1481</v>
      </c>
      <c r="Z2643" s="5" t="s">
        <v>11758</v>
      </c>
      <c r="AA2643" s="5" t="s">
        <v>44</v>
      </c>
      <c r="AB2643" s="5" t="s">
        <v>11759</v>
      </c>
      <c r="AC2643" s="8" t="str">
        <f>HYPERLINK("https://drive.google.com/file/d/1Idt5m5BNS4gvzJ5AMSwzW4Z0e6ouWgkZ/view?usp=drivesdk", "Abrir_Factura")</f>
        <v>Abrir_Factura</v>
      </c>
      <c r="AD2643" s="9">
        <v>46080.399178240739</v>
      </c>
    </row>
    <row r="2644" spans="1:30" ht="12.5">
      <c r="A2644" s="4">
        <v>46079.363897129631</v>
      </c>
      <c r="B2644" s="5">
        <v>92381</v>
      </c>
      <c r="C2644" s="5">
        <v>9010720773</v>
      </c>
      <c r="D2644" s="5" t="s">
        <v>11760</v>
      </c>
      <c r="F2644" s="5" t="s">
        <v>11761</v>
      </c>
      <c r="H2644" s="5">
        <v>573116531859</v>
      </c>
      <c r="J2644" s="5" t="s">
        <v>11762</v>
      </c>
      <c r="K2644" s="5" t="s">
        <v>110</v>
      </c>
      <c r="L2644" s="5" t="s">
        <v>11763</v>
      </c>
      <c r="M2644" s="5">
        <v>3116531859</v>
      </c>
      <c r="N2644" s="6">
        <v>46079</v>
      </c>
      <c r="O2644" s="7">
        <v>0.41666666666666669</v>
      </c>
      <c r="P2644" s="5">
        <v>1</v>
      </c>
      <c r="Q2644" s="5" t="s">
        <v>210</v>
      </c>
      <c r="R2644" s="5">
        <v>170000</v>
      </c>
      <c r="S2644" s="5">
        <v>32300</v>
      </c>
      <c r="T2644" s="5">
        <v>6000</v>
      </c>
      <c r="U2644" s="5">
        <v>208300</v>
      </c>
      <c r="V2644" s="5" t="s">
        <v>3038</v>
      </c>
      <c r="W2644" s="5" t="s">
        <v>36</v>
      </c>
      <c r="X2644" s="5" t="s">
        <v>2636</v>
      </c>
      <c r="AA2644" s="5" t="s">
        <v>1717</v>
      </c>
      <c r="AC2644" s="8" t="str">
        <f>HYPERLINK("https://drive.google.com/file/d/14l_Y1S9mmUqBcyQTz0AjB1srlXs0M_WJ/view?usp=drivesdk", "Abrir_Factura")</f>
        <v>Abrir_Factura</v>
      </c>
      <c r="AD2644" s="9">
        <v>46079.364733796298</v>
      </c>
    </row>
    <row r="2645" spans="1:30" ht="12.5">
      <c r="A2645" s="4">
        <v>46079.369845624999</v>
      </c>
      <c r="B2645" s="5">
        <v>92385</v>
      </c>
      <c r="C2645" s="5">
        <v>72138937</v>
      </c>
      <c r="D2645" s="5" t="s">
        <v>11764</v>
      </c>
      <c r="F2645" s="5" t="s">
        <v>11765</v>
      </c>
      <c r="H2645" s="5">
        <v>573157004568</v>
      </c>
      <c r="J2645" s="5" t="s">
        <v>11766</v>
      </c>
      <c r="K2645" s="5" t="s">
        <v>161</v>
      </c>
      <c r="L2645" s="5" t="s">
        <v>11767</v>
      </c>
      <c r="M2645" s="5">
        <v>3157004568</v>
      </c>
      <c r="N2645" s="6">
        <v>46080</v>
      </c>
      <c r="O2645" s="7">
        <v>0.45833333333333331</v>
      </c>
      <c r="P2645" s="5">
        <v>1</v>
      </c>
      <c r="Q2645" s="5" t="s">
        <v>251</v>
      </c>
      <c r="R2645" s="5">
        <v>190000</v>
      </c>
      <c r="S2645" s="5">
        <v>0</v>
      </c>
      <c r="T2645" s="5">
        <v>8000</v>
      </c>
      <c r="U2645" s="5">
        <v>198000</v>
      </c>
      <c r="V2645" s="5" t="s">
        <v>11768</v>
      </c>
      <c r="W2645" s="5" t="s">
        <v>36</v>
      </c>
      <c r="X2645" s="5" t="s">
        <v>1937</v>
      </c>
      <c r="Z2645" s="5" t="s">
        <v>11764</v>
      </c>
      <c r="AA2645" s="5" t="s">
        <v>44</v>
      </c>
      <c r="AB2645" s="5" t="s">
        <v>3330</v>
      </c>
      <c r="AC2645" s="8" t="str">
        <f>HYPERLINK("https://drive.google.com/file/d/1ghwILdeWtRC9pKyUgNkPxgrW-m9nLVy3/view?usp=drivesdk", "Abrir_Factura")</f>
        <v>Abrir_Factura</v>
      </c>
      <c r="AD2645" s="9">
        <v>46079.415034722224</v>
      </c>
    </row>
    <row r="2646" spans="1:30" ht="12.5">
      <c r="A2646" s="4">
        <v>46079.388774872685</v>
      </c>
      <c r="B2646" s="5">
        <v>92386</v>
      </c>
      <c r="C2646" s="5">
        <v>1045737017</v>
      </c>
      <c r="D2646" s="5" t="s">
        <v>1736</v>
      </c>
      <c r="F2646" s="5" t="s">
        <v>11769</v>
      </c>
      <c r="H2646" s="5">
        <v>573215956870</v>
      </c>
      <c r="J2646" s="5" t="s">
        <v>11770</v>
      </c>
      <c r="K2646" s="5" t="s">
        <v>124</v>
      </c>
      <c r="L2646" s="5" t="s">
        <v>11771</v>
      </c>
      <c r="M2646" s="5">
        <v>3215956870</v>
      </c>
      <c r="N2646" s="6">
        <v>46079</v>
      </c>
      <c r="O2646" s="7">
        <v>0</v>
      </c>
      <c r="P2646" s="5">
        <v>1</v>
      </c>
      <c r="Q2646" s="5" t="s">
        <v>5730</v>
      </c>
      <c r="R2646" s="5">
        <v>350000</v>
      </c>
      <c r="S2646" s="5">
        <v>0</v>
      </c>
      <c r="T2646" s="5">
        <v>12000</v>
      </c>
      <c r="U2646" s="5">
        <v>362000</v>
      </c>
      <c r="V2646" s="5" t="s">
        <v>11772</v>
      </c>
      <c r="W2646" s="5" t="s">
        <v>36</v>
      </c>
      <c r="X2646" s="5" t="s">
        <v>1481</v>
      </c>
      <c r="Z2646" s="5" t="s">
        <v>11773</v>
      </c>
      <c r="AA2646" s="5" t="s">
        <v>44</v>
      </c>
      <c r="AC2646" s="8" t="str">
        <f>HYPERLINK("https://drive.google.com/file/d/1d3O0e8qXvIQb8RavJP1DLBGaUNm27coH/view?usp=drivesdk", "Abrir_Factura")</f>
        <v>Abrir_Factura</v>
      </c>
      <c r="AD2646" s="9">
        <v>46079.431307870371</v>
      </c>
    </row>
    <row r="2647" spans="1:30" ht="12.5">
      <c r="A2647" s="4">
        <v>46079.39015392361</v>
      </c>
      <c r="B2647" s="5">
        <v>92404</v>
      </c>
      <c r="C2647" s="5">
        <v>1140900186</v>
      </c>
      <c r="D2647" s="5" t="s">
        <v>4259</v>
      </c>
      <c r="F2647" s="5" t="s">
        <v>11774</v>
      </c>
      <c r="H2647" s="5">
        <v>573145964445</v>
      </c>
      <c r="J2647" s="5" t="s">
        <v>11775</v>
      </c>
      <c r="K2647" s="5" t="s">
        <v>63</v>
      </c>
      <c r="L2647" s="5" t="s">
        <v>11776</v>
      </c>
      <c r="M2647" s="5">
        <v>3145964445</v>
      </c>
      <c r="N2647" s="6">
        <v>46081</v>
      </c>
      <c r="O2647" s="7">
        <v>0.375</v>
      </c>
      <c r="P2647" s="5">
        <v>1</v>
      </c>
      <c r="Q2647" s="5" t="s">
        <v>1792</v>
      </c>
      <c r="R2647" s="5">
        <v>160000</v>
      </c>
      <c r="S2647" s="5">
        <v>0</v>
      </c>
      <c r="T2647" s="5">
        <v>17000</v>
      </c>
      <c r="U2647" s="5">
        <v>177000</v>
      </c>
      <c r="V2647" s="5" t="s">
        <v>11777</v>
      </c>
      <c r="W2647" s="5" t="s">
        <v>36</v>
      </c>
      <c r="X2647" s="5" t="s">
        <v>1937</v>
      </c>
      <c r="Z2647" s="5" t="s">
        <v>11778</v>
      </c>
      <c r="AA2647" s="5" t="s">
        <v>44</v>
      </c>
      <c r="AC2647" s="8" t="str">
        <f>HYPERLINK("https://drive.google.com/file/d/1Qf3DszJU677CzIw3lckHp7nb1g-66lJo/view?usp=drivesdk", "Abrir_Factura")</f>
        <v>Abrir_Factura</v>
      </c>
      <c r="AD2647" s="9">
        <v>46079.662094907406</v>
      </c>
    </row>
    <row r="2648" spans="1:30" ht="12.5">
      <c r="A2648" s="4">
        <v>46079.391622175928</v>
      </c>
      <c r="B2648" s="5">
        <v>92383</v>
      </c>
      <c r="C2648" s="5">
        <v>72226019</v>
      </c>
      <c r="D2648" s="5" t="s">
        <v>8699</v>
      </c>
      <c r="F2648" s="5" t="s">
        <v>11779</v>
      </c>
      <c r="H2648" s="5">
        <v>573116975485</v>
      </c>
      <c r="J2648" s="5" t="s">
        <v>11780</v>
      </c>
      <c r="K2648" s="5" t="s">
        <v>73</v>
      </c>
      <c r="L2648" s="5" t="s">
        <v>11781</v>
      </c>
      <c r="M2648" s="5"/>
      <c r="N2648" s="6">
        <v>46080</v>
      </c>
      <c r="O2648" s="7">
        <v>0.375</v>
      </c>
      <c r="P2648" s="5">
        <v>1</v>
      </c>
      <c r="Q2648" s="5" t="s">
        <v>11782</v>
      </c>
      <c r="R2648" s="5">
        <v>340000</v>
      </c>
      <c r="S2648" s="5">
        <v>0</v>
      </c>
      <c r="T2648" s="5">
        <v>8000</v>
      </c>
      <c r="U2648" s="5">
        <v>348000</v>
      </c>
      <c r="V2648" s="5" t="s">
        <v>11783</v>
      </c>
      <c r="W2648" s="5" t="s">
        <v>36</v>
      </c>
      <c r="X2648" s="5" t="s">
        <v>1481</v>
      </c>
      <c r="AA2648" s="5" t="s">
        <v>44</v>
      </c>
      <c r="AC2648" s="8" t="str">
        <f>HYPERLINK("https://drive.google.com/file/d/1WzD6UIsNyuvyKQRLI7R1BnQ9eMGTjOM1/view?usp=drivesdk", "Abrir_Factura")</f>
        <v>Abrir_Factura</v>
      </c>
      <c r="AD2648" s="9">
        <v>46079.392326388886</v>
      </c>
    </row>
    <row r="2649" spans="1:30" ht="12.5">
      <c r="A2649" s="4">
        <v>46079.432027777773</v>
      </c>
      <c r="B2649" s="5">
        <v>92388</v>
      </c>
      <c r="C2649" s="5">
        <v>1015436674</v>
      </c>
      <c r="D2649" s="5" t="s">
        <v>5141</v>
      </c>
      <c r="F2649" s="5" t="s">
        <v>11784</v>
      </c>
      <c r="H2649" s="5">
        <v>573227688428</v>
      </c>
      <c r="J2649" s="5" t="s">
        <v>11785</v>
      </c>
      <c r="K2649" s="5"/>
      <c r="L2649" s="5" t="s">
        <v>11786</v>
      </c>
      <c r="M2649" s="5">
        <v>3006053253</v>
      </c>
      <c r="N2649" s="6">
        <v>46089</v>
      </c>
      <c r="O2649" s="7">
        <v>0.375</v>
      </c>
      <c r="P2649" s="5">
        <v>1</v>
      </c>
      <c r="Q2649" s="5" t="s">
        <v>11787</v>
      </c>
      <c r="R2649" s="5">
        <v>210000</v>
      </c>
      <c r="S2649" s="5">
        <v>0</v>
      </c>
      <c r="T2649" s="5"/>
      <c r="U2649" s="5">
        <v>210000</v>
      </c>
      <c r="V2649" s="5" t="s">
        <v>11788</v>
      </c>
      <c r="W2649" s="5" t="s">
        <v>36</v>
      </c>
      <c r="X2649" s="5" t="s">
        <v>1481</v>
      </c>
      <c r="Z2649" s="5" t="s">
        <v>11789</v>
      </c>
      <c r="AA2649" s="5" t="s">
        <v>44</v>
      </c>
      <c r="AB2649" s="5" t="s">
        <v>11790</v>
      </c>
      <c r="AC2649" s="8" t="str">
        <f>HYPERLINK("https://drive.google.com/file/d/1TkawpokQ_xnN4qO_9pnT4nzkntB2q4uy/view?usp=drivesdk", "Abrir_Factura")</f>
        <v>Abrir_Factura</v>
      </c>
      <c r="AD2649" s="9">
        <v>46079.460092592592</v>
      </c>
    </row>
    <row r="2650" spans="1:30" ht="12.5">
      <c r="A2650" s="4">
        <v>46079.439877546298</v>
      </c>
      <c r="B2650" s="5">
        <v>92387</v>
      </c>
      <c r="C2650" s="5">
        <v>1045669038</v>
      </c>
      <c r="D2650" s="5" t="s">
        <v>11791</v>
      </c>
      <c r="F2650" s="5" t="s">
        <v>2900</v>
      </c>
      <c r="H2650" s="5">
        <v>573215509226</v>
      </c>
      <c r="J2650" s="5" t="s">
        <v>11792</v>
      </c>
      <c r="K2650" s="5"/>
      <c r="L2650" s="5" t="s">
        <v>11793</v>
      </c>
      <c r="M2650" s="5"/>
      <c r="N2650" s="6">
        <v>46079</v>
      </c>
      <c r="O2650" s="7">
        <v>0</v>
      </c>
      <c r="P2650" s="5">
        <v>1</v>
      </c>
      <c r="Q2650" s="5" t="s">
        <v>2556</v>
      </c>
      <c r="R2650" s="5">
        <v>400000</v>
      </c>
      <c r="S2650" s="5">
        <v>0</v>
      </c>
      <c r="T2650" s="5"/>
      <c r="U2650" s="5">
        <v>400000</v>
      </c>
      <c r="V2650" s="5"/>
      <c r="W2650" s="5" t="s">
        <v>36</v>
      </c>
      <c r="X2650" s="5" t="s">
        <v>43</v>
      </c>
      <c r="AA2650" s="5" t="s">
        <v>332</v>
      </c>
      <c r="AC2650" s="8" t="str">
        <f>HYPERLINK("https://drive.google.com/file/d/1N_d9b4qGkQF88a5ditT-xrZkLPuWbljy/view?usp=drivesdk", "Abrir_Factura")</f>
        <v>Abrir_Factura</v>
      </c>
      <c r="AD2650" s="9">
        <v>46079.440601851849</v>
      </c>
    </row>
    <row r="2651" spans="1:30" ht="12.5">
      <c r="A2651" s="4">
        <v>46079.442354120372</v>
      </c>
      <c r="B2651" s="5">
        <v>92391</v>
      </c>
      <c r="C2651" s="5">
        <v>1069494546</v>
      </c>
      <c r="D2651" s="5" t="s">
        <v>1742</v>
      </c>
      <c r="F2651" s="5" t="s">
        <v>10893</v>
      </c>
      <c r="H2651" s="5">
        <v>573004618367</v>
      </c>
      <c r="J2651" s="5" t="s">
        <v>11794</v>
      </c>
      <c r="K2651" s="5"/>
      <c r="L2651" s="5" t="s">
        <v>34</v>
      </c>
      <c r="M2651" s="5">
        <v>3004618367</v>
      </c>
      <c r="N2651" s="6">
        <v>46079</v>
      </c>
      <c r="O2651" s="7">
        <v>0.58333333333333337</v>
      </c>
      <c r="P2651" s="5">
        <v>1</v>
      </c>
      <c r="Q2651" s="5" t="s">
        <v>65</v>
      </c>
      <c r="R2651" s="5">
        <v>80000</v>
      </c>
      <c r="S2651" s="5">
        <v>0</v>
      </c>
      <c r="T2651" s="5"/>
      <c r="U2651" s="5">
        <v>80000</v>
      </c>
      <c r="V2651" s="5" t="s">
        <v>11795</v>
      </c>
      <c r="W2651" s="5" t="s">
        <v>36</v>
      </c>
      <c r="X2651" s="5" t="s">
        <v>180</v>
      </c>
      <c r="Z2651" s="5" t="s">
        <v>11796</v>
      </c>
      <c r="AA2651" s="5" t="s">
        <v>44</v>
      </c>
      <c r="AC2651" s="8" t="str">
        <f>HYPERLINK("https://drive.google.com/file/d/117o0yewQy6diCPILj6ZNul8_D8ElVlUW/view?usp=drivesdk", "Abrir_Factura")</f>
        <v>Abrir_Factura</v>
      </c>
      <c r="AD2651" s="9">
        <v>46079.470868055556</v>
      </c>
    </row>
    <row r="2652" spans="1:30" ht="12.5">
      <c r="A2652" s="4">
        <v>46079.444060694441</v>
      </c>
      <c r="B2652" s="5">
        <v>92390</v>
      </c>
      <c r="C2652" s="5">
        <v>1045667475</v>
      </c>
      <c r="D2652" s="5" t="s">
        <v>11797</v>
      </c>
      <c r="F2652" s="5" t="s">
        <v>3442</v>
      </c>
      <c r="H2652" s="5">
        <v>573016574716</v>
      </c>
      <c r="J2652" s="5" t="s">
        <v>11798</v>
      </c>
      <c r="K2652" s="5" t="s">
        <v>73</v>
      </c>
      <c r="L2652" s="5" t="s">
        <v>11799</v>
      </c>
      <c r="M2652" s="5">
        <v>3016574716</v>
      </c>
      <c r="N2652" s="6">
        <v>46079</v>
      </c>
      <c r="O2652" s="7">
        <v>0.58333333333333337</v>
      </c>
      <c r="P2652" s="5">
        <v>1</v>
      </c>
      <c r="Q2652" s="5" t="s">
        <v>361</v>
      </c>
      <c r="R2652" s="5">
        <v>200000</v>
      </c>
      <c r="S2652" s="5">
        <v>0</v>
      </c>
      <c r="T2652" s="5">
        <v>8000</v>
      </c>
      <c r="U2652" s="5">
        <v>208000</v>
      </c>
      <c r="V2652" s="5" t="s">
        <v>11800</v>
      </c>
      <c r="W2652" s="5" t="s">
        <v>36</v>
      </c>
      <c r="X2652" s="5" t="s">
        <v>204</v>
      </c>
      <c r="AA2652" s="5" t="s">
        <v>44</v>
      </c>
      <c r="AB2652" s="5" t="s">
        <v>11801</v>
      </c>
      <c r="AC2652" s="8" t="str">
        <f>HYPERLINK("https://drive.google.com/file/d/1E8RggKE3BY3_8ogcKLiM6gmF3FrZqw6f/view?usp=drivesdk", "Abrir_Factura")</f>
        <v>Abrir_Factura</v>
      </c>
      <c r="AD2652" s="9">
        <v>46079.469571759262</v>
      </c>
    </row>
    <row r="2653" spans="1:30" ht="12.5">
      <c r="A2653" s="4">
        <v>46079.468432615744</v>
      </c>
      <c r="B2653" s="5">
        <v>92389</v>
      </c>
      <c r="C2653" s="5">
        <v>1140882292</v>
      </c>
      <c r="D2653" s="5" t="s">
        <v>11802</v>
      </c>
      <c r="F2653" s="5" t="s">
        <v>11803</v>
      </c>
      <c r="H2653" s="5">
        <v>573005144626</v>
      </c>
      <c r="J2653" s="5" t="s">
        <v>11804</v>
      </c>
      <c r="K2653" s="5" t="s">
        <v>161</v>
      </c>
      <c r="L2653" s="5" t="s">
        <v>11805</v>
      </c>
      <c r="M2653" s="5"/>
      <c r="N2653" s="6">
        <v>46080</v>
      </c>
      <c r="O2653" s="7">
        <v>0.375</v>
      </c>
      <c r="P2653" s="5">
        <v>1</v>
      </c>
      <c r="Q2653" s="5" t="s">
        <v>613</v>
      </c>
      <c r="R2653" s="5">
        <v>620000</v>
      </c>
      <c r="S2653" s="5">
        <v>0</v>
      </c>
      <c r="T2653" s="5">
        <v>8000</v>
      </c>
      <c r="U2653" s="5">
        <v>628000</v>
      </c>
      <c r="V2653" s="5" t="s">
        <v>11806</v>
      </c>
      <c r="W2653" s="5" t="s">
        <v>36</v>
      </c>
      <c r="X2653" s="5" t="s">
        <v>1481</v>
      </c>
      <c r="AA2653" s="5" t="s">
        <v>69</v>
      </c>
      <c r="AC2653" s="8" t="str">
        <f>HYPERLINK("https://drive.google.com/file/d/1uQ_gBtl_g9VEKR_cSS3BcmZlz2wf9ilz/view?usp=drivesdk", "Abrir_Factura")</f>
        <v>Abrir_Factura</v>
      </c>
      <c r="AD2653" s="9">
        <v>46079.468888888892</v>
      </c>
    </row>
    <row r="2654" spans="1:30" ht="12.5">
      <c r="A2654" s="4">
        <v>46079.481848900468</v>
      </c>
      <c r="B2654" s="5">
        <v>92392</v>
      </c>
      <c r="C2654" s="5">
        <v>32723495</v>
      </c>
      <c r="D2654" s="5" t="s">
        <v>11807</v>
      </c>
      <c r="F2654" s="5" t="s">
        <v>11808</v>
      </c>
      <c r="H2654" s="5">
        <v>573007771043</v>
      </c>
      <c r="J2654" s="5" t="s">
        <v>11809</v>
      </c>
      <c r="K2654" s="5" t="s">
        <v>2263</v>
      </c>
      <c r="L2654" s="5" t="s">
        <v>11810</v>
      </c>
      <c r="M2654" s="5"/>
      <c r="N2654" s="6">
        <v>46081</v>
      </c>
      <c r="O2654" s="7">
        <v>0.375</v>
      </c>
      <c r="P2654" s="5">
        <v>1</v>
      </c>
      <c r="Q2654" s="5" t="s">
        <v>1597</v>
      </c>
      <c r="R2654" s="5">
        <v>450000</v>
      </c>
      <c r="S2654" s="5">
        <v>0</v>
      </c>
      <c r="T2654" s="5">
        <v>17000</v>
      </c>
      <c r="U2654" s="5">
        <v>467000</v>
      </c>
      <c r="V2654" s="5"/>
      <c r="W2654" s="5" t="s">
        <v>36</v>
      </c>
      <c r="X2654" s="5" t="s">
        <v>196</v>
      </c>
      <c r="AA2654" s="5" t="s">
        <v>1717</v>
      </c>
      <c r="AC2654" s="8" t="str">
        <f>HYPERLINK("https://drive.google.com/file/d/1fsLXuVr7gjByJFReXhASuHZH_aw7GjDm/view?usp=drivesdk", "Abrir_Factura")</f>
        <v>Abrir_Factura</v>
      </c>
      <c r="AD2654" s="9">
        <v>46079.482268518521</v>
      </c>
    </row>
    <row r="2655" spans="1:30" ht="12.5">
      <c r="A2655" s="4">
        <v>46079.49511103009</v>
      </c>
      <c r="B2655" s="5">
        <v>92393</v>
      </c>
      <c r="C2655" s="5">
        <v>1044422995</v>
      </c>
      <c r="D2655" s="5" t="s">
        <v>836</v>
      </c>
      <c r="F2655" s="5" t="s">
        <v>382</v>
      </c>
      <c r="H2655" s="5">
        <v>573164978794</v>
      </c>
      <c r="J2655" s="5" t="s">
        <v>11811</v>
      </c>
      <c r="K2655" s="5" t="s">
        <v>4403</v>
      </c>
      <c r="L2655" s="5" t="s">
        <v>8238</v>
      </c>
      <c r="M2655" s="5"/>
      <c r="N2655" s="6">
        <v>46079</v>
      </c>
      <c r="O2655" s="7">
        <v>0.58333333333333337</v>
      </c>
      <c r="P2655" s="5">
        <v>1</v>
      </c>
      <c r="Q2655" s="5" t="s">
        <v>3892</v>
      </c>
      <c r="R2655" s="5">
        <v>300000</v>
      </c>
      <c r="S2655" s="5">
        <v>0</v>
      </c>
      <c r="T2655" s="5">
        <v>20000</v>
      </c>
      <c r="U2655" s="5">
        <v>320000</v>
      </c>
      <c r="V2655" s="5" t="s">
        <v>11812</v>
      </c>
      <c r="W2655" s="5" t="s">
        <v>36</v>
      </c>
      <c r="X2655" s="5" t="s">
        <v>1481</v>
      </c>
      <c r="AA2655" s="5" t="s">
        <v>44</v>
      </c>
      <c r="AC2655" s="8" t="str">
        <f>HYPERLINK("https://drive.google.com/file/d/1cQYSq-YFmLkYwCGpqPvScuzyGbGh8ZTA/view?usp=drivesdk", "Abrir_Factura")</f>
        <v>Abrir_Factura</v>
      </c>
      <c r="AD2655" s="9">
        <v>46079.495833333334</v>
      </c>
    </row>
    <row r="2656" spans="1:30" ht="12.5">
      <c r="A2656" s="4">
        <v>46079.518871342589</v>
      </c>
      <c r="B2656" s="5">
        <v>92394</v>
      </c>
      <c r="C2656" s="5">
        <v>72290003</v>
      </c>
      <c r="D2656" s="5" t="s">
        <v>349</v>
      </c>
      <c r="F2656" s="5" t="s">
        <v>11813</v>
      </c>
      <c r="H2656" s="5">
        <v>573182619183</v>
      </c>
      <c r="J2656" s="5" t="s">
        <v>11814</v>
      </c>
      <c r="K2656" s="5" t="s">
        <v>328</v>
      </c>
      <c r="L2656" s="5" t="s">
        <v>11815</v>
      </c>
      <c r="M2656" s="5"/>
      <c r="N2656" s="6">
        <v>46081</v>
      </c>
      <c r="O2656" s="7">
        <v>0.33333333333333331</v>
      </c>
      <c r="P2656" s="5">
        <v>1</v>
      </c>
      <c r="Q2656" s="5" t="s">
        <v>42</v>
      </c>
      <c r="R2656" s="5">
        <v>150000</v>
      </c>
      <c r="S2656" s="5">
        <v>0</v>
      </c>
      <c r="T2656" s="5">
        <v>15000</v>
      </c>
      <c r="U2656" s="5">
        <v>165000</v>
      </c>
      <c r="V2656" s="5" t="s">
        <v>11816</v>
      </c>
      <c r="W2656" s="5" t="s">
        <v>36</v>
      </c>
      <c r="X2656" s="5" t="s">
        <v>1937</v>
      </c>
      <c r="AA2656" s="5" t="s">
        <v>44</v>
      </c>
      <c r="AC2656" s="8" t="str">
        <f>HYPERLINK("https://drive.google.com/file/d/1hxG2kxbrLXp-R1yQoV4-Z8iGN0g97W_0/view?usp=drivesdk", "Abrir_Factura")</f>
        <v>Abrir_Factura</v>
      </c>
      <c r="AD2656" s="9">
        <v>46079.754189814812</v>
      </c>
    </row>
    <row r="2657" spans="1:30" ht="12.5">
      <c r="A2657" s="4">
        <v>46079.51911868056</v>
      </c>
      <c r="B2657" s="5">
        <v>92395</v>
      </c>
      <c r="C2657" s="5">
        <v>1140882177</v>
      </c>
      <c r="D2657" s="5" t="s">
        <v>1773</v>
      </c>
      <c r="F2657" s="5" t="s">
        <v>8240</v>
      </c>
      <c r="H2657" s="5">
        <v>573205215209</v>
      </c>
      <c r="J2657" s="5" t="s">
        <v>11817</v>
      </c>
      <c r="K2657" s="5" t="s">
        <v>185</v>
      </c>
      <c r="L2657" s="5" t="s">
        <v>11818</v>
      </c>
      <c r="M2657" s="5" t="s">
        <v>25421</v>
      </c>
      <c r="N2657" s="6">
        <v>46079</v>
      </c>
      <c r="O2657" s="7">
        <v>0.58333333333333337</v>
      </c>
      <c r="P2657" s="5">
        <v>1</v>
      </c>
      <c r="Q2657" s="5" t="s">
        <v>2120</v>
      </c>
      <c r="R2657" s="5">
        <v>230000</v>
      </c>
      <c r="S2657" s="5">
        <v>0</v>
      </c>
      <c r="T2657" s="5">
        <v>8000</v>
      </c>
      <c r="U2657" s="5">
        <v>238000</v>
      </c>
      <c r="V2657" s="5" t="s">
        <v>11819</v>
      </c>
      <c r="W2657" s="5" t="s">
        <v>36</v>
      </c>
      <c r="X2657" s="5" t="s">
        <v>1481</v>
      </c>
      <c r="AA2657" s="5" t="s">
        <v>44</v>
      </c>
      <c r="AB2657" s="5" t="s">
        <v>11820</v>
      </c>
      <c r="AC2657" s="8" t="str">
        <f>HYPERLINK("https://drive.google.com/file/d/1IFR7pFixZXHNR4ji2uHx98betMhta6tg/view?usp=drivesdk", "Abrir_Factura")</f>
        <v>Abrir_Factura</v>
      </c>
      <c r="AD2657" s="9">
        <v>46079.554259259261</v>
      </c>
    </row>
    <row r="2658" spans="1:30" ht="12.5">
      <c r="A2658" s="4">
        <v>46079.598777106483</v>
      </c>
      <c r="B2658" s="5">
        <v>92399</v>
      </c>
      <c r="C2658" s="5">
        <v>1002157172</v>
      </c>
      <c r="D2658" s="5" t="s">
        <v>2287</v>
      </c>
      <c r="F2658" s="5" t="s">
        <v>11821</v>
      </c>
      <c r="H2658" s="5">
        <v>573007322901</v>
      </c>
      <c r="J2658" s="5" t="s">
        <v>11822</v>
      </c>
      <c r="K2658" s="5" t="s">
        <v>892</v>
      </c>
      <c r="L2658" s="5" t="s">
        <v>11823</v>
      </c>
      <c r="M2658" s="5" t="s">
        <v>25421</v>
      </c>
      <c r="N2658" s="6">
        <v>46079</v>
      </c>
      <c r="O2658" s="7">
        <v>0</v>
      </c>
      <c r="P2658" s="5">
        <v>1</v>
      </c>
      <c r="Q2658" s="5" t="s">
        <v>335</v>
      </c>
      <c r="R2658" s="5">
        <v>120000</v>
      </c>
      <c r="S2658" s="5">
        <v>0</v>
      </c>
      <c r="T2658" s="5">
        <v>10000</v>
      </c>
      <c r="U2658" s="5">
        <v>130000</v>
      </c>
      <c r="V2658" s="5" t="s">
        <v>11824</v>
      </c>
      <c r="W2658" s="5" t="s">
        <v>36</v>
      </c>
      <c r="X2658" s="5" t="s">
        <v>204</v>
      </c>
      <c r="Z2658" s="5" t="s">
        <v>11825</v>
      </c>
      <c r="AA2658" s="5" t="s">
        <v>44</v>
      </c>
      <c r="AC2658" s="8" t="str">
        <f>HYPERLINK("https://drive.google.com/file/d/1n5e6_i_W6I_2gn5ftWgVPJnx5kur96TX/view?usp=drivesdk", "Abrir_Factura")</f>
        <v>Abrir_Factura</v>
      </c>
      <c r="AD2658" s="9">
        <v>46079.637881944444</v>
      </c>
    </row>
    <row r="2659" spans="1:30" ht="12.5">
      <c r="A2659" s="4">
        <v>46079.613245868051</v>
      </c>
      <c r="B2659" s="5">
        <v>92396</v>
      </c>
      <c r="C2659" s="5">
        <v>1020717079</v>
      </c>
      <c r="D2659" s="5" t="s">
        <v>10762</v>
      </c>
      <c r="F2659" s="5" t="s">
        <v>11826</v>
      </c>
      <c r="H2659" s="5">
        <v>573216437580</v>
      </c>
      <c r="J2659" s="5" t="s">
        <v>11827</v>
      </c>
      <c r="K2659" s="5" t="s">
        <v>11628</v>
      </c>
      <c r="L2659" s="5" t="s">
        <v>11828</v>
      </c>
      <c r="M2659" s="5">
        <v>3008370103</v>
      </c>
      <c r="N2659" s="6">
        <v>46080</v>
      </c>
      <c r="O2659" s="7">
        <v>0.375</v>
      </c>
      <c r="P2659" s="5">
        <v>1</v>
      </c>
      <c r="Q2659" s="5" t="s">
        <v>361</v>
      </c>
      <c r="R2659" s="5">
        <v>200000</v>
      </c>
      <c r="S2659" s="5">
        <v>0</v>
      </c>
      <c r="T2659" s="5">
        <v>12000</v>
      </c>
      <c r="U2659" s="5">
        <v>212000</v>
      </c>
      <c r="V2659" s="5" t="s">
        <v>11829</v>
      </c>
      <c r="W2659" s="5" t="s">
        <v>36</v>
      </c>
      <c r="X2659" s="5" t="s">
        <v>204</v>
      </c>
      <c r="AA2659" s="5" t="s">
        <v>44</v>
      </c>
      <c r="AC2659" s="8" t="str">
        <f>HYPERLINK("https://drive.google.com/file/d/11vYuGJP6tjBHfTnfe30SW6GTdnu8z8zE/view?usp=drivesdk", "Abrir_Factura")</f>
        <v>Abrir_Factura</v>
      </c>
      <c r="AD2659" s="9">
        <v>46079.613819444443</v>
      </c>
    </row>
    <row r="2660" spans="1:30" ht="12.5">
      <c r="A2660" s="4">
        <v>46079.6196331713</v>
      </c>
      <c r="B2660" s="5">
        <v>92397</v>
      </c>
      <c r="C2660" s="5">
        <v>1045726678</v>
      </c>
      <c r="D2660" s="5" t="s">
        <v>11830</v>
      </c>
      <c r="F2660" s="5" t="s">
        <v>11831</v>
      </c>
      <c r="H2660" s="5">
        <v>13058749745</v>
      </c>
      <c r="J2660" s="5" t="s">
        <v>11832</v>
      </c>
      <c r="K2660" s="5" t="s">
        <v>161</v>
      </c>
      <c r="L2660" s="5" t="s">
        <v>11833</v>
      </c>
      <c r="M2660" s="5">
        <v>3205651265</v>
      </c>
      <c r="N2660" s="6">
        <v>46081</v>
      </c>
      <c r="O2660" s="7">
        <v>0.33333333333333331</v>
      </c>
      <c r="P2660" s="5">
        <v>1</v>
      </c>
      <c r="Q2660" s="5" t="s">
        <v>42</v>
      </c>
      <c r="R2660" s="5">
        <v>550000</v>
      </c>
      <c r="S2660" s="5">
        <v>0</v>
      </c>
      <c r="T2660" s="5">
        <v>8000</v>
      </c>
      <c r="U2660" s="5">
        <v>558000</v>
      </c>
      <c r="V2660" s="5" t="s">
        <v>11834</v>
      </c>
      <c r="W2660" s="5" t="s">
        <v>36</v>
      </c>
      <c r="X2660" s="5" t="s">
        <v>1937</v>
      </c>
      <c r="AA2660" s="5" t="s">
        <v>44</v>
      </c>
      <c r="AB2660" s="5" t="s">
        <v>11835</v>
      </c>
      <c r="AC2660" s="8" t="str">
        <f>HYPERLINK("https://drive.google.com/file/d/1v5m0v_jheh2fhGntTdRBLVFkRBCbQwnD/view?usp=drivesdk", "Abrir_Factura")</f>
        <v>Abrir_Factura</v>
      </c>
      <c r="AD2660" s="9">
        <v>46079.620462962965</v>
      </c>
    </row>
    <row r="2661" spans="1:30" ht="12.5">
      <c r="A2661" s="4">
        <v>46079.62586112268</v>
      </c>
      <c r="B2661" s="5">
        <v>92400</v>
      </c>
      <c r="C2661" s="5">
        <v>1024528997</v>
      </c>
      <c r="D2661" s="5" t="s">
        <v>6678</v>
      </c>
      <c r="F2661" s="5" t="s">
        <v>11836</v>
      </c>
      <c r="H2661" s="5">
        <v>573028320446</v>
      </c>
      <c r="J2661" s="5" t="s">
        <v>11837</v>
      </c>
      <c r="K2661" s="5" t="s">
        <v>9002</v>
      </c>
      <c r="L2661" s="5" t="s">
        <v>11838</v>
      </c>
      <c r="M2661" s="5" t="s">
        <v>11839</v>
      </c>
      <c r="N2661" s="6">
        <v>46079</v>
      </c>
      <c r="O2661" s="7">
        <v>0</v>
      </c>
      <c r="P2661" s="5">
        <v>1</v>
      </c>
      <c r="Q2661" s="5" t="s">
        <v>11840</v>
      </c>
      <c r="R2661" s="5">
        <v>65000</v>
      </c>
      <c r="S2661" s="5">
        <v>0</v>
      </c>
      <c r="T2661" s="5">
        <v>16000</v>
      </c>
      <c r="U2661" s="5">
        <v>81000</v>
      </c>
      <c r="V2661" s="5" t="s">
        <v>11841</v>
      </c>
      <c r="W2661" s="5" t="s">
        <v>36</v>
      </c>
      <c r="X2661" s="5" t="s">
        <v>1481</v>
      </c>
      <c r="AA2661" s="5" t="s">
        <v>44</v>
      </c>
      <c r="AB2661" s="5" t="s">
        <v>11842</v>
      </c>
      <c r="AC2661" s="8" t="str">
        <f>HYPERLINK("https://drive.google.com/file/d/1m3-1OZuatGvlwtZKdb_vuJPCa35P8gmt/view?usp=drivesdk", "Abrir_Factura")</f>
        <v>Abrir_Factura</v>
      </c>
      <c r="AD2661" s="9">
        <v>46079.642418981479</v>
      </c>
    </row>
    <row r="2662" spans="1:30" ht="12.5">
      <c r="A2662" s="4">
        <v>46079.628602638884</v>
      </c>
      <c r="B2662" s="5">
        <v>92402</v>
      </c>
      <c r="C2662" s="5">
        <v>1140866510</v>
      </c>
      <c r="D2662" s="5" t="s">
        <v>11843</v>
      </c>
      <c r="F2662" s="5" t="s">
        <v>1796</v>
      </c>
      <c r="H2662" s="5">
        <v>573107226918</v>
      </c>
      <c r="J2662" s="5" t="s">
        <v>11844</v>
      </c>
      <c r="K2662" s="5" t="s">
        <v>73</v>
      </c>
      <c r="L2662" s="5" t="s">
        <v>11845</v>
      </c>
      <c r="M2662" s="5">
        <v>3107226918</v>
      </c>
      <c r="N2662" s="6">
        <v>46079</v>
      </c>
      <c r="O2662" s="7">
        <v>0.66666666666666663</v>
      </c>
      <c r="P2662" s="5">
        <v>1</v>
      </c>
      <c r="Q2662" s="5" t="s">
        <v>309</v>
      </c>
      <c r="R2662" s="5">
        <v>88000</v>
      </c>
      <c r="S2662" s="5">
        <v>0</v>
      </c>
      <c r="T2662" s="5">
        <v>8000</v>
      </c>
      <c r="U2662" s="5">
        <v>96000</v>
      </c>
      <c r="V2662" s="5" t="s">
        <v>11846</v>
      </c>
      <c r="W2662" s="5" t="s">
        <v>36</v>
      </c>
      <c r="X2662" s="5" t="s">
        <v>1937</v>
      </c>
      <c r="Z2662" s="5" t="s">
        <v>11847</v>
      </c>
      <c r="AA2662" s="5" t="s">
        <v>44</v>
      </c>
      <c r="AC2662" s="8" t="str">
        <f>HYPERLINK("https://drive.google.com/file/d/1werzuXtl2RkU4mq8bAJN-ekXdFVC2T00/view?usp=drivesdk", "Abrir_Factura")</f>
        <v>Abrir_Factura</v>
      </c>
      <c r="AD2662" s="9">
        <v>46079.6484837963</v>
      </c>
    </row>
    <row r="2663" spans="1:30" ht="12.5">
      <c r="A2663" s="4">
        <v>46079.634215648148</v>
      </c>
      <c r="B2663" s="5">
        <v>92398</v>
      </c>
      <c r="C2663" s="5">
        <v>1004368175</v>
      </c>
      <c r="D2663" s="5" t="s">
        <v>11848</v>
      </c>
      <c r="F2663" s="5" t="s">
        <v>11849</v>
      </c>
      <c r="H2663" s="5">
        <v>573177383143</v>
      </c>
      <c r="J2663" s="5" t="s">
        <v>11850</v>
      </c>
      <c r="K2663" s="5" t="s">
        <v>33</v>
      </c>
      <c r="L2663" s="5" t="s">
        <v>34</v>
      </c>
      <c r="M2663" s="5">
        <v>3177383143</v>
      </c>
      <c r="N2663" s="6">
        <v>46079</v>
      </c>
      <c r="O2663" s="7">
        <v>0</v>
      </c>
      <c r="P2663" s="5">
        <v>1</v>
      </c>
      <c r="Q2663" s="5" t="s">
        <v>42</v>
      </c>
      <c r="R2663" s="5">
        <v>78000</v>
      </c>
      <c r="S2663" s="5">
        <v>0</v>
      </c>
      <c r="T2663" s="5">
        <v>0</v>
      </c>
      <c r="U2663" s="5">
        <v>78000</v>
      </c>
      <c r="V2663" s="5"/>
      <c r="W2663" s="5" t="s">
        <v>36</v>
      </c>
      <c r="X2663" s="5" t="s">
        <v>1705</v>
      </c>
      <c r="AA2663" s="5" t="s">
        <v>1717</v>
      </c>
      <c r="AB2663" s="5" t="s">
        <v>11851</v>
      </c>
      <c r="AC2663" s="8" t="str">
        <f>HYPERLINK("https://drive.google.com/file/d/1fJ_k63iGaJs_aUJfmCrMWVwYK5iSFH0o/view?usp=drivesdk", "Abrir_Factura")</f>
        <v>Abrir_Factura</v>
      </c>
      <c r="AD2663" s="9">
        <v>46079.634756944448</v>
      </c>
    </row>
    <row r="2664" spans="1:30" ht="12.5">
      <c r="A2664" s="4">
        <v>46079.636366076389</v>
      </c>
      <c r="B2664" s="5">
        <v>92401</v>
      </c>
      <c r="C2664" s="5">
        <v>1007117310</v>
      </c>
      <c r="D2664" s="5" t="s">
        <v>11852</v>
      </c>
      <c r="F2664" s="5" t="s">
        <v>11853</v>
      </c>
      <c r="H2664" s="5">
        <v>573162909330</v>
      </c>
      <c r="J2664" s="5" t="s">
        <v>11854</v>
      </c>
      <c r="K2664" s="5" t="s">
        <v>892</v>
      </c>
      <c r="L2664" s="5" t="s">
        <v>648</v>
      </c>
      <c r="M2664" s="5">
        <v>3244917220</v>
      </c>
      <c r="N2664" s="6">
        <v>46080</v>
      </c>
      <c r="O2664" s="7">
        <v>0.375</v>
      </c>
      <c r="P2664" s="5">
        <v>1</v>
      </c>
      <c r="Q2664" s="5" t="s">
        <v>347</v>
      </c>
      <c r="R2664" s="5">
        <v>250000</v>
      </c>
      <c r="S2664" s="5">
        <v>0</v>
      </c>
      <c r="T2664" s="5">
        <v>10000</v>
      </c>
      <c r="U2664" s="5">
        <v>260000</v>
      </c>
      <c r="V2664" s="5" t="s">
        <v>11855</v>
      </c>
      <c r="W2664" s="5" t="s">
        <v>36</v>
      </c>
      <c r="X2664" s="5" t="s">
        <v>1481</v>
      </c>
      <c r="Z2664" s="5" t="s">
        <v>11856</v>
      </c>
      <c r="AA2664" s="5" t="s">
        <v>44</v>
      </c>
      <c r="AB2664" s="5" t="s">
        <v>10974</v>
      </c>
      <c r="AC2664" s="8" t="str">
        <f>HYPERLINK("https://drive.google.com/file/d/1HwDgmkZm0q8VUma1GJSIQ1rAqD5cVw2B/view?usp=drivesdk", "Abrir_Factura")</f>
        <v>Abrir_Factura</v>
      </c>
      <c r="AD2664" s="9">
        <v>46079.644375000003</v>
      </c>
    </row>
    <row r="2665" spans="1:30" ht="12.5">
      <c r="A2665" s="4">
        <v>46079.652330532408</v>
      </c>
      <c r="B2665" s="5">
        <v>92403</v>
      </c>
      <c r="C2665" s="5">
        <v>1085326689</v>
      </c>
      <c r="D2665" s="5" t="s">
        <v>1051</v>
      </c>
      <c r="F2665" s="5" t="s">
        <v>11857</v>
      </c>
      <c r="H2665" s="5">
        <v>573006962626</v>
      </c>
      <c r="J2665" s="5" t="s">
        <v>11858</v>
      </c>
      <c r="K2665" s="5" t="s">
        <v>110</v>
      </c>
      <c r="L2665" s="5" t="s">
        <v>11859</v>
      </c>
      <c r="M2665" s="5">
        <v>3114330476</v>
      </c>
      <c r="N2665" s="6">
        <v>46079</v>
      </c>
      <c r="O2665" s="7">
        <v>0.66666666666666663</v>
      </c>
      <c r="P2665" s="5">
        <v>1</v>
      </c>
      <c r="Q2665" s="5" t="s">
        <v>435</v>
      </c>
      <c r="R2665" s="5">
        <v>65000</v>
      </c>
      <c r="S2665" s="5">
        <v>0</v>
      </c>
      <c r="T2665" s="5">
        <v>6000</v>
      </c>
      <c r="U2665" s="5">
        <v>71000</v>
      </c>
      <c r="V2665" s="5" t="s">
        <v>11860</v>
      </c>
      <c r="W2665" s="5" t="s">
        <v>36</v>
      </c>
      <c r="X2665" s="5" t="s">
        <v>1481</v>
      </c>
      <c r="Z2665" s="5" t="s">
        <v>11861</v>
      </c>
      <c r="AA2665" s="5" t="s">
        <v>44</v>
      </c>
      <c r="AB2665" s="5" t="s">
        <v>11862</v>
      </c>
      <c r="AC2665" s="8" t="str">
        <f>HYPERLINK("https://drive.google.com/file/d/1oXe9Eu5egAs8dvcsU5FXHloNJT1FiEO8/view?usp=drivesdk", "Abrir_Factura")</f>
        <v>Abrir_Factura</v>
      </c>
      <c r="AD2665" s="9">
        <v>46079.659085648149</v>
      </c>
    </row>
    <row r="2666" spans="1:30" ht="12.5">
      <c r="A2666" s="4">
        <v>46079.656290682869</v>
      </c>
      <c r="B2666" s="5">
        <v>92405</v>
      </c>
      <c r="C2666" s="5">
        <v>8731554</v>
      </c>
      <c r="D2666" s="5" t="s">
        <v>11863</v>
      </c>
      <c r="F2666" s="5" t="s">
        <v>11864</v>
      </c>
      <c r="H2666" s="5">
        <v>573008156363</v>
      </c>
      <c r="J2666" s="5" t="s">
        <v>11865</v>
      </c>
      <c r="K2666" s="5" t="s">
        <v>161</v>
      </c>
      <c r="L2666" s="5" t="s">
        <v>11866</v>
      </c>
      <c r="M2666" s="5">
        <v>3103588773</v>
      </c>
      <c r="N2666" s="6">
        <v>46079</v>
      </c>
      <c r="O2666" s="7">
        <v>0.66666666666666663</v>
      </c>
      <c r="P2666" s="5">
        <v>1</v>
      </c>
      <c r="Q2666" s="5" t="s">
        <v>375</v>
      </c>
      <c r="R2666" s="5">
        <v>80000</v>
      </c>
      <c r="S2666" s="5">
        <v>0</v>
      </c>
      <c r="T2666" s="5">
        <v>8000</v>
      </c>
      <c r="U2666" s="5">
        <v>88000</v>
      </c>
      <c r="V2666" s="5" t="s">
        <v>11867</v>
      </c>
      <c r="W2666" s="5" t="s">
        <v>36</v>
      </c>
      <c r="X2666" s="5" t="s">
        <v>1481</v>
      </c>
      <c r="AA2666" s="5" t="s">
        <v>44</v>
      </c>
      <c r="AC2666" s="8" t="str">
        <f>HYPERLINK("https://drive.google.com/file/d/1itgVKe0su7N95KDPKgNFifUQpnlb1Kfc/view?usp=drivesdk", "Abrir_Factura")</f>
        <v>Abrir_Factura</v>
      </c>
      <c r="AD2666" s="9">
        <v>46079.664456018516</v>
      </c>
    </row>
    <row r="2667" spans="1:30" ht="12.5">
      <c r="A2667" s="4">
        <v>46079.692918784727</v>
      </c>
      <c r="B2667" s="5">
        <v>92406</v>
      </c>
      <c r="C2667" s="5">
        <v>1006185624</v>
      </c>
      <c r="D2667" s="5" t="s">
        <v>9461</v>
      </c>
      <c r="F2667" s="5" t="s">
        <v>11868</v>
      </c>
      <c r="H2667" s="5">
        <v>573002784268</v>
      </c>
      <c r="J2667" s="5" t="s">
        <v>11869</v>
      </c>
      <c r="K2667" s="5" t="s">
        <v>33</v>
      </c>
      <c r="L2667" s="5" t="s">
        <v>34</v>
      </c>
      <c r="M2667" s="5">
        <v>3002784268</v>
      </c>
      <c r="N2667" s="6">
        <v>46079</v>
      </c>
      <c r="O2667" s="7">
        <v>0</v>
      </c>
      <c r="P2667" s="5">
        <v>1</v>
      </c>
      <c r="Q2667" s="5" t="s">
        <v>75</v>
      </c>
      <c r="R2667" s="5">
        <v>80000</v>
      </c>
      <c r="S2667" s="5">
        <v>0</v>
      </c>
      <c r="T2667" s="5">
        <v>0</v>
      </c>
      <c r="U2667" s="5">
        <v>80000</v>
      </c>
      <c r="V2667" s="5"/>
      <c r="W2667" s="5" t="s">
        <v>36</v>
      </c>
      <c r="X2667" s="5" t="s">
        <v>37</v>
      </c>
      <c r="AA2667" s="5" t="s">
        <v>37</v>
      </c>
      <c r="AC2667" s="8" t="str">
        <f>HYPERLINK("https://drive.google.com/file/d/1PSnAVxAvhgxx-Y2RxY0pBi8ILRV-iNRZ/view?usp=drivesdk", "Abrir_Factura")</f>
        <v>Abrir_Factura</v>
      </c>
      <c r="AD2667" s="9">
        <v>46079.693344907406</v>
      </c>
    </row>
    <row r="2668" spans="1:30" ht="12.5">
      <c r="A2668" s="4">
        <v>46079.694091516205</v>
      </c>
      <c r="B2668" s="5">
        <v>92410</v>
      </c>
      <c r="C2668" s="5">
        <v>890102129</v>
      </c>
      <c r="D2668" s="5" t="s">
        <v>11870</v>
      </c>
      <c r="F2668" s="5" t="s">
        <v>2407</v>
      </c>
      <c r="H2668" s="5">
        <v>573003521368</v>
      </c>
      <c r="J2668" s="5" t="s">
        <v>11871</v>
      </c>
      <c r="K2668" s="5" t="s">
        <v>265</v>
      </c>
      <c r="L2668" s="5" t="s">
        <v>11872</v>
      </c>
      <c r="M2668" s="5">
        <v>3024438151</v>
      </c>
      <c r="N2668" s="6">
        <v>46080</v>
      </c>
      <c r="O2668" s="7">
        <v>0.41666666666666669</v>
      </c>
      <c r="P2668" s="5">
        <v>1</v>
      </c>
      <c r="Q2668" s="5" t="s">
        <v>1792</v>
      </c>
      <c r="R2668" s="5">
        <v>160000</v>
      </c>
      <c r="S2668" s="5">
        <v>30400</v>
      </c>
      <c r="T2668" s="5">
        <v>17000</v>
      </c>
      <c r="U2668" s="5">
        <v>207400</v>
      </c>
      <c r="V2668" s="5" t="s">
        <v>11873</v>
      </c>
      <c r="W2668" s="5" t="s">
        <v>36</v>
      </c>
      <c r="X2668" s="5" t="s">
        <v>1937</v>
      </c>
      <c r="AA2668" s="5" t="s">
        <v>44</v>
      </c>
      <c r="AB2668" s="5" t="s">
        <v>11874</v>
      </c>
      <c r="AC2668" s="8" t="str">
        <f>HYPERLINK("https://drive.google.com/file/d/1WpzwptjBczCVWbyZbL2lSAbZGxafxrRw/view?usp=drivesdk", "Abrir_Factura")</f>
        <v>Abrir_Factura</v>
      </c>
      <c r="AD2668" s="9">
        <v>46079.722326388888</v>
      </c>
    </row>
    <row r="2669" spans="1:30" ht="12.5">
      <c r="A2669" s="4">
        <v>46079.702832002316</v>
      </c>
      <c r="B2669" s="5">
        <v>92407</v>
      </c>
      <c r="C2669" s="5">
        <v>32710775</v>
      </c>
      <c r="D2669" s="5" t="s">
        <v>11875</v>
      </c>
      <c r="F2669" s="5" t="s">
        <v>10064</v>
      </c>
      <c r="H2669" s="5">
        <v>573106046492</v>
      </c>
      <c r="J2669" s="5" t="s">
        <v>11875</v>
      </c>
      <c r="K2669" s="5" t="s">
        <v>110</v>
      </c>
      <c r="L2669" s="5" t="s">
        <v>11876</v>
      </c>
      <c r="M2669" s="5">
        <v>3106046492</v>
      </c>
      <c r="N2669" s="6">
        <v>46080</v>
      </c>
      <c r="O2669" s="7">
        <v>0.39583333333333331</v>
      </c>
      <c r="P2669" s="5">
        <v>1</v>
      </c>
      <c r="Q2669" s="5" t="s">
        <v>11877</v>
      </c>
      <c r="R2669" s="5">
        <v>320000</v>
      </c>
      <c r="S2669" s="5">
        <v>0</v>
      </c>
      <c r="T2669" s="5">
        <v>6000</v>
      </c>
      <c r="U2669" s="5">
        <v>326000</v>
      </c>
      <c r="V2669" s="5"/>
      <c r="W2669" s="5" t="s">
        <v>36</v>
      </c>
      <c r="X2669" s="5" t="s">
        <v>1705</v>
      </c>
      <c r="AA2669" s="5" t="s">
        <v>1717</v>
      </c>
      <c r="AC2669" s="8" t="str">
        <f>HYPERLINK("https://drive.google.com/file/d/1UGDeAWOozrqT7Rbt2yBHD8mOqtVULUVW/view?usp=drivesdk", "Abrir_Factura")</f>
        <v>Abrir_Factura</v>
      </c>
      <c r="AD2669" s="9">
        <v>46079.710613425923</v>
      </c>
    </row>
    <row r="2670" spans="1:30" ht="12.5">
      <c r="A2670" s="4">
        <v>46079.709824178237</v>
      </c>
      <c r="B2670" s="5">
        <v>92408</v>
      </c>
      <c r="C2670" s="5">
        <v>72290769</v>
      </c>
      <c r="D2670" s="5" t="s">
        <v>11878</v>
      </c>
      <c r="F2670" s="5" t="s">
        <v>11879</v>
      </c>
      <c r="H2670" s="5">
        <v>573044258786</v>
      </c>
      <c r="J2670" s="5" t="s">
        <v>11880</v>
      </c>
      <c r="K2670" s="5" t="s">
        <v>63</v>
      </c>
      <c r="L2670" s="5" t="s">
        <v>11881</v>
      </c>
      <c r="M2670" s="5"/>
      <c r="N2670" s="6">
        <v>46079</v>
      </c>
      <c r="O2670" s="7">
        <v>0.75</v>
      </c>
      <c r="P2670" s="5">
        <v>1</v>
      </c>
      <c r="Q2670" s="5" t="s">
        <v>178</v>
      </c>
      <c r="R2670" s="5">
        <v>110000</v>
      </c>
      <c r="S2670" s="5">
        <v>0</v>
      </c>
      <c r="T2670" s="5">
        <v>17000</v>
      </c>
      <c r="U2670" s="5">
        <v>127000</v>
      </c>
      <c r="V2670" s="5" t="s">
        <v>11882</v>
      </c>
      <c r="W2670" s="5" t="s">
        <v>36</v>
      </c>
      <c r="X2670" s="5" t="s">
        <v>1481</v>
      </c>
      <c r="AA2670" s="5" t="s">
        <v>44</v>
      </c>
      <c r="AC2670" s="8" t="str">
        <f>HYPERLINK("https://drive.google.com/file/d/11uXEfuj-rdEzquz1_y_PFp_tluVoAXil/view?usp=drivesdk", "Abrir_Factura")</f>
        <v>Abrir_Factura</v>
      </c>
      <c r="AD2670" s="9">
        <v>46079.711736111109</v>
      </c>
    </row>
    <row r="2671" spans="1:30" ht="12.5">
      <c r="A2671" s="4">
        <v>46079.712380081022</v>
      </c>
      <c r="B2671" s="5">
        <v>92409</v>
      </c>
      <c r="C2671" s="5">
        <v>72357748</v>
      </c>
      <c r="D2671" s="5" t="s">
        <v>4367</v>
      </c>
      <c r="F2671" s="5" t="s">
        <v>3020</v>
      </c>
      <c r="H2671" s="5">
        <v>573008163729</v>
      </c>
      <c r="J2671" s="5" t="s">
        <v>11883</v>
      </c>
      <c r="K2671" s="5" t="s">
        <v>185</v>
      </c>
      <c r="L2671" s="5" t="s">
        <v>11884</v>
      </c>
      <c r="M2671" s="5">
        <v>3126600334</v>
      </c>
      <c r="N2671" s="6">
        <v>46079</v>
      </c>
      <c r="O2671" s="7">
        <v>0.75</v>
      </c>
      <c r="P2671" s="5">
        <v>1</v>
      </c>
      <c r="Q2671" s="5" t="s">
        <v>81</v>
      </c>
      <c r="R2671" s="5">
        <v>410000</v>
      </c>
      <c r="S2671" s="5">
        <v>0</v>
      </c>
      <c r="T2671" s="5">
        <v>8000</v>
      </c>
      <c r="U2671" s="5">
        <v>418000</v>
      </c>
      <c r="V2671" s="5" t="s">
        <v>11885</v>
      </c>
      <c r="W2671" s="5" t="s">
        <v>36</v>
      </c>
      <c r="X2671" s="5" t="s">
        <v>67</v>
      </c>
      <c r="Z2671" s="5" t="s">
        <v>11886</v>
      </c>
      <c r="AA2671" s="5" t="s">
        <v>44</v>
      </c>
      <c r="AC2671" s="8" t="str">
        <f>HYPERLINK("https://drive.google.com/file/d/1b8Ay6GE45wNOI1U-NN0CZaXHy7mGzjc_/view?usp=drivesdk", "Abrir_Factura")</f>
        <v>Abrir_Factura</v>
      </c>
      <c r="AD2671" s="9">
        <v>46079.716365740744</v>
      </c>
    </row>
    <row r="2672" spans="1:30" ht="12.5">
      <c r="A2672" s="4">
        <v>46079.741728194444</v>
      </c>
      <c r="B2672" s="5">
        <v>92411</v>
      </c>
      <c r="C2672" s="5">
        <v>55150847</v>
      </c>
      <c r="D2672" s="5" t="s">
        <v>8150</v>
      </c>
      <c r="F2672" s="5" t="s">
        <v>8151</v>
      </c>
      <c r="H2672" s="5">
        <v>573102709637</v>
      </c>
      <c r="J2672" s="5" t="s">
        <v>8152</v>
      </c>
      <c r="K2672" s="5" t="s">
        <v>33</v>
      </c>
      <c r="L2672" s="5" t="s">
        <v>34</v>
      </c>
      <c r="M2672" s="5">
        <v>3102709637</v>
      </c>
      <c r="N2672" s="6">
        <v>46079</v>
      </c>
      <c r="O2672" s="7">
        <v>0</v>
      </c>
      <c r="P2672" s="5">
        <v>1</v>
      </c>
      <c r="Q2672" s="5" t="s">
        <v>42</v>
      </c>
      <c r="R2672" s="5">
        <v>45000</v>
      </c>
      <c r="S2672" s="5">
        <v>0</v>
      </c>
      <c r="T2672" s="5">
        <v>0</v>
      </c>
      <c r="U2672" s="5">
        <v>45000</v>
      </c>
      <c r="V2672" s="5"/>
      <c r="W2672" s="5" t="s">
        <v>36</v>
      </c>
      <c r="X2672" s="5" t="s">
        <v>1705</v>
      </c>
      <c r="AA2672" s="5" t="s">
        <v>1717</v>
      </c>
      <c r="AC2672" s="8" t="str">
        <f>HYPERLINK("https://drive.google.com/file/d/1W_JwMtNeblBGJcNxRLheagQ25YCPgXFX/view?usp=drivesdk", "Abrir_Factura")</f>
        <v>Abrir_Factura</v>
      </c>
      <c r="AD2672" s="9">
        <v>46079.742326388892</v>
      </c>
    </row>
    <row r="2673" spans="1:30" ht="12.5">
      <c r="A2673" s="4">
        <v>46079.752133090282</v>
      </c>
      <c r="B2673" s="5">
        <v>92415</v>
      </c>
      <c r="C2673" s="5">
        <v>1143264438</v>
      </c>
      <c r="D2673" s="5" t="s">
        <v>11887</v>
      </c>
      <c r="F2673" s="5" t="s">
        <v>11888</v>
      </c>
      <c r="H2673" s="5">
        <v>573022581676</v>
      </c>
      <c r="J2673" s="5" t="s">
        <v>11889</v>
      </c>
      <c r="K2673" s="5" t="s">
        <v>73</v>
      </c>
      <c r="L2673" s="5" t="s">
        <v>11890</v>
      </c>
      <c r="M2673" s="5">
        <v>3022581676</v>
      </c>
      <c r="N2673" s="6">
        <v>46080</v>
      </c>
      <c r="O2673" s="7">
        <v>0.39583333333333331</v>
      </c>
      <c r="P2673" s="5">
        <v>2</v>
      </c>
      <c r="Q2673" s="5" t="s">
        <v>11891</v>
      </c>
      <c r="R2673" s="5">
        <v>160000</v>
      </c>
      <c r="S2673" s="5">
        <v>0</v>
      </c>
      <c r="T2673" s="5">
        <v>8000</v>
      </c>
      <c r="U2673" s="5">
        <v>168000</v>
      </c>
      <c r="V2673" s="5" t="s">
        <v>171</v>
      </c>
      <c r="W2673" s="5" t="s">
        <v>36</v>
      </c>
      <c r="X2673" s="5" t="s">
        <v>67</v>
      </c>
      <c r="Z2673" s="5" t="s">
        <v>2113</v>
      </c>
      <c r="AA2673" s="5" t="s">
        <v>44</v>
      </c>
      <c r="AB2673" s="5" t="s">
        <v>11892</v>
      </c>
      <c r="AC2673" s="8" t="str">
        <f>HYPERLINK("https://drive.google.com/file/d/1S5XqY4yv9alQmW8TtIlSre_Hmd-gG7q2/view?usp=drivesdk", "Abrir_Factura")</f>
        <v>Abrir_Factura</v>
      </c>
      <c r="AD2673" s="9">
        <v>46079.781157407408</v>
      </c>
    </row>
    <row r="2674" spans="1:30" ht="12.5">
      <c r="A2674" s="4">
        <v>46079.755547465276</v>
      </c>
      <c r="B2674" s="5">
        <v>92412</v>
      </c>
      <c r="C2674" s="5">
        <v>1001820580</v>
      </c>
      <c r="D2674" s="5" t="s">
        <v>5182</v>
      </c>
      <c r="F2674" s="5" t="s">
        <v>8365</v>
      </c>
      <c r="H2674" s="5">
        <v>5700000</v>
      </c>
      <c r="J2674" s="5" t="s">
        <v>8366</v>
      </c>
      <c r="K2674" s="5" t="s">
        <v>33</v>
      </c>
      <c r="L2674" s="5" t="s">
        <v>34</v>
      </c>
      <c r="M2674" s="5"/>
      <c r="N2674" s="6">
        <v>46079</v>
      </c>
      <c r="O2674" s="7">
        <v>0</v>
      </c>
      <c r="P2674" s="5">
        <v>1</v>
      </c>
      <c r="Q2674" s="5" t="s">
        <v>42</v>
      </c>
      <c r="R2674" s="5">
        <v>80000</v>
      </c>
      <c r="S2674" s="5">
        <v>0</v>
      </c>
      <c r="T2674" s="5">
        <v>0</v>
      </c>
      <c r="U2674" s="5">
        <v>80000</v>
      </c>
      <c r="V2674" s="5"/>
      <c r="W2674" s="5" t="s">
        <v>36</v>
      </c>
      <c r="X2674" s="5" t="s">
        <v>1705</v>
      </c>
      <c r="AA2674" s="5" t="s">
        <v>1717</v>
      </c>
      <c r="AC2674" s="8" t="str">
        <f>HYPERLINK("https://drive.google.com/file/d/1KBDbXxHgWccrCckzh8xFHXCx7eNVPSCv/view?usp=drivesdk", "Abrir_Factura")</f>
        <v>Abrir_Factura</v>
      </c>
      <c r="AD2674" s="9">
        <v>46079.757222222222</v>
      </c>
    </row>
    <row r="2675" spans="1:30" ht="12.5">
      <c r="A2675" s="4">
        <v>46079.75628799769</v>
      </c>
      <c r="B2675" s="5">
        <v>92413</v>
      </c>
      <c r="C2675" s="5">
        <v>112977077</v>
      </c>
      <c r="D2675" s="5" t="s">
        <v>11893</v>
      </c>
      <c r="F2675" s="5" t="s">
        <v>1543</v>
      </c>
      <c r="H2675" s="5">
        <v>570000</v>
      </c>
      <c r="J2675" s="5" t="s">
        <v>11894</v>
      </c>
      <c r="K2675" s="5" t="s">
        <v>33</v>
      </c>
      <c r="L2675" s="5" t="s">
        <v>34</v>
      </c>
      <c r="M2675" s="5">
        <v>0</v>
      </c>
      <c r="N2675" s="6">
        <v>46079</v>
      </c>
      <c r="O2675" s="7">
        <v>0</v>
      </c>
      <c r="P2675" s="5">
        <v>1</v>
      </c>
      <c r="Q2675" s="5" t="s">
        <v>42</v>
      </c>
      <c r="R2675" s="5">
        <v>25000</v>
      </c>
      <c r="S2675" s="5">
        <v>0</v>
      </c>
      <c r="T2675" s="5">
        <v>0</v>
      </c>
      <c r="U2675" s="5">
        <v>25000</v>
      </c>
      <c r="V2675" s="5"/>
      <c r="W2675" s="5" t="s">
        <v>36</v>
      </c>
      <c r="X2675" s="5" t="s">
        <v>1705</v>
      </c>
      <c r="AA2675" s="5" t="s">
        <v>1717</v>
      </c>
      <c r="AC2675" s="8" t="str">
        <f>HYPERLINK("https://drive.google.com/file/d/1WokzhBW9WJaskU74YmkQMnWM510tO38q/view?usp=drivesdk", "Abrir_Factura")</f>
        <v>Abrir_Factura</v>
      </c>
      <c r="AD2675" s="9">
        <v>46079.757650462961</v>
      </c>
    </row>
    <row r="2676" spans="1:30" ht="12.5">
      <c r="A2676" s="4">
        <v>46079.756763599536</v>
      </c>
      <c r="B2676" s="5">
        <v>92414</v>
      </c>
      <c r="C2676" s="5">
        <v>0</v>
      </c>
      <c r="D2676" s="5" t="s">
        <v>10647</v>
      </c>
      <c r="F2676" s="5" t="s">
        <v>5393</v>
      </c>
      <c r="H2676" s="5">
        <v>570000</v>
      </c>
      <c r="J2676" s="5" t="s">
        <v>11895</v>
      </c>
      <c r="K2676" s="5" t="s">
        <v>33</v>
      </c>
      <c r="L2676" s="5" t="s">
        <v>34</v>
      </c>
      <c r="M2676" s="5">
        <v>0</v>
      </c>
      <c r="N2676" s="6">
        <v>46079</v>
      </c>
      <c r="O2676" s="7">
        <v>0</v>
      </c>
      <c r="P2676" s="5">
        <v>1</v>
      </c>
      <c r="Q2676" s="5" t="s">
        <v>42</v>
      </c>
      <c r="R2676" s="5">
        <v>35000</v>
      </c>
      <c r="S2676" s="5">
        <v>0</v>
      </c>
      <c r="T2676" s="5">
        <v>0</v>
      </c>
      <c r="U2676" s="5">
        <v>35000</v>
      </c>
      <c r="V2676" s="5"/>
      <c r="W2676" s="5" t="s">
        <v>36</v>
      </c>
      <c r="X2676" s="5" t="s">
        <v>1481</v>
      </c>
      <c r="AA2676" s="5" t="s">
        <v>1717</v>
      </c>
      <c r="AC2676" s="8" t="str">
        <f>HYPERLINK("https://drive.google.com/file/d/1UvNb85x-nytSUOH2kF4MklDzvq8b0Wnq/view?usp=drivesdk", "Abrir_Factura")</f>
        <v>Abrir_Factura</v>
      </c>
      <c r="AD2676" s="9">
        <v>46079.758391203701</v>
      </c>
    </row>
    <row r="2677" spans="1:30" ht="12.5">
      <c r="A2677" s="4">
        <v>46079.788602604167</v>
      </c>
      <c r="B2677" s="5">
        <v>92417</v>
      </c>
      <c r="C2677" s="5">
        <v>1140829239</v>
      </c>
      <c r="D2677" s="5" t="s">
        <v>1216</v>
      </c>
      <c r="F2677" s="5" t="s">
        <v>1217</v>
      </c>
      <c r="H2677" s="5">
        <v>573174293590</v>
      </c>
      <c r="J2677" s="5" t="s">
        <v>11896</v>
      </c>
      <c r="K2677" s="5" t="s">
        <v>73</v>
      </c>
      <c r="L2677" s="5" t="s">
        <v>11897</v>
      </c>
      <c r="M2677" s="5" t="s">
        <v>25421</v>
      </c>
      <c r="N2677" s="6">
        <v>46079</v>
      </c>
      <c r="O2677" s="7">
        <v>0.41666666666666669</v>
      </c>
      <c r="P2677" s="5">
        <v>1</v>
      </c>
      <c r="Q2677" s="5" t="s">
        <v>422</v>
      </c>
      <c r="R2677" s="5">
        <v>150000</v>
      </c>
      <c r="S2677" s="5">
        <v>0</v>
      </c>
      <c r="T2677" s="5">
        <v>8000</v>
      </c>
      <c r="U2677" s="5">
        <v>158000</v>
      </c>
      <c r="V2677" s="5" t="s">
        <v>11898</v>
      </c>
      <c r="W2677" s="5" t="s">
        <v>36</v>
      </c>
      <c r="X2677" s="5" t="s">
        <v>67</v>
      </c>
      <c r="AA2677" s="5" t="s">
        <v>44</v>
      </c>
      <c r="AC2677" s="8" t="str">
        <f>HYPERLINK("https://drive.google.com/file/d/18ZamOJIg5avWuH9xdITHonY76eKEUCXz/view?usp=drivesdk", "Abrir_Factura")</f>
        <v>Abrir_Factura</v>
      </c>
      <c r="AD2677" s="9">
        <v>46080.32576388889</v>
      </c>
    </row>
    <row r="2678" spans="1:30" ht="12.5">
      <c r="A2678" s="4">
        <v>46080.298415081023</v>
      </c>
      <c r="B2678" s="5">
        <v>92416</v>
      </c>
      <c r="C2678" s="5">
        <v>1136882695</v>
      </c>
      <c r="D2678" s="5" t="s">
        <v>11899</v>
      </c>
      <c r="F2678" s="5" t="s">
        <v>11900</v>
      </c>
      <c r="H2678" s="5">
        <v>573158154659</v>
      </c>
      <c r="J2678" s="5" t="s">
        <v>11901</v>
      </c>
      <c r="K2678" s="5" t="s">
        <v>154</v>
      </c>
      <c r="L2678" s="5" t="s">
        <v>11902</v>
      </c>
      <c r="M2678" s="5">
        <v>3158154659</v>
      </c>
      <c r="N2678" s="6">
        <v>46080</v>
      </c>
      <c r="O2678" s="7">
        <v>0.41666666666666669</v>
      </c>
      <c r="P2678" s="5">
        <v>1</v>
      </c>
      <c r="Q2678" s="5" t="s">
        <v>384</v>
      </c>
      <c r="R2678" s="5">
        <v>200000</v>
      </c>
      <c r="S2678" s="5">
        <v>0</v>
      </c>
      <c r="T2678" s="5">
        <v>8000</v>
      </c>
      <c r="U2678" s="5">
        <v>208000</v>
      </c>
      <c r="V2678" s="5" t="s">
        <v>11903</v>
      </c>
      <c r="W2678" s="5" t="s">
        <v>36</v>
      </c>
      <c r="X2678" s="5" t="s">
        <v>67</v>
      </c>
      <c r="Z2678" s="5" t="s">
        <v>11904</v>
      </c>
      <c r="AA2678" s="5" t="s">
        <v>44</v>
      </c>
      <c r="AC2678" s="8" t="str">
        <f>HYPERLINK("https://drive.google.com/file/d/1aBio8ZwyWdoHrSwwiJonjJIMG9qBok0l/view?usp=drivesdk", "Abrir_Factura")</f>
        <v>Abrir_Factura</v>
      </c>
      <c r="AD2678" s="9">
        <v>46080.317499999997</v>
      </c>
    </row>
    <row r="2679" spans="1:30" ht="12.5">
      <c r="A2679" s="4">
        <v>46080.322114571754</v>
      </c>
      <c r="B2679" s="5">
        <v>92419</v>
      </c>
      <c r="C2679" s="5">
        <v>1001787801</v>
      </c>
      <c r="D2679" s="5" t="s">
        <v>5128</v>
      </c>
      <c r="F2679" s="5" t="s">
        <v>11905</v>
      </c>
      <c r="H2679" s="5">
        <v>573226321850</v>
      </c>
      <c r="J2679" s="5" t="s">
        <v>11906</v>
      </c>
      <c r="K2679" s="5" t="s">
        <v>11907</v>
      </c>
      <c r="L2679" s="5" t="s">
        <v>11908</v>
      </c>
      <c r="M2679" s="5">
        <v>3128307494</v>
      </c>
      <c r="N2679" s="6">
        <v>46080</v>
      </c>
      <c r="O2679" s="7">
        <v>0.41666666666666669</v>
      </c>
      <c r="P2679" s="5">
        <v>1</v>
      </c>
      <c r="Q2679" s="5" t="s">
        <v>178</v>
      </c>
      <c r="R2679" s="5">
        <v>112000</v>
      </c>
      <c r="S2679" s="5">
        <v>0</v>
      </c>
      <c r="T2679" s="5">
        <v>18000</v>
      </c>
      <c r="U2679" s="5">
        <v>130000</v>
      </c>
      <c r="V2679" s="5" t="s">
        <v>11909</v>
      </c>
      <c r="W2679" s="5" t="s">
        <v>36</v>
      </c>
      <c r="X2679" s="5" t="s">
        <v>67</v>
      </c>
      <c r="Z2679" s="5" t="s">
        <v>11910</v>
      </c>
      <c r="AA2679" s="5" t="s">
        <v>44</v>
      </c>
      <c r="AC2679" s="8" t="str">
        <f>HYPERLINK("https://drive.google.com/file/d/1N4tX0j-CyCbCWQ8WlwK3qJOgZ27F5iCm/view?usp=drivesdk", "Abrir_Factura")</f>
        <v>Abrir_Factura</v>
      </c>
      <c r="AD2679" s="9">
        <v>46080.712418981479</v>
      </c>
    </row>
    <row r="2680" spans="1:30" ht="12.5">
      <c r="A2680" s="4">
        <v>46080.327364722223</v>
      </c>
      <c r="B2680" s="5">
        <v>92420</v>
      </c>
      <c r="C2680" s="5">
        <v>1234088076</v>
      </c>
      <c r="D2680" s="5" t="s">
        <v>2701</v>
      </c>
      <c r="F2680" s="5" t="s">
        <v>10938</v>
      </c>
      <c r="H2680" s="5">
        <v>573128460586</v>
      </c>
      <c r="J2680" s="5" t="s">
        <v>11911</v>
      </c>
      <c r="K2680" s="5" t="s">
        <v>2865</v>
      </c>
      <c r="L2680" s="5" t="s">
        <v>11912</v>
      </c>
      <c r="M2680" s="5">
        <v>3157008858</v>
      </c>
      <c r="N2680" s="6">
        <v>46081</v>
      </c>
      <c r="O2680" s="7">
        <v>0.34166666666666667</v>
      </c>
      <c r="P2680" s="5">
        <v>1</v>
      </c>
      <c r="Q2680" s="5" t="s">
        <v>178</v>
      </c>
      <c r="R2680" s="5">
        <v>110000</v>
      </c>
      <c r="S2680" s="5">
        <v>0</v>
      </c>
      <c r="T2680" s="5">
        <v>12000</v>
      </c>
      <c r="U2680" s="5">
        <v>122000</v>
      </c>
      <c r="V2680" s="5" t="s">
        <v>11913</v>
      </c>
      <c r="W2680" s="5" t="s">
        <v>36</v>
      </c>
      <c r="X2680" s="5" t="s">
        <v>67</v>
      </c>
      <c r="Z2680" s="5" t="s">
        <v>11914</v>
      </c>
      <c r="AA2680" s="5" t="s">
        <v>44</v>
      </c>
      <c r="AB2680" s="5" t="s">
        <v>11915</v>
      </c>
      <c r="AC2680" s="8" t="str">
        <f>HYPERLINK("https://drive.google.com/file/d/1pj7KEh84LL9_MXzN2BCt-t5GT5OSK3N8/view?usp=drivesdk", "Abrir_Factura")</f>
        <v>Abrir_Factura</v>
      </c>
      <c r="AD2680" s="9">
        <v>46081.500023148146</v>
      </c>
    </row>
    <row r="2681" spans="1:30" ht="12.5">
      <c r="A2681" s="4">
        <v>46080.328536354165</v>
      </c>
      <c r="B2681" s="5">
        <v>92418</v>
      </c>
      <c r="C2681" s="5">
        <v>60398779</v>
      </c>
      <c r="D2681" s="5" t="s">
        <v>3174</v>
      </c>
      <c r="F2681" s="5" t="s">
        <v>11916</v>
      </c>
      <c r="H2681" s="5">
        <v>573002557648</v>
      </c>
      <c r="J2681" s="5" t="s">
        <v>11917</v>
      </c>
      <c r="K2681" s="5" t="s">
        <v>33</v>
      </c>
      <c r="L2681" s="5" t="s">
        <v>34</v>
      </c>
      <c r="M2681" s="5">
        <v>3002557648</v>
      </c>
      <c r="N2681" s="6">
        <v>46080</v>
      </c>
      <c r="O2681" s="7">
        <v>0.33333333333333331</v>
      </c>
      <c r="P2681" s="5">
        <v>1</v>
      </c>
      <c r="Q2681" s="5" t="s">
        <v>309</v>
      </c>
      <c r="R2681" s="5">
        <v>88000</v>
      </c>
      <c r="S2681" s="5">
        <v>0</v>
      </c>
      <c r="T2681" s="5">
        <v>0</v>
      </c>
      <c r="U2681" s="5">
        <v>88000</v>
      </c>
      <c r="V2681" s="5"/>
      <c r="W2681" s="5" t="s">
        <v>36</v>
      </c>
      <c r="X2681" s="5" t="s">
        <v>37</v>
      </c>
      <c r="AA2681" s="5" t="s">
        <v>37</v>
      </c>
      <c r="AB2681" s="5" t="s">
        <v>11918</v>
      </c>
      <c r="AC2681" s="8" t="str">
        <f>HYPERLINK("https://drive.google.com/file/d/1pb0iQ0L5HEaikkeqrhQT6arrRQxpFsLq/view?usp=drivesdk", "Abrir_Factura")</f>
        <v>Abrir_Factura</v>
      </c>
      <c r="AD2681" s="9">
        <v>46080.329050925924</v>
      </c>
    </row>
    <row r="2682" spans="1:30" ht="12.5">
      <c r="A2682" s="4">
        <v>46080.355031944448</v>
      </c>
      <c r="B2682" s="5">
        <v>92421</v>
      </c>
      <c r="C2682" s="5">
        <v>1002209746</v>
      </c>
      <c r="D2682" s="5" t="s">
        <v>4562</v>
      </c>
      <c r="F2682" s="5" t="s">
        <v>11919</v>
      </c>
      <c r="H2682" s="5">
        <v>573173669050</v>
      </c>
      <c r="J2682" s="5" t="s">
        <v>11920</v>
      </c>
      <c r="K2682" s="5" t="s">
        <v>63</v>
      </c>
      <c r="L2682" s="5" t="s">
        <v>11921</v>
      </c>
      <c r="M2682" s="5">
        <v>3173669050</v>
      </c>
      <c r="N2682" s="6">
        <v>46080</v>
      </c>
      <c r="O2682" s="7">
        <v>0.375</v>
      </c>
      <c r="P2682" s="5">
        <v>1</v>
      </c>
      <c r="Q2682" s="5" t="s">
        <v>335</v>
      </c>
      <c r="R2682" s="5">
        <v>120000</v>
      </c>
      <c r="S2682" s="5">
        <v>0</v>
      </c>
      <c r="T2682" s="5">
        <v>17000</v>
      </c>
      <c r="U2682" s="5">
        <v>137000</v>
      </c>
      <c r="V2682" s="5" t="s">
        <v>11922</v>
      </c>
      <c r="W2682" s="5" t="s">
        <v>36</v>
      </c>
      <c r="X2682" s="5" t="s">
        <v>67</v>
      </c>
      <c r="Z2682" s="5" t="s">
        <v>4562</v>
      </c>
      <c r="AA2682" s="5" t="s">
        <v>44</v>
      </c>
      <c r="AB2682" s="5" t="s">
        <v>11923</v>
      </c>
      <c r="AC2682" s="8" t="str">
        <f>HYPERLINK("https://drive.google.com/file/d/1UYoIYlSCyAUNMhZL_byUYrAKnpNWA8Ap/view?usp=drivesdk", "Abrir_Factura")</f>
        <v>Abrir_Factura</v>
      </c>
      <c r="AD2682" s="9">
        <v>46080.366168981483</v>
      </c>
    </row>
    <row r="2683" spans="1:30" ht="12.5">
      <c r="A2683" s="4">
        <v>46080.357897060181</v>
      </c>
      <c r="B2683" s="5">
        <v>92422</v>
      </c>
      <c r="C2683" s="5">
        <v>1043434249</v>
      </c>
      <c r="D2683" s="5" t="s">
        <v>158</v>
      </c>
      <c r="F2683" s="5" t="s">
        <v>2863</v>
      </c>
      <c r="H2683" s="5">
        <v>573127128124</v>
      </c>
      <c r="J2683" s="5" t="s">
        <v>158</v>
      </c>
      <c r="K2683" s="5" t="s">
        <v>33</v>
      </c>
      <c r="L2683" s="5" t="s">
        <v>11924</v>
      </c>
      <c r="M2683" s="5">
        <v>3127128124</v>
      </c>
      <c r="N2683" s="6">
        <v>46080</v>
      </c>
      <c r="O2683" s="7">
        <v>0.39166666666666666</v>
      </c>
      <c r="P2683" s="5">
        <v>1</v>
      </c>
      <c r="Q2683" s="5" t="s">
        <v>375</v>
      </c>
      <c r="R2683" s="5">
        <v>80000</v>
      </c>
      <c r="S2683" s="5">
        <v>0</v>
      </c>
      <c r="T2683" s="5">
        <v>0</v>
      </c>
      <c r="U2683" s="5">
        <v>80000</v>
      </c>
      <c r="V2683" s="5" t="s">
        <v>11925</v>
      </c>
      <c r="W2683" s="5" t="s">
        <v>36</v>
      </c>
      <c r="X2683" s="5" t="s">
        <v>67</v>
      </c>
      <c r="Z2683" s="5" t="s">
        <v>11926</v>
      </c>
      <c r="AA2683" s="5" t="s">
        <v>44</v>
      </c>
      <c r="AC2683" s="8" t="str">
        <f>HYPERLINK("https://drive.google.com/file/d/1fIAJnFhtHjF9J8l4LMG-uutS6m8xyczd/view?usp=drivesdk", "Abrir_Factura")</f>
        <v>Abrir_Factura</v>
      </c>
      <c r="AD2683" s="9">
        <v>46080.372303240743</v>
      </c>
    </row>
    <row r="2684" spans="1:30" ht="12.5">
      <c r="A2684" s="4">
        <v>46080.367587696761</v>
      </c>
      <c r="B2684" s="5">
        <v>92424</v>
      </c>
      <c r="C2684" s="5">
        <v>1044608853</v>
      </c>
      <c r="D2684" s="5" t="s">
        <v>1555</v>
      </c>
      <c r="F2684" s="5" t="s">
        <v>10099</v>
      </c>
      <c r="H2684" s="5">
        <v>573022088898</v>
      </c>
      <c r="J2684" s="5" t="s">
        <v>11927</v>
      </c>
      <c r="K2684" s="5" t="s">
        <v>1815</v>
      </c>
      <c r="L2684" s="5" t="s">
        <v>11928</v>
      </c>
      <c r="M2684" s="5" t="s">
        <v>25421</v>
      </c>
      <c r="N2684" s="6">
        <v>46080</v>
      </c>
      <c r="O2684" s="7">
        <v>0.41666666666666669</v>
      </c>
      <c r="P2684" s="5">
        <v>1</v>
      </c>
      <c r="Q2684" s="5" t="s">
        <v>210</v>
      </c>
      <c r="R2684" s="5">
        <v>170000</v>
      </c>
      <c r="S2684" s="5">
        <v>0</v>
      </c>
      <c r="T2684" s="5">
        <v>18000</v>
      </c>
      <c r="U2684" s="5">
        <v>188000</v>
      </c>
      <c r="V2684" s="5" t="s">
        <v>11929</v>
      </c>
      <c r="W2684" s="5" t="s">
        <v>36</v>
      </c>
      <c r="X2684" s="5" t="s">
        <v>1481</v>
      </c>
      <c r="Z2684" s="5" t="s">
        <v>11930</v>
      </c>
      <c r="AA2684" s="5" t="s">
        <v>44</v>
      </c>
      <c r="AB2684" s="5" t="s">
        <v>11931</v>
      </c>
      <c r="AC2684" s="8" t="str">
        <f>HYPERLINK("https://drive.google.com/file/d/1RUCN5ymw4QHO8uzCJfB5ru61OOSpsywD/view?usp=drivesdk", "Abrir_Factura")</f>
        <v>Abrir_Factura</v>
      </c>
      <c r="AD2684" s="9">
        <v>46080.393159722225</v>
      </c>
    </row>
    <row r="2685" spans="1:30" ht="12.5">
      <c r="A2685" s="4">
        <v>46080.384450196754</v>
      </c>
      <c r="B2685" s="5">
        <v>92423</v>
      </c>
      <c r="C2685" s="5">
        <v>72175003</v>
      </c>
      <c r="D2685" s="5" t="s">
        <v>11932</v>
      </c>
      <c r="F2685" s="5" t="s">
        <v>4683</v>
      </c>
      <c r="H2685" s="5">
        <v>573157204100</v>
      </c>
      <c r="J2685" s="5" t="s">
        <v>4684</v>
      </c>
      <c r="K2685" s="5" t="s">
        <v>33</v>
      </c>
      <c r="L2685" s="5" t="s">
        <v>34</v>
      </c>
      <c r="M2685" s="5">
        <v>3157204100</v>
      </c>
      <c r="N2685" s="6">
        <v>46080</v>
      </c>
      <c r="O2685" s="7">
        <v>0.375</v>
      </c>
      <c r="P2685" s="5">
        <v>1</v>
      </c>
      <c r="Q2685" s="5" t="s">
        <v>42</v>
      </c>
      <c r="R2685" s="5">
        <v>118000</v>
      </c>
      <c r="S2685" s="5">
        <v>0</v>
      </c>
      <c r="T2685" s="5">
        <v>0</v>
      </c>
      <c r="U2685" s="5">
        <v>118000</v>
      </c>
      <c r="V2685" s="5"/>
      <c r="W2685" s="5" t="s">
        <v>36</v>
      </c>
      <c r="X2685" s="5" t="s">
        <v>1705</v>
      </c>
      <c r="AA2685" s="5" t="s">
        <v>1717</v>
      </c>
      <c r="AB2685" s="5" t="s">
        <v>525</v>
      </c>
      <c r="AC2685" s="8" t="str">
        <f>HYPERLINK("https://drive.google.com/file/d/1C4lWU1ivO3PyuQKPsq2dMlY8JwmaKg-h/view?usp=drivesdk", "Abrir_Factura")</f>
        <v>Abrir_Factura</v>
      </c>
      <c r="AD2685" s="9">
        <v>46080.385405092595</v>
      </c>
    </row>
    <row r="2686" spans="1:30" ht="12.5">
      <c r="A2686" s="4">
        <v>46080.398509675928</v>
      </c>
      <c r="B2686" s="5">
        <v>92427</v>
      </c>
      <c r="C2686" s="5">
        <v>1143470242</v>
      </c>
      <c r="D2686" s="5" t="s">
        <v>10762</v>
      </c>
      <c r="F2686" s="5" t="s">
        <v>11933</v>
      </c>
      <c r="H2686" s="5">
        <v>573146682326</v>
      </c>
      <c r="J2686" s="5" t="s">
        <v>11934</v>
      </c>
      <c r="K2686" s="5" t="s">
        <v>1047</v>
      </c>
      <c r="L2686" s="5" t="s">
        <v>11935</v>
      </c>
      <c r="M2686" s="5" t="s">
        <v>25421</v>
      </c>
      <c r="N2686" s="6">
        <v>46080</v>
      </c>
      <c r="O2686" s="7">
        <v>0.45833333333333331</v>
      </c>
      <c r="P2686" s="5">
        <v>1</v>
      </c>
      <c r="Q2686" s="5" t="s">
        <v>42</v>
      </c>
      <c r="R2686" s="5">
        <v>135000</v>
      </c>
      <c r="S2686" s="5">
        <v>0</v>
      </c>
      <c r="T2686" s="5">
        <v>15000</v>
      </c>
      <c r="U2686" s="5">
        <v>150000</v>
      </c>
      <c r="V2686" s="5" t="s">
        <v>11936</v>
      </c>
      <c r="W2686" s="5" t="s">
        <v>36</v>
      </c>
      <c r="X2686" s="5" t="s">
        <v>67</v>
      </c>
      <c r="Z2686" s="5" t="s">
        <v>11937</v>
      </c>
      <c r="AA2686" s="5" t="s">
        <v>69</v>
      </c>
      <c r="AB2686" s="5" t="s">
        <v>11938</v>
      </c>
      <c r="AC2686" s="8" t="str">
        <f>HYPERLINK("https://drive.google.com/file/d/1C7d6Y3kTh7yZCvFsV3Xx05R8byfFUN6p/view?usp=drivesdk", "Abrir_Factura")</f>
        <v>Abrir_Factura</v>
      </c>
      <c r="AD2686" s="9">
        <v>46080.434594907405</v>
      </c>
    </row>
    <row r="2687" spans="1:30" ht="12.5">
      <c r="A2687" s="4">
        <v>46080.420551134259</v>
      </c>
      <c r="B2687" s="5">
        <v>92433</v>
      </c>
      <c r="C2687" s="5">
        <v>1083558071</v>
      </c>
      <c r="D2687" s="5" t="s">
        <v>11939</v>
      </c>
      <c r="F2687" s="5" t="s">
        <v>11940</v>
      </c>
      <c r="H2687" s="5">
        <v>573045861749</v>
      </c>
      <c r="J2687" s="5" t="s">
        <v>11941</v>
      </c>
      <c r="K2687" s="5" t="s">
        <v>11248</v>
      </c>
      <c r="L2687" s="5" t="s">
        <v>11942</v>
      </c>
      <c r="M2687" s="5">
        <v>3045861749</v>
      </c>
      <c r="N2687" s="6">
        <v>46080</v>
      </c>
      <c r="O2687" s="7">
        <v>0.58333333333333337</v>
      </c>
      <c r="P2687" s="5">
        <v>1</v>
      </c>
      <c r="Q2687" s="5" t="s">
        <v>707</v>
      </c>
      <c r="R2687" s="5">
        <v>360000</v>
      </c>
      <c r="S2687" s="5">
        <v>0</v>
      </c>
      <c r="T2687" s="5">
        <v>15000</v>
      </c>
      <c r="U2687" s="5">
        <v>375000</v>
      </c>
      <c r="V2687" s="5" t="s">
        <v>11943</v>
      </c>
      <c r="W2687" s="5" t="s">
        <v>36</v>
      </c>
      <c r="X2687" s="5" t="s">
        <v>180</v>
      </c>
      <c r="Z2687" s="5" t="s">
        <v>11944</v>
      </c>
      <c r="AA2687" s="5" t="s">
        <v>44</v>
      </c>
      <c r="AB2687" s="5" t="s">
        <v>11945</v>
      </c>
      <c r="AC2687" s="8" t="str">
        <f>HYPERLINK("https://drive.google.com/file/d/1VwYhXUDI35RsBM3_ogvq8MWT27K9BRiJ/view?usp=drivesdk", "Abrir_Factura")</f>
        <v>Abrir_Factura</v>
      </c>
      <c r="AD2687" s="9">
        <v>46080.504780092589</v>
      </c>
    </row>
    <row r="2688" spans="1:30" ht="12.5">
      <c r="A2688" s="4">
        <v>46080.427657615743</v>
      </c>
      <c r="B2688" s="5">
        <v>92426</v>
      </c>
      <c r="C2688" s="5">
        <v>72248335</v>
      </c>
      <c r="D2688" s="5" t="s">
        <v>1651</v>
      </c>
      <c r="F2688" s="5" t="s">
        <v>11946</v>
      </c>
      <c r="H2688" s="5">
        <v>573106330045</v>
      </c>
      <c r="J2688" s="5" t="s">
        <v>11947</v>
      </c>
      <c r="K2688" s="5" t="s">
        <v>185</v>
      </c>
      <c r="L2688" s="5" t="s">
        <v>11948</v>
      </c>
      <c r="M2688" s="5">
        <v>3106330045</v>
      </c>
      <c r="N2688" s="6">
        <v>46080</v>
      </c>
      <c r="O2688" s="7">
        <v>0.45833333333333331</v>
      </c>
      <c r="P2688" s="5">
        <v>1</v>
      </c>
      <c r="Q2688" s="5" t="s">
        <v>649</v>
      </c>
      <c r="R2688" s="5">
        <v>200000</v>
      </c>
      <c r="S2688" s="5">
        <v>0</v>
      </c>
      <c r="T2688" s="5">
        <v>8000</v>
      </c>
      <c r="U2688" s="5">
        <v>208000</v>
      </c>
      <c r="V2688" s="5"/>
      <c r="W2688" s="5" t="s">
        <v>36</v>
      </c>
      <c r="X2688" s="5" t="s">
        <v>1705</v>
      </c>
      <c r="AA2688" s="5" t="s">
        <v>1717</v>
      </c>
      <c r="AB2688" s="5" t="s">
        <v>11949</v>
      </c>
      <c r="AC2688" s="8" t="str">
        <f>HYPERLINK("https://drive.google.com/file/d/1Akj2Kh9Sraw5J_NSeWomjMCTg5fdJbkH/view?usp=drivesdk", "Abrir_Factura")</f>
        <v>Abrir_Factura</v>
      </c>
      <c r="AD2688" s="9">
        <v>46080.429027777776</v>
      </c>
    </row>
    <row r="2689" spans="1:30" ht="12.5">
      <c r="A2689" s="4">
        <v>46080.429553055554</v>
      </c>
      <c r="B2689" s="5">
        <v>92429</v>
      </c>
      <c r="C2689" s="5">
        <v>55306103</v>
      </c>
      <c r="D2689" s="5" t="s">
        <v>5761</v>
      </c>
      <c r="F2689" s="5" t="s">
        <v>11950</v>
      </c>
      <c r="H2689" s="5">
        <v>573008039079</v>
      </c>
      <c r="J2689" s="5" t="s">
        <v>11951</v>
      </c>
      <c r="K2689" s="5" t="s">
        <v>307</v>
      </c>
      <c r="L2689" s="5" t="s">
        <v>11952</v>
      </c>
      <c r="M2689" s="5">
        <v>3008039079</v>
      </c>
      <c r="N2689" s="6">
        <v>46080</v>
      </c>
      <c r="O2689" s="7">
        <v>0</v>
      </c>
      <c r="P2689" s="5">
        <v>1</v>
      </c>
      <c r="Q2689" s="5" t="s">
        <v>335</v>
      </c>
      <c r="R2689" s="5">
        <v>120000</v>
      </c>
      <c r="S2689" s="5">
        <v>0</v>
      </c>
      <c r="T2689" s="5">
        <v>10000</v>
      </c>
      <c r="U2689" s="5">
        <v>130000</v>
      </c>
      <c r="V2689" s="5" t="s">
        <v>11953</v>
      </c>
      <c r="W2689" s="5" t="s">
        <v>36</v>
      </c>
      <c r="X2689" s="5" t="s">
        <v>204</v>
      </c>
      <c r="Z2689" s="5" t="s">
        <v>11954</v>
      </c>
      <c r="AA2689" s="5" t="s">
        <v>44</v>
      </c>
      <c r="AB2689" s="5" t="s">
        <v>11955</v>
      </c>
      <c r="AC2689" s="8" t="str">
        <f>HYPERLINK("https://drive.google.com/file/d/1cWqbz4iG_zWKQrUU4Wo1Cv25Pkv-qTn7/view?usp=drivesdk", "Abrir_Factura")</f>
        <v>Abrir_Factura</v>
      </c>
      <c r="AD2689" s="9">
        <v>46080.463472222225</v>
      </c>
    </row>
    <row r="2690" spans="1:30" ht="12.5">
      <c r="A2690" s="4">
        <v>46080.434234456014</v>
      </c>
      <c r="B2690" s="5">
        <v>92434</v>
      </c>
      <c r="C2690" s="5">
        <v>22655411</v>
      </c>
      <c r="D2690" s="5" t="s">
        <v>11956</v>
      </c>
      <c r="F2690" s="5" t="s">
        <v>93</v>
      </c>
      <c r="H2690" s="5">
        <v>573008157038</v>
      </c>
      <c r="J2690" s="5" t="s">
        <v>11957</v>
      </c>
      <c r="K2690" s="5" t="s">
        <v>63</v>
      </c>
      <c r="L2690" s="5" t="s">
        <v>11958</v>
      </c>
      <c r="M2690" s="5"/>
      <c r="N2690" s="6">
        <v>46080</v>
      </c>
      <c r="O2690" s="7">
        <v>0.58333333333333337</v>
      </c>
      <c r="P2690" s="5">
        <v>1</v>
      </c>
      <c r="Q2690" s="5" t="s">
        <v>3752</v>
      </c>
      <c r="R2690" s="5">
        <v>350000</v>
      </c>
      <c r="S2690" s="5">
        <v>0</v>
      </c>
      <c r="T2690" s="5">
        <v>17000</v>
      </c>
      <c r="U2690" s="5">
        <v>367000</v>
      </c>
      <c r="V2690" s="5" t="s">
        <v>11959</v>
      </c>
      <c r="W2690" s="5" t="s">
        <v>36</v>
      </c>
      <c r="X2690" s="5" t="s">
        <v>67</v>
      </c>
      <c r="Z2690" s="5" t="s">
        <v>11960</v>
      </c>
      <c r="AA2690" s="5" t="s">
        <v>44</v>
      </c>
      <c r="AB2690" s="5" t="s">
        <v>11961</v>
      </c>
      <c r="AC2690" s="8" t="str">
        <f>HYPERLINK("https://drive.google.com/file/d/14WkcZ9i8vHoPrUPo1CN70TmoPZktpSQg/view?usp=drivesdk", "Abrir_Factura")</f>
        <v>Abrir_Factura</v>
      </c>
      <c r="AD2690" s="9">
        <v>46080.510231481479</v>
      </c>
    </row>
    <row r="2691" spans="1:30" ht="12.5">
      <c r="A2691" s="4">
        <v>46080.44280553241</v>
      </c>
      <c r="B2691" s="5">
        <v>92428</v>
      </c>
      <c r="C2691" s="5">
        <v>72281502</v>
      </c>
      <c r="D2691" s="5" t="s">
        <v>2545</v>
      </c>
      <c r="F2691" s="5" t="s">
        <v>1585</v>
      </c>
      <c r="H2691" s="5">
        <v>573045429650</v>
      </c>
      <c r="J2691" s="5" t="s">
        <v>11962</v>
      </c>
      <c r="K2691" s="5" t="s">
        <v>33</v>
      </c>
      <c r="L2691" s="5" t="s">
        <v>34</v>
      </c>
      <c r="M2691" s="5">
        <v>3045429650</v>
      </c>
      <c r="N2691" s="6">
        <v>46080</v>
      </c>
      <c r="O2691" s="7">
        <v>0</v>
      </c>
      <c r="P2691" s="5">
        <v>1</v>
      </c>
      <c r="Q2691" s="5" t="s">
        <v>42</v>
      </c>
      <c r="R2691" s="5">
        <v>7500</v>
      </c>
      <c r="S2691" s="5">
        <v>0</v>
      </c>
      <c r="T2691" s="5">
        <v>0</v>
      </c>
      <c r="U2691" s="5">
        <v>7500</v>
      </c>
      <c r="V2691" s="5"/>
      <c r="W2691" s="5" t="s">
        <v>36</v>
      </c>
      <c r="X2691" s="5" t="s">
        <v>196</v>
      </c>
      <c r="AA2691" s="5" t="s">
        <v>1717</v>
      </c>
      <c r="AC2691" s="8" t="str">
        <f>HYPERLINK("https://drive.google.com/file/d/1ov6axg1jBtmxh47H0BcGOSaZgEkJbRS5/view?usp=drivesdk", "Abrir_Factura")</f>
        <v>Abrir_Factura</v>
      </c>
      <c r="AD2691" s="9">
        <v>46080.444976851853</v>
      </c>
    </row>
    <row r="2692" spans="1:30" ht="12.5">
      <c r="A2692" s="4">
        <v>46080.448719583335</v>
      </c>
      <c r="B2692" s="5">
        <v>92430</v>
      </c>
      <c r="C2692" s="5">
        <v>1006822541</v>
      </c>
      <c r="D2692" s="5" t="s">
        <v>3954</v>
      </c>
      <c r="F2692" s="5" t="s">
        <v>11963</v>
      </c>
      <c r="H2692" s="5">
        <v>573164101044</v>
      </c>
      <c r="J2692" s="5" t="s">
        <v>11964</v>
      </c>
      <c r="K2692" s="5" t="s">
        <v>124</v>
      </c>
      <c r="L2692" s="5" t="s">
        <v>11965</v>
      </c>
      <c r="M2692" s="5">
        <v>3106391990</v>
      </c>
      <c r="N2692" s="6">
        <v>46083</v>
      </c>
      <c r="O2692" s="7">
        <v>0</v>
      </c>
      <c r="P2692" s="5">
        <v>1</v>
      </c>
      <c r="Q2692" s="5" t="s">
        <v>178</v>
      </c>
      <c r="R2692" s="5">
        <v>110000</v>
      </c>
      <c r="S2692" s="5">
        <v>0</v>
      </c>
      <c r="T2692" s="5">
        <v>12000</v>
      </c>
      <c r="U2692" s="5">
        <v>122000</v>
      </c>
      <c r="V2692" s="5" t="s">
        <v>11966</v>
      </c>
      <c r="W2692" s="5" t="s">
        <v>36</v>
      </c>
      <c r="X2692" s="5" t="s">
        <v>67</v>
      </c>
      <c r="Z2692" s="5" t="s">
        <v>11967</v>
      </c>
      <c r="AA2692" s="5" t="s">
        <v>69</v>
      </c>
      <c r="AB2692" s="5" t="s">
        <v>11968</v>
      </c>
      <c r="AC2692" s="8" t="str">
        <f>HYPERLINK("https://drive.google.com/file/d/1V1QLUNqycafQQdkWm9NzujjU0dsX3r0L/view?usp=drivesdk", "Abrir_Factura")</f>
        <v>Abrir_Factura</v>
      </c>
      <c r="AD2692" s="9">
        <v>46080.465810185182</v>
      </c>
    </row>
    <row r="2693" spans="1:30" ht="12.5">
      <c r="A2693" s="4">
        <v>46080.474869363425</v>
      </c>
      <c r="B2693" s="5">
        <v>92431</v>
      </c>
      <c r="C2693" s="5">
        <v>1140946971</v>
      </c>
      <c r="D2693" s="5" t="s">
        <v>11969</v>
      </c>
      <c r="F2693" s="5" t="s">
        <v>11970</v>
      </c>
      <c r="H2693" s="5">
        <v>573126928741</v>
      </c>
      <c r="J2693" s="5" t="s">
        <v>11971</v>
      </c>
      <c r="K2693" s="5" t="s">
        <v>161</v>
      </c>
      <c r="L2693" s="5" t="s">
        <v>11972</v>
      </c>
      <c r="M2693" s="5" t="s">
        <v>11973</v>
      </c>
      <c r="N2693" s="6">
        <v>46080</v>
      </c>
      <c r="O2693" s="7">
        <v>0.54166666666666663</v>
      </c>
      <c r="P2693" s="5">
        <v>1</v>
      </c>
      <c r="Q2693" s="5" t="s">
        <v>422</v>
      </c>
      <c r="R2693" s="5">
        <v>150000</v>
      </c>
      <c r="S2693" s="5">
        <v>0</v>
      </c>
      <c r="T2693" s="5">
        <v>8000</v>
      </c>
      <c r="U2693" s="5">
        <v>158000</v>
      </c>
      <c r="V2693" s="5" t="s">
        <v>11974</v>
      </c>
      <c r="W2693" s="5" t="s">
        <v>36</v>
      </c>
      <c r="X2693" s="5" t="s">
        <v>1481</v>
      </c>
      <c r="Z2693" s="5" t="s">
        <v>11975</v>
      </c>
      <c r="AA2693" s="5" t="s">
        <v>44</v>
      </c>
      <c r="AB2693" s="5" t="s">
        <v>11309</v>
      </c>
      <c r="AC2693" s="8" t="str">
        <f>HYPERLINK("https://drive.google.com/file/d/1UUsrm7cbW6x8Zr06E6zH8H6eBDc7QUEC/view?usp=drivesdk", "Abrir_Factura")</f>
        <v>Abrir_Factura</v>
      </c>
      <c r="AD2693" s="9">
        <v>46080.480185185188</v>
      </c>
    </row>
    <row r="2694" spans="1:30" ht="12.5">
      <c r="A2694" s="4">
        <v>46080.48719028935</v>
      </c>
      <c r="B2694" s="5">
        <v>92432</v>
      </c>
      <c r="C2694" s="5">
        <v>73007899</v>
      </c>
      <c r="D2694" s="5" t="s">
        <v>2276</v>
      </c>
      <c r="F2694" s="5" t="s">
        <v>3342</v>
      </c>
      <c r="H2694" s="5">
        <v>572433145748</v>
      </c>
      <c r="J2694" s="5" t="s">
        <v>11976</v>
      </c>
      <c r="K2694" s="5" t="s">
        <v>33</v>
      </c>
      <c r="L2694" s="5" t="s">
        <v>34</v>
      </c>
      <c r="M2694" s="5">
        <v>2433145748</v>
      </c>
      <c r="N2694" s="6">
        <v>46080</v>
      </c>
      <c r="O2694" s="7">
        <v>0</v>
      </c>
      <c r="P2694" s="5">
        <v>1</v>
      </c>
      <c r="Q2694" s="5" t="s">
        <v>309</v>
      </c>
      <c r="R2694" s="5">
        <v>88000</v>
      </c>
      <c r="S2694" s="5">
        <v>0</v>
      </c>
      <c r="T2694" s="5">
        <v>0</v>
      </c>
      <c r="U2694" s="5">
        <v>88000</v>
      </c>
      <c r="V2694" s="5"/>
      <c r="W2694" s="5" t="s">
        <v>36</v>
      </c>
      <c r="X2694" s="5" t="s">
        <v>43</v>
      </c>
      <c r="AA2694" s="5" t="s">
        <v>37</v>
      </c>
      <c r="AB2694" s="5" t="s">
        <v>225</v>
      </c>
      <c r="AC2694" s="8" t="str">
        <f>HYPERLINK("https://drive.google.com/file/d/1wsBN7HhiCoRYdFyPjbci7llZo-_kdz-r/view?usp=drivesdk", "Abrir_Factura")</f>
        <v>Abrir_Factura</v>
      </c>
      <c r="AD2694" s="9">
        <v>46080.487638888888</v>
      </c>
    </row>
    <row r="2695" spans="1:30" ht="12.5">
      <c r="A2695" s="4">
        <v>46080.522942812502</v>
      </c>
      <c r="B2695" s="5">
        <v>92435</v>
      </c>
      <c r="C2695" s="5">
        <v>1065847094</v>
      </c>
      <c r="D2695" s="5" t="s">
        <v>4992</v>
      </c>
      <c r="F2695" s="5" t="s">
        <v>9142</v>
      </c>
      <c r="H2695" s="5">
        <v>112029755636</v>
      </c>
      <c r="J2695" s="5" t="s">
        <v>11977</v>
      </c>
      <c r="K2695" s="5" t="s">
        <v>185</v>
      </c>
      <c r="L2695" s="5" t="s">
        <v>11978</v>
      </c>
      <c r="M2695" s="5">
        <v>3043792858</v>
      </c>
      <c r="N2695" s="6">
        <v>46080</v>
      </c>
      <c r="O2695" s="7">
        <v>0.58333333333333337</v>
      </c>
      <c r="P2695" s="5">
        <v>1</v>
      </c>
      <c r="Q2695" s="5" t="s">
        <v>347</v>
      </c>
      <c r="R2695" s="5">
        <v>250000</v>
      </c>
      <c r="S2695" s="5">
        <v>0</v>
      </c>
      <c r="T2695" s="5">
        <v>8000</v>
      </c>
      <c r="U2695" s="5">
        <v>258000</v>
      </c>
      <c r="V2695" s="5"/>
      <c r="W2695" s="5" t="s">
        <v>36</v>
      </c>
      <c r="X2695" s="5" t="s">
        <v>1937</v>
      </c>
      <c r="AA2695" s="5" t="s">
        <v>44</v>
      </c>
      <c r="AC2695" s="8" t="str">
        <f>HYPERLINK("https://drive.google.com/file/d/1UU8m5TeuuoW5O9uIXJdEoKQalg5ilKYH/view?usp=drivesdk", "Abrir_Factura")</f>
        <v>Abrir_Factura</v>
      </c>
      <c r="AD2695" s="9">
        <v>46080.534641203703</v>
      </c>
    </row>
    <row r="2696" spans="1:30" ht="12.5">
      <c r="A2696" s="4">
        <v>46080.531602418981</v>
      </c>
      <c r="B2696" s="5">
        <v>92436</v>
      </c>
      <c r="C2696" s="5">
        <v>1221978428</v>
      </c>
      <c r="D2696" s="5" t="s">
        <v>1056</v>
      </c>
      <c r="F2696" s="5" t="s">
        <v>305</v>
      </c>
      <c r="H2696" s="5">
        <v>573005272284</v>
      </c>
      <c r="J2696" s="5" t="s">
        <v>11979</v>
      </c>
      <c r="K2696" s="5" t="s">
        <v>73</v>
      </c>
      <c r="L2696" s="5" t="s">
        <v>11980</v>
      </c>
      <c r="M2696" s="5">
        <v>3005277284</v>
      </c>
      <c r="N2696" s="6">
        <v>46080</v>
      </c>
      <c r="O2696" s="7">
        <v>0.10416666666666667</v>
      </c>
      <c r="P2696" s="5">
        <v>1</v>
      </c>
      <c r="Q2696" s="5" t="s">
        <v>187</v>
      </c>
      <c r="R2696" s="5">
        <v>220000</v>
      </c>
      <c r="S2696" s="5">
        <v>0</v>
      </c>
      <c r="T2696" s="5">
        <v>8000</v>
      </c>
      <c r="U2696" s="5">
        <v>228000</v>
      </c>
      <c r="V2696" s="5" t="s">
        <v>11981</v>
      </c>
      <c r="W2696" s="5" t="s">
        <v>36</v>
      </c>
      <c r="X2696" s="5" t="s">
        <v>67</v>
      </c>
      <c r="Z2696" s="5" t="s">
        <v>11982</v>
      </c>
      <c r="AA2696" s="5" t="s">
        <v>44</v>
      </c>
      <c r="AB2696" s="5" t="s">
        <v>11983</v>
      </c>
      <c r="AC2696" s="8" t="str">
        <f>HYPERLINK("https://drive.google.com/file/d/1K3W7QjvdL3gSOPNH4sOx7fWNvTbUwu4s/view?usp=drivesdk", "Abrir_Factura")</f>
        <v>Abrir_Factura</v>
      </c>
      <c r="AD2696" s="9">
        <v>46080.541574074072</v>
      </c>
    </row>
    <row r="2697" spans="1:30" ht="12.5">
      <c r="A2697" s="4">
        <v>46080.554770162038</v>
      </c>
      <c r="B2697" s="5">
        <v>92437</v>
      </c>
      <c r="C2697" s="5">
        <v>0</v>
      </c>
      <c r="D2697" s="5" t="s">
        <v>4261</v>
      </c>
      <c r="F2697" s="5" t="s">
        <v>7601</v>
      </c>
      <c r="H2697" s="5">
        <v>5719543974714</v>
      </c>
      <c r="J2697" s="5" t="s">
        <v>5375</v>
      </c>
      <c r="K2697" s="5" t="s">
        <v>307</v>
      </c>
      <c r="L2697" s="5" t="s">
        <v>11984</v>
      </c>
      <c r="M2697" s="5"/>
      <c r="N2697" s="6">
        <v>46080</v>
      </c>
      <c r="O2697" s="7">
        <v>0.60416666666666663</v>
      </c>
      <c r="P2697" s="5">
        <v>1</v>
      </c>
      <c r="Q2697" s="5" t="s">
        <v>178</v>
      </c>
      <c r="R2697" s="5">
        <v>110000</v>
      </c>
      <c r="S2697" s="5">
        <v>0</v>
      </c>
      <c r="T2697" s="5">
        <v>10000</v>
      </c>
      <c r="U2697" s="5">
        <v>120000</v>
      </c>
      <c r="V2697" s="5"/>
      <c r="W2697" s="5" t="s">
        <v>36</v>
      </c>
      <c r="X2697" s="5" t="s">
        <v>43</v>
      </c>
      <c r="AA2697" s="5" t="s">
        <v>44</v>
      </c>
      <c r="AB2697" s="5" t="s">
        <v>11985</v>
      </c>
      <c r="AC2697" s="8" t="str">
        <f>HYPERLINK("https://drive.google.com/file/d/1kMG1sao7EfZxV9PlTlCoTJpLRthJ2m6E/view?usp=drivesdk", "Abrir_Factura")</f>
        <v>Abrir_Factura</v>
      </c>
      <c r="AD2697" s="9">
        <v>46080.55609953704</v>
      </c>
    </row>
    <row r="2698" spans="1:30" ht="12.5">
      <c r="A2698" s="4">
        <v>46080.563929965283</v>
      </c>
      <c r="B2698" s="5">
        <v>92438</v>
      </c>
      <c r="C2698" s="5">
        <v>901113126</v>
      </c>
      <c r="D2698" s="5" t="s">
        <v>11986</v>
      </c>
      <c r="F2698" s="5" t="s">
        <v>11987</v>
      </c>
      <c r="H2698" s="5">
        <v>573114187547</v>
      </c>
      <c r="J2698" s="5" t="s">
        <v>11988</v>
      </c>
      <c r="K2698" s="5" t="s">
        <v>33</v>
      </c>
      <c r="L2698" s="5" t="s">
        <v>34</v>
      </c>
      <c r="M2698" s="5" t="s">
        <v>11989</v>
      </c>
      <c r="N2698" s="6">
        <v>46080</v>
      </c>
      <c r="O2698" s="7">
        <v>0</v>
      </c>
      <c r="P2698" s="5">
        <v>1</v>
      </c>
      <c r="Q2698" s="5" t="s">
        <v>42</v>
      </c>
      <c r="R2698" s="5">
        <v>10000</v>
      </c>
      <c r="S2698" s="5">
        <v>0</v>
      </c>
      <c r="T2698" s="5">
        <v>0</v>
      </c>
      <c r="U2698" s="5">
        <v>10000</v>
      </c>
      <c r="V2698" s="5"/>
      <c r="W2698" s="5" t="s">
        <v>36</v>
      </c>
      <c r="X2698" s="5" t="s">
        <v>196</v>
      </c>
      <c r="AA2698" s="5" t="s">
        <v>1717</v>
      </c>
      <c r="AB2698" s="5" t="s">
        <v>525</v>
      </c>
      <c r="AC2698" s="8" t="str">
        <f>HYPERLINK("https://drive.google.com/file/d/1psxcBmqbNKu2rofhB2LLoJfYT92ULpMi/view?usp=drivesdk", "Abrir_Factura")</f>
        <v>Abrir_Factura</v>
      </c>
      <c r="AD2698" s="9">
        <v>46080.564479166664</v>
      </c>
    </row>
    <row r="2699" spans="1:30" ht="12.5">
      <c r="A2699" s="4">
        <v>46080.572045000001</v>
      </c>
      <c r="B2699" s="5">
        <v>92439</v>
      </c>
      <c r="C2699" s="5">
        <v>1130264511</v>
      </c>
      <c r="D2699" s="5" t="s">
        <v>11990</v>
      </c>
      <c r="F2699" s="5" t="s">
        <v>11991</v>
      </c>
      <c r="H2699" s="5">
        <v>16025289753</v>
      </c>
      <c r="J2699" s="5" t="s">
        <v>11992</v>
      </c>
      <c r="K2699" s="5" t="s">
        <v>63</v>
      </c>
      <c r="L2699" s="5" t="s">
        <v>11993</v>
      </c>
      <c r="M2699" s="5">
        <v>3008173036</v>
      </c>
      <c r="N2699" s="6">
        <v>46080</v>
      </c>
      <c r="O2699" s="7">
        <v>0.14583333333333334</v>
      </c>
      <c r="P2699" s="5">
        <v>1</v>
      </c>
      <c r="Q2699" s="5" t="s">
        <v>89</v>
      </c>
      <c r="R2699" s="5">
        <v>170000</v>
      </c>
      <c r="S2699" s="5">
        <v>0</v>
      </c>
      <c r="T2699" s="5">
        <v>17000</v>
      </c>
      <c r="U2699" s="5">
        <v>187000</v>
      </c>
      <c r="V2699" s="5" t="s">
        <v>11994</v>
      </c>
      <c r="W2699" s="5" t="s">
        <v>36</v>
      </c>
      <c r="X2699" s="5" t="s">
        <v>180</v>
      </c>
      <c r="AA2699" s="5" t="s">
        <v>44</v>
      </c>
      <c r="AC2699" s="8" t="str">
        <f>HYPERLINK("https://drive.google.com/file/d/1pOeGUIkoLmOck_zD4u0osGtmnj8bHxNB/view?usp=drivesdk", "Abrir_Factura")</f>
        <v>Abrir_Factura</v>
      </c>
      <c r="AD2699" s="9">
        <v>46080.596365740741</v>
      </c>
    </row>
    <row r="2700" spans="1:30" ht="12.5">
      <c r="A2700" s="4">
        <v>46080.577099027782</v>
      </c>
      <c r="B2700" s="5">
        <v>92440</v>
      </c>
      <c r="C2700" s="5">
        <v>1037593827</v>
      </c>
      <c r="D2700" s="5" t="s">
        <v>11995</v>
      </c>
      <c r="F2700" s="10" t="s">
        <v>3330</v>
      </c>
      <c r="H2700" s="5">
        <v>573160574541</v>
      </c>
      <c r="J2700" s="5" t="s">
        <v>11996</v>
      </c>
      <c r="K2700" s="5" t="s">
        <v>9581</v>
      </c>
      <c r="L2700" s="5" t="s">
        <v>11997</v>
      </c>
      <c r="M2700" s="5">
        <v>3015797170</v>
      </c>
      <c r="N2700" s="6">
        <v>46080</v>
      </c>
      <c r="O2700" s="7">
        <v>0.64583333333333337</v>
      </c>
      <c r="P2700" s="5">
        <v>1</v>
      </c>
      <c r="Q2700" s="5" t="s">
        <v>251</v>
      </c>
      <c r="R2700" s="5">
        <v>190000</v>
      </c>
      <c r="S2700" s="5">
        <v>0</v>
      </c>
      <c r="T2700" s="5">
        <v>18000</v>
      </c>
      <c r="U2700" s="5">
        <v>208000</v>
      </c>
      <c r="V2700" s="5"/>
      <c r="W2700" s="5" t="s">
        <v>36</v>
      </c>
      <c r="X2700" s="5" t="s">
        <v>67</v>
      </c>
      <c r="Z2700" s="5" t="s">
        <v>11998</v>
      </c>
      <c r="AA2700" s="5" t="s">
        <v>44</v>
      </c>
      <c r="AB2700" s="5" t="s">
        <v>11999</v>
      </c>
      <c r="AC2700" s="8" t="str">
        <f>HYPERLINK("https://drive.google.com/file/d/18QYauzNXgRPEqDq5HkoKf3UlDMqOraGW/view?usp=drivesdk", "Abrir_Factura")</f>
        <v>Abrir_Factura</v>
      </c>
      <c r="AD2700" s="9">
        <v>46080.597800925927</v>
      </c>
    </row>
    <row r="2701" spans="1:30" ht="12.5">
      <c r="A2701" s="4">
        <v>46080.591919409722</v>
      </c>
      <c r="B2701" s="5">
        <v>92442</v>
      </c>
      <c r="C2701" s="5">
        <v>1129542204</v>
      </c>
      <c r="D2701" s="5" t="s">
        <v>12000</v>
      </c>
      <c r="F2701" s="5" t="s">
        <v>1683</v>
      </c>
      <c r="H2701" s="5">
        <v>573006777033</v>
      </c>
      <c r="J2701" s="5" t="s">
        <v>12001</v>
      </c>
      <c r="K2701" s="5" t="s">
        <v>63</v>
      </c>
      <c r="L2701" s="5" t="s">
        <v>12002</v>
      </c>
      <c r="M2701" s="5"/>
      <c r="N2701" s="6">
        <v>46080</v>
      </c>
      <c r="O2701" s="7">
        <v>0.66666666666666663</v>
      </c>
      <c r="P2701" s="5">
        <v>1</v>
      </c>
      <c r="Q2701" s="5" t="s">
        <v>361</v>
      </c>
      <c r="R2701" s="5">
        <v>200000</v>
      </c>
      <c r="S2701" s="5">
        <v>0</v>
      </c>
      <c r="T2701" s="5">
        <v>17000</v>
      </c>
      <c r="U2701" s="5">
        <v>217000</v>
      </c>
      <c r="V2701" s="5" t="s">
        <v>12003</v>
      </c>
      <c r="W2701" s="5" t="s">
        <v>36</v>
      </c>
      <c r="X2701" s="5" t="s">
        <v>67</v>
      </c>
      <c r="Z2701" s="5" t="s">
        <v>12004</v>
      </c>
      <c r="AA2701" s="5" t="s">
        <v>44</v>
      </c>
      <c r="AB2701" s="5" t="s">
        <v>12005</v>
      </c>
      <c r="AC2701" s="8" t="str">
        <f>HYPERLINK("https://drive.google.com/file/d/1sv_jdfUWkCf1xQKn_mTuGf5bD8-f22Vi/view?usp=drivesdk", "Abrir_Factura")</f>
        <v>Abrir_Factura</v>
      </c>
      <c r="AD2701" s="9">
        <v>46080.611724537041</v>
      </c>
    </row>
    <row r="2702" spans="1:30" ht="12.5">
      <c r="A2702" s="4">
        <v>46080.595730231478</v>
      </c>
      <c r="B2702" s="5">
        <v>92441</v>
      </c>
      <c r="C2702" s="5">
        <v>42204928</v>
      </c>
      <c r="D2702" s="5" t="s">
        <v>12006</v>
      </c>
      <c r="F2702" s="5" t="s">
        <v>1628</v>
      </c>
      <c r="H2702" s="5">
        <v>16462098900</v>
      </c>
      <c r="J2702" s="5" t="s">
        <v>12007</v>
      </c>
      <c r="K2702" s="5" t="s">
        <v>73</v>
      </c>
      <c r="L2702" s="5" t="s">
        <v>12008</v>
      </c>
      <c r="M2702" s="5">
        <v>3002237216</v>
      </c>
      <c r="N2702" s="6">
        <v>46080</v>
      </c>
      <c r="O2702" s="7">
        <v>0.64583333333333337</v>
      </c>
      <c r="P2702" s="5">
        <v>1</v>
      </c>
      <c r="Q2702" s="5" t="s">
        <v>89</v>
      </c>
      <c r="R2702" s="5">
        <v>170000</v>
      </c>
      <c r="S2702" s="5">
        <v>0</v>
      </c>
      <c r="T2702" s="5">
        <v>8000</v>
      </c>
      <c r="U2702" s="5">
        <v>178000</v>
      </c>
      <c r="V2702" s="5" t="s">
        <v>12009</v>
      </c>
      <c r="W2702" s="5" t="s">
        <v>36</v>
      </c>
      <c r="X2702" s="5" t="s">
        <v>67</v>
      </c>
      <c r="Z2702" s="5" t="s">
        <v>12010</v>
      </c>
      <c r="AA2702" s="5" t="s">
        <v>44</v>
      </c>
      <c r="AC2702" s="8" t="str">
        <f>HYPERLINK("https://drive.google.com/file/d/1GeYkd5XMs96iSTXCWj6whiOwqVaKCOOL/view?usp=drivesdk", "Abrir_Factura")</f>
        <v>Abrir_Factura</v>
      </c>
      <c r="AD2702" s="9">
        <v>46080.60601851852</v>
      </c>
    </row>
    <row r="2703" spans="1:30" ht="12.5">
      <c r="A2703" s="4">
        <v>46080.655004386572</v>
      </c>
      <c r="B2703" s="5">
        <v>92443</v>
      </c>
      <c r="C2703" s="5">
        <v>78702691</v>
      </c>
      <c r="D2703" s="5" t="s">
        <v>12011</v>
      </c>
      <c r="F2703" s="5" t="s">
        <v>12012</v>
      </c>
      <c r="H2703" s="5">
        <v>573005322303</v>
      </c>
      <c r="J2703" s="5" t="s">
        <v>12013</v>
      </c>
      <c r="K2703" s="5" t="s">
        <v>892</v>
      </c>
      <c r="L2703" s="5" t="s">
        <v>12014</v>
      </c>
      <c r="M2703" s="5">
        <v>3147538130</v>
      </c>
      <c r="N2703" s="6">
        <v>46081</v>
      </c>
      <c r="O2703" s="7">
        <v>0.33333333333333331</v>
      </c>
      <c r="P2703" s="5">
        <v>1</v>
      </c>
      <c r="Q2703" s="5" t="s">
        <v>361</v>
      </c>
      <c r="R2703" s="5">
        <v>200000</v>
      </c>
      <c r="S2703" s="5">
        <v>0</v>
      </c>
      <c r="T2703" s="5">
        <v>10000</v>
      </c>
      <c r="U2703" s="5">
        <v>210000</v>
      </c>
      <c r="V2703" s="5" t="s">
        <v>12015</v>
      </c>
      <c r="W2703" s="5" t="s">
        <v>36</v>
      </c>
      <c r="X2703" s="5" t="s">
        <v>204</v>
      </c>
      <c r="AA2703" s="5" t="s">
        <v>1717</v>
      </c>
      <c r="AC2703" s="8" t="str">
        <f>HYPERLINK("https://drive.google.com/file/d/1DrwiOlkWWd4M1hqgcQyWfRpeCpnpHBy8/view?usp=drivesdk", "Abrir_Factura")</f>
        <v>Abrir_Factura</v>
      </c>
      <c r="AD2703" s="9">
        <v>46080.656539351854</v>
      </c>
    </row>
    <row r="2704" spans="1:30" ht="12.5">
      <c r="A2704" s="4">
        <v>46080.655875185184</v>
      </c>
      <c r="B2704" s="5">
        <v>92455</v>
      </c>
      <c r="C2704" s="5">
        <v>1018413400</v>
      </c>
      <c r="D2704" s="5" t="s">
        <v>12016</v>
      </c>
      <c r="F2704" s="5" t="s">
        <v>12017</v>
      </c>
      <c r="H2704" s="5">
        <v>573014067791</v>
      </c>
      <c r="J2704" s="5" t="s">
        <v>12018</v>
      </c>
      <c r="K2704" s="5" t="s">
        <v>265</v>
      </c>
      <c r="L2704" s="5" t="s">
        <v>12019</v>
      </c>
      <c r="M2704" s="5">
        <v>3132366653</v>
      </c>
      <c r="N2704" s="6">
        <v>46081</v>
      </c>
      <c r="O2704" s="7">
        <v>0.66666666666666663</v>
      </c>
      <c r="P2704" s="5">
        <v>1</v>
      </c>
      <c r="Q2704" s="5" t="s">
        <v>347</v>
      </c>
      <c r="R2704" s="5">
        <v>250000</v>
      </c>
      <c r="S2704" s="5">
        <v>0</v>
      </c>
      <c r="T2704" s="5">
        <v>17000</v>
      </c>
      <c r="U2704" s="5">
        <v>267000</v>
      </c>
      <c r="V2704" s="5" t="s">
        <v>12020</v>
      </c>
      <c r="W2704" s="5" t="s">
        <v>36</v>
      </c>
      <c r="X2704" s="5" t="s">
        <v>180</v>
      </c>
      <c r="Z2704" s="5" t="s">
        <v>12021</v>
      </c>
      <c r="AA2704" s="5" t="s">
        <v>44</v>
      </c>
      <c r="AB2704" s="5" t="s">
        <v>7222</v>
      </c>
      <c r="AC2704" s="8" t="str">
        <f>HYPERLINK("https://drive.google.com/file/d/11PuuU_rzOitOaYwOIs-g5juEXS26EZWa/view?usp=drivesdk", "Abrir_Factura")</f>
        <v>Abrir_Factura</v>
      </c>
      <c r="AD2704" s="9">
        <v>46080.785277777781</v>
      </c>
    </row>
    <row r="2705" spans="1:30" ht="12.5">
      <c r="A2705" s="4">
        <v>46080.662274537041</v>
      </c>
      <c r="B2705" s="5">
        <v>92444</v>
      </c>
      <c r="C2705" s="5">
        <v>1037592611</v>
      </c>
      <c r="D2705" s="5" t="s">
        <v>12022</v>
      </c>
      <c r="F2705" s="5" t="s">
        <v>12023</v>
      </c>
      <c r="H2705" s="5">
        <v>573176789672</v>
      </c>
      <c r="J2705" s="5" t="s">
        <v>12024</v>
      </c>
      <c r="K2705" s="5" t="s">
        <v>249</v>
      </c>
      <c r="L2705" s="5" t="s">
        <v>12025</v>
      </c>
      <c r="M2705" s="5" t="s">
        <v>12026</v>
      </c>
      <c r="N2705" s="6">
        <v>46083</v>
      </c>
      <c r="O2705" s="7">
        <v>0.33333333333333331</v>
      </c>
      <c r="P2705" s="5">
        <v>1</v>
      </c>
      <c r="Q2705" s="5" t="s">
        <v>4021</v>
      </c>
      <c r="R2705" s="5">
        <v>240000</v>
      </c>
      <c r="S2705" s="5">
        <v>0</v>
      </c>
      <c r="T2705" s="5">
        <v>10000</v>
      </c>
      <c r="U2705" s="5">
        <v>250000</v>
      </c>
      <c r="V2705" s="5" t="s">
        <v>12027</v>
      </c>
      <c r="W2705" s="5" t="s">
        <v>36</v>
      </c>
      <c r="X2705" s="5" t="s">
        <v>67</v>
      </c>
      <c r="AA2705" s="5" t="s">
        <v>69</v>
      </c>
      <c r="AC2705" s="8" t="str">
        <f>HYPERLINK("https://drive.google.com/file/d/10LwPi7YoWXEdtRvuCihZ1xrtFWrylF0U/view?usp=drivesdk", "Abrir_Factura")</f>
        <v>Abrir_Factura</v>
      </c>
      <c r="AD2705" s="9">
        <v>46080.663402777776</v>
      </c>
    </row>
    <row r="2706" spans="1:30" ht="12.5">
      <c r="A2706" s="4">
        <v>46080.664311631946</v>
      </c>
      <c r="B2706" s="5">
        <v>92445</v>
      </c>
      <c r="C2706" s="5">
        <v>32786347</v>
      </c>
      <c r="D2706" s="5" t="s">
        <v>12028</v>
      </c>
      <c r="F2706" s="5" t="s">
        <v>12029</v>
      </c>
      <c r="H2706" s="5">
        <v>573022685523</v>
      </c>
      <c r="J2706" s="5" t="s">
        <v>12030</v>
      </c>
      <c r="K2706" s="5" t="s">
        <v>33</v>
      </c>
      <c r="L2706" s="5" t="s">
        <v>34</v>
      </c>
      <c r="M2706" s="5">
        <v>3022685523</v>
      </c>
      <c r="N2706" s="6">
        <v>46080</v>
      </c>
      <c r="O2706" s="7">
        <v>0</v>
      </c>
      <c r="P2706" s="5">
        <v>1</v>
      </c>
      <c r="Q2706" s="5" t="s">
        <v>42</v>
      </c>
      <c r="R2706" s="5">
        <v>16000</v>
      </c>
      <c r="S2706" s="5">
        <v>0</v>
      </c>
      <c r="T2706" s="5">
        <v>0</v>
      </c>
      <c r="U2706" s="5">
        <v>16000</v>
      </c>
      <c r="V2706" s="5"/>
      <c r="W2706" s="5" t="s">
        <v>36</v>
      </c>
      <c r="X2706" s="5" t="s">
        <v>196</v>
      </c>
      <c r="AA2706" s="5" t="s">
        <v>1717</v>
      </c>
      <c r="AB2706" s="5" t="s">
        <v>12031</v>
      </c>
      <c r="AC2706" s="8" t="str">
        <f>HYPERLINK("https://drive.google.com/file/d/1j_PEsg3MdwESNxr2JsskenNP7eC3T8IX/view?usp=drivesdk", "Abrir_Factura")</f>
        <v>Abrir_Factura</v>
      </c>
      <c r="AD2706" s="9">
        <v>46080.665567129632</v>
      </c>
    </row>
    <row r="2707" spans="1:30" ht="12.5">
      <c r="A2707" s="4">
        <v>46080.669202766207</v>
      </c>
      <c r="B2707" s="5">
        <v>92446</v>
      </c>
      <c r="C2707" s="5">
        <v>0</v>
      </c>
      <c r="D2707" s="5" t="s">
        <v>2061</v>
      </c>
      <c r="F2707" s="5" t="s">
        <v>12032</v>
      </c>
      <c r="H2707" s="5">
        <v>573154015161</v>
      </c>
      <c r="J2707" s="10" t="s">
        <v>3330</v>
      </c>
      <c r="K2707" s="5" t="s">
        <v>33</v>
      </c>
      <c r="L2707" s="5" t="s">
        <v>34</v>
      </c>
      <c r="M2707" s="5">
        <v>0</v>
      </c>
      <c r="N2707" s="6">
        <v>46080</v>
      </c>
      <c r="O2707" s="7">
        <v>0.70833333333333337</v>
      </c>
      <c r="P2707" s="5">
        <v>1</v>
      </c>
      <c r="Q2707" s="5" t="s">
        <v>50</v>
      </c>
      <c r="R2707" s="5">
        <v>220000</v>
      </c>
      <c r="S2707" s="5">
        <v>0</v>
      </c>
      <c r="T2707" s="5">
        <v>0</v>
      </c>
      <c r="U2707" s="5">
        <v>220000</v>
      </c>
      <c r="V2707" s="5"/>
      <c r="W2707" s="5" t="s">
        <v>36</v>
      </c>
      <c r="X2707" s="5" t="s">
        <v>1705</v>
      </c>
      <c r="AA2707" s="5" t="s">
        <v>1717</v>
      </c>
      <c r="AC2707" s="8" t="str">
        <f>HYPERLINK("https://drive.google.com/file/d/1zTG0bD9tpsABTfz_YM-lEP0_0pf1qFlE/view?usp=drivesdk", "Abrir_Factura")</f>
        <v>Abrir_Factura</v>
      </c>
      <c r="AD2707" s="9">
        <v>46080.777951388889</v>
      </c>
    </row>
    <row r="2708" spans="1:30" ht="12.5">
      <c r="A2708" s="4">
        <v>46080.672931712965</v>
      </c>
      <c r="B2708" s="5">
        <v>92448</v>
      </c>
      <c r="C2708" s="5">
        <v>1001893369</v>
      </c>
      <c r="D2708" s="5" t="s">
        <v>12033</v>
      </c>
      <c r="F2708" s="5" t="s">
        <v>12034</v>
      </c>
      <c r="H2708" s="5">
        <v>573013354666</v>
      </c>
      <c r="J2708" s="5" t="s">
        <v>12035</v>
      </c>
      <c r="K2708" s="5" t="s">
        <v>892</v>
      </c>
      <c r="L2708" s="5" t="s">
        <v>12036</v>
      </c>
      <c r="M2708" s="5">
        <v>3504941573</v>
      </c>
      <c r="N2708" s="6">
        <v>46080</v>
      </c>
      <c r="O2708" s="7">
        <v>0.72916666666666663</v>
      </c>
      <c r="P2708" s="5">
        <v>1</v>
      </c>
      <c r="Q2708" s="5" t="s">
        <v>576</v>
      </c>
      <c r="R2708" s="5">
        <v>140000</v>
      </c>
      <c r="S2708" s="5">
        <v>0</v>
      </c>
      <c r="T2708" s="5">
        <v>10000</v>
      </c>
      <c r="U2708" s="5">
        <v>150000</v>
      </c>
      <c r="V2708" s="5" t="s">
        <v>12037</v>
      </c>
      <c r="W2708" s="5" t="s">
        <v>36</v>
      </c>
      <c r="X2708" s="5" t="s">
        <v>1481</v>
      </c>
      <c r="Z2708" s="5" t="s">
        <v>12038</v>
      </c>
      <c r="AA2708" s="5" t="s">
        <v>44</v>
      </c>
      <c r="AC2708" s="8" t="str">
        <f>HYPERLINK("https://drive.google.com/file/d/1KxTgFfCwV5-tItvycCZGuQ4zxaqf02Cb/view?usp=drivesdk", "Abrir_Factura")</f>
        <v>Abrir_Factura</v>
      </c>
      <c r="AD2708" s="9">
        <v>46080.69809027778</v>
      </c>
    </row>
    <row r="2709" spans="1:30" ht="12.5">
      <c r="A2709" s="4">
        <v>46080.69140142361</v>
      </c>
      <c r="B2709" s="5">
        <v>92452</v>
      </c>
      <c r="C2709" s="5">
        <v>1065821663</v>
      </c>
      <c r="D2709" s="5" t="s">
        <v>12039</v>
      </c>
      <c r="F2709" s="5" t="s">
        <v>455</v>
      </c>
      <c r="H2709" s="5">
        <v>573205422288</v>
      </c>
      <c r="J2709" s="5" t="s">
        <v>12040</v>
      </c>
      <c r="K2709" s="5" t="s">
        <v>73</v>
      </c>
      <c r="L2709" s="5" t="s">
        <v>12041</v>
      </c>
      <c r="M2709" s="5">
        <v>3205422252</v>
      </c>
      <c r="N2709" s="6">
        <v>46080</v>
      </c>
      <c r="O2709" s="7">
        <v>0.75</v>
      </c>
      <c r="P2709" s="5">
        <v>1</v>
      </c>
      <c r="Q2709" s="5" t="s">
        <v>9478</v>
      </c>
      <c r="R2709" s="5">
        <v>250000</v>
      </c>
      <c r="S2709" s="5">
        <v>0</v>
      </c>
      <c r="T2709" s="5">
        <v>8000</v>
      </c>
      <c r="U2709" s="5">
        <v>258000</v>
      </c>
      <c r="V2709" s="5" t="s">
        <v>12042</v>
      </c>
      <c r="W2709" s="5" t="s">
        <v>36</v>
      </c>
      <c r="X2709" s="5" t="s">
        <v>1937</v>
      </c>
      <c r="Z2709" s="5" t="s">
        <v>12043</v>
      </c>
      <c r="AA2709" s="5" t="s">
        <v>69</v>
      </c>
      <c r="AB2709" s="5" t="s">
        <v>12044</v>
      </c>
      <c r="AC2709" s="8" t="str">
        <f>HYPERLINK("https://drive.google.com/file/d/1oza19xb07e2Fj1QPlCo2435zoN5adTnU/view?usp=drivesdk", "Abrir_Factura")</f>
        <v>Abrir_Factura</v>
      </c>
      <c r="AD2709" s="9">
        <v>46080.742407407408</v>
      </c>
    </row>
    <row r="2710" spans="1:30" ht="12.5">
      <c r="A2710" s="4">
        <v>46080.69162967593</v>
      </c>
      <c r="B2710" s="5">
        <v>92447</v>
      </c>
      <c r="C2710" s="5">
        <v>13861888</v>
      </c>
      <c r="D2710" s="5" t="s">
        <v>2967</v>
      </c>
      <c r="F2710" s="5" t="s">
        <v>12045</v>
      </c>
      <c r="H2710" s="5">
        <v>573152532340</v>
      </c>
      <c r="J2710" s="5" t="s">
        <v>12046</v>
      </c>
      <c r="K2710" s="5" t="s">
        <v>33</v>
      </c>
      <c r="L2710" s="5" t="s">
        <v>34</v>
      </c>
      <c r="M2710" s="5">
        <v>3152532340</v>
      </c>
      <c r="N2710" s="6">
        <v>46080</v>
      </c>
      <c r="O2710" s="7">
        <v>0.70833333333333337</v>
      </c>
      <c r="P2710" s="5">
        <v>1</v>
      </c>
      <c r="Q2710" s="5" t="s">
        <v>120</v>
      </c>
      <c r="R2710" s="5">
        <v>160000</v>
      </c>
      <c r="S2710" s="5">
        <v>0</v>
      </c>
      <c r="T2710" s="5">
        <v>0</v>
      </c>
      <c r="U2710" s="5">
        <v>160000</v>
      </c>
      <c r="V2710" s="5" t="s">
        <v>12047</v>
      </c>
      <c r="W2710" s="5" t="s">
        <v>36</v>
      </c>
      <c r="X2710" s="5" t="s">
        <v>1705</v>
      </c>
      <c r="AA2710" s="5" t="s">
        <v>1717</v>
      </c>
      <c r="AB2710" s="5" t="s">
        <v>12048</v>
      </c>
      <c r="AC2710" s="8" t="str">
        <f>HYPERLINK("https://drive.google.com/file/d/1bIQDI1JZgSawWGbf068WyB32X2DCLyG1/view?usp=drivesdk", "Abrir_Factura")</f>
        <v>Abrir_Factura</v>
      </c>
      <c r="AD2710" s="9">
        <v>46080.695613425924</v>
      </c>
    </row>
    <row r="2711" spans="1:30" ht="12.5">
      <c r="A2711" s="4">
        <v>46080.699105416672</v>
      </c>
      <c r="B2711" s="5">
        <v>92453</v>
      </c>
      <c r="C2711" s="5">
        <v>1129571250</v>
      </c>
      <c r="D2711" s="5" t="s">
        <v>968</v>
      </c>
      <c r="F2711" s="5" t="s">
        <v>2642</v>
      </c>
      <c r="H2711" s="5">
        <v>573059260093</v>
      </c>
      <c r="J2711" s="5" t="s">
        <v>12049</v>
      </c>
      <c r="K2711" s="5" t="s">
        <v>1272</v>
      </c>
      <c r="L2711" s="5" t="s">
        <v>12050</v>
      </c>
      <c r="M2711" s="5">
        <v>3013841936</v>
      </c>
      <c r="N2711" s="6">
        <v>46081</v>
      </c>
      <c r="O2711" s="7">
        <v>0.33333333333333331</v>
      </c>
      <c r="P2711" s="5">
        <v>1</v>
      </c>
      <c r="Q2711" s="5" t="s">
        <v>187</v>
      </c>
      <c r="R2711" s="5">
        <v>220000</v>
      </c>
      <c r="S2711" s="5">
        <v>0</v>
      </c>
      <c r="T2711" s="5">
        <v>12000</v>
      </c>
      <c r="U2711" s="5">
        <v>232000</v>
      </c>
      <c r="V2711" s="5" t="s">
        <v>12051</v>
      </c>
      <c r="W2711" s="5" t="s">
        <v>36</v>
      </c>
      <c r="X2711" s="5" t="s">
        <v>67</v>
      </c>
      <c r="Z2711" s="5" t="s">
        <v>12052</v>
      </c>
      <c r="AA2711" s="5" t="s">
        <v>44</v>
      </c>
      <c r="AC2711" s="8" t="str">
        <f>HYPERLINK("https://drive.google.com/file/d/1vb4y5q5UHIXCovOuxCGHxVHW8arfWHPg/view?usp=drivesdk", "Abrir_Factura")</f>
        <v>Abrir_Factura</v>
      </c>
      <c r="AD2711" s="9">
        <v>46080.758379629631</v>
      </c>
    </row>
    <row r="2712" spans="1:30" ht="12.5">
      <c r="A2712" s="4">
        <v>46080.708342812504</v>
      </c>
      <c r="B2712" s="5">
        <v>92449</v>
      </c>
      <c r="C2712" s="5">
        <v>0</v>
      </c>
      <c r="D2712" s="5" t="s">
        <v>12053</v>
      </c>
      <c r="F2712" s="5" t="s">
        <v>3345</v>
      </c>
      <c r="H2712" s="5">
        <v>570</v>
      </c>
      <c r="J2712" s="5" t="s">
        <v>12054</v>
      </c>
      <c r="K2712" s="5" t="s">
        <v>4403</v>
      </c>
      <c r="L2712" s="5" t="s">
        <v>12055</v>
      </c>
      <c r="M2712" s="5"/>
      <c r="N2712" s="6">
        <v>46080</v>
      </c>
      <c r="O2712" s="7">
        <v>0</v>
      </c>
      <c r="P2712" s="5">
        <v>1</v>
      </c>
      <c r="Q2712" s="5" t="s">
        <v>42</v>
      </c>
      <c r="R2712" s="5">
        <v>180000</v>
      </c>
      <c r="S2712" s="5">
        <v>0</v>
      </c>
      <c r="T2712" s="5">
        <v>20000</v>
      </c>
      <c r="U2712" s="5">
        <v>200000</v>
      </c>
      <c r="V2712" s="5"/>
      <c r="W2712" s="5" t="s">
        <v>36</v>
      </c>
      <c r="X2712" s="5" t="s">
        <v>2151</v>
      </c>
      <c r="AA2712" s="5" t="s">
        <v>332</v>
      </c>
      <c r="AB2712" s="5" t="s">
        <v>12056</v>
      </c>
      <c r="AC2712" s="8" t="str">
        <f>HYPERLINK("https://drive.google.com/file/d/1V2MHCliKaS_RF7lXA1efF6z2FXNrCihO/view?usp=drivesdk", "Abrir_Factura")</f>
        <v>Abrir_Factura</v>
      </c>
      <c r="AD2712" s="9">
        <v>46080.793206018519</v>
      </c>
    </row>
    <row r="2713" spans="1:30" ht="12.5">
      <c r="A2713" s="4">
        <v>46080.736092118052</v>
      </c>
      <c r="B2713" s="5">
        <v>92450</v>
      </c>
      <c r="C2713" s="5">
        <v>900521807</v>
      </c>
      <c r="D2713" s="5" t="s">
        <v>1231</v>
      </c>
      <c r="F2713" s="5" t="s">
        <v>2159</v>
      </c>
      <c r="H2713" s="5">
        <v>573153543653</v>
      </c>
      <c r="J2713" s="5" t="s">
        <v>3330</v>
      </c>
      <c r="K2713" s="5" t="s">
        <v>11248</v>
      </c>
      <c r="L2713" s="5" t="s">
        <v>12057</v>
      </c>
      <c r="M2713" s="5" t="s">
        <v>3330</v>
      </c>
      <c r="N2713" s="6">
        <v>46083</v>
      </c>
      <c r="O2713" s="7">
        <v>0.33333333333333331</v>
      </c>
      <c r="P2713" s="5">
        <v>1</v>
      </c>
      <c r="Q2713" s="5" t="s">
        <v>42</v>
      </c>
      <c r="R2713" s="5">
        <v>0</v>
      </c>
      <c r="S2713" s="5">
        <v>0</v>
      </c>
      <c r="T2713" s="5">
        <v>15000</v>
      </c>
      <c r="U2713" s="5">
        <v>15000</v>
      </c>
      <c r="V2713" s="5"/>
      <c r="W2713" s="5" t="s">
        <v>36</v>
      </c>
      <c r="X2713" s="5" t="s">
        <v>43</v>
      </c>
      <c r="Z2713" s="5"/>
      <c r="AA2713" s="5" t="s">
        <v>332</v>
      </c>
      <c r="AB2713" s="5" t="s">
        <v>12058</v>
      </c>
      <c r="AC2713" s="8" t="str">
        <f>HYPERLINK("https://drive.google.com/file/d/1CY38f6tsel0X4Ipq_1R1aitVAZXrynHZ/view?usp=drivesdk", "Abrir_Factura")</f>
        <v>Abrir_Factura</v>
      </c>
      <c r="AD2713" s="9">
        <v>46081.364317129628</v>
      </c>
    </row>
    <row r="2714" spans="1:30" ht="12.5">
      <c r="A2714" s="4">
        <v>46080.737258020832</v>
      </c>
      <c r="B2714" s="5">
        <v>92456</v>
      </c>
      <c r="C2714" s="5">
        <v>1042449599</v>
      </c>
      <c r="D2714" s="5" t="s">
        <v>12059</v>
      </c>
      <c r="F2714" s="5" t="s">
        <v>12060</v>
      </c>
      <c r="H2714" s="5">
        <v>573157353624</v>
      </c>
      <c r="J2714" s="5" t="s">
        <v>12061</v>
      </c>
      <c r="K2714" s="5" t="s">
        <v>103</v>
      </c>
      <c r="L2714" s="5" t="s">
        <v>12062</v>
      </c>
      <c r="M2714" s="5">
        <v>3157353624</v>
      </c>
      <c r="N2714" s="6">
        <v>46083</v>
      </c>
      <c r="O2714" s="7">
        <v>0.33333333333333331</v>
      </c>
      <c r="P2714" s="5">
        <v>1</v>
      </c>
      <c r="Q2714" s="5" t="s">
        <v>1792</v>
      </c>
      <c r="R2714" s="5">
        <v>160000</v>
      </c>
      <c r="S2714" s="5">
        <v>0</v>
      </c>
      <c r="T2714" s="5">
        <v>10000</v>
      </c>
      <c r="U2714" s="5">
        <v>170000</v>
      </c>
      <c r="V2714" s="5" t="s">
        <v>12063</v>
      </c>
      <c r="W2714" s="5" t="s">
        <v>36</v>
      </c>
      <c r="X2714" s="5" t="s">
        <v>67</v>
      </c>
      <c r="Z2714" s="5" t="s">
        <v>12064</v>
      </c>
      <c r="AA2714" s="5" t="s">
        <v>44</v>
      </c>
      <c r="AB2714" s="5" t="s">
        <v>12065</v>
      </c>
      <c r="AC2714" s="8" t="str">
        <f>HYPERLINK("https://drive.google.com/file/d/1ByaICn30BrNY93Rmjn6GMcqbRmyYnElj/view?usp=drivesdk", "Abrir_Factura")</f>
        <v>Abrir_Factura</v>
      </c>
      <c r="AD2714" s="9">
        <v>46080.793541666666</v>
      </c>
    </row>
    <row r="2715" spans="1:30" ht="12.5">
      <c r="A2715" s="4">
        <v>46080.770830185182</v>
      </c>
      <c r="B2715" s="5">
        <v>92454</v>
      </c>
      <c r="C2715" s="5">
        <v>45763225</v>
      </c>
      <c r="D2715" s="5" t="s">
        <v>7204</v>
      </c>
      <c r="F2715" s="5"/>
      <c r="H2715" s="5">
        <v>573008183491</v>
      </c>
      <c r="J2715" s="5" t="s">
        <v>7204</v>
      </c>
      <c r="K2715" s="5" t="s">
        <v>12066</v>
      </c>
      <c r="L2715" s="5" t="s">
        <v>12066</v>
      </c>
      <c r="M2715" s="5">
        <v>573008183491</v>
      </c>
      <c r="N2715" s="6">
        <v>46080</v>
      </c>
      <c r="O2715" s="7">
        <v>0</v>
      </c>
      <c r="P2715" s="5">
        <v>1</v>
      </c>
      <c r="Q2715" s="5" t="s">
        <v>42</v>
      </c>
      <c r="R2715" s="5">
        <v>120000</v>
      </c>
      <c r="S2715" s="5">
        <v>0</v>
      </c>
      <c r="T2715" s="5">
        <v>0</v>
      </c>
      <c r="U2715" s="5">
        <v>120000</v>
      </c>
      <c r="V2715" s="5"/>
      <c r="W2715" s="5" t="s">
        <v>36</v>
      </c>
      <c r="X2715" s="5" t="s">
        <v>43</v>
      </c>
      <c r="AA2715" s="5" t="s">
        <v>1717</v>
      </c>
      <c r="AC2715" s="8" t="str">
        <f>HYPERLINK("https://drive.google.com/file/d/1uxLZyRVRHONQBPum_xd8YZePgy7hmF9_/view?usp=drivesdk", "Abrir_Factura")</f>
        <v>Abrir_Factura</v>
      </c>
      <c r="AD2715" s="9">
        <v>46080.774363425924</v>
      </c>
    </row>
    <row r="2716" spans="1:30" ht="12.5">
      <c r="A2716" s="4">
        <v>46080.801658298617</v>
      </c>
      <c r="B2716" s="5">
        <v>92464</v>
      </c>
      <c r="C2716" s="5">
        <v>72343519</v>
      </c>
      <c r="D2716" s="5" t="s">
        <v>12067</v>
      </c>
      <c r="F2716" s="5"/>
      <c r="H2716" s="5">
        <v>573176797380</v>
      </c>
      <c r="J2716" s="5" t="s">
        <v>12068</v>
      </c>
      <c r="K2716" s="5" t="s">
        <v>405</v>
      </c>
      <c r="L2716" s="5" t="s">
        <v>12069</v>
      </c>
      <c r="M2716" s="5">
        <v>573245011642</v>
      </c>
      <c r="N2716" s="6">
        <v>46087</v>
      </c>
      <c r="O2716" s="7">
        <v>0.33333333333333331</v>
      </c>
      <c r="P2716" s="5">
        <v>1</v>
      </c>
      <c r="Q2716" s="5" t="s">
        <v>12070</v>
      </c>
      <c r="R2716" s="5">
        <v>375000</v>
      </c>
      <c r="S2716" s="5">
        <v>0</v>
      </c>
      <c r="T2716" s="5">
        <v>35000</v>
      </c>
      <c r="U2716" s="5">
        <v>410000</v>
      </c>
      <c r="V2716" s="5" t="s">
        <v>12071</v>
      </c>
      <c r="W2716" s="5" t="s">
        <v>36</v>
      </c>
      <c r="X2716" s="5" t="s">
        <v>1481</v>
      </c>
      <c r="Z2716" s="5" t="s">
        <v>12072</v>
      </c>
      <c r="AA2716" s="5" t="s">
        <v>44</v>
      </c>
      <c r="AC2716" s="8" t="str">
        <f>HYPERLINK("https://drive.google.com/file/d/10mz37AD1m7QkVP0RPo4YVujBIcIFf1sa/view?usp=drivesdk", "Abrir_Factura")</f>
        <v>Abrir_Factura</v>
      </c>
      <c r="AD2716" s="9">
        <v>46081.395497685182</v>
      </c>
    </row>
    <row r="2717" spans="1:30" ht="12.5">
      <c r="A2717" s="4">
        <v>46080.801962812504</v>
      </c>
      <c r="B2717" s="5">
        <v>92459</v>
      </c>
      <c r="C2717" s="5">
        <v>1020741786</v>
      </c>
      <c r="D2717" s="5" t="s">
        <v>8481</v>
      </c>
      <c r="F2717" s="5"/>
      <c r="H2717" s="5">
        <v>573004614501</v>
      </c>
      <c r="J2717" s="5" t="s">
        <v>8481</v>
      </c>
      <c r="K2717" s="5" t="s">
        <v>12066</v>
      </c>
      <c r="L2717" s="5" t="s">
        <v>12066</v>
      </c>
      <c r="M2717" s="5">
        <v>573004614501</v>
      </c>
      <c r="N2717" s="6">
        <v>46080</v>
      </c>
      <c r="O2717" s="7">
        <v>0</v>
      </c>
      <c r="P2717" s="5">
        <v>1</v>
      </c>
      <c r="Q2717" s="5" t="s">
        <v>42</v>
      </c>
      <c r="R2717" s="5">
        <v>126000</v>
      </c>
      <c r="S2717" s="5">
        <v>0</v>
      </c>
      <c r="T2717" s="5">
        <v>0</v>
      </c>
      <c r="U2717" s="5">
        <v>126000</v>
      </c>
      <c r="V2717" s="5"/>
      <c r="W2717" s="5" t="s">
        <v>36</v>
      </c>
      <c r="X2717" s="5" t="s">
        <v>43</v>
      </c>
      <c r="AA2717" s="5" t="s">
        <v>44</v>
      </c>
      <c r="AC2717" s="8" t="str">
        <f>HYPERLINK("https://drive.google.com/file/d/1k6nc_4ExdOgrP-h082IJ0Fy14TkW_HfZ/view?usp=drivesdk", "Abrir_Factura")</f>
        <v>Abrir_Factura</v>
      </c>
      <c r="AD2717" s="9">
        <v>46080.811585648145</v>
      </c>
    </row>
    <row r="2718" spans="1:30" ht="12.5">
      <c r="A2718" s="4">
        <v>46080.809720150464</v>
      </c>
      <c r="B2718" s="5">
        <v>92458</v>
      </c>
      <c r="C2718" s="5">
        <v>1243448994</v>
      </c>
      <c r="D2718" s="5" t="s">
        <v>3183</v>
      </c>
      <c r="F2718" s="5"/>
      <c r="H2718" s="5">
        <v>573043190657</v>
      </c>
      <c r="J2718" s="5" t="s">
        <v>3183</v>
      </c>
      <c r="K2718" s="5" t="s">
        <v>12066</v>
      </c>
      <c r="L2718" s="5" t="s">
        <v>12066</v>
      </c>
      <c r="M2718" s="5">
        <v>573043190657</v>
      </c>
      <c r="N2718" s="6">
        <v>46081</v>
      </c>
      <c r="O2718" s="7">
        <v>0</v>
      </c>
      <c r="P2718" s="5">
        <v>1</v>
      </c>
      <c r="Q2718" s="5" t="s">
        <v>42</v>
      </c>
      <c r="R2718" s="5">
        <v>10000</v>
      </c>
      <c r="S2718" s="5">
        <v>0</v>
      </c>
      <c r="T2718" s="5">
        <v>0</v>
      </c>
      <c r="U2718" s="5">
        <v>10000</v>
      </c>
      <c r="V2718" s="5" t="s">
        <v>1117</v>
      </c>
      <c r="W2718" s="5" t="s">
        <v>36</v>
      </c>
      <c r="X2718" s="5" t="s">
        <v>196</v>
      </c>
      <c r="AA2718" s="5" t="s">
        <v>1717</v>
      </c>
      <c r="AC2718" s="8" t="str">
        <f>HYPERLINK("https://drive.google.com/file/d/1VH_xgzMQGiPnN5GhVDMJS7sGtI_XxznB/view?usp=drivesdk", "Abrir_Factura")</f>
        <v>Abrir_Factura</v>
      </c>
      <c r="AD2718" s="9">
        <v>46080.811273148145</v>
      </c>
    </row>
    <row r="2719" spans="1:30" ht="12.5">
      <c r="A2719" s="4">
        <v>46080.809762743054</v>
      </c>
      <c r="B2719" s="5">
        <v>92457</v>
      </c>
      <c r="C2719" s="5">
        <v>1042242436</v>
      </c>
      <c r="D2719" s="5" t="s">
        <v>12073</v>
      </c>
      <c r="F2719" s="5"/>
      <c r="H2719" s="5">
        <v>573166212722</v>
      </c>
      <c r="J2719" s="5" t="s">
        <v>12073</v>
      </c>
      <c r="K2719" s="5" t="s">
        <v>12066</v>
      </c>
      <c r="L2719" s="5" t="s">
        <v>12066</v>
      </c>
      <c r="M2719" s="5">
        <v>573166212722</v>
      </c>
      <c r="N2719" s="6">
        <v>46080</v>
      </c>
      <c r="O2719" s="7">
        <v>0</v>
      </c>
      <c r="P2719" s="5">
        <v>1</v>
      </c>
      <c r="Q2719" s="5" t="s">
        <v>1545</v>
      </c>
      <c r="R2719" s="5">
        <v>110000</v>
      </c>
      <c r="S2719" s="5">
        <v>0</v>
      </c>
      <c r="T2719" s="5">
        <v>0</v>
      </c>
      <c r="U2719" s="5">
        <v>110000</v>
      </c>
      <c r="V2719" s="5" t="s">
        <v>1117</v>
      </c>
      <c r="W2719" s="5" t="s">
        <v>36</v>
      </c>
      <c r="X2719" s="5" t="s">
        <v>1705</v>
      </c>
      <c r="AA2719" s="5" t="s">
        <v>1717</v>
      </c>
      <c r="AB2719" s="5" t="s">
        <v>12074</v>
      </c>
      <c r="AC2719" s="8" t="str">
        <f>HYPERLINK("https://drive.google.com/file/d/13DhcpuT4vrvOY8qgiBAiTzpglVtJQWR_/view?usp=drivesdk", "Abrir_Factura")</f>
        <v>Abrir_Factura</v>
      </c>
      <c r="AD2719" s="9">
        <v>46080.810729166667</v>
      </c>
    </row>
    <row r="2720" spans="1:30" ht="12.5">
      <c r="A2720" s="4">
        <v>46080.878609918982</v>
      </c>
      <c r="B2720" s="5">
        <v>92469</v>
      </c>
      <c r="C2720" s="5">
        <v>1140838666</v>
      </c>
      <c r="D2720" s="5" t="s">
        <v>12075</v>
      </c>
      <c r="F2720" s="5"/>
      <c r="H2720" s="5">
        <v>573005655483</v>
      </c>
      <c r="J2720" s="5" t="s">
        <v>12076</v>
      </c>
      <c r="K2720" s="5" t="s">
        <v>73</v>
      </c>
      <c r="L2720" s="5" t="s">
        <v>12077</v>
      </c>
      <c r="M2720" s="5">
        <v>573044098221</v>
      </c>
      <c r="N2720" s="6">
        <v>46081</v>
      </c>
      <c r="O2720" s="7">
        <v>0.5</v>
      </c>
      <c r="P2720" s="5">
        <v>1</v>
      </c>
      <c r="Q2720" s="5" t="s">
        <v>222</v>
      </c>
      <c r="R2720" s="5">
        <v>350000</v>
      </c>
      <c r="S2720" s="5">
        <v>0</v>
      </c>
      <c r="T2720" s="5">
        <v>8000</v>
      </c>
      <c r="U2720" s="5">
        <v>358000</v>
      </c>
      <c r="V2720" s="5" t="s">
        <v>2526</v>
      </c>
      <c r="W2720" s="5" t="s">
        <v>36</v>
      </c>
      <c r="X2720" s="5" t="s">
        <v>1481</v>
      </c>
      <c r="Z2720" s="5" t="s">
        <v>12078</v>
      </c>
      <c r="AA2720" s="5" t="s">
        <v>44</v>
      </c>
      <c r="AC2720" s="8" t="str">
        <f>HYPERLINK("https://drive.google.com/file/d/1rWDG79_QSW99LltQP6OyXhh3SL4-vX6-/view?usp=drivesdk", "Abrir_Factura")</f>
        <v>Abrir_Factura</v>
      </c>
      <c r="AD2720" s="9">
        <v>46081.457662037035</v>
      </c>
    </row>
    <row r="2721" spans="1:30" ht="12.5">
      <c r="A2721" s="4">
        <v>46081.30628837963</v>
      </c>
      <c r="B2721" s="5">
        <v>92460</v>
      </c>
      <c r="C2721" s="5">
        <v>1045674390</v>
      </c>
      <c r="D2721" s="5" t="s">
        <v>32</v>
      </c>
      <c r="F2721" s="5"/>
      <c r="H2721" s="5">
        <v>572412082838</v>
      </c>
      <c r="J2721" s="5" t="s">
        <v>32</v>
      </c>
      <c r="K2721" s="5" t="s">
        <v>12066</v>
      </c>
      <c r="L2721" s="5" t="s">
        <v>12066</v>
      </c>
      <c r="M2721" s="5">
        <v>573116753623</v>
      </c>
      <c r="N2721" s="6">
        <v>46081</v>
      </c>
      <c r="O2721" s="7">
        <v>0.33333333333333331</v>
      </c>
      <c r="P2721" s="5">
        <v>1</v>
      </c>
      <c r="Q2721" s="5" t="s">
        <v>178</v>
      </c>
      <c r="R2721" s="5">
        <v>110000</v>
      </c>
      <c r="S2721" s="5">
        <v>0</v>
      </c>
      <c r="T2721" s="5">
        <v>0</v>
      </c>
      <c r="U2721" s="5">
        <v>110000</v>
      </c>
      <c r="V2721" s="5"/>
      <c r="W2721" s="5" t="s">
        <v>36</v>
      </c>
      <c r="X2721" s="5" t="s">
        <v>37</v>
      </c>
      <c r="AA2721" s="5" t="s">
        <v>37</v>
      </c>
      <c r="AB2721" s="5" t="s">
        <v>12079</v>
      </c>
      <c r="AC2721" s="8" t="str">
        <f>HYPERLINK("https://drive.google.com/file/d/15_Pz2QB_OxZwTywukmLb-rYTXkry8SY5/view?usp=drivesdk", "Abrir_Factura")</f>
        <v>Abrir_Factura</v>
      </c>
      <c r="AD2721" s="9">
        <v>46081.306759259256</v>
      </c>
    </row>
    <row r="2722" spans="1:30" ht="12.5">
      <c r="A2722" s="4">
        <v>46081.315401550921</v>
      </c>
      <c r="B2722" s="5">
        <v>92461</v>
      </c>
      <c r="C2722" s="5">
        <v>72345044</v>
      </c>
      <c r="D2722" s="5" t="s">
        <v>12080</v>
      </c>
      <c r="F2722" s="5"/>
      <c r="H2722" s="5">
        <v>573173836934</v>
      </c>
      <c r="J2722" s="5" t="s">
        <v>12081</v>
      </c>
      <c r="K2722" s="5" t="s">
        <v>73</v>
      </c>
      <c r="L2722" s="5" t="s">
        <v>12082</v>
      </c>
      <c r="M2722" s="5">
        <v>573215951699</v>
      </c>
      <c r="N2722" s="6">
        <v>46081</v>
      </c>
      <c r="O2722" s="7">
        <v>0.625</v>
      </c>
      <c r="P2722" s="5">
        <v>1</v>
      </c>
      <c r="Q2722" s="5" t="s">
        <v>178</v>
      </c>
      <c r="R2722" s="5">
        <v>110000</v>
      </c>
      <c r="S2722" s="5">
        <v>0</v>
      </c>
      <c r="T2722" s="5">
        <v>8000</v>
      </c>
      <c r="U2722" s="5">
        <v>118000</v>
      </c>
      <c r="V2722" s="5" t="s">
        <v>12083</v>
      </c>
      <c r="W2722" s="5" t="s">
        <v>36</v>
      </c>
      <c r="X2722" s="5" t="s">
        <v>1481</v>
      </c>
      <c r="Z2722" s="5" t="s">
        <v>12084</v>
      </c>
      <c r="AA2722" s="5" t="s">
        <v>44</v>
      </c>
      <c r="AC2722" s="8" t="str">
        <f>HYPERLINK("https://drive.google.com/file/d/14j9EsVbagE26Bg9xNd2FXikXGhnCHVeZ/view?usp=drivesdk", "Abrir_Factura")</f>
        <v>Abrir_Factura</v>
      </c>
      <c r="AD2722" s="9">
        <v>46081.318564814814</v>
      </c>
    </row>
    <row r="2723" spans="1:30" ht="12.5">
      <c r="A2723" s="4">
        <v>46081.361847222222</v>
      </c>
      <c r="B2723" s="5">
        <v>92462</v>
      </c>
      <c r="C2723" s="5">
        <v>1041691265</v>
      </c>
      <c r="D2723" s="5" t="s">
        <v>12085</v>
      </c>
      <c r="F2723" s="5"/>
      <c r="H2723" s="5">
        <v>573015199784</v>
      </c>
      <c r="J2723" s="5" t="s">
        <v>12086</v>
      </c>
      <c r="K2723" s="5" t="s">
        <v>307</v>
      </c>
      <c r="L2723" s="5" t="s">
        <v>12087</v>
      </c>
      <c r="M2723" s="5">
        <v>573015199784</v>
      </c>
      <c r="N2723" s="6">
        <v>46081</v>
      </c>
      <c r="O2723" s="7">
        <v>0.4375</v>
      </c>
      <c r="P2723" s="5">
        <v>1</v>
      </c>
      <c r="Q2723" s="5" t="s">
        <v>1111</v>
      </c>
      <c r="R2723" s="5">
        <v>140000</v>
      </c>
      <c r="S2723" s="5">
        <v>0</v>
      </c>
      <c r="T2723" s="5">
        <v>10000</v>
      </c>
      <c r="U2723" s="5">
        <v>150000</v>
      </c>
      <c r="V2723" s="5" t="s">
        <v>12088</v>
      </c>
      <c r="W2723" s="5" t="s">
        <v>36</v>
      </c>
      <c r="X2723" s="5" t="s">
        <v>1481</v>
      </c>
      <c r="Z2723" s="5" t="s">
        <v>12089</v>
      </c>
      <c r="AA2723" s="5" t="s">
        <v>44</v>
      </c>
      <c r="AB2723" s="5" t="s">
        <v>3760</v>
      </c>
      <c r="AC2723" s="8" t="str">
        <f>HYPERLINK("https://drive.google.com/file/d/1cd9rqsgUpAKcA7l_V6EIC0r9TRHKW5T0/view?usp=drivesdk", "Abrir_Factura")</f>
        <v>Abrir_Factura</v>
      </c>
      <c r="AD2723" s="9">
        <v>46081.372731481482</v>
      </c>
    </row>
    <row r="2724" spans="1:30" ht="12.5">
      <c r="A2724" s="4">
        <v>46081.372064606483</v>
      </c>
      <c r="B2724" s="5">
        <v>92465</v>
      </c>
      <c r="C2724" s="5">
        <v>1140851590</v>
      </c>
      <c r="D2724" s="5" t="s">
        <v>6006</v>
      </c>
      <c r="F2724" s="5"/>
      <c r="H2724" s="5">
        <v>573004941665</v>
      </c>
      <c r="J2724" s="5" t="s">
        <v>6003</v>
      </c>
      <c r="K2724" s="5" t="s">
        <v>1815</v>
      </c>
      <c r="L2724" s="5" t="s">
        <v>12090</v>
      </c>
      <c r="M2724" s="5">
        <v>573004941665</v>
      </c>
      <c r="N2724" s="6">
        <v>46081</v>
      </c>
      <c r="O2724" s="7">
        <v>0.4375</v>
      </c>
      <c r="P2724" s="5">
        <v>1</v>
      </c>
      <c r="Q2724" s="5" t="s">
        <v>178</v>
      </c>
      <c r="R2724" s="5">
        <v>110000</v>
      </c>
      <c r="S2724" s="5">
        <v>0</v>
      </c>
      <c r="T2724" s="5">
        <v>18000</v>
      </c>
      <c r="U2724" s="5">
        <v>128000</v>
      </c>
      <c r="V2724" s="5" t="s">
        <v>12091</v>
      </c>
      <c r="W2724" s="5" t="s">
        <v>36</v>
      </c>
      <c r="X2724" s="5" t="s">
        <v>1481</v>
      </c>
      <c r="Z2724" s="5" t="s">
        <v>968</v>
      </c>
      <c r="AA2724" s="5" t="s">
        <v>44</v>
      </c>
      <c r="AB2724" s="5" t="s">
        <v>4513</v>
      </c>
      <c r="AC2724" s="8" t="str">
        <f>HYPERLINK("https://drive.google.com/file/d/13McIfEvu2duSl_0urcp-WPEbm4ERdqvN/view?usp=drivesdk", "Abrir_Factura")</f>
        <v>Abrir_Factura</v>
      </c>
      <c r="AD2724" s="9">
        <v>46081.398344907408</v>
      </c>
    </row>
    <row r="2725" spans="1:30" ht="12.5">
      <c r="A2725" s="4">
        <v>46081.386937280091</v>
      </c>
      <c r="B2725" s="5">
        <v>92466</v>
      </c>
      <c r="C2725" s="5">
        <v>1140821972</v>
      </c>
      <c r="D2725" s="5" t="s">
        <v>12092</v>
      </c>
      <c r="F2725" s="5"/>
      <c r="H2725" s="5">
        <v>573007125818</v>
      </c>
      <c r="J2725" s="5" t="s">
        <v>12093</v>
      </c>
      <c r="K2725" s="5" t="s">
        <v>563</v>
      </c>
      <c r="L2725" s="5" t="s">
        <v>12094</v>
      </c>
      <c r="M2725" s="5">
        <v>573007125818</v>
      </c>
      <c r="N2725" s="6">
        <v>46081</v>
      </c>
      <c r="O2725" s="7">
        <v>0.4375</v>
      </c>
      <c r="P2725" s="5">
        <v>1</v>
      </c>
      <c r="Q2725" s="5" t="s">
        <v>335</v>
      </c>
      <c r="R2725" s="5">
        <v>120000</v>
      </c>
      <c r="S2725" s="5">
        <v>0</v>
      </c>
      <c r="T2725" s="5">
        <v>15000</v>
      </c>
      <c r="U2725" s="5">
        <v>135000</v>
      </c>
      <c r="V2725" s="5" t="s">
        <v>12095</v>
      </c>
      <c r="W2725" s="5" t="s">
        <v>36</v>
      </c>
      <c r="X2725" s="5" t="s">
        <v>1481</v>
      </c>
      <c r="Z2725" s="5" t="s">
        <v>12096</v>
      </c>
      <c r="AA2725" s="5" t="s">
        <v>44</v>
      </c>
      <c r="AB2725" s="5" t="s">
        <v>12097</v>
      </c>
      <c r="AC2725" s="8" t="str">
        <f>HYPERLINK("https://drive.google.com/file/d/1PtKXLTxpZefahwSjMN5dGdr0LOlodsGC/view?usp=drivesdk", "Abrir_Factura")</f>
        <v>Abrir_Factura</v>
      </c>
      <c r="AD2725" s="9">
        <v>46081.406064814815</v>
      </c>
    </row>
    <row r="2726" spans="1:30" ht="12.5">
      <c r="A2726" s="4">
        <v>46081.389215011572</v>
      </c>
      <c r="B2726" s="5">
        <v>92463</v>
      </c>
      <c r="C2726" s="5">
        <v>1192747791</v>
      </c>
      <c r="D2726" s="5" t="s">
        <v>12098</v>
      </c>
      <c r="F2726" s="5"/>
      <c r="H2726" s="5">
        <v>573011428262</v>
      </c>
      <c r="J2726" s="5" t="s">
        <v>371</v>
      </c>
      <c r="K2726" s="5" t="s">
        <v>1317</v>
      </c>
      <c r="L2726" s="5" t="s">
        <v>12099</v>
      </c>
      <c r="M2726" s="5">
        <v>573184941612</v>
      </c>
      <c r="N2726" s="6">
        <v>46081</v>
      </c>
      <c r="O2726" s="7">
        <v>0.4375</v>
      </c>
      <c r="P2726" s="5">
        <v>1</v>
      </c>
      <c r="Q2726" s="5" t="s">
        <v>96</v>
      </c>
      <c r="R2726" s="5">
        <v>250000</v>
      </c>
      <c r="S2726" s="5">
        <v>0</v>
      </c>
      <c r="T2726" s="5">
        <v>12000</v>
      </c>
      <c r="U2726" s="5">
        <v>262000</v>
      </c>
      <c r="V2726" s="5"/>
      <c r="W2726" s="5" t="s">
        <v>36</v>
      </c>
      <c r="X2726" s="5" t="s">
        <v>196</v>
      </c>
      <c r="AA2726" s="5" t="s">
        <v>1717</v>
      </c>
      <c r="AC2726" s="8" t="str">
        <f>HYPERLINK("https://drive.google.com/file/d/1E66Zam_X_5WOAVw-mnK9NvMBsGKZoGg_/view?usp=drivesdk", "Abrir_Factura")</f>
        <v>Abrir_Factura</v>
      </c>
      <c r="AD2726" s="9">
        <v>46081.390381944446</v>
      </c>
    </row>
    <row r="2727" spans="1:30" ht="12.5">
      <c r="A2727" s="4">
        <v>46081.41057537037</v>
      </c>
      <c r="B2727" s="5">
        <v>92467</v>
      </c>
      <c r="C2727" s="5">
        <v>1140881312</v>
      </c>
      <c r="D2727" s="5" t="s">
        <v>12100</v>
      </c>
      <c r="F2727" s="5"/>
      <c r="H2727" s="5">
        <v>573104595777</v>
      </c>
      <c r="J2727" s="5" t="s">
        <v>12100</v>
      </c>
      <c r="K2727" s="5" t="s">
        <v>12066</v>
      </c>
      <c r="L2727" s="5" t="s">
        <v>12066</v>
      </c>
      <c r="M2727" s="5">
        <v>573104595777</v>
      </c>
      <c r="N2727" s="6">
        <v>46081</v>
      </c>
      <c r="O2727" s="7">
        <v>0.4375</v>
      </c>
      <c r="P2727" s="5">
        <v>1</v>
      </c>
      <c r="Q2727" s="5" t="s">
        <v>178</v>
      </c>
      <c r="R2727" s="5">
        <v>110000</v>
      </c>
      <c r="S2727" s="5">
        <v>0</v>
      </c>
      <c r="T2727" s="5">
        <v>0</v>
      </c>
      <c r="U2727" s="5">
        <v>110000</v>
      </c>
      <c r="V2727" s="5" t="s">
        <v>12101</v>
      </c>
      <c r="W2727" s="5" t="s">
        <v>36</v>
      </c>
      <c r="X2727" s="5" t="s">
        <v>1481</v>
      </c>
      <c r="Z2727" s="5" t="s">
        <v>12102</v>
      </c>
      <c r="AA2727" s="5" t="s">
        <v>44</v>
      </c>
      <c r="AC2727" s="8" t="str">
        <f>HYPERLINK("https://drive.google.com/file/d/1zuiKpvC6Pcrz4cX1eAz9PCYNgU-W9Lyj/view?usp=drivesdk", "Abrir_Factura")</f>
        <v>Abrir_Factura</v>
      </c>
      <c r="AD2727" s="9">
        <v>46081.418368055558</v>
      </c>
    </row>
    <row r="2728" spans="1:30" ht="12.5">
      <c r="A2728" s="4">
        <v>46081.426792280094</v>
      </c>
      <c r="B2728" s="5">
        <v>92472</v>
      </c>
      <c r="C2728" s="5">
        <v>22460782</v>
      </c>
      <c r="D2728" s="5" t="s">
        <v>12103</v>
      </c>
      <c r="F2728" s="5" t="s">
        <v>399</v>
      </c>
      <c r="H2728" s="5">
        <v>573106307990</v>
      </c>
      <c r="J2728" s="5" t="s">
        <v>12104</v>
      </c>
      <c r="K2728" s="5" t="s">
        <v>33</v>
      </c>
      <c r="L2728" s="5" t="s">
        <v>34</v>
      </c>
      <c r="M2728" s="5">
        <v>3106307990</v>
      </c>
      <c r="N2728" s="6">
        <v>46081</v>
      </c>
      <c r="O2728" s="7">
        <v>0.54166666666666663</v>
      </c>
      <c r="P2728" s="5">
        <v>1</v>
      </c>
      <c r="Q2728" s="5" t="s">
        <v>12105</v>
      </c>
      <c r="R2728" s="5">
        <v>230000</v>
      </c>
      <c r="S2728" s="5">
        <v>0</v>
      </c>
      <c r="T2728" s="5">
        <v>0</v>
      </c>
      <c r="U2728" s="5">
        <v>230000</v>
      </c>
      <c r="V2728" s="5" t="s">
        <v>12106</v>
      </c>
      <c r="W2728" s="5" t="s">
        <v>36</v>
      </c>
      <c r="X2728" s="5" t="s">
        <v>1705</v>
      </c>
      <c r="Z2728" s="5" t="s">
        <v>12107</v>
      </c>
      <c r="AA2728" s="5" t="s">
        <v>44</v>
      </c>
      <c r="AC2728" s="8" t="str">
        <f>HYPERLINK("https://drive.google.com/file/d/1vcqMrN3kwfBeSPDPrnldhvvsWZlPF1I-/view?usp=drivesdk", "Abrir_Factura")</f>
        <v>Abrir_Factura</v>
      </c>
      <c r="AD2728" s="9">
        <v>46083.49628472222</v>
      </c>
    </row>
    <row r="2729" spans="1:30" ht="12.5">
      <c r="A2729" s="4">
        <v>46081.444520914352</v>
      </c>
      <c r="B2729" s="5">
        <v>92473</v>
      </c>
      <c r="C2729" s="5">
        <v>1140875499</v>
      </c>
      <c r="D2729" s="5" t="s">
        <v>12108</v>
      </c>
      <c r="F2729" s="5"/>
      <c r="H2729" s="5">
        <v>573186953307</v>
      </c>
      <c r="J2729" s="5" t="s">
        <v>12109</v>
      </c>
      <c r="K2729" s="5" t="s">
        <v>249</v>
      </c>
      <c r="L2729" s="5" t="s">
        <v>12110</v>
      </c>
      <c r="M2729" s="5">
        <v>573128605300</v>
      </c>
      <c r="N2729" s="6">
        <v>46081</v>
      </c>
      <c r="O2729" s="7">
        <v>0.58333333333333337</v>
      </c>
      <c r="P2729" s="5">
        <v>1</v>
      </c>
      <c r="Q2729" s="5" t="s">
        <v>42</v>
      </c>
      <c r="R2729" s="5">
        <v>140000</v>
      </c>
      <c r="S2729" s="5">
        <v>0</v>
      </c>
      <c r="T2729" s="5">
        <v>10000</v>
      </c>
      <c r="U2729" s="5">
        <v>150000</v>
      </c>
      <c r="V2729" s="5" t="s">
        <v>12111</v>
      </c>
      <c r="W2729" s="5" t="s">
        <v>36</v>
      </c>
      <c r="X2729" s="5" t="s">
        <v>67</v>
      </c>
      <c r="Z2729" s="5" t="s">
        <v>12112</v>
      </c>
      <c r="AA2729" s="5" t="s">
        <v>44</v>
      </c>
      <c r="AB2729" s="5" t="s">
        <v>12113</v>
      </c>
      <c r="AC2729" s="8" t="str">
        <f>HYPERLINK("https://drive.google.com/file/d/13e22YC4PrORaFxJSiaADZFqmHqxjV7P6/view?usp=drivesdk", "Abrir_Factura")</f>
        <v>Abrir_Factura</v>
      </c>
      <c r="AD2729" s="9">
        <v>46081.486157407409</v>
      </c>
    </row>
    <row r="2730" spans="1:30" ht="12.5">
      <c r="A2730" s="4">
        <v>46081.447497673609</v>
      </c>
      <c r="B2730" s="5">
        <v>92468</v>
      </c>
      <c r="C2730" s="5">
        <v>1129569019</v>
      </c>
      <c r="D2730" s="5" t="s">
        <v>1173</v>
      </c>
      <c r="F2730" s="5" t="s">
        <v>4364</v>
      </c>
      <c r="H2730" s="5">
        <v>573012394343</v>
      </c>
      <c r="J2730" s="5" t="s">
        <v>12114</v>
      </c>
      <c r="K2730" s="5"/>
      <c r="L2730" s="5" t="s">
        <v>12115</v>
      </c>
      <c r="M2730" s="5">
        <v>3012394343</v>
      </c>
      <c r="N2730" s="6">
        <v>46081</v>
      </c>
      <c r="O2730" s="7">
        <v>0.45833333333333331</v>
      </c>
      <c r="P2730" s="5">
        <v>1</v>
      </c>
      <c r="Q2730" s="5" t="s">
        <v>42</v>
      </c>
      <c r="R2730" s="5">
        <v>48000</v>
      </c>
      <c r="S2730" s="5">
        <v>0</v>
      </c>
      <c r="T2730" s="5"/>
      <c r="U2730" s="5">
        <v>48000</v>
      </c>
      <c r="V2730" s="5"/>
      <c r="W2730" s="5" t="s">
        <v>36</v>
      </c>
      <c r="X2730" s="5" t="s">
        <v>67</v>
      </c>
      <c r="AA2730" s="5" t="s">
        <v>44</v>
      </c>
      <c r="AB2730" s="5" t="s">
        <v>12116</v>
      </c>
      <c r="AC2730" s="8" t="str">
        <f>HYPERLINK("https://drive.google.com/file/d/1Ry-0f2tdEeKrgDn5ZavU_of1epBT_4H_/view?usp=drivesdk", "Abrir_Factura")</f>
        <v>Abrir_Factura</v>
      </c>
      <c r="AD2730" s="9">
        <v>46081.537280092591</v>
      </c>
    </row>
    <row r="2731" spans="1:30" ht="12.5">
      <c r="A2731" s="4">
        <v>46081.450238645833</v>
      </c>
      <c r="B2731" s="5">
        <v>92470</v>
      </c>
      <c r="C2731" s="5">
        <v>1129571250</v>
      </c>
      <c r="D2731" s="5" t="s">
        <v>12117</v>
      </c>
      <c r="F2731" s="5"/>
      <c r="H2731" s="5">
        <v>573059260093</v>
      </c>
      <c r="J2731" s="5" t="s">
        <v>12118</v>
      </c>
      <c r="K2731" s="5" t="s">
        <v>8750</v>
      </c>
      <c r="L2731" s="5" t="s">
        <v>12119</v>
      </c>
      <c r="M2731" s="5">
        <v>573014172321</v>
      </c>
      <c r="N2731" s="6">
        <v>46081</v>
      </c>
      <c r="O2731" s="7">
        <v>0.54166666666666663</v>
      </c>
      <c r="P2731" s="5">
        <v>1</v>
      </c>
      <c r="Q2731" s="5" t="s">
        <v>380</v>
      </c>
      <c r="R2731" s="5">
        <v>340000</v>
      </c>
      <c r="S2731" s="5">
        <v>0</v>
      </c>
      <c r="T2731" s="5">
        <v>30000</v>
      </c>
      <c r="U2731" s="5">
        <v>370000</v>
      </c>
      <c r="V2731" s="5" t="s">
        <v>12120</v>
      </c>
      <c r="W2731" s="5" t="s">
        <v>36</v>
      </c>
      <c r="X2731" s="5" t="s">
        <v>67</v>
      </c>
      <c r="Z2731" s="5" t="s">
        <v>11998</v>
      </c>
      <c r="AA2731" s="5" t="s">
        <v>44</v>
      </c>
      <c r="AC2731" s="8" t="str">
        <f>HYPERLINK("https://drive.google.com/file/d/1xeSPDP6BkS7WGStS1G5H9ed9Je93Etuh/view?usp=drivesdk", "Abrir_Factura")</f>
        <v>Abrir_Factura</v>
      </c>
      <c r="AD2731" s="9">
        <v>46081.463356481479</v>
      </c>
    </row>
    <row r="2732" spans="1:30" ht="12.5">
      <c r="A2732" s="4">
        <v>46081.468287349533</v>
      </c>
      <c r="B2732" s="5">
        <v>92471</v>
      </c>
      <c r="C2732" s="5">
        <v>32768151</v>
      </c>
      <c r="D2732" s="5" t="s">
        <v>12121</v>
      </c>
      <c r="F2732" s="5" t="s">
        <v>6131</v>
      </c>
      <c r="H2732" s="5">
        <v>5.73277E+19</v>
      </c>
      <c r="J2732" s="5" t="s">
        <v>9483</v>
      </c>
      <c r="K2732" s="5" t="s">
        <v>33</v>
      </c>
      <c r="L2732" s="5" t="s">
        <v>34</v>
      </c>
      <c r="M2732" s="5" t="s">
        <v>12122</v>
      </c>
      <c r="N2732" s="6">
        <v>46081</v>
      </c>
      <c r="O2732" s="7">
        <v>0</v>
      </c>
      <c r="P2732" s="5">
        <v>1</v>
      </c>
      <c r="Q2732" s="5" t="s">
        <v>42</v>
      </c>
      <c r="R2732" s="5">
        <v>62000</v>
      </c>
      <c r="S2732" s="5">
        <v>0</v>
      </c>
      <c r="T2732" s="5">
        <v>0</v>
      </c>
      <c r="U2732" s="5">
        <v>62000</v>
      </c>
      <c r="V2732" s="5"/>
      <c r="W2732" s="5" t="s">
        <v>36</v>
      </c>
      <c r="X2732" s="5" t="s">
        <v>1705</v>
      </c>
      <c r="AA2732" s="5" t="s">
        <v>1717</v>
      </c>
      <c r="AB2732" s="5" t="s">
        <v>525</v>
      </c>
      <c r="AC2732" s="8" t="str">
        <f>HYPERLINK("https://drive.google.com/file/d/1ABCHkaGfbr8QrZguq0KfC26K8XeT9oAP/view?usp=drivesdk", "Abrir_Factura")</f>
        <v>Abrir_Factura</v>
      </c>
      <c r="AD2732" s="9">
        <v>46081.469155092593</v>
      </c>
    </row>
    <row r="2733" spans="1:30" ht="12.5">
      <c r="A2733" s="4">
        <v>46081.468830706013</v>
      </c>
      <c r="B2733" s="5">
        <v>92475</v>
      </c>
      <c r="C2733" s="5">
        <v>1001916787</v>
      </c>
      <c r="D2733" s="5" t="s">
        <v>12123</v>
      </c>
      <c r="F2733" s="5"/>
      <c r="H2733" s="5">
        <v>573175494728</v>
      </c>
      <c r="J2733" s="5" t="s">
        <v>12124</v>
      </c>
      <c r="K2733" s="5" t="s">
        <v>448</v>
      </c>
      <c r="L2733" s="5" t="s">
        <v>12125</v>
      </c>
      <c r="M2733" s="5">
        <v>573232842683</v>
      </c>
      <c r="N2733" s="6">
        <v>46081</v>
      </c>
      <c r="O2733" s="7">
        <v>0.58333333333333337</v>
      </c>
      <c r="P2733" s="5">
        <v>1</v>
      </c>
      <c r="Q2733" s="5" t="s">
        <v>375</v>
      </c>
      <c r="R2733" s="5">
        <v>80000</v>
      </c>
      <c r="S2733" s="5">
        <v>0</v>
      </c>
      <c r="T2733" s="5">
        <v>15000</v>
      </c>
      <c r="U2733" s="5">
        <v>95000</v>
      </c>
      <c r="V2733" s="5" t="s">
        <v>12126</v>
      </c>
      <c r="W2733" s="5" t="s">
        <v>36</v>
      </c>
      <c r="X2733" s="5" t="s">
        <v>180</v>
      </c>
      <c r="Z2733" s="5" t="s">
        <v>12127</v>
      </c>
      <c r="AA2733" s="5" t="s">
        <v>44</v>
      </c>
      <c r="AC2733" s="8" t="str">
        <f>HYPERLINK("https://drive.google.com/file/d/1H5_ndofaussVm7WpdsipZ0KLUwBLIBIK/view?usp=drivesdk", "Abrir_Factura")</f>
        <v>Abrir_Factura</v>
      </c>
      <c r="AD2733" s="9">
        <v>46081.507685185185</v>
      </c>
    </row>
    <row r="2734" spans="1:30" ht="12.5">
      <c r="A2734" s="4">
        <v>46081.50363230324</v>
      </c>
      <c r="B2734" s="5">
        <v>92474</v>
      </c>
      <c r="C2734" s="5">
        <v>72133478</v>
      </c>
      <c r="D2734" s="5" t="s">
        <v>4482</v>
      </c>
      <c r="F2734" s="5" t="s">
        <v>12128</v>
      </c>
      <c r="H2734" s="5">
        <v>573155681115</v>
      </c>
      <c r="J2734" s="5" t="s">
        <v>12129</v>
      </c>
      <c r="K2734" s="5" t="s">
        <v>33</v>
      </c>
      <c r="L2734" s="5" t="s">
        <v>34</v>
      </c>
      <c r="M2734" s="5">
        <v>3155681115</v>
      </c>
      <c r="N2734" s="6">
        <v>46081</v>
      </c>
      <c r="O2734" s="7">
        <v>0</v>
      </c>
      <c r="P2734" s="5">
        <v>1</v>
      </c>
      <c r="Q2734" s="5" t="s">
        <v>12130</v>
      </c>
      <c r="R2734" s="5">
        <v>220000</v>
      </c>
      <c r="S2734" s="5">
        <v>0</v>
      </c>
      <c r="T2734" s="5">
        <v>0</v>
      </c>
      <c r="U2734" s="5">
        <v>220000</v>
      </c>
      <c r="V2734" s="5"/>
      <c r="W2734" s="5" t="s">
        <v>36</v>
      </c>
      <c r="X2734" s="5" t="s">
        <v>1705</v>
      </c>
      <c r="AA2734" s="5" t="s">
        <v>1717</v>
      </c>
      <c r="AB2734" s="5" t="s">
        <v>12131</v>
      </c>
      <c r="AC2734" s="8" t="str">
        <f>HYPERLINK("https://drive.google.com/file/d/1aRycAXb2U2sTWkkdmsRbPI7wOxCVWkU1/view?usp=drivesdk", "Abrir_Factura")</f>
        <v>Abrir_Factura</v>
      </c>
      <c r="AD2734" s="9">
        <v>46081.506562499999</v>
      </c>
    </row>
    <row r="2735" spans="1:30" ht="12.5">
      <c r="A2735" s="4">
        <v>46081.516523148151</v>
      </c>
      <c r="B2735" s="5">
        <v>92477</v>
      </c>
      <c r="C2735" s="5">
        <v>1002156535</v>
      </c>
      <c r="D2735" s="5" t="s">
        <v>5400</v>
      </c>
      <c r="F2735" s="5"/>
      <c r="H2735" s="5">
        <v>573013157902</v>
      </c>
      <c r="J2735" s="5" t="s">
        <v>10948</v>
      </c>
      <c r="K2735" s="5" t="s">
        <v>73</v>
      </c>
      <c r="L2735" s="5" t="s">
        <v>12132</v>
      </c>
      <c r="M2735" s="5">
        <v>573013157902</v>
      </c>
      <c r="N2735" s="6">
        <v>46081</v>
      </c>
      <c r="O2735" s="7">
        <v>0</v>
      </c>
      <c r="P2735" s="5">
        <v>1</v>
      </c>
      <c r="Q2735" s="5" t="s">
        <v>435</v>
      </c>
      <c r="R2735" s="5">
        <v>65000</v>
      </c>
      <c r="S2735" s="5">
        <v>0</v>
      </c>
      <c r="T2735" s="5">
        <v>8000</v>
      </c>
      <c r="U2735" s="5">
        <v>73000</v>
      </c>
      <c r="V2735" s="5" t="s">
        <v>12133</v>
      </c>
      <c r="W2735" s="5" t="s">
        <v>36</v>
      </c>
      <c r="X2735" s="5" t="s">
        <v>67</v>
      </c>
      <c r="Z2735" s="5" t="s">
        <v>12134</v>
      </c>
      <c r="AA2735" s="5" t="s">
        <v>44</v>
      </c>
      <c r="AC2735" s="8" t="str">
        <f>HYPERLINK("https://drive.google.com/file/d/1s1V0Gow-Zi9nLNZEgXO6eJOz1C6MRLMF/view?usp=drivesdk", "Abrir_Factura")</f>
        <v>Abrir_Factura</v>
      </c>
      <c r="AD2735" s="9">
        <v>46081.534953703704</v>
      </c>
    </row>
    <row r="2736" spans="1:30" ht="12.5">
      <c r="A2736" s="4">
        <v>46081.532001412037</v>
      </c>
      <c r="B2736" s="5">
        <v>92476</v>
      </c>
      <c r="C2736" s="5">
        <v>1001945648</v>
      </c>
      <c r="D2736" s="5" t="s">
        <v>2676</v>
      </c>
      <c r="F2736" s="5" t="s">
        <v>2677</v>
      </c>
      <c r="H2736" s="5">
        <v>573012527757</v>
      </c>
      <c r="J2736" s="5" t="s">
        <v>2678</v>
      </c>
      <c r="K2736" s="5" t="s">
        <v>33</v>
      </c>
      <c r="L2736" s="5" t="s">
        <v>34</v>
      </c>
      <c r="M2736" s="5">
        <v>3012527757</v>
      </c>
      <c r="N2736" s="6">
        <v>46081</v>
      </c>
      <c r="O2736" s="7">
        <v>0</v>
      </c>
      <c r="P2736" s="5">
        <v>1</v>
      </c>
      <c r="Q2736" s="5" t="s">
        <v>42</v>
      </c>
      <c r="R2736" s="5">
        <v>27000</v>
      </c>
      <c r="S2736" s="5">
        <v>0</v>
      </c>
      <c r="T2736" s="5">
        <v>0</v>
      </c>
      <c r="U2736" s="5">
        <v>27000</v>
      </c>
      <c r="V2736" s="5"/>
      <c r="W2736" s="5" t="s">
        <v>36</v>
      </c>
      <c r="X2736" s="5" t="s">
        <v>1705</v>
      </c>
      <c r="Z2736" s="5"/>
      <c r="AA2736" s="5" t="s">
        <v>1717</v>
      </c>
      <c r="AC2736" s="8" t="str">
        <f>HYPERLINK("https://drive.google.com/file/d/1XMHZFAvAC9w35G-B0EKJjAXdNDF6Ebhz/view?usp=drivesdk", "Abrir_Factura")</f>
        <v>Abrir_Factura</v>
      </c>
      <c r="AD2736" s="9">
        <v>46081.532777777778</v>
      </c>
    </row>
    <row r="2737" spans="1:30" ht="12.5">
      <c r="A2737" s="4">
        <v>46081.53363583333</v>
      </c>
      <c r="B2737" s="5">
        <v>92479</v>
      </c>
      <c r="C2737" s="5">
        <v>1043660260</v>
      </c>
      <c r="D2737" s="5" t="s">
        <v>12135</v>
      </c>
      <c r="F2737" s="5"/>
      <c r="H2737" s="5">
        <v>573207881015</v>
      </c>
      <c r="J2737" s="5" t="s">
        <v>12136</v>
      </c>
      <c r="K2737" s="5" t="s">
        <v>516</v>
      </c>
      <c r="L2737" s="5" t="s">
        <v>12137</v>
      </c>
      <c r="M2737" s="5">
        <v>573205241630</v>
      </c>
      <c r="N2737" s="6">
        <v>46081</v>
      </c>
      <c r="O2737" s="7">
        <v>0.60416666666666663</v>
      </c>
      <c r="P2737" s="5">
        <v>1</v>
      </c>
      <c r="Q2737" s="5" t="s">
        <v>375</v>
      </c>
      <c r="R2737" s="5">
        <v>80000</v>
      </c>
      <c r="S2737" s="5">
        <v>0</v>
      </c>
      <c r="T2737" s="5">
        <v>10000</v>
      </c>
      <c r="U2737" s="5">
        <v>90000</v>
      </c>
      <c r="V2737" s="5" t="s">
        <v>12138</v>
      </c>
      <c r="W2737" s="5" t="s">
        <v>36</v>
      </c>
      <c r="X2737" s="5" t="s">
        <v>83</v>
      </c>
      <c r="Z2737" s="5" t="s">
        <v>12139</v>
      </c>
      <c r="AA2737" s="5" t="s">
        <v>44</v>
      </c>
      <c r="AC2737" s="8" t="str">
        <f>HYPERLINK("https://drive.google.com/file/d/19oJkm9DpnQmMT-mBzM5ObYro7Qwdwe7a/view?usp=drivesdk", "Abrir_Factura")</f>
        <v>Abrir_Factura</v>
      </c>
      <c r="AD2737" s="9">
        <v>46081.55023148148</v>
      </c>
    </row>
    <row r="2738" spans="1:30" ht="12.5">
      <c r="A2738" s="4">
        <v>46081.53937481482</v>
      </c>
      <c r="B2738" s="5">
        <v>92478</v>
      </c>
      <c r="C2738" s="5">
        <v>1234096286</v>
      </c>
      <c r="D2738" s="5" t="s">
        <v>12140</v>
      </c>
      <c r="F2738" s="5"/>
      <c r="H2738" s="5">
        <v>573217530452</v>
      </c>
      <c r="J2738" s="5" t="s">
        <v>12141</v>
      </c>
      <c r="K2738" s="5" t="s">
        <v>1057</v>
      </c>
      <c r="L2738" s="5" t="s">
        <v>12142</v>
      </c>
      <c r="M2738" s="5">
        <v>573217530452</v>
      </c>
      <c r="N2738" s="6">
        <v>46081</v>
      </c>
      <c r="O2738" s="7">
        <v>0.625</v>
      </c>
      <c r="P2738" s="5">
        <v>1</v>
      </c>
      <c r="Q2738" s="5" t="s">
        <v>12143</v>
      </c>
      <c r="R2738" s="5">
        <v>80000</v>
      </c>
      <c r="S2738" s="5">
        <v>0</v>
      </c>
      <c r="T2738" s="5">
        <v>14000</v>
      </c>
      <c r="U2738" s="5">
        <v>94000</v>
      </c>
      <c r="V2738" s="5" t="s">
        <v>12144</v>
      </c>
      <c r="W2738" s="5" t="s">
        <v>36</v>
      </c>
      <c r="X2738" s="5" t="s">
        <v>1481</v>
      </c>
      <c r="Z2738" s="5" t="s">
        <v>12145</v>
      </c>
      <c r="AA2738" s="5" t="s">
        <v>44</v>
      </c>
      <c r="AB2738" s="5"/>
      <c r="AC2738" s="8" t="str">
        <f>HYPERLINK("https://drive.google.com/file/d/1DEUukKmJOaZ9szUBjLraMwHFme__RvQT/view?usp=drivesdk", "Abrir_Factura")</f>
        <v>Abrir_Factura</v>
      </c>
      <c r="AD2738" s="9">
        <v>46081.547268518516</v>
      </c>
    </row>
    <row r="2739" spans="1:30" ht="12.5">
      <c r="A2739" s="4">
        <v>46081.541980069444</v>
      </c>
      <c r="B2739" s="5">
        <v>92480</v>
      </c>
      <c r="C2739" s="5">
        <v>22468328</v>
      </c>
      <c r="D2739" s="5" t="s">
        <v>1991</v>
      </c>
      <c r="F2739" s="5"/>
      <c r="H2739" s="5">
        <v>573106011462</v>
      </c>
      <c r="J2739" s="5" t="s">
        <v>12146</v>
      </c>
      <c r="K2739" s="5" t="s">
        <v>161</v>
      </c>
      <c r="L2739" s="5" t="s">
        <v>12147</v>
      </c>
      <c r="M2739" s="5">
        <v>573106011462</v>
      </c>
      <c r="N2739" s="6">
        <v>46081</v>
      </c>
      <c r="O2739" s="7">
        <v>0.58333333333333337</v>
      </c>
      <c r="P2739" s="5">
        <v>1</v>
      </c>
      <c r="Q2739" s="5" t="s">
        <v>707</v>
      </c>
      <c r="R2739" s="5">
        <v>360000</v>
      </c>
      <c r="S2739" s="5">
        <v>0</v>
      </c>
      <c r="T2739" s="5">
        <v>8000</v>
      </c>
      <c r="U2739" s="5">
        <v>368000</v>
      </c>
      <c r="V2739" s="5" t="s">
        <v>12148</v>
      </c>
      <c r="W2739" s="5" t="s">
        <v>36</v>
      </c>
      <c r="X2739" s="5" t="s">
        <v>1481</v>
      </c>
      <c r="Z2739" s="5" t="s">
        <v>12149</v>
      </c>
      <c r="AA2739" s="5" t="s">
        <v>44</v>
      </c>
      <c r="AB2739" s="5" t="s">
        <v>12150</v>
      </c>
      <c r="AC2739" s="8" t="str">
        <f>HYPERLINK("https://drive.google.com/file/d/16CZvlL9PzWBe-nYqUABGDYComtDd7tdo/view?usp=drivesdk", "Abrir_Factura")</f>
        <v>Abrir_Factura</v>
      </c>
      <c r="AD2739" s="9">
        <v>46081.705914351849</v>
      </c>
    </row>
    <row r="2740" spans="1:30" ht="12.5">
      <c r="A2740" s="4">
        <v>46081.573963553237</v>
      </c>
      <c r="B2740" s="5">
        <v>92481</v>
      </c>
      <c r="C2740" s="5">
        <v>1140899685</v>
      </c>
      <c r="D2740" s="5" t="s">
        <v>4503</v>
      </c>
      <c r="F2740" s="5"/>
      <c r="H2740" s="5">
        <v>573015568680</v>
      </c>
      <c r="J2740" s="5" t="s">
        <v>4503</v>
      </c>
      <c r="K2740" s="5" t="s">
        <v>12066</v>
      </c>
      <c r="L2740" s="5" t="s">
        <v>12066</v>
      </c>
      <c r="M2740" s="5">
        <v>573015568680</v>
      </c>
      <c r="N2740" s="6">
        <v>46081</v>
      </c>
      <c r="O2740" s="7">
        <v>0</v>
      </c>
      <c r="P2740" s="5">
        <v>1</v>
      </c>
      <c r="Q2740" s="5" t="s">
        <v>42</v>
      </c>
      <c r="R2740" s="5">
        <v>12000</v>
      </c>
      <c r="S2740" s="5">
        <v>0</v>
      </c>
      <c r="T2740" s="5">
        <v>0</v>
      </c>
      <c r="U2740" s="5">
        <v>12000</v>
      </c>
      <c r="V2740" s="5" t="s">
        <v>1117</v>
      </c>
      <c r="W2740" s="5" t="s">
        <v>36</v>
      </c>
      <c r="X2740" s="5" t="s">
        <v>196</v>
      </c>
      <c r="Z2740" s="5"/>
      <c r="AA2740" s="5" t="s">
        <v>1717</v>
      </c>
      <c r="AB2740" s="5"/>
      <c r="AC2740" s="8" t="str">
        <f>HYPERLINK("https://drive.google.com/file/d/1cAGGrwRRUW-htJXQoHqQoaYK6Wa0i2vI/view?usp=drivesdk", "Abrir_Factura")</f>
        <v>Abrir_Factura</v>
      </c>
      <c r="AD2740" s="9">
        <v>46081.574756944443</v>
      </c>
    </row>
    <row r="2741" spans="1:30" ht="12.5">
      <c r="A2741" s="4">
        <v>46081.590098298606</v>
      </c>
      <c r="B2741" s="5">
        <v>92484</v>
      </c>
      <c r="C2741" s="5">
        <v>1045756774</v>
      </c>
      <c r="D2741" s="5" t="s">
        <v>12151</v>
      </c>
      <c r="F2741" s="5"/>
      <c r="H2741" s="5">
        <v>573013974702</v>
      </c>
      <c r="J2741" s="5" t="s">
        <v>12152</v>
      </c>
      <c r="K2741" s="5" t="s">
        <v>405</v>
      </c>
      <c r="L2741" s="5" t="s">
        <v>12153</v>
      </c>
      <c r="M2741" s="5">
        <v>573023136726</v>
      </c>
      <c r="N2741" s="6">
        <v>46081</v>
      </c>
      <c r="O2741" s="7">
        <v>0</v>
      </c>
      <c r="P2741" s="5">
        <v>1</v>
      </c>
      <c r="Q2741" s="5" t="s">
        <v>75</v>
      </c>
      <c r="R2741" s="5">
        <v>80000</v>
      </c>
      <c r="S2741" s="5">
        <v>0</v>
      </c>
      <c r="T2741" s="5">
        <v>35000</v>
      </c>
      <c r="U2741" s="5">
        <v>115000</v>
      </c>
      <c r="V2741" s="5" t="s">
        <v>12154</v>
      </c>
      <c r="W2741" s="5" t="s">
        <v>36</v>
      </c>
      <c r="X2741" s="5" t="s">
        <v>1481</v>
      </c>
      <c r="Z2741" s="5" t="s">
        <v>12155</v>
      </c>
      <c r="AA2741" s="5" t="s">
        <v>44</v>
      </c>
      <c r="AB2741" s="5"/>
      <c r="AC2741" s="8" t="str">
        <f>HYPERLINK("https://drive.google.com/file/d/1rhQPI4YBD7Anjzf6DIui5SZNHV_TVAbj/view?usp=drivesdk", "Abrir_Factura")</f>
        <v>Abrir_Factura</v>
      </c>
      <c r="AD2741" s="9">
        <v>46081.639664351853</v>
      </c>
    </row>
    <row r="2742" spans="1:30" ht="12.5">
      <c r="A2742" s="4">
        <v>46081.594278888893</v>
      </c>
      <c r="B2742" s="5">
        <v>92483</v>
      </c>
      <c r="C2742" s="5">
        <v>1003381583</v>
      </c>
      <c r="D2742" s="5" t="s">
        <v>12156</v>
      </c>
      <c r="F2742" s="5"/>
      <c r="H2742" s="5">
        <v>573017429329</v>
      </c>
      <c r="J2742" s="5" t="s">
        <v>12157</v>
      </c>
      <c r="K2742" s="5" t="s">
        <v>103</v>
      </c>
      <c r="L2742" s="5" t="s">
        <v>12158</v>
      </c>
      <c r="M2742" s="5">
        <v>573012751626</v>
      </c>
      <c r="N2742" s="6">
        <v>46081</v>
      </c>
      <c r="O2742" s="7">
        <v>0</v>
      </c>
      <c r="P2742" s="5">
        <v>1</v>
      </c>
      <c r="Q2742" s="5" t="s">
        <v>435</v>
      </c>
      <c r="R2742" s="5">
        <v>65000</v>
      </c>
      <c r="S2742" s="5">
        <v>0</v>
      </c>
      <c r="T2742" s="5">
        <v>10000</v>
      </c>
      <c r="U2742" s="5">
        <v>75000</v>
      </c>
      <c r="V2742" s="5" t="s">
        <v>12159</v>
      </c>
      <c r="W2742" s="5" t="s">
        <v>36</v>
      </c>
      <c r="X2742" s="5" t="s">
        <v>83</v>
      </c>
      <c r="Z2742" s="5" t="s">
        <v>7026</v>
      </c>
      <c r="AA2742" s="5" t="s">
        <v>44</v>
      </c>
      <c r="AB2742" s="5" t="s">
        <v>12160</v>
      </c>
      <c r="AC2742" s="8" t="str">
        <f>HYPERLINK("https://drive.google.com/file/d/1_PuHHVOLfGnBmz_-dbdRGwA2nP2fcXsW/view?usp=drivesdk", "Abrir_Factura")</f>
        <v>Abrir_Factura</v>
      </c>
      <c r="AD2742" s="9">
        <v>46081.621342592596</v>
      </c>
    </row>
    <row r="2743" spans="1:30" ht="12.5">
      <c r="A2743" s="4">
        <v>46081.611959502319</v>
      </c>
      <c r="B2743" s="5">
        <v>92482</v>
      </c>
      <c r="C2743" s="5">
        <v>1140851520</v>
      </c>
      <c r="D2743" s="5" t="s">
        <v>12161</v>
      </c>
      <c r="F2743" s="5"/>
      <c r="H2743" s="5">
        <v>5717867829394</v>
      </c>
      <c r="J2743" s="5" t="s">
        <v>12162</v>
      </c>
      <c r="K2743" s="5"/>
      <c r="L2743" s="5" t="s">
        <v>12163</v>
      </c>
      <c r="M2743" s="5">
        <v>573114051886</v>
      </c>
      <c r="N2743" s="6">
        <v>46081</v>
      </c>
      <c r="O2743" s="7">
        <v>0.66666666666666663</v>
      </c>
      <c r="P2743" s="5">
        <v>1</v>
      </c>
      <c r="Q2743" s="5" t="s">
        <v>42</v>
      </c>
      <c r="R2743" s="5">
        <v>510000</v>
      </c>
      <c r="S2743" s="5">
        <v>0</v>
      </c>
      <c r="T2743" s="5"/>
      <c r="U2743" s="5">
        <v>510000</v>
      </c>
      <c r="V2743" s="5" t="s">
        <v>12164</v>
      </c>
      <c r="W2743" s="5" t="s">
        <v>36</v>
      </c>
      <c r="X2743" s="5" t="s">
        <v>1937</v>
      </c>
      <c r="Z2743" s="5"/>
      <c r="AA2743" s="5" t="s">
        <v>44</v>
      </c>
      <c r="AB2743" s="5" t="s">
        <v>12165</v>
      </c>
      <c r="AC2743" s="8" t="str">
        <f>HYPERLINK("https://drive.google.com/file/d/1OhOpHd46W6MqU5_dy65GNi8aypVcsKON/view?usp=drivesdk", "Abrir_Factura")</f>
        <v>Abrir_Factura</v>
      </c>
      <c r="AD2743" s="9">
        <v>46081.613275462965</v>
      </c>
    </row>
    <row r="2744" spans="1:30" ht="12.5">
      <c r="A2744" s="4">
        <v>46081.660572164357</v>
      </c>
      <c r="B2744" s="5">
        <v>92486</v>
      </c>
      <c r="C2744" s="5">
        <v>1042849861</v>
      </c>
      <c r="D2744" s="5" t="s">
        <v>12166</v>
      </c>
      <c r="F2744" s="5"/>
      <c r="H2744" s="5">
        <v>573046105529</v>
      </c>
      <c r="J2744" s="5" t="s">
        <v>12167</v>
      </c>
      <c r="K2744" s="5" t="s">
        <v>2090</v>
      </c>
      <c r="L2744" s="5" t="s">
        <v>12168</v>
      </c>
      <c r="M2744" s="5">
        <v>573046105529</v>
      </c>
      <c r="N2744" s="6">
        <v>46081</v>
      </c>
      <c r="O2744" s="7">
        <v>0.70833333333333337</v>
      </c>
      <c r="P2744" s="5">
        <v>1</v>
      </c>
      <c r="Q2744" s="5" t="s">
        <v>8964</v>
      </c>
      <c r="R2744" s="5">
        <v>350000</v>
      </c>
      <c r="S2744" s="5">
        <v>0</v>
      </c>
      <c r="T2744" s="5">
        <v>10000</v>
      </c>
      <c r="U2744" s="5">
        <v>360000</v>
      </c>
      <c r="V2744" s="5" t="s">
        <v>12169</v>
      </c>
      <c r="W2744" s="5" t="s">
        <v>36</v>
      </c>
      <c r="X2744" s="5" t="s">
        <v>180</v>
      </c>
      <c r="Z2744" s="5" t="s">
        <v>12170</v>
      </c>
      <c r="AA2744" s="5" t="s">
        <v>44</v>
      </c>
      <c r="AB2744" s="5"/>
      <c r="AC2744" s="8" t="str">
        <f>HYPERLINK("https://drive.google.com/file/d/1G_zGZp2eYoUrd5k-7JUF0b96nkXIO_g-/view?usp=drivesdk", "Abrir_Factura")</f>
        <v>Abrir_Factura</v>
      </c>
      <c r="AD2744" s="9">
        <v>46081.673587962963</v>
      </c>
    </row>
    <row r="2745" spans="1:30" ht="12.5">
      <c r="A2745" s="4">
        <v>46081.662000590281</v>
      </c>
      <c r="B2745" s="5">
        <v>92485</v>
      </c>
      <c r="C2745" s="5">
        <v>1234089061</v>
      </c>
      <c r="D2745" s="5" t="s">
        <v>12171</v>
      </c>
      <c r="F2745" s="5"/>
      <c r="H2745" s="5">
        <v>573105113959</v>
      </c>
      <c r="J2745" s="5" t="s">
        <v>12172</v>
      </c>
      <c r="K2745" s="5" t="s">
        <v>563</v>
      </c>
      <c r="L2745" s="5" t="s">
        <v>12173</v>
      </c>
      <c r="M2745" s="5">
        <v>573043666798</v>
      </c>
      <c r="N2745" s="6">
        <v>46081</v>
      </c>
      <c r="O2745" s="7">
        <v>0.70833333333333337</v>
      </c>
      <c r="P2745" s="5">
        <v>1</v>
      </c>
      <c r="Q2745" s="5" t="s">
        <v>309</v>
      </c>
      <c r="R2745" s="5">
        <v>88000</v>
      </c>
      <c r="S2745" s="5">
        <v>0</v>
      </c>
      <c r="T2745" s="5">
        <v>15000</v>
      </c>
      <c r="U2745" s="5">
        <v>103000</v>
      </c>
      <c r="V2745" s="5" t="s">
        <v>12174</v>
      </c>
      <c r="W2745" s="5" t="s">
        <v>36</v>
      </c>
      <c r="X2745" s="5" t="s">
        <v>67</v>
      </c>
      <c r="Z2745" s="5" t="s">
        <v>12175</v>
      </c>
      <c r="AA2745" s="5" t="s">
        <v>44</v>
      </c>
      <c r="AB2745" s="5" t="s">
        <v>12176</v>
      </c>
      <c r="AC2745" s="8" t="str">
        <f>HYPERLINK("https://drive.google.com/file/d/1gtSf6dQNw2TByourVc8szAux79CG3nRv/view?usp=drivesdk", "Abrir_Factura")</f>
        <v>Abrir_Factura</v>
      </c>
      <c r="AD2745" s="9">
        <v>46081.671168981484</v>
      </c>
    </row>
    <row r="2746" spans="1:30" ht="12.5">
      <c r="A2746" s="4">
        <v>46081.677184178239</v>
      </c>
      <c r="B2746" s="5">
        <v>92487</v>
      </c>
      <c r="C2746" s="5">
        <v>32721126</v>
      </c>
      <c r="D2746" s="5" t="s">
        <v>12177</v>
      </c>
      <c r="F2746" s="5"/>
      <c r="H2746" s="5">
        <v>573152745459</v>
      </c>
      <c r="J2746" s="5" t="s">
        <v>12178</v>
      </c>
      <c r="K2746" s="5" t="s">
        <v>249</v>
      </c>
      <c r="L2746" s="5" t="s">
        <v>12179</v>
      </c>
      <c r="M2746" s="5">
        <v>573012822293</v>
      </c>
      <c r="N2746" s="6">
        <v>46082</v>
      </c>
      <c r="O2746" s="7">
        <v>0.33333333333333331</v>
      </c>
      <c r="P2746" s="5">
        <v>1</v>
      </c>
      <c r="Q2746" s="5" t="s">
        <v>89</v>
      </c>
      <c r="R2746" s="5">
        <v>170000</v>
      </c>
      <c r="S2746" s="5">
        <v>0</v>
      </c>
      <c r="T2746" s="5">
        <v>10000</v>
      </c>
      <c r="U2746" s="5">
        <v>180000</v>
      </c>
      <c r="V2746" s="5" t="s">
        <v>12180</v>
      </c>
      <c r="W2746" s="5" t="s">
        <v>36</v>
      </c>
      <c r="X2746" s="5" t="s">
        <v>67</v>
      </c>
      <c r="Z2746" s="5"/>
      <c r="AA2746" s="5" t="s">
        <v>44</v>
      </c>
      <c r="AB2746" s="5" t="s">
        <v>12181</v>
      </c>
      <c r="AC2746" s="8" t="str">
        <f>HYPERLINK("https://drive.google.com/file/d/1B0bGqETT1DPIKYf_D-PDd6m2mDQRXkzQ/view?usp=drivesdk", "Abrir_Factura")</f>
        <v>Abrir_Factura</v>
      </c>
      <c r="AD2746" s="9">
        <v>46081.678020833337</v>
      </c>
    </row>
    <row r="2747" spans="1:30" ht="12.5">
      <c r="A2747" s="4">
        <v>46081.683799722217</v>
      </c>
      <c r="B2747" s="5">
        <v>92488</v>
      </c>
      <c r="C2747" s="5">
        <v>85484435</v>
      </c>
      <c r="D2747" s="5" t="s">
        <v>12182</v>
      </c>
      <c r="F2747" s="5"/>
      <c r="H2747" s="5">
        <v>573135378883</v>
      </c>
      <c r="J2747" s="5" t="s">
        <v>12183</v>
      </c>
      <c r="K2747" s="5" t="s">
        <v>33</v>
      </c>
      <c r="L2747" s="5" t="s">
        <v>12066</v>
      </c>
      <c r="M2747" s="5">
        <v>573135378883</v>
      </c>
      <c r="N2747" s="6">
        <v>46081</v>
      </c>
      <c r="O2747" s="7">
        <v>0.6875</v>
      </c>
      <c r="P2747" s="5">
        <v>1</v>
      </c>
      <c r="Q2747" s="5" t="s">
        <v>309</v>
      </c>
      <c r="R2747" s="5">
        <v>88000</v>
      </c>
      <c r="S2747" s="5">
        <v>0</v>
      </c>
      <c r="T2747" s="5">
        <v>0</v>
      </c>
      <c r="U2747" s="5">
        <v>88000</v>
      </c>
      <c r="V2747" s="5" t="s">
        <v>1117</v>
      </c>
      <c r="W2747" s="5" t="s">
        <v>36</v>
      </c>
      <c r="X2747" s="5" t="s">
        <v>1705</v>
      </c>
      <c r="Z2747" s="5"/>
      <c r="AA2747" s="5" t="s">
        <v>1717</v>
      </c>
      <c r="AB2747" s="5"/>
      <c r="AC2747" s="8" t="str">
        <f>HYPERLINK("https://drive.google.com/file/d/13NQJdNTmH9_vXQBk3n9HsbSn_dxiyVU3/view?usp=drivesdk", "Abrir_Factura")</f>
        <v>Abrir_Factura</v>
      </c>
      <c r="AD2747" s="9">
        <v>46081.684803240743</v>
      </c>
    </row>
    <row r="2748" spans="1:30" ht="12.5">
      <c r="A2748" s="4">
        <v>46081.700456493054</v>
      </c>
      <c r="B2748" s="5">
        <v>92489</v>
      </c>
      <c r="C2748" s="5">
        <v>2433623867</v>
      </c>
      <c r="D2748" s="5" t="s">
        <v>12184</v>
      </c>
      <c r="F2748" s="5"/>
      <c r="H2748" s="5">
        <v>570000000000</v>
      </c>
      <c r="J2748" s="5" t="s">
        <v>12185</v>
      </c>
      <c r="K2748" s="5" t="s">
        <v>33</v>
      </c>
      <c r="L2748" s="5" t="s">
        <v>12066</v>
      </c>
      <c r="M2748" s="5">
        <v>573014257777</v>
      </c>
      <c r="N2748" s="6">
        <v>46081</v>
      </c>
      <c r="O2748" s="7">
        <v>0</v>
      </c>
      <c r="P2748" s="5">
        <v>1</v>
      </c>
      <c r="Q2748" s="5" t="s">
        <v>309</v>
      </c>
      <c r="R2748" s="5">
        <v>88000</v>
      </c>
      <c r="S2748" s="5">
        <v>0</v>
      </c>
      <c r="T2748" s="5">
        <v>0</v>
      </c>
      <c r="U2748" s="5">
        <v>88000</v>
      </c>
      <c r="V2748" s="5" t="s">
        <v>1117</v>
      </c>
      <c r="W2748" s="5" t="s">
        <v>36</v>
      </c>
      <c r="X2748" s="5" t="s">
        <v>37</v>
      </c>
      <c r="Z2748" s="5"/>
      <c r="AA2748" s="5" t="s">
        <v>37</v>
      </c>
      <c r="AB2748" s="5"/>
      <c r="AC2748" s="8" t="str">
        <f>HYPERLINK("https://drive.google.com/file/d/1chQuSLcIP-x6Y_3mu57Pl-DF2rr6bHtg/view?usp=drivesdk", "Abrir_Factura")</f>
        <v>Abrir_Factura</v>
      </c>
      <c r="AD2748" s="9">
        <v>46081.701550925929</v>
      </c>
    </row>
    <row r="2749" spans="1:30" ht="12.5">
      <c r="A2749" s="4">
        <v>46081.708952256944</v>
      </c>
      <c r="B2749" s="5">
        <v>92490</v>
      </c>
      <c r="C2749" s="5">
        <v>325448458</v>
      </c>
      <c r="D2749" s="5" t="s">
        <v>12186</v>
      </c>
      <c r="F2749" s="5"/>
      <c r="H2749" s="5">
        <v>573015689656</v>
      </c>
      <c r="J2749" s="5" t="s">
        <v>12187</v>
      </c>
      <c r="K2749" s="5" t="s">
        <v>33</v>
      </c>
      <c r="L2749" s="5" t="s">
        <v>12066</v>
      </c>
      <c r="M2749" s="5">
        <v>573015689656</v>
      </c>
      <c r="N2749" s="6">
        <v>46081</v>
      </c>
      <c r="O2749" s="7">
        <v>0</v>
      </c>
      <c r="P2749" s="5">
        <v>1</v>
      </c>
      <c r="Q2749" s="5" t="s">
        <v>75</v>
      </c>
      <c r="R2749" s="5">
        <v>80000</v>
      </c>
      <c r="S2749" s="5">
        <v>0</v>
      </c>
      <c r="T2749" s="5">
        <v>0</v>
      </c>
      <c r="U2749" s="5">
        <v>80000</v>
      </c>
      <c r="V2749" s="5" t="s">
        <v>1117</v>
      </c>
      <c r="W2749" s="5" t="s">
        <v>36</v>
      </c>
      <c r="X2749" s="5" t="s">
        <v>37</v>
      </c>
      <c r="Z2749" s="5"/>
      <c r="AA2749" s="5" t="s">
        <v>37</v>
      </c>
      <c r="AB2749" s="5"/>
      <c r="AC2749" s="8" t="str">
        <f>HYPERLINK("https://drive.google.com/file/d/1NHldQyHa126JEXQIh48NagDAJADjMvqA/view?usp=drivesdk", "Abrir_Factura")</f>
        <v>Abrir_Factura</v>
      </c>
      <c r="AD2749" s="9">
        <v>46081.709467592591</v>
      </c>
    </row>
    <row r="2750" spans="1:30" ht="12.5">
      <c r="A2750" s="4">
        <v>46081.716232789353</v>
      </c>
      <c r="B2750" s="5">
        <v>92491</v>
      </c>
      <c r="C2750" s="5">
        <v>10425249623</v>
      </c>
      <c r="D2750" s="5" t="s">
        <v>12188</v>
      </c>
      <c r="F2750" s="5"/>
      <c r="H2750" s="5">
        <v>573002267714</v>
      </c>
      <c r="J2750" s="5" t="s">
        <v>12189</v>
      </c>
      <c r="K2750" s="5" t="s">
        <v>33</v>
      </c>
      <c r="L2750" s="5" t="s">
        <v>12066</v>
      </c>
      <c r="M2750" s="5">
        <v>573002267714</v>
      </c>
      <c r="N2750" s="6">
        <v>46081</v>
      </c>
      <c r="O2750" s="7">
        <v>0.70833333333333337</v>
      </c>
      <c r="P2750" s="5">
        <v>1</v>
      </c>
      <c r="Q2750" s="5" t="s">
        <v>42</v>
      </c>
      <c r="R2750" s="5">
        <v>90000</v>
      </c>
      <c r="S2750" s="5">
        <v>0</v>
      </c>
      <c r="T2750" s="5">
        <v>0</v>
      </c>
      <c r="U2750" s="5">
        <v>90000</v>
      </c>
      <c r="V2750" s="5" t="s">
        <v>12190</v>
      </c>
      <c r="W2750" s="5" t="s">
        <v>36</v>
      </c>
      <c r="X2750" s="5" t="s">
        <v>1705</v>
      </c>
      <c r="Z2750" s="5"/>
      <c r="AA2750" s="5" t="s">
        <v>1717</v>
      </c>
      <c r="AB2750" s="5"/>
      <c r="AC2750" s="8" t="str">
        <f>HYPERLINK("https://drive.google.com/file/d/1CQwLFQ5cmUmdYiE3SYJ8ajtlXrY-dej8/view?usp=drivesdk", "Abrir_Factura")</f>
        <v>Abrir_Factura</v>
      </c>
      <c r="AD2750" s="9">
        <v>46081.717210648145</v>
      </c>
    </row>
    <row r="2751" spans="1:30" ht="12.5">
      <c r="A2751" s="4">
        <v>46082.466875983795</v>
      </c>
      <c r="B2751" s="5">
        <v>92492</v>
      </c>
      <c r="C2751" s="5">
        <v>55312503</v>
      </c>
      <c r="D2751" s="5" t="s">
        <v>12191</v>
      </c>
      <c r="F2751" s="5"/>
      <c r="H2751" s="5">
        <v>573183638894</v>
      </c>
      <c r="J2751" s="5" t="s">
        <v>12192</v>
      </c>
      <c r="K2751" s="5" t="s">
        <v>307</v>
      </c>
      <c r="L2751" s="5" t="s">
        <v>12193</v>
      </c>
      <c r="M2751" s="5">
        <v>573046496605</v>
      </c>
      <c r="N2751" s="6">
        <v>46082</v>
      </c>
      <c r="O2751" s="7">
        <v>0.375</v>
      </c>
      <c r="P2751" s="5">
        <v>1</v>
      </c>
      <c r="Q2751" s="5" t="s">
        <v>89</v>
      </c>
      <c r="R2751" s="5">
        <v>170000</v>
      </c>
      <c r="S2751" s="5">
        <v>0</v>
      </c>
      <c r="T2751" s="5">
        <v>10000</v>
      </c>
      <c r="U2751" s="5">
        <v>180000</v>
      </c>
      <c r="V2751" s="5" t="s">
        <v>12194</v>
      </c>
      <c r="W2751" s="5" t="s">
        <v>36</v>
      </c>
      <c r="X2751" s="5" t="s">
        <v>1481</v>
      </c>
      <c r="Z2751" s="5" t="s">
        <v>12195</v>
      </c>
      <c r="AA2751" s="5" t="s">
        <v>44</v>
      </c>
      <c r="AB2751" s="5"/>
      <c r="AC2751" s="8" t="str">
        <f>HYPERLINK("https://drive.google.com/file/d/1cWrKk-kQmw-nGbpzmIu-mzH0oyXY0htX/view?usp=drivesdk", "Abrir_Factura")</f>
        <v>Abrir_Factura</v>
      </c>
      <c r="AD2751" s="9">
        <v>46083.328460648147</v>
      </c>
    </row>
    <row r="2752" spans="1:30" ht="12.5">
      <c r="A2752" s="4">
        <v>46082.910824409722</v>
      </c>
      <c r="B2752" s="5">
        <v>92493</v>
      </c>
      <c r="C2752" s="5">
        <v>1234090047</v>
      </c>
      <c r="D2752" s="5" t="s">
        <v>12196</v>
      </c>
      <c r="F2752" s="5"/>
      <c r="H2752" s="5">
        <v>573183762765</v>
      </c>
      <c r="J2752" s="5" t="s">
        <v>12197</v>
      </c>
      <c r="K2752" s="5" t="s">
        <v>11907</v>
      </c>
      <c r="L2752" s="5" t="s">
        <v>12198</v>
      </c>
      <c r="M2752" s="5">
        <v>573183762765</v>
      </c>
      <c r="N2752" s="6">
        <v>46083</v>
      </c>
      <c r="O2752" s="7">
        <v>0.41666666666666669</v>
      </c>
      <c r="P2752" s="5">
        <v>1</v>
      </c>
      <c r="Q2752" s="5" t="s">
        <v>12199</v>
      </c>
      <c r="R2752" s="5">
        <v>202000</v>
      </c>
      <c r="S2752" s="5">
        <v>0</v>
      </c>
      <c r="T2752" s="5">
        <v>18000</v>
      </c>
      <c r="U2752" s="5">
        <v>220000</v>
      </c>
      <c r="V2752" s="5" t="s">
        <v>12200</v>
      </c>
      <c r="W2752" s="5" t="s">
        <v>36</v>
      </c>
      <c r="X2752" s="5" t="s">
        <v>1481</v>
      </c>
      <c r="Z2752" s="5" t="s">
        <v>12201</v>
      </c>
      <c r="AA2752" s="5" t="s">
        <v>44</v>
      </c>
      <c r="AB2752" s="5"/>
      <c r="AC2752" s="8" t="str">
        <f>HYPERLINK("https://drive.google.com/file/d/1MDUkWkFWNDAD1jwyJhH-Ij_cFEW5Gk4I/view?usp=drivesdk", "Abrir_Factura")</f>
        <v>Abrir_Factura</v>
      </c>
      <c r="AD2752" s="9">
        <v>46083.683981481481</v>
      </c>
    </row>
    <row r="2753" spans="1:30" ht="12.5">
      <c r="A2753" s="4">
        <v>46083.333571446754</v>
      </c>
      <c r="B2753" s="5">
        <v>92511</v>
      </c>
      <c r="C2753" s="5">
        <v>1129536365</v>
      </c>
      <c r="D2753" s="5" t="s">
        <v>12202</v>
      </c>
      <c r="F2753" s="5"/>
      <c r="H2753" s="5">
        <v>573043810703</v>
      </c>
      <c r="J2753" s="5" t="s">
        <v>12203</v>
      </c>
      <c r="K2753" s="5"/>
      <c r="L2753" s="5" t="s">
        <v>12204</v>
      </c>
      <c r="M2753" s="5">
        <v>573112950000</v>
      </c>
      <c r="N2753" s="6">
        <v>46083</v>
      </c>
      <c r="O2753" s="7">
        <v>0</v>
      </c>
      <c r="P2753" s="5">
        <v>1</v>
      </c>
      <c r="Q2753" s="5" t="s">
        <v>42</v>
      </c>
      <c r="R2753" s="5">
        <v>20000</v>
      </c>
      <c r="S2753" s="5">
        <v>0</v>
      </c>
      <c r="T2753" s="5"/>
      <c r="U2753" s="5">
        <v>20000</v>
      </c>
      <c r="V2753" s="5" t="s">
        <v>12205</v>
      </c>
      <c r="W2753" s="5" t="s">
        <v>36</v>
      </c>
      <c r="X2753" s="5" t="s">
        <v>43</v>
      </c>
      <c r="Z2753" s="5" t="s">
        <v>12206</v>
      </c>
      <c r="AA2753" s="5" t="s">
        <v>1717</v>
      </c>
      <c r="AB2753" s="5"/>
      <c r="AC2753" s="8" t="str">
        <f>HYPERLINK("https://drive.google.com/file/d/14sBhLLEHvH0gi2s2OHFmosL13VLRzBHZ/view?usp=drivesdk", "Abrir_Factura")</f>
        <v>Abrir_Factura</v>
      </c>
      <c r="AD2753" s="9">
        <v>46083.562291666669</v>
      </c>
    </row>
    <row r="2754" spans="1:30" ht="12.5">
      <c r="A2754" s="4">
        <v>46083.337004918983</v>
      </c>
      <c r="B2754" s="5">
        <v>92494</v>
      </c>
      <c r="C2754" s="5">
        <v>1045694047</v>
      </c>
      <c r="D2754" s="5" t="s">
        <v>10774</v>
      </c>
      <c r="F2754" s="5"/>
      <c r="H2754" s="5">
        <v>573002447555</v>
      </c>
      <c r="J2754" s="5" t="s">
        <v>10774</v>
      </c>
      <c r="K2754" s="5" t="s">
        <v>12066</v>
      </c>
      <c r="L2754" s="5" t="s">
        <v>12066</v>
      </c>
      <c r="M2754" s="5">
        <v>573002447555</v>
      </c>
      <c r="N2754" s="6">
        <v>46083</v>
      </c>
      <c r="O2754" s="7">
        <v>0</v>
      </c>
      <c r="P2754" s="5">
        <v>1</v>
      </c>
      <c r="Q2754" s="5" t="s">
        <v>178</v>
      </c>
      <c r="R2754" s="5">
        <v>110000</v>
      </c>
      <c r="S2754" s="5">
        <v>0</v>
      </c>
      <c r="T2754" s="5">
        <v>0</v>
      </c>
      <c r="U2754" s="5">
        <v>110000</v>
      </c>
      <c r="V2754" s="5"/>
      <c r="W2754" s="5" t="s">
        <v>36</v>
      </c>
      <c r="X2754" s="5" t="s">
        <v>37</v>
      </c>
      <c r="Z2754" s="5"/>
      <c r="AA2754" s="5" t="s">
        <v>37</v>
      </c>
      <c r="AB2754" s="5" t="s">
        <v>12207</v>
      </c>
      <c r="AC2754" s="8" t="str">
        <f>HYPERLINK("https://drive.google.com/file/d/1UHd9SNbAFyk-Df4OPAiXg5RFKIFsTtMb/view?usp=drivesdk", "Abrir_Factura")</f>
        <v>Abrir_Factura</v>
      </c>
      <c r="AD2754" s="9">
        <v>46083.337569444448</v>
      </c>
    </row>
    <row r="2755" spans="1:30" ht="12.5">
      <c r="A2755" s="4">
        <v>46083.337722233795</v>
      </c>
      <c r="B2755" s="5">
        <v>92496</v>
      </c>
      <c r="C2755" s="5">
        <v>225550117</v>
      </c>
      <c r="D2755" s="5" t="s">
        <v>12208</v>
      </c>
      <c r="F2755" s="5"/>
      <c r="H2755" s="5">
        <v>573058019565</v>
      </c>
      <c r="J2755" s="5" t="s">
        <v>12209</v>
      </c>
      <c r="K2755" s="5" t="s">
        <v>249</v>
      </c>
      <c r="L2755" s="5" t="s">
        <v>12210</v>
      </c>
      <c r="M2755" s="5">
        <v>573017165368</v>
      </c>
      <c r="N2755" s="6">
        <v>46083</v>
      </c>
      <c r="O2755" s="7">
        <v>0.41666666666666669</v>
      </c>
      <c r="P2755" s="5">
        <v>1</v>
      </c>
      <c r="Q2755" s="5" t="s">
        <v>309</v>
      </c>
      <c r="R2755" s="5">
        <v>88000</v>
      </c>
      <c r="S2755" s="5">
        <v>0</v>
      </c>
      <c r="T2755" s="5">
        <v>10000</v>
      </c>
      <c r="U2755" s="5">
        <v>98000</v>
      </c>
      <c r="V2755" s="5" t="s">
        <v>12211</v>
      </c>
      <c r="W2755" s="5" t="s">
        <v>36</v>
      </c>
      <c r="X2755" s="5" t="s">
        <v>1937</v>
      </c>
      <c r="Z2755" s="5" t="s">
        <v>12212</v>
      </c>
      <c r="AA2755" s="5" t="s">
        <v>44</v>
      </c>
      <c r="AB2755" s="5"/>
      <c r="AC2755" s="8" t="str">
        <f>HYPERLINK("https://drive.google.com/file/d/1SeKDUPwybQK1yc3GMCHkvVqn8k5X6yP8/view?usp=drivesdk", "Abrir_Factura")</f>
        <v>Abrir_Factura</v>
      </c>
      <c r="AD2755" s="9">
        <v>46083.359085648146</v>
      </c>
    </row>
    <row r="2756" spans="1:30" ht="12.5">
      <c r="A2756" s="4">
        <v>46083.340190590279</v>
      </c>
      <c r="B2756" s="5">
        <v>92495</v>
      </c>
      <c r="C2756" s="5">
        <v>1098804551</v>
      </c>
      <c r="D2756" s="5" t="s">
        <v>12213</v>
      </c>
      <c r="F2756" s="5"/>
      <c r="H2756" s="5">
        <v>573028371118</v>
      </c>
      <c r="J2756" s="5" t="s">
        <v>12213</v>
      </c>
      <c r="K2756" s="5" t="s">
        <v>12066</v>
      </c>
      <c r="L2756" s="5" t="s">
        <v>12066</v>
      </c>
      <c r="M2756" s="5">
        <v>573028371118</v>
      </c>
      <c r="N2756" s="6">
        <v>46083</v>
      </c>
      <c r="O2756" s="7">
        <v>0</v>
      </c>
      <c r="P2756" s="5">
        <v>1</v>
      </c>
      <c r="Q2756" s="5" t="s">
        <v>133</v>
      </c>
      <c r="R2756" s="5">
        <v>150000</v>
      </c>
      <c r="S2756" s="5">
        <v>0</v>
      </c>
      <c r="T2756" s="5">
        <v>0</v>
      </c>
      <c r="U2756" s="5">
        <v>150000</v>
      </c>
      <c r="V2756" s="5" t="s">
        <v>12214</v>
      </c>
      <c r="W2756" s="5" t="s">
        <v>36</v>
      </c>
      <c r="X2756" s="5" t="s">
        <v>37</v>
      </c>
      <c r="Z2756" s="5"/>
      <c r="AA2756" s="5" t="s">
        <v>37</v>
      </c>
      <c r="AB2756" s="5" t="s">
        <v>12215</v>
      </c>
      <c r="AC2756" s="8" t="str">
        <f>HYPERLINK("https://drive.google.com/file/d/1h01yYsUk-BAhezJggo8ITAUcaAyA2aOT/view?usp=drivesdk", "Abrir_Factura")</f>
        <v>Abrir_Factura</v>
      </c>
      <c r="AD2756" s="9">
        <v>46083.347662037035</v>
      </c>
    </row>
    <row r="2757" spans="1:30" ht="12.5">
      <c r="A2757" s="4">
        <v>46083.362854560182</v>
      </c>
      <c r="B2757" s="5">
        <v>92497</v>
      </c>
      <c r="C2757" s="5">
        <v>1140891157</v>
      </c>
      <c r="D2757" s="5" t="s">
        <v>12216</v>
      </c>
      <c r="F2757" s="5"/>
      <c r="H2757" s="5">
        <v>573116808126</v>
      </c>
      <c r="J2757" s="5" t="s">
        <v>12217</v>
      </c>
      <c r="K2757" s="5" t="s">
        <v>73</v>
      </c>
      <c r="L2757" s="5" t="s">
        <v>12218</v>
      </c>
      <c r="M2757" s="5">
        <v>573116808126</v>
      </c>
      <c r="N2757" s="6">
        <v>46083</v>
      </c>
      <c r="O2757" s="7">
        <v>0.41666666666666669</v>
      </c>
      <c r="P2757" s="5">
        <v>1</v>
      </c>
      <c r="Q2757" s="5" t="s">
        <v>649</v>
      </c>
      <c r="R2757" s="5">
        <v>200000</v>
      </c>
      <c r="S2757" s="5">
        <v>0</v>
      </c>
      <c r="T2757" s="5">
        <v>8000</v>
      </c>
      <c r="U2757" s="5">
        <v>208000</v>
      </c>
      <c r="V2757" s="5" t="s">
        <v>12219</v>
      </c>
      <c r="W2757" s="5" t="s">
        <v>36</v>
      </c>
      <c r="X2757" s="5" t="s">
        <v>196</v>
      </c>
      <c r="Z2757" s="5" t="s">
        <v>12220</v>
      </c>
      <c r="AA2757" s="5" t="s">
        <v>44</v>
      </c>
      <c r="AB2757" s="5"/>
      <c r="AC2757" s="8" t="str">
        <f>HYPERLINK("https://drive.google.com/file/d/1AnzODJYNgyG_113Iw5m8i5RbNrZrsegU/view?usp=drivesdk", "Abrir_Factura")</f>
        <v>Abrir_Factura</v>
      </c>
      <c r="AD2757" s="9">
        <v>46083.688449074078</v>
      </c>
    </row>
    <row r="2758" spans="1:30" ht="12.5">
      <c r="A2758" s="4">
        <v>46083.363567928245</v>
      </c>
      <c r="B2758" s="5">
        <v>92500</v>
      </c>
      <c r="C2758" s="5">
        <v>72274839</v>
      </c>
      <c r="D2758" s="5" t="s">
        <v>12221</v>
      </c>
      <c r="F2758" s="5"/>
      <c r="H2758" s="5">
        <v>57310573106182</v>
      </c>
      <c r="J2758" s="5" t="s">
        <v>12222</v>
      </c>
      <c r="K2758" s="5" t="s">
        <v>448</v>
      </c>
      <c r="L2758" s="5" t="s">
        <v>12223</v>
      </c>
      <c r="M2758" s="5">
        <v>573106182726</v>
      </c>
      <c r="N2758" s="6">
        <v>46083</v>
      </c>
      <c r="O2758" s="7">
        <v>0</v>
      </c>
      <c r="P2758" s="5">
        <v>1</v>
      </c>
      <c r="Q2758" s="5" t="s">
        <v>380</v>
      </c>
      <c r="R2758" s="5">
        <v>340000</v>
      </c>
      <c r="S2758" s="5">
        <v>0</v>
      </c>
      <c r="T2758" s="5">
        <v>15000</v>
      </c>
      <c r="U2758" s="5">
        <v>355000</v>
      </c>
      <c r="V2758" s="5" t="s">
        <v>12224</v>
      </c>
      <c r="W2758" s="5" t="s">
        <v>36</v>
      </c>
      <c r="X2758" s="5" t="s">
        <v>3754</v>
      </c>
      <c r="Z2758" s="5" t="s">
        <v>10537</v>
      </c>
      <c r="AA2758" s="5" t="s">
        <v>44</v>
      </c>
      <c r="AB2758" s="5"/>
      <c r="AC2758" s="8" t="str">
        <f>HYPERLINK("https://drive.google.com/file/d/1qi5-DCwL7B8cTjxt24TfisOHAYh1vAAH/view?usp=drivesdk", "Abrir_Factura")</f>
        <v>Abrir_Factura</v>
      </c>
      <c r="AD2758" s="9">
        <v>46083.40766203704</v>
      </c>
    </row>
    <row r="2759" spans="1:30" ht="12.5">
      <c r="A2759" s="4">
        <v>46083.367690254629</v>
      </c>
      <c r="B2759" s="5">
        <v>92499</v>
      </c>
      <c r="C2759" s="5">
        <v>406290</v>
      </c>
      <c r="D2759" s="5" t="s">
        <v>12225</v>
      </c>
      <c r="F2759" s="5"/>
      <c r="H2759" s="5">
        <v>573122504609</v>
      </c>
      <c r="J2759" s="5" t="s">
        <v>12226</v>
      </c>
      <c r="K2759" s="5" t="s">
        <v>930</v>
      </c>
      <c r="L2759" s="5" t="s">
        <v>12227</v>
      </c>
      <c r="M2759" s="5">
        <v>573144463560</v>
      </c>
      <c r="N2759" s="6">
        <v>46083</v>
      </c>
      <c r="O2759" s="7">
        <v>0</v>
      </c>
      <c r="P2759" s="5">
        <v>1</v>
      </c>
      <c r="Q2759" s="5" t="s">
        <v>112</v>
      </c>
      <c r="R2759" s="5">
        <v>300000</v>
      </c>
      <c r="S2759" s="5">
        <v>0</v>
      </c>
      <c r="T2759" s="5">
        <v>30000</v>
      </c>
      <c r="U2759" s="5">
        <v>330000</v>
      </c>
      <c r="V2759" s="5" t="s">
        <v>12228</v>
      </c>
      <c r="W2759" s="5" t="s">
        <v>36</v>
      </c>
      <c r="X2759" s="5" t="s">
        <v>2438</v>
      </c>
      <c r="Z2759" s="5" t="s">
        <v>12229</v>
      </c>
      <c r="AA2759" s="5" t="s">
        <v>44</v>
      </c>
      <c r="AB2759" s="5"/>
      <c r="AC2759" s="8" t="str">
        <f>HYPERLINK("https://drive.google.com/file/d/1D7gvtmrPRU5q9-EVp2CmC_-d1IG6iykx/view?usp=drivesdk", "Abrir_Factura")</f>
        <v>Abrir_Factura</v>
      </c>
      <c r="AD2759" s="9">
        <v>46083.388379629629</v>
      </c>
    </row>
    <row r="2760" spans="1:30" ht="12.5">
      <c r="A2760" s="4">
        <v>46083.384770775461</v>
      </c>
      <c r="B2760" s="5">
        <v>92498</v>
      </c>
      <c r="C2760" s="5">
        <v>22423671</v>
      </c>
      <c r="D2760" s="5" t="s">
        <v>12230</v>
      </c>
      <c r="F2760" s="5"/>
      <c r="H2760" s="5">
        <v>573218046491</v>
      </c>
      <c r="J2760" s="5" t="s">
        <v>12231</v>
      </c>
      <c r="K2760" s="5" t="s">
        <v>73</v>
      </c>
      <c r="L2760" s="5" t="s">
        <v>12232</v>
      </c>
      <c r="M2760" s="5">
        <v>573014222222</v>
      </c>
      <c r="N2760" s="6">
        <v>46083</v>
      </c>
      <c r="O2760" s="7">
        <v>0.41666666666666669</v>
      </c>
      <c r="P2760" s="5">
        <v>1</v>
      </c>
      <c r="Q2760" s="5" t="s">
        <v>2556</v>
      </c>
      <c r="R2760" s="5">
        <v>400000</v>
      </c>
      <c r="S2760" s="5">
        <v>0</v>
      </c>
      <c r="T2760" s="5">
        <v>8000</v>
      </c>
      <c r="U2760" s="5">
        <v>408000</v>
      </c>
      <c r="V2760" s="5" t="s">
        <v>12233</v>
      </c>
      <c r="W2760" s="5" t="s">
        <v>36</v>
      </c>
      <c r="X2760" s="5" t="s">
        <v>180</v>
      </c>
      <c r="Z2760" s="5" t="s">
        <v>12234</v>
      </c>
      <c r="AA2760" s="5" t="s">
        <v>44</v>
      </c>
      <c r="AB2760" s="5"/>
      <c r="AC2760" s="8" t="str">
        <f>HYPERLINK("https://drive.google.com/file/d/12ql7S1pWHMA6sUmeosAW1l-mbk0yh3-5/view?usp=drivesdk", "Abrir_Factura")</f>
        <v>Abrir_Factura</v>
      </c>
      <c r="AD2760" s="9">
        <v>46083.385416666664</v>
      </c>
    </row>
    <row r="2761" spans="1:30" ht="12.5">
      <c r="A2761" s="4">
        <v>46083.440245011574</v>
      </c>
      <c r="B2761" s="5">
        <v>92501</v>
      </c>
      <c r="C2761" s="5">
        <v>1140901009</v>
      </c>
      <c r="D2761" s="5" t="s">
        <v>12235</v>
      </c>
      <c r="F2761" s="5"/>
      <c r="H2761" s="5">
        <v>573016118754</v>
      </c>
      <c r="J2761" s="5" t="s">
        <v>12236</v>
      </c>
      <c r="K2761" s="5" t="s">
        <v>401</v>
      </c>
      <c r="L2761" s="5" t="s">
        <v>12237</v>
      </c>
      <c r="M2761" s="5">
        <v>573016118754</v>
      </c>
      <c r="N2761" s="6">
        <v>46083</v>
      </c>
      <c r="O2761" s="7">
        <v>0</v>
      </c>
      <c r="P2761" s="5">
        <v>1</v>
      </c>
      <c r="Q2761" s="5" t="s">
        <v>294</v>
      </c>
      <c r="R2761" s="5">
        <v>180000</v>
      </c>
      <c r="S2761" s="5">
        <v>0</v>
      </c>
      <c r="T2761" s="5">
        <v>12000</v>
      </c>
      <c r="U2761" s="5">
        <v>192000</v>
      </c>
      <c r="V2761" s="5" t="s">
        <v>12238</v>
      </c>
      <c r="W2761" s="5" t="s">
        <v>36</v>
      </c>
      <c r="X2761" s="5" t="s">
        <v>67</v>
      </c>
      <c r="Z2761" s="5" t="s">
        <v>12239</v>
      </c>
      <c r="AA2761" s="5" t="s">
        <v>69</v>
      </c>
      <c r="AB2761" s="5"/>
      <c r="AC2761" s="8" t="str">
        <f>HYPERLINK("https://drive.google.com/file/d/13gD22OTsIog7jRCBja64iCh1K_59GfKI/view?usp=drivesdk", "Abrir_Factura")</f>
        <v>Abrir_Factura</v>
      </c>
      <c r="AD2761" s="9">
        <v>46083.456099537034</v>
      </c>
    </row>
    <row r="2762" spans="1:30" ht="12.5">
      <c r="A2762" s="4">
        <v>46083.442561412041</v>
      </c>
      <c r="B2762" s="5">
        <v>92502</v>
      </c>
      <c r="C2762" s="5">
        <v>771114</v>
      </c>
      <c r="D2762" s="5" t="s">
        <v>12240</v>
      </c>
      <c r="F2762" s="5"/>
      <c r="H2762" s="5">
        <v>5720437335143</v>
      </c>
      <c r="J2762" s="5" t="s">
        <v>1173</v>
      </c>
      <c r="K2762" s="5" t="s">
        <v>110</v>
      </c>
      <c r="L2762" s="5" t="s">
        <v>12241</v>
      </c>
      <c r="M2762" s="5">
        <v>573043735143</v>
      </c>
      <c r="N2762" s="6">
        <v>46083</v>
      </c>
      <c r="O2762" s="7">
        <v>0</v>
      </c>
      <c r="P2762" s="5">
        <v>1</v>
      </c>
      <c r="Q2762" s="5" t="s">
        <v>309</v>
      </c>
      <c r="R2762" s="5">
        <v>88000</v>
      </c>
      <c r="S2762" s="5">
        <v>0</v>
      </c>
      <c r="T2762" s="5">
        <v>6000</v>
      </c>
      <c r="U2762" s="5">
        <v>94000</v>
      </c>
      <c r="V2762" s="5" t="s">
        <v>12242</v>
      </c>
      <c r="W2762" s="5" t="s">
        <v>36</v>
      </c>
      <c r="X2762" s="5" t="s">
        <v>1481</v>
      </c>
      <c r="Z2762" s="5" t="s">
        <v>12243</v>
      </c>
      <c r="AA2762" s="5" t="s">
        <v>44</v>
      </c>
      <c r="AB2762" s="5"/>
      <c r="AC2762" s="8" t="str">
        <f>HYPERLINK("https://drive.google.com/file/d/1wmD54R28txbTlkMlC-ZOaUrCFH2-UU0b/view?usp=drivesdk", "Abrir_Factura")</f>
        <v>Abrir_Factura</v>
      </c>
      <c r="AD2762" s="9">
        <v>46083.456620370373</v>
      </c>
    </row>
    <row r="2763" spans="1:30" ht="12.5">
      <c r="A2763" s="4">
        <v>46083.453360219908</v>
      </c>
      <c r="B2763" s="5">
        <v>92503</v>
      </c>
      <c r="C2763" s="5">
        <v>1032438107</v>
      </c>
      <c r="D2763" s="5" t="s">
        <v>12244</v>
      </c>
      <c r="F2763" s="5"/>
      <c r="H2763" s="5">
        <v>573167461230</v>
      </c>
      <c r="J2763" s="5" t="s">
        <v>12245</v>
      </c>
      <c r="K2763" s="5" t="s">
        <v>73</v>
      </c>
      <c r="L2763" s="5" t="s">
        <v>12246</v>
      </c>
      <c r="M2763" s="5">
        <v>573008442230</v>
      </c>
      <c r="N2763" s="6">
        <v>46083</v>
      </c>
      <c r="O2763" s="7">
        <v>0</v>
      </c>
      <c r="P2763" s="5">
        <v>1</v>
      </c>
      <c r="Q2763" s="5" t="s">
        <v>559</v>
      </c>
      <c r="R2763" s="5">
        <v>99000</v>
      </c>
      <c r="S2763" s="5">
        <v>0</v>
      </c>
      <c r="T2763" s="5">
        <v>8000</v>
      </c>
      <c r="U2763" s="5">
        <v>107000</v>
      </c>
      <c r="V2763" s="5" t="s">
        <v>6210</v>
      </c>
      <c r="W2763" s="5" t="s">
        <v>36</v>
      </c>
      <c r="X2763" s="5" t="s">
        <v>1481</v>
      </c>
      <c r="Z2763" s="5" t="s">
        <v>6210</v>
      </c>
      <c r="AA2763" s="5" t="s">
        <v>44</v>
      </c>
      <c r="AB2763" s="5"/>
      <c r="AC2763" s="8" t="str">
        <f>HYPERLINK("https://drive.google.com/file/d/1woKBwdqTw5RygimvoyWERSbLnOC33LqN/view?usp=drivesdk", "Abrir_Factura")</f>
        <v>Abrir_Factura</v>
      </c>
      <c r="AD2763" s="9">
        <v>46083.457511574074</v>
      </c>
    </row>
    <row r="2764" spans="1:30" ht="12.5">
      <c r="A2764" s="4">
        <v>46083.455882800925</v>
      </c>
      <c r="B2764" s="5">
        <v>92505</v>
      </c>
      <c r="C2764" s="5">
        <v>1081834638</v>
      </c>
      <c r="D2764" s="5" t="s">
        <v>12247</v>
      </c>
      <c r="F2764" s="5"/>
      <c r="H2764" s="5">
        <v>573043802428</v>
      </c>
      <c r="J2764" s="5" t="s">
        <v>12248</v>
      </c>
      <c r="K2764" s="5" t="s">
        <v>1317</v>
      </c>
      <c r="L2764" s="5" t="s">
        <v>12249</v>
      </c>
      <c r="M2764" s="5">
        <v>573023368059</v>
      </c>
      <c r="N2764" s="6">
        <v>46083</v>
      </c>
      <c r="O2764" s="7">
        <v>0</v>
      </c>
      <c r="P2764" s="5">
        <v>1</v>
      </c>
      <c r="Q2764" s="5" t="s">
        <v>178</v>
      </c>
      <c r="R2764" s="5">
        <v>110000</v>
      </c>
      <c r="S2764" s="5">
        <v>0</v>
      </c>
      <c r="T2764" s="5">
        <v>12000</v>
      </c>
      <c r="U2764" s="5">
        <v>122000</v>
      </c>
      <c r="V2764" s="5" t="s">
        <v>12250</v>
      </c>
      <c r="W2764" s="5" t="s">
        <v>36</v>
      </c>
      <c r="X2764" s="5" t="s">
        <v>1481</v>
      </c>
      <c r="Z2764" s="5" t="s">
        <v>12251</v>
      </c>
      <c r="AA2764" s="5" t="s">
        <v>44</v>
      </c>
      <c r="AB2764" s="5" t="s">
        <v>12249</v>
      </c>
      <c r="AC2764" s="8" t="str">
        <f>HYPERLINK("https://drive.google.com/file/d/1VtqNWpOllIJQARMbx4-gry-Fcn1ONP1g/view?usp=drivesdk", "Abrir_Factura")</f>
        <v>Abrir_Factura</v>
      </c>
      <c r="AD2764" s="9">
        <v>46083.469201388885</v>
      </c>
    </row>
    <row r="2765" spans="1:30" ht="12.5">
      <c r="A2765" s="4">
        <v>46083.466234826388</v>
      </c>
      <c r="B2765" s="5">
        <v>92504</v>
      </c>
      <c r="C2765" s="5">
        <v>72274775</v>
      </c>
      <c r="D2765" s="5" t="s">
        <v>12252</v>
      </c>
      <c r="F2765" s="5"/>
      <c r="H2765" s="5">
        <v>573005433981</v>
      </c>
      <c r="J2765" s="5" t="s">
        <v>12253</v>
      </c>
      <c r="K2765" s="5" t="s">
        <v>6194</v>
      </c>
      <c r="L2765" s="5" t="s">
        <v>12254</v>
      </c>
      <c r="M2765" s="5">
        <v>573000000000</v>
      </c>
      <c r="N2765" s="6">
        <v>46083</v>
      </c>
      <c r="O2765" s="7">
        <v>0</v>
      </c>
      <c r="P2765" s="5">
        <v>1</v>
      </c>
      <c r="Q2765" s="5" t="s">
        <v>309</v>
      </c>
      <c r="R2765" s="5">
        <v>88000</v>
      </c>
      <c r="S2765" s="5">
        <v>0</v>
      </c>
      <c r="T2765" s="5">
        <v>18000</v>
      </c>
      <c r="U2765" s="5">
        <v>106000</v>
      </c>
      <c r="V2765" s="5" t="s">
        <v>12255</v>
      </c>
      <c r="W2765" s="5" t="s">
        <v>36</v>
      </c>
      <c r="X2765" s="5" t="s">
        <v>1481</v>
      </c>
      <c r="Z2765" s="5" t="s">
        <v>12256</v>
      </c>
      <c r="AA2765" s="5" t="s">
        <v>44</v>
      </c>
      <c r="AB2765" s="5"/>
      <c r="AC2765" s="8" t="str">
        <f>HYPERLINK("https://drive.google.com/file/d/1iZBve-jxgg6Zb0lNmphX_9Rxbi44pWwN/view?usp=drivesdk", "Abrir_Factura")</f>
        <v>Abrir_Factura</v>
      </c>
      <c r="AD2765" s="9">
        <v>46083.467939814815</v>
      </c>
    </row>
    <row r="2766" spans="1:30" ht="12.5">
      <c r="A2766" s="4">
        <v>46083.47118493056</v>
      </c>
      <c r="B2766" s="5">
        <v>92507</v>
      </c>
      <c r="C2766" s="5">
        <v>1043662052</v>
      </c>
      <c r="D2766" s="5" t="s">
        <v>12257</v>
      </c>
      <c r="F2766" s="5"/>
      <c r="H2766" s="5">
        <v>573016653789</v>
      </c>
      <c r="J2766" s="5" t="s">
        <v>12258</v>
      </c>
      <c r="K2766" s="5" t="s">
        <v>307</v>
      </c>
      <c r="L2766" s="5" t="s">
        <v>12259</v>
      </c>
      <c r="M2766" s="5">
        <v>573016653789</v>
      </c>
      <c r="N2766" s="6">
        <v>46083</v>
      </c>
      <c r="O2766" s="7">
        <v>0</v>
      </c>
      <c r="P2766" s="5">
        <v>1</v>
      </c>
      <c r="Q2766" s="5" t="s">
        <v>649</v>
      </c>
      <c r="R2766" s="5">
        <v>200000</v>
      </c>
      <c r="S2766" s="5">
        <v>0</v>
      </c>
      <c r="T2766" s="5">
        <v>10000</v>
      </c>
      <c r="U2766" s="5">
        <v>210000</v>
      </c>
      <c r="V2766" s="5" t="s">
        <v>12260</v>
      </c>
      <c r="W2766" s="5" t="s">
        <v>36</v>
      </c>
      <c r="X2766" s="5" t="s">
        <v>1481</v>
      </c>
      <c r="Z2766" s="5" t="s">
        <v>12261</v>
      </c>
      <c r="AA2766" s="5" t="s">
        <v>44</v>
      </c>
      <c r="AB2766" s="5" t="s">
        <v>12262</v>
      </c>
      <c r="AC2766" s="8" t="str">
        <f>HYPERLINK("https://drive.google.com/file/d/1BjwZpyuxLCc1YqVRx8Z1ykqmcb6_y6dl/view?usp=drivesdk", "Abrir_Factura")</f>
        <v>Abrir_Factura</v>
      </c>
      <c r="AD2766" s="9">
        <v>46083.504814814813</v>
      </c>
    </row>
    <row r="2767" spans="1:30" ht="12.5">
      <c r="A2767" s="4">
        <v>46083.490921944445</v>
      </c>
      <c r="B2767" s="5">
        <v>92506</v>
      </c>
      <c r="C2767" s="5">
        <v>1081929456</v>
      </c>
      <c r="D2767" s="5" t="s">
        <v>12263</v>
      </c>
      <c r="F2767" s="5"/>
      <c r="H2767" s="5">
        <v>31363136478008</v>
      </c>
      <c r="J2767" s="5" t="s">
        <v>6491</v>
      </c>
      <c r="K2767" s="5" t="s">
        <v>249</v>
      </c>
      <c r="L2767" s="5" t="s">
        <v>12264</v>
      </c>
      <c r="M2767" s="5">
        <v>573104032481</v>
      </c>
      <c r="N2767" s="6">
        <v>46083</v>
      </c>
      <c r="O2767" s="7">
        <v>0</v>
      </c>
      <c r="P2767" s="5">
        <v>1</v>
      </c>
      <c r="Q2767" s="5" t="s">
        <v>178</v>
      </c>
      <c r="R2767" s="5">
        <v>110000</v>
      </c>
      <c r="S2767" s="5">
        <v>0</v>
      </c>
      <c r="T2767" s="5">
        <v>10000</v>
      </c>
      <c r="U2767" s="5">
        <v>120000</v>
      </c>
      <c r="V2767" s="5" t="s">
        <v>12265</v>
      </c>
      <c r="W2767" s="5" t="s">
        <v>36</v>
      </c>
      <c r="X2767" s="5" t="s">
        <v>1481</v>
      </c>
      <c r="Z2767" s="5" t="s">
        <v>12266</v>
      </c>
      <c r="AA2767" s="5" t="s">
        <v>44</v>
      </c>
      <c r="AB2767" s="5" t="s">
        <v>12267</v>
      </c>
      <c r="AC2767" s="8" t="str">
        <f>HYPERLINK("https://drive.google.com/file/d/19wN1EDy8dxEgtOdzcw21DYTjg_vfZk8K/view?usp=drivesdk", "Abrir_Factura")</f>
        <v>Abrir_Factura</v>
      </c>
      <c r="AD2767" s="9">
        <v>46083.494386574072</v>
      </c>
    </row>
    <row r="2768" spans="1:30" ht="12.5">
      <c r="A2768" s="4">
        <v>46083.498711481487</v>
      </c>
      <c r="B2768" s="5">
        <v>92508</v>
      </c>
      <c r="C2768" s="5">
        <v>1140904474</v>
      </c>
      <c r="D2768" s="5" t="s">
        <v>12268</v>
      </c>
      <c r="F2768" s="5"/>
      <c r="H2768" s="5">
        <v>573106113291</v>
      </c>
      <c r="J2768" s="5" t="s">
        <v>12269</v>
      </c>
      <c r="K2768" s="5" t="s">
        <v>930</v>
      </c>
      <c r="L2768" s="5" t="s">
        <v>12270</v>
      </c>
      <c r="M2768" s="5">
        <v>573017115577</v>
      </c>
      <c r="N2768" s="6">
        <v>46083</v>
      </c>
      <c r="O2768" s="7">
        <v>0</v>
      </c>
      <c r="P2768" s="5">
        <v>1</v>
      </c>
      <c r="Q2768" s="5" t="s">
        <v>309</v>
      </c>
      <c r="R2768" s="5">
        <v>88000</v>
      </c>
      <c r="S2768" s="5">
        <v>0</v>
      </c>
      <c r="T2768" s="5">
        <v>30000</v>
      </c>
      <c r="U2768" s="5">
        <v>118000</v>
      </c>
      <c r="V2768" s="5" t="s">
        <v>12271</v>
      </c>
      <c r="W2768" s="5" t="s">
        <v>36</v>
      </c>
      <c r="X2768" s="5" t="s">
        <v>67</v>
      </c>
      <c r="Z2768" s="5" t="s">
        <v>10320</v>
      </c>
      <c r="AA2768" s="5" t="s">
        <v>69</v>
      </c>
      <c r="AB2768" s="5"/>
      <c r="AC2768" s="8" t="str">
        <f>HYPERLINK("https://drive.google.com/file/d/1rstRc889ThggNiPL2QrVX2Rdss1qXSAF/view?usp=drivesdk", "Abrir_Factura")</f>
        <v>Abrir_Factura</v>
      </c>
      <c r="AD2768" s="9">
        <v>46083.509050925924</v>
      </c>
    </row>
    <row r="2769" spans="1:30" ht="12.5">
      <c r="A2769" s="4">
        <v>46083.514621168986</v>
      </c>
      <c r="B2769" s="5">
        <v>92509</v>
      </c>
      <c r="C2769" s="5">
        <v>1144069171</v>
      </c>
      <c r="D2769" s="5" t="s">
        <v>12272</v>
      </c>
      <c r="F2769" s="5"/>
      <c r="H2769" s="5">
        <v>573215653738</v>
      </c>
      <c r="J2769" s="5" t="s">
        <v>12273</v>
      </c>
      <c r="K2769" s="5" t="s">
        <v>161</v>
      </c>
      <c r="L2769" s="5" t="s">
        <v>12274</v>
      </c>
      <c r="M2769" s="5">
        <v>573104171595</v>
      </c>
      <c r="N2769" s="6">
        <v>46083</v>
      </c>
      <c r="O2769" s="7">
        <v>0</v>
      </c>
      <c r="P2769" s="5">
        <v>1</v>
      </c>
      <c r="Q2769" s="5" t="s">
        <v>5730</v>
      </c>
      <c r="R2769" s="5">
        <v>350000</v>
      </c>
      <c r="S2769" s="5">
        <v>0</v>
      </c>
      <c r="T2769" s="5">
        <v>8000</v>
      </c>
      <c r="U2769" s="5">
        <v>358000</v>
      </c>
      <c r="V2769" s="5" t="s">
        <v>12275</v>
      </c>
      <c r="W2769" s="5" t="s">
        <v>36</v>
      </c>
      <c r="X2769" s="5" t="s">
        <v>1481</v>
      </c>
      <c r="Z2769" s="5" t="s">
        <v>12276</v>
      </c>
      <c r="AA2769" s="5" t="s">
        <v>44</v>
      </c>
      <c r="AB2769" s="5"/>
      <c r="AC2769" s="8" t="str">
        <f>HYPERLINK("https://drive.google.com/file/d/1W-oyR_e7CZFYw-nTcbYJnJUfziX8zg0W/view?usp=drivesdk", "Abrir_Factura")</f>
        <v>Abrir_Factura</v>
      </c>
      <c r="AD2769" s="9">
        <v>46083.528333333335</v>
      </c>
    </row>
    <row r="2770" spans="1:30" ht="12.5">
      <c r="A2770" s="4">
        <v>46083.525982858795</v>
      </c>
      <c r="B2770" s="5">
        <v>92510</v>
      </c>
      <c r="C2770" s="5">
        <v>1129575297</v>
      </c>
      <c r="D2770" s="5" t="s">
        <v>12277</v>
      </c>
      <c r="F2770" s="5"/>
      <c r="H2770" s="5">
        <v>573182529107</v>
      </c>
      <c r="J2770" s="5" t="s">
        <v>12277</v>
      </c>
      <c r="K2770" s="5" t="s">
        <v>12066</v>
      </c>
      <c r="L2770" s="5" t="s">
        <v>12066</v>
      </c>
      <c r="M2770" s="5">
        <v>573182529107</v>
      </c>
      <c r="N2770" s="6">
        <v>46083</v>
      </c>
      <c r="O2770" s="7">
        <v>0</v>
      </c>
      <c r="P2770" s="5">
        <v>1</v>
      </c>
      <c r="Q2770" s="5" t="s">
        <v>42</v>
      </c>
      <c r="R2770" s="5">
        <v>120000</v>
      </c>
      <c r="S2770" s="5">
        <v>0</v>
      </c>
      <c r="T2770" s="5">
        <v>0</v>
      </c>
      <c r="U2770" s="5">
        <v>120000</v>
      </c>
      <c r="V2770" s="5"/>
      <c r="W2770" s="5" t="s">
        <v>36</v>
      </c>
      <c r="X2770" s="5" t="s">
        <v>1705</v>
      </c>
      <c r="Z2770" s="5"/>
      <c r="AA2770" s="5" t="s">
        <v>1717</v>
      </c>
      <c r="AB2770" s="5"/>
      <c r="AC2770" s="8" t="str">
        <f>HYPERLINK("https://drive.google.com/file/d/1xVzXDf5ahUwq7Z_JlP8ecFg3-wPPtal1/view?usp=drivesdk", "Abrir_Factura")</f>
        <v>Abrir_Factura</v>
      </c>
      <c r="AD2770" s="9">
        <v>46083.531053240738</v>
      </c>
    </row>
    <row r="2771" spans="1:30" ht="12.5">
      <c r="A2771" s="4">
        <v>46083.566282233791</v>
      </c>
      <c r="B2771" s="5">
        <v>92513</v>
      </c>
      <c r="C2771" s="5">
        <v>1052953536</v>
      </c>
      <c r="D2771" s="5" t="s">
        <v>12278</v>
      </c>
      <c r="F2771" s="5"/>
      <c r="H2771" s="5">
        <v>573008704329</v>
      </c>
      <c r="J2771" s="5" t="s">
        <v>12279</v>
      </c>
      <c r="K2771" s="5" t="s">
        <v>249</v>
      </c>
      <c r="L2771" s="5" t="s">
        <v>12280</v>
      </c>
      <c r="M2771" s="5">
        <v>573212351682</v>
      </c>
      <c r="N2771" s="6">
        <v>46083</v>
      </c>
      <c r="O2771" s="7">
        <v>0.625</v>
      </c>
      <c r="P2771" s="5">
        <v>1</v>
      </c>
      <c r="Q2771" s="5" t="s">
        <v>210</v>
      </c>
      <c r="R2771" s="5">
        <v>220000</v>
      </c>
      <c r="S2771" s="5">
        <v>0</v>
      </c>
      <c r="T2771" s="5">
        <v>10000</v>
      </c>
      <c r="U2771" s="5">
        <v>230000</v>
      </c>
      <c r="V2771" s="5" t="s">
        <v>12281</v>
      </c>
      <c r="W2771" s="5" t="s">
        <v>36</v>
      </c>
      <c r="X2771" s="5" t="s">
        <v>1481</v>
      </c>
      <c r="Z2771" s="5" t="s">
        <v>12282</v>
      </c>
      <c r="AA2771" s="5" t="s">
        <v>44</v>
      </c>
      <c r="AB2771" s="5"/>
      <c r="AC2771" s="8" t="str">
        <f>HYPERLINK("https://drive.google.com/file/d/1yHAqLpfbqXAhlf5v1ypNW5FNdacUTw5a/view?usp=drivesdk", "Abrir_Factura")</f>
        <v>Abrir_Factura</v>
      </c>
      <c r="AD2771" s="9">
        <v>46083.752881944441</v>
      </c>
    </row>
    <row r="2772" spans="1:30" ht="12.5">
      <c r="A2772" s="4">
        <v>46083.577097893518</v>
      </c>
      <c r="B2772" s="5">
        <v>92512</v>
      </c>
      <c r="C2772" s="5">
        <v>1000547710</v>
      </c>
      <c r="D2772" s="5" t="s">
        <v>12283</v>
      </c>
      <c r="F2772" s="5"/>
      <c r="H2772" s="5">
        <v>573046293299</v>
      </c>
      <c r="J2772" s="5" t="s">
        <v>12284</v>
      </c>
      <c r="K2772" s="5" t="s">
        <v>328</v>
      </c>
      <c r="L2772" s="5" t="s">
        <v>12285</v>
      </c>
      <c r="M2772" s="5">
        <v>573046293299</v>
      </c>
      <c r="N2772" s="6">
        <v>46089</v>
      </c>
      <c r="O2772" s="7">
        <v>0.33333333333333331</v>
      </c>
      <c r="P2772" s="5">
        <v>1</v>
      </c>
      <c r="Q2772" s="5" t="s">
        <v>89</v>
      </c>
      <c r="R2772" s="5">
        <v>170000</v>
      </c>
      <c r="S2772" s="5">
        <v>0</v>
      </c>
      <c r="T2772" s="5">
        <v>15000</v>
      </c>
      <c r="U2772" s="5">
        <v>185000</v>
      </c>
      <c r="V2772" s="5" t="s">
        <v>6210</v>
      </c>
      <c r="W2772" s="5" t="s">
        <v>36</v>
      </c>
      <c r="X2772" s="5" t="s">
        <v>7644</v>
      </c>
      <c r="Z2772" s="5" t="s">
        <v>6210</v>
      </c>
      <c r="AA2772" s="5" t="s">
        <v>69</v>
      </c>
      <c r="AB2772" s="5" t="s">
        <v>12286</v>
      </c>
      <c r="AC2772" s="8" t="str">
        <f>HYPERLINK("https://drive.google.com/file/d/1s9YBTiLrVtDnje-04qi_hdGWJNpez33p/view?usp=drivesdk", "Abrir_Factura")</f>
        <v>Abrir_Factura</v>
      </c>
      <c r="AD2772" s="9">
        <v>46083.577870370369</v>
      </c>
    </row>
    <row r="2773" spans="1:30" ht="12.5">
      <c r="A2773" s="4">
        <v>46083.593159525466</v>
      </c>
      <c r="B2773" s="5">
        <v>92514</v>
      </c>
      <c r="C2773" s="5">
        <v>55220299</v>
      </c>
      <c r="D2773" s="5" t="s">
        <v>12287</v>
      </c>
      <c r="F2773" s="5"/>
      <c r="H2773" s="5">
        <v>573014591116</v>
      </c>
      <c r="J2773" s="5" t="s">
        <v>12288</v>
      </c>
      <c r="K2773" s="5" t="s">
        <v>2865</v>
      </c>
      <c r="L2773" s="5" t="s">
        <v>12289</v>
      </c>
      <c r="M2773" s="5">
        <v>573014591116</v>
      </c>
      <c r="N2773" s="6">
        <v>46083</v>
      </c>
      <c r="O2773" s="7">
        <v>0.625</v>
      </c>
      <c r="P2773" s="5">
        <v>1</v>
      </c>
      <c r="Q2773" s="5" t="s">
        <v>1102</v>
      </c>
      <c r="R2773" s="5">
        <v>220000</v>
      </c>
      <c r="S2773" s="5">
        <v>0</v>
      </c>
      <c r="T2773" s="5">
        <v>12000</v>
      </c>
      <c r="U2773" s="5">
        <v>232000</v>
      </c>
      <c r="V2773" s="5" t="s">
        <v>6210</v>
      </c>
      <c r="W2773" s="5" t="s">
        <v>36</v>
      </c>
      <c r="X2773" s="5" t="s">
        <v>1481</v>
      </c>
      <c r="Z2773" s="5" t="s">
        <v>6210</v>
      </c>
      <c r="AA2773" s="5" t="s">
        <v>69</v>
      </c>
      <c r="AB2773" s="5"/>
      <c r="AC2773" s="8" t="str">
        <f>HYPERLINK("https://drive.google.com/file/d/11pbN40gdKVzrMWpW5jrHFUTP9ogdZdsN/view?usp=drivesdk", "Abrir_Factura")</f>
        <v>Abrir_Factura</v>
      </c>
      <c r="AD2773" s="9">
        <v>46083.696296296293</v>
      </c>
    </row>
    <row r="2774" spans="1:30" ht="12.5">
      <c r="A2774" s="4">
        <v>46083.595634490739</v>
      </c>
      <c r="B2774" s="5">
        <v>92515</v>
      </c>
      <c r="C2774" s="5">
        <v>1047502709</v>
      </c>
      <c r="D2774" s="5" t="s">
        <v>12290</v>
      </c>
      <c r="F2774" s="5"/>
      <c r="H2774" s="5">
        <v>573154165888</v>
      </c>
      <c r="J2774" s="5" t="s">
        <v>12290</v>
      </c>
      <c r="K2774" s="5" t="s">
        <v>12066</v>
      </c>
      <c r="L2774" s="5" t="s">
        <v>12066</v>
      </c>
      <c r="M2774" s="5">
        <v>573154165888</v>
      </c>
      <c r="N2774" s="6">
        <v>46083</v>
      </c>
      <c r="O2774" s="7">
        <v>0.66666666666666663</v>
      </c>
      <c r="P2774" s="5">
        <v>1</v>
      </c>
      <c r="Q2774" s="5" t="s">
        <v>375</v>
      </c>
      <c r="R2774" s="5">
        <v>80000</v>
      </c>
      <c r="S2774" s="5">
        <v>0</v>
      </c>
      <c r="T2774" s="5">
        <v>0</v>
      </c>
      <c r="U2774" s="5">
        <v>80000</v>
      </c>
      <c r="V2774" s="5" t="s">
        <v>12291</v>
      </c>
      <c r="W2774" s="5" t="s">
        <v>36</v>
      </c>
      <c r="X2774" s="5" t="s">
        <v>2438</v>
      </c>
      <c r="Z2774" s="5" t="s">
        <v>8915</v>
      </c>
      <c r="AA2774" s="5" t="s">
        <v>44</v>
      </c>
      <c r="AB2774" s="5"/>
      <c r="AC2774" s="8" t="str">
        <f>HYPERLINK("https://drive.google.com/file/d/1i2KdlIhc1T1L3HzSp8sCfBamnx67Ax0U/view?usp=drivesdk", "Abrir_Factura")</f>
        <v>Abrir_Factura</v>
      </c>
      <c r="AD2774" s="9">
        <v>46083.616238425922</v>
      </c>
    </row>
    <row r="2775" spans="1:30" ht="12.5">
      <c r="A2775" s="4">
        <v>46083.59715523148</v>
      </c>
      <c r="B2775" s="5">
        <v>92517</v>
      </c>
      <c r="C2775" s="5">
        <v>1081910101</v>
      </c>
      <c r="D2775" s="5" t="s">
        <v>12292</v>
      </c>
      <c r="F2775" s="5"/>
      <c r="H2775" s="5">
        <v>573043797446</v>
      </c>
      <c r="J2775" s="5" t="s">
        <v>12293</v>
      </c>
      <c r="K2775" s="5" t="s">
        <v>9925</v>
      </c>
      <c r="L2775" s="5" t="s">
        <v>12294</v>
      </c>
      <c r="M2775" s="5">
        <v>573043797446</v>
      </c>
      <c r="N2775" s="6">
        <v>46085</v>
      </c>
      <c r="O2775" s="7">
        <v>0.33333333333333331</v>
      </c>
      <c r="P2775" s="5">
        <v>1</v>
      </c>
      <c r="Q2775" s="5" t="s">
        <v>309</v>
      </c>
      <c r="R2775" s="5">
        <v>88000</v>
      </c>
      <c r="S2775" s="5">
        <v>0</v>
      </c>
      <c r="T2775" s="5">
        <v>11000</v>
      </c>
      <c r="U2775" s="5">
        <v>99000</v>
      </c>
      <c r="V2775" s="5" t="s">
        <v>12295</v>
      </c>
      <c r="W2775" s="5" t="s">
        <v>36</v>
      </c>
      <c r="X2775" s="5" t="s">
        <v>67</v>
      </c>
      <c r="Z2775" s="5" t="s">
        <v>12296</v>
      </c>
      <c r="AA2775" s="5" t="s">
        <v>44</v>
      </c>
      <c r="AB2775" s="5" t="s">
        <v>12297</v>
      </c>
      <c r="AC2775" s="8" t="str">
        <f>HYPERLINK("https://drive.google.com/file/d/1vNo7n2f3tTMiOLmul7ABFnKZL2G6tuVZ/view?usp=drivesdk", "Abrir_Factura")</f>
        <v>Abrir_Factura</v>
      </c>
      <c r="AD2775" s="9">
        <v>46083.625555555554</v>
      </c>
    </row>
    <row r="2776" spans="1:30" ht="12.5">
      <c r="A2776" s="4">
        <v>46083.617030347217</v>
      </c>
      <c r="B2776" s="5">
        <v>92516</v>
      </c>
      <c r="C2776" s="5">
        <v>0</v>
      </c>
      <c r="D2776" s="5" t="s">
        <v>12298</v>
      </c>
      <c r="F2776" s="5"/>
      <c r="H2776" s="5">
        <v>573245908734</v>
      </c>
      <c r="J2776" s="5" t="s">
        <v>12299</v>
      </c>
      <c r="K2776" s="5" t="s">
        <v>249</v>
      </c>
      <c r="L2776" s="5" t="s">
        <v>12300</v>
      </c>
      <c r="M2776" s="5">
        <v>573008015359</v>
      </c>
      <c r="N2776" s="6">
        <v>46083</v>
      </c>
      <c r="O2776" s="7">
        <v>0</v>
      </c>
      <c r="P2776" s="5">
        <v>1</v>
      </c>
      <c r="Q2776" s="5" t="s">
        <v>1085</v>
      </c>
      <c r="R2776" s="5">
        <v>130000</v>
      </c>
      <c r="S2776" s="5">
        <v>0</v>
      </c>
      <c r="T2776" s="5">
        <v>10000</v>
      </c>
      <c r="U2776" s="5">
        <v>140000</v>
      </c>
      <c r="V2776" s="5" t="s">
        <v>12301</v>
      </c>
      <c r="W2776" s="5" t="s">
        <v>36</v>
      </c>
      <c r="X2776" s="5" t="s">
        <v>67</v>
      </c>
      <c r="Z2776" s="5" t="s">
        <v>12302</v>
      </c>
      <c r="AA2776" s="5" t="s">
        <v>69</v>
      </c>
      <c r="AB2776" s="5"/>
      <c r="AC2776" s="8" t="str">
        <f>HYPERLINK("https://drive.google.com/file/d/1HR6ECBLkg1gh-BWDHVjfngGecK1vDaHv/view?usp=drivesdk", "Abrir_Factura")</f>
        <v>Abrir_Factura</v>
      </c>
      <c r="AD2776" s="9">
        <v>46083.619039351855</v>
      </c>
    </row>
    <row r="2777" spans="1:30" ht="12.5">
      <c r="A2777" s="4">
        <v>46083.62767037037</v>
      </c>
      <c r="B2777" s="5">
        <v>92518</v>
      </c>
      <c r="C2777" s="5">
        <v>1143448994</v>
      </c>
      <c r="D2777" s="5" t="s">
        <v>3183</v>
      </c>
      <c r="F2777" s="5"/>
      <c r="H2777" s="5">
        <v>573043190657</v>
      </c>
      <c r="J2777" s="5" t="s">
        <v>3183</v>
      </c>
      <c r="K2777" s="5" t="s">
        <v>12066</v>
      </c>
      <c r="L2777" s="5" t="s">
        <v>12066</v>
      </c>
      <c r="M2777" s="5">
        <v>573043190657</v>
      </c>
      <c r="N2777" s="6">
        <v>46083</v>
      </c>
      <c r="O2777" s="7">
        <v>0</v>
      </c>
      <c r="P2777" s="5">
        <v>1</v>
      </c>
      <c r="Q2777" s="5" t="s">
        <v>42</v>
      </c>
      <c r="R2777" s="5">
        <v>28000</v>
      </c>
      <c r="S2777" s="5">
        <v>0</v>
      </c>
      <c r="T2777" s="5">
        <v>0</v>
      </c>
      <c r="U2777" s="5">
        <v>28000</v>
      </c>
      <c r="V2777" s="5" t="s">
        <v>2441</v>
      </c>
      <c r="W2777" s="5" t="s">
        <v>36</v>
      </c>
      <c r="X2777" s="5" t="s">
        <v>1481</v>
      </c>
      <c r="Z2777" s="5" t="s">
        <v>2441</v>
      </c>
      <c r="AA2777" s="5" t="s">
        <v>44</v>
      </c>
      <c r="AB2777" s="5"/>
      <c r="AC2777" s="8" t="str">
        <f>HYPERLINK("https://drive.google.com/file/d/1JCNd_UfOZXtd8fr1nh31VwaG25iy3-ys/view?usp=drivesdk", "Abrir_Factura")</f>
        <v>Abrir_Factura</v>
      </c>
      <c r="AD2777" s="9">
        <v>46083.628333333334</v>
      </c>
    </row>
    <row r="2778" spans="1:30" ht="12.5">
      <c r="A2778" s="4">
        <v>46083.647649849532</v>
      </c>
      <c r="B2778" s="5">
        <v>92519</v>
      </c>
      <c r="C2778" s="5">
        <v>72310620</v>
      </c>
      <c r="D2778" s="5" t="s">
        <v>12303</v>
      </c>
      <c r="F2778" s="5"/>
      <c r="H2778" s="5">
        <v>573182575456</v>
      </c>
      <c r="J2778" s="5" t="s">
        <v>12303</v>
      </c>
      <c r="K2778" s="5" t="s">
        <v>12066</v>
      </c>
      <c r="L2778" s="5" t="s">
        <v>12066</v>
      </c>
      <c r="M2778" s="5">
        <v>573182575456</v>
      </c>
      <c r="N2778" s="6">
        <v>46083</v>
      </c>
      <c r="O2778" s="7">
        <v>0</v>
      </c>
      <c r="P2778" s="5">
        <v>1</v>
      </c>
      <c r="Q2778" s="5" t="s">
        <v>330</v>
      </c>
      <c r="R2778" s="5">
        <v>200000</v>
      </c>
      <c r="S2778" s="5">
        <v>0</v>
      </c>
      <c r="T2778" s="5">
        <v>0</v>
      </c>
      <c r="U2778" s="5">
        <v>200000</v>
      </c>
      <c r="V2778" s="5" t="s">
        <v>12304</v>
      </c>
      <c r="W2778" s="5" t="s">
        <v>36</v>
      </c>
      <c r="X2778" s="5" t="s">
        <v>1705</v>
      </c>
      <c r="Z2778" s="5" t="s">
        <v>12305</v>
      </c>
      <c r="AA2778" s="5" t="s">
        <v>1717</v>
      </c>
      <c r="AB2778" s="5"/>
      <c r="AC2778" s="8" t="str">
        <f>HYPERLINK("https://drive.google.com/file/d/1EBbVmlMTZFJ8uMuIBXNEUiTjIGaQQa32/view?usp=drivesdk", "Abrir_Factura")</f>
        <v>Abrir_Factura</v>
      </c>
      <c r="AD2778" s="9">
        <v>46083.648159722223</v>
      </c>
    </row>
    <row r="2779" spans="1:30" ht="12.5">
      <c r="A2779" s="4">
        <v>46083.701600462962</v>
      </c>
      <c r="B2779" s="5">
        <v>92520</v>
      </c>
      <c r="C2779" s="5">
        <v>1129569990</v>
      </c>
      <c r="D2779" s="5" t="s">
        <v>4351</v>
      </c>
      <c r="F2779" s="5"/>
      <c r="H2779" s="5">
        <v>573008148314</v>
      </c>
      <c r="J2779" s="5" t="s">
        <v>4351</v>
      </c>
      <c r="K2779" s="5" t="s">
        <v>12066</v>
      </c>
      <c r="L2779" s="5" t="s">
        <v>12066</v>
      </c>
      <c r="M2779" s="5">
        <v>573008148314</v>
      </c>
      <c r="N2779" s="6">
        <v>46083</v>
      </c>
      <c r="O2779" s="7">
        <v>0</v>
      </c>
      <c r="P2779" s="5">
        <v>1</v>
      </c>
      <c r="Q2779" s="5" t="s">
        <v>42</v>
      </c>
      <c r="R2779" s="5">
        <v>58000</v>
      </c>
      <c r="S2779" s="5">
        <v>0</v>
      </c>
      <c r="T2779" s="5">
        <v>0</v>
      </c>
      <c r="U2779" s="5">
        <v>58000</v>
      </c>
      <c r="V2779" s="5" t="s">
        <v>2477</v>
      </c>
      <c r="W2779" s="5" t="s">
        <v>36</v>
      </c>
      <c r="X2779" s="5" t="s">
        <v>1705</v>
      </c>
      <c r="Z2779" s="5" t="s">
        <v>2477</v>
      </c>
      <c r="AA2779" s="5" t="s">
        <v>1717</v>
      </c>
      <c r="AB2779" s="5"/>
      <c r="AC2779" s="8" t="str">
        <f>HYPERLINK("https://drive.google.com/file/d/15HHblHTqegKzFNyhUWQqkGtUaTR0c2wa/view?usp=drivesdk", "Abrir_Factura")</f>
        <v>Abrir_Factura</v>
      </c>
      <c r="AD2779" s="9">
        <v>46083.702175925922</v>
      </c>
    </row>
    <row r="2780" spans="1:30" ht="12.5">
      <c r="A2780" s="4">
        <v>46083.704730717596</v>
      </c>
      <c r="B2780" s="5">
        <v>92521</v>
      </c>
      <c r="C2780" s="5">
        <v>1085291799</v>
      </c>
      <c r="D2780" s="5" t="s">
        <v>12306</v>
      </c>
      <c r="F2780" s="5"/>
      <c r="H2780" s="5">
        <v>573155772759</v>
      </c>
      <c r="J2780" s="5" t="s">
        <v>12307</v>
      </c>
      <c r="K2780" s="5" t="s">
        <v>63</v>
      </c>
      <c r="L2780" s="5" t="s">
        <v>12308</v>
      </c>
      <c r="M2780" s="5">
        <v>573155772759</v>
      </c>
      <c r="N2780" s="6">
        <v>46089</v>
      </c>
      <c r="O2780" s="7">
        <v>0.33333333333333331</v>
      </c>
      <c r="P2780" s="5">
        <v>1</v>
      </c>
      <c r="Q2780" s="5" t="s">
        <v>12309</v>
      </c>
      <c r="R2780" s="5">
        <v>150000</v>
      </c>
      <c r="S2780" s="5">
        <v>0</v>
      </c>
      <c r="T2780" s="5">
        <v>17000</v>
      </c>
      <c r="U2780" s="5">
        <v>167000</v>
      </c>
      <c r="V2780" s="5" t="s">
        <v>12310</v>
      </c>
      <c r="W2780" s="5" t="s">
        <v>36</v>
      </c>
      <c r="X2780" s="5" t="s">
        <v>1481</v>
      </c>
      <c r="Z2780" s="5" t="s">
        <v>12311</v>
      </c>
      <c r="AA2780" s="5" t="s">
        <v>44</v>
      </c>
      <c r="AB2780" s="5"/>
      <c r="AC2780" s="8" t="str">
        <f>HYPERLINK("https://drive.google.com/file/d/1s5_QvzxWn14PUYh7oRrVvs11qhcFTRDh/view?usp=drivesdk", "Abrir_Factura")</f>
        <v>Abrir_Factura</v>
      </c>
      <c r="AD2780" s="9">
        <v>46083.705497685187</v>
      </c>
    </row>
    <row r="2781" spans="1:30" ht="12.5">
      <c r="A2781" s="4">
        <v>46083.724257199079</v>
      </c>
      <c r="B2781" s="5">
        <v>92522</v>
      </c>
      <c r="C2781" s="5">
        <v>1045739256</v>
      </c>
      <c r="D2781" s="5" t="s">
        <v>12312</v>
      </c>
      <c r="F2781" s="5"/>
      <c r="H2781" s="5">
        <v>573116424415</v>
      </c>
      <c r="J2781" s="5" t="s">
        <v>12313</v>
      </c>
      <c r="K2781" s="5" t="s">
        <v>63</v>
      </c>
      <c r="L2781" s="5" t="s">
        <v>12314</v>
      </c>
      <c r="M2781" s="5">
        <v>573217560475</v>
      </c>
      <c r="N2781" s="6">
        <v>46083</v>
      </c>
      <c r="O2781" s="7">
        <v>0.74861111111111112</v>
      </c>
      <c r="P2781" s="5">
        <v>1</v>
      </c>
      <c r="Q2781" s="5" t="s">
        <v>42</v>
      </c>
      <c r="R2781" s="5">
        <v>200000</v>
      </c>
      <c r="S2781" s="5">
        <v>0</v>
      </c>
      <c r="T2781" s="5">
        <v>17000</v>
      </c>
      <c r="U2781" s="5">
        <v>217000</v>
      </c>
      <c r="V2781" s="5" t="s">
        <v>12315</v>
      </c>
      <c r="W2781" s="5" t="s">
        <v>36</v>
      </c>
      <c r="X2781" s="5" t="s">
        <v>1481</v>
      </c>
      <c r="Z2781" s="5" t="s">
        <v>1038</v>
      </c>
      <c r="AA2781" s="5" t="s">
        <v>69</v>
      </c>
      <c r="AB2781" s="5" t="s">
        <v>12316</v>
      </c>
      <c r="AC2781" s="8" t="str">
        <f>HYPERLINK("https://drive.google.com/file/d/1-iXtIDx76k-hGE7Oqd8RnNgQUxv8mglY/view?usp=drivesdk", "Abrir_Factura")</f>
        <v>Abrir_Factura</v>
      </c>
      <c r="AD2781" s="9">
        <v>46083.734618055554</v>
      </c>
    </row>
    <row r="2782" spans="1:30" ht="12.5">
      <c r="A2782" s="4">
        <v>46083.740689675928</v>
      </c>
      <c r="B2782" s="5">
        <v>92525</v>
      </c>
      <c r="C2782" s="5">
        <v>1032492557</v>
      </c>
      <c r="D2782" s="5" t="s">
        <v>12317</v>
      </c>
      <c r="F2782" s="5"/>
      <c r="H2782" s="5">
        <v>573116096099</v>
      </c>
      <c r="J2782" s="5" t="s">
        <v>8783</v>
      </c>
      <c r="K2782" s="5" t="s">
        <v>4558</v>
      </c>
      <c r="L2782" s="5" t="s">
        <v>12318</v>
      </c>
      <c r="M2782" s="5">
        <v>573116096099</v>
      </c>
      <c r="N2782" s="6">
        <v>46086</v>
      </c>
      <c r="O2782" s="7">
        <v>0.375</v>
      </c>
      <c r="P2782" s="5">
        <v>3</v>
      </c>
      <c r="Q2782" s="5" t="s">
        <v>12319</v>
      </c>
      <c r="R2782" s="5">
        <v>195000</v>
      </c>
      <c r="S2782" s="5">
        <v>0</v>
      </c>
      <c r="T2782" s="5">
        <v>10000</v>
      </c>
      <c r="U2782" s="5">
        <v>205000</v>
      </c>
      <c r="V2782" s="5" t="s">
        <v>12320</v>
      </c>
      <c r="W2782" s="5" t="s">
        <v>36</v>
      </c>
      <c r="X2782" s="5" t="s">
        <v>1481</v>
      </c>
      <c r="Z2782" s="5" t="s">
        <v>12321</v>
      </c>
      <c r="AA2782" s="5" t="s">
        <v>44</v>
      </c>
      <c r="AB2782" s="5" t="s">
        <v>12322</v>
      </c>
      <c r="AC2782" s="8" t="str">
        <f>HYPERLINK("https://drive.google.com/file/d/1KwUkiN1vwlAlJkbVS19p9C8IXkHlJ1-E/view?usp=drivesdk", "Abrir_Factura")</f>
        <v>Abrir_Factura</v>
      </c>
      <c r="AD2782" s="9">
        <v>46084.312141203707</v>
      </c>
    </row>
    <row r="2783" spans="1:30" ht="12.5">
      <c r="A2783" s="4">
        <v>46083.759834988421</v>
      </c>
      <c r="B2783" s="5">
        <v>92523</v>
      </c>
      <c r="C2783" s="5">
        <v>55312182</v>
      </c>
      <c r="D2783" s="5" t="s">
        <v>12323</v>
      </c>
      <c r="F2783" s="5"/>
      <c r="H2783" s="5">
        <v>573158953242</v>
      </c>
      <c r="J2783" s="5" t="s">
        <v>12323</v>
      </c>
      <c r="K2783" s="5" t="s">
        <v>12066</v>
      </c>
      <c r="L2783" s="5" t="s">
        <v>12066</v>
      </c>
      <c r="M2783" s="5">
        <v>573158953242</v>
      </c>
      <c r="N2783" s="6">
        <v>46083</v>
      </c>
      <c r="O2783" s="7">
        <v>0.75</v>
      </c>
      <c r="P2783" s="5">
        <v>1</v>
      </c>
      <c r="Q2783" s="5" t="s">
        <v>42</v>
      </c>
      <c r="R2783" s="5">
        <v>20000</v>
      </c>
      <c r="S2783" s="5">
        <v>0</v>
      </c>
      <c r="T2783" s="5">
        <v>0</v>
      </c>
      <c r="U2783" s="5">
        <v>20000</v>
      </c>
      <c r="V2783" s="5"/>
      <c r="W2783" s="5" t="s">
        <v>36</v>
      </c>
      <c r="X2783" s="5" t="s">
        <v>1705</v>
      </c>
      <c r="Z2783" s="5"/>
      <c r="AA2783" s="5" t="s">
        <v>1717</v>
      </c>
      <c r="AB2783" s="5"/>
      <c r="AC2783" s="8" t="str">
        <f>HYPERLINK("https://drive.google.com/file/d/1CXcRG5z6syFGlAB28XNzKmOCkii3TMvj/view?usp=drivesdk", "Abrir_Factura")</f>
        <v>Abrir_Factura</v>
      </c>
      <c r="AD2783" s="9">
        <v>46083.762256944443</v>
      </c>
    </row>
    <row r="2784" spans="1:30" ht="12.5">
      <c r="A2784" s="4">
        <v>46084.305731412038</v>
      </c>
      <c r="B2784" s="5">
        <v>92524</v>
      </c>
      <c r="C2784" s="5">
        <v>8300332063</v>
      </c>
      <c r="D2784" s="5" t="s">
        <v>12324</v>
      </c>
      <c r="F2784" s="5"/>
      <c r="H2784" s="5">
        <v>576057430792</v>
      </c>
      <c r="J2784" s="5" t="s">
        <v>12324</v>
      </c>
      <c r="K2784" s="5" t="s">
        <v>12066</v>
      </c>
      <c r="L2784" s="5" t="s">
        <v>12066</v>
      </c>
      <c r="M2784" s="5">
        <v>573057430792</v>
      </c>
      <c r="N2784" s="6">
        <v>46089</v>
      </c>
      <c r="O2784" s="7">
        <v>0</v>
      </c>
      <c r="P2784" s="5">
        <v>1</v>
      </c>
      <c r="Q2784" s="5" t="s">
        <v>42</v>
      </c>
      <c r="R2784" s="5">
        <v>175000</v>
      </c>
      <c r="S2784" s="5">
        <v>33250</v>
      </c>
      <c r="T2784" s="5">
        <v>0</v>
      </c>
      <c r="U2784" s="5">
        <v>208250</v>
      </c>
      <c r="V2784" s="5" t="s">
        <v>12325</v>
      </c>
      <c r="W2784" s="5" t="s">
        <v>36</v>
      </c>
      <c r="X2784" s="5" t="s">
        <v>43</v>
      </c>
      <c r="Z2784" s="5" t="s">
        <v>12325</v>
      </c>
      <c r="AA2784" s="5" t="s">
        <v>332</v>
      </c>
      <c r="AB2784" s="5" t="s">
        <v>12326</v>
      </c>
      <c r="AC2784" s="8" t="str">
        <f>HYPERLINK("https://drive.google.com/file/d/1vv6vHVl26Niqm_asS0C-OFkk5mocPpAz/view?usp=drivesdk", "Abrir_Factura")</f>
        <v>Abrir_Factura</v>
      </c>
      <c r="AD2784" s="9">
        <v>46084.30810185185</v>
      </c>
    </row>
    <row r="2785" spans="1:30" ht="12.5">
      <c r="A2785" s="4">
        <v>46084.338193518517</v>
      </c>
      <c r="B2785" s="5">
        <v>92526</v>
      </c>
      <c r="C2785" s="5">
        <v>1004162389</v>
      </c>
      <c r="D2785" s="5" t="s">
        <v>12327</v>
      </c>
      <c r="F2785" s="5"/>
      <c r="H2785" s="5">
        <v>573002871255</v>
      </c>
      <c r="J2785" s="5" t="s">
        <v>12328</v>
      </c>
      <c r="K2785" s="5" t="s">
        <v>328</v>
      </c>
      <c r="L2785" s="5" t="s">
        <v>12329</v>
      </c>
      <c r="M2785" s="5">
        <v>573002871255</v>
      </c>
      <c r="N2785" s="6">
        <v>46084</v>
      </c>
      <c r="O2785" s="7">
        <v>0.66666666666666663</v>
      </c>
      <c r="P2785" s="5">
        <v>1</v>
      </c>
      <c r="Q2785" s="5" t="s">
        <v>42</v>
      </c>
      <c r="R2785" s="5">
        <v>150000</v>
      </c>
      <c r="S2785" s="5">
        <v>0</v>
      </c>
      <c r="T2785" s="5">
        <v>15000</v>
      </c>
      <c r="U2785" s="5">
        <v>165000</v>
      </c>
      <c r="V2785" s="5" t="s">
        <v>12330</v>
      </c>
      <c r="W2785" s="5" t="s">
        <v>36</v>
      </c>
      <c r="X2785" s="5" t="s">
        <v>1481</v>
      </c>
      <c r="Z2785" s="5" t="s">
        <v>12331</v>
      </c>
      <c r="AA2785" s="5" t="s">
        <v>69</v>
      </c>
      <c r="AB2785" s="5" t="s">
        <v>12332</v>
      </c>
      <c r="AC2785" s="8" t="str">
        <f>HYPERLINK("https://drive.google.com/file/d/1jjTXba7H7aiJ_651GiNORGNtYTteXtmi/view?usp=drivesdk", "Abrir_Factura")</f>
        <v>Abrir_Factura</v>
      </c>
      <c r="AD2785" s="9">
        <v>46084.35533564815</v>
      </c>
    </row>
    <row r="2786" spans="1:30" ht="12.5">
      <c r="A2786" s="4">
        <v>46084.35449946759</v>
      </c>
      <c r="B2786" s="5">
        <v>92527</v>
      </c>
      <c r="C2786" s="5">
        <v>32785511</v>
      </c>
      <c r="D2786" s="5" t="s">
        <v>12333</v>
      </c>
      <c r="F2786" s="5"/>
      <c r="H2786" s="5">
        <v>573013637941</v>
      </c>
      <c r="J2786" s="5" t="s">
        <v>12334</v>
      </c>
      <c r="K2786" s="5" t="s">
        <v>161</v>
      </c>
      <c r="L2786" s="5" t="s">
        <v>12335</v>
      </c>
      <c r="M2786" s="5">
        <v>573004916630</v>
      </c>
      <c r="N2786" s="6">
        <v>46084</v>
      </c>
      <c r="O2786" s="7">
        <v>0.41666666666666669</v>
      </c>
      <c r="P2786" s="5">
        <v>1</v>
      </c>
      <c r="Q2786" s="5" t="s">
        <v>12336</v>
      </c>
      <c r="R2786" s="5">
        <v>450000</v>
      </c>
      <c r="S2786" s="5">
        <v>0</v>
      </c>
      <c r="T2786" s="5">
        <v>8000</v>
      </c>
      <c r="U2786" s="5">
        <v>458000</v>
      </c>
      <c r="V2786" s="5" t="s">
        <v>12337</v>
      </c>
      <c r="W2786" s="5" t="s">
        <v>36</v>
      </c>
      <c r="X2786" s="5" t="s">
        <v>180</v>
      </c>
      <c r="Z2786" s="5" t="s">
        <v>12338</v>
      </c>
      <c r="AA2786" s="5" t="s">
        <v>44</v>
      </c>
      <c r="AB2786" s="5"/>
      <c r="AC2786" s="8" t="str">
        <f>HYPERLINK("https://drive.google.com/file/d/1-4nmAtNsy3OjjMqlQGCuCk4zuvh_01WF/view?usp=drivesdk", "Abrir_Factura")</f>
        <v>Abrir_Factura</v>
      </c>
      <c r="AD2786" s="9">
        <v>46084.359375</v>
      </c>
    </row>
    <row r="2787" spans="1:30" ht="12.5">
      <c r="A2787" s="4">
        <v>46084.38112554398</v>
      </c>
      <c r="B2787" s="5">
        <v>92528</v>
      </c>
      <c r="C2787" s="5">
        <v>72302570</v>
      </c>
      <c r="D2787" s="5" t="s">
        <v>12339</v>
      </c>
      <c r="F2787" s="5"/>
      <c r="H2787" s="5">
        <v>573145954990</v>
      </c>
      <c r="J2787" s="5" t="s">
        <v>12340</v>
      </c>
      <c r="K2787" s="5" t="s">
        <v>328</v>
      </c>
      <c r="L2787" s="5" t="s">
        <v>12341</v>
      </c>
      <c r="M2787" s="5">
        <v>573145954989</v>
      </c>
      <c r="N2787" s="6">
        <v>46085</v>
      </c>
      <c r="O2787" s="7">
        <v>0.33333333333333331</v>
      </c>
      <c r="P2787" s="5">
        <v>1</v>
      </c>
      <c r="Q2787" s="5" t="s">
        <v>4616</v>
      </c>
      <c r="R2787" s="5">
        <v>290000</v>
      </c>
      <c r="S2787" s="5">
        <v>0</v>
      </c>
      <c r="T2787" s="5">
        <v>15000</v>
      </c>
      <c r="U2787" s="5">
        <v>305000</v>
      </c>
      <c r="V2787" s="5" t="s">
        <v>7989</v>
      </c>
      <c r="W2787" s="5" t="s">
        <v>36</v>
      </c>
      <c r="X2787" s="5" t="s">
        <v>1705</v>
      </c>
      <c r="Z2787" s="5" t="s">
        <v>3330</v>
      </c>
      <c r="AA2787" s="5" t="s">
        <v>1717</v>
      </c>
      <c r="AB2787" s="5"/>
      <c r="AC2787" s="8" t="str">
        <f>HYPERLINK("https://drive.google.com/file/d/1H0hk9SthgAcZXI07T0Jsm3IcEdPq_4fY/view?usp=drivesdk", "Abrir_Factura")</f>
        <v>Abrir_Factura</v>
      </c>
      <c r="AD2787" s="9">
        <v>46084.382094907407</v>
      </c>
    </row>
    <row r="2788" spans="1:30" ht="12.5">
      <c r="A2788" s="4">
        <v>46084.38222024306</v>
      </c>
      <c r="B2788" s="5">
        <v>92529</v>
      </c>
      <c r="C2788" s="5">
        <v>1098745476</v>
      </c>
      <c r="D2788" s="5" t="s">
        <v>12342</v>
      </c>
      <c r="F2788" s="5"/>
      <c r="H2788" s="5">
        <v>573165653164</v>
      </c>
      <c r="J2788" s="5" t="s">
        <v>12343</v>
      </c>
      <c r="K2788" s="5" t="s">
        <v>103</v>
      </c>
      <c r="L2788" s="5" t="s">
        <v>12344</v>
      </c>
      <c r="M2788" s="5">
        <v>573165653164</v>
      </c>
      <c r="N2788" s="6">
        <v>46084</v>
      </c>
      <c r="O2788" s="7">
        <v>0</v>
      </c>
      <c r="P2788" s="5">
        <v>1</v>
      </c>
      <c r="Q2788" s="5" t="s">
        <v>42</v>
      </c>
      <c r="R2788" s="5">
        <v>130000</v>
      </c>
      <c r="S2788" s="5">
        <v>0</v>
      </c>
      <c r="T2788" s="5">
        <v>10000</v>
      </c>
      <c r="U2788" s="5">
        <v>140000</v>
      </c>
      <c r="V2788" s="5" t="s">
        <v>12345</v>
      </c>
      <c r="W2788" s="5" t="s">
        <v>36</v>
      </c>
      <c r="X2788" s="5" t="s">
        <v>1481</v>
      </c>
      <c r="Z2788" s="5" t="s">
        <v>584</v>
      </c>
      <c r="AA2788" s="5" t="s">
        <v>44</v>
      </c>
      <c r="AB2788" s="5" t="s">
        <v>12346</v>
      </c>
      <c r="AC2788" s="8" t="str">
        <f>HYPERLINK("https://drive.google.com/file/d/1gl-6dTIFVieb7dHaZ-1fwXxFv0mh0qrw/view?usp=drivesdk", "Abrir_Factura")</f>
        <v>Abrir_Factura</v>
      </c>
      <c r="AD2788" s="9">
        <v>46084.390798611108</v>
      </c>
    </row>
    <row r="2789" spans="1:30" ht="12.5">
      <c r="A2789" s="4">
        <v>46084.390373877315</v>
      </c>
      <c r="B2789" s="5">
        <v>92530</v>
      </c>
      <c r="C2789" s="5">
        <v>1140859865</v>
      </c>
      <c r="D2789" s="5" t="s">
        <v>12347</v>
      </c>
      <c r="F2789" s="5"/>
      <c r="H2789" s="5">
        <v>573002288111</v>
      </c>
      <c r="J2789" s="5" t="s">
        <v>12348</v>
      </c>
      <c r="K2789" s="5" t="s">
        <v>11248</v>
      </c>
      <c r="L2789" s="5" t="s">
        <v>12349</v>
      </c>
      <c r="M2789" s="5">
        <v>573002437135</v>
      </c>
      <c r="N2789" s="6">
        <v>46084</v>
      </c>
      <c r="O2789" s="7">
        <v>0</v>
      </c>
      <c r="P2789" s="5">
        <v>1</v>
      </c>
      <c r="Q2789" s="5" t="s">
        <v>187</v>
      </c>
      <c r="R2789" s="5">
        <v>220000</v>
      </c>
      <c r="S2789" s="5">
        <v>0</v>
      </c>
      <c r="T2789" s="5">
        <v>15000</v>
      </c>
      <c r="U2789" s="5">
        <v>235000</v>
      </c>
      <c r="V2789" s="5" t="s">
        <v>12350</v>
      </c>
      <c r="W2789" s="5" t="s">
        <v>36</v>
      </c>
      <c r="X2789" s="5" t="s">
        <v>1481</v>
      </c>
      <c r="Z2789" s="5" t="s">
        <v>12351</v>
      </c>
      <c r="AA2789" s="5" t="s">
        <v>44</v>
      </c>
      <c r="AB2789" s="5"/>
      <c r="AC2789" s="8" t="str">
        <f>HYPERLINK("https://drive.google.com/file/d/10RtRpKqKmxgbQzXbhwQKuq8J4oL_8pV3/view?usp=drivesdk", "Abrir_Factura")</f>
        <v>Abrir_Factura</v>
      </c>
      <c r="AD2789" s="9">
        <v>46084.397199074076</v>
      </c>
    </row>
    <row r="2790" spans="1:30" ht="12.5">
      <c r="A2790" s="4">
        <v>46084.394889537041</v>
      </c>
      <c r="B2790" s="5">
        <v>92531</v>
      </c>
      <c r="C2790" s="5">
        <v>38602764</v>
      </c>
      <c r="D2790" s="5" t="s">
        <v>12352</v>
      </c>
      <c r="F2790" s="5"/>
      <c r="H2790" s="5">
        <v>573113154998</v>
      </c>
      <c r="J2790" s="5" t="s">
        <v>12352</v>
      </c>
      <c r="K2790" s="5" t="s">
        <v>63</v>
      </c>
      <c r="L2790" s="5" t="s">
        <v>12353</v>
      </c>
      <c r="M2790" s="5">
        <v>573113154998</v>
      </c>
      <c r="N2790" s="6">
        <v>46086</v>
      </c>
      <c r="O2790" s="7">
        <v>0.375</v>
      </c>
      <c r="P2790" s="5">
        <v>1</v>
      </c>
      <c r="Q2790" s="5" t="s">
        <v>309</v>
      </c>
      <c r="R2790" s="5">
        <v>88000</v>
      </c>
      <c r="S2790" s="5">
        <v>0</v>
      </c>
      <c r="T2790" s="5">
        <v>17000</v>
      </c>
      <c r="U2790" s="5">
        <v>105000</v>
      </c>
      <c r="V2790" s="5" t="s">
        <v>12354</v>
      </c>
      <c r="W2790" s="5" t="s">
        <v>36</v>
      </c>
      <c r="X2790" s="5" t="s">
        <v>1481</v>
      </c>
      <c r="Z2790" s="5" t="s">
        <v>12355</v>
      </c>
      <c r="AA2790" s="5" t="s">
        <v>44</v>
      </c>
      <c r="AB2790" s="5"/>
      <c r="AC2790" s="8" t="str">
        <f>HYPERLINK("https://drive.google.com/file/d/1wQ6JjjB9H4NLHrSTIyS5hEJWl-2Ayggb/view?usp=drivesdk", "Abrir_Factura")</f>
        <v>Abrir_Factura</v>
      </c>
      <c r="AD2790" s="9">
        <v>46084.402754629627</v>
      </c>
    </row>
    <row r="2791" spans="1:30" ht="12.5">
      <c r="A2791" s="4">
        <v>46084.411646076391</v>
      </c>
      <c r="B2791" s="5">
        <v>92532</v>
      </c>
      <c r="C2791" s="5">
        <v>12715707</v>
      </c>
      <c r="D2791" s="5" t="s">
        <v>12356</v>
      </c>
      <c r="F2791" s="5"/>
      <c r="H2791" s="5">
        <v>573166902233</v>
      </c>
      <c r="J2791" s="5" t="s">
        <v>12357</v>
      </c>
      <c r="K2791" s="5" t="s">
        <v>63</v>
      </c>
      <c r="L2791" s="5" t="s">
        <v>12358</v>
      </c>
      <c r="M2791" s="5">
        <v>573002469146</v>
      </c>
      <c r="N2791" s="6">
        <v>46085</v>
      </c>
      <c r="O2791" s="7">
        <v>0.33333333333333331</v>
      </c>
      <c r="P2791" s="5">
        <v>1</v>
      </c>
      <c r="Q2791" s="5" t="s">
        <v>251</v>
      </c>
      <c r="R2791" s="5">
        <v>190000</v>
      </c>
      <c r="S2791" s="5">
        <v>0</v>
      </c>
      <c r="T2791" s="5">
        <v>17000</v>
      </c>
      <c r="U2791" s="5">
        <v>207000</v>
      </c>
      <c r="V2791" s="5" t="s">
        <v>9624</v>
      </c>
      <c r="W2791" s="5" t="s">
        <v>36</v>
      </c>
      <c r="X2791" s="5" t="s">
        <v>67</v>
      </c>
      <c r="Z2791" s="5" t="s">
        <v>9624</v>
      </c>
      <c r="AA2791" s="5" t="s">
        <v>44</v>
      </c>
      <c r="AB2791" s="5"/>
      <c r="AC2791" s="8" t="str">
        <f>HYPERLINK("https://drive.google.com/file/d/1u7DWHX6zivCo_XXZrLZVhG1ohP9wMjqT/view?usp=drivesdk", "Abrir_Factura")</f>
        <v>Abrir_Factura</v>
      </c>
      <c r="AD2791" s="9">
        <v>46084.412164351852</v>
      </c>
    </row>
    <row r="2792" spans="1:30" ht="12.5">
      <c r="A2792" s="4">
        <v>46084.421516064816</v>
      </c>
      <c r="B2792" s="5">
        <v>92533</v>
      </c>
      <c r="C2792" s="5">
        <v>1003431353</v>
      </c>
      <c r="D2792" s="5" t="s">
        <v>12359</v>
      </c>
      <c r="F2792" s="5"/>
      <c r="H2792" s="5">
        <v>573008011124</v>
      </c>
      <c r="J2792" s="5" t="s">
        <v>12359</v>
      </c>
      <c r="K2792" s="5" t="s">
        <v>73</v>
      </c>
      <c r="L2792" s="5" t="s">
        <v>12360</v>
      </c>
      <c r="M2792" s="5">
        <v>573008011124</v>
      </c>
      <c r="N2792" s="6">
        <v>46084</v>
      </c>
      <c r="O2792" s="7">
        <v>0.47916666666666669</v>
      </c>
      <c r="P2792" s="5">
        <v>1</v>
      </c>
      <c r="Q2792" s="5" t="s">
        <v>2586</v>
      </c>
      <c r="R2792" s="5">
        <v>190000</v>
      </c>
      <c r="S2792" s="5">
        <v>0</v>
      </c>
      <c r="T2792" s="5">
        <v>8000</v>
      </c>
      <c r="U2792" s="5">
        <v>198000</v>
      </c>
      <c r="V2792" s="5" t="s">
        <v>12361</v>
      </c>
      <c r="W2792" s="5" t="s">
        <v>36</v>
      </c>
      <c r="X2792" s="5" t="s">
        <v>1481</v>
      </c>
      <c r="Z2792" s="5" t="s">
        <v>7979</v>
      </c>
      <c r="AA2792" s="5" t="s">
        <v>44</v>
      </c>
      <c r="AB2792" s="5" t="s">
        <v>1117</v>
      </c>
      <c r="AC2792" s="8" t="str">
        <f>HYPERLINK("https://drive.google.com/file/d/1FyQbcLNAhreZtMoQ6mb-bMsmyQQfPAlU/view?usp=drivesdk", "Abrir_Factura")</f>
        <v>Abrir_Factura</v>
      </c>
      <c r="AD2792" s="9">
        <v>46084.444432870368</v>
      </c>
    </row>
    <row r="2793" spans="1:30" ht="12.5">
      <c r="A2793" s="4">
        <v>46084.454575972224</v>
      </c>
      <c r="B2793" s="5">
        <v>92534</v>
      </c>
      <c r="C2793" s="5">
        <v>8020106144</v>
      </c>
      <c r="D2793" s="5" t="s">
        <v>12362</v>
      </c>
      <c r="F2793" s="5"/>
      <c r="H2793" s="5">
        <v>573016373200</v>
      </c>
      <c r="J2793" s="5" t="s">
        <v>12363</v>
      </c>
      <c r="K2793" s="5" t="s">
        <v>4403</v>
      </c>
      <c r="L2793" s="5" t="s">
        <v>12364</v>
      </c>
      <c r="M2793" s="5">
        <v>573016373200</v>
      </c>
      <c r="N2793" s="6">
        <v>46084</v>
      </c>
      <c r="O2793" s="7">
        <v>0</v>
      </c>
      <c r="P2793" s="5">
        <v>1</v>
      </c>
      <c r="Q2793" s="5" t="s">
        <v>3892</v>
      </c>
      <c r="R2793" s="5">
        <v>300000</v>
      </c>
      <c r="S2793" s="5">
        <v>57000</v>
      </c>
      <c r="T2793" s="5">
        <v>20000</v>
      </c>
      <c r="U2793" s="5">
        <v>377000</v>
      </c>
      <c r="V2793" s="5" t="s">
        <v>12365</v>
      </c>
      <c r="W2793" s="5" t="s">
        <v>36</v>
      </c>
      <c r="X2793" s="5" t="s">
        <v>2163</v>
      </c>
      <c r="Z2793" s="5" t="s">
        <v>12366</v>
      </c>
      <c r="AA2793" s="5" t="s">
        <v>44</v>
      </c>
      <c r="AB2793" s="5"/>
      <c r="AC2793" s="8" t="str">
        <f>HYPERLINK("https://drive.google.com/file/d/1cKkuc7x4jmpCpOPQ6NYR8Y-LzyAu32Wi/view?usp=drivesdk", "Abrir_Factura")</f>
        <v>Abrir_Factura</v>
      </c>
      <c r="AD2793" s="9">
        <v>46084.455092592594</v>
      </c>
    </row>
    <row r="2794" spans="1:30" ht="12.5">
      <c r="A2794" s="4">
        <v>46084.456944166668</v>
      </c>
      <c r="B2794" s="5">
        <v>92536</v>
      </c>
      <c r="C2794" s="5">
        <v>1129568893</v>
      </c>
      <c r="D2794" s="5" t="s">
        <v>12367</v>
      </c>
      <c r="F2794" s="5"/>
      <c r="H2794" s="5">
        <v>573158836468</v>
      </c>
      <c r="J2794" s="5" t="s">
        <v>12368</v>
      </c>
      <c r="K2794" s="5" t="s">
        <v>110</v>
      </c>
      <c r="L2794" s="5" t="s">
        <v>12369</v>
      </c>
      <c r="M2794" s="5">
        <v>573158836468</v>
      </c>
      <c r="N2794" s="6">
        <v>46084</v>
      </c>
      <c r="O2794" s="7">
        <v>0.58333333333333337</v>
      </c>
      <c r="P2794" s="5">
        <v>1</v>
      </c>
      <c r="Q2794" s="5" t="s">
        <v>12370</v>
      </c>
      <c r="R2794" s="5">
        <v>800000</v>
      </c>
      <c r="S2794" s="5">
        <v>0</v>
      </c>
      <c r="T2794" s="5">
        <v>6000</v>
      </c>
      <c r="U2794" s="5">
        <v>806000</v>
      </c>
      <c r="V2794" s="5" t="s">
        <v>12371</v>
      </c>
      <c r="W2794" s="5" t="s">
        <v>36</v>
      </c>
      <c r="X2794" s="5" t="s">
        <v>1481</v>
      </c>
      <c r="Z2794" s="5" t="s">
        <v>12372</v>
      </c>
      <c r="AA2794" s="5" t="s">
        <v>44</v>
      </c>
      <c r="AB2794" s="5"/>
      <c r="AC2794" s="8" t="str">
        <f>HYPERLINK("https://drive.google.com/file/d/1mEUhVIBDBZoRR3GcqEEjXEX4TXuwmDNT/view?usp=drivesdk", "Abrir_Factura")</f>
        <v>Abrir_Factura</v>
      </c>
      <c r="AD2794" s="9">
        <v>46084.490497685183</v>
      </c>
    </row>
    <row r="2795" spans="1:30" ht="12.5">
      <c r="A2795" s="4">
        <v>46084.460391516201</v>
      </c>
      <c r="B2795" s="5">
        <v>92557</v>
      </c>
      <c r="C2795" s="5">
        <v>901888751</v>
      </c>
      <c r="D2795" s="5" t="s">
        <v>2201</v>
      </c>
      <c r="F2795" s="5"/>
      <c r="H2795" s="5">
        <v>573204899499</v>
      </c>
      <c r="J2795" s="5" t="s">
        <v>2203</v>
      </c>
      <c r="K2795" s="5" t="s">
        <v>73</v>
      </c>
      <c r="L2795" s="5" t="s">
        <v>12373</v>
      </c>
      <c r="M2795" s="5">
        <v>573204899499</v>
      </c>
      <c r="N2795" s="6">
        <v>46088</v>
      </c>
      <c r="O2795" s="7">
        <v>0.33333333333333331</v>
      </c>
      <c r="P2795" s="5">
        <v>1</v>
      </c>
      <c r="Q2795" s="5" t="s">
        <v>12374</v>
      </c>
      <c r="R2795" s="5">
        <v>290000</v>
      </c>
      <c r="S2795" s="5">
        <v>55100</v>
      </c>
      <c r="T2795" s="5">
        <v>8000</v>
      </c>
      <c r="U2795" s="5">
        <v>353100</v>
      </c>
      <c r="V2795" s="5" t="s">
        <v>12375</v>
      </c>
      <c r="W2795" s="5" t="s">
        <v>36</v>
      </c>
      <c r="X2795" s="5" t="s">
        <v>67</v>
      </c>
      <c r="Z2795" s="5" t="s">
        <v>2207</v>
      </c>
      <c r="AA2795" s="5" t="s">
        <v>44</v>
      </c>
      <c r="AB2795" s="5" t="s">
        <v>12376</v>
      </c>
      <c r="AC2795" s="8" t="str">
        <f>HYPERLINK("https://drive.google.com/file/d/1xa7m90wnuFo-e5pK5vWIxV-jrFcj2WHJ/view?usp=drivesdk", "Abrir_Factura")</f>
        <v>Abrir_Factura</v>
      </c>
      <c r="AD2795" s="9">
        <v>46085.290682870371</v>
      </c>
    </row>
    <row r="2796" spans="1:30" ht="12.5">
      <c r="A2796" s="4">
        <v>46084.467887523148</v>
      </c>
      <c r="B2796" s="5">
        <v>92542</v>
      </c>
      <c r="C2796" s="5">
        <v>1042240347</v>
      </c>
      <c r="D2796" s="5" t="s">
        <v>12377</v>
      </c>
      <c r="F2796" s="5"/>
      <c r="H2796" s="5">
        <v>573002630432</v>
      </c>
      <c r="J2796" s="5" t="s">
        <v>12378</v>
      </c>
      <c r="K2796" s="5" t="s">
        <v>1047</v>
      </c>
      <c r="L2796" s="5" t="s">
        <v>12379</v>
      </c>
      <c r="M2796" s="5">
        <v>573002630432</v>
      </c>
      <c r="N2796" s="6">
        <v>46084</v>
      </c>
      <c r="O2796" s="7">
        <v>0</v>
      </c>
      <c r="P2796" s="5">
        <v>1</v>
      </c>
      <c r="Q2796" s="5" t="s">
        <v>375</v>
      </c>
      <c r="R2796" s="5">
        <v>80000</v>
      </c>
      <c r="S2796" s="5">
        <v>0</v>
      </c>
      <c r="T2796" s="5">
        <v>15000</v>
      </c>
      <c r="U2796" s="5">
        <v>95000</v>
      </c>
      <c r="V2796" s="5" t="s">
        <v>12380</v>
      </c>
      <c r="W2796" s="5" t="s">
        <v>36</v>
      </c>
      <c r="X2796" s="5" t="s">
        <v>1481</v>
      </c>
      <c r="Z2796" s="5" t="s">
        <v>12381</v>
      </c>
      <c r="AA2796" s="5" t="s">
        <v>44</v>
      </c>
      <c r="AB2796" s="5"/>
      <c r="AC2796" s="8" t="str">
        <f>HYPERLINK("https://drive.google.com/file/d/1IVxGtaxj73uI-GpAWCXVQLn2RTK4cIyc/view?usp=drivesdk", "Abrir_Factura")</f>
        <v>Abrir_Factura</v>
      </c>
      <c r="AD2796" s="9">
        <v>46084.536134259259</v>
      </c>
    </row>
    <row r="2797" spans="1:30" ht="12.5">
      <c r="A2797" s="4">
        <v>46084.47632509259</v>
      </c>
      <c r="B2797" s="5">
        <v>92535</v>
      </c>
      <c r="C2797" s="5">
        <v>1201213780</v>
      </c>
      <c r="D2797" s="5" t="s">
        <v>12382</v>
      </c>
      <c r="F2797" s="5"/>
      <c r="H2797" s="5">
        <v>573114149344</v>
      </c>
      <c r="J2797" s="5" t="s">
        <v>12383</v>
      </c>
      <c r="K2797" s="5" t="s">
        <v>1047</v>
      </c>
      <c r="L2797" s="5" t="s">
        <v>12384</v>
      </c>
      <c r="M2797" s="5">
        <v>573116825464</v>
      </c>
      <c r="N2797" s="6">
        <v>46089</v>
      </c>
      <c r="O2797" s="7">
        <v>0.33333333333333331</v>
      </c>
      <c r="P2797" s="5">
        <v>1</v>
      </c>
      <c r="Q2797" s="5" t="s">
        <v>42</v>
      </c>
      <c r="R2797" s="5">
        <v>30000</v>
      </c>
      <c r="S2797" s="5">
        <v>0</v>
      </c>
      <c r="T2797" s="5">
        <v>15000</v>
      </c>
      <c r="U2797" s="5">
        <v>45000</v>
      </c>
      <c r="V2797" s="5" t="s">
        <v>12385</v>
      </c>
      <c r="W2797" s="5" t="s">
        <v>36</v>
      </c>
      <c r="X2797" s="5" t="s">
        <v>7644</v>
      </c>
      <c r="Z2797" s="5"/>
      <c r="AA2797" s="5" t="s">
        <v>69</v>
      </c>
      <c r="AB2797" s="5" t="s">
        <v>12386</v>
      </c>
      <c r="AC2797" s="8" t="str">
        <f>HYPERLINK("https://drive.google.com/file/d/1Cu4i7tYDA9kTVLhaSeb-xrHcLDdj-VwX/view?usp=drivesdk", "Abrir_Factura")</f>
        <v>Abrir_Factura</v>
      </c>
      <c r="AD2797" s="9">
        <v>46084.476909722223</v>
      </c>
    </row>
    <row r="2798" spans="1:30" ht="12.5">
      <c r="A2798" s="4">
        <v>46084.49467414352</v>
      </c>
      <c r="B2798" s="5">
        <v>92538</v>
      </c>
      <c r="C2798" s="5">
        <v>1047376995</v>
      </c>
      <c r="D2798" s="5" t="s">
        <v>12387</v>
      </c>
      <c r="F2798" s="5"/>
      <c r="H2798" s="5">
        <v>573134561374</v>
      </c>
      <c r="J2798" s="5" t="s">
        <v>12388</v>
      </c>
      <c r="K2798" s="5" t="s">
        <v>185</v>
      </c>
      <c r="L2798" s="5" t="s">
        <v>12389</v>
      </c>
      <c r="M2798" s="5">
        <v>573134561374</v>
      </c>
      <c r="N2798" s="6">
        <v>46084</v>
      </c>
      <c r="O2798" s="7">
        <v>0.58333333333333337</v>
      </c>
      <c r="P2798" s="5">
        <v>1</v>
      </c>
      <c r="Q2798" s="5" t="s">
        <v>734</v>
      </c>
      <c r="R2798" s="5">
        <v>99000</v>
      </c>
      <c r="S2798" s="5">
        <v>0</v>
      </c>
      <c r="T2798" s="5">
        <v>8000</v>
      </c>
      <c r="U2798" s="5">
        <v>107000</v>
      </c>
      <c r="V2798" s="5" t="s">
        <v>12390</v>
      </c>
      <c r="W2798" s="5" t="s">
        <v>36</v>
      </c>
      <c r="X2798" s="5" t="s">
        <v>1481</v>
      </c>
      <c r="Z2798" s="5" t="s">
        <v>12391</v>
      </c>
      <c r="AA2798" s="5" t="s">
        <v>44</v>
      </c>
      <c r="AB2798" s="5" t="s">
        <v>12392</v>
      </c>
      <c r="AC2798" s="8" t="str">
        <f>HYPERLINK("https://drive.google.com/file/d/1mb4qBkku3QCgiTIiJLHtZavhbBfClNly/view?usp=drivesdk", "Abrir_Factura")</f>
        <v>Abrir_Factura</v>
      </c>
      <c r="AD2798" s="9">
        <v>46084.503287037034</v>
      </c>
    </row>
    <row r="2799" spans="1:30" ht="12.5">
      <c r="A2799" s="4">
        <v>46084.497394895836</v>
      </c>
      <c r="B2799" s="5">
        <v>92567</v>
      </c>
      <c r="C2799" s="5">
        <v>901650584</v>
      </c>
      <c r="D2799" s="5" t="s">
        <v>12393</v>
      </c>
      <c r="F2799" s="5"/>
      <c r="H2799" s="5">
        <v>573044192224</v>
      </c>
      <c r="J2799" s="5" t="s">
        <v>12394</v>
      </c>
      <c r="K2799" s="5" t="s">
        <v>154</v>
      </c>
      <c r="L2799" s="5" t="s">
        <v>12395</v>
      </c>
      <c r="M2799" s="5">
        <v>573116079018</v>
      </c>
      <c r="N2799" s="6">
        <v>46085</v>
      </c>
      <c r="O2799" s="7">
        <v>0</v>
      </c>
      <c r="P2799" s="5">
        <v>1</v>
      </c>
      <c r="Q2799" s="5" t="s">
        <v>309</v>
      </c>
      <c r="R2799" s="5">
        <v>88000</v>
      </c>
      <c r="S2799" s="5">
        <v>16720</v>
      </c>
      <c r="T2799" s="5">
        <v>8000</v>
      </c>
      <c r="U2799" s="5">
        <v>112720</v>
      </c>
      <c r="V2799" s="5" t="s">
        <v>12396</v>
      </c>
      <c r="W2799" s="5" t="s">
        <v>36</v>
      </c>
      <c r="X2799" s="5" t="s">
        <v>67</v>
      </c>
      <c r="Z2799" s="5" t="s">
        <v>12397</v>
      </c>
      <c r="AA2799" s="5" t="s">
        <v>44</v>
      </c>
      <c r="AB2799" s="5"/>
      <c r="AC2799" s="8" t="str">
        <f>HYPERLINK("https://drive.google.com/file/d/1DPGzZ0AdJj21I3XZG-hiUqyvsat8fX8V/view?usp=drivesdk", "Abrir_Factura")</f>
        <v>Abrir_Factura</v>
      </c>
      <c r="AD2799" s="9">
        <v>46085.421643518515</v>
      </c>
    </row>
    <row r="2800" spans="1:30" ht="12.5">
      <c r="A2800" s="4">
        <v>46084.497955995372</v>
      </c>
      <c r="B2800" s="5">
        <v>92537</v>
      </c>
      <c r="C2800" s="5">
        <v>1140880400</v>
      </c>
      <c r="D2800" s="5" t="s">
        <v>12398</v>
      </c>
      <c r="F2800" s="5"/>
      <c r="H2800" s="5">
        <v>573052458925</v>
      </c>
      <c r="J2800" s="5" t="s">
        <v>12399</v>
      </c>
      <c r="K2800" s="5" t="s">
        <v>265</v>
      </c>
      <c r="L2800" s="5" t="s">
        <v>12400</v>
      </c>
      <c r="M2800" s="5">
        <v>573005599767</v>
      </c>
      <c r="N2800" s="6">
        <v>46084</v>
      </c>
      <c r="O2800" s="7">
        <v>0</v>
      </c>
      <c r="P2800" s="5">
        <v>1</v>
      </c>
      <c r="Q2800" s="5" t="s">
        <v>187</v>
      </c>
      <c r="R2800" s="5">
        <v>220000</v>
      </c>
      <c r="S2800" s="5">
        <v>0</v>
      </c>
      <c r="T2800" s="5">
        <v>17000</v>
      </c>
      <c r="U2800" s="5">
        <v>237000</v>
      </c>
      <c r="V2800" s="5" t="s">
        <v>12401</v>
      </c>
      <c r="W2800" s="5" t="s">
        <v>36</v>
      </c>
      <c r="X2800" s="5" t="s">
        <v>1481</v>
      </c>
      <c r="Z2800" s="5"/>
      <c r="AA2800" s="5" t="s">
        <v>44</v>
      </c>
      <c r="AB2800" s="5"/>
      <c r="AC2800" s="8" t="str">
        <f>HYPERLINK("https://drive.google.com/file/d/1yThZ02UlIAcEH9l4iKxsjYPJat31S4LD/view?usp=drivesdk", "Abrir_Factura")</f>
        <v>Abrir_Factura</v>
      </c>
      <c r="AD2800" s="9">
        <v>46084.501585648148</v>
      </c>
    </row>
    <row r="2801" spans="1:30" ht="12.5">
      <c r="A2801" s="4">
        <v>46084.507255231481</v>
      </c>
      <c r="B2801" s="5">
        <v>92540</v>
      </c>
      <c r="C2801" s="5">
        <v>1045734045</v>
      </c>
      <c r="D2801" s="5" t="s">
        <v>2820</v>
      </c>
      <c r="F2801" s="5"/>
      <c r="H2801" s="5">
        <v>573162844144</v>
      </c>
      <c r="J2801" s="5" t="s">
        <v>2818</v>
      </c>
      <c r="K2801" s="5" t="s">
        <v>185</v>
      </c>
      <c r="L2801" s="5" t="s">
        <v>12402</v>
      </c>
      <c r="M2801" s="5">
        <v>573162844144</v>
      </c>
      <c r="N2801" s="6">
        <v>46084</v>
      </c>
      <c r="O2801" s="7">
        <v>0.58333333333333337</v>
      </c>
      <c r="P2801" s="5">
        <v>2</v>
      </c>
      <c r="Q2801" s="5" t="s">
        <v>11891</v>
      </c>
      <c r="R2801" s="5">
        <v>160000</v>
      </c>
      <c r="S2801" s="5">
        <v>0</v>
      </c>
      <c r="T2801" s="5">
        <v>8000</v>
      </c>
      <c r="U2801" s="5">
        <v>168000</v>
      </c>
      <c r="V2801" s="5"/>
      <c r="W2801" s="5" t="s">
        <v>36</v>
      </c>
      <c r="X2801" s="5" t="s">
        <v>1481</v>
      </c>
      <c r="Z2801" s="5"/>
      <c r="AA2801" s="5" t="s">
        <v>44</v>
      </c>
      <c r="AB2801" s="5"/>
      <c r="AC2801" s="8" t="str">
        <f>HYPERLINK("https://drive.google.com/file/d/15aZeuCUGWpP0Z17xHQ5ciGs2-Lf2lHZF/view?usp=drivesdk", "Abrir_Factura")</f>
        <v>Abrir_Factura</v>
      </c>
      <c r="AD2801" s="9">
        <v>46084.515601851854</v>
      </c>
    </row>
    <row r="2802" spans="1:30" ht="12.5">
      <c r="A2802" s="4">
        <v>46084.50871918982</v>
      </c>
      <c r="B2802" s="5">
        <v>92539</v>
      </c>
      <c r="C2802" s="5">
        <v>1140845571</v>
      </c>
      <c r="D2802" s="5" t="s">
        <v>12403</v>
      </c>
      <c r="F2802" s="5"/>
      <c r="H2802" s="5">
        <v>573002016272</v>
      </c>
      <c r="J2802" s="5" t="s">
        <v>12404</v>
      </c>
      <c r="K2802" s="5" t="s">
        <v>328</v>
      </c>
      <c r="L2802" s="5" t="s">
        <v>12405</v>
      </c>
      <c r="M2802" s="5">
        <v>573016815880</v>
      </c>
      <c r="N2802" s="6">
        <v>46084</v>
      </c>
      <c r="O2802" s="7">
        <v>0.58333333333333337</v>
      </c>
      <c r="P2802" s="5">
        <v>1</v>
      </c>
      <c r="Q2802" s="5" t="s">
        <v>12406</v>
      </c>
      <c r="R2802" s="5">
        <v>90000</v>
      </c>
      <c r="S2802" s="5">
        <v>0</v>
      </c>
      <c r="T2802" s="5">
        <v>15000</v>
      </c>
      <c r="U2802" s="5">
        <v>105000</v>
      </c>
      <c r="V2802" s="5" t="s">
        <v>12407</v>
      </c>
      <c r="W2802" s="5" t="s">
        <v>36</v>
      </c>
      <c r="X2802" s="5" t="s">
        <v>180</v>
      </c>
      <c r="Z2802" s="5" t="s">
        <v>686</v>
      </c>
      <c r="AA2802" s="5" t="s">
        <v>44</v>
      </c>
      <c r="AB2802" s="5"/>
      <c r="AC2802" s="8" t="str">
        <f>HYPERLINK("https://drive.google.com/file/d/1zLvURGyNxUTzS1YHuVpcoFCU1WP4SddU/view?usp=drivesdk", "Abrir_Factura")</f>
        <v>Abrir_Factura</v>
      </c>
      <c r="AD2802" s="9">
        <v>46084.512395833335</v>
      </c>
    </row>
    <row r="2803" spans="1:30" ht="12.5">
      <c r="A2803" s="4">
        <v>46084.525156331016</v>
      </c>
      <c r="B2803" s="5">
        <v>92541</v>
      </c>
      <c r="C2803" s="5">
        <v>1127232609</v>
      </c>
      <c r="D2803" s="5" t="s">
        <v>12408</v>
      </c>
      <c r="F2803" s="5"/>
      <c r="H2803" s="5">
        <v>573004589061</v>
      </c>
      <c r="J2803" s="5" t="s">
        <v>12409</v>
      </c>
      <c r="K2803" s="5" t="s">
        <v>103</v>
      </c>
      <c r="L2803" s="5" t="s">
        <v>12410</v>
      </c>
      <c r="M2803" s="5">
        <v>573004589061</v>
      </c>
      <c r="N2803" s="6">
        <v>46084</v>
      </c>
      <c r="O2803" s="7">
        <v>0</v>
      </c>
      <c r="P2803" s="5">
        <v>1</v>
      </c>
      <c r="Q2803" s="5" t="s">
        <v>375</v>
      </c>
      <c r="R2803" s="5">
        <v>80000</v>
      </c>
      <c r="S2803" s="5">
        <v>0</v>
      </c>
      <c r="T2803" s="5">
        <v>10000</v>
      </c>
      <c r="U2803" s="5">
        <v>90000</v>
      </c>
      <c r="V2803" s="5"/>
      <c r="W2803" s="5" t="s">
        <v>36</v>
      </c>
      <c r="X2803" s="5" t="s">
        <v>67</v>
      </c>
      <c r="Z2803" s="5"/>
      <c r="AA2803" s="5" t="s">
        <v>44</v>
      </c>
      <c r="AB2803" s="5"/>
      <c r="AC2803" s="8" t="str">
        <f>HYPERLINK("https://drive.google.com/file/d/15ZUV8rRWboinmKU5qQHthq0czjjzFl1L/view?usp=drivesdk", "Abrir_Factura")</f>
        <v>Abrir_Factura</v>
      </c>
      <c r="AD2803" s="9">
        <v>46085.694467592592</v>
      </c>
    </row>
    <row r="2804" spans="1:30" ht="12.5">
      <c r="A2804" s="4">
        <v>46084.543418611109</v>
      </c>
      <c r="B2804" s="5">
        <v>92543</v>
      </c>
      <c r="C2804" s="5">
        <v>1140836110</v>
      </c>
      <c r="D2804" s="5" t="s">
        <v>12411</v>
      </c>
      <c r="F2804" s="5"/>
      <c r="H2804" s="5">
        <v>573003675967</v>
      </c>
      <c r="J2804" s="5" t="s">
        <v>12412</v>
      </c>
      <c r="K2804" s="5" t="s">
        <v>307</v>
      </c>
      <c r="L2804" s="5" t="s">
        <v>12413</v>
      </c>
      <c r="M2804" s="5">
        <v>573003675967</v>
      </c>
      <c r="N2804" s="6">
        <v>46087</v>
      </c>
      <c r="O2804" s="7">
        <v>0.41666666666666669</v>
      </c>
      <c r="P2804" s="5">
        <v>16</v>
      </c>
      <c r="Q2804" s="5" t="s">
        <v>12414</v>
      </c>
      <c r="R2804" s="5">
        <v>240000</v>
      </c>
      <c r="S2804" s="5">
        <v>0</v>
      </c>
      <c r="T2804" s="5">
        <v>10000</v>
      </c>
      <c r="U2804" s="5">
        <v>250000</v>
      </c>
      <c r="V2804" s="5"/>
      <c r="W2804" s="5" t="s">
        <v>36</v>
      </c>
      <c r="X2804" s="5" t="s">
        <v>7644</v>
      </c>
      <c r="Z2804" s="5"/>
      <c r="AA2804" s="5" t="s">
        <v>44</v>
      </c>
      <c r="AB2804" s="5"/>
      <c r="AC2804" s="8" t="str">
        <f>HYPERLINK("https://drive.google.com/file/d/1dJakkT1Akh-6cvQ3cvpEu11gtf5XbdwB/view?usp=drivesdk", "Abrir_Factura")</f>
        <v>Abrir_Factura</v>
      </c>
      <c r="AD2804" s="9">
        <v>46084.561284722222</v>
      </c>
    </row>
    <row r="2805" spans="1:30" ht="12.5">
      <c r="A2805" s="4">
        <v>46084.55131383102</v>
      </c>
      <c r="B2805" s="5">
        <v>92545</v>
      </c>
      <c r="C2805" s="5">
        <v>1069490697</v>
      </c>
      <c r="D2805" s="5" t="s">
        <v>12415</v>
      </c>
      <c r="F2805" s="5"/>
      <c r="H2805" s="5">
        <v>573016810193</v>
      </c>
      <c r="J2805" s="5" t="s">
        <v>12416</v>
      </c>
      <c r="K2805" s="5" t="s">
        <v>12417</v>
      </c>
      <c r="L2805" s="5" t="s">
        <v>12418</v>
      </c>
      <c r="M2805" s="5">
        <v>573505458399</v>
      </c>
      <c r="N2805" s="6">
        <v>46085</v>
      </c>
      <c r="O2805" s="7">
        <v>0</v>
      </c>
      <c r="P2805" s="5">
        <v>1</v>
      </c>
      <c r="Q2805" s="5" t="s">
        <v>12406</v>
      </c>
      <c r="R2805" s="5">
        <v>90000</v>
      </c>
      <c r="S2805" s="5">
        <v>0</v>
      </c>
      <c r="T2805" s="5">
        <v>12000</v>
      </c>
      <c r="U2805" s="5">
        <v>102000</v>
      </c>
      <c r="V2805" s="5" t="s">
        <v>12419</v>
      </c>
      <c r="W2805" s="5" t="s">
        <v>36</v>
      </c>
      <c r="X2805" s="5" t="s">
        <v>1481</v>
      </c>
      <c r="Z2805" s="5" t="s">
        <v>12420</v>
      </c>
      <c r="AA2805" s="5" t="s">
        <v>44</v>
      </c>
      <c r="AB2805" s="5" t="s">
        <v>12421</v>
      </c>
      <c r="AC2805" s="8" t="str">
        <f>HYPERLINK("https://drive.google.com/file/d/1gr72AeBixzv520hGVDqzChdFWk3WK0wS/view?usp=drivesdk", "Abrir_Factura")</f>
        <v>Abrir_Factura</v>
      </c>
      <c r="AD2805" s="9">
        <v>46084.580694444441</v>
      </c>
    </row>
    <row r="2806" spans="1:30" ht="12.5">
      <c r="A2806" s="4">
        <v>46084.569513958333</v>
      </c>
      <c r="B2806" s="5">
        <v>92544</v>
      </c>
      <c r="C2806" s="5">
        <v>1140874251</v>
      </c>
      <c r="D2806" s="5" t="s">
        <v>12422</v>
      </c>
      <c r="F2806" s="5"/>
      <c r="H2806" s="5">
        <v>573008308739</v>
      </c>
      <c r="J2806" s="5" t="s">
        <v>12422</v>
      </c>
      <c r="K2806" s="5" t="s">
        <v>12066</v>
      </c>
      <c r="L2806" s="5" t="s">
        <v>12066</v>
      </c>
      <c r="M2806" s="5">
        <v>573008308739</v>
      </c>
      <c r="N2806" s="6">
        <v>46084</v>
      </c>
      <c r="O2806" s="7">
        <v>0</v>
      </c>
      <c r="P2806" s="5">
        <v>1</v>
      </c>
      <c r="Q2806" s="5" t="s">
        <v>12423</v>
      </c>
      <c r="R2806" s="5">
        <v>80000</v>
      </c>
      <c r="S2806" s="5">
        <v>0</v>
      </c>
      <c r="T2806" s="5">
        <v>0</v>
      </c>
      <c r="U2806" s="5">
        <v>80000</v>
      </c>
      <c r="V2806" s="5" t="s">
        <v>2477</v>
      </c>
      <c r="W2806" s="5" t="s">
        <v>36</v>
      </c>
      <c r="X2806" s="5" t="s">
        <v>37</v>
      </c>
      <c r="Z2806" s="5" t="s">
        <v>2477</v>
      </c>
      <c r="AA2806" s="5" t="s">
        <v>37</v>
      </c>
      <c r="AB2806" s="5"/>
      <c r="AC2806" s="8" t="str">
        <f>HYPERLINK("https://drive.google.com/file/d/1DTvM07JlB5zqidkAArWyjyDzLpVtkYuz/view?usp=drivesdk", "Abrir_Factura")</f>
        <v>Abrir_Factura</v>
      </c>
      <c r="AD2806" s="9">
        <v>46084.5703587963</v>
      </c>
    </row>
    <row r="2807" spans="1:30" ht="12.5">
      <c r="A2807" s="4">
        <v>46084.595886597221</v>
      </c>
      <c r="B2807" s="5">
        <v>92546</v>
      </c>
      <c r="C2807" s="5">
        <v>22703012</v>
      </c>
      <c r="D2807" s="5" t="s">
        <v>12424</v>
      </c>
      <c r="F2807" s="5"/>
      <c r="H2807" s="5">
        <v>573008156378</v>
      </c>
      <c r="J2807" s="5" t="s">
        <v>12425</v>
      </c>
      <c r="K2807" s="5" t="s">
        <v>161</v>
      </c>
      <c r="L2807" s="5" t="s">
        <v>12426</v>
      </c>
      <c r="M2807" s="5">
        <v>573052960945</v>
      </c>
      <c r="N2807" s="6">
        <v>46084</v>
      </c>
      <c r="O2807" s="7">
        <v>0</v>
      </c>
      <c r="P2807" s="5">
        <v>1</v>
      </c>
      <c r="Q2807" s="5" t="s">
        <v>294</v>
      </c>
      <c r="R2807" s="5">
        <v>180000</v>
      </c>
      <c r="S2807" s="5">
        <v>0</v>
      </c>
      <c r="T2807" s="5">
        <v>8000</v>
      </c>
      <c r="U2807" s="5">
        <v>188000</v>
      </c>
      <c r="V2807" s="5" t="s">
        <v>12427</v>
      </c>
      <c r="W2807" s="5" t="s">
        <v>36</v>
      </c>
      <c r="X2807" s="5" t="s">
        <v>1481</v>
      </c>
      <c r="Z2807" s="5" t="s">
        <v>12428</v>
      </c>
      <c r="AA2807" s="5" t="s">
        <v>44</v>
      </c>
      <c r="AB2807" s="5"/>
      <c r="AC2807" s="8" t="str">
        <f>HYPERLINK("https://drive.google.com/file/d/1e_8gO35XbQFL_tYtPHUO6O-PZ_ynMgLS/view?usp=drivesdk", "Abrir_Factura")</f>
        <v>Abrir_Factura</v>
      </c>
      <c r="AD2807" s="9">
        <v>46084.613275462965</v>
      </c>
    </row>
    <row r="2808" spans="1:30" ht="12.5">
      <c r="A2808" s="4">
        <v>46084.609395439817</v>
      </c>
      <c r="B2808" s="5">
        <v>92549</v>
      </c>
      <c r="C2808" s="5">
        <v>1045022336</v>
      </c>
      <c r="D2808" s="5" t="s">
        <v>12429</v>
      </c>
      <c r="F2808" s="5"/>
      <c r="H2808" s="5">
        <v>573104311662</v>
      </c>
      <c r="J2808" s="5" t="s">
        <v>12430</v>
      </c>
      <c r="K2808" s="5" t="s">
        <v>249</v>
      </c>
      <c r="L2808" s="5" t="s">
        <v>12431</v>
      </c>
      <c r="M2808" s="5">
        <v>573153439475</v>
      </c>
      <c r="N2808" s="6">
        <v>46084</v>
      </c>
      <c r="O2808" s="7">
        <v>0</v>
      </c>
      <c r="P2808" s="5">
        <v>1</v>
      </c>
      <c r="Q2808" s="5" t="s">
        <v>12423</v>
      </c>
      <c r="R2808" s="5">
        <v>80000</v>
      </c>
      <c r="S2808" s="5">
        <v>0</v>
      </c>
      <c r="T2808" s="5">
        <v>10000</v>
      </c>
      <c r="U2808" s="5">
        <v>90000</v>
      </c>
      <c r="V2808" s="5" t="s">
        <v>12432</v>
      </c>
      <c r="W2808" s="5" t="s">
        <v>36</v>
      </c>
      <c r="X2808" s="5" t="s">
        <v>67</v>
      </c>
      <c r="Z2808" s="5" t="s">
        <v>12433</v>
      </c>
      <c r="AA2808" s="5" t="s">
        <v>44</v>
      </c>
      <c r="AB2808" s="5"/>
      <c r="AC2808" s="8" t="str">
        <f>HYPERLINK("https://drive.google.com/file/d/1IuWPSFsawBQOSGiO5zG6me8vbcsYBGSQ/view?usp=drivesdk", "Abrir_Factura")</f>
        <v>Abrir_Factura</v>
      </c>
      <c r="AD2808" s="9">
        <v>46084.641331018516</v>
      </c>
    </row>
    <row r="2809" spans="1:30" ht="12.5">
      <c r="A2809" s="4">
        <v>46084.612598622683</v>
      </c>
      <c r="B2809" s="5">
        <v>92548</v>
      </c>
      <c r="C2809" s="5">
        <v>1020727235</v>
      </c>
      <c r="D2809" s="5" t="s">
        <v>12434</v>
      </c>
      <c r="F2809" s="5"/>
      <c r="H2809" s="5">
        <v>573107065358</v>
      </c>
      <c r="J2809" s="5" t="s">
        <v>12435</v>
      </c>
      <c r="K2809" s="5" t="s">
        <v>79</v>
      </c>
      <c r="L2809" s="5" t="s">
        <v>12436</v>
      </c>
      <c r="M2809" s="5">
        <v>573107065366</v>
      </c>
      <c r="N2809" s="6">
        <v>46085</v>
      </c>
      <c r="O2809" s="7">
        <v>0</v>
      </c>
      <c r="P2809" s="5">
        <v>1</v>
      </c>
      <c r="Q2809" s="5" t="s">
        <v>12437</v>
      </c>
      <c r="R2809" s="5">
        <v>250000</v>
      </c>
      <c r="S2809" s="5">
        <v>0</v>
      </c>
      <c r="T2809" s="5">
        <v>10000</v>
      </c>
      <c r="U2809" s="5">
        <v>260000</v>
      </c>
      <c r="V2809" s="5" t="s">
        <v>12438</v>
      </c>
      <c r="W2809" s="5" t="s">
        <v>36</v>
      </c>
      <c r="X2809" s="5" t="s">
        <v>1481</v>
      </c>
      <c r="Z2809" s="5" t="s">
        <v>12439</v>
      </c>
      <c r="AA2809" s="5" t="s">
        <v>44</v>
      </c>
      <c r="AB2809" s="5"/>
      <c r="AC2809" s="8" t="str">
        <f>HYPERLINK("https://drive.google.com/file/d/1YxYliIxnDNuL5f_gbs9MZSmWpQGLCCQN/view?usp=drivesdk", "Abrir_Factura")</f>
        <v>Abrir_Factura</v>
      </c>
      <c r="AD2809" s="9">
        <v>46084.628240740742</v>
      </c>
    </row>
    <row r="2810" spans="1:30" ht="12.5">
      <c r="A2810" s="4">
        <v>46084.616405937501</v>
      </c>
      <c r="B2810" s="5">
        <v>92547</v>
      </c>
      <c r="C2810" s="5">
        <v>1140904528</v>
      </c>
      <c r="D2810" s="5" t="s">
        <v>7615</v>
      </c>
      <c r="F2810" s="5"/>
      <c r="H2810" s="5">
        <v>573165222133</v>
      </c>
      <c r="J2810" s="5" t="s">
        <v>7615</v>
      </c>
      <c r="K2810" s="5" t="s">
        <v>12066</v>
      </c>
      <c r="L2810" s="5" t="s">
        <v>12066</v>
      </c>
      <c r="M2810" s="5">
        <v>573165222133</v>
      </c>
      <c r="N2810" s="6">
        <v>46088</v>
      </c>
      <c r="O2810" s="7">
        <v>0</v>
      </c>
      <c r="P2810" s="5">
        <v>1</v>
      </c>
      <c r="Q2810" s="5" t="s">
        <v>42</v>
      </c>
      <c r="R2810" s="5">
        <v>125000</v>
      </c>
      <c r="S2810" s="5">
        <v>0</v>
      </c>
      <c r="T2810" s="5">
        <v>0</v>
      </c>
      <c r="U2810" s="5">
        <v>125000</v>
      </c>
      <c r="V2810" s="5" t="s">
        <v>3001</v>
      </c>
      <c r="W2810" s="5" t="s">
        <v>36</v>
      </c>
      <c r="X2810" s="5" t="s">
        <v>1481</v>
      </c>
      <c r="Z2810" s="5" t="s">
        <v>3330</v>
      </c>
      <c r="AA2810" s="5" t="s">
        <v>44</v>
      </c>
      <c r="AB2810" s="5" t="s">
        <v>12440</v>
      </c>
      <c r="AC2810" s="8" t="str">
        <f>HYPERLINK("https://drive.google.com/file/d/1DNEDQb1AUIyA1_MnyhSGry765_6maZBD/view?usp=drivesdk", "Abrir_Factura")</f>
        <v>Abrir_Factura</v>
      </c>
      <c r="AD2810" s="9">
        <v>46084.617152777777</v>
      </c>
    </row>
    <row r="2811" spans="1:30" ht="12.5">
      <c r="A2811" s="4">
        <v>46084.622145092595</v>
      </c>
      <c r="B2811" s="5">
        <v>92552</v>
      </c>
      <c r="C2811" s="5">
        <v>8901150851</v>
      </c>
      <c r="D2811" s="5" t="s">
        <v>12441</v>
      </c>
      <c r="F2811" s="5"/>
      <c r="H2811" s="5">
        <v>573156121072</v>
      </c>
      <c r="J2811" s="5" t="s">
        <v>12442</v>
      </c>
      <c r="K2811" s="5" t="s">
        <v>405</v>
      </c>
      <c r="L2811" s="5" t="s">
        <v>12443</v>
      </c>
      <c r="M2811" s="5">
        <v>573022895710</v>
      </c>
      <c r="N2811" s="6">
        <v>46085</v>
      </c>
      <c r="O2811" s="7">
        <v>0.375</v>
      </c>
      <c r="P2811" s="5">
        <v>1</v>
      </c>
      <c r="Q2811" s="5" t="s">
        <v>370</v>
      </c>
      <c r="R2811" s="5">
        <v>290000</v>
      </c>
      <c r="S2811" s="5">
        <v>55100</v>
      </c>
      <c r="T2811" s="5">
        <v>35000</v>
      </c>
      <c r="U2811" s="5">
        <v>380100</v>
      </c>
      <c r="V2811" s="5" t="s">
        <v>12444</v>
      </c>
      <c r="W2811" s="5" t="s">
        <v>36</v>
      </c>
      <c r="X2811" s="5" t="s">
        <v>2163</v>
      </c>
      <c r="Z2811" s="5"/>
      <c r="AA2811" s="5" t="s">
        <v>44</v>
      </c>
      <c r="AB2811" s="5" t="s">
        <v>12445</v>
      </c>
      <c r="AC2811" s="8" t="str">
        <f>HYPERLINK("https://drive.google.com/file/d/1koPryBmtWojts5cP7JXDNkx2qZGwveLx/view?usp=drivesdk", "Abrir_Factura")</f>
        <v>Abrir_Factura</v>
      </c>
      <c r="AD2811" s="9">
        <v>46084.657638888886</v>
      </c>
    </row>
    <row r="2812" spans="1:30" ht="12.5">
      <c r="A2812" s="4">
        <v>46084.645077743058</v>
      </c>
      <c r="B2812" s="5">
        <v>92551</v>
      </c>
      <c r="C2812" s="5">
        <v>1102799554</v>
      </c>
      <c r="D2812" s="5" t="s">
        <v>12446</v>
      </c>
      <c r="F2812" s="5"/>
      <c r="H2812" s="5">
        <v>573163977825</v>
      </c>
      <c r="J2812" s="5" t="s">
        <v>12447</v>
      </c>
      <c r="K2812" s="5" t="s">
        <v>726</v>
      </c>
      <c r="L2812" s="5" t="s">
        <v>12448</v>
      </c>
      <c r="M2812" s="5">
        <v>573105021698</v>
      </c>
      <c r="N2812" s="6">
        <v>46085</v>
      </c>
      <c r="O2812" s="7">
        <v>0.375</v>
      </c>
      <c r="P2812" s="5">
        <v>1</v>
      </c>
      <c r="Q2812" s="5" t="s">
        <v>12449</v>
      </c>
      <c r="R2812" s="5">
        <v>190000</v>
      </c>
      <c r="S2812" s="5">
        <v>0</v>
      </c>
      <c r="T2812" s="5">
        <v>9000</v>
      </c>
      <c r="U2812" s="5">
        <v>199000</v>
      </c>
      <c r="V2812" s="5" t="s">
        <v>12450</v>
      </c>
      <c r="W2812" s="5" t="s">
        <v>36</v>
      </c>
      <c r="X2812" s="5" t="s">
        <v>180</v>
      </c>
      <c r="Z2812" s="5" t="s">
        <v>12451</v>
      </c>
      <c r="AA2812" s="5" t="s">
        <v>44</v>
      </c>
      <c r="AB2812" s="5"/>
      <c r="AC2812" s="8" t="str">
        <f>HYPERLINK("https://drive.google.com/file/d/1NyswYe-GY0eEiINUcXn7o3KvlQfibHSm/view?usp=drivesdk", "Abrir_Factura")</f>
        <v>Abrir_Factura</v>
      </c>
      <c r="AD2812" s="9">
        <v>46084.652511574073</v>
      </c>
    </row>
    <row r="2813" spans="1:30" ht="12.5">
      <c r="A2813" s="4">
        <v>46084.65005783565</v>
      </c>
      <c r="B2813" s="5">
        <v>92550</v>
      </c>
      <c r="C2813" s="5">
        <v>55303491</v>
      </c>
      <c r="D2813" s="5" t="s">
        <v>12452</v>
      </c>
      <c r="F2813" s="5"/>
      <c r="H2813" s="5">
        <v>573103677331</v>
      </c>
      <c r="J2813" s="5" t="s">
        <v>12452</v>
      </c>
      <c r="K2813" s="5"/>
      <c r="L2813" s="5" t="s">
        <v>12453</v>
      </c>
      <c r="M2813" s="5">
        <v>573103677331</v>
      </c>
      <c r="N2813" s="6">
        <v>46084</v>
      </c>
      <c r="O2813" s="7">
        <v>0</v>
      </c>
      <c r="P2813" s="5">
        <v>1</v>
      </c>
      <c r="Q2813" s="5" t="s">
        <v>42</v>
      </c>
      <c r="R2813" s="5">
        <v>40000</v>
      </c>
      <c r="S2813" s="5">
        <v>0</v>
      </c>
      <c r="T2813" s="5"/>
      <c r="U2813" s="5">
        <v>40000</v>
      </c>
      <c r="V2813" s="5" t="s">
        <v>2477</v>
      </c>
      <c r="W2813" s="5" t="s">
        <v>36</v>
      </c>
      <c r="X2813" s="5" t="s">
        <v>67</v>
      </c>
      <c r="Z2813" s="5" t="s">
        <v>2477</v>
      </c>
      <c r="AA2813" s="5" t="s">
        <v>44</v>
      </c>
      <c r="AB2813" s="5"/>
      <c r="AC2813" s="8" t="str">
        <f>HYPERLINK("https://drive.google.com/file/d/1V9uU82kuKtBUjl9wTq44IFmxnPtmBIMW/view?usp=drivesdk", "Abrir_Factura")</f>
        <v>Abrir_Factura</v>
      </c>
      <c r="AD2813" s="9">
        <v>46084.650775462964</v>
      </c>
    </row>
    <row r="2814" spans="1:30" ht="12.5">
      <c r="A2814" s="4">
        <v>46084.665338657403</v>
      </c>
      <c r="B2814" s="5">
        <v>92554</v>
      </c>
      <c r="C2814" s="5">
        <v>22523671</v>
      </c>
      <c r="D2814" s="5" t="s">
        <v>12454</v>
      </c>
      <c r="F2814" s="5"/>
      <c r="H2814" s="5">
        <v>573208311214</v>
      </c>
      <c r="J2814" s="5" t="s">
        <v>12455</v>
      </c>
      <c r="K2814" s="5" t="s">
        <v>4558</v>
      </c>
      <c r="L2814" s="5" t="s">
        <v>12456</v>
      </c>
      <c r="M2814" s="5">
        <v>573208311214</v>
      </c>
      <c r="N2814" s="6">
        <v>46088</v>
      </c>
      <c r="O2814" s="7">
        <v>0</v>
      </c>
      <c r="P2814" s="5">
        <v>1</v>
      </c>
      <c r="Q2814" s="5" t="s">
        <v>12457</v>
      </c>
      <c r="R2814" s="5">
        <v>270000</v>
      </c>
      <c r="S2814" s="5">
        <v>0</v>
      </c>
      <c r="T2814" s="5">
        <v>10000</v>
      </c>
      <c r="U2814" s="5">
        <v>280000</v>
      </c>
      <c r="V2814" s="5" t="s">
        <v>12458</v>
      </c>
      <c r="W2814" s="5" t="s">
        <v>36</v>
      </c>
      <c r="X2814" s="5" t="s">
        <v>1481</v>
      </c>
      <c r="Z2814" s="5" t="s">
        <v>12459</v>
      </c>
      <c r="AA2814" s="5" t="s">
        <v>44</v>
      </c>
      <c r="AB2814" s="5" t="s">
        <v>12460</v>
      </c>
      <c r="AC2814" s="8" t="str">
        <f>HYPERLINK("https://drive.google.com/file/d/1zAXZlKortdKO0uq2Pnla8URSeIlWoB3Y/view?usp=drivesdk", "Abrir_Factura")</f>
        <v>Abrir_Factura</v>
      </c>
      <c r="AD2814" s="9">
        <v>46084.706273148149</v>
      </c>
    </row>
    <row r="2815" spans="1:30" ht="12.5">
      <c r="A2815" s="4">
        <v>46084.693378032403</v>
      </c>
      <c r="B2815" s="5">
        <v>92553</v>
      </c>
      <c r="C2815" s="5">
        <v>1001914686</v>
      </c>
      <c r="D2815" s="5" t="s">
        <v>12461</v>
      </c>
      <c r="F2815" s="5"/>
      <c r="H2815" s="5">
        <v>573007516067</v>
      </c>
      <c r="J2815" s="5" t="s">
        <v>12462</v>
      </c>
      <c r="K2815" s="5" t="s">
        <v>265</v>
      </c>
      <c r="L2815" s="5" t="s">
        <v>12463</v>
      </c>
      <c r="M2815" s="5">
        <v>573007516067</v>
      </c>
      <c r="N2815" s="6">
        <v>46084</v>
      </c>
      <c r="O2815" s="7">
        <v>0.375</v>
      </c>
      <c r="P2815" s="5">
        <v>1</v>
      </c>
      <c r="Q2815" s="5" t="s">
        <v>12464</v>
      </c>
      <c r="R2815" s="5">
        <v>105000</v>
      </c>
      <c r="S2815" s="5">
        <v>0</v>
      </c>
      <c r="T2815" s="5">
        <v>17000</v>
      </c>
      <c r="U2815" s="5">
        <v>122000</v>
      </c>
      <c r="V2815" s="5" t="s">
        <v>12465</v>
      </c>
      <c r="W2815" s="5" t="s">
        <v>36</v>
      </c>
      <c r="X2815" s="5" t="s">
        <v>67</v>
      </c>
      <c r="Z2815" s="5" t="s">
        <v>12466</v>
      </c>
      <c r="AA2815" s="5" t="s">
        <v>44</v>
      </c>
      <c r="AB2815" s="5"/>
      <c r="AC2815" s="8" t="str">
        <f>HYPERLINK("https://drive.google.com/file/d/1V5-rC1SX7tb70pG2kHLxiJRh307Xkj7N/view?usp=drivesdk", "Abrir_Factura")</f>
        <v>Abrir_Factura</v>
      </c>
      <c r="AD2815" s="9">
        <v>46084.70239583333</v>
      </c>
    </row>
    <row r="2816" spans="1:30" ht="12.5">
      <c r="A2816" s="4">
        <v>46084.737042916662</v>
      </c>
      <c r="B2816" s="5">
        <v>92555</v>
      </c>
      <c r="C2816" s="5">
        <v>1000413078</v>
      </c>
      <c r="D2816" s="5" t="s">
        <v>12467</v>
      </c>
      <c r="F2816" s="5"/>
      <c r="H2816" s="5">
        <v>573148379285</v>
      </c>
      <c r="J2816" s="5" t="s">
        <v>12468</v>
      </c>
      <c r="K2816" s="5" t="s">
        <v>103</v>
      </c>
      <c r="L2816" s="5" t="s">
        <v>12469</v>
      </c>
      <c r="M2816" s="5">
        <v>573105578729</v>
      </c>
      <c r="N2816" s="6">
        <v>46085</v>
      </c>
      <c r="O2816" s="7">
        <v>0</v>
      </c>
      <c r="P2816" s="5">
        <v>1</v>
      </c>
      <c r="Q2816" s="5" t="s">
        <v>222</v>
      </c>
      <c r="R2816" s="5">
        <v>350000</v>
      </c>
      <c r="S2816" s="5">
        <v>0</v>
      </c>
      <c r="T2816" s="5">
        <v>10000</v>
      </c>
      <c r="U2816" s="5">
        <v>360000</v>
      </c>
      <c r="V2816" s="5" t="s">
        <v>12470</v>
      </c>
      <c r="W2816" s="5" t="s">
        <v>36</v>
      </c>
      <c r="X2816" s="5" t="s">
        <v>1481</v>
      </c>
      <c r="Z2816" s="5" t="s">
        <v>12471</v>
      </c>
      <c r="AA2816" s="5" t="s">
        <v>44</v>
      </c>
      <c r="AB2816" s="5"/>
      <c r="AC2816" s="8" t="str">
        <f>HYPERLINK("https://drive.google.com/file/d/1btSZCp1QoGivbuP9pJDogxhRCsEF_vgC/view?usp=drivesdk", "Abrir_Factura")</f>
        <v>Abrir_Factura</v>
      </c>
      <c r="AD2816" s="9">
        <v>46084.74664351852</v>
      </c>
    </row>
    <row r="2817" spans="1:30" ht="12.5">
      <c r="A2817" s="4">
        <v>46084.74620011574</v>
      </c>
      <c r="B2817" s="5">
        <v>92556</v>
      </c>
      <c r="C2817" s="5">
        <v>72358365</v>
      </c>
      <c r="D2817" s="5" t="s">
        <v>3218</v>
      </c>
      <c r="F2817" s="5"/>
      <c r="H2817" s="5">
        <v>573017795556</v>
      </c>
      <c r="J2817" s="5" t="s">
        <v>3218</v>
      </c>
      <c r="K2817" s="5" t="s">
        <v>12066</v>
      </c>
      <c r="L2817" s="5" t="s">
        <v>12066</v>
      </c>
      <c r="M2817" s="5">
        <v>573017795556</v>
      </c>
      <c r="N2817" s="6">
        <v>46084</v>
      </c>
      <c r="O2817" s="7">
        <v>0</v>
      </c>
      <c r="P2817" s="5">
        <v>1</v>
      </c>
      <c r="Q2817" s="5" t="s">
        <v>12406</v>
      </c>
      <c r="R2817" s="5">
        <v>90000</v>
      </c>
      <c r="S2817" s="5">
        <v>0</v>
      </c>
      <c r="T2817" s="5">
        <v>0</v>
      </c>
      <c r="U2817" s="5">
        <v>90000</v>
      </c>
      <c r="V2817" s="5" t="s">
        <v>3330</v>
      </c>
      <c r="W2817" s="5" t="s">
        <v>36</v>
      </c>
      <c r="X2817" s="5" t="s">
        <v>1705</v>
      </c>
      <c r="Z2817" s="5" t="s">
        <v>3330</v>
      </c>
      <c r="AA2817" s="5" t="s">
        <v>1717</v>
      </c>
      <c r="AB2817" s="5"/>
      <c r="AC2817" s="8" t="str">
        <f>HYPERLINK("https://drive.google.com/file/d/1xvwYZyH8eNl6Hj1GJtSYCMtaHmJf8vT4/view?usp=drivesdk", "Abrir_Factura")</f>
        <v>Abrir_Factura</v>
      </c>
      <c r="AD2817" s="9">
        <v>46084.749560185184</v>
      </c>
    </row>
    <row r="2818" spans="1:30" ht="12.5">
      <c r="A2818" s="4">
        <v>46085.292912812496</v>
      </c>
      <c r="B2818" s="5">
        <v>92558</v>
      </c>
      <c r="C2818" s="5">
        <v>1002496525</v>
      </c>
      <c r="D2818" s="5" t="s">
        <v>12472</v>
      </c>
      <c r="F2818" s="5"/>
      <c r="H2818" s="5">
        <v>573045917274</v>
      </c>
      <c r="J2818" s="5" t="s">
        <v>12473</v>
      </c>
      <c r="K2818" s="5" t="s">
        <v>103</v>
      </c>
      <c r="L2818" s="5" t="s">
        <v>12474</v>
      </c>
      <c r="M2818" s="5">
        <v>573045917274</v>
      </c>
      <c r="N2818" s="6">
        <v>46087</v>
      </c>
      <c r="O2818" s="7">
        <v>0.38124999999999998</v>
      </c>
      <c r="P2818" s="5">
        <v>1</v>
      </c>
      <c r="Q2818" s="5" t="s">
        <v>649</v>
      </c>
      <c r="R2818" s="5">
        <v>200000</v>
      </c>
      <c r="S2818" s="5">
        <v>0</v>
      </c>
      <c r="T2818" s="5">
        <v>10000</v>
      </c>
      <c r="U2818" s="5">
        <v>210000</v>
      </c>
      <c r="V2818" s="5" t="s">
        <v>12475</v>
      </c>
      <c r="W2818" s="5" t="s">
        <v>36</v>
      </c>
      <c r="X2818" s="5" t="s">
        <v>1481</v>
      </c>
      <c r="Z2818" s="5" t="s">
        <v>12476</v>
      </c>
      <c r="AA2818" s="5" t="s">
        <v>44</v>
      </c>
      <c r="AB2818" s="5"/>
      <c r="AC2818" s="8" t="str">
        <f>HYPERLINK("https://drive.google.com/file/d/1NAQDIGxkYRJs9hPg64RDw1l32apqzgEU/view?usp=drivesdk", "Abrir_Factura")</f>
        <v>Abrir_Factura</v>
      </c>
      <c r="AD2818" s="9">
        <v>46085.316099537034</v>
      </c>
    </row>
    <row r="2819" spans="1:30" ht="12.5">
      <c r="A2819" s="4">
        <v>46085.327614305555</v>
      </c>
      <c r="B2819" s="5">
        <v>92559</v>
      </c>
      <c r="C2819" s="5">
        <v>1001779236</v>
      </c>
      <c r="D2819" s="5" t="s">
        <v>12477</v>
      </c>
      <c r="F2819" s="5"/>
      <c r="H2819" s="5">
        <v>573015081991</v>
      </c>
      <c r="J2819" s="5" t="s">
        <v>12478</v>
      </c>
      <c r="K2819" s="5" t="s">
        <v>103</v>
      </c>
      <c r="L2819" s="5" t="s">
        <v>12479</v>
      </c>
      <c r="M2819" s="5">
        <v>573106334867</v>
      </c>
      <c r="N2819" s="6">
        <v>46086</v>
      </c>
      <c r="O2819" s="7">
        <v>0.41666666666666669</v>
      </c>
      <c r="P2819" s="5">
        <v>1</v>
      </c>
      <c r="Q2819" s="5" t="s">
        <v>734</v>
      </c>
      <c r="R2819" s="5">
        <v>99000</v>
      </c>
      <c r="S2819" s="5">
        <v>0</v>
      </c>
      <c r="T2819" s="5">
        <v>10000</v>
      </c>
      <c r="U2819" s="5">
        <v>109000</v>
      </c>
      <c r="V2819" s="5" t="s">
        <v>12480</v>
      </c>
      <c r="W2819" s="5" t="s">
        <v>36</v>
      </c>
      <c r="X2819" s="5" t="s">
        <v>1481</v>
      </c>
      <c r="Z2819" s="5" t="s">
        <v>2122</v>
      </c>
      <c r="AA2819" s="5" t="s">
        <v>44</v>
      </c>
      <c r="AB2819" s="5"/>
      <c r="AC2819" s="8" t="str">
        <f>HYPERLINK("https://drive.google.com/file/d/1LAI5OAb9x362S8jjxkiFkkvMa1sp215_/view?usp=drivesdk", "Abrir_Factura")</f>
        <v>Abrir_Factura</v>
      </c>
      <c r="AD2819" s="9">
        <v>46085.330648148149</v>
      </c>
    </row>
    <row r="2820" spans="1:30" ht="12.5">
      <c r="A2820" s="4">
        <v>46085.366938206018</v>
      </c>
      <c r="B2820" s="5">
        <v>92563</v>
      </c>
      <c r="C2820" s="5">
        <v>1000285394</v>
      </c>
      <c r="D2820" s="5" t="s">
        <v>12481</v>
      </c>
      <c r="F2820" s="5"/>
      <c r="H2820" s="5">
        <v>573174391102</v>
      </c>
      <c r="J2820" s="5" t="s">
        <v>12482</v>
      </c>
      <c r="K2820" s="5" t="s">
        <v>161</v>
      </c>
      <c r="L2820" s="5" t="s">
        <v>12483</v>
      </c>
      <c r="M2820" s="5">
        <v>573145811395</v>
      </c>
      <c r="N2820" s="6">
        <v>46085</v>
      </c>
      <c r="O2820" s="7">
        <v>0</v>
      </c>
      <c r="P2820" s="5">
        <v>1</v>
      </c>
      <c r="Q2820" s="5" t="s">
        <v>12484</v>
      </c>
      <c r="R2820" s="5">
        <v>190000</v>
      </c>
      <c r="S2820" s="5">
        <v>0</v>
      </c>
      <c r="T2820" s="5">
        <v>8000</v>
      </c>
      <c r="U2820" s="5">
        <v>198000</v>
      </c>
      <c r="V2820" s="5" t="s">
        <v>12485</v>
      </c>
      <c r="W2820" s="5" t="s">
        <v>36</v>
      </c>
      <c r="X2820" s="5" t="s">
        <v>1481</v>
      </c>
      <c r="Z2820" s="5" t="s">
        <v>12486</v>
      </c>
      <c r="AA2820" s="5" t="s">
        <v>44</v>
      </c>
      <c r="AB2820" s="5"/>
      <c r="AC2820" s="8" t="str">
        <f>HYPERLINK("https://drive.google.com/file/d/1IvVrUWuMQeq3oW4_dFmSbaQFoqnEwRMQ/view?usp=drivesdk", "Abrir_Factura")</f>
        <v>Abrir_Factura</v>
      </c>
      <c r="AD2820" s="9">
        <v>46085.396967592591</v>
      </c>
    </row>
    <row r="2821" spans="1:30" ht="12.5">
      <c r="A2821" s="4">
        <v>46085.368810740736</v>
      </c>
      <c r="B2821" s="5">
        <v>92560</v>
      </c>
      <c r="C2821" s="5">
        <v>1052955731</v>
      </c>
      <c r="D2821" s="5" t="s">
        <v>12487</v>
      </c>
      <c r="F2821" s="5"/>
      <c r="H2821" s="5">
        <v>573023783683</v>
      </c>
      <c r="J2821" s="5" t="s">
        <v>12488</v>
      </c>
      <c r="K2821" s="5" t="s">
        <v>1047</v>
      </c>
      <c r="L2821" s="5" t="s">
        <v>12489</v>
      </c>
      <c r="M2821" s="5">
        <v>573012442023</v>
      </c>
      <c r="N2821" s="6">
        <v>46085</v>
      </c>
      <c r="O2821" s="7">
        <v>0</v>
      </c>
      <c r="P2821" s="5">
        <v>1</v>
      </c>
      <c r="Q2821" s="5" t="s">
        <v>3356</v>
      </c>
      <c r="R2821" s="5">
        <v>180000</v>
      </c>
      <c r="S2821" s="5">
        <v>0</v>
      </c>
      <c r="T2821" s="5">
        <v>15000</v>
      </c>
      <c r="U2821" s="5">
        <v>195000</v>
      </c>
      <c r="V2821" s="5" t="s">
        <v>9624</v>
      </c>
      <c r="W2821" s="5" t="s">
        <v>36</v>
      </c>
      <c r="X2821" s="5" t="s">
        <v>1481</v>
      </c>
      <c r="Z2821" s="5" t="s">
        <v>9624</v>
      </c>
      <c r="AA2821" s="5" t="s">
        <v>44</v>
      </c>
      <c r="AB2821" s="5"/>
      <c r="AC2821" s="8" t="str">
        <f>HYPERLINK("https://drive.google.com/file/d/1Ey8EcRzhN3nE3dv1QfhuSF6iGPiRn62Q/view?usp=drivesdk", "Abrir_Factura")</f>
        <v>Abrir_Factura</v>
      </c>
      <c r="AD2821" s="9">
        <v>46085.369849537034</v>
      </c>
    </row>
    <row r="2822" spans="1:30" ht="12.5">
      <c r="A2822" s="4">
        <v>46085.379999814817</v>
      </c>
      <c r="B2822" s="5">
        <v>92562</v>
      </c>
      <c r="C2822" s="5">
        <v>1047223407</v>
      </c>
      <c r="D2822" s="5" t="s">
        <v>12490</v>
      </c>
      <c r="F2822" s="5"/>
      <c r="H2822" s="5">
        <v>573104426028</v>
      </c>
      <c r="J2822" s="5" t="s">
        <v>2955</v>
      </c>
      <c r="K2822" s="5" t="s">
        <v>103</v>
      </c>
      <c r="L2822" s="5" t="s">
        <v>12491</v>
      </c>
      <c r="M2822" s="5">
        <v>573104426028</v>
      </c>
      <c r="N2822" s="6">
        <v>46085</v>
      </c>
      <c r="O2822" s="7">
        <v>0.41666666666666669</v>
      </c>
      <c r="P2822" s="5">
        <v>1</v>
      </c>
      <c r="Q2822" s="5" t="s">
        <v>4616</v>
      </c>
      <c r="R2822" s="5">
        <v>290000</v>
      </c>
      <c r="S2822" s="5">
        <v>0</v>
      </c>
      <c r="T2822" s="5">
        <v>10000</v>
      </c>
      <c r="U2822" s="5">
        <v>300000</v>
      </c>
      <c r="V2822" s="5" t="s">
        <v>12492</v>
      </c>
      <c r="W2822" s="5" t="s">
        <v>36</v>
      </c>
      <c r="X2822" s="5" t="s">
        <v>1481</v>
      </c>
      <c r="Z2822" s="5" t="s">
        <v>12493</v>
      </c>
      <c r="AA2822" s="5" t="s">
        <v>44</v>
      </c>
      <c r="AB2822" s="5"/>
      <c r="AC2822" s="8" t="str">
        <f>HYPERLINK("https://drive.google.com/file/d/1EORX4pkv7yhNKbVG8fEjCd9MPoNNn33s/view?usp=drivesdk", "Abrir_Factura")</f>
        <v>Abrir_Factura</v>
      </c>
      <c r="AD2822" s="9">
        <v>46085.393113425926</v>
      </c>
    </row>
    <row r="2823" spans="1:30" ht="12.5">
      <c r="A2823" s="4">
        <v>46085.382126076394</v>
      </c>
      <c r="B2823" s="5">
        <v>92561</v>
      </c>
      <c r="C2823" s="5">
        <v>1007783293</v>
      </c>
      <c r="D2823" s="5" t="s">
        <v>12494</v>
      </c>
      <c r="F2823" s="5"/>
      <c r="H2823" s="5">
        <v>573017607682</v>
      </c>
      <c r="J2823" s="5" t="s">
        <v>8992</v>
      </c>
      <c r="K2823" s="5" t="s">
        <v>328</v>
      </c>
      <c r="L2823" s="5" t="s">
        <v>12495</v>
      </c>
      <c r="M2823" s="5">
        <v>573126794745</v>
      </c>
      <c r="N2823" s="6">
        <v>46086</v>
      </c>
      <c r="O2823" s="7">
        <v>0.41666666666666669</v>
      </c>
      <c r="P2823" s="5">
        <v>1</v>
      </c>
      <c r="Q2823" s="5" t="s">
        <v>12496</v>
      </c>
      <c r="R2823" s="5">
        <v>120000</v>
      </c>
      <c r="S2823" s="5">
        <v>0</v>
      </c>
      <c r="T2823" s="5">
        <v>15000</v>
      </c>
      <c r="U2823" s="5">
        <v>135000</v>
      </c>
      <c r="V2823" s="5" t="s">
        <v>12497</v>
      </c>
      <c r="W2823" s="5" t="s">
        <v>36</v>
      </c>
      <c r="X2823" s="5" t="s">
        <v>67</v>
      </c>
      <c r="Z2823" s="5" t="s">
        <v>3893</v>
      </c>
      <c r="AA2823" s="5" t="s">
        <v>44</v>
      </c>
      <c r="AB2823" s="5"/>
      <c r="AC2823" s="8" t="str">
        <f>HYPERLINK("https://drive.google.com/file/d/1V8v8dwQdcp_Ll4B7kEfxJ90rwHizI1rM/view?usp=drivesdk", "Abrir_Factura")</f>
        <v>Abrir_Factura</v>
      </c>
      <c r="AD2823" s="9">
        <v>46085.390763888892</v>
      </c>
    </row>
    <row r="2824" spans="1:30" ht="12.5">
      <c r="A2824" s="4">
        <v>46085.386347314816</v>
      </c>
      <c r="B2824" s="5">
        <v>92564</v>
      </c>
      <c r="C2824" s="5">
        <v>1140885324</v>
      </c>
      <c r="D2824" s="5" t="s">
        <v>12498</v>
      </c>
      <c r="F2824" s="5"/>
      <c r="H2824" s="5">
        <v>573135743603</v>
      </c>
      <c r="J2824" s="5" t="s">
        <v>12499</v>
      </c>
      <c r="K2824" s="5" t="s">
        <v>10526</v>
      </c>
      <c r="L2824" s="5" t="s">
        <v>12500</v>
      </c>
      <c r="M2824" s="5">
        <v>573135743603</v>
      </c>
      <c r="N2824" s="6">
        <v>46089</v>
      </c>
      <c r="O2824" s="7">
        <v>0.33333333333333331</v>
      </c>
      <c r="P2824" s="5">
        <v>1</v>
      </c>
      <c r="Q2824" s="5" t="s">
        <v>375</v>
      </c>
      <c r="R2824" s="5">
        <v>80000</v>
      </c>
      <c r="S2824" s="5">
        <v>0</v>
      </c>
      <c r="T2824" s="5">
        <v>12000</v>
      </c>
      <c r="U2824" s="5">
        <v>92000</v>
      </c>
      <c r="V2824" s="5" t="s">
        <v>12501</v>
      </c>
      <c r="W2824" s="5" t="s">
        <v>36</v>
      </c>
      <c r="X2824" s="5" t="s">
        <v>7644</v>
      </c>
      <c r="Z2824" s="5" t="s">
        <v>12502</v>
      </c>
      <c r="AA2824" s="5" t="s">
        <v>44</v>
      </c>
      <c r="AB2824" s="5"/>
      <c r="AC2824" s="8" t="str">
        <f>HYPERLINK("https://drive.google.com/file/d/1-s8oJcg0eACaEEiYLT5aFfNtBXhNd2xX/view?usp=drivesdk", "Abrir_Factura")</f>
        <v>Abrir_Factura</v>
      </c>
      <c r="AD2824" s="9">
        <v>46085.399328703701</v>
      </c>
    </row>
    <row r="2825" spans="1:30" ht="12.5">
      <c r="A2825" s="4">
        <v>46085.3963653588</v>
      </c>
      <c r="B2825" s="5">
        <v>92565</v>
      </c>
      <c r="C2825" s="5">
        <v>1036937207</v>
      </c>
      <c r="D2825" s="5" t="s">
        <v>12503</v>
      </c>
      <c r="F2825" s="5"/>
      <c r="H2825" s="5" t="s">
        <v>12504</v>
      </c>
      <c r="J2825" s="5" t="s">
        <v>12505</v>
      </c>
      <c r="K2825" s="5" t="s">
        <v>1815</v>
      </c>
      <c r="L2825" s="5" t="s">
        <v>12506</v>
      </c>
      <c r="M2825" s="5" t="s">
        <v>12507</v>
      </c>
      <c r="N2825" s="6">
        <v>46090</v>
      </c>
      <c r="O2825" s="7">
        <v>0.33333333333333331</v>
      </c>
      <c r="P2825" s="5">
        <v>1</v>
      </c>
      <c r="Q2825" s="5" t="s">
        <v>12508</v>
      </c>
      <c r="R2825" s="5">
        <v>240000</v>
      </c>
      <c r="S2825" s="5">
        <v>0</v>
      </c>
      <c r="T2825" s="5">
        <v>18000</v>
      </c>
      <c r="U2825" s="5">
        <v>258000</v>
      </c>
      <c r="V2825" s="5" t="s">
        <v>12509</v>
      </c>
      <c r="W2825" s="5" t="s">
        <v>36</v>
      </c>
      <c r="X2825" s="5" t="s">
        <v>7644</v>
      </c>
      <c r="Z2825" s="5" t="s">
        <v>1555</v>
      </c>
      <c r="AA2825" s="5" t="s">
        <v>69</v>
      </c>
      <c r="AB2825" s="5" t="s">
        <v>12510</v>
      </c>
      <c r="AC2825" s="8" t="str">
        <f>HYPERLINK("https://drive.google.com/file/d/16nsC42Oe6vAIkIf70A925o8hebkudnNB/view?usp=drivesdk", "Abrir_Factura")</f>
        <v>Abrir_Factura</v>
      </c>
      <c r="AD2825" s="9">
        <v>46088.742458402776</v>
      </c>
    </row>
    <row r="2826" spans="1:30" ht="12.5">
      <c r="A2826" s="4">
        <v>46085.411679166667</v>
      </c>
      <c r="B2826" s="5">
        <v>92566</v>
      </c>
      <c r="C2826" s="5">
        <v>3746052</v>
      </c>
      <c r="D2826" s="5" t="s">
        <v>12511</v>
      </c>
      <c r="F2826" s="5"/>
      <c r="H2826" s="5">
        <v>17862237177</v>
      </c>
      <c r="J2826" s="5" t="s">
        <v>12512</v>
      </c>
      <c r="K2826" s="5"/>
      <c r="L2826" s="5" t="s">
        <v>12513</v>
      </c>
      <c r="M2826" s="5">
        <v>573108769489</v>
      </c>
      <c r="N2826" s="6">
        <v>46085</v>
      </c>
      <c r="O2826" s="7">
        <v>0</v>
      </c>
      <c r="P2826" s="5">
        <v>1</v>
      </c>
      <c r="Q2826" s="5" t="s">
        <v>1696</v>
      </c>
      <c r="R2826" s="5">
        <v>800000</v>
      </c>
      <c r="S2826" s="5">
        <v>0</v>
      </c>
      <c r="T2826" s="5"/>
      <c r="U2826" s="5">
        <v>800000</v>
      </c>
      <c r="V2826" s="5"/>
      <c r="W2826" s="5" t="s">
        <v>36</v>
      </c>
      <c r="X2826" s="5" t="s">
        <v>1481</v>
      </c>
      <c r="Z2826" s="5"/>
      <c r="AA2826" s="5" t="s">
        <v>44</v>
      </c>
      <c r="AB2826" s="5"/>
      <c r="AC2826" s="8" t="str">
        <f>HYPERLINK("https://drive.google.com/file/d/1f1pO-QscwgcdvrsdaY46I70oL0Joqr8L/view?usp=drivesdk", "Abrir_Factura")</f>
        <v>Abrir_Factura</v>
      </c>
      <c r="AD2826" s="9">
        <v>46085.41684027778</v>
      </c>
    </row>
    <row r="2827" spans="1:30" ht="12.5">
      <c r="A2827" s="4">
        <v>46085.433167291667</v>
      </c>
      <c r="B2827" s="5">
        <v>92574</v>
      </c>
      <c r="C2827" s="5">
        <v>51918184</v>
      </c>
      <c r="D2827" s="5" t="s">
        <v>12514</v>
      </c>
      <c r="F2827" s="5"/>
      <c r="H2827" s="5">
        <v>573015442537</v>
      </c>
      <c r="J2827" s="5" t="s">
        <v>12515</v>
      </c>
      <c r="K2827" s="5" t="s">
        <v>185</v>
      </c>
      <c r="L2827" s="5" t="s">
        <v>12516</v>
      </c>
      <c r="M2827" s="5">
        <v>573006995558</v>
      </c>
      <c r="N2827" s="6">
        <v>46086</v>
      </c>
      <c r="O2827" s="7">
        <v>0.375</v>
      </c>
      <c r="P2827" s="5">
        <v>1</v>
      </c>
      <c r="Q2827" s="5" t="s">
        <v>12484</v>
      </c>
      <c r="R2827" s="5">
        <v>190000</v>
      </c>
      <c r="S2827" s="5">
        <v>0</v>
      </c>
      <c r="T2827" s="5">
        <v>8000</v>
      </c>
      <c r="U2827" s="5">
        <v>198000</v>
      </c>
      <c r="V2827" s="5" t="s">
        <v>12517</v>
      </c>
      <c r="W2827" s="5" t="s">
        <v>36</v>
      </c>
      <c r="X2827" s="5" t="s">
        <v>1481</v>
      </c>
      <c r="Z2827" s="5" t="s">
        <v>12517</v>
      </c>
      <c r="AA2827" s="5" t="s">
        <v>44</v>
      </c>
      <c r="AB2827" s="5"/>
      <c r="AC2827" s="8" t="str">
        <f>HYPERLINK("https://drive.google.com/file/d/1hhiTbXfKEdf9DuBgCuvahcidfNO1jiNL/view?usp=drivesdk", "Abrir_Factura")</f>
        <v>Abrir_Factura</v>
      </c>
      <c r="AD2827" s="9">
        <v>46085.558680555558</v>
      </c>
    </row>
    <row r="2828" spans="1:30" ht="12.5">
      <c r="A2828" s="4">
        <v>46085.4345831713</v>
      </c>
      <c r="B2828" s="5">
        <v>92575</v>
      </c>
      <c r="C2828" s="5">
        <v>51918184</v>
      </c>
      <c r="D2828" s="5" t="s">
        <v>12514</v>
      </c>
      <c r="F2828" s="5"/>
      <c r="H2828" s="5">
        <v>573015442537</v>
      </c>
      <c r="J2828" s="5" t="s">
        <v>12518</v>
      </c>
      <c r="K2828" s="5"/>
      <c r="L2828" s="5" t="s">
        <v>12519</v>
      </c>
      <c r="M2828" s="5">
        <v>573006995558</v>
      </c>
      <c r="N2828" s="6">
        <v>46086</v>
      </c>
      <c r="O2828" s="7">
        <v>0.375</v>
      </c>
      <c r="P2828" s="5">
        <v>1</v>
      </c>
      <c r="Q2828" s="5" t="s">
        <v>12423</v>
      </c>
      <c r="R2828" s="5">
        <v>118000</v>
      </c>
      <c r="S2828" s="5">
        <v>0</v>
      </c>
      <c r="T2828" s="5"/>
      <c r="U2828" s="5">
        <v>118000</v>
      </c>
      <c r="V2828" s="5" t="s">
        <v>12520</v>
      </c>
      <c r="W2828" s="5" t="s">
        <v>36</v>
      </c>
      <c r="X2828" s="5" t="s">
        <v>1705</v>
      </c>
      <c r="Z2828" s="5" t="s">
        <v>12517</v>
      </c>
      <c r="AA2828" s="5" t="s">
        <v>1717</v>
      </c>
      <c r="AB2828" s="5"/>
      <c r="AC2828" s="8" t="str">
        <f>HYPERLINK("https://drive.google.com/file/d/1pFhcu6GHlz4hhNic18IoF6vR2Rb0nZzM/view?usp=drivesdk", "Abrir_Factura")</f>
        <v>Abrir_Factura</v>
      </c>
      <c r="AD2828" s="9">
        <v>46085.55945601852</v>
      </c>
    </row>
    <row r="2829" spans="1:30" ht="12.5">
      <c r="A2829" s="4">
        <v>46085.451104282409</v>
      </c>
      <c r="B2829" s="5">
        <v>92569</v>
      </c>
      <c r="C2829" s="5">
        <v>1001942611</v>
      </c>
      <c r="D2829" s="5" t="s">
        <v>12521</v>
      </c>
      <c r="F2829" s="5"/>
      <c r="H2829" s="5">
        <v>573024123750</v>
      </c>
      <c r="J2829" s="5" t="s">
        <v>12521</v>
      </c>
      <c r="K2829" s="5" t="s">
        <v>12066</v>
      </c>
      <c r="L2829" s="5" t="s">
        <v>12066</v>
      </c>
      <c r="M2829" s="5">
        <v>573024123750</v>
      </c>
      <c r="N2829" s="6">
        <v>46088</v>
      </c>
      <c r="O2829" s="7">
        <v>0</v>
      </c>
      <c r="P2829" s="5">
        <v>1</v>
      </c>
      <c r="Q2829" s="5" t="s">
        <v>12522</v>
      </c>
      <c r="R2829" s="5">
        <v>99000</v>
      </c>
      <c r="S2829" s="5">
        <v>0</v>
      </c>
      <c r="T2829" s="5">
        <v>0</v>
      </c>
      <c r="U2829" s="5">
        <v>99000</v>
      </c>
      <c r="V2829" s="5" t="s">
        <v>12523</v>
      </c>
      <c r="W2829" s="5" t="s">
        <v>36</v>
      </c>
      <c r="X2829" s="5" t="s">
        <v>7644</v>
      </c>
      <c r="Z2829" s="5" t="s">
        <v>12524</v>
      </c>
      <c r="AA2829" s="5" t="s">
        <v>69</v>
      </c>
      <c r="AB2829" s="5" t="s">
        <v>12525</v>
      </c>
      <c r="AC2829" s="8" t="str">
        <f>HYPERLINK("https://drive.google.com/file/d/1MOVDnxYzLxzY1pAREV27CjUFBI0KXzCo/view?usp=drivesdk", "Abrir_Factura")</f>
        <v>Abrir_Factura</v>
      </c>
      <c r="AD2829" s="9">
        <v>46085.47111111111</v>
      </c>
    </row>
    <row r="2830" spans="1:30" ht="12.5">
      <c r="A2830" s="4">
        <v>46085.459020231487</v>
      </c>
      <c r="B2830" s="5">
        <v>92568</v>
      </c>
      <c r="C2830" s="5">
        <v>1048207789</v>
      </c>
      <c r="D2830" s="5" t="s">
        <v>12526</v>
      </c>
      <c r="F2830" s="5"/>
      <c r="H2830" s="5">
        <v>573136726588</v>
      </c>
      <c r="J2830" s="5" t="s">
        <v>12527</v>
      </c>
      <c r="K2830" s="5" t="s">
        <v>1100</v>
      </c>
      <c r="L2830" s="5" t="s">
        <v>12528</v>
      </c>
      <c r="M2830" s="5">
        <v>573136726588</v>
      </c>
      <c r="N2830" s="6">
        <v>46085</v>
      </c>
      <c r="O2830" s="7">
        <v>0</v>
      </c>
      <c r="P2830" s="5">
        <v>1</v>
      </c>
      <c r="Q2830" s="5" t="s">
        <v>42</v>
      </c>
      <c r="R2830" s="5">
        <v>100000</v>
      </c>
      <c r="S2830" s="5">
        <v>0</v>
      </c>
      <c r="T2830" s="5">
        <v>13000</v>
      </c>
      <c r="U2830" s="5">
        <v>113000</v>
      </c>
      <c r="V2830" s="5" t="s">
        <v>12529</v>
      </c>
      <c r="W2830" s="5" t="s">
        <v>36</v>
      </c>
      <c r="X2830" s="5" t="s">
        <v>1481</v>
      </c>
      <c r="Z2830" s="5" t="s">
        <v>12530</v>
      </c>
      <c r="AA2830" s="5" t="s">
        <v>69</v>
      </c>
      <c r="AB2830" s="5"/>
      <c r="AC2830" s="8" t="str">
        <f>HYPERLINK("https://drive.google.com/file/d/1mjeF1XgM-fnKGGoIr6CMjU3crNy_lHl0/view?usp=drivesdk", "Abrir_Factura")</f>
        <v>Abrir_Factura</v>
      </c>
      <c r="AD2830" s="9">
        <v>46085.468668981484</v>
      </c>
    </row>
    <row r="2831" spans="1:30" ht="12.5">
      <c r="A2831" s="4">
        <v>46085.464243043985</v>
      </c>
      <c r="B2831" s="5">
        <v>92572</v>
      </c>
      <c r="C2831" s="5">
        <v>1140865281</v>
      </c>
      <c r="D2831" s="5" t="s">
        <v>12531</v>
      </c>
      <c r="F2831" s="5"/>
      <c r="H2831" s="5">
        <v>573168263210</v>
      </c>
      <c r="J2831" s="5" t="s">
        <v>12531</v>
      </c>
      <c r="K2831" s="5" t="s">
        <v>12066</v>
      </c>
      <c r="L2831" s="5" t="s">
        <v>12066</v>
      </c>
      <c r="M2831" s="5">
        <v>573168263210</v>
      </c>
      <c r="N2831" s="6">
        <v>46088</v>
      </c>
      <c r="O2831" s="7">
        <v>0</v>
      </c>
      <c r="P2831" s="5">
        <v>1</v>
      </c>
      <c r="Q2831" s="5" t="s">
        <v>576</v>
      </c>
      <c r="R2831" s="5">
        <v>140000</v>
      </c>
      <c r="S2831" s="5">
        <v>0</v>
      </c>
      <c r="T2831" s="5">
        <v>0</v>
      </c>
      <c r="U2831" s="5">
        <v>140000</v>
      </c>
      <c r="V2831" s="5" t="s">
        <v>12532</v>
      </c>
      <c r="W2831" s="5" t="s">
        <v>36</v>
      </c>
      <c r="X2831" s="5" t="s">
        <v>67</v>
      </c>
      <c r="Z2831" s="5" t="s">
        <v>12533</v>
      </c>
      <c r="AA2831" s="5" t="s">
        <v>44</v>
      </c>
      <c r="AB2831" s="5"/>
      <c r="AC2831" s="8" t="str">
        <f>HYPERLINK("https://drive.google.com/file/d/1UjxJxw7IjaWvfciDzEz5PsgpAUh9LbuC/view?usp=drivesdk", "Abrir_Factura")</f>
        <v>Abrir_Factura</v>
      </c>
      <c r="AD2831" s="9">
        <v>46085.48578703704</v>
      </c>
    </row>
    <row r="2832" spans="1:30" ht="12.5">
      <c r="A2832" s="4">
        <v>46085.465086643519</v>
      </c>
      <c r="B2832" s="5">
        <v>92570</v>
      </c>
      <c r="C2832" s="5">
        <v>1152456370</v>
      </c>
      <c r="D2832" s="5" t="s">
        <v>12534</v>
      </c>
      <c r="F2832" s="5"/>
      <c r="H2832" s="5">
        <v>573104268528</v>
      </c>
      <c r="J2832" s="5" t="s">
        <v>12535</v>
      </c>
      <c r="K2832" s="5" t="s">
        <v>405</v>
      </c>
      <c r="L2832" s="5" t="s">
        <v>12536</v>
      </c>
      <c r="M2832" s="5">
        <v>573013587133</v>
      </c>
      <c r="N2832" s="6">
        <v>46087</v>
      </c>
      <c r="O2832" s="7">
        <v>0.375</v>
      </c>
      <c r="P2832" s="5">
        <v>1</v>
      </c>
      <c r="Q2832" s="5" t="s">
        <v>12537</v>
      </c>
      <c r="R2832" s="5">
        <v>228000</v>
      </c>
      <c r="S2832" s="5">
        <v>0</v>
      </c>
      <c r="T2832" s="5">
        <v>35000</v>
      </c>
      <c r="U2832" s="5">
        <v>263000</v>
      </c>
      <c r="V2832" s="5" t="s">
        <v>12538</v>
      </c>
      <c r="W2832" s="5" t="s">
        <v>36</v>
      </c>
      <c r="X2832" s="5" t="s">
        <v>1481</v>
      </c>
      <c r="Z2832" s="5" t="s">
        <v>12539</v>
      </c>
      <c r="AA2832" s="5" t="s">
        <v>44</v>
      </c>
      <c r="AB2832" s="5" t="s">
        <v>12540</v>
      </c>
      <c r="AC2832" s="8" t="str">
        <f>HYPERLINK("https://drive.google.com/file/d/1zIYKkvEvCe5UYO9L9KXXYX7hs32t3j-9/view?usp=drivesdk", "Abrir_Factura")</f>
        <v>Abrir_Factura</v>
      </c>
      <c r="AD2832" s="9">
        <v>46085.474988425929</v>
      </c>
    </row>
    <row r="2833" spans="1:30" ht="12.5">
      <c r="A2833" s="4">
        <v>46085.472738298609</v>
      </c>
      <c r="B2833" s="5">
        <v>92571</v>
      </c>
      <c r="C2833" s="5">
        <v>12345</v>
      </c>
      <c r="D2833" s="5" t="s">
        <v>12541</v>
      </c>
      <c r="F2833" s="5"/>
      <c r="H2833" s="5">
        <v>57324595475</v>
      </c>
      <c r="J2833" s="5" t="s">
        <v>12542</v>
      </c>
      <c r="K2833" s="5" t="s">
        <v>1647</v>
      </c>
      <c r="L2833" s="5" t="s">
        <v>12543</v>
      </c>
      <c r="M2833" s="5">
        <v>573245954757</v>
      </c>
      <c r="N2833" s="6">
        <v>46089</v>
      </c>
      <c r="O2833" s="7">
        <v>0.375</v>
      </c>
      <c r="P2833" s="5">
        <v>1</v>
      </c>
      <c r="Q2833" s="5" t="s">
        <v>12423</v>
      </c>
      <c r="R2833" s="5">
        <v>80000</v>
      </c>
      <c r="S2833" s="5">
        <v>0</v>
      </c>
      <c r="T2833" s="5">
        <v>18000</v>
      </c>
      <c r="U2833" s="5">
        <v>98000</v>
      </c>
      <c r="V2833" s="5" t="s">
        <v>12544</v>
      </c>
      <c r="W2833" s="5" t="s">
        <v>36</v>
      </c>
      <c r="X2833" s="5" t="s">
        <v>3754</v>
      </c>
      <c r="Z2833" s="5" t="s">
        <v>10288</v>
      </c>
      <c r="AA2833" s="5" t="s">
        <v>44</v>
      </c>
      <c r="AB2833" s="5" t="s">
        <v>12545</v>
      </c>
      <c r="AC2833" s="8" t="str">
        <f>HYPERLINK("https://drive.google.com/file/d/1UpB3B6XH68id7Yv0wYrimYNannLfFngp/view?usp=drivesdk", "Abrir_Factura")</f>
        <v>Abrir_Factura</v>
      </c>
      <c r="AD2833" s="9">
        <v>46085.482662037037</v>
      </c>
    </row>
    <row r="2834" spans="1:30" ht="12.5">
      <c r="A2834" s="4">
        <v>46085.50347116898</v>
      </c>
      <c r="B2834" s="5">
        <v>92573</v>
      </c>
      <c r="C2834" s="5">
        <v>1002501607</v>
      </c>
      <c r="D2834" s="5" t="s">
        <v>12546</v>
      </c>
      <c r="F2834" s="5"/>
      <c r="H2834" s="5">
        <v>573014122835</v>
      </c>
      <c r="J2834" s="5" t="s">
        <v>12547</v>
      </c>
      <c r="K2834" s="5" t="s">
        <v>328</v>
      </c>
      <c r="L2834" s="5" t="s">
        <v>12548</v>
      </c>
      <c r="M2834" s="5">
        <v>573014122835</v>
      </c>
      <c r="N2834" s="6">
        <v>46085</v>
      </c>
      <c r="O2834" s="7">
        <v>0.58333333333333337</v>
      </c>
      <c r="P2834" s="5">
        <v>1</v>
      </c>
      <c r="Q2834" s="5" t="s">
        <v>12549</v>
      </c>
      <c r="R2834" s="5">
        <v>150000</v>
      </c>
      <c r="S2834" s="5">
        <v>0</v>
      </c>
      <c r="T2834" s="5">
        <v>15000</v>
      </c>
      <c r="U2834" s="5">
        <v>165000</v>
      </c>
      <c r="V2834" s="5" t="s">
        <v>12550</v>
      </c>
      <c r="W2834" s="5" t="s">
        <v>36</v>
      </c>
      <c r="X2834" s="5" t="s">
        <v>1481</v>
      </c>
      <c r="Z2834" s="5" t="s">
        <v>12551</v>
      </c>
      <c r="AA2834" s="5" t="s">
        <v>69</v>
      </c>
      <c r="AB2834" s="5"/>
      <c r="AC2834" s="8" t="str">
        <f>HYPERLINK("https://drive.google.com/file/d/1T_4VN5SMnffsPW2VUWDZSw3EvIWV5nZ3/view?usp=drivesdk", "Abrir_Factura")</f>
        <v>Abrir_Factura</v>
      </c>
      <c r="AD2834" s="9">
        <v>46085.506111111114</v>
      </c>
    </row>
    <row r="2835" spans="1:30" ht="12.5">
      <c r="A2835" s="4">
        <v>46085.509326134255</v>
      </c>
      <c r="B2835" s="5">
        <v>92577</v>
      </c>
      <c r="C2835" s="5">
        <v>1065823920</v>
      </c>
      <c r="D2835" s="5" t="s">
        <v>12552</v>
      </c>
      <c r="F2835" s="5"/>
      <c r="H2835" s="5">
        <v>573015266031</v>
      </c>
      <c r="J2835" s="5" t="s">
        <v>2468</v>
      </c>
      <c r="K2835" s="5"/>
      <c r="L2835" s="10" t="s">
        <v>3001</v>
      </c>
      <c r="M2835" s="5">
        <v>573015266031</v>
      </c>
      <c r="N2835" s="6">
        <v>46087</v>
      </c>
      <c r="O2835" s="7">
        <v>0.33333333333333331</v>
      </c>
      <c r="P2835" s="5">
        <v>5</v>
      </c>
      <c r="Q2835" s="5" t="s">
        <v>12553</v>
      </c>
      <c r="R2835" s="5">
        <v>350000</v>
      </c>
      <c r="S2835" s="5">
        <v>0</v>
      </c>
      <c r="T2835" s="5"/>
      <c r="U2835" s="5">
        <v>350000</v>
      </c>
      <c r="V2835" s="5" t="s">
        <v>12554</v>
      </c>
      <c r="W2835" s="5" t="s">
        <v>36</v>
      </c>
      <c r="X2835" s="5" t="s">
        <v>7644</v>
      </c>
      <c r="Z2835" s="5" t="s">
        <v>12555</v>
      </c>
      <c r="AA2835" s="5" t="s">
        <v>44</v>
      </c>
      <c r="AB2835" s="5" t="s">
        <v>12556</v>
      </c>
      <c r="AC2835" s="8" t="str">
        <f>HYPERLINK("https://drive.google.com/file/d/1-cKzb9kDhPM0X-vG070r2AV74iTXsAOG/view?usp=drivesdk", "Abrir_Factura")</f>
        <v>Abrir_Factura</v>
      </c>
      <c r="AD2835" s="9">
        <v>46085.590162037035</v>
      </c>
    </row>
    <row r="2836" spans="1:30" ht="12.5">
      <c r="A2836" s="4">
        <v>46085.576585567134</v>
      </c>
      <c r="B2836" s="5">
        <v>92578</v>
      </c>
      <c r="C2836" s="5">
        <v>1120739169</v>
      </c>
      <c r="D2836" s="5" t="s">
        <v>12557</v>
      </c>
      <c r="F2836" s="5"/>
      <c r="H2836" s="5">
        <v>573155868116</v>
      </c>
      <c r="J2836" s="5" t="s">
        <v>12558</v>
      </c>
      <c r="K2836" s="5" t="s">
        <v>63</v>
      </c>
      <c r="L2836" s="5" t="s">
        <v>12559</v>
      </c>
      <c r="M2836" s="5">
        <v>573146682490</v>
      </c>
      <c r="N2836" s="6">
        <v>46089</v>
      </c>
      <c r="O2836" s="7">
        <v>0.33333333333333331</v>
      </c>
      <c r="P2836" s="5">
        <v>1</v>
      </c>
      <c r="Q2836" s="5" t="s">
        <v>12496</v>
      </c>
      <c r="R2836" s="5">
        <v>120000</v>
      </c>
      <c r="S2836" s="5">
        <v>0</v>
      </c>
      <c r="T2836" s="5">
        <v>17000</v>
      </c>
      <c r="U2836" s="5">
        <v>137000</v>
      </c>
      <c r="V2836" s="5" t="s">
        <v>12560</v>
      </c>
      <c r="W2836" s="5" t="s">
        <v>36</v>
      </c>
      <c r="X2836" s="5" t="s">
        <v>7644</v>
      </c>
      <c r="Z2836" s="5" t="s">
        <v>12561</v>
      </c>
      <c r="AA2836" s="5" t="s">
        <v>44</v>
      </c>
      <c r="AB2836" s="5" t="s">
        <v>12562</v>
      </c>
      <c r="AC2836" s="8" t="str">
        <f>HYPERLINK("https://drive.google.com/file/d/1PJPBBGapdQp1vqsrWRWFtyoakeevuPuY/view?usp=drivesdk", "Abrir_Factura")</f>
        <v>Abrir_Factura</v>
      </c>
      <c r="AD2836" s="9">
        <v>46085.598495370374</v>
      </c>
    </row>
    <row r="2837" spans="1:30" ht="12.5">
      <c r="A2837" s="4">
        <v>46085.577199085645</v>
      </c>
      <c r="B2837" s="5">
        <v>92576</v>
      </c>
      <c r="C2837" s="5">
        <v>1007017651</v>
      </c>
      <c r="D2837" s="5" t="s">
        <v>12563</v>
      </c>
      <c r="F2837" s="5"/>
      <c r="H2837" s="5">
        <v>575614055572</v>
      </c>
      <c r="J2837" s="5" t="s">
        <v>12564</v>
      </c>
      <c r="K2837" s="5" t="s">
        <v>63</v>
      </c>
      <c r="L2837" s="5" t="s">
        <v>12565</v>
      </c>
      <c r="M2837" s="5">
        <v>573106143856</v>
      </c>
      <c r="N2837" s="6">
        <v>46089</v>
      </c>
      <c r="O2837" s="7">
        <v>0</v>
      </c>
      <c r="P2837" s="5">
        <v>1</v>
      </c>
      <c r="Q2837" s="5" t="s">
        <v>12566</v>
      </c>
      <c r="R2837" s="5">
        <v>160000</v>
      </c>
      <c r="S2837" s="5">
        <v>0</v>
      </c>
      <c r="T2837" s="5">
        <v>17000</v>
      </c>
      <c r="U2837" s="5">
        <v>177000</v>
      </c>
      <c r="V2837" s="5" t="s">
        <v>12567</v>
      </c>
      <c r="W2837" s="5" t="s">
        <v>36</v>
      </c>
      <c r="X2837" s="5" t="s">
        <v>1937</v>
      </c>
      <c r="Z2837" s="5"/>
      <c r="AA2837" s="5" t="s">
        <v>44</v>
      </c>
      <c r="AB2837" s="5" t="s">
        <v>12545</v>
      </c>
      <c r="AC2837" s="8" t="str">
        <f>HYPERLINK("https://drive.google.com/file/d/1SInWpbWMiD_cYesTMKyvayteimUYGzBB/view?usp=drivesdk", "Abrir_Factura")</f>
        <v>Abrir_Factura</v>
      </c>
      <c r="AD2837" s="9">
        <v>46085.577800925923</v>
      </c>
    </row>
    <row r="2838" spans="1:30" ht="12.5">
      <c r="A2838" s="4">
        <v>46085.589602164357</v>
      </c>
      <c r="B2838" s="5">
        <v>92579</v>
      </c>
      <c r="C2838" s="5">
        <v>1129575177</v>
      </c>
      <c r="D2838" s="5" t="s">
        <v>9132</v>
      </c>
      <c r="F2838" s="5"/>
      <c r="H2838" s="5">
        <v>573017542841</v>
      </c>
      <c r="J2838" s="5" t="s">
        <v>12568</v>
      </c>
      <c r="K2838" s="5" t="s">
        <v>103</v>
      </c>
      <c r="L2838" s="5" t="s">
        <v>12569</v>
      </c>
      <c r="M2838" s="5">
        <v>573017542841</v>
      </c>
      <c r="N2838" s="6">
        <v>46085</v>
      </c>
      <c r="O2838" s="7">
        <v>0.58333333333333337</v>
      </c>
      <c r="P2838" s="5">
        <v>1</v>
      </c>
      <c r="Q2838" s="5" t="s">
        <v>734</v>
      </c>
      <c r="R2838" s="5">
        <v>99000</v>
      </c>
      <c r="S2838" s="5">
        <v>0</v>
      </c>
      <c r="T2838" s="5">
        <v>10000</v>
      </c>
      <c r="U2838" s="5">
        <v>109000</v>
      </c>
      <c r="V2838" s="5" t="s">
        <v>12570</v>
      </c>
      <c r="W2838" s="5" t="s">
        <v>36</v>
      </c>
      <c r="X2838" s="5" t="s">
        <v>1481</v>
      </c>
      <c r="Z2838" s="5" t="s">
        <v>9416</v>
      </c>
      <c r="AA2838" s="5" t="s">
        <v>44</v>
      </c>
      <c r="AB2838" s="5"/>
      <c r="AC2838" s="8" t="str">
        <f>HYPERLINK("https://drive.google.com/file/d/1JA12BZ4JhSVwFdBdLxNdYFitXVKYX6jZ/view?usp=drivesdk", "Abrir_Factura")</f>
        <v>Abrir_Factura</v>
      </c>
      <c r="AD2838" s="9">
        <v>46085.601284722223</v>
      </c>
    </row>
    <row r="2839" spans="1:30" ht="12.5">
      <c r="A2839" s="4">
        <v>46085.609760416672</v>
      </c>
      <c r="B2839" s="5">
        <v>92580</v>
      </c>
      <c r="C2839" s="5">
        <v>1065823920</v>
      </c>
      <c r="D2839" s="5" t="s">
        <v>12552</v>
      </c>
      <c r="F2839" s="5"/>
      <c r="H2839" s="5">
        <v>573015266031</v>
      </c>
      <c r="J2839" s="5" t="s">
        <v>12552</v>
      </c>
      <c r="K2839" s="5" t="s">
        <v>12066</v>
      </c>
      <c r="L2839" s="5" t="s">
        <v>12066</v>
      </c>
      <c r="M2839" s="5">
        <v>573015266031</v>
      </c>
      <c r="N2839" s="6">
        <v>46087</v>
      </c>
      <c r="O2839" s="7">
        <v>0.33333333333333331</v>
      </c>
      <c r="P2839" s="5">
        <v>2</v>
      </c>
      <c r="Q2839" s="5" t="s">
        <v>12571</v>
      </c>
      <c r="R2839" s="5">
        <v>140000</v>
      </c>
      <c r="S2839" s="5">
        <v>0</v>
      </c>
      <c r="T2839" s="5">
        <v>0</v>
      </c>
      <c r="U2839" s="5">
        <v>140000</v>
      </c>
      <c r="V2839" s="5"/>
      <c r="W2839" s="5" t="s">
        <v>36</v>
      </c>
      <c r="X2839" s="5" t="s">
        <v>1705</v>
      </c>
      <c r="Z2839" s="5"/>
      <c r="AA2839" s="5" t="s">
        <v>44</v>
      </c>
      <c r="AB2839" s="5"/>
      <c r="AC2839" s="8" t="str">
        <f>HYPERLINK("https://drive.google.com/file/d/1B7q_F5TaBjzFnPmQo6ZsS7mKVY7Xwg1e/view?usp=drivesdk", "Abrir_Factura")</f>
        <v>Abrir_Factura</v>
      </c>
      <c r="AD2839" s="9">
        <v>46087.704375000001</v>
      </c>
    </row>
    <row r="2840" spans="1:30" ht="12.5">
      <c r="A2840" s="4">
        <v>46085.613602777783</v>
      </c>
      <c r="B2840" s="5">
        <v>92581</v>
      </c>
      <c r="C2840" s="5">
        <v>1129579301</v>
      </c>
      <c r="D2840" s="5" t="s">
        <v>12572</v>
      </c>
      <c r="F2840" s="5"/>
      <c r="H2840" s="5">
        <v>3007878893</v>
      </c>
      <c r="J2840" s="5" t="s">
        <v>12573</v>
      </c>
      <c r="K2840" s="5" t="s">
        <v>1317</v>
      </c>
      <c r="L2840" s="5" t="s">
        <v>12574</v>
      </c>
      <c r="M2840" s="5">
        <v>573206804890</v>
      </c>
      <c r="N2840" s="6">
        <v>46086</v>
      </c>
      <c r="O2840" s="7">
        <v>0.625</v>
      </c>
      <c r="P2840" s="5">
        <v>1</v>
      </c>
      <c r="Q2840" s="5" t="s">
        <v>50</v>
      </c>
      <c r="R2840" s="5">
        <v>220000</v>
      </c>
      <c r="S2840" s="5">
        <v>0</v>
      </c>
      <c r="T2840" s="5">
        <v>12000</v>
      </c>
      <c r="U2840" s="5">
        <v>232000</v>
      </c>
      <c r="V2840" s="5" t="s">
        <v>12575</v>
      </c>
      <c r="W2840" s="5" t="s">
        <v>36</v>
      </c>
      <c r="X2840" s="5" t="s">
        <v>67</v>
      </c>
      <c r="Z2840" s="5" t="s">
        <v>12576</v>
      </c>
      <c r="AA2840" s="5" t="s">
        <v>44</v>
      </c>
      <c r="AB2840" s="5"/>
      <c r="AC2840" s="8" t="str">
        <f>HYPERLINK("https://drive.google.com/file/d/1UtT2DdRW4GzgN7Xj0Js3m1x7Y4XF--iw/view?usp=drivesdk", "Abrir_Factura")</f>
        <v>Abrir_Factura</v>
      </c>
      <c r="AD2840" s="9">
        <v>46085.625752314816</v>
      </c>
    </row>
    <row r="2841" spans="1:30" ht="12.5">
      <c r="A2841" s="4">
        <v>46085.615345104168</v>
      </c>
      <c r="B2841" s="5">
        <v>92582</v>
      </c>
      <c r="C2841" s="5">
        <v>1001993797</v>
      </c>
      <c r="D2841" s="5" t="s">
        <v>12577</v>
      </c>
      <c r="F2841" s="5"/>
      <c r="H2841" s="5">
        <v>573003346799</v>
      </c>
      <c r="J2841" s="5" t="s">
        <v>12578</v>
      </c>
      <c r="K2841" s="5" t="s">
        <v>110</v>
      </c>
      <c r="L2841" s="5" t="s">
        <v>12579</v>
      </c>
      <c r="M2841" s="5">
        <v>573003907043</v>
      </c>
      <c r="N2841" s="6">
        <v>46085</v>
      </c>
      <c r="O2841" s="7">
        <v>0.625</v>
      </c>
      <c r="P2841" s="5">
        <v>1</v>
      </c>
      <c r="Q2841" s="5" t="s">
        <v>435</v>
      </c>
      <c r="R2841" s="5">
        <v>65000</v>
      </c>
      <c r="S2841" s="5">
        <v>0</v>
      </c>
      <c r="T2841" s="5">
        <v>6000</v>
      </c>
      <c r="U2841" s="5">
        <v>71000</v>
      </c>
      <c r="V2841" s="5" t="s">
        <v>12580</v>
      </c>
      <c r="W2841" s="5" t="s">
        <v>36</v>
      </c>
      <c r="X2841" s="5" t="s">
        <v>67</v>
      </c>
      <c r="Z2841" s="5" t="s">
        <v>12581</v>
      </c>
      <c r="AA2841" s="5" t="s">
        <v>44</v>
      </c>
      <c r="AB2841" s="5" t="s">
        <v>12582</v>
      </c>
      <c r="AC2841" s="8" t="str">
        <f>HYPERLINK("https://drive.google.com/file/d/19wW7yDZTtG5RoI63mB5sO6MOCl-jtzJQ/view?usp=drivesdk", "Abrir_Factura")</f>
        <v>Abrir_Factura</v>
      </c>
      <c r="AD2841" s="9">
        <v>46085.635509259257</v>
      </c>
    </row>
    <row r="2842" spans="1:30" ht="12.5">
      <c r="A2842" s="4">
        <v>46085.629642175925</v>
      </c>
      <c r="B2842" s="5">
        <v>92583</v>
      </c>
      <c r="C2842" s="5">
        <v>1001098497</v>
      </c>
      <c r="D2842" s="5" t="s">
        <v>12583</v>
      </c>
      <c r="F2842" s="5"/>
      <c r="H2842" s="5">
        <v>573046786780</v>
      </c>
      <c r="J2842" s="5" t="s">
        <v>12584</v>
      </c>
      <c r="K2842" s="5" t="s">
        <v>265</v>
      </c>
      <c r="L2842" s="5" t="s">
        <v>12585</v>
      </c>
      <c r="M2842" s="5">
        <v>573012068473</v>
      </c>
      <c r="N2842" s="6">
        <v>46089</v>
      </c>
      <c r="O2842" s="7">
        <v>0.625</v>
      </c>
      <c r="P2842" s="5">
        <v>1</v>
      </c>
      <c r="Q2842" s="5" t="s">
        <v>375</v>
      </c>
      <c r="R2842" s="5">
        <v>80000</v>
      </c>
      <c r="S2842" s="5">
        <v>0</v>
      </c>
      <c r="T2842" s="5">
        <v>17000</v>
      </c>
      <c r="U2842" s="5">
        <v>97000</v>
      </c>
      <c r="V2842" s="5" t="s">
        <v>12586</v>
      </c>
      <c r="W2842" s="5" t="s">
        <v>36</v>
      </c>
      <c r="X2842" s="5" t="s">
        <v>7644</v>
      </c>
      <c r="Z2842" s="5" t="s">
        <v>12587</v>
      </c>
      <c r="AA2842" s="5" t="s">
        <v>44</v>
      </c>
      <c r="AB2842" s="5"/>
      <c r="AC2842" s="8" t="str">
        <f>HYPERLINK("https://drive.google.com/file/d/1gM-jb9dsXMDJ4GUtdb456K8fWmdWni9l/view?usp=drivesdk", "Abrir_Factura")</f>
        <v>Abrir_Factura</v>
      </c>
      <c r="AD2842" s="9">
        <v>46085.636886574073</v>
      </c>
    </row>
    <row r="2843" spans="1:30" ht="12.5">
      <c r="A2843" s="4">
        <v>46085.651602789352</v>
      </c>
      <c r="B2843" s="5">
        <v>92584</v>
      </c>
      <c r="C2843" s="5">
        <v>72357076</v>
      </c>
      <c r="D2843" s="5" t="s">
        <v>12588</v>
      </c>
      <c r="F2843" s="5"/>
      <c r="H2843" s="5">
        <v>573013573091</v>
      </c>
      <c r="J2843" s="5" t="s">
        <v>12589</v>
      </c>
      <c r="K2843" s="5" t="s">
        <v>161</v>
      </c>
      <c r="L2843" s="5" t="s">
        <v>12590</v>
      </c>
      <c r="M2843" s="5"/>
      <c r="N2843" s="6">
        <v>46086</v>
      </c>
      <c r="O2843" s="7">
        <v>0.375</v>
      </c>
      <c r="P2843" s="5">
        <v>1</v>
      </c>
      <c r="Q2843" s="5" t="s">
        <v>613</v>
      </c>
      <c r="R2843" s="5">
        <v>620000</v>
      </c>
      <c r="S2843" s="5">
        <v>0</v>
      </c>
      <c r="T2843" s="5">
        <v>8000</v>
      </c>
      <c r="U2843" s="5">
        <v>628000</v>
      </c>
      <c r="V2843" s="5" t="s">
        <v>8132</v>
      </c>
      <c r="W2843" s="5" t="s">
        <v>36</v>
      </c>
      <c r="X2843" s="5" t="s">
        <v>1705</v>
      </c>
      <c r="Z2843" s="5" t="s">
        <v>3001</v>
      </c>
      <c r="AA2843" s="5" t="s">
        <v>44</v>
      </c>
      <c r="AB2843" s="5"/>
      <c r="AC2843" s="8" t="str">
        <f>HYPERLINK("https://drive.google.com/file/d/1hCKeWK97J0QRJkepDYIIfN3Sm4qyS7Or/view?usp=drivesdk", "Abrir_Factura")</f>
        <v>Abrir_Factura</v>
      </c>
      <c r="AD2843" s="9">
        <v>46085.655324074076</v>
      </c>
    </row>
    <row r="2844" spans="1:30" ht="12.5">
      <c r="A2844" s="4">
        <v>46085.666529467591</v>
      </c>
      <c r="B2844" s="5">
        <v>92590</v>
      </c>
      <c r="C2844" s="5">
        <v>1002153687</v>
      </c>
      <c r="D2844" s="5" t="s">
        <v>12591</v>
      </c>
      <c r="F2844" s="5"/>
      <c r="H2844" s="5">
        <v>573023611833</v>
      </c>
      <c r="J2844" s="5" t="s">
        <v>12592</v>
      </c>
      <c r="K2844" s="5" t="s">
        <v>103</v>
      </c>
      <c r="L2844" s="5" t="s">
        <v>12593</v>
      </c>
      <c r="M2844" s="5">
        <v>573043796453</v>
      </c>
      <c r="N2844" s="6">
        <v>46089</v>
      </c>
      <c r="O2844" s="7">
        <v>0.33333333333333331</v>
      </c>
      <c r="P2844" s="5">
        <v>1</v>
      </c>
      <c r="Q2844" s="5" t="s">
        <v>12522</v>
      </c>
      <c r="R2844" s="5">
        <v>99000</v>
      </c>
      <c r="S2844" s="5">
        <v>0</v>
      </c>
      <c r="T2844" s="5">
        <v>10000</v>
      </c>
      <c r="U2844" s="5">
        <v>109000</v>
      </c>
      <c r="V2844" s="5" t="s">
        <v>12594</v>
      </c>
      <c r="W2844" s="5" t="s">
        <v>36</v>
      </c>
      <c r="X2844" s="5" t="s">
        <v>7644</v>
      </c>
      <c r="Z2844" s="5" t="s">
        <v>12595</v>
      </c>
      <c r="AA2844" s="5" t="s">
        <v>69</v>
      </c>
      <c r="AB2844" s="5" t="s">
        <v>12596</v>
      </c>
      <c r="AC2844" s="8" t="str">
        <f>HYPERLINK("https://drive.google.com/file/d/1HZjKk64XnDfne-f4N0W26abuQnPmrZmO/view?usp=drivesdk", "Abrir_Factura")</f>
        <v>Abrir_Factura</v>
      </c>
      <c r="AD2844" s="9">
        <v>46085.715069444443</v>
      </c>
    </row>
    <row r="2845" spans="1:30" ht="12.5">
      <c r="A2845" s="4">
        <v>46085.668613611109</v>
      </c>
      <c r="B2845" s="5">
        <v>92586</v>
      </c>
      <c r="C2845" s="5">
        <v>1042849861</v>
      </c>
      <c r="D2845" s="5" t="s">
        <v>12166</v>
      </c>
      <c r="F2845" s="5"/>
      <c r="H2845" s="5">
        <v>573046105529</v>
      </c>
      <c r="J2845" s="5" t="s">
        <v>12597</v>
      </c>
      <c r="K2845" s="5" t="s">
        <v>2090</v>
      </c>
      <c r="L2845" s="5" t="s">
        <v>12168</v>
      </c>
      <c r="M2845" s="5">
        <v>573045995876</v>
      </c>
      <c r="N2845" s="6">
        <v>46085</v>
      </c>
      <c r="O2845" s="7">
        <v>0.70833333333333337</v>
      </c>
      <c r="P2845" s="5">
        <v>1</v>
      </c>
      <c r="Q2845" s="5" t="s">
        <v>370</v>
      </c>
      <c r="R2845" s="5">
        <v>290000</v>
      </c>
      <c r="S2845" s="5">
        <v>0</v>
      </c>
      <c r="T2845" s="5">
        <v>10000</v>
      </c>
      <c r="U2845" s="5">
        <v>300000</v>
      </c>
      <c r="V2845" s="5" t="s">
        <v>12598</v>
      </c>
      <c r="W2845" s="5" t="s">
        <v>36</v>
      </c>
      <c r="X2845" s="5" t="s">
        <v>180</v>
      </c>
      <c r="Z2845" s="5" t="s">
        <v>12599</v>
      </c>
      <c r="AA2845" s="5" t="s">
        <v>44</v>
      </c>
      <c r="AB2845" s="5"/>
      <c r="AC2845" s="8" t="str">
        <f>HYPERLINK("https://drive.google.com/file/d/1qUyGrKzsUF0d4QRwiYozc85wGP4EFpiV/view?usp=drivesdk", "Abrir_Factura")</f>
        <v>Abrir_Factura</v>
      </c>
      <c r="AD2845" s="9">
        <v>46085.692002314812</v>
      </c>
    </row>
    <row r="2846" spans="1:30" ht="12.5">
      <c r="A2846" s="4">
        <v>46085.673138761573</v>
      </c>
      <c r="B2846" s="5">
        <v>92585</v>
      </c>
      <c r="C2846" s="5">
        <v>55304043</v>
      </c>
      <c r="D2846" s="5" t="s">
        <v>12600</v>
      </c>
      <c r="F2846" s="5"/>
      <c r="H2846" s="5">
        <v>5712676373606</v>
      </c>
      <c r="J2846" s="5" t="s">
        <v>12601</v>
      </c>
      <c r="K2846" s="5"/>
      <c r="L2846" s="5" t="s">
        <v>12602</v>
      </c>
      <c r="M2846" s="5"/>
      <c r="N2846" s="6">
        <v>46085</v>
      </c>
      <c r="O2846" s="7">
        <v>0</v>
      </c>
      <c r="P2846" s="5">
        <v>1</v>
      </c>
      <c r="Q2846" s="5" t="s">
        <v>42</v>
      </c>
      <c r="R2846" s="5">
        <v>150000</v>
      </c>
      <c r="S2846" s="5">
        <v>0</v>
      </c>
      <c r="T2846" s="5"/>
      <c r="U2846" s="5">
        <v>150000</v>
      </c>
      <c r="V2846" s="5"/>
      <c r="W2846" s="5" t="s">
        <v>36</v>
      </c>
      <c r="X2846" s="5" t="s">
        <v>1705</v>
      </c>
      <c r="Z2846" s="5"/>
      <c r="AA2846" s="5" t="s">
        <v>1717</v>
      </c>
      <c r="AB2846" s="5"/>
      <c r="AC2846" s="8" t="str">
        <f>HYPERLINK("https://drive.google.com/file/d/1z4ZZogVPF1wCa7iM9IjuiB_B4u6u25YP/view?usp=drivesdk", "Abrir_Factura")</f>
        <v>Abrir_Factura</v>
      </c>
      <c r="AD2846" s="9">
        <v>46085.682291666664</v>
      </c>
    </row>
    <row r="2847" spans="1:30" ht="12.5">
      <c r="A2847" s="4">
        <v>46085.686631377313</v>
      </c>
      <c r="B2847" s="5">
        <v>92588</v>
      </c>
      <c r="C2847" s="5">
        <v>9102992</v>
      </c>
      <c r="D2847" s="5" t="s">
        <v>12603</v>
      </c>
      <c r="F2847" s="5"/>
      <c r="H2847" s="5">
        <v>573007175473</v>
      </c>
      <c r="J2847" s="5" t="s">
        <v>4116</v>
      </c>
      <c r="K2847" s="5" t="s">
        <v>63</v>
      </c>
      <c r="L2847" s="5" t="s">
        <v>12604</v>
      </c>
      <c r="M2847" s="5"/>
      <c r="N2847" s="6">
        <v>46087</v>
      </c>
      <c r="O2847" s="7">
        <v>0.33333333333333331</v>
      </c>
      <c r="P2847" s="5">
        <v>1</v>
      </c>
      <c r="Q2847" s="5" t="s">
        <v>12496</v>
      </c>
      <c r="R2847" s="5">
        <v>120000</v>
      </c>
      <c r="S2847" s="5">
        <v>0</v>
      </c>
      <c r="T2847" s="5">
        <v>17000</v>
      </c>
      <c r="U2847" s="5">
        <v>137000</v>
      </c>
      <c r="V2847" s="5" t="s">
        <v>12605</v>
      </c>
      <c r="W2847" s="5" t="s">
        <v>36</v>
      </c>
      <c r="X2847" s="5" t="s">
        <v>180</v>
      </c>
      <c r="Z2847" s="5"/>
      <c r="AA2847" s="5" t="s">
        <v>44</v>
      </c>
      <c r="AB2847" s="5"/>
      <c r="AC2847" s="8" t="str">
        <f>HYPERLINK("https://drive.google.com/file/d/1lfKCxGgKaaOGz_YtyGiolg1vOo1FbPsr/view?usp=drivesdk", "Abrir_Factura")</f>
        <v>Abrir_Factura</v>
      </c>
      <c r="AD2847" s="9">
        <v>46085.699652777781</v>
      </c>
    </row>
    <row r="2848" spans="1:30" ht="12.5">
      <c r="A2848" s="4">
        <v>46085.688311168982</v>
      </c>
      <c r="B2848" s="5">
        <v>92587</v>
      </c>
      <c r="C2848" s="5">
        <v>1045723678</v>
      </c>
      <c r="D2848" s="5" t="s">
        <v>12606</v>
      </c>
      <c r="F2848" s="5"/>
      <c r="H2848" s="5">
        <v>573043765552</v>
      </c>
      <c r="J2848" s="5" t="s">
        <v>12606</v>
      </c>
      <c r="K2848" s="5" t="s">
        <v>12066</v>
      </c>
      <c r="L2848" s="5" t="s">
        <v>12066</v>
      </c>
      <c r="M2848" s="5">
        <v>573043765552</v>
      </c>
      <c r="N2848" s="6">
        <v>46090</v>
      </c>
      <c r="O2848" s="7">
        <v>0.29166666666666669</v>
      </c>
      <c r="P2848" s="5">
        <v>1</v>
      </c>
      <c r="Q2848" s="5" t="s">
        <v>42</v>
      </c>
      <c r="R2848" s="5">
        <v>56000</v>
      </c>
      <c r="S2848" s="5">
        <v>0</v>
      </c>
      <c r="T2848" s="5">
        <v>0</v>
      </c>
      <c r="U2848" s="5">
        <v>56000</v>
      </c>
      <c r="V2848" s="5" t="s">
        <v>12607</v>
      </c>
      <c r="W2848" s="5" t="s">
        <v>36</v>
      </c>
      <c r="X2848" s="5" t="s">
        <v>7644</v>
      </c>
      <c r="Y2848" s="5" t="s">
        <v>12608</v>
      </c>
      <c r="Z2848" s="5" t="s">
        <v>12609</v>
      </c>
      <c r="AA2848" s="5" t="s">
        <v>44</v>
      </c>
      <c r="AB2848" s="5" t="s">
        <v>12610</v>
      </c>
      <c r="AC2848" s="8" t="str">
        <f>HYPERLINK("https://drive.google.com/file/d/18xIQvShxCXd-ODUzkhd1zX2bv0VND6e0/view?usp=drivesdk", "Abrir_Factura")</f>
        <v>Abrir_Factura</v>
      </c>
      <c r="AD2848" s="9">
        <v>46086.453819444447</v>
      </c>
    </row>
    <row r="2849" spans="1:30" ht="12.5">
      <c r="A2849" s="4">
        <v>46085.69805796296</v>
      </c>
      <c r="B2849" s="5">
        <v>92594</v>
      </c>
      <c r="C2849" s="5">
        <v>1140856436</v>
      </c>
      <c r="D2849" s="5" t="s">
        <v>12611</v>
      </c>
      <c r="F2849" s="5"/>
      <c r="H2849" s="5">
        <v>573014232454</v>
      </c>
      <c r="J2849" s="5" t="s">
        <v>12611</v>
      </c>
      <c r="K2849" s="5" t="s">
        <v>7476</v>
      </c>
      <c r="L2849" s="5" t="s">
        <v>12612</v>
      </c>
      <c r="M2849" s="5">
        <v>573014232454</v>
      </c>
      <c r="N2849" s="6">
        <v>46088</v>
      </c>
      <c r="O2849" s="7">
        <v>0.54166666666666663</v>
      </c>
      <c r="P2849" s="5">
        <v>1</v>
      </c>
      <c r="Q2849" s="5" t="s">
        <v>375</v>
      </c>
      <c r="R2849" s="5">
        <v>80000</v>
      </c>
      <c r="S2849" s="5">
        <v>0</v>
      </c>
      <c r="T2849" s="5">
        <v>17000</v>
      </c>
      <c r="U2849" s="5">
        <v>97000</v>
      </c>
      <c r="V2849" s="5"/>
      <c r="W2849" s="5" t="s">
        <v>36</v>
      </c>
      <c r="X2849" s="5" t="s">
        <v>1937</v>
      </c>
      <c r="Z2849" s="5"/>
      <c r="AA2849" s="5" t="s">
        <v>44</v>
      </c>
      <c r="AB2849" s="5"/>
      <c r="AC2849" s="8" t="str">
        <f>HYPERLINK("https://drive.google.com/file/d/1hN2tt6Qzp0UBd_h79GjsKb67uTnvAJau/view?usp=drivesdk", "Abrir_Factura")</f>
        <v>Abrir_Factura</v>
      </c>
      <c r="AD2849" s="9">
        <v>46085.767071759263</v>
      </c>
    </row>
    <row r="2850" spans="1:30" ht="12.5">
      <c r="A2850" s="4">
        <v>46085.700858229167</v>
      </c>
      <c r="B2850" s="5">
        <v>92592</v>
      </c>
      <c r="C2850" s="5">
        <v>1002030932</v>
      </c>
      <c r="D2850" s="5" t="s">
        <v>12613</v>
      </c>
      <c r="F2850" s="5"/>
      <c r="H2850" s="5">
        <v>573005912102</v>
      </c>
      <c r="J2850" s="5" t="s">
        <v>12614</v>
      </c>
      <c r="K2850" s="5" t="s">
        <v>103</v>
      </c>
      <c r="L2850" s="5" t="s">
        <v>12615</v>
      </c>
      <c r="M2850" s="5">
        <v>573239509132</v>
      </c>
      <c r="N2850" s="6">
        <v>46089</v>
      </c>
      <c r="O2850" s="7">
        <v>0.33333333333333331</v>
      </c>
      <c r="P2850" s="5">
        <v>1</v>
      </c>
      <c r="Q2850" s="5" t="s">
        <v>12406</v>
      </c>
      <c r="R2850" s="5">
        <v>90000</v>
      </c>
      <c r="S2850" s="5">
        <v>0</v>
      </c>
      <c r="T2850" s="5">
        <v>10000</v>
      </c>
      <c r="U2850" s="5">
        <v>100000</v>
      </c>
      <c r="V2850" s="5" t="s">
        <v>12616</v>
      </c>
      <c r="W2850" s="5" t="s">
        <v>36</v>
      </c>
      <c r="X2850" s="5" t="s">
        <v>7644</v>
      </c>
      <c r="Z2850" s="5" t="s">
        <v>12617</v>
      </c>
      <c r="AA2850" s="5" t="s">
        <v>44</v>
      </c>
      <c r="AB2850" s="5"/>
      <c r="AC2850" s="8" t="str">
        <f>HYPERLINK("https://drive.google.com/file/d/1RwAXT0ovh09xYM0ljbS3EqggYcl29FbM/view?usp=drivesdk", "Abrir_Factura")</f>
        <v>Abrir_Factura</v>
      </c>
      <c r="AD2850" s="9">
        <v>46085.7424537037</v>
      </c>
    </row>
    <row r="2851" spans="1:30" ht="12.5">
      <c r="A2851" s="4">
        <v>46085.703041493056</v>
      </c>
      <c r="B2851" s="5">
        <v>92589</v>
      </c>
      <c r="C2851" s="5">
        <v>1042349936</v>
      </c>
      <c r="D2851" s="5" t="s">
        <v>12618</v>
      </c>
      <c r="F2851" s="5"/>
      <c r="H2851" s="5">
        <v>573004483338</v>
      </c>
      <c r="J2851" s="5" t="s">
        <v>12619</v>
      </c>
      <c r="K2851" s="5" t="s">
        <v>73</v>
      </c>
      <c r="L2851" s="5" t="s">
        <v>12620</v>
      </c>
      <c r="M2851" s="5">
        <v>573004483335</v>
      </c>
      <c r="N2851" s="6">
        <v>46085</v>
      </c>
      <c r="O2851" s="7">
        <v>0</v>
      </c>
      <c r="P2851" s="5">
        <v>1</v>
      </c>
      <c r="Q2851" s="5" t="s">
        <v>112</v>
      </c>
      <c r="R2851" s="5">
        <v>300000</v>
      </c>
      <c r="S2851" s="5">
        <v>0</v>
      </c>
      <c r="T2851" s="5">
        <v>8000</v>
      </c>
      <c r="U2851" s="5">
        <v>308000</v>
      </c>
      <c r="V2851" s="5" t="s">
        <v>12621</v>
      </c>
      <c r="W2851" s="5" t="s">
        <v>36</v>
      </c>
      <c r="X2851" s="5" t="s">
        <v>67</v>
      </c>
      <c r="Z2851" s="5" t="s">
        <v>12622</v>
      </c>
      <c r="AA2851" s="5" t="s">
        <v>44</v>
      </c>
      <c r="AB2851" s="5"/>
      <c r="AC2851" s="8" t="str">
        <f>HYPERLINK("https://drive.google.com/file/d/1LkHWgT0KYDURXfbxffcwNXkLiuHeR3jw/view?usp=drivesdk", "Abrir_Factura")</f>
        <v>Abrir_Factura</v>
      </c>
      <c r="AD2851" s="9">
        <v>46085.713449074072</v>
      </c>
    </row>
    <row r="2852" spans="1:30" ht="12.5">
      <c r="A2852" s="4">
        <v>46085.717969085643</v>
      </c>
      <c r="B2852" s="5">
        <v>92591</v>
      </c>
      <c r="C2852" s="5">
        <v>32669257</v>
      </c>
      <c r="D2852" s="5" t="s">
        <v>12623</v>
      </c>
      <c r="F2852" s="5"/>
      <c r="H2852" s="5">
        <v>573215104708</v>
      </c>
      <c r="J2852" s="5" t="s">
        <v>12624</v>
      </c>
      <c r="K2852" s="5" t="s">
        <v>185</v>
      </c>
      <c r="L2852" s="5" t="s">
        <v>12625</v>
      </c>
      <c r="M2852" s="5"/>
      <c r="N2852" s="6">
        <v>46087</v>
      </c>
      <c r="O2852" s="7">
        <v>0.58333333333333337</v>
      </c>
      <c r="P2852" s="5">
        <v>1</v>
      </c>
      <c r="Q2852" s="5" t="s">
        <v>12626</v>
      </c>
      <c r="R2852" s="5">
        <v>360000</v>
      </c>
      <c r="S2852" s="5">
        <v>0</v>
      </c>
      <c r="T2852" s="5">
        <v>8000</v>
      </c>
      <c r="U2852" s="5">
        <v>368000</v>
      </c>
      <c r="V2852" s="5" t="s">
        <v>12627</v>
      </c>
      <c r="W2852" s="5" t="s">
        <v>36</v>
      </c>
      <c r="X2852" s="5" t="s">
        <v>67</v>
      </c>
      <c r="Z2852" s="5"/>
      <c r="AA2852" s="5" t="s">
        <v>1717</v>
      </c>
      <c r="AB2852" s="5" t="s">
        <v>12628</v>
      </c>
      <c r="AC2852" s="8" t="str">
        <f>HYPERLINK("https://drive.google.com/file/d/1HOfvJwcYezD3_pxwEHfS0oLOmW9PZ2Hu/view?usp=drivesdk", "Abrir_Factura")</f>
        <v>Abrir_Factura</v>
      </c>
      <c r="AD2852" s="9">
        <v>46085.72960648148</v>
      </c>
    </row>
    <row r="2853" spans="1:30" ht="12.5">
      <c r="A2853" s="4">
        <v>46085.720489328705</v>
      </c>
      <c r="B2853" s="5">
        <v>92593</v>
      </c>
      <c r="C2853" s="5">
        <v>1083569331</v>
      </c>
      <c r="D2853" s="5" t="s">
        <v>12629</v>
      </c>
      <c r="F2853" s="5"/>
      <c r="H2853" s="5">
        <v>573112024333</v>
      </c>
      <c r="J2853" s="5" t="s">
        <v>12630</v>
      </c>
      <c r="K2853" s="5" t="s">
        <v>328</v>
      </c>
      <c r="L2853" s="5" t="s">
        <v>12631</v>
      </c>
      <c r="M2853" s="5">
        <v>573004176998</v>
      </c>
      <c r="N2853" s="6">
        <v>46086</v>
      </c>
      <c r="O2853" s="7">
        <v>0.33333333333333331</v>
      </c>
      <c r="P2853" s="5">
        <v>1</v>
      </c>
      <c r="Q2853" s="5" t="s">
        <v>239</v>
      </c>
      <c r="R2853" s="5">
        <v>420000</v>
      </c>
      <c r="S2853" s="5">
        <v>0</v>
      </c>
      <c r="T2853" s="5">
        <v>15000</v>
      </c>
      <c r="U2853" s="5">
        <v>435000</v>
      </c>
      <c r="V2853" s="5"/>
      <c r="W2853" s="5" t="s">
        <v>36</v>
      </c>
      <c r="X2853" s="5" t="s">
        <v>67</v>
      </c>
      <c r="Z2853" s="5"/>
      <c r="AA2853" s="5" t="s">
        <v>44</v>
      </c>
      <c r="AB2853" s="5"/>
      <c r="AC2853" s="8" t="str">
        <f>HYPERLINK("https://drive.google.com/file/d/1B4zkfGdq8xqCAUmT4NSScz4lNUlPfMY9/view?usp=drivesdk", "Abrir_Factura")</f>
        <v>Abrir_Factura</v>
      </c>
      <c r="AD2853" s="9">
        <v>46085.754861111112</v>
      </c>
    </row>
    <row r="2854" spans="1:30" ht="12.5">
      <c r="A2854" s="4">
        <v>46085.726078043983</v>
      </c>
      <c r="B2854" s="5">
        <v>92601</v>
      </c>
      <c r="C2854" s="5">
        <v>1140878155</v>
      </c>
      <c r="D2854" s="5" t="s">
        <v>12632</v>
      </c>
      <c r="F2854" s="5"/>
      <c r="H2854" s="5">
        <v>573206821734</v>
      </c>
      <c r="J2854" s="5" t="s">
        <v>12632</v>
      </c>
      <c r="K2854" s="5" t="s">
        <v>12066</v>
      </c>
      <c r="L2854" s="5" t="s">
        <v>12066</v>
      </c>
      <c r="M2854" s="5">
        <v>573206821734</v>
      </c>
      <c r="N2854" s="6">
        <v>46089</v>
      </c>
      <c r="O2854" s="7">
        <v>0.375</v>
      </c>
      <c r="P2854" s="5">
        <v>1</v>
      </c>
      <c r="Q2854" s="5" t="s">
        <v>12633</v>
      </c>
      <c r="R2854" s="5">
        <v>350000</v>
      </c>
      <c r="S2854" s="5">
        <v>0</v>
      </c>
      <c r="T2854" s="5">
        <v>0</v>
      </c>
      <c r="U2854" s="5">
        <v>350000</v>
      </c>
      <c r="V2854" s="5" t="s">
        <v>12634</v>
      </c>
      <c r="W2854" s="5" t="s">
        <v>36</v>
      </c>
      <c r="X2854" s="5" t="s">
        <v>2438</v>
      </c>
      <c r="Z2854" s="5" t="s">
        <v>12635</v>
      </c>
      <c r="AA2854" s="5" t="s">
        <v>44</v>
      </c>
      <c r="AB2854" s="5"/>
      <c r="AC2854" s="8" t="str">
        <f>HYPERLINK("https://drive.google.com/file/d/10dBkuUKuB9SBHPBZlDsshB38uHxQVJ7F/view?usp=drivesdk", "Abrir_Factura")</f>
        <v>Abrir_Factura</v>
      </c>
      <c r="AD2854" s="9">
        <v>46086.322951388887</v>
      </c>
    </row>
    <row r="2855" spans="1:30" ht="12.5">
      <c r="A2855" s="4">
        <v>46085.72683944444</v>
      </c>
      <c r="B2855" s="5">
        <v>92600</v>
      </c>
      <c r="C2855" s="5">
        <v>1130267764</v>
      </c>
      <c r="D2855" s="5" t="s">
        <v>12636</v>
      </c>
      <c r="F2855" s="5"/>
      <c r="H2855" s="5">
        <v>573150646495</v>
      </c>
      <c r="J2855" s="5" t="s">
        <v>12637</v>
      </c>
      <c r="K2855" s="5"/>
      <c r="L2855" s="5" t="s">
        <v>12638</v>
      </c>
      <c r="M2855" s="5">
        <v>573043666060</v>
      </c>
      <c r="N2855" s="6">
        <v>46088</v>
      </c>
      <c r="O2855" s="7">
        <v>0.375</v>
      </c>
      <c r="P2855" s="5">
        <v>1</v>
      </c>
      <c r="Q2855" s="5" t="s">
        <v>2120</v>
      </c>
      <c r="R2855" s="5">
        <v>230000</v>
      </c>
      <c r="S2855" s="5">
        <v>0</v>
      </c>
      <c r="T2855" s="5"/>
      <c r="U2855" s="5">
        <v>230000</v>
      </c>
      <c r="V2855" s="5" t="s">
        <v>12639</v>
      </c>
      <c r="W2855" s="5" t="s">
        <v>36</v>
      </c>
      <c r="X2855" s="5" t="s">
        <v>67</v>
      </c>
      <c r="Z2855" s="5" t="s">
        <v>12640</v>
      </c>
      <c r="AA2855" s="5" t="s">
        <v>44</v>
      </c>
      <c r="AB2855" s="5"/>
      <c r="AC2855" s="8" t="str">
        <f>HYPERLINK("https://drive.google.com/file/d/1BewUbvjJoCIFBwy2eBwCHhtVsIVzpgmt/view?usp=drivesdk", "Abrir_Factura")</f>
        <v>Abrir_Factura</v>
      </c>
      <c r="AD2855" s="9">
        <v>46086.315451388888</v>
      </c>
    </row>
    <row r="2856" spans="1:30" ht="12.5">
      <c r="A2856" s="4">
        <v>46085.738515868055</v>
      </c>
      <c r="B2856" s="5">
        <v>92605</v>
      </c>
      <c r="C2856" s="5">
        <v>1057576290</v>
      </c>
      <c r="D2856" s="5" t="s">
        <v>12641</v>
      </c>
      <c r="F2856" s="5"/>
      <c r="H2856" s="5">
        <v>573143468896</v>
      </c>
      <c r="J2856" s="5" t="s">
        <v>12642</v>
      </c>
      <c r="K2856" s="5" t="s">
        <v>937</v>
      </c>
      <c r="L2856" s="5" t="s">
        <v>12643</v>
      </c>
      <c r="M2856" s="5">
        <v>573017973945</v>
      </c>
      <c r="N2856" s="6">
        <v>46089</v>
      </c>
      <c r="O2856" s="7">
        <v>0.375</v>
      </c>
      <c r="P2856" s="5">
        <v>1</v>
      </c>
      <c r="Q2856" s="5" t="s">
        <v>12644</v>
      </c>
      <c r="R2856" s="5">
        <v>150000</v>
      </c>
      <c r="S2856" s="5">
        <v>0</v>
      </c>
      <c r="T2856" s="5">
        <v>25000</v>
      </c>
      <c r="U2856" s="5">
        <v>175000</v>
      </c>
      <c r="V2856" s="5" t="s">
        <v>12645</v>
      </c>
      <c r="W2856" s="5" t="s">
        <v>36</v>
      </c>
      <c r="X2856" s="5" t="s">
        <v>12646</v>
      </c>
      <c r="Z2856" s="5" t="s">
        <v>12647</v>
      </c>
      <c r="AA2856" s="5" t="s">
        <v>44</v>
      </c>
      <c r="AB2856" s="5"/>
      <c r="AC2856" s="8" t="str">
        <f>HYPERLINK("https://drive.google.com/file/d/1QP0-WTC6jqpXc3SRQBsS6yjE-cQba4hx/view?usp=drivesdk", "Abrir_Factura")</f>
        <v>Abrir_Factura</v>
      </c>
      <c r="AD2856" s="9">
        <v>46086.370891203704</v>
      </c>
    </row>
    <row r="2857" spans="1:30" ht="12.5">
      <c r="A2857" s="4">
        <v>46085.761578761572</v>
      </c>
      <c r="B2857" s="5">
        <v>92595</v>
      </c>
      <c r="C2857" s="5">
        <v>1140826224</v>
      </c>
      <c r="D2857" s="5" t="s">
        <v>12648</v>
      </c>
      <c r="F2857" s="5"/>
      <c r="H2857" s="5">
        <v>573013640035</v>
      </c>
      <c r="J2857" s="5" t="s">
        <v>12649</v>
      </c>
      <c r="K2857" s="5" t="s">
        <v>161</v>
      </c>
      <c r="L2857" s="5" t="s">
        <v>12650</v>
      </c>
      <c r="M2857" s="5">
        <v>573013640035</v>
      </c>
      <c r="N2857" s="6">
        <v>46088</v>
      </c>
      <c r="O2857" s="7">
        <v>0.33333333333333331</v>
      </c>
      <c r="P2857" s="5">
        <v>1</v>
      </c>
      <c r="Q2857" s="5" t="s">
        <v>12651</v>
      </c>
      <c r="R2857" s="5">
        <v>360000</v>
      </c>
      <c r="S2857" s="5">
        <v>0</v>
      </c>
      <c r="T2857" s="5">
        <v>8000</v>
      </c>
      <c r="U2857" s="5">
        <v>368000</v>
      </c>
      <c r="V2857" s="5" t="s">
        <v>12652</v>
      </c>
      <c r="W2857" s="5" t="s">
        <v>36</v>
      </c>
      <c r="X2857" s="5" t="s">
        <v>7644</v>
      </c>
      <c r="Z2857" s="5" t="s">
        <v>12653</v>
      </c>
      <c r="AA2857" s="5" t="s">
        <v>44</v>
      </c>
      <c r="AB2857" s="5"/>
      <c r="AC2857" s="8" t="str">
        <f>HYPERLINK("https://drive.google.com/file/d/1U_cTKSYh1nYkNoLNqLKOY3aaRSNpf9cB/view?usp=drivesdk", "Abrir_Factura")</f>
        <v>Abrir_Factura</v>
      </c>
      <c r="AD2857" s="9">
        <v>46085.768831018519</v>
      </c>
    </row>
    <row r="2858" spans="1:30" ht="12.5">
      <c r="A2858" s="4">
        <v>46085.77431695602</v>
      </c>
      <c r="B2858" s="5">
        <v>92596</v>
      </c>
      <c r="C2858" s="5">
        <v>1045716795</v>
      </c>
      <c r="D2858" s="5" t="s">
        <v>12654</v>
      </c>
      <c r="F2858" s="5"/>
      <c r="H2858" s="5">
        <v>573003242193</v>
      </c>
      <c r="J2858" s="5" t="s">
        <v>12654</v>
      </c>
      <c r="K2858" s="5" t="s">
        <v>185</v>
      </c>
      <c r="L2858" s="5" t="s">
        <v>12655</v>
      </c>
      <c r="M2858" s="5"/>
      <c r="N2858" s="6">
        <v>46085</v>
      </c>
      <c r="O2858" s="7">
        <v>0</v>
      </c>
      <c r="P2858" s="5">
        <v>1</v>
      </c>
      <c r="Q2858" s="5" t="s">
        <v>435</v>
      </c>
      <c r="R2858" s="5">
        <v>65000</v>
      </c>
      <c r="S2858" s="5">
        <v>0</v>
      </c>
      <c r="T2858" s="5">
        <v>8000</v>
      </c>
      <c r="U2858" s="5">
        <v>73000</v>
      </c>
      <c r="V2858" s="5"/>
      <c r="W2858" s="5" t="s">
        <v>36</v>
      </c>
      <c r="X2858" s="5" t="s">
        <v>67</v>
      </c>
      <c r="Z2858" s="5"/>
      <c r="AA2858" s="5" t="s">
        <v>332</v>
      </c>
      <c r="AB2858" s="5"/>
      <c r="AC2858" s="8" t="str">
        <f>HYPERLINK("https://drive.google.com/file/d/1uxKUbA9RZMjVSWOjcFKQsL_s3EoUBccy/view?usp=drivesdk", "Abrir_Factura")</f>
        <v>Abrir_Factura</v>
      </c>
      <c r="AD2858" s="9">
        <v>46085.774988425925</v>
      </c>
    </row>
    <row r="2859" spans="1:30" ht="12.5">
      <c r="A2859" s="4">
        <v>46085.793892986112</v>
      </c>
      <c r="B2859" s="5">
        <v>92598</v>
      </c>
      <c r="C2859" s="5">
        <v>1129539363</v>
      </c>
      <c r="D2859" s="5" t="s">
        <v>12656</v>
      </c>
      <c r="F2859" s="5"/>
      <c r="H2859" s="5">
        <v>573012354673</v>
      </c>
      <c r="J2859" s="5" t="s">
        <v>12656</v>
      </c>
      <c r="K2859" s="5" t="s">
        <v>12657</v>
      </c>
      <c r="L2859" s="5" t="s">
        <v>12657</v>
      </c>
      <c r="M2859" s="5">
        <v>573012354673</v>
      </c>
      <c r="N2859" s="6">
        <v>46085</v>
      </c>
      <c r="O2859" s="7">
        <v>0.75</v>
      </c>
      <c r="P2859" s="5">
        <v>1</v>
      </c>
      <c r="Q2859" s="5" t="s">
        <v>42</v>
      </c>
      <c r="R2859" s="5">
        <v>9000</v>
      </c>
      <c r="S2859" s="5">
        <v>0</v>
      </c>
      <c r="T2859" s="5"/>
      <c r="U2859" s="5">
        <v>9000</v>
      </c>
      <c r="V2859" s="5"/>
      <c r="W2859" s="5" t="s">
        <v>36</v>
      </c>
      <c r="X2859" s="5" t="s">
        <v>67</v>
      </c>
      <c r="Z2859" s="5"/>
      <c r="AA2859" s="5" t="s">
        <v>1717</v>
      </c>
      <c r="AB2859" s="5" t="s">
        <v>11356</v>
      </c>
      <c r="AC2859" s="8" t="str">
        <f>HYPERLINK("https://drive.google.com/file/d/12Uw9up2eNzAWcVtKDI6-nAHx1-cNOSaQ/view?usp=drivesdk", "Abrir_Factura")</f>
        <v>Abrir_Factura</v>
      </c>
      <c r="AD2859" s="9">
        <v>46085.798344907409</v>
      </c>
    </row>
    <row r="2860" spans="1:30" ht="12.5">
      <c r="A2860" s="4">
        <v>46085.796920127315</v>
      </c>
      <c r="B2860" s="5">
        <v>92597</v>
      </c>
      <c r="C2860" s="5">
        <v>1129571603</v>
      </c>
      <c r="D2860" s="5" t="s">
        <v>12658</v>
      </c>
      <c r="F2860" s="5"/>
      <c r="H2860" s="5">
        <v>573002145559</v>
      </c>
      <c r="J2860" s="5" t="s">
        <v>12658</v>
      </c>
      <c r="K2860" s="5" t="s">
        <v>12657</v>
      </c>
      <c r="L2860" s="5" t="s">
        <v>12657</v>
      </c>
      <c r="M2860" s="5">
        <v>573002145559</v>
      </c>
      <c r="N2860" s="6">
        <v>46085</v>
      </c>
      <c r="O2860" s="7">
        <v>0.75</v>
      </c>
      <c r="P2860" s="5">
        <v>1</v>
      </c>
      <c r="Q2860" s="5" t="s">
        <v>42</v>
      </c>
      <c r="R2860" s="5">
        <v>10000</v>
      </c>
      <c r="S2860" s="5">
        <v>0</v>
      </c>
      <c r="T2860" s="5"/>
      <c r="U2860" s="5">
        <v>10000</v>
      </c>
      <c r="V2860" s="5"/>
      <c r="W2860" s="5" t="s">
        <v>36</v>
      </c>
      <c r="X2860" s="5" t="s">
        <v>196</v>
      </c>
      <c r="Z2860" s="5"/>
      <c r="AA2860" s="5" t="s">
        <v>1717</v>
      </c>
      <c r="AB2860" s="5" t="s">
        <v>525</v>
      </c>
      <c r="AC2860" s="8" t="str">
        <f>HYPERLINK("https://drive.google.com/file/d/1BJDJgakJAJodvyduuzVp_eGc0tvRKLaF/view?usp=drivesdk", "Abrir_Factura")</f>
        <v>Abrir_Factura</v>
      </c>
      <c r="AD2860" s="9">
        <v>46085.797847222224</v>
      </c>
    </row>
    <row r="2861" spans="1:30" ht="12.5">
      <c r="A2861" s="4">
        <v>46086.302480300925</v>
      </c>
      <c r="B2861" s="5">
        <v>92599</v>
      </c>
      <c r="C2861" s="5">
        <v>1234092321</v>
      </c>
      <c r="D2861" s="5" t="s">
        <v>7441</v>
      </c>
      <c r="F2861" s="5"/>
      <c r="H2861" s="5">
        <v>573024694357</v>
      </c>
      <c r="J2861" s="5" t="s">
        <v>7441</v>
      </c>
      <c r="K2861" s="5" t="s">
        <v>12657</v>
      </c>
      <c r="L2861" s="5" t="s">
        <v>12657</v>
      </c>
      <c r="M2861" s="5">
        <v>573024694357</v>
      </c>
      <c r="N2861" s="6">
        <v>46086</v>
      </c>
      <c r="O2861" s="7">
        <v>0</v>
      </c>
      <c r="P2861" s="5">
        <v>1</v>
      </c>
      <c r="Q2861" s="5" t="s">
        <v>42</v>
      </c>
      <c r="R2861" s="5">
        <v>89000</v>
      </c>
      <c r="S2861" s="5">
        <v>0</v>
      </c>
      <c r="T2861" s="5"/>
      <c r="U2861" s="5">
        <v>89000</v>
      </c>
      <c r="V2861" s="5"/>
      <c r="W2861" s="5" t="s">
        <v>36</v>
      </c>
      <c r="X2861" s="5" t="s">
        <v>1481</v>
      </c>
      <c r="Z2861" s="5"/>
      <c r="AA2861" s="5" t="s">
        <v>1717</v>
      </c>
      <c r="AB2861" s="5" t="s">
        <v>8660</v>
      </c>
      <c r="AC2861" s="8" t="str">
        <f>HYPERLINK("https://drive.google.com/file/d/1XA9rbsIccf2SNK1v8DZ5j2FfnpDC7Gql/view?usp=drivesdk", "Abrir_Factura")</f>
        <v>Abrir_Factura</v>
      </c>
      <c r="AD2861" s="9">
        <v>46086.303564814814</v>
      </c>
    </row>
    <row r="2862" spans="1:30" ht="12.5">
      <c r="A2862" s="4">
        <v>46086.33594553241</v>
      </c>
      <c r="B2862" s="5">
        <v>92608</v>
      </c>
      <c r="C2862" s="5">
        <v>1002153616</v>
      </c>
      <c r="D2862" s="5" t="s">
        <v>12659</v>
      </c>
      <c r="F2862" s="5"/>
      <c r="H2862" s="5">
        <v>573043363727</v>
      </c>
      <c r="J2862" s="5" t="s">
        <v>12660</v>
      </c>
      <c r="K2862" s="5" t="s">
        <v>448</v>
      </c>
      <c r="L2862" s="5" t="s">
        <v>12661</v>
      </c>
      <c r="M2862" s="5">
        <v>573043363727</v>
      </c>
      <c r="N2862" s="6">
        <v>46095</v>
      </c>
      <c r="O2862" s="7">
        <v>0.33333333333333331</v>
      </c>
      <c r="P2862" s="5">
        <v>1</v>
      </c>
      <c r="Q2862" s="5" t="s">
        <v>12662</v>
      </c>
      <c r="R2862" s="5">
        <v>100000</v>
      </c>
      <c r="S2862" s="5">
        <v>0</v>
      </c>
      <c r="T2862" s="5">
        <v>15000</v>
      </c>
      <c r="U2862" s="5">
        <v>115000</v>
      </c>
      <c r="V2862" s="5"/>
      <c r="W2862" s="5" t="s">
        <v>36</v>
      </c>
      <c r="X2862" s="5" t="s">
        <v>1481</v>
      </c>
      <c r="Z2862" s="5"/>
      <c r="AA2862" s="5" t="s">
        <v>69</v>
      </c>
      <c r="AB2862" s="5" t="s">
        <v>12663</v>
      </c>
      <c r="AC2862" s="8" t="str">
        <f>HYPERLINK("https://drive.google.com/file/d/1qYfCI2KQmXpPTbrJTB3XU2xHrCLLGq5Z/view?usp=drivesdk", "Abrir_Factura")</f>
        <v>Abrir_Factura</v>
      </c>
      <c r="AD2862" s="9">
        <v>46086.383032407408</v>
      </c>
    </row>
    <row r="2863" spans="1:30" ht="12.5">
      <c r="A2863" s="4">
        <v>46086.348596307871</v>
      </c>
      <c r="B2863" s="5">
        <v>92602</v>
      </c>
      <c r="C2863" s="5">
        <v>1129572418</v>
      </c>
      <c r="D2863" s="5" t="s">
        <v>4302</v>
      </c>
      <c r="F2863" s="5"/>
      <c r="H2863" s="5">
        <v>573502184252</v>
      </c>
      <c r="J2863" s="5" t="s">
        <v>4302</v>
      </c>
      <c r="K2863" s="5" t="s">
        <v>12657</v>
      </c>
      <c r="L2863" s="5" t="s">
        <v>12657</v>
      </c>
      <c r="M2863" s="5">
        <v>573502184252</v>
      </c>
      <c r="N2863" s="6">
        <v>46086</v>
      </c>
      <c r="O2863" s="7">
        <v>0.375</v>
      </c>
      <c r="P2863" s="5">
        <v>1</v>
      </c>
      <c r="Q2863" s="5" t="s">
        <v>12664</v>
      </c>
      <c r="R2863" s="5">
        <v>80000</v>
      </c>
      <c r="S2863" s="5">
        <v>0</v>
      </c>
      <c r="T2863" s="5"/>
      <c r="U2863" s="5">
        <v>80000</v>
      </c>
      <c r="V2863" s="5" t="s">
        <v>9624</v>
      </c>
      <c r="W2863" s="5" t="s">
        <v>36</v>
      </c>
      <c r="X2863" s="5" t="s">
        <v>12646</v>
      </c>
      <c r="Z2863" s="5"/>
      <c r="AA2863" s="5" t="s">
        <v>44</v>
      </c>
      <c r="AB2863" s="5"/>
      <c r="AC2863" s="8" t="str">
        <f>HYPERLINK("https://drive.google.com/file/d/1N-rv5k_Bc1Vg6agPvX05TEUUtUx1A94p/view?usp=drivesdk", "Abrir_Factura")</f>
        <v>Abrir_Factura</v>
      </c>
      <c r="AD2863" s="9">
        <v>46086.762962962966</v>
      </c>
    </row>
    <row r="2864" spans="1:30" ht="12.5">
      <c r="A2864" s="4">
        <v>46086.350203194444</v>
      </c>
      <c r="B2864" s="5">
        <v>92606</v>
      </c>
      <c r="C2864" s="5">
        <v>1140827440</v>
      </c>
      <c r="D2864" s="5" t="s">
        <v>12665</v>
      </c>
      <c r="F2864" s="5"/>
      <c r="H2864" s="5">
        <v>573160420106</v>
      </c>
      <c r="J2864" s="5" t="s">
        <v>12666</v>
      </c>
      <c r="K2864" s="5" t="s">
        <v>185</v>
      </c>
      <c r="L2864" s="5" t="s">
        <v>12667</v>
      </c>
      <c r="M2864" s="5">
        <v>573164547777</v>
      </c>
      <c r="N2864" s="6">
        <v>46086</v>
      </c>
      <c r="O2864" s="7">
        <v>0</v>
      </c>
      <c r="P2864" s="5">
        <v>1</v>
      </c>
      <c r="Q2864" s="5" t="s">
        <v>12668</v>
      </c>
      <c r="R2864" s="5">
        <v>80000</v>
      </c>
      <c r="S2864" s="5">
        <v>0</v>
      </c>
      <c r="T2864" s="5">
        <v>8000</v>
      </c>
      <c r="U2864" s="5">
        <v>88000</v>
      </c>
      <c r="V2864" s="5" t="s">
        <v>12669</v>
      </c>
      <c r="W2864" s="5" t="s">
        <v>36</v>
      </c>
      <c r="X2864" s="5" t="s">
        <v>1481</v>
      </c>
      <c r="Z2864" s="5" t="s">
        <v>12670</v>
      </c>
      <c r="AA2864" s="5" t="s">
        <v>44</v>
      </c>
      <c r="AB2864" s="5"/>
      <c r="AC2864" s="8" t="str">
        <f>HYPERLINK("https://drive.google.com/file/d/1UXQFN8Z6pnuLmklIUwyGfM4VplTTPT9R/view?usp=drivesdk", "Abrir_Factura")</f>
        <v>Abrir_Factura</v>
      </c>
      <c r="AD2864" s="9">
        <v>46086.37568287037</v>
      </c>
    </row>
    <row r="2865" spans="1:30" ht="12.5">
      <c r="A2865" s="4">
        <v>46086.350522465276</v>
      </c>
      <c r="B2865" s="5">
        <v>92607</v>
      </c>
      <c r="C2865" s="5">
        <v>1082872027</v>
      </c>
      <c r="D2865" s="5" t="s">
        <v>12671</v>
      </c>
      <c r="F2865" s="5"/>
      <c r="H2865" s="5">
        <v>573015503066</v>
      </c>
      <c r="J2865" s="5" t="s">
        <v>2665</v>
      </c>
      <c r="K2865" s="5" t="s">
        <v>73</v>
      </c>
      <c r="L2865" s="5" t="s">
        <v>12672</v>
      </c>
      <c r="M2865" s="5">
        <v>573015503096</v>
      </c>
      <c r="N2865" s="6">
        <v>46087</v>
      </c>
      <c r="O2865" s="7">
        <v>0.375</v>
      </c>
      <c r="P2865" s="5">
        <v>1</v>
      </c>
      <c r="Q2865" s="5" t="s">
        <v>12673</v>
      </c>
      <c r="R2865" s="5">
        <v>240000</v>
      </c>
      <c r="S2865" s="5">
        <v>0</v>
      </c>
      <c r="T2865" s="5">
        <v>8000</v>
      </c>
      <c r="U2865" s="5">
        <v>248000</v>
      </c>
      <c r="V2865" s="5" t="s">
        <v>12674</v>
      </c>
      <c r="W2865" s="5" t="s">
        <v>36</v>
      </c>
      <c r="X2865" s="5" t="s">
        <v>1481</v>
      </c>
      <c r="Z2865" s="5" t="s">
        <v>12675</v>
      </c>
      <c r="AA2865" s="5" t="s">
        <v>44</v>
      </c>
      <c r="AB2865" s="5"/>
      <c r="AC2865" s="8" t="str">
        <f>HYPERLINK("https://drive.google.com/file/d/1k9HP90vx2Dsy6RLMpAg2mM8450DWb2oo/view?usp=drivesdk", "Abrir_Factura")</f>
        <v>Abrir_Factura</v>
      </c>
      <c r="AD2865" s="9">
        <v>46086.379062499997</v>
      </c>
    </row>
    <row r="2866" spans="1:30" ht="12.5">
      <c r="A2866" s="4">
        <v>46086.355707233801</v>
      </c>
      <c r="B2866" s="5">
        <v>92603</v>
      </c>
      <c r="C2866" s="5">
        <v>32737160</v>
      </c>
      <c r="D2866" s="5" t="s">
        <v>12676</v>
      </c>
      <c r="F2866" s="5"/>
      <c r="H2866" s="5">
        <v>573175019534</v>
      </c>
      <c r="J2866" s="5" t="s">
        <v>12677</v>
      </c>
      <c r="K2866" s="5" t="s">
        <v>12657</v>
      </c>
      <c r="L2866" s="5" t="s">
        <v>12657</v>
      </c>
      <c r="M2866" s="5">
        <v>573175019534</v>
      </c>
      <c r="N2866" s="6">
        <v>46086</v>
      </c>
      <c r="O2866" s="7">
        <v>0</v>
      </c>
      <c r="P2866" s="5">
        <v>1</v>
      </c>
      <c r="Q2866" s="5" t="s">
        <v>12406</v>
      </c>
      <c r="R2866" s="5">
        <v>90000</v>
      </c>
      <c r="S2866" s="5">
        <v>0</v>
      </c>
      <c r="T2866" s="5"/>
      <c r="U2866" s="5">
        <v>90000</v>
      </c>
      <c r="V2866" s="5"/>
      <c r="W2866" s="5" t="s">
        <v>36</v>
      </c>
      <c r="X2866" s="5" t="s">
        <v>37</v>
      </c>
      <c r="Z2866" s="5"/>
      <c r="AA2866" s="5" t="s">
        <v>37</v>
      </c>
      <c r="AB2866" s="5" t="s">
        <v>12678</v>
      </c>
      <c r="AC2866" s="8" t="str">
        <f>HYPERLINK("https://drive.google.com/file/d/197uUyqumUZXNXNq5xeCi5Aa_zv51iZ0y/view?usp=drivesdk", "Abrir_Factura")</f>
        <v>Abrir_Factura</v>
      </c>
      <c r="AD2866" s="9">
        <v>46086.356238425928</v>
      </c>
    </row>
    <row r="2867" spans="1:30" ht="12.5">
      <c r="A2867" s="4">
        <v>46086.366233113426</v>
      </c>
      <c r="B2867" s="5">
        <v>92604</v>
      </c>
      <c r="C2867" s="5">
        <v>1043874409</v>
      </c>
      <c r="D2867" s="5" t="s">
        <v>12679</v>
      </c>
      <c r="F2867" s="5"/>
      <c r="H2867" s="5">
        <v>573225236847</v>
      </c>
      <c r="J2867" s="5" t="s">
        <v>12680</v>
      </c>
      <c r="K2867" s="5" t="s">
        <v>110</v>
      </c>
      <c r="L2867" s="5" t="s">
        <v>12681</v>
      </c>
      <c r="M2867" s="5">
        <v>573007122211</v>
      </c>
      <c r="N2867" s="6">
        <v>46086</v>
      </c>
      <c r="O2867" s="7">
        <v>0.41666666666666669</v>
      </c>
      <c r="P2867" s="5">
        <v>1</v>
      </c>
      <c r="Q2867" s="5" t="s">
        <v>12423</v>
      </c>
      <c r="R2867" s="5">
        <v>80000</v>
      </c>
      <c r="S2867" s="5">
        <v>0</v>
      </c>
      <c r="T2867" s="5">
        <v>6000</v>
      </c>
      <c r="U2867" s="5">
        <v>86000</v>
      </c>
      <c r="V2867" s="5" t="s">
        <v>12682</v>
      </c>
      <c r="W2867" s="5" t="s">
        <v>36</v>
      </c>
      <c r="X2867" s="5" t="s">
        <v>1481</v>
      </c>
      <c r="Z2867" s="5"/>
      <c r="AA2867" s="5" t="s">
        <v>44</v>
      </c>
      <c r="AB2867" s="5"/>
      <c r="AC2867" s="8" t="str">
        <f>HYPERLINK("https://drive.google.com/file/d/1goT01BJwRAnR3HV28pBxA8d_oXNMSscc/view?usp=drivesdk", "Abrir_Factura")</f>
        <v>Abrir_Factura</v>
      </c>
      <c r="AD2867" s="9">
        <v>46086.366828703707</v>
      </c>
    </row>
    <row r="2868" spans="1:30" ht="12.5">
      <c r="A2868" s="4">
        <v>46086.379692905088</v>
      </c>
      <c r="B2868" s="5">
        <v>92609</v>
      </c>
      <c r="C2868" s="5">
        <v>1044434835</v>
      </c>
      <c r="D2868" s="5" t="s">
        <v>9289</v>
      </c>
      <c r="F2868" s="5"/>
      <c r="H2868" s="5">
        <v>54393013395439</v>
      </c>
      <c r="J2868" s="5" t="s">
        <v>12683</v>
      </c>
      <c r="K2868" s="5" t="s">
        <v>401</v>
      </c>
      <c r="L2868" s="5" t="s">
        <v>12684</v>
      </c>
      <c r="M2868" s="5">
        <v>573013601956</v>
      </c>
      <c r="N2868" s="6">
        <v>46089</v>
      </c>
      <c r="O2868" s="7">
        <v>0</v>
      </c>
      <c r="P2868" s="5">
        <v>1</v>
      </c>
      <c r="Q2868" s="5" t="s">
        <v>734</v>
      </c>
      <c r="R2868" s="5">
        <v>99000</v>
      </c>
      <c r="S2868" s="5">
        <v>0</v>
      </c>
      <c r="T2868" s="5">
        <v>12000</v>
      </c>
      <c r="U2868" s="5">
        <v>111000</v>
      </c>
      <c r="V2868" s="5" t="s">
        <v>12685</v>
      </c>
      <c r="W2868" s="5" t="s">
        <v>36</v>
      </c>
      <c r="X2868" s="5" t="s">
        <v>83</v>
      </c>
      <c r="Z2868" s="5" t="s">
        <v>12686</v>
      </c>
      <c r="AA2868" s="5" t="s">
        <v>44</v>
      </c>
      <c r="AB2868" s="5"/>
      <c r="AC2868" s="8" t="str">
        <f>HYPERLINK("https://drive.google.com/file/d/1hfVKHGUQDlRG0bjTSqlz-OvtY3rD5vJs/view?usp=drivesdk", "Abrir_Factura")</f>
        <v>Abrir_Factura</v>
      </c>
      <c r="AD2868" s="9">
        <v>46086.385601851849</v>
      </c>
    </row>
    <row r="2869" spans="1:30" ht="12.5">
      <c r="A2869" s="4">
        <v>46086.391129236115</v>
      </c>
      <c r="B2869" s="5">
        <v>92610</v>
      </c>
      <c r="C2869" s="5">
        <v>1045669038</v>
      </c>
      <c r="D2869" s="5" t="s">
        <v>2901</v>
      </c>
      <c r="F2869" s="5"/>
      <c r="H2869" s="5">
        <v>573215509226</v>
      </c>
      <c r="J2869" s="5" t="s">
        <v>12687</v>
      </c>
      <c r="K2869" s="5"/>
      <c r="L2869" s="5" t="s">
        <v>12688</v>
      </c>
      <c r="M2869" s="5"/>
      <c r="N2869" s="6">
        <v>46086</v>
      </c>
      <c r="O2869" s="7">
        <v>0.41666666666666669</v>
      </c>
      <c r="P2869" s="5">
        <v>1</v>
      </c>
      <c r="Q2869" s="5" t="s">
        <v>2556</v>
      </c>
      <c r="R2869" s="5">
        <v>400000</v>
      </c>
      <c r="S2869" s="5">
        <v>0</v>
      </c>
      <c r="T2869" s="5"/>
      <c r="U2869" s="5">
        <v>400000</v>
      </c>
      <c r="V2869" s="5">
        <v>550</v>
      </c>
      <c r="W2869" s="5" t="s">
        <v>36</v>
      </c>
      <c r="X2869" s="5" t="s">
        <v>43</v>
      </c>
      <c r="Z2869" s="5"/>
      <c r="AA2869" s="5" t="s">
        <v>44</v>
      </c>
      <c r="AB2869" s="5"/>
      <c r="AC2869" s="8" t="str">
        <f>HYPERLINK("https://drive.google.com/file/d/14ZDzDxFQ7gbpxdcwBJ5lu8GkwEuvO_Eg/view?usp=drivesdk", "Abrir_Factura")</f>
        <v>Abrir_Factura</v>
      </c>
      <c r="AD2869" s="9">
        <v>46086.391747685186</v>
      </c>
    </row>
    <row r="2870" spans="1:30" ht="12.5">
      <c r="A2870" s="4">
        <v>46086.398066574075</v>
      </c>
      <c r="B2870" s="5">
        <v>92616</v>
      </c>
      <c r="C2870" s="5">
        <v>1140819426</v>
      </c>
      <c r="D2870" s="5" t="s">
        <v>12689</v>
      </c>
      <c r="F2870" s="5"/>
      <c r="H2870" s="5">
        <v>30753015587628</v>
      </c>
      <c r="J2870" s="5" t="s">
        <v>12690</v>
      </c>
      <c r="K2870" s="5" t="s">
        <v>185</v>
      </c>
      <c r="L2870" s="5" t="s">
        <v>12691</v>
      </c>
      <c r="M2870" s="5">
        <v>573143957980</v>
      </c>
      <c r="N2870" s="6">
        <v>46086</v>
      </c>
      <c r="O2870" s="7">
        <v>3.472222222222222E-3</v>
      </c>
      <c r="P2870" s="5">
        <v>1</v>
      </c>
      <c r="Q2870" s="5" t="s">
        <v>866</v>
      </c>
      <c r="R2870" s="5">
        <v>310000</v>
      </c>
      <c r="S2870" s="5">
        <v>0</v>
      </c>
      <c r="T2870" s="5">
        <v>8000</v>
      </c>
      <c r="U2870" s="5">
        <v>318000</v>
      </c>
      <c r="V2870" s="5" t="s">
        <v>12692</v>
      </c>
      <c r="W2870" s="5" t="s">
        <v>36</v>
      </c>
      <c r="X2870" s="5" t="s">
        <v>3754</v>
      </c>
      <c r="Z2870" s="5" t="s">
        <v>12693</v>
      </c>
      <c r="AA2870" s="5" t="s">
        <v>44</v>
      </c>
      <c r="AB2870" s="5"/>
      <c r="AC2870" s="8" t="str">
        <f>HYPERLINK("https://drive.google.com/file/d/15fVLWtACE8l2SMFGBuqYnBcU8-UAH-dq/view?usp=drivesdk", "Abrir_Factura")</f>
        <v>Abrir_Factura</v>
      </c>
      <c r="AD2870" s="9">
        <v>46086.471932870372</v>
      </c>
    </row>
    <row r="2871" spans="1:30" ht="12.5">
      <c r="A2871" s="4">
        <v>46086.401084976853</v>
      </c>
      <c r="B2871" s="5">
        <v>92619</v>
      </c>
      <c r="C2871" s="5">
        <v>1001780268</v>
      </c>
      <c r="D2871" s="5" t="s">
        <v>12694</v>
      </c>
      <c r="F2871" s="5"/>
      <c r="H2871" s="5">
        <v>573004727883</v>
      </c>
      <c r="J2871" s="5" t="s">
        <v>12694</v>
      </c>
      <c r="K2871" s="5" t="s">
        <v>12657</v>
      </c>
      <c r="L2871" s="5" t="s">
        <v>12657</v>
      </c>
      <c r="M2871" s="5">
        <v>573004727883</v>
      </c>
      <c r="N2871" s="6">
        <v>46086</v>
      </c>
      <c r="O2871" s="7">
        <v>0.54166666666666663</v>
      </c>
      <c r="P2871" s="5">
        <v>1</v>
      </c>
      <c r="Q2871" s="5" t="s">
        <v>576</v>
      </c>
      <c r="R2871" s="5">
        <v>140000</v>
      </c>
      <c r="S2871" s="5">
        <v>0</v>
      </c>
      <c r="T2871" s="5"/>
      <c r="U2871" s="5">
        <v>140000</v>
      </c>
      <c r="V2871" s="5"/>
      <c r="W2871" s="5" t="s">
        <v>36</v>
      </c>
      <c r="X2871" s="5" t="s">
        <v>67</v>
      </c>
      <c r="Z2871" s="5"/>
      <c r="AA2871" s="5" t="s">
        <v>44</v>
      </c>
      <c r="AB2871" s="5"/>
      <c r="AC2871" s="8" t="str">
        <f>HYPERLINK("https://drive.google.com/file/d/1ke5P1it1L4mZgGprVCQzfImY2u9OmlsC/view?usp=drivesdk", "Abrir_Factura")</f>
        <v>Abrir_Factura</v>
      </c>
      <c r="AD2871" s="9">
        <v>46086.501192129632</v>
      </c>
    </row>
    <row r="2872" spans="1:30" ht="12.5">
      <c r="A2872" s="4">
        <v>46086.407084317128</v>
      </c>
      <c r="B2872" s="5">
        <v>92611</v>
      </c>
      <c r="C2872" s="5">
        <v>1045740115</v>
      </c>
      <c r="D2872" s="5" t="s">
        <v>12695</v>
      </c>
      <c r="F2872" s="5"/>
      <c r="H2872" s="5">
        <v>573013112313</v>
      </c>
      <c r="J2872" s="5" t="s">
        <v>12695</v>
      </c>
      <c r="K2872" s="5" t="s">
        <v>12657</v>
      </c>
      <c r="L2872" s="5" t="s">
        <v>12657</v>
      </c>
      <c r="M2872" s="5">
        <v>573013112313</v>
      </c>
      <c r="N2872" s="6">
        <v>46086</v>
      </c>
      <c r="O2872" s="7">
        <v>0.41666666666666669</v>
      </c>
      <c r="P2872" s="5">
        <v>1</v>
      </c>
      <c r="Q2872" s="5" t="s">
        <v>12423</v>
      </c>
      <c r="R2872" s="5">
        <v>80000</v>
      </c>
      <c r="S2872" s="5">
        <v>0</v>
      </c>
      <c r="T2872" s="5"/>
      <c r="U2872" s="5">
        <v>80000</v>
      </c>
      <c r="V2872" s="5"/>
      <c r="W2872" s="5" t="s">
        <v>36</v>
      </c>
      <c r="X2872" s="5" t="s">
        <v>37</v>
      </c>
      <c r="Z2872" s="5"/>
      <c r="AA2872" s="5" t="s">
        <v>37</v>
      </c>
      <c r="AB2872" s="5" t="s">
        <v>12696</v>
      </c>
      <c r="AC2872" s="8" t="str">
        <f>HYPERLINK("https://drive.google.com/file/d/1v2SprIA10McggqRBNlcR_ovfwL9voDPd/view?usp=drivesdk", "Abrir_Factura")</f>
        <v>Abrir_Factura</v>
      </c>
      <c r="AD2872" s="9">
        <v>46086.44251927083</v>
      </c>
    </row>
    <row r="2873" spans="1:30" ht="12.5">
      <c r="A2873" s="4">
        <v>46086.422411238425</v>
      </c>
      <c r="B2873" s="5">
        <v>92613</v>
      </c>
      <c r="C2873" s="5">
        <v>1140889032</v>
      </c>
      <c r="D2873" s="5" t="s">
        <v>12697</v>
      </c>
      <c r="F2873" s="5"/>
      <c r="H2873" s="5">
        <v>573013955650</v>
      </c>
      <c r="J2873" s="5" t="s">
        <v>12698</v>
      </c>
      <c r="K2873" s="5" t="s">
        <v>12699</v>
      </c>
      <c r="L2873" s="5" t="s">
        <v>12700</v>
      </c>
      <c r="M2873" s="5">
        <v>573177664303</v>
      </c>
      <c r="N2873" s="6">
        <v>46086</v>
      </c>
      <c r="O2873" s="7">
        <v>0</v>
      </c>
      <c r="P2873" s="5">
        <v>1</v>
      </c>
      <c r="Q2873" s="5" t="s">
        <v>12701</v>
      </c>
      <c r="R2873" s="5">
        <v>150000</v>
      </c>
      <c r="S2873" s="5">
        <v>0</v>
      </c>
      <c r="T2873" s="5">
        <v>16000</v>
      </c>
      <c r="U2873" s="5">
        <v>166000</v>
      </c>
      <c r="V2873" s="5" t="s">
        <v>12702</v>
      </c>
      <c r="W2873" s="5" t="s">
        <v>36</v>
      </c>
      <c r="X2873" s="5" t="s">
        <v>180</v>
      </c>
      <c r="Z2873" s="5" t="s">
        <v>12703</v>
      </c>
      <c r="AA2873" s="5" t="s">
        <v>44</v>
      </c>
      <c r="AB2873" s="5"/>
      <c r="AC2873" s="8" t="str">
        <f>HYPERLINK("https://drive.google.com/file/d/1-1poJQbQVzhYD3K6UDJ5pU1UA8Q_de2b/view?usp=drivesdk", "Abrir_Factura")</f>
        <v>Abrir_Factura</v>
      </c>
      <c r="AD2873" s="9">
        <v>46086.449606481481</v>
      </c>
    </row>
    <row r="2874" spans="1:30" ht="12.5">
      <c r="A2874" s="4">
        <v>46086.428296851853</v>
      </c>
      <c r="B2874" s="5">
        <v>92612</v>
      </c>
      <c r="C2874" s="5">
        <v>900219834</v>
      </c>
      <c r="D2874" s="5" t="s">
        <v>12704</v>
      </c>
      <c r="F2874" s="5"/>
      <c r="H2874" s="5">
        <v>77273122717727</v>
      </c>
      <c r="J2874" s="5" t="s">
        <v>11617</v>
      </c>
      <c r="K2874" s="5" t="s">
        <v>1815</v>
      </c>
      <c r="L2874" s="5" t="s">
        <v>12705</v>
      </c>
      <c r="M2874" s="5">
        <v>573126624895</v>
      </c>
      <c r="N2874" s="6">
        <v>46086</v>
      </c>
      <c r="O2874" s="7">
        <v>0</v>
      </c>
      <c r="P2874" s="5">
        <v>1</v>
      </c>
      <c r="Q2874" s="5" t="s">
        <v>874</v>
      </c>
      <c r="R2874" s="5">
        <v>230000</v>
      </c>
      <c r="S2874" s="5">
        <v>43700</v>
      </c>
      <c r="T2874" s="5">
        <v>18000</v>
      </c>
      <c r="U2874" s="5">
        <v>291700</v>
      </c>
      <c r="V2874" s="5"/>
      <c r="W2874" s="5" t="s">
        <v>36</v>
      </c>
      <c r="X2874" s="5" t="s">
        <v>2163</v>
      </c>
      <c r="Z2874" s="5"/>
      <c r="AA2874" s="5" t="s">
        <v>44</v>
      </c>
      <c r="AB2874" s="5"/>
      <c r="AC2874" s="8" t="str">
        <f>HYPERLINK("https://drive.google.com/file/d/1ut1mq5g_OQMFOBvnQR9CkyhHJnqO9ZCk/view?usp=drivesdk", "Abrir_Factura")</f>
        <v>Abrir_Factura</v>
      </c>
      <c r="AD2874" s="9">
        <v>46086.444293981483</v>
      </c>
    </row>
    <row r="2875" spans="1:30" ht="12.5">
      <c r="A2875" s="4">
        <v>46086.453674849537</v>
      </c>
      <c r="B2875" s="5">
        <v>92614</v>
      </c>
      <c r="C2875" s="5">
        <v>22403017</v>
      </c>
      <c r="D2875" s="5" t="s">
        <v>12706</v>
      </c>
      <c r="F2875" s="5"/>
      <c r="H2875" s="5">
        <v>573157014056</v>
      </c>
      <c r="J2875" s="5" t="s">
        <v>12706</v>
      </c>
      <c r="K2875" s="5"/>
      <c r="L2875" s="5" t="s">
        <v>12707</v>
      </c>
      <c r="M2875" s="5"/>
      <c r="N2875" s="6">
        <v>46086</v>
      </c>
      <c r="O2875" s="7">
        <v>0</v>
      </c>
      <c r="P2875" s="5">
        <v>1</v>
      </c>
      <c r="Q2875" s="5" t="s">
        <v>42</v>
      </c>
      <c r="R2875" s="5">
        <v>78000</v>
      </c>
      <c r="S2875" s="5">
        <v>0</v>
      </c>
      <c r="T2875" s="5"/>
      <c r="U2875" s="5">
        <v>78000</v>
      </c>
      <c r="V2875" s="5"/>
      <c r="W2875" s="5" t="s">
        <v>36</v>
      </c>
      <c r="X2875" s="5" t="s">
        <v>67</v>
      </c>
      <c r="Z2875" s="5"/>
      <c r="AA2875" s="5" t="s">
        <v>44</v>
      </c>
      <c r="AB2875" s="5"/>
      <c r="AC2875" s="8" t="str">
        <f>HYPERLINK("https://drive.google.com/file/d/10x4cvt66BPNtbPvkjd7LigwN6gKKjh87/view?usp=drivesdk", "Abrir_Factura")</f>
        <v>Abrir_Factura</v>
      </c>
      <c r="AD2875" s="9">
        <v>46086.45453703704</v>
      </c>
    </row>
    <row r="2876" spans="1:30" ht="12.5">
      <c r="A2876" s="4">
        <v>46086.454484421294</v>
      </c>
      <c r="B2876" s="5">
        <v>92617</v>
      </c>
      <c r="C2876" s="5">
        <v>1044431882</v>
      </c>
      <c r="D2876" s="5" t="s">
        <v>12708</v>
      </c>
      <c r="F2876" s="5"/>
      <c r="H2876" s="5">
        <v>573054873630</v>
      </c>
      <c r="J2876" s="5" t="s">
        <v>12709</v>
      </c>
      <c r="K2876" s="5" t="s">
        <v>7476</v>
      </c>
      <c r="L2876" s="5" t="s">
        <v>12710</v>
      </c>
      <c r="M2876" s="5">
        <v>573242029594</v>
      </c>
      <c r="N2876" s="6">
        <v>46086</v>
      </c>
      <c r="O2876" s="7">
        <v>3.472222222222222E-3</v>
      </c>
      <c r="P2876" s="5">
        <v>1</v>
      </c>
      <c r="Q2876" s="5" t="s">
        <v>375</v>
      </c>
      <c r="R2876" s="5">
        <v>80000</v>
      </c>
      <c r="S2876" s="5">
        <v>0</v>
      </c>
      <c r="T2876" s="5">
        <v>17000</v>
      </c>
      <c r="U2876" s="5">
        <v>97000</v>
      </c>
      <c r="V2876" s="5" t="s">
        <v>12711</v>
      </c>
      <c r="W2876" s="5" t="s">
        <v>36</v>
      </c>
      <c r="X2876" s="5" t="s">
        <v>67</v>
      </c>
      <c r="Z2876" s="5" t="s">
        <v>12712</v>
      </c>
      <c r="AA2876" s="5" t="s">
        <v>44</v>
      </c>
      <c r="AB2876" s="5"/>
      <c r="AC2876" s="8" t="str">
        <f>HYPERLINK("https://drive.google.com/file/d/1un8OOLUbMlyia1QfFDTznmni4s16-uYv/view?usp=drivesdk", "Abrir_Factura")</f>
        <v>Abrir_Factura</v>
      </c>
      <c r="AD2876" s="9">
        <v>46086.482615740744</v>
      </c>
    </row>
    <row r="2877" spans="1:30" ht="12.5">
      <c r="A2877" s="4">
        <v>46086.458360520832</v>
      </c>
      <c r="B2877" s="5">
        <v>92615</v>
      </c>
      <c r="C2877" s="5">
        <v>1045719977</v>
      </c>
      <c r="D2877" s="5" t="s">
        <v>12713</v>
      </c>
      <c r="F2877" s="5"/>
      <c r="H2877" s="5">
        <v>573023279441</v>
      </c>
      <c r="J2877" s="5" t="s">
        <v>12714</v>
      </c>
      <c r="K2877" s="5" t="s">
        <v>185</v>
      </c>
      <c r="L2877" s="5" t="s">
        <v>12715</v>
      </c>
      <c r="M2877" s="5">
        <v>573114119445</v>
      </c>
      <c r="N2877" s="6">
        <v>46086</v>
      </c>
      <c r="O2877" s="7">
        <v>0</v>
      </c>
      <c r="P2877" s="5">
        <v>1</v>
      </c>
      <c r="Q2877" s="5" t="s">
        <v>42</v>
      </c>
      <c r="R2877" s="5">
        <v>40000</v>
      </c>
      <c r="S2877" s="5">
        <v>0</v>
      </c>
      <c r="T2877" s="5">
        <v>8000</v>
      </c>
      <c r="U2877" s="5">
        <v>48000</v>
      </c>
      <c r="V2877" s="5" t="s">
        <v>12716</v>
      </c>
      <c r="W2877" s="5" t="s">
        <v>36</v>
      </c>
      <c r="X2877" s="5" t="s">
        <v>67</v>
      </c>
      <c r="Z2877" s="5" t="s">
        <v>2407</v>
      </c>
      <c r="AA2877" s="5" t="s">
        <v>44</v>
      </c>
      <c r="AB2877" s="5" t="s">
        <v>12717</v>
      </c>
      <c r="AC2877" s="8" t="str">
        <f>HYPERLINK("https://drive.google.com/file/d/1JijkkI2jnkHF7oHbHLEPvUY_0c9ydQPv/view?usp=drivesdk", "Abrir_Factura")</f>
        <v>Abrir_Factura</v>
      </c>
      <c r="AD2877" s="9">
        <v>46086.465671296297</v>
      </c>
    </row>
    <row r="2878" spans="1:30" ht="12.5">
      <c r="A2878" s="4">
        <v>46086.470757627314</v>
      </c>
      <c r="B2878" s="5">
        <v>92618</v>
      </c>
      <c r="C2878" s="5">
        <v>1140872463</v>
      </c>
      <c r="D2878" s="5" t="s">
        <v>12718</v>
      </c>
      <c r="F2878" s="5"/>
      <c r="H2878" s="5">
        <v>573014785425</v>
      </c>
      <c r="J2878" s="5" t="s">
        <v>12718</v>
      </c>
      <c r="K2878" s="5" t="s">
        <v>12657</v>
      </c>
      <c r="L2878" s="5" t="s">
        <v>12657</v>
      </c>
      <c r="M2878" s="5">
        <v>573014785425</v>
      </c>
      <c r="N2878" s="6">
        <v>46088</v>
      </c>
      <c r="O2878" s="7">
        <v>0.375</v>
      </c>
      <c r="P2878" s="5">
        <v>1</v>
      </c>
      <c r="Q2878" s="5" t="s">
        <v>12719</v>
      </c>
      <c r="R2878" s="5">
        <v>230000</v>
      </c>
      <c r="S2878" s="5">
        <v>0</v>
      </c>
      <c r="T2878" s="5"/>
      <c r="U2878" s="5">
        <v>230000</v>
      </c>
      <c r="V2878" s="5"/>
      <c r="W2878" s="5" t="s">
        <v>36</v>
      </c>
      <c r="X2878" s="5" t="s">
        <v>12646</v>
      </c>
      <c r="Z2878" s="5"/>
      <c r="AA2878" s="5" t="s">
        <v>44</v>
      </c>
      <c r="AB2878" s="5" t="s">
        <v>12720</v>
      </c>
      <c r="AC2878" s="8" t="str">
        <f>HYPERLINK("https://drive.google.com/file/d/1LF47MfAxJ60dscrUw2dqFDgXXJObGd4o/view?usp=drivesdk", "Abrir_Factura")</f>
        <v>Abrir_Factura</v>
      </c>
      <c r="AD2878" s="9">
        <v>46086.485335648147</v>
      </c>
    </row>
    <row r="2879" spans="1:30" ht="12.5">
      <c r="A2879" s="4">
        <v>46086.494358912038</v>
      </c>
      <c r="B2879" s="5">
        <v>92622</v>
      </c>
      <c r="C2879" s="5">
        <v>1073323781</v>
      </c>
      <c r="D2879" s="5" t="s">
        <v>12721</v>
      </c>
      <c r="F2879" s="5"/>
      <c r="H2879" s="5">
        <v>573104411771</v>
      </c>
      <c r="J2879" s="5" t="s">
        <v>12722</v>
      </c>
      <c r="K2879" s="5" t="s">
        <v>5574</v>
      </c>
      <c r="L2879" s="5" t="s">
        <v>12723</v>
      </c>
      <c r="M2879" s="5">
        <v>573126916509</v>
      </c>
      <c r="N2879" s="6">
        <v>46089</v>
      </c>
      <c r="O2879" s="7">
        <v>0.33333333333333331</v>
      </c>
      <c r="P2879" s="5">
        <v>1</v>
      </c>
      <c r="Q2879" s="5" t="s">
        <v>12724</v>
      </c>
      <c r="R2879" s="5">
        <v>150000</v>
      </c>
      <c r="S2879" s="5">
        <v>0</v>
      </c>
      <c r="T2879" s="5">
        <v>10000</v>
      </c>
      <c r="U2879" s="5">
        <v>160000</v>
      </c>
      <c r="V2879" s="5" t="s">
        <v>12725</v>
      </c>
      <c r="W2879" s="5" t="s">
        <v>36</v>
      </c>
      <c r="X2879" s="5" t="s">
        <v>12646</v>
      </c>
      <c r="Z2879" s="5" t="s">
        <v>12726</v>
      </c>
      <c r="AA2879" s="5" t="s">
        <v>44</v>
      </c>
      <c r="AB2879" s="5"/>
      <c r="AC2879" s="8" t="str">
        <f>HYPERLINK("https://drive.google.com/file/d/1S2FE5SLWgJhZ71way0rd2PSofWTCaHt1/view?usp=drivesdk", "Abrir_Factura")</f>
        <v>Abrir_Factura</v>
      </c>
      <c r="AD2879" s="9">
        <v>46086.517013888886</v>
      </c>
    </row>
    <row r="2880" spans="1:30" ht="12.5">
      <c r="A2880" s="4">
        <v>46086.500707673607</v>
      </c>
      <c r="B2880" s="5">
        <v>92620</v>
      </c>
      <c r="C2880" s="5">
        <v>1220467755</v>
      </c>
      <c r="D2880" s="5" t="s">
        <v>12727</v>
      </c>
      <c r="F2880" s="5"/>
      <c r="H2880" s="5">
        <v>573107936885</v>
      </c>
      <c r="J2880" s="5" t="s">
        <v>12727</v>
      </c>
      <c r="K2880" s="5" t="s">
        <v>12657</v>
      </c>
      <c r="L2880" s="5" t="s">
        <v>12657</v>
      </c>
      <c r="M2880" s="5">
        <v>573107936885</v>
      </c>
      <c r="N2880" s="6">
        <v>46086</v>
      </c>
      <c r="O2880" s="7">
        <v>0.58333333333333337</v>
      </c>
      <c r="P2880" s="5">
        <v>1</v>
      </c>
      <c r="Q2880" s="5" t="s">
        <v>12728</v>
      </c>
      <c r="R2880" s="5">
        <v>120000</v>
      </c>
      <c r="S2880" s="5">
        <v>0</v>
      </c>
      <c r="T2880" s="5"/>
      <c r="U2880" s="5">
        <v>120000</v>
      </c>
      <c r="V2880" s="5" t="s">
        <v>12729</v>
      </c>
      <c r="W2880" s="5" t="s">
        <v>36</v>
      </c>
      <c r="X2880" s="5" t="s">
        <v>1705</v>
      </c>
      <c r="Z2880" s="5" t="s">
        <v>12730</v>
      </c>
      <c r="AA2880" s="5" t="s">
        <v>44</v>
      </c>
      <c r="AB2880" s="5"/>
      <c r="AC2880" s="8" t="str">
        <f>HYPERLINK("https://drive.google.com/file/d/1N1PzClLWs5DcATFtmAk1GBbed1zlwAxO/view?usp=drivesdk", "Abrir_Factura")</f>
        <v>Abrir_Factura</v>
      </c>
      <c r="AD2880" s="9">
        <v>46087.487696759257</v>
      </c>
    </row>
    <row r="2881" spans="1:30" ht="12.5">
      <c r="A2881" s="4">
        <v>46086.508448229171</v>
      </c>
      <c r="B2881" s="5">
        <v>92621</v>
      </c>
      <c r="C2881" s="5">
        <v>1044425791</v>
      </c>
      <c r="D2881" s="5" t="s">
        <v>12731</v>
      </c>
      <c r="F2881" s="5"/>
      <c r="H2881" s="5">
        <v>573156540065</v>
      </c>
      <c r="J2881" s="5" t="s">
        <v>10564</v>
      </c>
      <c r="K2881" s="5" t="s">
        <v>185</v>
      </c>
      <c r="L2881" s="5" t="s">
        <v>12732</v>
      </c>
      <c r="M2881" s="5">
        <v>573156540065</v>
      </c>
      <c r="N2881" s="6">
        <v>46086</v>
      </c>
      <c r="O2881" s="7">
        <v>0.58333333333333337</v>
      </c>
      <c r="P2881" s="5">
        <v>1</v>
      </c>
      <c r="Q2881" s="5" t="s">
        <v>12423</v>
      </c>
      <c r="R2881" s="5">
        <v>80000</v>
      </c>
      <c r="S2881" s="5">
        <v>0</v>
      </c>
      <c r="T2881" s="5">
        <v>8000</v>
      </c>
      <c r="U2881" s="5">
        <v>88000</v>
      </c>
      <c r="V2881" s="5" t="s">
        <v>12733</v>
      </c>
      <c r="W2881" s="5" t="s">
        <v>36</v>
      </c>
      <c r="X2881" s="5" t="s">
        <v>67</v>
      </c>
      <c r="Z2881" s="5" t="s">
        <v>1513</v>
      </c>
      <c r="AA2881" s="5" t="s">
        <v>44</v>
      </c>
      <c r="AB2881" s="5"/>
      <c r="AC2881" s="8" t="str">
        <f>HYPERLINK("https://drive.google.com/file/d/1cLCXjc81bK4LioNWZTMQH5K9kjP6JaCs/view?usp=drivesdk", "Abrir_Factura")</f>
        <v>Abrir_Factura</v>
      </c>
      <c r="AD2881" s="9">
        <v>46086.516064814816</v>
      </c>
    </row>
    <row r="2882" spans="1:30" ht="12.5">
      <c r="A2882" s="4">
        <v>46086.514117349536</v>
      </c>
      <c r="B2882" s="5">
        <v>92626</v>
      </c>
      <c r="C2882" s="5">
        <v>43868406</v>
      </c>
      <c r="D2882" s="5" t="s">
        <v>12734</v>
      </c>
      <c r="F2882" s="5"/>
      <c r="H2882" s="5">
        <v>573052476428</v>
      </c>
      <c r="J2882" s="5" t="s">
        <v>12735</v>
      </c>
      <c r="K2882" s="5" t="s">
        <v>63</v>
      </c>
      <c r="L2882" s="5" t="s">
        <v>12736</v>
      </c>
      <c r="M2882" s="5">
        <v>573108248762</v>
      </c>
      <c r="N2882" s="6">
        <v>46086</v>
      </c>
      <c r="O2882" s="7">
        <v>0.60416666666666663</v>
      </c>
      <c r="P2882" s="5">
        <v>1</v>
      </c>
      <c r="Q2882" s="5" t="s">
        <v>649</v>
      </c>
      <c r="R2882" s="5">
        <v>200000</v>
      </c>
      <c r="S2882" s="5">
        <v>0</v>
      </c>
      <c r="T2882" s="5">
        <v>17000</v>
      </c>
      <c r="U2882" s="5">
        <v>217000</v>
      </c>
      <c r="V2882" s="5" t="s">
        <v>12737</v>
      </c>
      <c r="W2882" s="5" t="s">
        <v>36</v>
      </c>
      <c r="X2882" s="5" t="s">
        <v>67</v>
      </c>
      <c r="Z2882" s="5" t="s">
        <v>12738</v>
      </c>
      <c r="AA2882" s="5" t="s">
        <v>44</v>
      </c>
      <c r="AB2882" s="5" t="s">
        <v>12739</v>
      </c>
      <c r="AC2882" s="8" t="str">
        <f>HYPERLINK("https://drive.google.com/file/d/1wcPhrc1mL-8L6raJBG6cPDdmkLXmSPUd/view?usp=drivesdk", "Abrir_Factura")</f>
        <v>Abrir_Factura</v>
      </c>
      <c r="AD2882" s="9">
        <v>46086.551805555559</v>
      </c>
    </row>
    <row r="2883" spans="1:30" ht="12.5">
      <c r="A2883" s="4">
        <v>46086.516173483797</v>
      </c>
      <c r="B2883" s="5">
        <v>92623</v>
      </c>
      <c r="C2883" s="5">
        <v>52706362</v>
      </c>
      <c r="D2883" s="5" t="s">
        <v>12740</v>
      </c>
      <c r="F2883" s="5"/>
      <c r="H2883" s="5">
        <v>573112119748</v>
      </c>
      <c r="J2883" s="5" t="s">
        <v>12741</v>
      </c>
      <c r="K2883" s="5" t="s">
        <v>110</v>
      </c>
      <c r="L2883" s="5" t="s">
        <v>12742</v>
      </c>
      <c r="M2883" s="5">
        <v>573112119748</v>
      </c>
      <c r="N2883" s="6">
        <v>46086</v>
      </c>
      <c r="O2883" s="7">
        <v>0.625</v>
      </c>
      <c r="P2883" s="5">
        <v>1</v>
      </c>
      <c r="Q2883" s="5" t="s">
        <v>361</v>
      </c>
      <c r="R2883" s="5">
        <v>200000</v>
      </c>
      <c r="S2883" s="5">
        <v>0</v>
      </c>
      <c r="T2883" s="5">
        <v>6000</v>
      </c>
      <c r="U2883" s="5">
        <v>206000</v>
      </c>
      <c r="V2883" s="5" t="s">
        <v>12743</v>
      </c>
      <c r="W2883" s="5" t="s">
        <v>36</v>
      </c>
      <c r="X2883" s="5" t="s">
        <v>204</v>
      </c>
      <c r="Z2883" s="5"/>
      <c r="AA2883" s="5" t="s">
        <v>44</v>
      </c>
      <c r="AB2883" s="5"/>
      <c r="AC2883" s="8" t="str">
        <f>HYPERLINK("https://drive.google.com/file/d/1C81c7pyvfoIPAgN6-HKwMfT972m5SAah/view?usp=drivesdk", "Abrir_Factura")</f>
        <v>Abrir_Factura</v>
      </c>
      <c r="AD2883" s="9">
        <v>46086.523854166669</v>
      </c>
    </row>
    <row r="2884" spans="1:30" ht="12.5">
      <c r="A2884" s="4">
        <v>46086.531178171295</v>
      </c>
      <c r="B2884" s="5">
        <v>92624</v>
      </c>
      <c r="C2884" s="5">
        <v>1001915669</v>
      </c>
      <c r="D2884" s="5" t="s">
        <v>3524</v>
      </c>
      <c r="F2884" s="5"/>
      <c r="H2884" s="5">
        <v>573103603142</v>
      </c>
      <c r="J2884" s="5" t="s">
        <v>3524</v>
      </c>
      <c r="K2884" s="5" t="s">
        <v>12657</v>
      </c>
      <c r="L2884" s="5" t="s">
        <v>12657</v>
      </c>
      <c r="M2884" s="5">
        <v>573103603142</v>
      </c>
      <c r="N2884" s="6">
        <v>46089</v>
      </c>
      <c r="O2884" s="7">
        <v>0</v>
      </c>
      <c r="P2884" s="5">
        <v>1</v>
      </c>
      <c r="Q2884" s="5" t="s">
        <v>12744</v>
      </c>
      <c r="R2884" s="5">
        <v>50000</v>
      </c>
      <c r="S2884" s="5">
        <v>0</v>
      </c>
      <c r="T2884" s="5"/>
      <c r="U2884" s="5">
        <v>50000</v>
      </c>
      <c r="V2884" s="5"/>
      <c r="W2884" s="5" t="s">
        <v>36</v>
      </c>
      <c r="X2884" s="5" t="s">
        <v>12646</v>
      </c>
      <c r="Z2884" s="5"/>
      <c r="AA2884" s="5" t="s">
        <v>44</v>
      </c>
      <c r="AB2884" s="5" t="s">
        <v>12744</v>
      </c>
      <c r="AC2884" s="8" t="str">
        <f>HYPERLINK("https://drive.google.com/file/d/1gvmz9E8Tz36YR9zXFsVaI1u3v0lzBral/view?usp=drivesdk", "Abrir_Factura")</f>
        <v>Abrir_Factura</v>
      </c>
      <c r="AD2884" s="9">
        <v>46086.532025462962</v>
      </c>
    </row>
    <row r="2885" spans="1:30" ht="12.5">
      <c r="A2885" s="4">
        <v>46086.544661921296</v>
      </c>
      <c r="B2885" s="5">
        <v>92625</v>
      </c>
      <c r="C2885" s="5">
        <v>1001916787</v>
      </c>
      <c r="D2885" s="5" t="s">
        <v>12123</v>
      </c>
      <c r="F2885" s="5"/>
      <c r="H2885" s="5">
        <v>573175494728</v>
      </c>
      <c r="J2885" s="5" t="s">
        <v>12745</v>
      </c>
      <c r="K2885" s="5" t="s">
        <v>12657</v>
      </c>
      <c r="L2885" s="5" t="s">
        <v>12657</v>
      </c>
      <c r="M2885" s="5">
        <v>573175494728</v>
      </c>
      <c r="N2885" s="6">
        <v>46087</v>
      </c>
      <c r="O2885" s="7">
        <v>0.375</v>
      </c>
      <c r="P2885" s="5">
        <v>1</v>
      </c>
      <c r="Q2885" s="5" t="s">
        <v>1085</v>
      </c>
      <c r="R2885" s="5">
        <v>130000</v>
      </c>
      <c r="S2885" s="5">
        <v>0</v>
      </c>
      <c r="T2885" s="5"/>
      <c r="U2885" s="5">
        <v>130000</v>
      </c>
      <c r="V2885" s="5" t="s">
        <v>12746</v>
      </c>
      <c r="W2885" s="5" t="s">
        <v>36</v>
      </c>
      <c r="X2885" s="5" t="s">
        <v>180</v>
      </c>
      <c r="Z2885" s="5" t="s">
        <v>12747</v>
      </c>
      <c r="AA2885" s="5" t="s">
        <v>44</v>
      </c>
      <c r="AB2885" s="5"/>
      <c r="AC2885" s="8" t="str">
        <f>HYPERLINK("https://drive.google.com/file/d/1AEiJFUIzIlRkq1OZ12MjwZP3oq2UHPXp/view?usp=drivesdk", "Abrir_Factura")</f>
        <v>Abrir_Factura</v>
      </c>
      <c r="AD2885" s="9">
        <v>46086.549722222226</v>
      </c>
    </row>
    <row r="2886" spans="1:30" ht="12.5">
      <c r="A2886" s="4">
        <v>46086.548411701384</v>
      </c>
      <c r="B2886" s="5">
        <v>92628</v>
      </c>
      <c r="C2886" s="5">
        <v>1234090849</v>
      </c>
      <c r="D2886" s="5" t="s">
        <v>12748</v>
      </c>
      <c r="F2886" s="5"/>
      <c r="H2886" s="5">
        <v>573147013180</v>
      </c>
      <c r="J2886" s="5" t="s">
        <v>12749</v>
      </c>
      <c r="K2886" s="5" t="s">
        <v>3874</v>
      </c>
      <c r="L2886" s="5" t="s">
        <v>12750</v>
      </c>
      <c r="M2886" s="5">
        <v>573007041918</v>
      </c>
      <c r="N2886" s="6">
        <v>46089</v>
      </c>
      <c r="O2886" s="7">
        <v>0.33333333333333331</v>
      </c>
      <c r="P2886" s="5">
        <v>1</v>
      </c>
      <c r="Q2886" s="5" t="s">
        <v>12437</v>
      </c>
      <c r="R2886" s="5">
        <v>250000</v>
      </c>
      <c r="S2886" s="5">
        <v>0</v>
      </c>
      <c r="T2886" s="5">
        <v>18000</v>
      </c>
      <c r="U2886" s="5">
        <v>268000</v>
      </c>
      <c r="V2886" s="5" t="s">
        <v>12751</v>
      </c>
      <c r="W2886" s="5" t="s">
        <v>36</v>
      </c>
      <c r="X2886" s="5" t="s">
        <v>12646</v>
      </c>
      <c r="Z2886" s="5" t="s">
        <v>9812</v>
      </c>
      <c r="AA2886" s="5" t="s">
        <v>44</v>
      </c>
      <c r="AB2886" s="5"/>
      <c r="AC2886" s="8" t="str">
        <f>HYPERLINK("https://drive.google.com/file/d/1O4b88urU0_ZdhKktyWoiTkorXWRtXYr1/view?usp=drivesdk", "Abrir_Factura")</f>
        <v>Abrir_Factura</v>
      </c>
      <c r="AD2886" s="9">
        <v>46086.577847222223</v>
      </c>
    </row>
    <row r="2887" spans="1:30" ht="12.5">
      <c r="A2887" s="4">
        <v>46086.558831944443</v>
      </c>
      <c r="B2887" s="5">
        <v>92633</v>
      </c>
      <c r="C2887" s="5">
        <v>1042240891</v>
      </c>
      <c r="D2887" s="5" t="s">
        <v>12752</v>
      </c>
      <c r="F2887" s="5"/>
      <c r="H2887" s="5">
        <v>573205337978</v>
      </c>
      <c r="J2887" s="5" t="s">
        <v>12753</v>
      </c>
      <c r="K2887" s="5" t="s">
        <v>63</v>
      </c>
      <c r="L2887" s="5" t="s">
        <v>12754</v>
      </c>
      <c r="M2887" s="5">
        <v>573106300516</v>
      </c>
      <c r="N2887" s="6">
        <v>46091</v>
      </c>
      <c r="O2887" s="7">
        <v>0.375</v>
      </c>
      <c r="P2887" s="5">
        <v>1</v>
      </c>
      <c r="Q2887" s="5" t="s">
        <v>148</v>
      </c>
      <c r="R2887" s="5">
        <v>220000</v>
      </c>
      <c r="S2887" s="5">
        <v>0</v>
      </c>
      <c r="T2887" s="5">
        <v>17000</v>
      </c>
      <c r="U2887" s="5">
        <v>237000</v>
      </c>
      <c r="V2887" s="5" t="s">
        <v>12755</v>
      </c>
      <c r="W2887" s="5" t="s">
        <v>36</v>
      </c>
      <c r="X2887" s="5" t="s">
        <v>2163</v>
      </c>
      <c r="Z2887" s="5" t="s">
        <v>12756</v>
      </c>
      <c r="AA2887" s="5" t="s">
        <v>44</v>
      </c>
      <c r="AB2887" s="5"/>
      <c r="AC2887" s="8" t="str">
        <f>HYPERLINK("https://drive.google.com/file/d/1r9oepF1PkqhS6zyDFAkmT4KjLaP9ddHo/view?usp=drivesdk", "Abrir_Factura")</f>
        <v>Abrir_Factura</v>
      </c>
      <c r="AD2887" s="9">
        <v>46086.624803240738</v>
      </c>
    </row>
    <row r="2888" spans="1:30" ht="12.5">
      <c r="A2888" s="4">
        <v>46086.562704826385</v>
      </c>
      <c r="B2888" s="5">
        <v>92627</v>
      </c>
      <c r="C2888" s="5">
        <v>1140846895</v>
      </c>
      <c r="D2888" s="5" t="s">
        <v>9739</v>
      </c>
      <c r="F2888" s="5"/>
      <c r="H2888" s="5">
        <v>573013529652</v>
      </c>
      <c r="J2888" s="5" t="s">
        <v>9739</v>
      </c>
      <c r="K2888" s="5" t="s">
        <v>12657</v>
      </c>
      <c r="L2888" s="5" t="s">
        <v>12657</v>
      </c>
      <c r="M2888" s="5">
        <v>573013529652</v>
      </c>
      <c r="N2888" s="6">
        <v>46086</v>
      </c>
      <c r="O2888" s="7">
        <v>0.70833333333333337</v>
      </c>
      <c r="P2888" s="5">
        <v>1</v>
      </c>
      <c r="Q2888" s="5" t="s">
        <v>12757</v>
      </c>
      <c r="R2888" s="5">
        <v>300000</v>
      </c>
      <c r="S2888" s="5">
        <v>0</v>
      </c>
      <c r="T2888" s="5"/>
      <c r="U2888" s="5">
        <v>300000</v>
      </c>
      <c r="V2888" s="5"/>
      <c r="W2888" s="5" t="s">
        <v>36</v>
      </c>
      <c r="X2888" s="5" t="s">
        <v>1705</v>
      </c>
      <c r="Z2888" s="5"/>
      <c r="AA2888" s="5" t="s">
        <v>44</v>
      </c>
      <c r="AB2888" s="5"/>
      <c r="AC2888" s="8" t="str">
        <f>HYPERLINK("https://drive.google.com/file/d/1BB0hMXl6j7ujXgQQgtfuvJKexeFauWRR/view?usp=drivesdk", "Abrir_Factura")</f>
        <v>Abrir_Factura</v>
      </c>
      <c r="AD2888" s="9">
        <v>46087.589768518519</v>
      </c>
    </row>
    <row r="2889" spans="1:30" ht="12.5">
      <c r="A2889" s="4">
        <v>46086.567822187499</v>
      </c>
      <c r="B2889" s="5">
        <v>92630</v>
      </c>
      <c r="C2889" s="5">
        <v>900630914</v>
      </c>
      <c r="D2889" s="5" t="s">
        <v>12758</v>
      </c>
      <c r="F2889" s="5"/>
      <c r="H2889" s="5">
        <v>573005984919</v>
      </c>
      <c r="J2889" s="5" t="s">
        <v>12759</v>
      </c>
      <c r="K2889" s="5" t="s">
        <v>886</v>
      </c>
      <c r="L2889" s="5" t="s">
        <v>12760</v>
      </c>
      <c r="M2889" s="5">
        <v>573005984919</v>
      </c>
      <c r="N2889" s="6">
        <v>46086</v>
      </c>
      <c r="O2889" s="7">
        <v>0.625</v>
      </c>
      <c r="P2889" s="5">
        <v>10</v>
      </c>
      <c r="Q2889" s="5" t="s">
        <v>12761</v>
      </c>
      <c r="R2889" s="5">
        <v>126050</v>
      </c>
      <c r="S2889" s="5">
        <v>23949.5</v>
      </c>
      <c r="T2889" s="5">
        <v>12000</v>
      </c>
      <c r="U2889" s="5">
        <v>162000</v>
      </c>
      <c r="V2889" s="5" t="s">
        <v>12762</v>
      </c>
      <c r="W2889" s="5" t="s">
        <v>36</v>
      </c>
      <c r="X2889" s="5" t="s">
        <v>67</v>
      </c>
      <c r="Z2889" s="5" t="s">
        <v>12763</v>
      </c>
      <c r="AA2889" s="5" t="s">
        <v>44</v>
      </c>
      <c r="AB2889" s="5" t="s">
        <v>12764</v>
      </c>
      <c r="AC2889" s="8" t="str">
        <f>HYPERLINK("https://drive.google.com/file/d/1xTJBJXO0m8BJQf9niv3aJHfs-i3VqK6j/view?usp=drivesdk", "Abrir_Factura")</f>
        <v>Abrir_Factura</v>
      </c>
      <c r="AD2889" s="9">
        <v>46086.590636574074</v>
      </c>
    </row>
    <row r="2890" spans="1:30" ht="12.5">
      <c r="A2890" s="4">
        <v>46086.572192245367</v>
      </c>
      <c r="B2890" s="5">
        <v>92629</v>
      </c>
      <c r="C2890" s="5">
        <v>1143155486</v>
      </c>
      <c r="D2890" s="5" t="s">
        <v>12765</v>
      </c>
      <c r="F2890" s="5"/>
      <c r="H2890" s="5">
        <v>573006476723</v>
      </c>
      <c r="J2890" s="5" t="s">
        <v>12766</v>
      </c>
      <c r="K2890" s="5" t="s">
        <v>110</v>
      </c>
      <c r="L2890" s="10" t="s">
        <v>3330</v>
      </c>
      <c r="M2890" s="5">
        <v>573118298594</v>
      </c>
      <c r="N2890" s="6">
        <v>46086</v>
      </c>
      <c r="O2890" s="7">
        <v>0.64583333333333337</v>
      </c>
      <c r="P2890" s="5">
        <v>1</v>
      </c>
      <c r="Q2890" s="5" t="s">
        <v>375</v>
      </c>
      <c r="R2890" s="5">
        <v>80000</v>
      </c>
      <c r="S2890" s="5">
        <v>0</v>
      </c>
      <c r="T2890" s="5">
        <v>6000</v>
      </c>
      <c r="U2890" s="5">
        <v>86000</v>
      </c>
      <c r="V2890" s="5" t="s">
        <v>12767</v>
      </c>
      <c r="W2890" s="5" t="s">
        <v>36</v>
      </c>
      <c r="X2890" s="5" t="s">
        <v>67</v>
      </c>
      <c r="Z2890" s="5" t="s">
        <v>12768</v>
      </c>
      <c r="AA2890" s="5" t="s">
        <v>44</v>
      </c>
      <c r="AB2890" s="5"/>
      <c r="AC2890" s="8" t="str">
        <f>HYPERLINK("https://drive.google.com/file/d/14OCGNbfykn1UX2feIGHkmoGx7hbIn36y/view?usp=drivesdk", "Abrir_Factura")</f>
        <v>Abrir_Factura</v>
      </c>
      <c r="AD2890" s="9">
        <v>46086.584479166668</v>
      </c>
    </row>
    <row r="2891" spans="1:30" ht="12.5">
      <c r="A2891" s="4">
        <v>46086.574842569447</v>
      </c>
      <c r="B2891" s="5">
        <v>92631</v>
      </c>
      <c r="C2891" s="5">
        <v>91439880</v>
      </c>
      <c r="D2891" s="5" t="s">
        <v>12769</v>
      </c>
      <c r="F2891" s="5"/>
      <c r="H2891" s="5">
        <v>573104459063</v>
      </c>
      <c r="J2891" s="5" t="s">
        <v>12770</v>
      </c>
      <c r="K2891" s="5" t="s">
        <v>1057</v>
      </c>
      <c r="L2891" s="5" t="s">
        <v>12771</v>
      </c>
      <c r="M2891" s="5">
        <v>573104459063</v>
      </c>
      <c r="N2891" s="6">
        <v>46086</v>
      </c>
      <c r="O2891" s="7">
        <v>0.625</v>
      </c>
      <c r="P2891" s="5">
        <v>1</v>
      </c>
      <c r="Q2891" s="5" t="s">
        <v>12484</v>
      </c>
      <c r="R2891" s="5">
        <v>190000</v>
      </c>
      <c r="S2891" s="5">
        <v>0</v>
      </c>
      <c r="T2891" s="5">
        <v>14000</v>
      </c>
      <c r="U2891" s="5">
        <v>204000</v>
      </c>
      <c r="V2891" s="5" t="s">
        <v>12772</v>
      </c>
      <c r="W2891" s="5" t="s">
        <v>36</v>
      </c>
      <c r="X2891" s="5" t="s">
        <v>67</v>
      </c>
      <c r="Z2891" s="5" t="s">
        <v>12773</v>
      </c>
      <c r="AA2891" s="5" t="s">
        <v>44</v>
      </c>
      <c r="AB2891" s="5"/>
      <c r="AC2891" s="8" t="str">
        <f>HYPERLINK("https://drive.google.com/file/d/1wuhNzXdyN6EAQ_Fv41ClfCO6HfN_KF0F/view?usp=drivesdk", "Abrir_Factura")</f>
        <v>Abrir_Factura</v>
      </c>
      <c r="AD2891" s="9">
        <v>46086.61141203704</v>
      </c>
    </row>
    <row r="2892" spans="1:30" ht="12.5">
      <c r="A2892" s="4">
        <v>46086.590901412041</v>
      </c>
      <c r="B2892" s="5">
        <v>92632</v>
      </c>
      <c r="C2892" s="5">
        <v>1004361992</v>
      </c>
      <c r="D2892" s="5" t="s">
        <v>12774</v>
      </c>
      <c r="F2892" s="5"/>
      <c r="H2892" s="5">
        <v>573209535750</v>
      </c>
      <c r="J2892" s="5" t="s">
        <v>270</v>
      </c>
      <c r="K2892" s="5" t="s">
        <v>168</v>
      </c>
      <c r="L2892" s="5" t="s">
        <v>12775</v>
      </c>
      <c r="M2892" s="5">
        <v>573209535750</v>
      </c>
      <c r="N2892" s="6">
        <v>46087</v>
      </c>
      <c r="O2892" s="7">
        <v>0.375</v>
      </c>
      <c r="P2892" s="5">
        <v>1</v>
      </c>
      <c r="Q2892" s="5" t="s">
        <v>12423</v>
      </c>
      <c r="R2892" s="5">
        <v>80000</v>
      </c>
      <c r="S2892" s="5">
        <v>0</v>
      </c>
      <c r="T2892" s="5">
        <v>13000</v>
      </c>
      <c r="U2892" s="5">
        <v>93000</v>
      </c>
      <c r="V2892" s="5" t="s">
        <v>12776</v>
      </c>
      <c r="W2892" s="5" t="s">
        <v>36</v>
      </c>
      <c r="X2892" s="5" t="s">
        <v>67</v>
      </c>
      <c r="Z2892" s="5" t="s">
        <v>12777</v>
      </c>
      <c r="AA2892" s="5" t="s">
        <v>44</v>
      </c>
      <c r="AB2892" s="5"/>
      <c r="AC2892" s="8" t="str">
        <f>HYPERLINK("https://drive.google.com/file/d/1qn_f7QcVpDnGJL-pmgEm-AVLnsYdRTJ3/view?usp=drivesdk", "Abrir_Factura")</f>
        <v>Abrir_Factura</v>
      </c>
      <c r="AD2892" s="9">
        <v>46086.616597222222</v>
      </c>
    </row>
    <row r="2893" spans="1:30" ht="12.5">
      <c r="A2893" s="4">
        <v>46086.631384537039</v>
      </c>
      <c r="B2893" s="5">
        <v>92634</v>
      </c>
      <c r="C2893" s="5">
        <v>1140882555</v>
      </c>
      <c r="D2893" s="5" t="s">
        <v>12778</v>
      </c>
      <c r="F2893" s="5"/>
      <c r="H2893" s="5">
        <v>573205174458</v>
      </c>
      <c r="J2893" s="5" t="s">
        <v>12778</v>
      </c>
      <c r="K2893" s="5" t="s">
        <v>249</v>
      </c>
      <c r="L2893" s="5" t="s">
        <v>12779</v>
      </c>
      <c r="M2893" s="5">
        <v>573205174458</v>
      </c>
      <c r="N2893" s="6">
        <v>46089</v>
      </c>
      <c r="O2893" s="7">
        <v>0.375</v>
      </c>
      <c r="P2893" s="5">
        <v>1</v>
      </c>
      <c r="Q2893" s="5" t="s">
        <v>12423</v>
      </c>
      <c r="R2893" s="5">
        <v>80000</v>
      </c>
      <c r="S2893" s="5">
        <v>0</v>
      </c>
      <c r="T2893" s="5">
        <v>10000</v>
      </c>
      <c r="U2893" s="5">
        <v>90000</v>
      </c>
      <c r="V2893" s="5" t="s">
        <v>12780</v>
      </c>
      <c r="W2893" s="5" t="s">
        <v>36</v>
      </c>
      <c r="X2893" s="5" t="s">
        <v>12646</v>
      </c>
      <c r="Z2893" s="5" t="s">
        <v>12781</v>
      </c>
      <c r="AA2893" s="5" t="s">
        <v>44</v>
      </c>
      <c r="AB2893" s="5" t="s">
        <v>12782</v>
      </c>
      <c r="AC2893" s="8" t="str">
        <f>HYPERLINK("https://drive.google.com/file/d/1wHZuzitjd9yiEdaTdVFmqnSqRgB9a9VV/view?usp=drivesdk", "Abrir_Factura")</f>
        <v>Abrir_Factura</v>
      </c>
      <c r="AD2893" s="9">
        <v>46086.638773148145</v>
      </c>
    </row>
    <row r="2894" spans="1:30" ht="12.5">
      <c r="A2894" s="4">
        <v>46086.634551435185</v>
      </c>
      <c r="B2894" s="5">
        <v>92635</v>
      </c>
      <c r="C2894" s="5">
        <v>1002025882</v>
      </c>
      <c r="D2894" s="5" t="s">
        <v>12783</v>
      </c>
      <c r="F2894" s="5"/>
      <c r="H2894" s="5">
        <v>573125657807</v>
      </c>
      <c r="J2894" s="5" t="s">
        <v>12783</v>
      </c>
      <c r="K2894" s="5" t="s">
        <v>12657</v>
      </c>
      <c r="L2894" s="5" t="s">
        <v>12657</v>
      </c>
      <c r="M2894" s="5">
        <v>573125657807</v>
      </c>
      <c r="N2894" s="6">
        <v>46087</v>
      </c>
      <c r="O2894" s="7">
        <v>0.33333333333333331</v>
      </c>
      <c r="P2894" s="5">
        <v>1</v>
      </c>
      <c r="Q2894" s="5" t="s">
        <v>12522</v>
      </c>
      <c r="R2894" s="5">
        <v>99000</v>
      </c>
      <c r="S2894" s="5">
        <v>0</v>
      </c>
      <c r="T2894" s="5"/>
      <c r="U2894" s="5">
        <v>99000</v>
      </c>
      <c r="V2894" s="5" t="s">
        <v>12784</v>
      </c>
      <c r="W2894" s="5" t="s">
        <v>36</v>
      </c>
      <c r="X2894" s="5" t="s">
        <v>67</v>
      </c>
      <c r="Z2894" s="5" t="s">
        <v>12785</v>
      </c>
      <c r="AA2894" s="5" t="s">
        <v>44</v>
      </c>
      <c r="AB2894" s="5" t="s">
        <v>12786</v>
      </c>
      <c r="AC2894" s="8" t="str">
        <f>HYPERLINK("https://drive.google.com/file/d/1CgQKb_Fjc6M1cphG6drwXHuzCn6E5_bx/view?usp=drivesdk", "Abrir_Factura")</f>
        <v>Abrir_Factura</v>
      </c>
      <c r="AD2894" s="9">
        <v>46086.640046296299</v>
      </c>
    </row>
    <row r="2895" spans="1:30" ht="12.5">
      <c r="A2895" s="4">
        <v>46086.638717164351</v>
      </c>
      <c r="B2895" s="5">
        <v>92637</v>
      </c>
      <c r="C2895" s="5">
        <v>1065828743</v>
      </c>
      <c r="D2895" s="5" t="s">
        <v>12787</v>
      </c>
      <c r="F2895" s="5"/>
      <c r="H2895" s="5">
        <v>573012563710</v>
      </c>
      <c r="J2895" s="5" t="s">
        <v>12788</v>
      </c>
      <c r="K2895" s="5" t="s">
        <v>563</v>
      </c>
      <c r="L2895" s="5" t="s">
        <v>12789</v>
      </c>
      <c r="M2895" s="5">
        <v>573012563710</v>
      </c>
      <c r="N2895" s="6">
        <v>46086</v>
      </c>
      <c r="O2895" s="7">
        <v>0.66666666666666663</v>
      </c>
      <c r="P2895" s="5">
        <v>1</v>
      </c>
      <c r="Q2895" s="5" t="s">
        <v>918</v>
      </c>
      <c r="R2895" s="5">
        <v>250000</v>
      </c>
      <c r="S2895" s="5">
        <v>0</v>
      </c>
      <c r="T2895" s="5">
        <v>15000</v>
      </c>
      <c r="U2895" s="5">
        <v>265000</v>
      </c>
      <c r="V2895" s="5" t="s">
        <v>12790</v>
      </c>
      <c r="W2895" s="5" t="s">
        <v>36</v>
      </c>
      <c r="X2895" s="5" t="s">
        <v>67</v>
      </c>
      <c r="Z2895" s="5"/>
      <c r="AA2895" s="5" t="s">
        <v>44</v>
      </c>
      <c r="AB2895" s="5"/>
      <c r="AC2895" s="8" t="str">
        <f>HYPERLINK("https://drive.google.com/file/d/1tt2QisNLKl9EnrNieSKM_L0YnOpzGwq2/view?usp=drivesdk", "Abrir_Factura")</f>
        <v>Abrir_Factura</v>
      </c>
      <c r="AD2895" s="9">
        <v>46086.677094907405</v>
      </c>
    </row>
    <row r="2896" spans="1:30" ht="12.5">
      <c r="A2896" s="4">
        <v>46086.659706180551</v>
      </c>
      <c r="B2896" s="5">
        <v>92643</v>
      </c>
      <c r="C2896" s="5">
        <v>1234092378</v>
      </c>
      <c r="D2896" s="5" t="s">
        <v>2894</v>
      </c>
      <c r="F2896" s="5"/>
      <c r="H2896" s="5">
        <v>573007729657</v>
      </c>
      <c r="J2896" s="5" t="s">
        <v>12791</v>
      </c>
      <c r="K2896" s="5" t="s">
        <v>185</v>
      </c>
      <c r="L2896" s="5" t="s">
        <v>12792</v>
      </c>
      <c r="M2896" s="5">
        <v>573002091781</v>
      </c>
      <c r="N2896" s="6">
        <v>46087</v>
      </c>
      <c r="O2896" s="7">
        <v>0.375</v>
      </c>
      <c r="P2896" s="5">
        <v>1</v>
      </c>
      <c r="Q2896" s="5" t="s">
        <v>12793</v>
      </c>
      <c r="R2896" s="5">
        <v>70000</v>
      </c>
      <c r="S2896" s="5">
        <v>0</v>
      </c>
      <c r="T2896" s="5">
        <v>8000</v>
      </c>
      <c r="U2896" s="5">
        <v>78000</v>
      </c>
      <c r="V2896" s="5" t="s">
        <v>12794</v>
      </c>
      <c r="W2896" s="5" t="s">
        <v>36</v>
      </c>
      <c r="X2896" s="5" t="s">
        <v>67</v>
      </c>
      <c r="Z2896" s="5" t="s">
        <v>12795</v>
      </c>
      <c r="AA2896" s="5" t="s">
        <v>44</v>
      </c>
      <c r="AB2896" s="5"/>
      <c r="AC2896" s="8" t="str">
        <f>HYPERLINK("https://drive.google.com/file/d/1lx1oYLy190KjWWVQs1UBTLBDdWv6R3E2/view?usp=drivesdk", "Abrir_Factura")</f>
        <v>Abrir_Factura</v>
      </c>
      <c r="AD2896" s="9">
        <v>46086.735081018516</v>
      </c>
    </row>
    <row r="2897" spans="1:30" ht="12.5">
      <c r="A2897" s="4">
        <v>46086.661901493055</v>
      </c>
      <c r="B2897" s="5">
        <v>92636</v>
      </c>
      <c r="C2897" s="5">
        <v>1047044452</v>
      </c>
      <c r="D2897" s="5" t="s">
        <v>12796</v>
      </c>
      <c r="F2897" s="5"/>
      <c r="H2897" s="5">
        <v>573153995975</v>
      </c>
      <c r="J2897" s="5" t="s">
        <v>12797</v>
      </c>
      <c r="K2897" s="5" t="s">
        <v>73</v>
      </c>
      <c r="L2897" s="5" t="s">
        <v>12798</v>
      </c>
      <c r="M2897" s="5">
        <v>573016779324</v>
      </c>
      <c r="N2897" s="6">
        <v>46086</v>
      </c>
      <c r="O2897" s="7">
        <v>0.66666666666666663</v>
      </c>
      <c r="P2897" s="5">
        <v>1</v>
      </c>
      <c r="Q2897" s="5" t="s">
        <v>375</v>
      </c>
      <c r="R2897" s="5">
        <v>80000</v>
      </c>
      <c r="S2897" s="5">
        <v>0</v>
      </c>
      <c r="T2897" s="5">
        <v>8000</v>
      </c>
      <c r="U2897" s="5">
        <v>88000</v>
      </c>
      <c r="V2897" s="5" t="s">
        <v>12799</v>
      </c>
      <c r="W2897" s="5" t="s">
        <v>36</v>
      </c>
      <c r="X2897" s="5" t="s">
        <v>67</v>
      </c>
      <c r="Z2897" s="5" t="s">
        <v>1812</v>
      </c>
      <c r="AA2897" s="5" t="s">
        <v>44</v>
      </c>
      <c r="AB2897" s="5"/>
      <c r="AC2897" s="8" t="str">
        <f>HYPERLINK("https://drive.google.com/file/d/1BoJSlKlt-FN93wqqMODlBkhbDuOFexFA/view?usp=drivesdk", "Abrir_Factura")</f>
        <v>Abrir_Factura</v>
      </c>
      <c r="AD2897" s="9">
        <v>46086.67287037037</v>
      </c>
    </row>
    <row r="2898" spans="1:30" ht="12.5">
      <c r="A2898" s="4">
        <v>46086.678395011579</v>
      </c>
      <c r="B2898" s="5">
        <v>92640</v>
      </c>
      <c r="C2898" s="5">
        <v>1044211569</v>
      </c>
      <c r="D2898" s="5" t="s">
        <v>12800</v>
      </c>
      <c r="F2898" s="5"/>
      <c r="H2898" s="5">
        <v>5731165334</v>
      </c>
      <c r="J2898" s="5" t="s">
        <v>12801</v>
      </c>
      <c r="K2898" s="5" t="s">
        <v>307</v>
      </c>
      <c r="L2898" s="5" t="s">
        <v>12802</v>
      </c>
      <c r="M2898" s="5">
        <v>573226052493</v>
      </c>
      <c r="N2898" s="6">
        <v>46088</v>
      </c>
      <c r="O2898" s="7">
        <v>0.33333333333333331</v>
      </c>
      <c r="P2898" s="5">
        <v>1</v>
      </c>
      <c r="Q2898" s="5" t="s">
        <v>12522</v>
      </c>
      <c r="R2898" s="5">
        <v>99000</v>
      </c>
      <c r="S2898" s="5">
        <v>0</v>
      </c>
      <c r="T2898" s="5">
        <v>10000</v>
      </c>
      <c r="U2898" s="5">
        <v>109000</v>
      </c>
      <c r="V2898" s="5" t="s">
        <v>12803</v>
      </c>
      <c r="W2898" s="5" t="s">
        <v>36</v>
      </c>
      <c r="X2898" s="5" t="s">
        <v>12646</v>
      </c>
      <c r="Z2898" s="5" t="s">
        <v>12804</v>
      </c>
      <c r="AA2898" s="5" t="s">
        <v>44</v>
      </c>
      <c r="AB2898" s="5"/>
      <c r="AC2898" s="8" t="str">
        <f>HYPERLINK("https://drive.google.com/file/d/1vbji3aa6W7WHGKfLJsv-QmFOkaqbMM_A/view?usp=drivesdk", "Abrir_Factura")</f>
        <v>Abrir_Factura</v>
      </c>
      <c r="AD2898" s="9">
        <v>46086.697650462964</v>
      </c>
    </row>
    <row r="2899" spans="1:30" ht="12.5">
      <c r="A2899" s="4">
        <v>46086.683581620367</v>
      </c>
      <c r="B2899" s="5">
        <v>92638</v>
      </c>
      <c r="C2899" s="5">
        <v>1140829561</v>
      </c>
      <c r="D2899" s="5" t="s">
        <v>12805</v>
      </c>
      <c r="F2899" s="5"/>
      <c r="H2899" s="5">
        <v>573013512007</v>
      </c>
      <c r="J2899" s="5" t="s">
        <v>12805</v>
      </c>
      <c r="K2899" s="5" t="s">
        <v>1317</v>
      </c>
      <c r="L2899" s="5" t="s">
        <v>12806</v>
      </c>
      <c r="M2899" s="5">
        <v>573013512007</v>
      </c>
      <c r="N2899" s="6">
        <v>46086</v>
      </c>
      <c r="O2899" s="7">
        <v>0.70833333333333337</v>
      </c>
      <c r="P2899" s="5">
        <v>1</v>
      </c>
      <c r="Q2899" s="5" t="s">
        <v>42</v>
      </c>
      <c r="R2899" s="5">
        <v>36000</v>
      </c>
      <c r="S2899" s="5">
        <v>0</v>
      </c>
      <c r="T2899" s="5">
        <v>12000</v>
      </c>
      <c r="U2899" s="5">
        <v>48000</v>
      </c>
      <c r="V2899" s="5"/>
      <c r="W2899" s="5" t="s">
        <v>36</v>
      </c>
      <c r="X2899" s="5" t="s">
        <v>67</v>
      </c>
      <c r="Z2899" s="5"/>
      <c r="AA2899" s="5" t="s">
        <v>44</v>
      </c>
      <c r="AB2899" s="5" t="s">
        <v>12807</v>
      </c>
      <c r="AC2899" s="8" t="str">
        <f>HYPERLINK("https://drive.google.com/file/d/1Wc-LKLLU5PYe1mODdM04T3tfZ-Oabh_Q/view?usp=drivesdk", "Abrir_Factura")</f>
        <v>Abrir_Factura</v>
      </c>
      <c r="AD2899" s="9">
        <v>46086.685289351852</v>
      </c>
    </row>
    <row r="2900" spans="1:30" ht="12.5">
      <c r="A2900" s="4">
        <v>46086.692220833334</v>
      </c>
      <c r="B2900" s="5">
        <v>92639</v>
      </c>
      <c r="C2900" s="5">
        <v>1123992288</v>
      </c>
      <c r="D2900" s="5" t="s">
        <v>12808</v>
      </c>
      <c r="F2900" s="5"/>
      <c r="H2900" s="5">
        <v>573206407364</v>
      </c>
      <c r="J2900" s="5" t="s">
        <v>12809</v>
      </c>
      <c r="K2900" s="5"/>
      <c r="L2900" s="10" t="s">
        <v>3330</v>
      </c>
      <c r="M2900" s="5"/>
      <c r="N2900" s="6">
        <v>46087</v>
      </c>
      <c r="O2900" s="7">
        <v>0.33333333333333331</v>
      </c>
      <c r="P2900" s="5">
        <v>1</v>
      </c>
      <c r="Q2900" s="5" t="s">
        <v>42</v>
      </c>
      <c r="R2900" s="5">
        <v>420000</v>
      </c>
      <c r="S2900" s="5">
        <v>0</v>
      </c>
      <c r="T2900" s="5"/>
      <c r="U2900" s="5">
        <v>420000</v>
      </c>
      <c r="V2900" s="5" t="s">
        <v>12810</v>
      </c>
      <c r="W2900" s="5" t="s">
        <v>36</v>
      </c>
      <c r="X2900" s="5" t="s">
        <v>12646</v>
      </c>
      <c r="Z2900" s="5"/>
      <c r="AA2900" s="5" t="s">
        <v>44</v>
      </c>
      <c r="AB2900" s="5"/>
      <c r="AC2900" s="8" t="str">
        <f>HYPERLINK("https://drive.google.com/file/d/1qVrWsPeZWnaWfSpqO_LDPVhgSHZJ6GwS/view?usp=drivesdk", "Abrir_Factura")</f>
        <v>Abrir_Factura</v>
      </c>
      <c r="AD2900" s="9">
        <v>46087.638749999998</v>
      </c>
    </row>
    <row r="2901" spans="1:30" ht="12.5">
      <c r="A2901" s="4">
        <v>46086.71069122685</v>
      </c>
      <c r="B2901" s="5">
        <v>92642</v>
      </c>
      <c r="C2901" s="5">
        <v>72288337</v>
      </c>
      <c r="D2901" s="5" t="s">
        <v>12811</v>
      </c>
      <c r="F2901" s="5"/>
      <c r="H2901" s="5">
        <v>573202773972</v>
      </c>
      <c r="J2901" s="5" t="s">
        <v>12812</v>
      </c>
      <c r="K2901" s="5" t="s">
        <v>154</v>
      </c>
      <c r="L2901" s="5" t="s">
        <v>12813</v>
      </c>
      <c r="M2901" s="5">
        <v>573202773972</v>
      </c>
      <c r="N2901" s="6">
        <v>46086</v>
      </c>
      <c r="O2901" s="7">
        <v>0.75</v>
      </c>
      <c r="P2901" s="5">
        <v>1</v>
      </c>
      <c r="Q2901" s="5" t="s">
        <v>12814</v>
      </c>
      <c r="R2901" s="5">
        <v>240000</v>
      </c>
      <c r="S2901" s="5">
        <v>0</v>
      </c>
      <c r="T2901" s="5">
        <v>8000</v>
      </c>
      <c r="U2901" s="5">
        <v>248000</v>
      </c>
      <c r="V2901" s="5"/>
      <c r="W2901" s="5" t="s">
        <v>36</v>
      </c>
      <c r="X2901" s="5" t="s">
        <v>67</v>
      </c>
      <c r="Z2901" s="5"/>
      <c r="AA2901" s="5" t="s">
        <v>44</v>
      </c>
      <c r="AB2901" s="5"/>
      <c r="AC2901" s="8" t="str">
        <f>HYPERLINK("https://drive.google.com/file/d/1oUV5WavR2j61OIsLFykEx4aFUsRudnU6/view?usp=drivesdk", "Abrir_Factura")</f>
        <v>Abrir_Factura</v>
      </c>
      <c r="AD2901" s="9">
        <v>46086.729699074072</v>
      </c>
    </row>
    <row r="2902" spans="1:30" ht="12.5">
      <c r="A2902" s="4">
        <v>46086.714163750003</v>
      </c>
      <c r="B2902" s="5">
        <v>92644</v>
      </c>
      <c r="C2902" s="5">
        <v>1051673967</v>
      </c>
      <c r="D2902" s="5" t="s">
        <v>12815</v>
      </c>
      <c r="F2902" s="5"/>
      <c r="H2902" s="5">
        <v>573135319170</v>
      </c>
      <c r="J2902" s="5" t="s">
        <v>12816</v>
      </c>
      <c r="K2902" s="5" t="s">
        <v>12657</v>
      </c>
      <c r="L2902" s="5" t="s">
        <v>12657</v>
      </c>
      <c r="M2902" s="5">
        <v>573135319170</v>
      </c>
      <c r="N2902" s="6">
        <v>46089</v>
      </c>
      <c r="O2902" s="7">
        <v>0.375</v>
      </c>
      <c r="P2902" s="5">
        <v>1</v>
      </c>
      <c r="Q2902" s="5" t="s">
        <v>12817</v>
      </c>
      <c r="R2902" s="5">
        <v>340000</v>
      </c>
      <c r="S2902" s="5">
        <v>0</v>
      </c>
      <c r="T2902" s="5"/>
      <c r="U2902" s="5">
        <v>340000</v>
      </c>
      <c r="V2902" s="5" t="s">
        <v>12818</v>
      </c>
      <c r="W2902" s="5" t="s">
        <v>36</v>
      </c>
      <c r="X2902" s="5" t="s">
        <v>12646</v>
      </c>
      <c r="Z2902" s="5" t="s">
        <v>12819</v>
      </c>
      <c r="AA2902" s="5" t="s">
        <v>44</v>
      </c>
      <c r="AB2902" s="5"/>
      <c r="AC2902" s="8" t="str">
        <f>HYPERLINK("https://drive.google.com/file/d/1Lo6jU27LZFsx6yvplPOFVrIcfQhYB_mQ/view?usp=drivesdk", "Abrir_Factura")</f>
        <v>Abrir_Factura</v>
      </c>
      <c r="AD2902" s="9">
        <v>46086.737002314818</v>
      </c>
    </row>
    <row r="2903" spans="1:30" ht="12.5">
      <c r="A2903" s="4">
        <v>46086.724716400466</v>
      </c>
      <c r="B2903" s="5">
        <v>92641</v>
      </c>
      <c r="C2903" s="5">
        <v>1001870912</v>
      </c>
      <c r="D2903" s="5" t="s">
        <v>12820</v>
      </c>
      <c r="F2903" s="5"/>
      <c r="H2903" s="5">
        <v>573003794304</v>
      </c>
      <c r="J2903" s="5" t="s">
        <v>12820</v>
      </c>
      <c r="K2903" s="5" t="s">
        <v>12657</v>
      </c>
      <c r="L2903" s="5" t="s">
        <v>12657</v>
      </c>
      <c r="M2903" s="5">
        <v>573003794304</v>
      </c>
      <c r="N2903" s="6">
        <v>46086</v>
      </c>
      <c r="O2903" s="7">
        <v>0.70833333333333337</v>
      </c>
      <c r="P2903" s="5">
        <v>1</v>
      </c>
      <c r="Q2903" s="5" t="s">
        <v>42</v>
      </c>
      <c r="R2903" s="5">
        <v>40000</v>
      </c>
      <c r="S2903" s="5">
        <v>0</v>
      </c>
      <c r="T2903" s="5"/>
      <c r="U2903" s="5">
        <v>40000</v>
      </c>
      <c r="V2903" s="5"/>
      <c r="W2903" s="5" t="s">
        <v>36</v>
      </c>
      <c r="X2903" s="5" t="s">
        <v>180</v>
      </c>
      <c r="Z2903" s="5"/>
      <c r="AA2903" s="5" t="s">
        <v>1717</v>
      </c>
      <c r="AB2903" s="5" t="s">
        <v>12821</v>
      </c>
      <c r="AC2903" s="8" t="str">
        <f>HYPERLINK("https://drive.google.com/file/d/1mH9qyVaC9AHINIRQ48no_UaXYKrhw2c1/view?usp=drivesdk", "Abrir_Factura")</f>
        <v>Abrir_Factura</v>
      </c>
      <c r="AD2903" s="9">
        <v>46087.670613425929</v>
      </c>
    </row>
    <row r="2904" spans="1:30" ht="12.5">
      <c r="A2904" s="4">
        <v>46086.746920613426</v>
      </c>
      <c r="B2904" s="5">
        <v>92645</v>
      </c>
      <c r="C2904" s="5">
        <v>900521807</v>
      </c>
      <c r="D2904" s="5" t="s">
        <v>5734</v>
      </c>
      <c r="F2904" s="5"/>
      <c r="H2904" s="5">
        <v>573153543653</v>
      </c>
      <c r="J2904" s="5" t="s">
        <v>5734</v>
      </c>
      <c r="K2904" s="5" t="s">
        <v>12657</v>
      </c>
      <c r="L2904" s="5" t="s">
        <v>12657</v>
      </c>
      <c r="M2904" s="5">
        <v>573153543653</v>
      </c>
      <c r="N2904" s="6">
        <v>46086</v>
      </c>
      <c r="O2904" s="7">
        <v>0</v>
      </c>
      <c r="P2904" s="5">
        <v>1</v>
      </c>
      <c r="Q2904" s="5" t="s">
        <v>42</v>
      </c>
      <c r="R2904" s="5">
        <v>0</v>
      </c>
      <c r="S2904" s="5">
        <v>0</v>
      </c>
      <c r="T2904" s="5"/>
      <c r="U2904" s="5">
        <v>0</v>
      </c>
      <c r="V2904" s="10" t="s">
        <v>3330</v>
      </c>
      <c r="W2904" s="5" t="s">
        <v>36</v>
      </c>
      <c r="X2904" s="5" t="s">
        <v>43</v>
      </c>
      <c r="Z2904" s="5"/>
      <c r="AA2904" s="5" t="s">
        <v>44</v>
      </c>
      <c r="AB2904" s="5"/>
      <c r="AC2904" s="8" t="str">
        <f>HYPERLINK("https://drive.google.com/file/d/188-_v9AaCbqBHsGEEVjV9Noibyqll_bs/view?usp=drivesdk", "Abrir_Factura")</f>
        <v>Abrir_Factura</v>
      </c>
      <c r="AD2904" s="9">
        <v>46086.747916666667</v>
      </c>
    </row>
    <row r="2905" spans="1:30" ht="12.5">
      <c r="A2905" s="4">
        <v>46086.759516087965</v>
      </c>
      <c r="B2905" s="5">
        <v>92646</v>
      </c>
      <c r="C2905" s="5">
        <v>900588216</v>
      </c>
      <c r="D2905" s="5" t="s">
        <v>12822</v>
      </c>
      <c r="F2905" s="5"/>
      <c r="H2905" s="5">
        <v>573188044510</v>
      </c>
      <c r="J2905" s="5" t="s">
        <v>12823</v>
      </c>
      <c r="K2905" s="5" t="s">
        <v>154</v>
      </c>
      <c r="L2905" s="5" t="s">
        <v>12824</v>
      </c>
      <c r="M2905" s="5">
        <v>573188044510</v>
      </c>
      <c r="N2905" s="6">
        <v>46087</v>
      </c>
      <c r="O2905" s="7">
        <v>0.41666666666666669</v>
      </c>
      <c r="P2905" s="5">
        <v>6</v>
      </c>
      <c r="Q2905" s="5" t="s">
        <v>42</v>
      </c>
      <c r="R2905" s="5">
        <v>113277</v>
      </c>
      <c r="S2905" s="5">
        <v>21522.63</v>
      </c>
      <c r="T2905" s="5">
        <v>8000</v>
      </c>
      <c r="U2905" s="5">
        <v>142800</v>
      </c>
      <c r="V2905" s="5" t="s">
        <v>12825</v>
      </c>
      <c r="W2905" s="5" t="s">
        <v>36</v>
      </c>
      <c r="X2905" s="5" t="s">
        <v>67</v>
      </c>
      <c r="Z2905" s="5" t="s">
        <v>12823</v>
      </c>
      <c r="AA2905" s="5" t="s">
        <v>44</v>
      </c>
      <c r="AB2905" s="5"/>
      <c r="AC2905" s="8" t="str">
        <f>HYPERLINK("https://drive.google.com/file/d/1dwvaO0aIMGU63-oIm3W08G4Y0Rhj5F1d/view?usp=drivesdk", "Abrir_Factura")</f>
        <v>Abrir_Factura</v>
      </c>
      <c r="AD2905" s="9">
        <v>46086.768506944441</v>
      </c>
    </row>
    <row r="2906" spans="1:30" ht="12.5">
      <c r="A2906" s="4">
        <v>46086.772262743056</v>
      </c>
      <c r="B2906" s="5">
        <v>92656</v>
      </c>
      <c r="C2906" s="5">
        <v>1140890127</v>
      </c>
      <c r="D2906" s="5" t="s">
        <v>12826</v>
      </c>
      <c r="F2906" s="5"/>
      <c r="H2906" s="5">
        <v>573192220437</v>
      </c>
      <c r="J2906" s="5" t="s">
        <v>1323</v>
      </c>
      <c r="K2906" s="5" t="s">
        <v>12827</v>
      </c>
      <c r="L2906" s="5" t="s">
        <v>12828</v>
      </c>
      <c r="M2906" s="5">
        <v>573192220437</v>
      </c>
      <c r="N2906" s="6">
        <v>46089</v>
      </c>
      <c r="O2906" s="7">
        <v>0.29166666666666669</v>
      </c>
      <c r="P2906" s="5">
        <v>1</v>
      </c>
      <c r="Q2906" s="5" t="s">
        <v>12406</v>
      </c>
      <c r="R2906" s="5">
        <v>90000</v>
      </c>
      <c r="S2906" s="5">
        <v>0</v>
      </c>
      <c r="T2906" s="5">
        <v>17000</v>
      </c>
      <c r="U2906" s="5">
        <v>107000</v>
      </c>
      <c r="V2906" s="5" t="s">
        <v>12829</v>
      </c>
      <c r="W2906" s="5" t="s">
        <v>36</v>
      </c>
      <c r="X2906" s="5" t="s">
        <v>12646</v>
      </c>
      <c r="Z2906" s="5" t="s">
        <v>12830</v>
      </c>
      <c r="AA2906" s="5" t="s">
        <v>44</v>
      </c>
      <c r="AB2906" s="5"/>
      <c r="AC2906" s="8" t="str">
        <f>HYPERLINK("https://drive.google.com/file/d/18sSfIEbHyYixKWNm7ckjR8mstOdBxWqK/view?usp=drivesdk", "Abrir_Factura")</f>
        <v>Abrir_Factura</v>
      </c>
      <c r="AD2906" s="9">
        <v>46087.4143287037</v>
      </c>
    </row>
    <row r="2907" spans="1:30" ht="12.5">
      <c r="A2907" s="4">
        <v>46086.80196950231</v>
      </c>
      <c r="B2907" s="5">
        <v>92648</v>
      </c>
      <c r="C2907" s="5">
        <v>80192114</v>
      </c>
      <c r="D2907" s="5" t="s">
        <v>12831</v>
      </c>
      <c r="F2907" s="5"/>
      <c r="H2907" s="5">
        <v>573103232252</v>
      </c>
      <c r="J2907" s="5" t="s">
        <v>12832</v>
      </c>
      <c r="K2907" s="5" t="s">
        <v>185</v>
      </c>
      <c r="L2907" s="5" t="s">
        <v>12833</v>
      </c>
      <c r="M2907" s="5">
        <v>573103232252</v>
      </c>
      <c r="N2907" s="6">
        <v>46089</v>
      </c>
      <c r="O2907" s="7">
        <v>0.33333333333333331</v>
      </c>
      <c r="P2907" s="5">
        <v>1</v>
      </c>
      <c r="Q2907" s="5" t="s">
        <v>12834</v>
      </c>
      <c r="R2907" s="5">
        <v>590000</v>
      </c>
      <c r="S2907" s="5">
        <v>0</v>
      </c>
      <c r="T2907" s="5">
        <v>8000</v>
      </c>
      <c r="U2907" s="5">
        <v>598000</v>
      </c>
      <c r="V2907" s="5" t="s">
        <v>12835</v>
      </c>
      <c r="W2907" s="5" t="s">
        <v>36</v>
      </c>
      <c r="X2907" s="5" t="s">
        <v>12646</v>
      </c>
      <c r="Z2907" s="5" t="s">
        <v>2350</v>
      </c>
      <c r="AA2907" s="5" t="s">
        <v>44</v>
      </c>
      <c r="AB2907" s="5"/>
      <c r="AC2907" s="8" t="str">
        <f>HYPERLINK("https://drive.google.com/file/d/1p4c5WvSxirHVFD9YanS95FRKgAXu8U6p/view?usp=drivesdk", "Abrir_Factura")</f>
        <v>Abrir_Factura</v>
      </c>
      <c r="AD2907" s="9">
        <v>46087.332592592589</v>
      </c>
    </row>
    <row r="2908" spans="1:30" ht="12.5">
      <c r="A2908" s="4">
        <v>46086.939286550929</v>
      </c>
      <c r="B2908" s="5">
        <v>92647</v>
      </c>
      <c r="C2908" s="5">
        <v>1140883982</v>
      </c>
      <c r="D2908" s="5" t="s">
        <v>12836</v>
      </c>
      <c r="F2908" s="5"/>
      <c r="H2908" s="5">
        <v>573006169903</v>
      </c>
      <c r="J2908" s="5" t="s">
        <v>12837</v>
      </c>
      <c r="K2908" s="5" t="s">
        <v>73</v>
      </c>
      <c r="L2908" s="5" t="s">
        <v>12838</v>
      </c>
      <c r="M2908" s="5">
        <v>573504309067</v>
      </c>
      <c r="N2908" s="6">
        <v>46087</v>
      </c>
      <c r="O2908" s="7">
        <v>0.375</v>
      </c>
      <c r="P2908" s="5">
        <v>1</v>
      </c>
      <c r="Q2908" s="5" t="s">
        <v>458</v>
      </c>
      <c r="R2908" s="5">
        <v>360000</v>
      </c>
      <c r="S2908" s="5">
        <v>0</v>
      </c>
      <c r="T2908" s="5">
        <v>8000</v>
      </c>
      <c r="U2908" s="5">
        <v>368000</v>
      </c>
      <c r="V2908" s="5" t="s">
        <v>12839</v>
      </c>
      <c r="W2908" s="5" t="s">
        <v>36</v>
      </c>
      <c r="X2908" s="5" t="s">
        <v>67</v>
      </c>
      <c r="Z2908" s="5" t="s">
        <v>12840</v>
      </c>
      <c r="AA2908" s="5" t="s">
        <v>44</v>
      </c>
      <c r="AB2908" s="5"/>
      <c r="AC2908" s="8" t="str">
        <f>HYPERLINK("https://drive.google.com/file/d/1RA1EGwtbPcN__7ui_1ffvy3oAq8X0jmP/view?usp=drivesdk", "Abrir_Factura")</f>
        <v>Abrir_Factura</v>
      </c>
      <c r="AD2908" s="9">
        <v>46087.320150462961</v>
      </c>
    </row>
    <row r="2909" spans="1:30" ht="12.5">
      <c r="A2909" s="4">
        <v>46087.327113993058</v>
      </c>
      <c r="B2909" s="5">
        <v>92728</v>
      </c>
      <c r="C2909" s="5">
        <v>1001939968</v>
      </c>
      <c r="D2909" s="5" t="s">
        <v>12841</v>
      </c>
      <c r="F2909" s="5"/>
      <c r="H2909" s="5">
        <v>573004619452</v>
      </c>
      <c r="J2909" s="5" t="s">
        <v>12842</v>
      </c>
      <c r="K2909" s="5" t="s">
        <v>63</v>
      </c>
      <c r="L2909" s="5" t="s">
        <v>12843</v>
      </c>
      <c r="M2909" s="5">
        <v>573004619452</v>
      </c>
      <c r="N2909" s="6">
        <v>46089</v>
      </c>
      <c r="O2909" s="7">
        <v>0</v>
      </c>
      <c r="P2909" s="5">
        <v>1</v>
      </c>
      <c r="Q2909" s="5" t="s">
        <v>12844</v>
      </c>
      <c r="R2909" s="5">
        <v>80000</v>
      </c>
      <c r="S2909" s="5">
        <v>0</v>
      </c>
      <c r="T2909" s="5">
        <v>17000</v>
      </c>
      <c r="U2909" s="5">
        <v>97000</v>
      </c>
      <c r="V2909" s="5" t="s">
        <v>12845</v>
      </c>
      <c r="W2909" s="5" t="s">
        <v>36</v>
      </c>
      <c r="X2909" s="5" t="s">
        <v>12646</v>
      </c>
      <c r="Z2909" s="5" t="s">
        <v>12846</v>
      </c>
      <c r="AA2909" s="5" t="s">
        <v>44</v>
      </c>
      <c r="AB2909" s="5"/>
      <c r="AC2909" s="8" t="str">
        <f>HYPERLINK("https://drive.google.com/file/d/1V7xidV-H-SZMBGEC0jeZ6ocWzlOqcPnl/view?usp=drivesdk", "Abrir_Factura")</f>
        <v>Abrir_Factura</v>
      </c>
      <c r="AD2909" s="9">
        <v>46088.347627314812</v>
      </c>
    </row>
    <row r="2910" spans="1:30" ht="12.5">
      <c r="A2910" s="4">
        <v>46087.341061655097</v>
      </c>
      <c r="B2910" s="5">
        <v>92652</v>
      </c>
      <c r="C2910" s="5">
        <v>1044430485</v>
      </c>
      <c r="D2910" s="5" t="s">
        <v>12847</v>
      </c>
      <c r="F2910" s="5"/>
      <c r="H2910" s="5">
        <v>573017246593</v>
      </c>
      <c r="J2910" s="5" t="s">
        <v>12848</v>
      </c>
      <c r="K2910" s="5" t="s">
        <v>249</v>
      </c>
      <c r="L2910" s="5" t="s">
        <v>12849</v>
      </c>
      <c r="M2910" s="5">
        <v>573005136298</v>
      </c>
      <c r="N2910" s="6">
        <v>46087</v>
      </c>
      <c r="O2910" s="7">
        <v>0.41666666666666669</v>
      </c>
      <c r="P2910" s="5">
        <v>1</v>
      </c>
      <c r="Q2910" s="5" t="s">
        <v>12496</v>
      </c>
      <c r="R2910" s="5">
        <v>120000</v>
      </c>
      <c r="S2910" s="5">
        <v>0</v>
      </c>
      <c r="T2910" s="5">
        <v>10000</v>
      </c>
      <c r="U2910" s="5">
        <v>130000</v>
      </c>
      <c r="V2910" s="5" t="s">
        <v>12850</v>
      </c>
      <c r="W2910" s="5" t="s">
        <v>36</v>
      </c>
      <c r="X2910" s="5" t="s">
        <v>67</v>
      </c>
      <c r="Z2910" s="5" t="s">
        <v>12851</v>
      </c>
      <c r="AA2910" s="5" t="s">
        <v>44</v>
      </c>
      <c r="AB2910" s="5"/>
      <c r="AC2910" s="8" t="str">
        <f>HYPERLINK("https://drive.google.com/file/d/1rtueRQhWXfc3BxqE3LeJdpe-lbGhaxGX/view?usp=drivesdk", "Abrir_Factura")</f>
        <v>Abrir_Factura</v>
      </c>
      <c r="AD2910" s="9">
        <v>46087.370497685188</v>
      </c>
    </row>
    <row r="2911" spans="1:30" ht="12.5">
      <c r="A2911" s="4">
        <v>46087.34164716435</v>
      </c>
      <c r="B2911" s="5">
        <v>92649</v>
      </c>
      <c r="C2911" s="5">
        <v>32608060</v>
      </c>
      <c r="D2911" s="5" t="s">
        <v>4906</v>
      </c>
      <c r="F2911" s="5"/>
      <c r="H2911" s="5">
        <v>573183607759</v>
      </c>
      <c r="J2911" s="5" t="s">
        <v>4906</v>
      </c>
      <c r="K2911" s="5" t="s">
        <v>12657</v>
      </c>
      <c r="L2911" s="5" t="s">
        <v>12657</v>
      </c>
      <c r="M2911" s="5">
        <v>573183607759</v>
      </c>
      <c r="N2911" s="6">
        <v>46087</v>
      </c>
      <c r="O2911" s="7">
        <v>0</v>
      </c>
      <c r="P2911" s="5">
        <v>1</v>
      </c>
      <c r="Q2911" s="5" t="s">
        <v>42</v>
      </c>
      <c r="R2911" s="5">
        <v>100000</v>
      </c>
      <c r="S2911" s="5">
        <v>0</v>
      </c>
      <c r="T2911" s="5"/>
      <c r="U2911" s="5">
        <v>100000</v>
      </c>
      <c r="V2911" s="5"/>
      <c r="W2911" s="5" t="s">
        <v>36</v>
      </c>
      <c r="X2911" s="5" t="s">
        <v>1705</v>
      </c>
      <c r="Z2911" s="5"/>
      <c r="AA2911" s="5" t="s">
        <v>1717</v>
      </c>
      <c r="AB2911" s="5"/>
      <c r="AC2911" s="8" t="str">
        <f>HYPERLINK("https://drive.google.com/file/d/1jYyxjvY39VrU3g-HwmaPFjxj_gA65ZSq/view?usp=drivesdk", "Abrir_Factura")</f>
        <v>Abrir_Factura</v>
      </c>
      <c r="AD2911" s="9">
        <v>46087.342430555553</v>
      </c>
    </row>
    <row r="2912" spans="1:30" ht="12.5">
      <c r="A2912" s="4">
        <v>46087.341655914352</v>
      </c>
      <c r="B2912" s="5">
        <v>92657</v>
      </c>
      <c r="C2912" s="5">
        <v>1047493515</v>
      </c>
      <c r="D2912" s="5" t="s">
        <v>12852</v>
      </c>
      <c r="F2912" s="5"/>
      <c r="H2912" s="5">
        <v>573002045156</v>
      </c>
      <c r="J2912" s="5" t="s">
        <v>12853</v>
      </c>
      <c r="K2912" s="5" t="s">
        <v>265</v>
      </c>
      <c r="L2912" s="5" t="s">
        <v>12854</v>
      </c>
      <c r="M2912" s="5">
        <v>573244583928</v>
      </c>
      <c r="N2912" s="6">
        <v>46089</v>
      </c>
      <c r="O2912" s="7">
        <v>0.33333333333333331</v>
      </c>
      <c r="P2912" s="5">
        <v>1</v>
      </c>
      <c r="Q2912" s="5" t="s">
        <v>12855</v>
      </c>
      <c r="R2912" s="5">
        <v>130000</v>
      </c>
      <c r="S2912" s="5">
        <v>0</v>
      </c>
      <c r="T2912" s="5">
        <v>17000</v>
      </c>
      <c r="U2912" s="5">
        <v>147000</v>
      </c>
      <c r="V2912" s="5" t="s">
        <v>12856</v>
      </c>
      <c r="W2912" s="5" t="s">
        <v>36</v>
      </c>
      <c r="X2912" s="5" t="s">
        <v>12646</v>
      </c>
      <c r="Z2912" s="5" t="s">
        <v>12857</v>
      </c>
      <c r="AA2912" s="5" t="s">
        <v>44</v>
      </c>
      <c r="AB2912" s="5"/>
      <c r="AC2912" s="8" t="str">
        <f>HYPERLINK("https://drive.google.com/file/d/1V_189gJQan0SpgvXhg60yhatmXAb27hc/view?usp=drivesdk", "Abrir_Factura")</f>
        <v>Abrir_Factura</v>
      </c>
      <c r="AD2912" s="9">
        <v>46087.420694444445</v>
      </c>
    </row>
    <row r="2913" spans="1:30" ht="12.5">
      <c r="A2913" s="4">
        <v>46087.356369444446</v>
      </c>
      <c r="B2913" s="5">
        <v>92650</v>
      </c>
      <c r="C2913" s="5">
        <v>1002159612</v>
      </c>
      <c r="D2913" s="5" t="s">
        <v>12858</v>
      </c>
      <c r="F2913" s="5"/>
      <c r="H2913" s="5">
        <v>573014499819</v>
      </c>
      <c r="J2913" s="5" t="s">
        <v>12859</v>
      </c>
      <c r="K2913" s="5" t="s">
        <v>1921</v>
      </c>
      <c r="L2913" s="5" t="s">
        <v>12860</v>
      </c>
      <c r="M2913" s="5">
        <v>573197235806</v>
      </c>
      <c r="N2913" s="6">
        <v>46087</v>
      </c>
      <c r="O2913" s="7">
        <v>0.41666666666666669</v>
      </c>
      <c r="P2913" s="5">
        <v>1</v>
      </c>
      <c r="Q2913" s="5" t="s">
        <v>322</v>
      </c>
      <c r="R2913" s="5">
        <v>135000</v>
      </c>
      <c r="S2913" s="5">
        <v>0</v>
      </c>
      <c r="T2913" s="5">
        <v>15000</v>
      </c>
      <c r="U2913" s="5">
        <v>150000</v>
      </c>
      <c r="V2913" s="5" t="s">
        <v>12861</v>
      </c>
      <c r="W2913" s="5" t="s">
        <v>36</v>
      </c>
      <c r="X2913" s="5" t="s">
        <v>180</v>
      </c>
      <c r="Z2913" s="5" t="s">
        <v>12862</v>
      </c>
      <c r="AA2913" s="5" t="s">
        <v>44</v>
      </c>
      <c r="AB2913" s="5"/>
      <c r="AC2913" s="8" t="str">
        <f>HYPERLINK("https://drive.google.com/file/d/1Aa5Guldt-w3uB2S8rxEAehvIUhnB37jC/view?usp=drivesdk", "Abrir_Factura")</f>
        <v>Abrir_Factura</v>
      </c>
      <c r="AD2913" s="9">
        <v>46087.363333333335</v>
      </c>
    </row>
    <row r="2914" spans="1:30" ht="12.5">
      <c r="A2914" s="4">
        <v>46087.363670451392</v>
      </c>
      <c r="B2914" s="5">
        <v>92653</v>
      </c>
      <c r="C2914" s="5">
        <v>1140825508</v>
      </c>
      <c r="D2914" s="5" t="s">
        <v>12863</v>
      </c>
      <c r="F2914" s="5"/>
      <c r="H2914" s="5">
        <v>573157214282</v>
      </c>
      <c r="J2914" s="5" t="s">
        <v>4557</v>
      </c>
      <c r="K2914" s="5" t="s">
        <v>4558</v>
      </c>
      <c r="L2914" s="5" t="s">
        <v>12864</v>
      </c>
      <c r="M2914" s="5">
        <v>573003475586</v>
      </c>
      <c r="N2914" s="6">
        <v>46087</v>
      </c>
      <c r="O2914" s="7">
        <v>0.33333333333333331</v>
      </c>
      <c r="P2914" s="5">
        <v>1</v>
      </c>
      <c r="Q2914" s="5" t="s">
        <v>12793</v>
      </c>
      <c r="R2914" s="5">
        <v>70000</v>
      </c>
      <c r="S2914" s="5">
        <v>0</v>
      </c>
      <c r="T2914" s="5">
        <v>10000</v>
      </c>
      <c r="U2914" s="5">
        <v>80000</v>
      </c>
      <c r="V2914" s="5" t="s">
        <v>12865</v>
      </c>
      <c r="W2914" s="5" t="s">
        <v>36</v>
      </c>
      <c r="X2914" s="5" t="s">
        <v>12646</v>
      </c>
      <c r="Z2914" s="5" t="s">
        <v>1806</v>
      </c>
      <c r="AA2914" s="5" t="s">
        <v>44</v>
      </c>
      <c r="AB2914" s="5"/>
      <c r="AC2914" s="8" t="str">
        <f>HYPERLINK("https://drive.google.com/file/d/1i47lf0WRhUcyPZsab8F1JNz8MOKXLpBw/view?usp=drivesdk", "Abrir_Factura")</f>
        <v>Abrir_Factura</v>
      </c>
      <c r="AD2914" s="9">
        <v>46087.381631944445</v>
      </c>
    </row>
    <row r="2915" spans="1:30" ht="12.5">
      <c r="A2915" s="4">
        <v>46087.366602615744</v>
      </c>
      <c r="B2915" s="5">
        <v>92651</v>
      </c>
      <c r="C2915" s="5">
        <v>22550720</v>
      </c>
      <c r="D2915" s="5" t="s">
        <v>5007</v>
      </c>
      <c r="F2915" s="5"/>
      <c r="H2915" s="5">
        <v>573229447327</v>
      </c>
      <c r="J2915" s="5" t="s">
        <v>5007</v>
      </c>
      <c r="K2915" s="5" t="s">
        <v>12657</v>
      </c>
      <c r="L2915" s="5" t="s">
        <v>12657</v>
      </c>
      <c r="M2915" s="5">
        <v>573229447327</v>
      </c>
      <c r="N2915" s="6">
        <v>46087</v>
      </c>
      <c r="O2915" s="7">
        <v>0</v>
      </c>
      <c r="P2915" s="5">
        <v>1</v>
      </c>
      <c r="Q2915" s="5" t="s">
        <v>42</v>
      </c>
      <c r="R2915" s="5">
        <v>30000</v>
      </c>
      <c r="S2915" s="5">
        <v>0</v>
      </c>
      <c r="T2915" s="5"/>
      <c r="U2915" s="5">
        <v>30000</v>
      </c>
      <c r="V2915" s="5"/>
      <c r="W2915" s="5" t="s">
        <v>36</v>
      </c>
      <c r="X2915" s="5" t="s">
        <v>1705</v>
      </c>
      <c r="Z2915" s="5"/>
      <c r="AA2915" s="5" t="s">
        <v>44</v>
      </c>
      <c r="AB2915" s="5" t="s">
        <v>12866</v>
      </c>
      <c r="AC2915" s="8" t="str">
        <f>HYPERLINK("https://drive.google.com/file/d/14YXITWzAgIdZMoDdNPrHFn2kMhZqUfPN/view?usp=drivesdk", "Abrir_Factura")</f>
        <v>Abrir_Factura</v>
      </c>
      <c r="AD2915" s="9">
        <v>46087.380162037036</v>
      </c>
    </row>
    <row r="2916" spans="1:30" ht="12.5">
      <c r="A2916" s="4">
        <v>46087.391402615744</v>
      </c>
      <c r="B2916" s="5">
        <v>92655</v>
      </c>
      <c r="C2916" s="5">
        <v>72001817</v>
      </c>
      <c r="D2916" s="5" t="s">
        <v>12867</v>
      </c>
      <c r="F2916" s="5"/>
      <c r="H2916" s="5">
        <v>573173317836</v>
      </c>
      <c r="J2916" s="5" t="s">
        <v>12868</v>
      </c>
      <c r="K2916" s="5" t="s">
        <v>5574</v>
      </c>
      <c r="L2916" s="5" t="s">
        <v>12869</v>
      </c>
      <c r="M2916" s="5">
        <v>573173317836</v>
      </c>
      <c r="N2916" s="6">
        <v>46087</v>
      </c>
      <c r="O2916" s="7">
        <v>0.41666666666666669</v>
      </c>
      <c r="P2916" s="5">
        <v>1</v>
      </c>
      <c r="Q2916" s="5" t="s">
        <v>12651</v>
      </c>
      <c r="R2916" s="5">
        <v>360000</v>
      </c>
      <c r="S2916" s="5">
        <v>0</v>
      </c>
      <c r="T2916" s="5">
        <v>10000</v>
      </c>
      <c r="U2916" s="5">
        <v>370000</v>
      </c>
      <c r="V2916" s="5" t="s">
        <v>12870</v>
      </c>
      <c r="W2916" s="5" t="s">
        <v>36</v>
      </c>
      <c r="X2916" s="5" t="s">
        <v>12646</v>
      </c>
      <c r="Z2916" s="5" t="s">
        <v>12871</v>
      </c>
      <c r="AA2916" s="5" t="s">
        <v>44</v>
      </c>
      <c r="AB2916" s="5"/>
      <c r="AC2916" s="8" t="str">
        <f>HYPERLINK("https://drive.google.com/file/d/1ug-1Y8JIchO_U2HtHWUBvK6eg5Ns3ati/view?usp=drivesdk", "Abrir_Factura")</f>
        <v>Abrir_Factura</v>
      </c>
      <c r="AD2916" s="9">
        <v>46087.403506944444</v>
      </c>
    </row>
    <row r="2917" spans="1:30" ht="12.5">
      <c r="A2917" s="4">
        <v>46087.394994444447</v>
      </c>
      <c r="B2917" s="5">
        <v>92654</v>
      </c>
      <c r="C2917" s="5">
        <v>22580647</v>
      </c>
      <c r="D2917" s="5" t="s">
        <v>1156</v>
      </c>
      <c r="F2917" s="5"/>
      <c r="H2917" s="5">
        <v>573116881567</v>
      </c>
      <c r="J2917" s="5" t="s">
        <v>1156</v>
      </c>
      <c r="K2917" s="5" t="s">
        <v>161</v>
      </c>
      <c r="L2917" s="5" t="s">
        <v>12872</v>
      </c>
      <c r="M2917" s="5">
        <v>573116881567</v>
      </c>
      <c r="N2917" s="6">
        <v>46087</v>
      </c>
      <c r="O2917" s="7">
        <v>0.95833333333333337</v>
      </c>
      <c r="P2917" s="5">
        <v>1</v>
      </c>
      <c r="Q2917" s="5" t="s">
        <v>42</v>
      </c>
      <c r="R2917" s="5">
        <v>30000</v>
      </c>
      <c r="S2917" s="5">
        <v>0</v>
      </c>
      <c r="T2917" s="5">
        <v>8000</v>
      </c>
      <c r="U2917" s="5">
        <v>38000</v>
      </c>
      <c r="V2917" s="5"/>
      <c r="W2917" s="5" t="s">
        <v>36</v>
      </c>
      <c r="X2917" s="5" t="s">
        <v>67</v>
      </c>
      <c r="Z2917" s="5"/>
      <c r="AA2917" s="5" t="s">
        <v>44</v>
      </c>
      <c r="AB2917" s="5" t="s">
        <v>12873</v>
      </c>
      <c r="AC2917" s="8" t="str">
        <f>HYPERLINK("https://drive.google.com/file/d/1YqaSR4LhcSBQI4rzpXHKsNBH1Uw9_FoK/view?usp=drivesdk", "Abrir_Factura")</f>
        <v>Abrir_Factura</v>
      </c>
      <c r="AD2917" s="9">
        <v>46087.40011574074</v>
      </c>
    </row>
    <row r="2918" spans="1:30" ht="12.5">
      <c r="A2918" s="4">
        <v>46087.397954629632</v>
      </c>
      <c r="B2918" s="5">
        <v>92662</v>
      </c>
      <c r="C2918" s="5">
        <v>1140882804</v>
      </c>
      <c r="D2918" s="5" t="s">
        <v>12874</v>
      </c>
      <c r="F2918" s="5"/>
      <c r="H2918" s="5">
        <v>573013290337</v>
      </c>
      <c r="J2918" s="5" t="s">
        <v>12874</v>
      </c>
      <c r="K2918" s="5" t="s">
        <v>12657</v>
      </c>
      <c r="L2918" s="5" t="s">
        <v>12657</v>
      </c>
      <c r="M2918" s="5">
        <v>573013290337</v>
      </c>
      <c r="N2918" s="6">
        <v>46088</v>
      </c>
      <c r="O2918" s="7">
        <v>0.29166666666666669</v>
      </c>
      <c r="P2918" s="5">
        <v>1</v>
      </c>
      <c r="Q2918" s="5" t="s">
        <v>12875</v>
      </c>
      <c r="R2918" s="5">
        <v>210000</v>
      </c>
      <c r="S2918" s="5">
        <v>0</v>
      </c>
      <c r="T2918" s="5"/>
      <c r="U2918" s="5">
        <v>210000</v>
      </c>
      <c r="V2918" s="5" t="s">
        <v>12876</v>
      </c>
      <c r="W2918" s="5" t="s">
        <v>36</v>
      </c>
      <c r="X2918" s="5" t="s">
        <v>1705</v>
      </c>
      <c r="Z2918" s="5"/>
      <c r="AA2918" s="5" t="s">
        <v>44</v>
      </c>
      <c r="AB2918" s="5" t="s">
        <v>12877</v>
      </c>
      <c r="AC2918" s="8" t="str">
        <f>HYPERLINK("https://drive.google.com/file/d/1DksHnavZ098CO1J6x1jySTgTVZdXn86L/view?usp=drivesdk", "Abrir_Factura")</f>
        <v>Abrir_Factura</v>
      </c>
      <c r="AD2918" s="9">
        <v>46088.660891203705</v>
      </c>
    </row>
    <row r="2919" spans="1:30" ht="12.5">
      <c r="A2919" s="4">
        <v>46087.408547349536</v>
      </c>
      <c r="B2919" s="5">
        <v>92670</v>
      </c>
      <c r="C2919" s="5">
        <v>1047041953</v>
      </c>
      <c r="D2919" s="5" t="s">
        <v>12878</v>
      </c>
      <c r="F2919" s="5"/>
      <c r="H2919" s="5">
        <v>573004274762</v>
      </c>
      <c r="J2919" s="5" t="s">
        <v>12878</v>
      </c>
      <c r="K2919" s="5" t="s">
        <v>12657</v>
      </c>
      <c r="L2919" s="5" t="s">
        <v>12657</v>
      </c>
      <c r="M2919" s="5">
        <v>573004274762</v>
      </c>
      <c r="N2919" s="6">
        <v>46088</v>
      </c>
      <c r="O2919" s="7">
        <v>0.375</v>
      </c>
      <c r="P2919" s="5">
        <v>1</v>
      </c>
      <c r="Q2919" s="5" t="s">
        <v>12879</v>
      </c>
      <c r="R2919" s="5">
        <v>280000</v>
      </c>
      <c r="S2919" s="5">
        <v>0</v>
      </c>
      <c r="T2919" s="5"/>
      <c r="U2919" s="5">
        <v>280000</v>
      </c>
      <c r="V2919" s="5" t="s">
        <v>12880</v>
      </c>
      <c r="W2919" s="5" t="s">
        <v>36</v>
      </c>
      <c r="X2919" s="5" t="s">
        <v>12646</v>
      </c>
      <c r="Z2919" s="5" t="s">
        <v>12881</v>
      </c>
      <c r="AA2919" s="5" t="s">
        <v>44</v>
      </c>
      <c r="AB2919" s="5"/>
      <c r="AC2919" s="8" t="str">
        <f>HYPERLINK("https://drive.google.com/file/d/1585-ihhx38O2_ofDJONumXZaR4LDJLnF/view?usp=drivesdk", "Abrir_Factura")</f>
        <v>Abrir_Factura</v>
      </c>
      <c r="AD2919" s="9">
        <v>46087.506030092591</v>
      </c>
    </row>
    <row r="2920" spans="1:30" ht="12.5">
      <c r="A2920" s="4">
        <v>46087.417716782409</v>
      </c>
      <c r="B2920" s="5">
        <v>92658</v>
      </c>
      <c r="C2920" s="5">
        <v>22479639</v>
      </c>
      <c r="D2920" s="5" t="s">
        <v>12882</v>
      </c>
      <c r="F2920" s="5"/>
      <c r="H2920" s="5">
        <v>573014831358</v>
      </c>
      <c r="J2920" s="5" t="s">
        <v>12882</v>
      </c>
      <c r="K2920" s="5" t="s">
        <v>73</v>
      </c>
      <c r="L2920" s="5" t="s">
        <v>12883</v>
      </c>
      <c r="M2920" s="5">
        <v>573014831358</v>
      </c>
      <c r="N2920" s="6">
        <v>46087</v>
      </c>
      <c r="O2920" s="7">
        <v>0.45833333333333331</v>
      </c>
      <c r="P2920" s="5">
        <v>1</v>
      </c>
      <c r="Q2920" s="5" t="s">
        <v>42</v>
      </c>
      <c r="R2920" s="5">
        <v>240000</v>
      </c>
      <c r="S2920" s="5">
        <v>0</v>
      </c>
      <c r="T2920" s="5">
        <v>8000</v>
      </c>
      <c r="U2920" s="5">
        <v>248000</v>
      </c>
      <c r="V2920" s="5"/>
      <c r="W2920" s="5" t="s">
        <v>36</v>
      </c>
      <c r="X2920" s="5" t="s">
        <v>12646</v>
      </c>
      <c r="Z2920" s="5"/>
      <c r="AA2920" s="5" t="s">
        <v>44</v>
      </c>
      <c r="AB2920" s="5" t="s">
        <v>12884</v>
      </c>
      <c r="AC2920" s="8" t="str">
        <f>HYPERLINK("https://drive.google.com/file/d/1Np0llQcLTaGfCA5yyYFvpCa4IwiLnKdq/view?usp=drivesdk", "Abrir_Factura")</f>
        <v>Abrir_Factura</v>
      </c>
      <c r="AD2920" s="9">
        <v>46087.422060185185</v>
      </c>
    </row>
    <row r="2921" spans="1:30" ht="12.5">
      <c r="A2921" s="4">
        <v>46087.439042673606</v>
      </c>
      <c r="B2921" s="5">
        <v>92659</v>
      </c>
      <c r="C2921" s="5">
        <v>72357133</v>
      </c>
      <c r="D2921" s="5" t="s">
        <v>12885</v>
      </c>
      <c r="F2921" s="5"/>
      <c r="H2921" s="5">
        <v>573168301636</v>
      </c>
      <c r="J2921" s="5" t="s">
        <v>12886</v>
      </c>
      <c r="K2921" s="5" t="s">
        <v>185</v>
      </c>
      <c r="L2921" s="5" t="s">
        <v>12887</v>
      </c>
      <c r="M2921" s="5">
        <v>573175164265</v>
      </c>
      <c r="N2921" s="6">
        <v>46089</v>
      </c>
      <c r="O2921" s="7">
        <v>0.375</v>
      </c>
      <c r="P2921" s="5">
        <v>1</v>
      </c>
      <c r="Q2921" s="5" t="s">
        <v>12888</v>
      </c>
      <c r="R2921" s="5">
        <v>90000</v>
      </c>
      <c r="S2921" s="5">
        <v>0</v>
      </c>
      <c r="T2921" s="5">
        <v>8000</v>
      </c>
      <c r="U2921" s="5">
        <v>98000</v>
      </c>
      <c r="V2921" s="5" t="s">
        <v>12889</v>
      </c>
      <c r="W2921" s="5" t="s">
        <v>36</v>
      </c>
      <c r="X2921" s="5" t="s">
        <v>1937</v>
      </c>
      <c r="Z2921" s="5" t="s">
        <v>12890</v>
      </c>
      <c r="AA2921" s="5" t="s">
        <v>44</v>
      </c>
      <c r="AB2921" s="5" t="s">
        <v>12891</v>
      </c>
      <c r="AC2921" s="8" t="str">
        <f>HYPERLINK("https://drive.google.com/file/d/1VlrRjr0douviFjdP632mWTuH-R6ReyKP/view?usp=drivesdk", "Abrir_Factura")</f>
        <v>Abrir_Factura</v>
      </c>
      <c r="AD2921" s="9">
        <v>46087.451782407406</v>
      </c>
    </row>
    <row r="2922" spans="1:30" ht="12.5">
      <c r="A2922" s="4">
        <v>46087.441461724535</v>
      </c>
      <c r="B2922" s="5">
        <v>92660</v>
      </c>
      <c r="C2922" s="5">
        <v>72357133</v>
      </c>
      <c r="D2922" s="5" t="s">
        <v>12885</v>
      </c>
      <c r="F2922" s="5"/>
      <c r="H2922" s="5">
        <v>573168301636</v>
      </c>
      <c r="J2922" s="5" t="s">
        <v>12892</v>
      </c>
      <c r="K2922" s="5" t="s">
        <v>161</v>
      </c>
      <c r="L2922" s="5" t="s">
        <v>12893</v>
      </c>
      <c r="M2922" s="5">
        <v>573185159146</v>
      </c>
      <c r="N2922" s="6">
        <v>46089</v>
      </c>
      <c r="O2922" s="7">
        <v>0.375</v>
      </c>
      <c r="P2922" s="5">
        <v>1</v>
      </c>
      <c r="Q2922" s="5" t="s">
        <v>12844</v>
      </c>
      <c r="R2922" s="5">
        <v>80000</v>
      </c>
      <c r="S2922" s="5">
        <v>0</v>
      </c>
      <c r="T2922" s="5">
        <v>8000</v>
      </c>
      <c r="U2922" s="5">
        <v>88000</v>
      </c>
      <c r="V2922" s="5" t="s">
        <v>12894</v>
      </c>
      <c r="W2922" s="5" t="s">
        <v>36</v>
      </c>
      <c r="X2922" s="5" t="s">
        <v>1937</v>
      </c>
      <c r="Z2922" s="5" t="s">
        <v>12895</v>
      </c>
      <c r="AA2922" s="5" t="s">
        <v>44</v>
      </c>
      <c r="AB2922" s="5"/>
      <c r="AC2922" s="8" t="str">
        <f>HYPERLINK("https://drive.google.com/file/d/1NnWI_kdmH34CZlpUL8LUxjMTtwhOsCUE/view?usp=drivesdk", "Abrir_Factura")</f>
        <v>Abrir_Factura</v>
      </c>
      <c r="AD2922" s="9">
        <v>46087.452013888891</v>
      </c>
    </row>
    <row r="2923" spans="1:30" ht="12.5">
      <c r="A2923" s="4">
        <v>46087.442105474533</v>
      </c>
      <c r="B2923" s="5">
        <v>92664</v>
      </c>
      <c r="C2923" s="5">
        <v>1002067556</v>
      </c>
      <c r="D2923" s="5" t="s">
        <v>12896</v>
      </c>
      <c r="F2923" s="5"/>
      <c r="H2923" s="5">
        <v>573045384624</v>
      </c>
      <c r="J2923" s="5" t="s">
        <v>12897</v>
      </c>
      <c r="K2923" s="5" t="s">
        <v>124</v>
      </c>
      <c r="L2923" s="5" t="s">
        <v>12898</v>
      </c>
      <c r="M2923" s="5">
        <v>573229093463</v>
      </c>
      <c r="N2923" s="6">
        <v>46087</v>
      </c>
      <c r="O2923" s="7">
        <v>0</v>
      </c>
      <c r="P2923" s="5">
        <v>1</v>
      </c>
      <c r="Q2923" s="5" t="s">
        <v>12496</v>
      </c>
      <c r="R2923" s="5">
        <v>120000</v>
      </c>
      <c r="S2923" s="5">
        <v>0</v>
      </c>
      <c r="T2923" s="5">
        <v>12000</v>
      </c>
      <c r="U2923" s="5">
        <v>132000</v>
      </c>
      <c r="V2923" s="5" t="s">
        <v>12899</v>
      </c>
      <c r="W2923" s="5" t="s">
        <v>36</v>
      </c>
      <c r="X2923" s="5" t="s">
        <v>180</v>
      </c>
      <c r="Z2923" s="5" t="s">
        <v>12900</v>
      </c>
      <c r="AA2923" s="5" t="s">
        <v>44</v>
      </c>
      <c r="AB2923" s="5" t="s">
        <v>12901</v>
      </c>
      <c r="AC2923" s="8" t="str">
        <f>HYPERLINK("https://drive.google.com/file/d/1flkh2fDb-HnCnP807eeqwEpBaSRP2FFS/view?usp=drivesdk", "Abrir_Factura")</f>
        <v>Abrir_Factura</v>
      </c>
      <c r="AD2923" s="9">
        <v>46087.460127314815</v>
      </c>
    </row>
    <row r="2924" spans="1:30" ht="12.5">
      <c r="A2924" s="4">
        <v>46087.443130844906</v>
      </c>
      <c r="B2924" s="5">
        <v>92661</v>
      </c>
      <c r="C2924" s="5">
        <v>72357133</v>
      </c>
      <c r="D2924" s="5" t="s">
        <v>12885</v>
      </c>
      <c r="F2924" s="5"/>
      <c r="H2924" s="5">
        <v>573168301636</v>
      </c>
      <c r="J2924" s="5" t="s">
        <v>12902</v>
      </c>
      <c r="K2924" s="5" t="s">
        <v>103</v>
      </c>
      <c r="L2924" s="5" t="s">
        <v>12903</v>
      </c>
      <c r="M2924" s="5">
        <v>573157004630</v>
      </c>
      <c r="N2924" s="6">
        <v>46089</v>
      </c>
      <c r="O2924" s="7">
        <v>0.375</v>
      </c>
      <c r="P2924" s="5">
        <v>1</v>
      </c>
      <c r="Q2924" s="5" t="s">
        <v>12423</v>
      </c>
      <c r="R2924" s="5">
        <v>80000</v>
      </c>
      <c r="S2924" s="5">
        <v>0</v>
      </c>
      <c r="T2924" s="5">
        <v>10000</v>
      </c>
      <c r="U2924" s="5">
        <v>90000</v>
      </c>
      <c r="V2924" s="5" t="s">
        <v>12904</v>
      </c>
      <c r="W2924" s="5" t="s">
        <v>36</v>
      </c>
      <c r="X2924" s="5" t="s">
        <v>1937</v>
      </c>
      <c r="Z2924" s="5"/>
      <c r="AA2924" s="5" t="s">
        <v>44</v>
      </c>
      <c r="AB2924" s="5"/>
      <c r="AC2924" s="8" t="str">
        <f>HYPERLINK("https://drive.google.com/file/d/1c9b8Ufx8qLfy3BOmf2mfPeDKwqyqjIUN/view?usp=drivesdk", "Abrir_Factura")</f>
        <v>Abrir_Factura</v>
      </c>
      <c r="AD2924" s="9">
        <v>46087.452199074076</v>
      </c>
    </row>
    <row r="2925" spans="1:30" ht="12.5">
      <c r="A2925" s="4">
        <v>46087.445216215274</v>
      </c>
      <c r="B2925" s="5">
        <v>92673</v>
      </c>
      <c r="C2925" s="5">
        <v>1234092378</v>
      </c>
      <c r="D2925" s="5" t="s">
        <v>2894</v>
      </c>
      <c r="F2925" s="5"/>
      <c r="H2925" s="5">
        <v>573007729657</v>
      </c>
      <c r="J2925" s="5" t="s">
        <v>12905</v>
      </c>
      <c r="K2925" s="5" t="s">
        <v>8750</v>
      </c>
      <c r="L2925" s="5" t="s">
        <v>12906</v>
      </c>
      <c r="M2925" s="5">
        <v>573003855318</v>
      </c>
      <c r="N2925" s="6">
        <v>46087</v>
      </c>
      <c r="O2925" s="7">
        <v>0.58333333333333337</v>
      </c>
      <c r="P2925" s="5">
        <v>1</v>
      </c>
      <c r="Q2925" s="5" t="s">
        <v>12406</v>
      </c>
      <c r="R2925" s="5">
        <v>90000</v>
      </c>
      <c r="S2925" s="5">
        <v>0</v>
      </c>
      <c r="T2925" s="5">
        <v>30000</v>
      </c>
      <c r="U2925" s="5">
        <v>120000</v>
      </c>
      <c r="V2925" s="5" t="s">
        <v>12907</v>
      </c>
      <c r="W2925" s="5" t="s">
        <v>36</v>
      </c>
      <c r="X2925" s="5" t="s">
        <v>180</v>
      </c>
      <c r="Z2925" s="5" t="s">
        <v>12795</v>
      </c>
      <c r="AA2925" s="5" t="s">
        <v>44</v>
      </c>
      <c r="AB2925" s="5"/>
      <c r="AC2925" s="8" t="str">
        <f>HYPERLINK("https://drive.google.com/file/d/1SktRULmULyRC0ZTrqLQJCvbCWbjl-z6A/view?usp=drivesdk", "Abrir_Factura")</f>
        <v>Abrir_Factura</v>
      </c>
      <c r="AD2925" s="9">
        <v>46087.518333333333</v>
      </c>
    </row>
    <row r="2926" spans="1:30" ht="12.5">
      <c r="A2926" s="4">
        <v>46087.45631793981</v>
      </c>
      <c r="B2926" s="5">
        <v>92663</v>
      </c>
      <c r="C2926" s="5">
        <v>42762209</v>
      </c>
      <c r="D2926" s="5" t="s">
        <v>12908</v>
      </c>
      <c r="F2926" s="5"/>
      <c r="H2926" s="5">
        <v>5715196141332</v>
      </c>
      <c r="J2926" s="5" t="s">
        <v>12909</v>
      </c>
      <c r="K2926" s="5" t="s">
        <v>154</v>
      </c>
      <c r="L2926" s="5" t="s">
        <v>12910</v>
      </c>
      <c r="M2926" s="5">
        <v>573017886866</v>
      </c>
      <c r="N2926" s="6">
        <v>46087</v>
      </c>
      <c r="O2926" s="7">
        <v>0</v>
      </c>
      <c r="P2926" s="5">
        <v>1</v>
      </c>
      <c r="Q2926" s="5" t="s">
        <v>12437</v>
      </c>
      <c r="R2926" s="5">
        <v>250000</v>
      </c>
      <c r="S2926" s="5">
        <v>0</v>
      </c>
      <c r="T2926" s="5">
        <v>8000</v>
      </c>
      <c r="U2926" s="5">
        <v>258000</v>
      </c>
      <c r="V2926" s="5" t="s">
        <v>12911</v>
      </c>
      <c r="W2926" s="5" t="s">
        <v>36</v>
      </c>
      <c r="X2926" s="5" t="s">
        <v>67</v>
      </c>
      <c r="Z2926" s="5"/>
      <c r="AA2926" s="5" t="s">
        <v>69</v>
      </c>
      <c r="AB2926" s="5"/>
      <c r="AC2926" s="8" t="str">
        <f>HYPERLINK("https://drive.google.com/file/d/1pgfH7HGRDPDoiETnA9d6p1LjDkaVhYtT/view?usp=drivesdk", "Abrir_Factura")</f>
        <v>Abrir_Factura</v>
      </c>
      <c r="AD2926" s="9">
        <v>46087.457256944443</v>
      </c>
    </row>
    <row r="2927" spans="1:30" ht="12.5">
      <c r="A2927" s="4">
        <v>46087.463026620375</v>
      </c>
      <c r="B2927" s="5">
        <v>92665</v>
      </c>
      <c r="C2927" s="5">
        <v>1143163171</v>
      </c>
      <c r="D2927" s="5" t="s">
        <v>11666</v>
      </c>
      <c r="F2927" s="5"/>
      <c r="H2927" s="5">
        <v>573204022852</v>
      </c>
      <c r="J2927" s="5" t="s">
        <v>12912</v>
      </c>
      <c r="K2927" s="5" t="s">
        <v>11267</v>
      </c>
      <c r="L2927" s="5" t="s">
        <v>12913</v>
      </c>
      <c r="M2927" s="5">
        <v>573016103754</v>
      </c>
      <c r="N2927" s="6">
        <v>46088</v>
      </c>
      <c r="O2927" s="7">
        <v>0.375</v>
      </c>
      <c r="P2927" s="5">
        <v>1</v>
      </c>
      <c r="Q2927" s="5" t="s">
        <v>12496</v>
      </c>
      <c r="R2927" s="5">
        <v>120000</v>
      </c>
      <c r="S2927" s="5">
        <v>0</v>
      </c>
      <c r="T2927" s="5">
        <v>35000</v>
      </c>
      <c r="U2927" s="5">
        <v>155000</v>
      </c>
      <c r="V2927" s="5" t="s">
        <v>12914</v>
      </c>
      <c r="W2927" s="5" t="s">
        <v>36</v>
      </c>
      <c r="X2927" s="5" t="s">
        <v>1705</v>
      </c>
      <c r="Z2927" s="5"/>
      <c r="AA2927" s="5" t="s">
        <v>1717</v>
      </c>
      <c r="AB2927" s="5" t="s">
        <v>12915</v>
      </c>
      <c r="AC2927" s="8" t="str">
        <f>HYPERLINK("https://drive.google.com/file/d/1H9rd-N2pkqSBO9FQkgv9e9mOxoF5fTRU/view?usp=drivesdk", "Abrir_Factura")</f>
        <v>Abrir_Factura</v>
      </c>
      <c r="AD2927" s="9">
        <v>46087.467209780094</v>
      </c>
    </row>
    <row r="2928" spans="1:30" ht="12.5">
      <c r="A2928" s="4">
        <v>46087.466019131942</v>
      </c>
      <c r="B2928" s="5">
        <v>92666</v>
      </c>
      <c r="C2928" s="5">
        <v>45763225</v>
      </c>
      <c r="D2928" s="5" t="s">
        <v>7204</v>
      </c>
      <c r="F2928" s="5"/>
      <c r="H2928" s="5">
        <v>573008183491</v>
      </c>
      <c r="J2928" s="5" t="s">
        <v>7204</v>
      </c>
      <c r="K2928" s="5" t="s">
        <v>12657</v>
      </c>
      <c r="L2928" s="5" t="s">
        <v>12657</v>
      </c>
      <c r="M2928" s="5">
        <v>573008183491</v>
      </c>
      <c r="N2928" s="6">
        <v>46087</v>
      </c>
      <c r="O2928" s="7">
        <v>0.45833333333333331</v>
      </c>
      <c r="P2928" s="5">
        <v>1</v>
      </c>
      <c r="Q2928" s="5" t="s">
        <v>42</v>
      </c>
      <c r="R2928" s="5">
        <v>80000</v>
      </c>
      <c r="S2928" s="5">
        <v>0</v>
      </c>
      <c r="T2928" s="5"/>
      <c r="U2928" s="5">
        <v>80000</v>
      </c>
      <c r="V2928" s="5"/>
      <c r="W2928" s="5" t="s">
        <v>36</v>
      </c>
      <c r="X2928" s="5" t="s">
        <v>43</v>
      </c>
      <c r="Z2928" s="5"/>
      <c r="AA2928" s="5" t="s">
        <v>44</v>
      </c>
      <c r="AB2928" s="5" t="s">
        <v>12916</v>
      </c>
      <c r="AC2928" s="8" t="str">
        <f>HYPERLINK("https://drive.google.com/file/d/1WX9cZZKqDJmbKoZ5N3ALQjHPIkuz_OwM/view?usp=drivesdk", "Abrir_Factura")</f>
        <v>Abrir_Factura</v>
      </c>
      <c r="AD2928" s="9">
        <v>46087.484479166669</v>
      </c>
    </row>
    <row r="2929" spans="1:30" ht="12.5">
      <c r="A2929" s="4">
        <v>46087.469996898144</v>
      </c>
      <c r="B2929" s="5">
        <v>92668</v>
      </c>
      <c r="C2929" s="5">
        <v>1095302271</v>
      </c>
      <c r="D2929" s="5" t="s">
        <v>12917</v>
      </c>
      <c r="F2929" s="5"/>
      <c r="H2929" s="5">
        <v>573004848680</v>
      </c>
      <c r="J2929" s="5" t="s">
        <v>12918</v>
      </c>
      <c r="K2929" s="5" t="s">
        <v>2381</v>
      </c>
      <c r="L2929" s="5" t="s">
        <v>12919</v>
      </c>
      <c r="M2929" s="5">
        <v>573004848680</v>
      </c>
      <c r="N2929" s="6">
        <v>46087</v>
      </c>
      <c r="O2929" s="7">
        <v>0.54166666666666663</v>
      </c>
      <c r="P2929" s="5">
        <v>1</v>
      </c>
      <c r="Q2929" s="5" t="s">
        <v>42</v>
      </c>
      <c r="R2929" s="5">
        <v>90000</v>
      </c>
      <c r="S2929" s="5">
        <v>0</v>
      </c>
      <c r="T2929" s="5">
        <v>18000</v>
      </c>
      <c r="U2929" s="5">
        <v>108000</v>
      </c>
      <c r="V2929" s="5" t="s">
        <v>12920</v>
      </c>
      <c r="W2929" s="5" t="s">
        <v>36</v>
      </c>
      <c r="X2929" s="5" t="s">
        <v>67</v>
      </c>
      <c r="Z2929" s="5"/>
      <c r="AA2929" s="5" t="s">
        <v>44</v>
      </c>
      <c r="AB2929" s="5" t="s">
        <v>12921</v>
      </c>
      <c r="AC2929" s="8" t="str">
        <f>HYPERLINK("https://drive.google.com/file/d/1AEjZe6tCsDOAbCTmUDw80XYvLu9cvPLQ/view?usp=drivesdk", "Abrir_Factura")</f>
        <v>Abrir_Factura</v>
      </c>
      <c r="AD2929" s="9">
        <v>46087.498877314814</v>
      </c>
    </row>
    <row r="2930" spans="1:30" ht="12.5">
      <c r="A2930" s="4">
        <v>46087.472437951394</v>
      </c>
      <c r="B2930" s="5">
        <v>92676</v>
      </c>
      <c r="C2930" s="5">
        <v>1042250874</v>
      </c>
      <c r="D2930" s="5" t="s">
        <v>7782</v>
      </c>
      <c r="F2930" s="5"/>
      <c r="H2930" s="5">
        <v>15617974204</v>
      </c>
      <c r="J2930" s="5" t="s">
        <v>12922</v>
      </c>
      <c r="K2930" s="5" t="s">
        <v>161</v>
      </c>
      <c r="L2930" s="5" t="s">
        <v>12923</v>
      </c>
      <c r="M2930" s="5">
        <v>573008021679</v>
      </c>
      <c r="N2930" s="6">
        <v>46088</v>
      </c>
      <c r="O2930" s="7">
        <v>0.33333333333333331</v>
      </c>
      <c r="P2930" s="5">
        <v>1</v>
      </c>
      <c r="Q2930" s="5" t="s">
        <v>12924</v>
      </c>
      <c r="R2930" s="5">
        <v>200000</v>
      </c>
      <c r="S2930" s="5">
        <v>0</v>
      </c>
      <c r="T2930" s="5">
        <v>8000</v>
      </c>
      <c r="U2930" s="5">
        <v>208000</v>
      </c>
      <c r="V2930" s="5" t="s">
        <v>12925</v>
      </c>
      <c r="W2930" s="5" t="s">
        <v>36</v>
      </c>
      <c r="X2930" s="5" t="s">
        <v>67</v>
      </c>
      <c r="Z2930" s="5" t="s">
        <v>12926</v>
      </c>
      <c r="AA2930" s="5" t="s">
        <v>44</v>
      </c>
      <c r="AB2930" s="5"/>
      <c r="AC2930" s="8" t="str">
        <f>HYPERLINK("https://drive.google.com/file/d/1PAy-VdiZAUeVnDRQxCUXTzvaql4mM--v/view?usp=drivesdk", "Abrir_Factura")</f>
        <v>Abrir_Factura</v>
      </c>
      <c r="AD2930" s="9">
        <v>46087.543229166666</v>
      </c>
    </row>
    <row r="2931" spans="1:30" ht="12.5">
      <c r="A2931" s="4">
        <v>46087.478769212961</v>
      </c>
      <c r="B2931" s="5">
        <v>92667</v>
      </c>
      <c r="C2931" s="5">
        <v>26815148</v>
      </c>
      <c r="D2931" s="5" t="s">
        <v>12927</v>
      </c>
      <c r="F2931" s="5"/>
      <c r="H2931" s="5">
        <v>5715196141332</v>
      </c>
      <c r="J2931" s="5" t="s">
        <v>12928</v>
      </c>
      <c r="K2931" s="5" t="s">
        <v>33</v>
      </c>
      <c r="L2931" s="5" t="s">
        <v>12929</v>
      </c>
      <c r="M2931" s="5">
        <v>573156161386</v>
      </c>
      <c r="N2931" s="6">
        <v>46087</v>
      </c>
      <c r="O2931" s="7">
        <v>0</v>
      </c>
      <c r="P2931" s="5">
        <v>1</v>
      </c>
      <c r="Q2931" s="5" t="s">
        <v>42</v>
      </c>
      <c r="R2931" s="5">
        <v>120000</v>
      </c>
      <c r="S2931" s="5">
        <v>0</v>
      </c>
      <c r="T2931" s="5">
        <v>0</v>
      </c>
      <c r="U2931" s="5">
        <v>120000</v>
      </c>
      <c r="V2931" s="5" t="s">
        <v>3330</v>
      </c>
      <c r="W2931" s="5" t="s">
        <v>36</v>
      </c>
      <c r="X2931" s="5" t="s">
        <v>12646</v>
      </c>
      <c r="Z2931" s="5"/>
      <c r="AA2931" s="5" t="s">
        <v>44</v>
      </c>
      <c r="AB2931" s="5"/>
      <c r="AC2931" s="8" t="str">
        <f>HYPERLINK("https://drive.google.com/file/d/12-c4gJ06M7SRYUc87-TUmXpJxEkg481u/view?usp=drivesdk", "Abrir_Factura")</f>
        <v>Abrir_Factura</v>
      </c>
      <c r="AD2931" s="9">
        <v>46087.479560185187</v>
      </c>
    </row>
    <row r="2932" spans="1:30" ht="12.5">
      <c r="A2932" s="4">
        <v>46087.48562821759</v>
      </c>
      <c r="B2932" s="5">
        <v>92674</v>
      </c>
      <c r="C2932" s="5">
        <v>1140880358</v>
      </c>
      <c r="D2932" s="5" t="s">
        <v>12930</v>
      </c>
      <c r="F2932" s="5"/>
      <c r="H2932" s="5">
        <v>573014595296</v>
      </c>
      <c r="J2932" s="5" t="s">
        <v>12930</v>
      </c>
      <c r="K2932" s="5" t="s">
        <v>12657</v>
      </c>
      <c r="L2932" s="5" t="s">
        <v>12657</v>
      </c>
      <c r="M2932" s="5">
        <v>573014595296</v>
      </c>
      <c r="N2932" s="6">
        <v>46087</v>
      </c>
      <c r="O2932" s="7">
        <v>0.58333333333333337</v>
      </c>
      <c r="P2932" s="5">
        <v>1</v>
      </c>
      <c r="Q2932" s="5" t="s">
        <v>210</v>
      </c>
      <c r="R2932" s="5">
        <v>170000</v>
      </c>
      <c r="S2932" s="5">
        <v>0</v>
      </c>
      <c r="T2932" s="5"/>
      <c r="U2932" s="5">
        <v>170000</v>
      </c>
      <c r="V2932" s="5" t="s">
        <v>12931</v>
      </c>
      <c r="W2932" s="5" t="s">
        <v>36</v>
      </c>
      <c r="X2932" s="5" t="s">
        <v>67</v>
      </c>
      <c r="Z2932" s="5" t="s">
        <v>12932</v>
      </c>
      <c r="AA2932" s="5" t="s">
        <v>44</v>
      </c>
      <c r="AB2932" s="5"/>
      <c r="AC2932" s="8" t="str">
        <f>HYPERLINK("https://drive.google.com/file/d/1ZQKOogp5v-sJK68pWYCd9XkfKwzDmL17/view?usp=drivesdk", "Abrir_Factura")</f>
        <v>Abrir_Factura</v>
      </c>
      <c r="AD2932" s="9">
        <v>46087.522476851853</v>
      </c>
    </row>
    <row r="2933" spans="1:30" ht="12.5">
      <c r="A2933" s="4">
        <v>46087.492863518521</v>
      </c>
      <c r="B2933" s="5">
        <v>92669</v>
      </c>
      <c r="C2933" s="5">
        <v>1001817955</v>
      </c>
      <c r="D2933" s="5" t="s">
        <v>12933</v>
      </c>
      <c r="F2933" s="5"/>
      <c r="H2933" s="5">
        <v>573046494553</v>
      </c>
      <c r="J2933" s="5" t="s">
        <v>5321</v>
      </c>
      <c r="K2933" s="5" t="s">
        <v>185</v>
      </c>
      <c r="L2933" s="5" t="s">
        <v>12934</v>
      </c>
      <c r="M2933" s="5">
        <v>573215919132</v>
      </c>
      <c r="N2933" s="6">
        <v>46089</v>
      </c>
      <c r="O2933" s="7">
        <v>0.375</v>
      </c>
      <c r="P2933" s="5">
        <v>1</v>
      </c>
      <c r="Q2933" s="5" t="s">
        <v>12437</v>
      </c>
      <c r="R2933" s="5">
        <v>250000</v>
      </c>
      <c r="S2933" s="5">
        <v>0</v>
      </c>
      <c r="T2933" s="5">
        <v>8000</v>
      </c>
      <c r="U2933" s="5">
        <v>258000</v>
      </c>
      <c r="V2933" s="5" t="s">
        <v>12935</v>
      </c>
      <c r="W2933" s="5" t="s">
        <v>36</v>
      </c>
      <c r="X2933" s="5" t="s">
        <v>12646</v>
      </c>
      <c r="Z2933" s="5" t="s">
        <v>12936</v>
      </c>
      <c r="AA2933" s="5" t="s">
        <v>44</v>
      </c>
      <c r="AB2933" s="5"/>
      <c r="AC2933" s="8" t="str">
        <f>HYPERLINK("https://drive.google.com/file/d/11BaMGrF3qWXjX-VIgnpmZq0eopI2yvFs/view?usp=drivesdk", "Abrir_Factura")</f>
        <v>Abrir_Factura</v>
      </c>
      <c r="AD2933" s="9">
        <v>46087.501782407409</v>
      </c>
    </row>
    <row r="2934" spans="1:30" ht="12.5">
      <c r="A2934" s="4">
        <v>46087.504524525459</v>
      </c>
      <c r="B2934" s="5">
        <v>92671</v>
      </c>
      <c r="C2934" s="5">
        <v>1140882983</v>
      </c>
      <c r="D2934" s="5" t="s">
        <v>12937</v>
      </c>
      <c r="F2934" s="5"/>
      <c r="H2934" s="5">
        <v>573123522976</v>
      </c>
      <c r="J2934" s="5" t="s">
        <v>12938</v>
      </c>
      <c r="K2934" s="5" t="s">
        <v>249</v>
      </c>
      <c r="L2934" s="5" t="s">
        <v>12939</v>
      </c>
      <c r="M2934" s="5">
        <v>573218217705</v>
      </c>
      <c r="N2934" s="6">
        <v>46087</v>
      </c>
      <c r="O2934" s="7">
        <v>0.5625</v>
      </c>
      <c r="P2934" s="5">
        <v>1</v>
      </c>
      <c r="Q2934" s="5" t="s">
        <v>12940</v>
      </c>
      <c r="R2934" s="5">
        <v>140000</v>
      </c>
      <c r="S2934" s="5">
        <v>0</v>
      </c>
      <c r="T2934" s="5">
        <v>10000</v>
      </c>
      <c r="U2934" s="5">
        <v>150000</v>
      </c>
      <c r="V2934" s="5" t="s">
        <v>12941</v>
      </c>
      <c r="W2934" s="5" t="s">
        <v>36</v>
      </c>
      <c r="X2934" s="5" t="s">
        <v>67</v>
      </c>
      <c r="Z2934" s="5"/>
      <c r="AA2934" s="5" t="s">
        <v>44</v>
      </c>
      <c r="AB2934" s="5"/>
      <c r="AC2934" s="8" t="str">
        <f>HYPERLINK("https://drive.google.com/file/d/1HwO7mFD95dHRiiPUPq7FVk3Oi3-Y5PXi/view?usp=drivesdk", "Abrir_Factura")</f>
        <v>Abrir_Factura</v>
      </c>
      <c r="AD2934" s="9">
        <v>46087.507060185184</v>
      </c>
    </row>
    <row r="2935" spans="1:30" ht="12.5">
      <c r="A2935" s="4">
        <v>46087.514675092592</v>
      </c>
      <c r="B2935" s="5">
        <v>92675</v>
      </c>
      <c r="C2935" s="5">
        <v>52006896</v>
      </c>
      <c r="D2935" s="5" t="s">
        <v>12942</v>
      </c>
      <c r="F2935" s="5"/>
      <c r="H2935" s="5">
        <v>573228985611</v>
      </c>
      <c r="J2935" s="5" t="s">
        <v>12943</v>
      </c>
      <c r="K2935" s="5" t="s">
        <v>5574</v>
      </c>
      <c r="L2935" s="5" t="s">
        <v>12944</v>
      </c>
      <c r="M2935" s="5">
        <v>573103626382</v>
      </c>
      <c r="N2935" s="6">
        <v>46088</v>
      </c>
      <c r="O2935" s="7">
        <v>0.41666666666666669</v>
      </c>
      <c r="P2935" s="5">
        <v>1</v>
      </c>
      <c r="Q2935" s="5" t="s">
        <v>12496</v>
      </c>
      <c r="R2935" s="5">
        <v>120000</v>
      </c>
      <c r="S2935" s="5">
        <v>0</v>
      </c>
      <c r="T2935" s="5">
        <v>10000</v>
      </c>
      <c r="U2935" s="5">
        <v>130000</v>
      </c>
      <c r="V2935" s="5" t="s">
        <v>12945</v>
      </c>
      <c r="W2935" s="5" t="s">
        <v>36</v>
      </c>
      <c r="X2935" s="5" t="s">
        <v>12646</v>
      </c>
      <c r="Z2935" s="5" t="s">
        <v>12605</v>
      </c>
      <c r="AA2935" s="5" t="s">
        <v>44</v>
      </c>
      <c r="AB2935" s="5"/>
      <c r="AC2935" s="8" t="str">
        <f>HYPERLINK("https://drive.google.com/file/d/1_fwNMFqENeXU6jP2N-U6h1DHeaPRM8oa/view?usp=drivesdk", "Abrir_Factura")</f>
        <v>Abrir_Factura</v>
      </c>
      <c r="AD2935" s="9">
        <v>46087.527280092596</v>
      </c>
    </row>
    <row r="2936" spans="1:30" ht="12.5">
      <c r="A2936" s="4">
        <v>46087.516406909723</v>
      </c>
      <c r="B2936" s="5">
        <v>92672</v>
      </c>
      <c r="C2936" s="5">
        <v>1098310404</v>
      </c>
      <c r="D2936" s="5" t="s">
        <v>12946</v>
      </c>
      <c r="F2936" s="5"/>
      <c r="H2936" s="5">
        <v>573122922559</v>
      </c>
      <c r="J2936" s="5" t="s">
        <v>12946</v>
      </c>
      <c r="K2936" s="5" t="s">
        <v>33</v>
      </c>
      <c r="L2936" s="5" t="s">
        <v>49</v>
      </c>
      <c r="M2936" s="5">
        <v>573122922559</v>
      </c>
      <c r="N2936" s="6">
        <v>46087</v>
      </c>
      <c r="O2936" s="7">
        <v>0.375</v>
      </c>
      <c r="P2936" s="5">
        <v>1</v>
      </c>
      <c r="Q2936" s="5" t="s">
        <v>12947</v>
      </c>
      <c r="R2936" s="5">
        <v>45000</v>
      </c>
      <c r="S2936" s="5">
        <v>0</v>
      </c>
      <c r="T2936" s="5">
        <v>0</v>
      </c>
      <c r="U2936" s="5">
        <v>45000</v>
      </c>
      <c r="V2936" s="5"/>
      <c r="W2936" s="5" t="s">
        <v>36</v>
      </c>
      <c r="X2936" s="5" t="s">
        <v>12646</v>
      </c>
      <c r="Z2936" s="5"/>
      <c r="AA2936" s="5" t="s">
        <v>1717</v>
      </c>
      <c r="AB2936" s="5" t="s">
        <v>12947</v>
      </c>
      <c r="AC2936" s="8" t="str">
        <f>HYPERLINK("https://drive.google.com/file/d/16P4iHgCwRxp36eV5aTDmbDrHy9UvTHQt/view?usp=drivesdk", "Abrir_Factura")</f>
        <v>Abrir_Factura</v>
      </c>
      <c r="AD2936" s="9">
        <v>46087.517581018517</v>
      </c>
    </row>
    <row r="2937" spans="1:30" ht="12.5">
      <c r="A2937" s="4">
        <v>46087.518008865736</v>
      </c>
      <c r="B2937" s="5">
        <v>92680</v>
      </c>
      <c r="C2937" s="5">
        <v>91517409</v>
      </c>
      <c r="D2937" s="5" t="s">
        <v>12948</v>
      </c>
      <c r="F2937" s="5"/>
      <c r="H2937" s="5">
        <v>573124483050</v>
      </c>
      <c r="J2937" s="5" t="s">
        <v>12949</v>
      </c>
      <c r="K2937" s="5" t="s">
        <v>79</v>
      </c>
      <c r="L2937" s="5" t="s">
        <v>12950</v>
      </c>
      <c r="M2937" s="5">
        <v>573204775945</v>
      </c>
      <c r="N2937" s="6">
        <v>46088</v>
      </c>
      <c r="O2937" s="7">
        <v>0.33333333333333331</v>
      </c>
      <c r="P2937" s="5">
        <v>1</v>
      </c>
      <c r="Q2937" s="5" t="s">
        <v>12951</v>
      </c>
      <c r="R2937" s="5">
        <v>235000</v>
      </c>
      <c r="S2937" s="5">
        <v>0</v>
      </c>
      <c r="T2937" s="5">
        <v>10000</v>
      </c>
      <c r="U2937" s="5">
        <v>245000</v>
      </c>
      <c r="V2937" s="5"/>
      <c r="W2937" s="5" t="s">
        <v>36</v>
      </c>
      <c r="X2937" s="5" t="s">
        <v>12646</v>
      </c>
      <c r="Z2937" s="5" t="s">
        <v>12952</v>
      </c>
      <c r="AA2937" s="5" t="s">
        <v>44</v>
      </c>
      <c r="AB2937" s="5" t="s">
        <v>12953</v>
      </c>
      <c r="AC2937" s="8" t="str">
        <f>HYPERLINK("https://drive.google.com/file/d/1_MJ1JwWvVB1Q1vnKkf_VQ2hthoMDC1W-/view?usp=drivesdk", "Abrir_Factura")</f>
        <v>Abrir_Factura</v>
      </c>
      <c r="AD2937" s="9">
        <v>46087.565358796295</v>
      </c>
    </row>
    <row r="2938" spans="1:30" ht="12.5">
      <c r="A2938" s="4">
        <v>46087.522056921298</v>
      </c>
      <c r="B2938" s="5">
        <v>92685</v>
      </c>
      <c r="C2938" s="5">
        <v>1002211102</v>
      </c>
      <c r="D2938" s="5" t="s">
        <v>12954</v>
      </c>
      <c r="F2938" s="5"/>
      <c r="H2938" s="5">
        <v>573144870628</v>
      </c>
      <c r="J2938" s="5" t="s">
        <v>12955</v>
      </c>
      <c r="K2938" s="5" t="s">
        <v>249</v>
      </c>
      <c r="L2938" s="5" t="s">
        <v>12956</v>
      </c>
      <c r="M2938" s="5">
        <v>573246155465</v>
      </c>
      <c r="N2938" s="6">
        <v>46089</v>
      </c>
      <c r="O2938" s="7">
        <v>0.375</v>
      </c>
      <c r="P2938" s="5">
        <v>1</v>
      </c>
      <c r="Q2938" s="5" t="s">
        <v>12844</v>
      </c>
      <c r="R2938" s="5">
        <v>80000</v>
      </c>
      <c r="S2938" s="5">
        <v>0</v>
      </c>
      <c r="T2938" s="5">
        <v>10000</v>
      </c>
      <c r="U2938" s="5">
        <v>90000</v>
      </c>
      <c r="V2938" s="5" t="s">
        <v>12957</v>
      </c>
      <c r="W2938" s="5" t="s">
        <v>36</v>
      </c>
      <c r="X2938" s="5" t="s">
        <v>67</v>
      </c>
      <c r="Z2938" s="5" t="s">
        <v>12958</v>
      </c>
      <c r="AA2938" s="5" t="s">
        <v>44</v>
      </c>
      <c r="AB2938" s="5"/>
      <c r="AC2938" s="8" t="str">
        <f>HYPERLINK("https://drive.google.com/file/d/1fZ6Hvk8xAGrKk1jdwj35uuPJd2OoYeHy/view?usp=drivesdk", "Abrir_Factura")</f>
        <v>Abrir_Factura</v>
      </c>
      <c r="AD2938" s="9">
        <v>46087.599942129629</v>
      </c>
    </row>
    <row r="2939" spans="1:30" ht="12.5">
      <c r="A2939" s="4">
        <v>46087.525714699077</v>
      </c>
      <c r="B2939" s="5">
        <v>92711</v>
      </c>
      <c r="C2939" s="5">
        <v>1098760346</v>
      </c>
      <c r="D2939" s="5" t="s">
        <v>12959</v>
      </c>
      <c r="F2939" s="5"/>
      <c r="H2939" s="5">
        <v>573103998104</v>
      </c>
      <c r="J2939" s="5" t="s">
        <v>12960</v>
      </c>
      <c r="K2939" s="5" t="s">
        <v>146</v>
      </c>
      <c r="L2939" s="5" t="s">
        <v>12961</v>
      </c>
      <c r="M2939" s="5">
        <v>573225823620</v>
      </c>
      <c r="N2939" s="6">
        <v>46088</v>
      </c>
      <c r="O2939" s="7">
        <v>0.33333333333333331</v>
      </c>
      <c r="P2939" s="5">
        <v>1</v>
      </c>
      <c r="Q2939" s="5" t="s">
        <v>12496</v>
      </c>
      <c r="R2939" s="5">
        <v>120000</v>
      </c>
      <c r="S2939" s="5">
        <v>0</v>
      </c>
      <c r="T2939" s="5">
        <v>15000</v>
      </c>
      <c r="U2939" s="5">
        <v>135000</v>
      </c>
      <c r="V2939" s="5" t="s">
        <v>12962</v>
      </c>
      <c r="W2939" s="5" t="s">
        <v>36</v>
      </c>
      <c r="X2939" s="5" t="s">
        <v>12646</v>
      </c>
      <c r="Z2939" s="5" t="s">
        <v>12963</v>
      </c>
      <c r="AA2939" s="5" t="s">
        <v>44</v>
      </c>
      <c r="AB2939" s="5" t="s">
        <v>9771</v>
      </c>
      <c r="AC2939" s="8" t="str">
        <f>HYPERLINK("https://drive.google.com/file/d/1EXgq6h5x9txM0AJrLhccoSB1XnxqauQY/view?usp=drivesdk", "Abrir_Factura")</f>
        <v>Abrir_Factura</v>
      </c>
      <c r="AD2939" s="9">
        <v>46087.715694444443</v>
      </c>
    </row>
    <row r="2940" spans="1:30" ht="12.5">
      <c r="A2940" s="4">
        <v>46087.542596180559</v>
      </c>
      <c r="B2940" s="5">
        <v>92683</v>
      </c>
      <c r="C2940" s="5">
        <v>1193363780</v>
      </c>
      <c r="D2940" s="5" t="s">
        <v>12964</v>
      </c>
      <c r="F2940" s="5"/>
      <c r="H2940" s="5">
        <v>573108757090</v>
      </c>
      <c r="J2940" s="5" t="s">
        <v>1736</v>
      </c>
      <c r="K2940" s="5" t="s">
        <v>154</v>
      </c>
      <c r="L2940" s="5" t="s">
        <v>12965</v>
      </c>
      <c r="M2940" s="5">
        <v>573108757090</v>
      </c>
      <c r="N2940" s="6">
        <v>46087</v>
      </c>
      <c r="O2940" s="7">
        <v>0</v>
      </c>
      <c r="P2940" s="5">
        <v>1</v>
      </c>
      <c r="Q2940" s="5" t="s">
        <v>12496</v>
      </c>
      <c r="R2940" s="5">
        <v>120000</v>
      </c>
      <c r="S2940" s="5">
        <v>0</v>
      </c>
      <c r="T2940" s="5">
        <v>8000</v>
      </c>
      <c r="U2940" s="5">
        <v>128000</v>
      </c>
      <c r="V2940" s="5" t="s">
        <v>12966</v>
      </c>
      <c r="W2940" s="5" t="s">
        <v>36</v>
      </c>
      <c r="X2940" s="5" t="s">
        <v>67</v>
      </c>
      <c r="Z2940" s="5" t="s">
        <v>12967</v>
      </c>
      <c r="AA2940" s="5" t="s">
        <v>44</v>
      </c>
      <c r="AB2940" s="5"/>
      <c r="AC2940" s="8" t="str">
        <f>HYPERLINK("https://drive.google.com/file/d/1qE1F4YXBrRx3ahp3nl7yYAffizjk4zrl/view?usp=drivesdk", "Abrir_Factura")</f>
        <v>Abrir_Factura</v>
      </c>
      <c r="AD2940" s="9">
        <v>46087.59034722222</v>
      </c>
    </row>
    <row r="2941" spans="1:30" ht="12.5">
      <c r="A2941" s="4">
        <v>46087.550365057876</v>
      </c>
      <c r="B2941" s="5">
        <v>92678</v>
      </c>
      <c r="C2941" s="5">
        <v>32748863</v>
      </c>
      <c r="D2941" s="5" t="s">
        <v>3526</v>
      </c>
      <c r="F2941" s="5"/>
      <c r="H2941" s="5">
        <v>573174289182</v>
      </c>
      <c r="J2941" s="5" t="s">
        <v>3526</v>
      </c>
      <c r="K2941" s="5" t="s">
        <v>12657</v>
      </c>
      <c r="L2941" s="5" t="s">
        <v>12657</v>
      </c>
      <c r="M2941" s="5">
        <v>573174289182</v>
      </c>
      <c r="N2941" s="6">
        <v>46087</v>
      </c>
      <c r="O2941" s="7">
        <v>0</v>
      </c>
      <c r="P2941" s="5">
        <v>1</v>
      </c>
      <c r="Q2941" s="5" t="s">
        <v>42</v>
      </c>
      <c r="R2941" s="5">
        <v>30500</v>
      </c>
      <c r="S2941" s="5">
        <v>0</v>
      </c>
      <c r="T2941" s="5"/>
      <c r="U2941" s="5">
        <v>30500</v>
      </c>
      <c r="V2941" s="5"/>
      <c r="W2941" s="5" t="s">
        <v>36</v>
      </c>
      <c r="X2941" s="5" t="s">
        <v>196</v>
      </c>
      <c r="Z2941" s="5"/>
      <c r="AA2941" s="5" t="s">
        <v>1717</v>
      </c>
      <c r="AB2941" s="5"/>
      <c r="AC2941" s="8" t="str">
        <f>HYPERLINK("https://drive.google.com/file/d/1lI9q8oDzaaR4wyTWqrOHttBlG9FfMdzA/view?usp=drivesdk", "Abrir_Factura")</f>
        <v>Abrir_Factura</v>
      </c>
      <c r="AD2941" s="9">
        <v>46087.553078703706</v>
      </c>
    </row>
    <row r="2942" spans="1:30" ht="12.5">
      <c r="A2942" s="4">
        <v>46087.551089953704</v>
      </c>
      <c r="B2942" s="5">
        <v>92677</v>
      </c>
      <c r="C2942" s="5">
        <v>1045715294</v>
      </c>
      <c r="D2942" s="5" t="s">
        <v>12968</v>
      </c>
      <c r="F2942" s="5"/>
      <c r="H2942" s="5">
        <v>573504438774</v>
      </c>
      <c r="J2942" s="5" t="s">
        <v>12969</v>
      </c>
      <c r="K2942" s="5" t="s">
        <v>33</v>
      </c>
      <c r="L2942" s="5" t="s">
        <v>49</v>
      </c>
      <c r="M2942" s="5">
        <v>573504438774</v>
      </c>
      <c r="N2942" s="6">
        <v>46087</v>
      </c>
      <c r="O2942" s="7">
        <v>0.125</v>
      </c>
      <c r="P2942" s="5">
        <v>1</v>
      </c>
      <c r="Q2942" s="5" t="s">
        <v>12437</v>
      </c>
      <c r="R2942" s="5">
        <v>250000</v>
      </c>
      <c r="S2942" s="5">
        <v>0</v>
      </c>
      <c r="T2942" s="5">
        <v>0</v>
      </c>
      <c r="U2942" s="5">
        <v>250000</v>
      </c>
      <c r="V2942" s="5" t="s">
        <v>12970</v>
      </c>
      <c r="W2942" s="5" t="s">
        <v>36</v>
      </c>
      <c r="X2942" s="5" t="s">
        <v>67</v>
      </c>
      <c r="Z2942" s="5"/>
      <c r="AA2942" s="5" t="s">
        <v>44</v>
      </c>
      <c r="AB2942" s="5"/>
      <c r="AC2942" s="8" t="str">
        <f>HYPERLINK("https://drive.google.com/file/d/1fNl9IshbSjnnbFkTi-d5Wl_N7jwy9qGp/view?usp=drivesdk", "Abrir_Factura")</f>
        <v>Abrir_Factura</v>
      </c>
      <c r="AD2942" s="9">
        <v>46087.551747685182</v>
      </c>
    </row>
    <row r="2943" spans="1:30" ht="12.5">
      <c r="A2943" s="4">
        <v>46087.554713738427</v>
      </c>
      <c r="B2943" s="5">
        <v>92686</v>
      </c>
      <c r="C2943" s="5">
        <v>1069483066</v>
      </c>
      <c r="D2943" s="5" t="s">
        <v>12971</v>
      </c>
      <c r="F2943" s="5"/>
      <c r="H2943" s="5">
        <v>573127773997</v>
      </c>
      <c r="J2943" s="5" t="s">
        <v>12972</v>
      </c>
      <c r="K2943" s="5" t="s">
        <v>146</v>
      </c>
      <c r="L2943" s="5" t="s">
        <v>12973</v>
      </c>
      <c r="M2943" s="5">
        <v>573007988709</v>
      </c>
      <c r="N2943" s="6">
        <v>46089</v>
      </c>
      <c r="O2943" s="7">
        <v>0.41666666666666669</v>
      </c>
      <c r="P2943" s="5">
        <v>1</v>
      </c>
      <c r="Q2943" s="5" t="s">
        <v>375</v>
      </c>
      <c r="R2943" s="5">
        <v>80000</v>
      </c>
      <c r="S2943" s="5">
        <v>0</v>
      </c>
      <c r="T2943" s="5">
        <v>15000</v>
      </c>
      <c r="U2943" s="5">
        <v>95000</v>
      </c>
      <c r="V2943" s="5" t="s">
        <v>12974</v>
      </c>
      <c r="W2943" s="5" t="s">
        <v>36</v>
      </c>
      <c r="X2943" s="5" t="s">
        <v>12646</v>
      </c>
      <c r="Z2943" s="5" t="s">
        <v>12975</v>
      </c>
      <c r="AA2943" s="5" t="s">
        <v>44</v>
      </c>
      <c r="AB2943" s="5"/>
      <c r="AC2943" s="8" t="str">
        <f>HYPERLINK("https://drive.google.com/file/d/1ljS_mRwK1aFwYlNu_QOMFafnns35G6Aq/view?usp=drivesdk", "Abrir_Factura")</f>
        <v>Abrir_Factura</v>
      </c>
      <c r="AD2943" s="9">
        <v>46087.60664351852</v>
      </c>
    </row>
    <row r="2944" spans="1:30" ht="12.5">
      <c r="A2944" s="4">
        <v>46087.560169548611</v>
      </c>
      <c r="B2944" s="5">
        <v>92689</v>
      </c>
      <c r="C2944" s="5">
        <v>1001941014</v>
      </c>
      <c r="D2944" s="5" t="s">
        <v>12976</v>
      </c>
      <c r="F2944" s="5"/>
      <c r="H2944" s="5">
        <v>573017850018</v>
      </c>
      <c r="J2944" s="5" t="s">
        <v>12977</v>
      </c>
      <c r="K2944" s="5" t="s">
        <v>161</v>
      </c>
      <c r="L2944" s="5" t="s">
        <v>12978</v>
      </c>
      <c r="M2944" s="5">
        <v>573046494553</v>
      </c>
      <c r="N2944" s="6">
        <v>46087</v>
      </c>
      <c r="O2944" s="7">
        <v>0</v>
      </c>
      <c r="P2944" s="5">
        <v>1</v>
      </c>
      <c r="Q2944" s="5" t="s">
        <v>50</v>
      </c>
      <c r="R2944" s="5">
        <v>220000</v>
      </c>
      <c r="S2944" s="5">
        <v>0</v>
      </c>
      <c r="T2944" s="5">
        <v>8000</v>
      </c>
      <c r="U2944" s="5">
        <v>228000</v>
      </c>
      <c r="V2944" s="5" t="s">
        <v>12979</v>
      </c>
      <c r="W2944" s="5" t="s">
        <v>36</v>
      </c>
      <c r="X2944" s="5" t="s">
        <v>67</v>
      </c>
      <c r="Z2944" s="5" t="s">
        <v>12980</v>
      </c>
      <c r="AA2944" s="5" t="s">
        <v>44</v>
      </c>
      <c r="AB2944" s="5"/>
      <c r="AC2944" s="8" t="str">
        <f>HYPERLINK("https://drive.google.com/file/d/1nj7YLuLLzTiPi7WdBjYjJhPi4mdOt2cq/view?usp=drivesdk", "Abrir_Factura")</f>
        <v>Abrir_Factura</v>
      </c>
      <c r="AD2944" s="9">
        <v>46087.6172337963</v>
      </c>
    </row>
    <row r="2945" spans="1:30" ht="12.5">
      <c r="A2945" s="4">
        <v>46087.561961400468</v>
      </c>
      <c r="B2945" s="5">
        <v>92679</v>
      </c>
      <c r="C2945" s="5">
        <v>1045732129</v>
      </c>
      <c r="D2945" s="5" t="s">
        <v>12981</v>
      </c>
      <c r="F2945" s="5"/>
      <c r="H2945" s="5">
        <v>573205664901</v>
      </c>
      <c r="J2945" s="5" t="s">
        <v>12982</v>
      </c>
      <c r="K2945" s="5" t="s">
        <v>33</v>
      </c>
      <c r="L2945" s="5" t="s">
        <v>12983</v>
      </c>
      <c r="M2945" s="5">
        <v>573205664901</v>
      </c>
      <c r="N2945" s="6">
        <v>46087</v>
      </c>
      <c r="O2945" s="7">
        <v>0.75</v>
      </c>
      <c r="P2945" s="5">
        <v>1</v>
      </c>
      <c r="Q2945" s="5" t="s">
        <v>12496</v>
      </c>
      <c r="R2945" s="5">
        <v>120000</v>
      </c>
      <c r="S2945" s="5">
        <v>0</v>
      </c>
      <c r="T2945" s="5">
        <v>0</v>
      </c>
      <c r="U2945" s="5">
        <v>120000</v>
      </c>
      <c r="V2945" s="5" t="s">
        <v>12984</v>
      </c>
      <c r="W2945" s="5" t="s">
        <v>36</v>
      </c>
      <c r="X2945" s="5" t="s">
        <v>67</v>
      </c>
      <c r="Z2945" s="5" t="s">
        <v>12985</v>
      </c>
      <c r="AA2945" s="5" t="s">
        <v>1717</v>
      </c>
      <c r="AB2945" s="5"/>
      <c r="AC2945" s="8" t="str">
        <f>HYPERLINK("https://drive.google.com/file/d/12oDCf-gI4hx3gJpEis1GS-_Iaiu-zvqU/view?usp=drivesdk", "Abrir_Factura")</f>
        <v>Abrir_Factura</v>
      </c>
      <c r="AD2945" s="9">
        <v>46087.562858796293</v>
      </c>
    </row>
    <row r="2946" spans="1:30" ht="12.5">
      <c r="A2946" s="4">
        <v>46087.56245297454</v>
      </c>
      <c r="B2946" s="5">
        <v>92691</v>
      </c>
      <c r="C2946" s="5">
        <v>1042457176</v>
      </c>
      <c r="D2946" s="5" t="s">
        <v>12986</v>
      </c>
      <c r="F2946" s="5"/>
      <c r="H2946" s="5">
        <v>573007310148</v>
      </c>
      <c r="J2946" s="5" t="s">
        <v>4238</v>
      </c>
      <c r="K2946" s="5" t="s">
        <v>124</v>
      </c>
      <c r="L2946" s="5" t="s">
        <v>12987</v>
      </c>
      <c r="M2946" s="5">
        <v>573226529490</v>
      </c>
      <c r="N2946" s="6">
        <v>46089</v>
      </c>
      <c r="O2946" s="7">
        <v>0</v>
      </c>
      <c r="P2946" s="5">
        <v>1</v>
      </c>
      <c r="Q2946" s="5" t="s">
        <v>12406</v>
      </c>
      <c r="R2946" s="5">
        <v>90000</v>
      </c>
      <c r="S2946" s="5">
        <v>0</v>
      </c>
      <c r="T2946" s="5">
        <v>12000</v>
      </c>
      <c r="U2946" s="5">
        <v>102000</v>
      </c>
      <c r="V2946" s="5" t="s">
        <v>12988</v>
      </c>
      <c r="W2946" s="5" t="s">
        <v>36</v>
      </c>
      <c r="X2946" s="5" t="s">
        <v>12646</v>
      </c>
      <c r="Z2946" s="5" t="s">
        <v>12989</v>
      </c>
      <c r="AA2946" s="5" t="s">
        <v>44</v>
      </c>
      <c r="AB2946" s="5"/>
      <c r="AC2946" s="8" t="str">
        <f>HYPERLINK("https://drive.google.com/file/d/1DKSaQpgFXh_HeP5n2ZwDvpQFfoEF-h--/view?usp=drivesdk", "Abrir_Factura")</f>
        <v>Abrir_Factura</v>
      </c>
      <c r="AD2946" s="9">
        <v>46087.629421296297</v>
      </c>
    </row>
    <row r="2947" spans="1:30" ht="12.5">
      <c r="A2947" s="4">
        <v>46087.563643182875</v>
      </c>
      <c r="B2947" s="5">
        <v>92687</v>
      </c>
      <c r="C2947" s="5">
        <v>1044217570</v>
      </c>
      <c r="D2947" s="5" t="s">
        <v>12990</v>
      </c>
      <c r="F2947" s="5"/>
      <c r="H2947" s="5">
        <v>573122516532</v>
      </c>
      <c r="J2947" s="5" t="s">
        <v>12991</v>
      </c>
      <c r="K2947" s="5" t="s">
        <v>464</v>
      </c>
      <c r="L2947" s="5" t="s">
        <v>12992</v>
      </c>
      <c r="M2947" s="5">
        <v>573022084130</v>
      </c>
      <c r="N2947" s="6">
        <v>46087</v>
      </c>
      <c r="O2947" s="7">
        <v>0.66666666666666663</v>
      </c>
      <c r="P2947" s="5">
        <v>1</v>
      </c>
      <c r="Q2947" s="5" t="s">
        <v>375</v>
      </c>
      <c r="R2947" s="5">
        <v>80000</v>
      </c>
      <c r="S2947" s="5">
        <v>0</v>
      </c>
      <c r="T2947" s="5">
        <v>20000</v>
      </c>
      <c r="U2947" s="5">
        <v>100000</v>
      </c>
      <c r="V2947" s="5" t="s">
        <v>12993</v>
      </c>
      <c r="W2947" s="5" t="s">
        <v>36</v>
      </c>
      <c r="X2947" s="5" t="s">
        <v>67</v>
      </c>
      <c r="Z2947" s="5" t="s">
        <v>12994</v>
      </c>
      <c r="AA2947" s="5" t="s">
        <v>44</v>
      </c>
      <c r="AB2947" s="5"/>
      <c r="AC2947" s="8" t="str">
        <f>HYPERLINK("https://drive.google.com/file/d/1dQoBRR6OhWgQ9JDajSkzT5OQuQlubaFq/view?usp=drivesdk", "Abrir_Factura")</f>
        <v>Abrir_Factura</v>
      </c>
      <c r="AD2947" s="9">
        <v>46087.612025462964</v>
      </c>
    </row>
    <row r="2948" spans="1:30" ht="12.5">
      <c r="A2948" s="4">
        <v>46087.5722956713</v>
      </c>
      <c r="B2948" s="5">
        <v>92688</v>
      </c>
      <c r="C2948" s="5">
        <v>1140821256</v>
      </c>
      <c r="D2948" s="5" t="s">
        <v>12995</v>
      </c>
      <c r="F2948" s="5"/>
      <c r="H2948" s="5">
        <v>87143182618714</v>
      </c>
      <c r="J2948" s="5" t="s">
        <v>12996</v>
      </c>
      <c r="K2948" s="5" t="s">
        <v>5574</v>
      </c>
      <c r="L2948" s="5" t="s">
        <v>12997</v>
      </c>
      <c r="M2948" s="5">
        <v>3182618714</v>
      </c>
      <c r="N2948" s="6">
        <v>46087</v>
      </c>
      <c r="O2948" s="7">
        <v>0.6875</v>
      </c>
      <c r="P2948" s="5">
        <v>1</v>
      </c>
      <c r="Q2948" s="5" t="s">
        <v>12701</v>
      </c>
      <c r="R2948" s="5">
        <v>150000</v>
      </c>
      <c r="S2948" s="5">
        <v>0</v>
      </c>
      <c r="T2948" s="5">
        <v>10000</v>
      </c>
      <c r="U2948" s="5">
        <v>160000</v>
      </c>
      <c r="V2948" s="5" t="s">
        <v>12998</v>
      </c>
      <c r="W2948" s="5" t="s">
        <v>36</v>
      </c>
      <c r="X2948" s="5" t="s">
        <v>180</v>
      </c>
      <c r="Z2948" s="5" t="s">
        <v>12999</v>
      </c>
      <c r="AA2948" s="5" t="s">
        <v>44</v>
      </c>
      <c r="AB2948" s="5" t="s">
        <v>13000</v>
      </c>
      <c r="AC2948" s="8" t="str">
        <f>HYPERLINK("https://drive.google.com/file/d/1GYl5sYs8PRwuvGTI42HWxmINLRo1RGDX/view?usp=drivesdk", "Abrir_Factura")</f>
        <v>Abrir_Factura</v>
      </c>
      <c r="AD2948" s="9">
        <v>46087.616412037038</v>
      </c>
    </row>
    <row r="2949" spans="1:30" ht="12.5">
      <c r="A2949" s="4">
        <v>46087.574695671297</v>
      </c>
      <c r="B2949" s="5">
        <v>92690</v>
      </c>
      <c r="C2949" s="5">
        <v>1015436674</v>
      </c>
      <c r="D2949" s="5" t="s">
        <v>13001</v>
      </c>
      <c r="F2949" s="5"/>
      <c r="H2949" s="5">
        <v>573227688428</v>
      </c>
      <c r="J2949" s="5" t="s">
        <v>13002</v>
      </c>
      <c r="K2949" s="5" t="s">
        <v>9925</v>
      </c>
      <c r="L2949" s="5" t="s">
        <v>13003</v>
      </c>
      <c r="M2949" s="5">
        <v>573112758492</v>
      </c>
      <c r="N2949" s="6">
        <v>46089</v>
      </c>
      <c r="O2949" s="7">
        <v>0.41666666666666669</v>
      </c>
      <c r="P2949" s="5">
        <v>1</v>
      </c>
      <c r="Q2949" s="5" t="s">
        <v>13004</v>
      </c>
      <c r="R2949" s="5">
        <v>115000</v>
      </c>
      <c r="S2949" s="5">
        <v>0</v>
      </c>
      <c r="T2949" s="5">
        <v>11000</v>
      </c>
      <c r="U2949" s="5">
        <v>126000</v>
      </c>
      <c r="V2949" s="5" t="s">
        <v>13005</v>
      </c>
      <c r="W2949" s="5" t="s">
        <v>36</v>
      </c>
      <c r="X2949" s="5" t="s">
        <v>12646</v>
      </c>
      <c r="Z2949" s="5" t="s">
        <v>13006</v>
      </c>
      <c r="AA2949" s="5" t="s">
        <v>44</v>
      </c>
      <c r="AB2949" s="5"/>
      <c r="AC2949" s="8" t="str">
        <f>HYPERLINK("https://drive.google.com/file/d/1YtEG-Eq6eEQYm9K-nS8GH6Lp2tXyArv6/view?usp=drivesdk", "Abrir_Factura")</f>
        <v>Abrir_Factura</v>
      </c>
      <c r="AD2949" s="9">
        <v>46087.621076388888</v>
      </c>
    </row>
    <row r="2950" spans="1:30" ht="12.5">
      <c r="A2950" s="4">
        <v>46087.575117442131</v>
      </c>
      <c r="B2950" s="5">
        <v>92681</v>
      </c>
      <c r="C2950" s="5">
        <v>0</v>
      </c>
      <c r="D2950" s="5" t="s">
        <v>13007</v>
      </c>
      <c r="F2950" s="5"/>
      <c r="H2950" s="5">
        <v>573012145123</v>
      </c>
      <c r="J2950" s="5" t="s">
        <v>13007</v>
      </c>
      <c r="K2950" s="5" t="s">
        <v>33</v>
      </c>
      <c r="L2950" s="5" t="s">
        <v>12983</v>
      </c>
      <c r="M2950" s="5">
        <v>573012145123</v>
      </c>
      <c r="N2950" s="6">
        <v>46087</v>
      </c>
      <c r="O2950" s="7">
        <v>0</v>
      </c>
      <c r="P2950" s="5">
        <v>1</v>
      </c>
      <c r="Q2950" s="5" t="s">
        <v>42</v>
      </c>
      <c r="R2950" s="5">
        <v>120000</v>
      </c>
      <c r="S2950" s="5">
        <v>0</v>
      </c>
      <c r="T2950" s="5">
        <v>0</v>
      </c>
      <c r="U2950" s="5">
        <v>120000</v>
      </c>
      <c r="V2950" s="5" t="s">
        <v>13008</v>
      </c>
      <c r="W2950" s="5" t="s">
        <v>36</v>
      </c>
      <c r="X2950" s="5" t="s">
        <v>1705</v>
      </c>
      <c r="Z2950" s="5"/>
      <c r="AA2950" s="5" t="s">
        <v>1717</v>
      </c>
      <c r="AB2950" s="5"/>
      <c r="AC2950" s="8" t="str">
        <f>HYPERLINK("https://drive.google.com/file/d/16qYbNrWdJYNiK0S0s-f_RRVZ-BhacD4T/view?usp=drivesdk", "Abrir_Factura")</f>
        <v>Abrir_Factura</v>
      </c>
      <c r="AD2950" s="9">
        <v>46087.57739583333</v>
      </c>
    </row>
    <row r="2951" spans="1:30" ht="12.5">
      <c r="A2951" s="4">
        <v>46087.581850023147</v>
      </c>
      <c r="B2951" s="5">
        <v>92682</v>
      </c>
      <c r="C2951" s="5">
        <v>1140857774</v>
      </c>
      <c r="D2951" s="5" t="s">
        <v>13009</v>
      </c>
      <c r="F2951" s="5"/>
      <c r="H2951" s="5">
        <v>573017824366</v>
      </c>
      <c r="J2951" s="5" t="s">
        <v>13010</v>
      </c>
      <c r="K2951" s="5" t="s">
        <v>33</v>
      </c>
      <c r="L2951" s="5" t="s">
        <v>12983</v>
      </c>
      <c r="M2951" s="5">
        <v>573017824366</v>
      </c>
      <c r="N2951" s="6">
        <v>46088</v>
      </c>
      <c r="O2951" s="7">
        <v>0.375</v>
      </c>
      <c r="P2951" s="5">
        <v>1</v>
      </c>
      <c r="Q2951" s="5" t="s">
        <v>1393</v>
      </c>
      <c r="R2951" s="5">
        <v>600000</v>
      </c>
      <c r="S2951" s="5">
        <v>0</v>
      </c>
      <c r="T2951" s="5">
        <v>0</v>
      </c>
      <c r="U2951" s="5">
        <v>600000</v>
      </c>
      <c r="V2951" s="5" t="s">
        <v>13011</v>
      </c>
      <c r="W2951" s="5" t="s">
        <v>36</v>
      </c>
      <c r="X2951" s="5" t="s">
        <v>1705</v>
      </c>
      <c r="Z2951" s="5"/>
      <c r="AA2951" s="5" t="s">
        <v>1717</v>
      </c>
      <c r="AB2951" s="5"/>
      <c r="AC2951" s="8" t="str">
        <f>HYPERLINK("https://drive.google.com/file/d/1pvYjI7BIxo7ybXy5nXifpKPfbuGbuvLr/view?usp=drivesdk", "Abrir_Factura")</f>
        <v>Abrir_Factura</v>
      </c>
      <c r="AD2951" s="9">
        <v>46087.582974537036</v>
      </c>
    </row>
    <row r="2952" spans="1:30" ht="12.5">
      <c r="A2952" s="4">
        <v>46087.593102060186</v>
      </c>
      <c r="B2952" s="5">
        <v>92692</v>
      </c>
      <c r="C2952" s="5">
        <v>1063307785</v>
      </c>
      <c r="D2952" s="5" t="s">
        <v>13012</v>
      </c>
      <c r="F2952" s="5"/>
      <c r="H2952" s="5">
        <v>573218235541</v>
      </c>
      <c r="J2952" s="5" t="s">
        <v>13013</v>
      </c>
      <c r="K2952" s="5" t="s">
        <v>307</v>
      </c>
      <c r="L2952" s="5" t="s">
        <v>13014</v>
      </c>
      <c r="M2952" s="5">
        <v>573113445007</v>
      </c>
      <c r="N2952" s="6">
        <v>46089</v>
      </c>
      <c r="O2952" s="7">
        <v>0.41666666666666669</v>
      </c>
      <c r="P2952" s="5">
        <v>1</v>
      </c>
      <c r="Q2952" s="5" t="s">
        <v>12844</v>
      </c>
      <c r="R2952" s="5">
        <v>80000</v>
      </c>
      <c r="S2952" s="5">
        <v>0</v>
      </c>
      <c r="T2952" s="5">
        <v>10000</v>
      </c>
      <c r="U2952" s="5">
        <v>90000</v>
      </c>
      <c r="V2952" s="5" t="s">
        <v>13015</v>
      </c>
      <c r="W2952" s="5" t="s">
        <v>36</v>
      </c>
      <c r="X2952" s="5" t="s">
        <v>12646</v>
      </c>
      <c r="Z2952" s="5"/>
      <c r="AA2952" s="5" t="s">
        <v>44</v>
      </c>
      <c r="AB2952" s="5"/>
      <c r="AC2952" s="8" t="str">
        <f>HYPERLINK("https://drive.google.com/file/d/1In9RN3NG26TpUqgxrTWQO6SFLfuuVWCR/view?usp=drivesdk", "Abrir_Factura")</f>
        <v>Abrir_Factura</v>
      </c>
      <c r="AD2952" s="9">
        <v>46087.629953703705</v>
      </c>
    </row>
    <row r="2953" spans="1:30" ht="12.5">
      <c r="A2953" s="4">
        <v>46087.609407986107</v>
      </c>
      <c r="B2953" s="5">
        <v>92699</v>
      </c>
      <c r="C2953" s="5">
        <v>22493188</v>
      </c>
      <c r="D2953" s="5" t="s">
        <v>6179</v>
      </c>
      <c r="F2953" s="5"/>
      <c r="H2953" s="5">
        <v>578717222</v>
      </c>
      <c r="J2953" s="5" t="s">
        <v>6179</v>
      </c>
      <c r="K2953" s="5" t="s">
        <v>12657</v>
      </c>
      <c r="L2953" s="5" t="s">
        <v>12657</v>
      </c>
      <c r="M2953" s="5">
        <v>573008717222</v>
      </c>
      <c r="N2953" s="6">
        <v>46087</v>
      </c>
      <c r="O2953" s="7">
        <v>0</v>
      </c>
      <c r="P2953" s="5">
        <v>1</v>
      </c>
      <c r="Q2953" s="5" t="s">
        <v>42</v>
      </c>
      <c r="R2953" s="5">
        <v>75000</v>
      </c>
      <c r="S2953" s="5">
        <v>0</v>
      </c>
      <c r="T2953" s="5"/>
      <c r="U2953" s="5">
        <v>75000</v>
      </c>
      <c r="V2953" s="5" t="s">
        <v>3330</v>
      </c>
      <c r="W2953" s="5" t="s">
        <v>36</v>
      </c>
      <c r="X2953" s="5" t="s">
        <v>1705</v>
      </c>
      <c r="Z2953" s="5" t="s">
        <v>3330</v>
      </c>
      <c r="AA2953" s="5" t="s">
        <v>1717</v>
      </c>
      <c r="AB2953" s="5"/>
      <c r="AC2953" s="8" t="str">
        <f>HYPERLINK("https://drive.google.com/file/d/1P38yUZ8MhDwjQwN4DLw-wZpeQhMAHM2Z/view?usp=drivesdk", "Abrir_Factura")</f>
        <v>Abrir_Factura</v>
      </c>
      <c r="AD2953" s="9">
        <v>46087.660104166665</v>
      </c>
    </row>
    <row r="2954" spans="1:30" ht="12.5">
      <c r="A2954" s="4">
        <v>46087.616527222221</v>
      </c>
      <c r="B2954" s="5">
        <v>92698</v>
      </c>
      <c r="C2954" s="5">
        <v>1001914261</v>
      </c>
      <c r="D2954" s="5" t="s">
        <v>13016</v>
      </c>
      <c r="F2954" s="5"/>
      <c r="H2954" s="5">
        <v>573004817146</v>
      </c>
      <c r="J2954" s="5" t="s">
        <v>13016</v>
      </c>
      <c r="K2954" s="5" t="s">
        <v>12657</v>
      </c>
      <c r="L2954" s="5" t="s">
        <v>12657</v>
      </c>
      <c r="M2954" s="5">
        <v>573004817146</v>
      </c>
      <c r="N2954" s="6">
        <v>46087</v>
      </c>
      <c r="O2954" s="7">
        <v>0.22916666666666666</v>
      </c>
      <c r="P2954" s="5">
        <v>1</v>
      </c>
      <c r="Q2954" s="5" t="s">
        <v>42</v>
      </c>
      <c r="R2954" s="5">
        <v>140000</v>
      </c>
      <c r="S2954" s="5">
        <v>0</v>
      </c>
      <c r="T2954" s="5"/>
      <c r="U2954" s="5">
        <v>140000</v>
      </c>
      <c r="V2954" s="5" t="s">
        <v>13017</v>
      </c>
      <c r="W2954" s="5" t="s">
        <v>36</v>
      </c>
      <c r="X2954" s="5" t="s">
        <v>180</v>
      </c>
      <c r="Z2954" s="5" t="s">
        <v>13018</v>
      </c>
      <c r="AA2954" s="5" t="s">
        <v>44</v>
      </c>
      <c r="AB2954" s="5" t="s">
        <v>13019</v>
      </c>
      <c r="AC2954" s="8" t="str">
        <f>HYPERLINK("https://drive.google.com/file/d/1EBRTxh9aPazR7eOALHYEL9L4uVKzC99m/view?usp=drivesdk", "Abrir_Factura")</f>
        <v>Abrir_Factura</v>
      </c>
      <c r="AD2954" s="9">
        <v>46087.654976851853</v>
      </c>
    </row>
    <row r="2955" spans="1:30" ht="12.5">
      <c r="A2955" s="4">
        <v>46087.625925393513</v>
      </c>
      <c r="B2955" s="5">
        <v>92702</v>
      </c>
      <c r="C2955" s="5">
        <v>1140829752</v>
      </c>
      <c r="D2955" s="5" t="s">
        <v>13020</v>
      </c>
      <c r="F2955" s="5"/>
      <c r="H2955" s="5">
        <v>573145210521</v>
      </c>
      <c r="J2955" s="5" t="s">
        <v>13020</v>
      </c>
      <c r="K2955" s="5" t="s">
        <v>12657</v>
      </c>
      <c r="L2955" s="5" t="s">
        <v>12657</v>
      </c>
      <c r="M2955" s="5">
        <v>573145210521</v>
      </c>
      <c r="N2955" s="6">
        <v>46087</v>
      </c>
      <c r="O2955" s="7">
        <v>0</v>
      </c>
      <c r="P2955" s="5">
        <v>2</v>
      </c>
      <c r="Q2955" s="5" t="s">
        <v>13021</v>
      </c>
      <c r="R2955" s="5">
        <v>260000</v>
      </c>
      <c r="S2955" s="5">
        <v>0</v>
      </c>
      <c r="T2955" s="5"/>
      <c r="U2955" s="5">
        <v>260000</v>
      </c>
      <c r="V2955" s="5"/>
      <c r="W2955" s="5" t="s">
        <v>36</v>
      </c>
      <c r="X2955" s="5" t="s">
        <v>37</v>
      </c>
      <c r="Z2955" s="5"/>
      <c r="AA2955" s="5" t="s">
        <v>37</v>
      </c>
      <c r="AB2955" s="5" t="s">
        <v>13022</v>
      </c>
      <c r="AC2955" s="8" t="str">
        <f>HYPERLINK("https://drive.google.com/file/d/1IPvPFAYTMJ-KMFKpwp66gmLwGy9r11qj/view?usp=drivesdk", "Abrir_Factura")</f>
        <v>Abrir_Factura</v>
      </c>
      <c r="AD2955" s="9">
        <v>46087.671238425923</v>
      </c>
    </row>
    <row r="2956" spans="1:30" ht="12.5">
      <c r="A2956" s="4">
        <v>46087.642036817131</v>
      </c>
      <c r="B2956" s="5">
        <v>92694</v>
      </c>
      <c r="C2956" s="5">
        <v>1007899876</v>
      </c>
      <c r="D2956" s="5" t="s">
        <v>13023</v>
      </c>
      <c r="F2956" s="5"/>
      <c r="H2956" s="5">
        <v>573123093770</v>
      </c>
      <c r="J2956" s="5" t="s">
        <v>13024</v>
      </c>
      <c r="K2956" s="5" t="s">
        <v>6194</v>
      </c>
      <c r="L2956" s="5" t="s">
        <v>13025</v>
      </c>
      <c r="M2956" s="5">
        <v>573004563479</v>
      </c>
      <c r="N2956" s="6">
        <v>46089</v>
      </c>
      <c r="O2956" s="7">
        <v>0.33333333333333331</v>
      </c>
      <c r="P2956" s="5">
        <v>1</v>
      </c>
      <c r="Q2956" s="5" t="s">
        <v>12522</v>
      </c>
      <c r="R2956" s="5">
        <v>99000</v>
      </c>
      <c r="S2956" s="5">
        <v>0</v>
      </c>
      <c r="T2956" s="5">
        <v>18000</v>
      </c>
      <c r="U2956" s="5">
        <v>117000</v>
      </c>
      <c r="V2956" s="5" t="s">
        <v>13026</v>
      </c>
      <c r="W2956" s="5" t="s">
        <v>36</v>
      </c>
      <c r="X2956" s="5" t="s">
        <v>12646</v>
      </c>
      <c r="Z2956" s="5"/>
      <c r="AA2956" s="5" t="s">
        <v>44</v>
      </c>
      <c r="AB2956" s="5"/>
      <c r="AC2956" s="8" t="str">
        <f>HYPERLINK("https://drive.google.com/file/d/1Bkle-EqQeU7UzNljrv6FVNwNCV64sbjD/view?usp=drivesdk", "Abrir_Factura")</f>
        <v>Abrir_Factura</v>
      </c>
      <c r="AD2956" s="9">
        <v>46087.648136574076</v>
      </c>
    </row>
    <row r="2957" spans="1:30" ht="12.5">
      <c r="A2957" s="4">
        <v>46087.642352256946</v>
      </c>
      <c r="B2957" s="5">
        <v>92710</v>
      </c>
      <c r="C2957" s="5">
        <v>1067881240</v>
      </c>
      <c r="D2957" s="5" t="s">
        <v>13027</v>
      </c>
      <c r="F2957" s="5"/>
      <c r="H2957" s="5">
        <v>573017098224</v>
      </c>
      <c r="J2957" s="5" t="s">
        <v>13028</v>
      </c>
      <c r="K2957" s="5" t="s">
        <v>73</v>
      </c>
      <c r="L2957" s="5" t="s">
        <v>13029</v>
      </c>
      <c r="M2957" s="5">
        <v>573013007378</v>
      </c>
      <c r="N2957" s="6">
        <v>46089</v>
      </c>
      <c r="O2957" s="7">
        <v>0.29166666666666669</v>
      </c>
      <c r="P2957" s="5">
        <v>1</v>
      </c>
      <c r="Q2957" s="5" t="s">
        <v>12496</v>
      </c>
      <c r="R2957" s="5">
        <v>120000</v>
      </c>
      <c r="S2957" s="5">
        <v>0</v>
      </c>
      <c r="T2957" s="5">
        <v>8000</v>
      </c>
      <c r="U2957" s="5">
        <v>128000</v>
      </c>
      <c r="V2957" s="5" t="s">
        <v>13030</v>
      </c>
      <c r="W2957" s="5" t="s">
        <v>36</v>
      </c>
      <c r="X2957" s="5" t="s">
        <v>12646</v>
      </c>
      <c r="Z2957" s="5" t="s">
        <v>13031</v>
      </c>
      <c r="AA2957" s="5" t="s">
        <v>44</v>
      </c>
      <c r="AB2957" s="5" t="s">
        <v>9771</v>
      </c>
      <c r="AC2957" s="8" t="str">
        <f>HYPERLINK("https://drive.google.com/file/d/1A-NonU7WoCENOUNqqB66T-PG_204xwiu/view?usp=drivesdk", "Abrir_Factura")</f>
        <v>Abrir_Factura</v>
      </c>
      <c r="AD2957" s="9">
        <v>46087.712013888886</v>
      </c>
    </row>
    <row r="2958" spans="1:30" ht="12.5">
      <c r="A2958" s="4">
        <v>46087.642479479167</v>
      </c>
      <c r="B2958" s="5">
        <v>92693</v>
      </c>
      <c r="C2958" s="5">
        <v>1042457196</v>
      </c>
      <c r="D2958" s="5" t="s">
        <v>13032</v>
      </c>
      <c r="F2958" s="5"/>
      <c r="H2958" s="5">
        <v>573006015502</v>
      </c>
      <c r="J2958" s="5" t="s">
        <v>13033</v>
      </c>
      <c r="K2958" s="5" t="s">
        <v>110</v>
      </c>
      <c r="L2958" s="5" t="s">
        <v>13034</v>
      </c>
      <c r="M2958" s="5">
        <v>573004512797</v>
      </c>
      <c r="N2958" s="6">
        <v>46087</v>
      </c>
      <c r="O2958" s="7">
        <v>0</v>
      </c>
      <c r="P2958" s="5">
        <v>1</v>
      </c>
      <c r="Q2958" s="5" t="s">
        <v>458</v>
      </c>
      <c r="R2958" s="5">
        <v>360000</v>
      </c>
      <c r="S2958" s="5">
        <v>0</v>
      </c>
      <c r="T2958" s="5">
        <v>6000</v>
      </c>
      <c r="U2958" s="5">
        <v>366000</v>
      </c>
      <c r="V2958" s="5" t="s">
        <v>13035</v>
      </c>
      <c r="W2958" s="5" t="s">
        <v>36</v>
      </c>
      <c r="X2958" s="5" t="s">
        <v>180</v>
      </c>
      <c r="Z2958" s="5" t="s">
        <v>13036</v>
      </c>
      <c r="AA2958" s="5" t="s">
        <v>1717</v>
      </c>
      <c r="AB2958" s="5"/>
      <c r="AC2958" s="8" t="str">
        <f>HYPERLINK("https://drive.google.com/file/d/1RzOy9mGztW268zal9UD9ZkFmZoYU4RjV/view?usp=drivesdk", "Abrir_Factura")</f>
        <v>Abrir_Factura</v>
      </c>
      <c r="AD2958" s="9">
        <v>46088.478622685187</v>
      </c>
    </row>
    <row r="2959" spans="1:30" ht="12.5">
      <c r="A2959" s="4">
        <v>46087.646727025465</v>
      </c>
      <c r="B2959" s="5">
        <v>92696</v>
      </c>
      <c r="C2959" s="5">
        <v>1003291561</v>
      </c>
      <c r="D2959" s="5" t="s">
        <v>13037</v>
      </c>
      <c r="F2959" s="5"/>
      <c r="H2959" s="5">
        <v>3217215223</v>
      </c>
      <c r="J2959" s="5" t="s">
        <v>13038</v>
      </c>
      <c r="K2959" s="5" t="s">
        <v>63</v>
      </c>
      <c r="L2959" s="5" t="s">
        <v>13039</v>
      </c>
      <c r="M2959" s="5">
        <v>573102091868</v>
      </c>
      <c r="N2959" s="6">
        <v>46089</v>
      </c>
      <c r="O2959" s="7">
        <v>0.33333333333333331</v>
      </c>
      <c r="P2959" s="5">
        <v>1</v>
      </c>
      <c r="Q2959" s="5" t="s">
        <v>12844</v>
      </c>
      <c r="R2959" s="5">
        <v>80000</v>
      </c>
      <c r="S2959" s="5">
        <v>0</v>
      </c>
      <c r="T2959" s="5">
        <v>17000</v>
      </c>
      <c r="U2959" s="5">
        <v>97000</v>
      </c>
      <c r="V2959" s="5" t="s">
        <v>13040</v>
      </c>
      <c r="W2959" s="5" t="s">
        <v>36</v>
      </c>
      <c r="X2959" s="5" t="s">
        <v>12646</v>
      </c>
      <c r="Z2959" s="5" t="s">
        <v>13037</v>
      </c>
      <c r="AA2959" s="5" t="s">
        <v>44</v>
      </c>
      <c r="AB2959" s="5" t="s">
        <v>13041</v>
      </c>
      <c r="AC2959" s="8" t="str">
        <f>HYPERLINK("https://drive.google.com/file/d/1Nwuf2cljLck57A-YRefRp_3k4UyNdRIW/view?usp=drivesdk", "Abrir_Factura")</f>
        <v>Abrir_Factura</v>
      </c>
      <c r="AD2959" s="9">
        <v>46087.649722222224</v>
      </c>
    </row>
    <row r="2960" spans="1:30" ht="12.5">
      <c r="A2960" s="4">
        <v>46087.647438032407</v>
      </c>
      <c r="B2960" s="5">
        <v>92697</v>
      </c>
      <c r="C2960" s="5">
        <v>79482326</v>
      </c>
      <c r="D2960" s="5" t="s">
        <v>13042</v>
      </c>
      <c r="F2960" s="5"/>
      <c r="H2960" s="5">
        <v>573043284707</v>
      </c>
      <c r="J2960" s="5" t="s">
        <v>13043</v>
      </c>
      <c r="K2960" s="5" t="s">
        <v>5574</v>
      </c>
      <c r="L2960" s="5" t="s">
        <v>13044</v>
      </c>
      <c r="M2960" s="5"/>
      <c r="N2960" s="6">
        <v>46088</v>
      </c>
      <c r="O2960" s="7">
        <v>0</v>
      </c>
      <c r="P2960" s="5">
        <v>1</v>
      </c>
      <c r="Q2960" s="5" t="s">
        <v>42</v>
      </c>
      <c r="R2960" s="5">
        <v>50000</v>
      </c>
      <c r="S2960" s="5">
        <v>0</v>
      </c>
      <c r="T2960" s="5">
        <v>10000</v>
      </c>
      <c r="U2960" s="5">
        <v>60000</v>
      </c>
      <c r="V2960" s="5" t="s">
        <v>13045</v>
      </c>
      <c r="W2960" s="5" t="s">
        <v>36</v>
      </c>
      <c r="X2960" s="5" t="s">
        <v>1705</v>
      </c>
      <c r="Z2960" s="5"/>
      <c r="AA2960" s="5" t="s">
        <v>1717</v>
      </c>
      <c r="AB2960" s="5" t="s">
        <v>13046</v>
      </c>
      <c r="AC2960" s="8" t="str">
        <f>HYPERLINK("https://drive.google.com/file/d/1JpoFIpMjTJznCggM6xnYTgfBD0GA_0Zg/view?usp=drivesdk", "Abrir_Factura")</f>
        <v>Abrir_Factura</v>
      </c>
      <c r="AD2960" s="9">
        <v>46087.650185185186</v>
      </c>
    </row>
    <row r="2961" spans="1:30" ht="12.5">
      <c r="A2961" s="4">
        <v>46087.654547997685</v>
      </c>
      <c r="B2961" s="5">
        <v>92701</v>
      </c>
      <c r="C2961" s="5">
        <v>1140845935</v>
      </c>
      <c r="D2961" s="5" t="s">
        <v>13047</v>
      </c>
      <c r="F2961" s="5"/>
      <c r="H2961" s="5">
        <v>573104605906</v>
      </c>
      <c r="J2961" s="5" t="s">
        <v>13048</v>
      </c>
      <c r="K2961" s="5" t="s">
        <v>249</v>
      </c>
      <c r="L2961" s="5" t="s">
        <v>13049</v>
      </c>
      <c r="M2961" s="5">
        <v>573245177748</v>
      </c>
      <c r="N2961" s="6">
        <v>46087</v>
      </c>
      <c r="O2961" s="7">
        <v>0.1875</v>
      </c>
      <c r="P2961" s="5">
        <v>1</v>
      </c>
      <c r="Q2961" s="5" t="s">
        <v>12724</v>
      </c>
      <c r="R2961" s="5">
        <v>170000</v>
      </c>
      <c r="S2961" s="5">
        <v>0</v>
      </c>
      <c r="T2961" s="5">
        <v>10000</v>
      </c>
      <c r="U2961" s="5">
        <v>180000</v>
      </c>
      <c r="V2961" s="5" t="s">
        <v>13050</v>
      </c>
      <c r="W2961" s="5" t="s">
        <v>36</v>
      </c>
      <c r="X2961" s="5" t="s">
        <v>67</v>
      </c>
      <c r="Z2961" s="5" t="s">
        <v>13051</v>
      </c>
      <c r="AA2961" s="5" t="s">
        <v>69</v>
      </c>
      <c r="AB2961" s="5" t="s">
        <v>13052</v>
      </c>
      <c r="AC2961" s="8" t="str">
        <f>HYPERLINK("https://drive.google.com/file/d/1byAh2VlnjITSBLuAz1knb3QtwOlv02jL/view?usp=drivesdk", "Abrir_Factura")</f>
        <v>Abrir_Factura</v>
      </c>
      <c r="AD2961" s="9">
        <v>46088.605069444442</v>
      </c>
    </row>
    <row r="2962" spans="1:30" ht="12.5">
      <c r="A2962" s="4">
        <v>46087.656910590274</v>
      </c>
      <c r="B2962" s="5">
        <v>92700</v>
      </c>
      <c r="C2962" s="5">
        <v>1143455067</v>
      </c>
      <c r="D2962" s="5" t="s">
        <v>13053</v>
      </c>
      <c r="F2962" s="5"/>
      <c r="H2962" s="5">
        <v>575513373519</v>
      </c>
      <c r="J2962" s="5" t="s">
        <v>13054</v>
      </c>
      <c r="K2962" s="5" t="s">
        <v>73</v>
      </c>
      <c r="L2962" s="5" t="s">
        <v>13055</v>
      </c>
      <c r="M2962" s="5">
        <v>573045472003</v>
      </c>
      <c r="N2962" s="6">
        <v>46089</v>
      </c>
      <c r="O2962" s="7">
        <v>0.29166666666666669</v>
      </c>
      <c r="P2962" s="5">
        <v>1</v>
      </c>
      <c r="Q2962" s="5" t="s">
        <v>13056</v>
      </c>
      <c r="R2962" s="5">
        <v>220000</v>
      </c>
      <c r="S2962" s="5">
        <v>0</v>
      </c>
      <c r="T2962" s="5">
        <v>8000</v>
      </c>
      <c r="U2962" s="5">
        <v>228000</v>
      </c>
      <c r="V2962" s="5" t="s">
        <v>13057</v>
      </c>
      <c r="W2962" s="5" t="s">
        <v>36</v>
      </c>
      <c r="X2962" s="5" t="s">
        <v>12646</v>
      </c>
      <c r="Z2962" s="5" t="s">
        <v>13058</v>
      </c>
      <c r="AA2962" s="5" t="s">
        <v>44</v>
      </c>
      <c r="AB2962" s="5" t="s">
        <v>13059</v>
      </c>
      <c r="AC2962" s="8" t="str">
        <f>HYPERLINK("https://drive.google.com/file/d/12oenhmxZ_R09FcLP4zqUhwxJyTkQ-y_F/view?usp=drivesdk", "Abrir_Factura")</f>
        <v>Abrir_Factura</v>
      </c>
      <c r="AD2962" s="9">
        <v>46087.677129629628</v>
      </c>
    </row>
    <row r="2963" spans="1:30" ht="12.5">
      <c r="A2963" s="4">
        <v>46087.663684317129</v>
      </c>
      <c r="B2963" s="5">
        <v>92703</v>
      </c>
      <c r="C2963" s="5">
        <v>1044431061</v>
      </c>
      <c r="D2963" s="5" t="s">
        <v>13060</v>
      </c>
      <c r="F2963" s="5"/>
      <c r="H2963" s="5">
        <v>573234582934</v>
      </c>
      <c r="J2963" s="5" t="s">
        <v>13061</v>
      </c>
      <c r="K2963" s="5" t="s">
        <v>63</v>
      </c>
      <c r="L2963" s="5" t="s">
        <v>13062</v>
      </c>
      <c r="M2963" s="5">
        <v>573234589234</v>
      </c>
      <c r="N2963" s="6">
        <v>46088</v>
      </c>
      <c r="O2963" s="7">
        <v>0.41666666666666669</v>
      </c>
      <c r="P2963" s="5">
        <v>1</v>
      </c>
      <c r="Q2963" s="5" t="s">
        <v>13063</v>
      </c>
      <c r="R2963" s="5">
        <v>170000</v>
      </c>
      <c r="S2963" s="5">
        <v>0</v>
      </c>
      <c r="T2963" s="5">
        <v>17000</v>
      </c>
      <c r="U2963" s="5">
        <v>187000</v>
      </c>
      <c r="V2963" s="5" t="s">
        <v>13064</v>
      </c>
      <c r="W2963" s="5" t="s">
        <v>36</v>
      </c>
      <c r="X2963" s="5" t="s">
        <v>12646</v>
      </c>
      <c r="Z2963" s="5"/>
      <c r="AA2963" s="5" t="s">
        <v>44</v>
      </c>
      <c r="AB2963" s="5" t="s">
        <v>13065</v>
      </c>
      <c r="AC2963" s="8" t="str">
        <f>HYPERLINK("https://drive.google.com/file/d/1bXGT8z1-5T7xM0Pxb5rqA-rULB1b_lS0/view?usp=drivesdk", "Abrir_Factura")</f>
        <v>Abrir_Factura</v>
      </c>
      <c r="AD2963" s="9">
        <v>46087.679918981485</v>
      </c>
    </row>
    <row r="2964" spans="1:30" ht="12.5">
      <c r="A2964" s="4">
        <v>46087.684120520833</v>
      </c>
      <c r="B2964" s="5">
        <v>92708</v>
      </c>
      <c r="C2964" s="5">
        <v>1140896649</v>
      </c>
      <c r="D2964" s="5" t="s">
        <v>13066</v>
      </c>
      <c r="F2964" s="5"/>
      <c r="H2964" s="5">
        <v>573105015903</v>
      </c>
      <c r="J2964" s="5" t="s">
        <v>13066</v>
      </c>
      <c r="K2964" s="5" t="s">
        <v>12657</v>
      </c>
      <c r="L2964" s="5" t="s">
        <v>12657</v>
      </c>
      <c r="M2964" s="5">
        <v>573105015903</v>
      </c>
      <c r="N2964" s="6">
        <v>46089</v>
      </c>
      <c r="O2964" s="7">
        <v>0.33333333333333331</v>
      </c>
      <c r="P2964" s="5">
        <v>1</v>
      </c>
      <c r="Q2964" s="5" t="s">
        <v>13067</v>
      </c>
      <c r="R2964" s="5">
        <v>20000</v>
      </c>
      <c r="S2964" s="5">
        <v>0</v>
      </c>
      <c r="T2964" s="5"/>
      <c r="U2964" s="5">
        <v>20000</v>
      </c>
      <c r="V2964" s="5" t="s">
        <v>13068</v>
      </c>
      <c r="W2964" s="5" t="s">
        <v>36</v>
      </c>
      <c r="X2964" s="5" t="s">
        <v>12646</v>
      </c>
      <c r="Z2964" s="5" t="s">
        <v>13069</v>
      </c>
      <c r="AA2964" s="5" t="s">
        <v>44</v>
      </c>
      <c r="AB2964" s="5" t="s">
        <v>13070</v>
      </c>
      <c r="AC2964" s="8" t="str">
        <f>HYPERLINK("https://drive.google.com/file/d/1zp2LFMqs9IvjSKwsmscdRPiTE_e7XmNj/view?usp=drivesdk", "Abrir_Factura")</f>
        <v>Abrir_Factura</v>
      </c>
      <c r="AD2964" s="9">
        <v>46087.711458333331</v>
      </c>
    </row>
    <row r="2965" spans="1:30" ht="12.5">
      <c r="A2965" s="4">
        <v>46087.687393321758</v>
      </c>
      <c r="B2965" s="5">
        <v>92706</v>
      </c>
      <c r="C2965" s="5">
        <v>1143351212</v>
      </c>
      <c r="D2965" s="5" t="s">
        <v>13071</v>
      </c>
      <c r="F2965" s="5"/>
      <c r="H2965" s="5">
        <v>573011113091</v>
      </c>
      <c r="J2965" s="5" t="s">
        <v>13072</v>
      </c>
      <c r="K2965" s="5" t="s">
        <v>2865</v>
      </c>
      <c r="L2965" s="5" t="s">
        <v>13073</v>
      </c>
      <c r="M2965" s="5">
        <v>573011113091</v>
      </c>
      <c r="N2965" s="6">
        <v>46087</v>
      </c>
      <c r="O2965" s="7">
        <v>0.75</v>
      </c>
      <c r="P2965" s="5">
        <v>1</v>
      </c>
      <c r="Q2965" s="5" t="s">
        <v>13074</v>
      </c>
      <c r="R2965" s="5">
        <v>350000</v>
      </c>
      <c r="S2965" s="5">
        <v>0</v>
      </c>
      <c r="T2965" s="5">
        <v>12000</v>
      </c>
      <c r="U2965" s="5">
        <v>362000</v>
      </c>
      <c r="V2965" s="5" t="s">
        <v>13075</v>
      </c>
      <c r="W2965" s="5" t="s">
        <v>36</v>
      </c>
      <c r="X2965" s="5" t="s">
        <v>67</v>
      </c>
      <c r="Z2965" s="5" t="s">
        <v>13076</v>
      </c>
      <c r="AA2965" s="5" t="s">
        <v>44</v>
      </c>
      <c r="AB2965" s="5" t="s">
        <v>13070</v>
      </c>
      <c r="AC2965" s="8" t="str">
        <f>HYPERLINK("https://drive.google.com/file/d/18UOgGXiolJbj1815z11fxB_g72FXFogy/view?usp=drivesdk", "Abrir_Factura")</f>
        <v>Abrir_Factura</v>
      </c>
      <c r="AD2965" s="9">
        <v>46087.701678240737</v>
      </c>
    </row>
    <row r="2966" spans="1:30" ht="12.5">
      <c r="A2966" s="4">
        <v>46087.68917420139</v>
      </c>
      <c r="B2966" s="5">
        <v>92705</v>
      </c>
      <c r="C2966" s="5">
        <v>1140845935</v>
      </c>
      <c r="D2966" s="5" t="s">
        <v>13047</v>
      </c>
      <c r="F2966" s="5"/>
      <c r="H2966" s="5">
        <v>573104605906</v>
      </c>
      <c r="J2966" s="5" t="s">
        <v>13077</v>
      </c>
      <c r="K2966" s="5" t="s">
        <v>249</v>
      </c>
      <c r="L2966" s="5" t="s">
        <v>13078</v>
      </c>
      <c r="M2966" s="5">
        <v>573042054826</v>
      </c>
      <c r="N2966" s="6">
        <v>46087</v>
      </c>
      <c r="O2966" s="7">
        <v>0.22916666666666666</v>
      </c>
      <c r="P2966" s="5">
        <v>1</v>
      </c>
      <c r="Q2966" s="5" t="s">
        <v>13079</v>
      </c>
      <c r="R2966" s="5">
        <v>170000</v>
      </c>
      <c r="S2966" s="5">
        <v>0</v>
      </c>
      <c r="T2966" s="5">
        <v>10000</v>
      </c>
      <c r="U2966" s="5">
        <v>180000</v>
      </c>
      <c r="V2966" s="5" t="s">
        <v>13080</v>
      </c>
      <c r="W2966" s="5" t="s">
        <v>36</v>
      </c>
      <c r="X2966" s="5" t="s">
        <v>67</v>
      </c>
      <c r="Z2966" s="5" t="s">
        <v>13081</v>
      </c>
      <c r="AA2966" s="5" t="s">
        <v>44</v>
      </c>
      <c r="AB2966" s="5" t="s">
        <v>13082</v>
      </c>
      <c r="AC2966" s="8" t="str">
        <f>HYPERLINK("https://drive.google.com/file/d/1gRic0atERuP7EOEq6P2zz6sg_iMc89it/view?usp=drivesdk", "Abrir_Factura")</f>
        <v>Abrir_Factura</v>
      </c>
      <c r="AD2966" s="9">
        <v>46087.698958333334</v>
      </c>
    </row>
    <row r="2967" spans="1:30" ht="12.5">
      <c r="A2967" s="4">
        <v>46087.69267005787</v>
      </c>
      <c r="B2967" s="5">
        <v>92704</v>
      </c>
      <c r="C2967" s="5">
        <v>32710727</v>
      </c>
      <c r="D2967" s="5" t="s">
        <v>13083</v>
      </c>
      <c r="F2967" s="5"/>
      <c r="H2967" s="5">
        <v>573213651301</v>
      </c>
      <c r="J2967" s="5" t="s">
        <v>13083</v>
      </c>
      <c r="K2967" s="5" t="s">
        <v>12657</v>
      </c>
      <c r="L2967" s="5" t="s">
        <v>12657</v>
      </c>
      <c r="M2967" s="5">
        <v>573213651301</v>
      </c>
      <c r="N2967" s="6">
        <v>46087</v>
      </c>
      <c r="O2967" s="7">
        <v>0</v>
      </c>
      <c r="P2967" s="5">
        <v>1</v>
      </c>
      <c r="Q2967" s="5" t="s">
        <v>12496</v>
      </c>
      <c r="R2967" s="5">
        <v>120000</v>
      </c>
      <c r="S2967" s="5">
        <v>0</v>
      </c>
      <c r="T2967" s="5"/>
      <c r="U2967" s="5">
        <v>120000</v>
      </c>
      <c r="V2967" s="5"/>
      <c r="W2967" s="5" t="s">
        <v>36</v>
      </c>
      <c r="X2967" s="5" t="s">
        <v>37</v>
      </c>
      <c r="Z2967" s="5"/>
      <c r="AA2967" s="5" t="s">
        <v>37</v>
      </c>
      <c r="AB2967" s="5" t="s">
        <v>13084</v>
      </c>
      <c r="AC2967" s="8" t="str">
        <f>HYPERLINK("https://drive.google.com/file/d/19cU1AreUPtv2p9gIC3bn3S59CvIrAK2w/view?usp=drivesdk", "Abrir_Factura")</f>
        <v>Abrir_Factura</v>
      </c>
      <c r="AD2967" s="9">
        <v>46087.693796296298</v>
      </c>
    </row>
    <row r="2968" spans="1:30" ht="12.5">
      <c r="A2968" s="4">
        <v>46087.702006886575</v>
      </c>
      <c r="B2968" s="5">
        <v>92707</v>
      </c>
      <c r="C2968" s="5">
        <v>72342955</v>
      </c>
      <c r="D2968" s="5" t="s">
        <v>13085</v>
      </c>
      <c r="F2968" s="5"/>
      <c r="H2968" s="5">
        <v>573204842833</v>
      </c>
      <c r="J2968" s="5" t="s">
        <v>13086</v>
      </c>
      <c r="K2968" s="5" t="s">
        <v>12657</v>
      </c>
      <c r="L2968" s="5" t="s">
        <v>13087</v>
      </c>
      <c r="M2968" s="5">
        <v>573204842833</v>
      </c>
      <c r="N2968" s="6">
        <v>46087</v>
      </c>
      <c r="O2968" s="7">
        <v>0.22916666666666666</v>
      </c>
      <c r="P2968" s="5">
        <v>1</v>
      </c>
      <c r="Q2968" s="5" t="s">
        <v>12496</v>
      </c>
      <c r="R2968" s="5">
        <v>120000</v>
      </c>
      <c r="S2968" s="5">
        <v>0</v>
      </c>
      <c r="T2968" s="5"/>
      <c r="U2968" s="5">
        <v>120000</v>
      </c>
      <c r="V2968" s="5" t="s">
        <v>13088</v>
      </c>
      <c r="W2968" s="5" t="s">
        <v>36</v>
      </c>
      <c r="X2968" s="5" t="s">
        <v>67</v>
      </c>
      <c r="Z2968" s="5" t="s">
        <v>13089</v>
      </c>
      <c r="AA2968" s="5" t="s">
        <v>44</v>
      </c>
      <c r="AB2968" s="5" t="s">
        <v>13090</v>
      </c>
      <c r="AC2968" s="8" t="str">
        <f>HYPERLINK("https://drive.google.com/file/d/1DxoFc5WqJFh6AhPmmp_qF8Ifz-hmCf6q/view?usp=drivesdk", "Abrir_Factura")</f>
        <v>Abrir_Factura</v>
      </c>
      <c r="AD2968" s="9">
        <v>46087.710289351853</v>
      </c>
    </row>
    <row r="2969" spans="1:30" ht="12.5">
      <c r="A2969" s="4">
        <v>46087.711091759258</v>
      </c>
      <c r="B2969" s="5">
        <v>92709</v>
      </c>
      <c r="C2969" s="5">
        <v>22516763</v>
      </c>
      <c r="D2969" s="5" t="s">
        <v>13091</v>
      </c>
      <c r="F2969" s="5"/>
      <c r="H2969" s="5">
        <v>573003004016</v>
      </c>
      <c r="J2969" s="5" t="s">
        <v>13091</v>
      </c>
      <c r="K2969" s="5" t="s">
        <v>12657</v>
      </c>
      <c r="L2969" s="5" t="s">
        <v>12657</v>
      </c>
      <c r="M2969" s="5">
        <v>573003004016</v>
      </c>
      <c r="N2969" s="6">
        <v>46087</v>
      </c>
      <c r="O2969" s="7">
        <v>0</v>
      </c>
      <c r="P2969" s="5">
        <v>1</v>
      </c>
      <c r="Q2969" s="5" t="s">
        <v>734</v>
      </c>
      <c r="R2969" s="5">
        <v>99000</v>
      </c>
      <c r="S2969" s="5">
        <v>0</v>
      </c>
      <c r="T2969" s="5"/>
      <c r="U2969" s="5">
        <v>99000</v>
      </c>
      <c r="V2969" s="5"/>
      <c r="W2969" s="5" t="s">
        <v>36</v>
      </c>
      <c r="X2969" s="5" t="s">
        <v>1705</v>
      </c>
      <c r="Z2969" s="5"/>
      <c r="AA2969" s="5" t="s">
        <v>1717</v>
      </c>
      <c r="AB2969" s="5"/>
      <c r="AC2969" s="8" t="str">
        <f>HYPERLINK("https://drive.google.com/file/d/1Omok_hU1A933YbkJT_fNSzRnaeWAL1K4/view?usp=drivesdk", "Abrir_Factura")</f>
        <v>Abrir_Factura</v>
      </c>
      <c r="AD2969" s="9">
        <v>46087.711793981478</v>
      </c>
    </row>
    <row r="2970" spans="1:30" ht="12.5">
      <c r="A2970" s="4">
        <v>46087.713216990742</v>
      </c>
      <c r="B2970" s="5">
        <v>92720</v>
      </c>
      <c r="C2970" s="5">
        <v>1140828777</v>
      </c>
      <c r="D2970" s="5" t="s">
        <v>13092</v>
      </c>
      <c r="F2970" s="5"/>
      <c r="H2970" s="5">
        <v>573007518986</v>
      </c>
      <c r="J2970" s="5" t="s">
        <v>13093</v>
      </c>
      <c r="K2970" s="5" t="s">
        <v>3874</v>
      </c>
      <c r="L2970" s="5" t="s">
        <v>13094</v>
      </c>
      <c r="M2970" s="5">
        <v>573175746293</v>
      </c>
      <c r="N2970" s="6">
        <v>46088</v>
      </c>
      <c r="O2970" s="7">
        <v>0.33333333333333331</v>
      </c>
      <c r="P2970" s="5">
        <v>1</v>
      </c>
      <c r="Q2970" s="5" t="s">
        <v>1610</v>
      </c>
      <c r="R2970" s="5">
        <v>230000</v>
      </c>
      <c r="S2970" s="5">
        <v>0</v>
      </c>
      <c r="T2970" s="5">
        <v>18000</v>
      </c>
      <c r="U2970" s="5">
        <v>248000</v>
      </c>
      <c r="V2970" s="5" t="s">
        <v>13095</v>
      </c>
      <c r="W2970" s="5" t="s">
        <v>36</v>
      </c>
      <c r="X2970" s="5" t="s">
        <v>12646</v>
      </c>
      <c r="Z2970" s="5" t="s">
        <v>13096</v>
      </c>
      <c r="AA2970" s="5" t="s">
        <v>44</v>
      </c>
      <c r="AB2970" s="5" t="s">
        <v>13097</v>
      </c>
      <c r="AC2970" s="8" t="str">
        <f>HYPERLINK("https://drive.google.com/file/d/17BuKZ7rpesdJYHqMTrLrdVoIE66GrH3a/view?usp=drivesdk", "Abrir_Factura")</f>
        <v>Abrir_Factura</v>
      </c>
      <c r="AD2970" s="9">
        <v>46087.764814814815</v>
      </c>
    </row>
    <row r="2971" spans="1:30" ht="12.5">
      <c r="A2971" s="4">
        <v>46087.718363668981</v>
      </c>
      <c r="B2971" s="5">
        <v>92716</v>
      </c>
      <c r="C2971" s="5">
        <v>1001821796</v>
      </c>
      <c r="D2971" s="5" t="s">
        <v>13098</v>
      </c>
      <c r="F2971" s="5"/>
      <c r="H2971" s="5">
        <v>573013601956</v>
      </c>
      <c r="J2971" s="5" t="s">
        <v>13099</v>
      </c>
      <c r="K2971" s="5" t="s">
        <v>63</v>
      </c>
      <c r="L2971" s="5" t="s">
        <v>13100</v>
      </c>
      <c r="M2971" s="5">
        <v>573013601956</v>
      </c>
      <c r="N2971" s="6">
        <v>46089</v>
      </c>
      <c r="O2971" s="7">
        <v>0.375</v>
      </c>
      <c r="P2971" s="5">
        <v>1</v>
      </c>
      <c r="Q2971" s="5" t="s">
        <v>13101</v>
      </c>
      <c r="R2971" s="5">
        <v>240000</v>
      </c>
      <c r="S2971" s="5">
        <v>0</v>
      </c>
      <c r="T2971" s="5">
        <v>17000</v>
      </c>
      <c r="U2971" s="5">
        <v>257000</v>
      </c>
      <c r="V2971" s="5" t="s">
        <v>13102</v>
      </c>
      <c r="W2971" s="5" t="s">
        <v>36</v>
      </c>
      <c r="X2971" s="5" t="s">
        <v>1937</v>
      </c>
      <c r="Z2971" s="5" t="s">
        <v>13103</v>
      </c>
      <c r="AA2971" s="5" t="s">
        <v>44</v>
      </c>
      <c r="AB2971" s="5" t="s">
        <v>13104</v>
      </c>
      <c r="AC2971" s="8" t="str">
        <f>HYPERLINK("https://drive.google.com/file/d/1rX-AWsVSHXT8BpzE2tNUNrn1PFogfu71/view?usp=drivesdk", "Abrir_Factura")</f>
        <v>Abrir_Factura</v>
      </c>
      <c r="AD2971" s="9">
        <v>46087.742592592593</v>
      </c>
    </row>
    <row r="2972" spans="1:30" ht="12.5">
      <c r="A2972" s="4">
        <v>46087.72104611111</v>
      </c>
      <c r="B2972" s="5">
        <v>92712</v>
      </c>
      <c r="C2972" s="5">
        <v>1083001788</v>
      </c>
      <c r="D2972" s="5" t="s">
        <v>7963</v>
      </c>
      <c r="F2972" s="5"/>
      <c r="H2972" s="5">
        <v>573000000002</v>
      </c>
      <c r="J2972" s="5" t="s">
        <v>7963</v>
      </c>
      <c r="K2972" s="5" t="s">
        <v>12657</v>
      </c>
      <c r="L2972" s="5" t="s">
        <v>12657</v>
      </c>
      <c r="M2972" s="5">
        <v>573000000002</v>
      </c>
      <c r="N2972" s="6">
        <v>46087</v>
      </c>
      <c r="O2972" s="7">
        <v>0</v>
      </c>
      <c r="P2972" s="5">
        <v>1</v>
      </c>
      <c r="Q2972" s="5" t="s">
        <v>42</v>
      </c>
      <c r="R2972" s="5">
        <v>120000</v>
      </c>
      <c r="S2972" s="5">
        <v>0</v>
      </c>
      <c r="T2972" s="5"/>
      <c r="U2972" s="5">
        <v>120000</v>
      </c>
      <c r="V2972" s="5"/>
      <c r="W2972" s="5" t="s">
        <v>36</v>
      </c>
      <c r="X2972" s="5" t="s">
        <v>67</v>
      </c>
      <c r="Z2972" s="5"/>
      <c r="AA2972" s="5" t="s">
        <v>1717</v>
      </c>
      <c r="AB2972" s="5" t="s">
        <v>13105</v>
      </c>
      <c r="AC2972" s="8" t="str">
        <f>HYPERLINK("https://drive.google.com/file/d/1MXfdsmtszKa2PgeqysHBBWWoqk_4V0n7/view?usp=drivesdk", "Abrir_Factura")</f>
        <v>Abrir_Factura</v>
      </c>
      <c r="AD2972" s="9">
        <v>46087.722430555557</v>
      </c>
    </row>
    <row r="2973" spans="1:30" ht="12.5">
      <c r="A2973" s="4">
        <v>46087.726018402776</v>
      </c>
      <c r="B2973" s="5">
        <v>92713</v>
      </c>
      <c r="C2973" s="5">
        <v>32747062</v>
      </c>
      <c r="D2973" s="5" t="s">
        <v>6561</v>
      </c>
      <c r="F2973" s="5"/>
      <c r="H2973" s="5">
        <v>573103633466</v>
      </c>
      <c r="J2973" s="5" t="s">
        <v>6561</v>
      </c>
      <c r="K2973" s="5" t="s">
        <v>12657</v>
      </c>
      <c r="L2973" s="5" t="s">
        <v>12657</v>
      </c>
      <c r="M2973" s="5">
        <v>573103633466</v>
      </c>
      <c r="N2973" s="6">
        <v>46087</v>
      </c>
      <c r="O2973" s="7">
        <v>0</v>
      </c>
      <c r="P2973" s="5">
        <v>1</v>
      </c>
      <c r="Q2973" s="5" t="s">
        <v>42</v>
      </c>
      <c r="R2973" s="5">
        <v>20000</v>
      </c>
      <c r="S2973" s="5">
        <v>0</v>
      </c>
      <c r="T2973" s="5"/>
      <c r="U2973" s="5">
        <v>20000</v>
      </c>
      <c r="V2973" s="5"/>
      <c r="W2973" s="5" t="s">
        <v>36</v>
      </c>
      <c r="X2973" s="5" t="s">
        <v>1705</v>
      </c>
      <c r="Z2973" s="5"/>
      <c r="AA2973" s="5" t="s">
        <v>1717</v>
      </c>
      <c r="AB2973" s="5"/>
      <c r="AC2973" s="8" t="str">
        <f>HYPERLINK("https://drive.google.com/file/d/1jwcKG3uLNlfoFfnBL0nJXIP0ySLzEMa3/view?usp=drivesdk", "Abrir_Factura")</f>
        <v>Abrir_Factura</v>
      </c>
      <c r="AD2973" s="9">
        <v>46087.726504629631</v>
      </c>
    </row>
    <row r="2974" spans="1:30" ht="12.5">
      <c r="A2974" s="4">
        <v>46087.726723182874</v>
      </c>
      <c r="B2974" s="5">
        <v>92714</v>
      </c>
      <c r="C2974" s="5">
        <v>72272735</v>
      </c>
      <c r="D2974" s="5" t="s">
        <v>13106</v>
      </c>
      <c r="F2974" s="5"/>
      <c r="H2974" s="5">
        <v>573008374218</v>
      </c>
      <c r="J2974" s="5" t="s">
        <v>13107</v>
      </c>
      <c r="K2974" s="5" t="s">
        <v>79</v>
      </c>
      <c r="L2974" s="5" t="s">
        <v>13108</v>
      </c>
      <c r="M2974" s="5">
        <v>573008374218</v>
      </c>
      <c r="N2974" s="6">
        <v>46088</v>
      </c>
      <c r="O2974" s="7">
        <v>0.41666666666666669</v>
      </c>
      <c r="P2974" s="5">
        <v>1</v>
      </c>
      <c r="Q2974" s="5" t="s">
        <v>12701</v>
      </c>
      <c r="R2974" s="5">
        <v>160000</v>
      </c>
      <c r="S2974" s="5">
        <v>0</v>
      </c>
      <c r="T2974" s="5">
        <v>10000</v>
      </c>
      <c r="U2974" s="5">
        <v>170000</v>
      </c>
      <c r="V2974" s="5" t="s">
        <v>13109</v>
      </c>
      <c r="W2974" s="5" t="s">
        <v>36</v>
      </c>
      <c r="X2974" s="5" t="s">
        <v>12646</v>
      </c>
      <c r="Z2974" s="5" t="s">
        <v>13110</v>
      </c>
      <c r="AA2974" s="5" t="s">
        <v>44</v>
      </c>
      <c r="AB2974" s="5" t="s">
        <v>13111</v>
      </c>
      <c r="AC2974" s="8" t="str">
        <f>HYPERLINK("https://drive.google.com/file/d/1_huSJ7yO5SeZBFS9ifFWTm4vLJM9bfXq/view?usp=drivesdk", "Abrir_Factura")</f>
        <v>Abrir_Factura</v>
      </c>
      <c r="AD2974" s="9">
        <v>46088.621550925927</v>
      </c>
    </row>
    <row r="2975" spans="1:30" ht="12.5">
      <c r="A2975" s="4">
        <v>46087.735203587959</v>
      </c>
      <c r="B2975" s="5">
        <v>92719</v>
      </c>
      <c r="C2975" s="5">
        <v>1140863283</v>
      </c>
      <c r="D2975" s="5" t="s">
        <v>13112</v>
      </c>
      <c r="F2975" s="5"/>
      <c r="H2975" s="5">
        <v>573013651988</v>
      </c>
      <c r="J2975" s="5" t="s">
        <v>13113</v>
      </c>
      <c r="K2975" s="5" t="s">
        <v>9925</v>
      </c>
      <c r="L2975" s="5" t="s">
        <v>13114</v>
      </c>
      <c r="M2975" s="5">
        <v>573013651988</v>
      </c>
      <c r="N2975" s="6">
        <v>46089</v>
      </c>
      <c r="O2975" s="7">
        <v>0.41666666666666669</v>
      </c>
      <c r="P2975" s="5">
        <v>1</v>
      </c>
      <c r="Q2975" s="5" t="s">
        <v>13115</v>
      </c>
      <c r="R2975" s="5">
        <v>410000</v>
      </c>
      <c r="S2975" s="5">
        <v>0</v>
      </c>
      <c r="T2975" s="5">
        <v>11000</v>
      </c>
      <c r="U2975" s="5">
        <v>421000</v>
      </c>
      <c r="V2975" s="5" t="s">
        <v>13116</v>
      </c>
      <c r="W2975" s="5" t="s">
        <v>36</v>
      </c>
      <c r="X2975" s="5" t="s">
        <v>12646</v>
      </c>
      <c r="Z2975" s="5" t="s">
        <v>13117</v>
      </c>
      <c r="AA2975" s="5" t="s">
        <v>44</v>
      </c>
      <c r="AB2975" s="5" t="s">
        <v>13118</v>
      </c>
      <c r="AC2975" s="8" t="str">
        <f>HYPERLINK("https://drive.google.com/file/d/13Tdl9ZP-7BowDQLU-mZs16aKp0FOcB95/view?usp=drivesdk", "Abrir_Factura")</f>
        <v>Abrir_Factura</v>
      </c>
      <c r="AD2975" s="9">
        <v>46087.762604166666</v>
      </c>
    </row>
    <row r="2976" spans="1:30" ht="12.5">
      <c r="A2976" s="4">
        <v>46087.73884961805</v>
      </c>
      <c r="B2976" s="5">
        <v>92715</v>
      </c>
      <c r="C2976" s="5">
        <v>9149600</v>
      </c>
      <c r="D2976" s="5" t="s">
        <v>13119</v>
      </c>
      <c r="F2976" s="5"/>
      <c r="H2976" s="5">
        <v>573150533465</v>
      </c>
      <c r="J2976" s="5" t="s">
        <v>13120</v>
      </c>
      <c r="K2976" s="5" t="s">
        <v>110</v>
      </c>
      <c r="L2976" s="5" t="s">
        <v>13121</v>
      </c>
      <c r="M2976" s="5"/>
      <c r="N2976" s="6">
        <v>46089</v>
      </c>
      <c r="O2976" s="7">
        <v>0.375</v>
      </c>
      <c r="P2976" s="5">
        <v>1</v>
      </c>
      <c r="Q2976" s="5" t="s">
        <v>12406</v>
      </c>
      <c r="R2976" s="5">
        <v>90000</v>
      </c>
      <c r="S2976" s="5">
        <v>0</v>
      </c>
      <c r="T2976" s="5">
        <v>6000</v>
      </c>
      <c r="U2976" s="5">
        <v>96000</v>
      </c>
      <c r="V2976" s="5" t="s">
        <v>13122</v>
      </c>
      <c r="W2976" s="5" t="s">
        <v>36</v>
      </c>
      <c r="X2976" s="5" t="s">
        <v>196</v>
      </c>
      <c r="Z2976" s="5"/>
      <c r="AA2976" s="5" t="s">
        <v>1717</v>
      </c>
      <c r="AB2976" s="5" t="s">
        <v>13123</v>
      </c>
      <c r="AC2976" s="8" t="str">
        <f>HYPERLINK("https://drive.google.com/file/d/1hmjSf5-Qy8AV5BWJIcBxBqAJEJfycnWM/view?usp=drivesdk", "Abrir_Factura")</f>
        <v>Abrir_Factura</v>
      </c>
      <c r="AD2976" s="9">
        <v>46087.746180555558</v>
      </c>
    </row>
    <row r="2977" spans="1:30" ht="12.5">
      <c r="A2977" s="4">
        <v>46087.740922905097</v>
      </c>
      <c r="B2977" s="5">
        <v>92723</v>
      </c>
      <c r="C2977" s="5">
        <v>1018422706</v>
      </c>
      <c r="D2977" s="5" t="s">
        <v>13124</v>
      </c>
      <c r="F2977" s="5"/>
      <c r="H2977" s="5">
        <v>573016971375</v>
      </c>
      <c r="J2977" s="5" t="s">
        <v>13125</v>
      </c>
      <c r="K2977" s="5" t="s">
        <v>63</v>
      </c>
      <c r="L2977" s="5" t="s">
        <v>13126</v>
      </c>
      <c r="M2977" s="5">
        <v>573134418360</v>
      </c>
      <c r="N2977" s="6">
        <v>46089</v>
      </c>
      <c r="O2977" s="7">
        <v>0.33333333333333331</v>
      </c>
      <c r="P2977" s="5">
        <v>2</v>
      </c>
      <c r="Q2977" s="5" t="s">
        <v>13127</v>
      </c>
      <c r="R2977" s="5">
        <v>340000</v>
      </c>
      <c r="S2977" s="5">
        <v>0</v>
      </c>
      <c r="T2977" s="5">
        <v>17000</v>
      </c>
      <c r="U2977" s="5">
        <v>357000</v>
      </c>
      <c r="V2977" s="5" t="s">
        <v>13128</v>
      </c>
      <c r="W2977" s="5" t="s">
        <v>36</v>
      </c>
      <c r="X2977" s="5" t="s">
        <v>12646</v>
      </c>
      <c r="Z2977" s="5" t="s">
        <v>13129</v>
      </c>
      <c r="AA2977" s="5" t="s">
        <v>44</v>
      </c>
      <c r="AB2977" s="5" t="s">
        <v>13130</v>
      </c>
      <c r="AC2977" s="8" t="str">
        <f>HYPERLINK("https://drive.google.com/file/d/1lBR9AvpW8Zaimt7nVigRaaNczpelaStO/view?usp=drivesdk", "Abrir_Factura")</f>
        <v>Abrir_Factura</v>
      </c>
      <c r="AD2977" s="9">
        <v>46087.781481481485</v>
      </c>
    </row>
    <row r="2978" spans="1:30" ht="12.5">
      <c r="A2978" s="4">
        <v>46087.745504872684</v>
      </c>
      <c r="B2978" s="5">
        <v>92717</v>
      </c>
      <c r="C2978" s="5">
        <v>1001821796</v>
      </c>
      <c r="D2978" s="5" t="s">
        <v>13098</v>
      </c>
      <c r="F2978" s="5"/>
      <c r="H2978" s="5">
        <v>573013601956</v>
      </c>
      <c r="J2978" s="5" t="s">
        <v>13131</v>
      </c>
      <c r="K2978" s="5" t="s">
        <v>726</v>
      </c>
      <c r="L2978" s="5" t="s">
        <v>13132</v>
      </c>
      <c r="M2978" s="5"/>
      <c r="N2978" s="6">
        <v>46089</v>
      </c>
      <c r="O2978" s="7">
        <v>0.375</v>
      </c>
      <c r="P2978" s="5">
        <v>1</v>
      </c>
      <c r="Q2978" s="5" t="s">
        <v>12406</v>
      </c>
      <c r="R2978" s="5">
        <v>90000</v>
      </c>
      <c r="S2978" s="5">
        <v>0</v>
      </c>
      <c r="T2978" s="5">
        <v>9000</v>
      </c>
      <c r="U2978" s="5">
        <v>99000</v>
      </c>
      <c r="V2978" s="5" t="s">
        <v>13133</v>
      </c>
      <c r="W2978" s="5" t="s">
        <v>36</v>
      </c>
      <c r="X2978" s="5" t="s">
        <v>1937</v>
      </c>
      <c r="Z2978" s="5" t="s">
        <v>13134</v>
      </c>
      <c r="AA2978" s="5" t="s">
        <v>44</v>
      </c>
      <c r="AB2978" s="5" t="s">
        <v>13070</v>
      </c>
      <c r="AC2978" s="8" t="str">
        <f>HYPERLINK("https://drive.google.com/file/d/1txuBT02vMzAgWB1B0E2QNMbMZBxfh472/view?usp=drivesdk", "Abrir_Factura")</f>
        <v>Abrir_Factura</v>
      </c>
      <c r="AD2978" s="9">
        <v>46087.748391203706</v>
      </c>
    </row>
    <row r="2979" spans="1:30" ht="12.5">
      <c r="A2979" s="4">
        <v>46087.750990312503</v>
      </c>
      <c r="B2979" s="5">
        <v>92721</v>
      </c>
      <c r="C2979" s="5">
        <v>1032379108</v>
      </c>
      <c r="D2979" s="5" t="s">
        <v>13135</v>
      </c>
      <c r="F2979" s="5"/>
      <c r="H2979" s="5">
        <v>573214518065</v>
      </c>
      <c r="J2979" s="5" t="s">
        <v>13136</v>
      </c>
      <c r="K2979" s="5" t="s">
        <v>73</v>
      </c>
      <c r="L2979" s="5" t="s">
        <v>13137</v>
      </c>
      <c r="M2979" s="5">
        <v>573504579444</v>
      </c>
      <c r="N2979" s="6">
        <v>46088</v>
      </c>
      <c r="O2979" s="7">
        <v>0.375</v>
      </c>
      <c r="P2979" s="5">
        <v>1</v>
      </c>
      <c r="Q2979" s="5" t="s">
        <v>13138</v>
      </c>
      <c r="R2979" s="5">
        <v>200000</v>
      </c>
      <c r="S2979" s="5">
        <v>0</v>
      </c>
      <c r="T2979" s="5">
        <v>8000</v>
      </c>
      <c r="U2979" s="5">
        <v>208000</v>
      </c>
      <c r="V2979" s="5" t="s">
        <v>13139</v>
      </c>
      <c r="W2979" s="5" t="s">
        <v>36</v>
      </c>
      <c r="X2979" s="5" t="s">
        <v>12646</v>
      </c>
      <c r="Z2979" s="5" t="s">
        <v>13135</v>
      </c>
      <c r="AA2979" s="5" t="s">
        <v>44</v>
      </c>
      <c r="AB2979" s="5"/>
      <c r="AC2979" s="8" t="str">
        <f>HYPERLINK("https://drive.google.com/file/d/1sipFg680GsiInZy-x9cPGsVbVNJvOSej/view?usp=drivesdk", "Abrir_Factura")</f>
        <v>Abrir_Factura</v>
      </c>
      <c r="AD2979" s="9">
        <v>46087.773877314816</v>
      </c>
    </row>
    <row r="2980" spans="1:30" ht="12.5">
      <c r="A2980" s="4">
        <v>46087.755456562503</v>
      </c>
      <c r="B2980" s="5">
        <v>92722</v>
      </c>
      <c r="C2980" s="5">
        <v>9452727</v>
      </c>
      <c r="D2980" s="5" t="s">
        <v>13140</v>
      </c>
      <c r="F2980" s="5"/>
      <c r="H2980" s="5">
        <v>393491661611</v>
      </c>
      <c r="J2980" s="5" t="s">
        <v>13141</v>
      </c>
      <c r="K2980" s="5" t="s">
        <v>1815</v>
      </c>
      <c r="L2980" s="5" t="s">
        <v>13142</v>
      </c>
      <c r="M2980" s="5">
        <v>573042258023</v>
      </c>
      <c r="N2980" s="6">
        <v>46089</v>
      </c>
      <c r="O2980" s="7">
        <v>0.33333333333333331</v>
      </c>
      <c r="P2980" s="5">
        <v>1</v>
      </c>
      <c r="Q2980" s="5" t="s">
        <v>347</v>
      </c>
      <c r="R2980" s="5">
        <v>250000</v>
      </c>
      <c r="S2980" s="5">
        <v>0</v>
      </c>
      <c r="T2980" s="5">
        <v>18000</v>
      </c>
      <c r="U2980" s="5">
        <v>268000</v>
      </c>
      <c r="V2980" s="5" t="s">
        <v>13143</v>
      </c>
      <c r="W2980" s="5" t="s">
        <v>36</v>
      </c>
      <c r="X2980" s="5" t="s">
        <v>1937</v>
      </c>
      <c r="Z2980" s="5" t="s">
        <v>13144</v>
      </c>
      <c r="AA2980" s="5" t="s">
        <v>44</v>
      </c>
      <c r="AB2980" s="5" t="s">
        <v>13145</v>
      </c>
      <c r="AC2980" s="8" t="str">
        <f>HYPERLINK("https://drive.google.com/file/d/1kbkHhApOAqgSNFK77pHaf7bcSU7n-Rpj/view?usp=drivesdk", "Abrir_Factura")</f>
        <v>Abrir_Factura</v>
      </c>
      <c r="AD2980" s="9">
        <v>46088.649224537039</v>
      </c>
    </row>
    <row r="2981" spans="1:30" ht="12.5">
      <c r="A2981" s="4">
        <v>46087.756466550927</v>
      </c>
      <c r="B2981" s="5">
        <v>92718</v>
      </c>
      <c r="C2981" s="5">
        <v>900521807</v>
      </c>
      <c r="D2981" s="5" t="s">
        <v>5734</v>
      </c>
      <c r="F2981" s="5"/>
      <c r="H2981" s="5">
        <v>573153543653</v>
      </c>
      <c r="J2981" s="5" t="s">
        <v>13146</v>
      </c>
      <c r="K2981" s="5" t="s">
        <v>33</v>
      </c>
      <c r="L2981" s="5" t="s">
        <v>13147</v>
      </c>
      <c r="M2981" s="5">
        <v>573153543653</v>
      </c>
      <c r="N2981" s="6">
        <v>46088</v>
      </c>
      <c r="O2981" s="7">
        <v>0.41666666666666669</v>
      </c>
      <c r="P2981" s="5">
        <v>1</v>
      </c>
      <c r="Q2981" s="5" t="s">
        <v>42</v>
      </c>
      <c r="R2981" s="5">
        <v>0</v>
      </c>
      <c r="S2981" s="5">
        <v>0</v>
      </c>
      <c r="T2981" s="5">
        <v>0</v>
      </c>
      <c r="U2981" s="5">
        <v>0</v>
      </c>
      <c r="V2981" s="5" t="s">
        <v>13148</v>
      </c>
      <c r="W2981" s="5" t="s">
        <v>36</v>
      </c>
      <c r="X2981" s="5" t="s">
        <v>43</v>
      </c>
      <c r="Z2981" s="5"/>
      <c r="AA2981" s="5" t="s">
        <v>44</v>
      </c>
      <c r="AB2981" s="5"/>
      <c r="AC2981" s="8" t="str">
        <f>HYPERLINK("https://drive.google.com/file/d/11gQKWB2UA2UmKuR58pxKQMfqc_EvJ0W3/view?usp=drivesdk", "Abrir_Factura")</f>
        <v>Abrir_Factura</v>
      </c>
      <c r="AD2981" s="9">
        <v>46087.757349537038</v>
      </c>
    </row>
    <row r="2982" spans="1:30" ht="12.5">
      <c r="A2982" s="4">
        <v>46087.770788298614</v>
      </c>
      <c r="B2982" s="5">
        <v>92725</v>
      </c>
      <c r="C2982" s="5">
        <v>1045725926</v>
      </c>
      <c r="D2982" s="5" t="s">
        <v>13149</v>
      </c>
      <c r="F2982" s="5"/>
      <c r="H2982" s="5">
        <v>573145354876</v>
      </c>
      <c r="J2982" s="5" t="s">
        <v>13150</v>
      </c>
      <c r="K2982" s="5" t="s">
        <v>73</v>
      </c>
      <c r="L2982" s="5" t="s">
        <v>13151</v>
      </c>
      <c r="M2982" s="5">
        <v>573103332480</v>
      </c>
      <c r="N2982" s="6">
        <v>46088</v>
      </c>
      <c r="O2982" s="7">
        <v>0.375</v>
      </c>
      <c r="P2982" s="5">
        <v>1</v>
      </c>
      <c r="Q2982" s="5" t="s">
        <v>12701</v>
      </c>
      <c r="R2982" s="5">
        <v>150000</v>
      </c>
      <c r="S2982" s="5">
        <v>0</v>
      </c>
      <c r="T2982" s="5">
        <v>8000</v>
      </c>
      <c r="U2982" s="5">
        <v>158000</v>
      </c>
      <c r="V2982" s="5" t="s">
        <v>13152</v>
      </c>
      <c r="W2982" s="5" t="s">
        <v>36</v>
      </c>
      <c r="X2982" s="5" t="s">
        <v>12646</v>
      </c>
      <c r="Z2982" s="5" t="s">
        <v>13153</v>
      </c>
      <c r="AA2982" s="5" t="s">
        <v>44</v>
      </c>
      <c r="AB2982" s="5" t="s">
        <v>9771</v>
      </c>
      <c r="AC2982" s="8" t="str">
        <f>HYPERLINK("https://drive.google.com/file/d/1vn60IKWHQfgzzBgOnws-6uipfFW9XR0W/view?usp=drivesdk", "Abrir_Factura")</f>
        <v>Abrir_Factura</v>
      </c>
      <c r="AD2982" s="9">
        <v>46087.784560185188</v>
      </c>
    </row>
    <row r="2983" spans="1:30" ht="12.5">
      <c r="A2983" s="4">
        <v>46087.778807650466</v>
      </c>
      <c r="B2983" s="5">
        <v>92724</v>
      </c>
      <c r="C2983" s="5">
        <v>1043441248</v>
      </c>
      <c r="D2983" s="5" t="s">
        <v>13154</v>
      </c>
      <c r="F2983" s="5"/>
      <c r="H2983" s="5">
        <v>573113446137</v>
      </c>
      <c r="J2983" s="5" t="s">
        <v>13154</v>
      </c>
      <c r="K2983" s="5" t="s">
        <v>33</v>
      </c>
      <c r="L2983" s="5" t="s">
        <v>12983</v>
      </c>
      <c r="M2983" s="5">
        <v>573113446137</v>
      </c>
      <c r="N2983" s="6">
        <v>46089</v>
      </c>
      <c r="O2983" s="7">
        <v>0.33333333333333331</v>
      </c>
      <c r="P2983" s="5">
        <v>1</v>
      </c>
      <c r="Q2983" s="5" t="s">
        <v>42</v>
      </c>
      <c r="R2983" s="5">
        <v>30000</v>
      </c>
      <c r="S2983" s="5">
        <v>0</v>
      </c>
      <c r="T2983" s="5">
        <v>0</v>
      </c>
      <c r="U2983" s="5">
        <v>30000</v>
      </c>
      <c r="V2983" s="5"/>
      <c r="W2983" s="5" t="s">
        <v>36</v>
      </c>
      <c r="X2983" s="5" t="s">
        <v>12646</v>
      </c>
      <c r="Z2983" s="5"/>
      <c r="AA2983" s="5" t="s">
        <v>44</v>
      </c>
      <c r="AB2983" s="5" t="s">
        <v>13155</v>
      </c>
      <c r="AC2983" s="8" t="str">
        <f>HYPERLINK("https://drive.google.com/file/d/1SchjY3gptGCPCUeGXnQ_tEA4d9RFSrfU/view?usp=drivesdk", "Abrir_Factura")</f>
        <v>Abrir_Factura</v>
      </c>
      <c r="AD2983" s="9">
        <v>46087.783391203702</v>
      </c>
    </row>
    <row r="2984" spans="1:30" ht="12.5">
      <c r="A2984" s="4">
        <v>46087.838216782402</v>
      </c>
      <c r="B2984" s="5">
        <v>92887</v>
      </c>
      <c r="C2984" s="5">
        <v>1041695830</v>
      </c>
      <c r="D2984" s="5" t="s">
        <v>13156</v>
      </c>
      <c r="F2984" s="5"/>
      <c r="H2984" s="5">
        <v>573112118759</v>
      </c>
      <c r="J2984" s="5" t="s">
        <v>13157</v>
      </c>
      <c r="K2984" s="5" t="s">
        <v>103</v>
      </c>
      <c r="L2984" s="5" t="s">
        <v>13158</v>
      </c>
      <c r="M2984" s="5"/>
      <c r="N2984" s="6">
        <v>46089</v>
      </c>
      <c r="O2984" s="7">
        <v>0.54166666666666663</v>
      </c>
      <c r="P2984" s="5">
        <v>1</v>
      </c>
      <c r="Q2984" s="5" t="s">
        <v>12406</v>
      </c>
      <c r="R2984" s="5">
        <v>90000</v>
      </c>
      <c r="S2984" s="5">
        <v>0</v>
      </c>
      <c r="T2984" s="5">
        <v>10000</v>
      </c>
      <c r="U2984" s="5">
        <v>100000</v>
      </c>
      <c r="V2984" s="5" t="s">
        <v>13159</v>
      </c>
      <c r="W2984" s="5" t="s">
        <v>36</v>
      </c>
      <c r="X2984" s="5" t="s">
        <v>12646</v>
      </c>
      <c r="Z2984" s="5" t="s">
        <v>13160</v>
      </c>
      <c r="AA2984" s="5" t="s">
        <v>44</v>
      </c>
      <c r="AB2984" s="5"/>
      <c r="AC2984" s="8" t="str">
        <f>HYPERLINK("https://drive.google.com/file/d/13yNzmbAAJLH7EXFiirgLZwfaj4w7MpL0/view?usp=drivesdk", "Abrir_Factura")</f>
        <v>Abrir_Factura</v>
      </c>
      <c r="AD2984" s="9">
        <v>46088.910393518519</v>
      </c>
    </row>
    <row r="2985" spans="1:30" ht="12.5">
      <c r="A2985" s="4">
        <v>46087.858003159723</v>
      </c>
      <c r="B2985" s="5">
        <v>92754</v>
      </c>
      <c r="C2985" s="5">
        <v>1042244592</v>
      </c>
      <c r="D2985" s="5" t="s">
        <v>13161</v>
      </c>
      <c r="F2985" s="5"/>
      <c r="H2985" s="5">
        <v>573244485611</v>
      </c>
      <c r="J2985" s="5" t="s">
        <v>13162</v>
      </c>
      <c r="K2985" s="5" t="s">
        <v>249</v>
      </c>
      <c r="L2985" s="5" t="s">
        <v>13163</v>
      </c>
      <c r="M2985" s="5">
        <v>573244485611</v>
      </c>
      <c r="N2985" s="6">
        <v>46088</v>
      </c>
      <c r="O2985" s="7">
        <v>0.52083333333333337</v>
      </c>
      <c r="P2985" s="5">
        <v>1</v>
      </c>
      <c r="Q2985" s="5" t="s">
        <v>12724</v>
      </c>
      <c r="R2985" s="5">
        <v>150000</v>
      </c>
      <c r="S2985" s="5">
        <v>0</v>
      </c>
      <c r="T2985" s="5">
        <v>10000</v>
      </c>
      <c r="U2985" s="5">
        <v>160000</v>
      </c>
      <c r="V2985" s="5" t="s">
        <v>13164</v>
      </c>
      <c r="W2985" s="5" t="s">
        <v>36</v>
      </c>
      <c r="X2985" s="5" t="s">
        <v>1937</v>
      </c>
      <c r="Z2985" s="5" t="s">
        <v>4857</v>
      </c>
      <c r="AA2985" s="5" t="s">
        <v>69</v>
      </c>
      <c r="AB2985" s="5" t="s">
        <v>9771</v>
      </c>
      <c r="AC2985" s="8" t="str">
        <f>HYPERLINK("https://drive.google.com/file/d/1L8t0S7-xXBqJdFEYSxA5nq9Ou-a5oeJ-/view?usp=drivesdk", "Abrir_Factura")</f>
        <v>Abrir_Factura</v>
      </c>
      <c r="AD2985" s="9">
        <v>46088.447754629633</v>
      </c>
    </row>
    <row r="2986" spans="1:30" ht="12.5">
      <c r="A2986" s="4">
        <v>46087.961332245366</v>
      </c>
      <c r="B2986" s="5">
        <v>92798</v>
      </c>
      <c r="C2986" s="5">
        <v>1030581240</v>
      </c>
      <c r="D2986" s="5" t="s">
        <v>13165</v>
      </c>
      <c r="F2986" s="5"/>
      <c r="H2986" s="5">
        <v>573115904808</v>
      </c>
      <c r="J2986" s="5" t="s">
        <v>13166</v>
      </c>
      <c r="K2986" s="5" t="s">
        <v>265</v>
      </c>
      <c r="L2986" s="5" t="s">
        <v>13167</v>
      </c>
      <c r="M2986" s="5">
        <v>573006048855</v>
      </c>
      <c r="N2986" s="6">
        <v>46088</v>
      </c>
      <c r="O2986" s="7">
        <v>0.125</v>
      </c>
      <c r="P2986" s="5">
        <v>1</v>
      </c>
      <c r="Q2986" s="5" t="s">
        <v>12496</v>
      </c>
      <c r="R2986" s="5">
        <v>120000</v>
      </c>
      <c r="S2986" s="5">
        <v>0</v>
      </c>
      <c r="T2986" s="5">
        <v>17000</v>
      </c>
      <c r="U2986" s="5">
        <v>137000</v>
      </c>
      <c r="V2986" s="5" t="s">
        <v>13168</v>
      </c>
      <c r="W2986" s="5" t="s">
        <v>36</v>
      </c>
      <c r="X2986" s="5" t="s">
        <v>12646</v>
      </c>
      <c r="Z2986" s="5" t="s">
        <v>13169</v>
      </c>
      <c r="AA2986" s="5" t="s">
        <v>44</v>
      </c>
      <c r="AB2986" s="5" t="s">
        <v>9771</v>
      </c>
      <c r="AC2986" s="8" t="str">
        <f>HYPERLINK("https://drive.google.com/file/d/1TNZre7ZSjIOVD6QEuWvXwbuIkJMubNvo/view?usp=drivesdk", "Abrir_Factura")</f>
        <v>Abrir_Factura</v>
      </c>
      <c r="AD2986" s="9">
        <v>46088.574837962966</v>
      </c>
    </row>
    <row r="2987" spans="1:30" ht="12.5">
      <c r="A2987" s="4">
        <v>46088.017264583337</v>
      </c>
      <c r="B2987" s="5">
        <v>92726</v>
      </c>
      <c r="C2987" s="5">
        <v>1140823116</v>
      </c>
      <c r="D2987" s="5" t="s">
        <v>13170</v>
      </c>
      <c r="F2987" s="5"/>
      <c r="H2987" s="5">
        <v>573016202060</v>
      </c>
      <c r="J2987" s="5" t="s">
        <v>5641</v>
      </c>
      <c r="K2987" s="5" t="s">
        <v>1047</v>
      </c>
      <c r="L2987" s="5" t="s">
        <v>13171</v>
      </c>
      <c r="M2987" s="5">
        <v>573046572241</v>
      </c>
      <c r="N2987" s="6">
        <v>46088</v>
      </c>
      <c r="O2987" s="7">
        <v>0.41666666666666669</v>
      </c>
      <c r="P2987" s="5">
        <v>1</v>
      </c>
      <c r="Q2987" s="5" t="s">
        <v>12437</v>
      </c>
      <c r="R2987" s="5">
        <v>250000</v>
      </c>
      <c r="S2987" s="5">
        <v>0</v>
      </c>
      <c r="T2987" s="5">
        <v>15000</v>
      </c>
      <c r="U2987" s="5">
        <v>265000</v>
      </c>
      <c r="V2987" s="5" t="s">
        <v>13172</v>
      </c>
      <c r="W2987" s="5" t="s">
        <v>36</v>
      </c>
      <c r="X2987" s="5" t="s">
        <v>67</v>
      </c>
      <c r="Z2987" s="5" t="s">
        <v>13173</v>
      </c>
      <c r="AA2987" s="5" t="s">
        <v>44</v>
      </c>
      <c r="AB2987" s="5"/>
      <c r="AC2987" s="8" t="str">
        <f>HYPERLINK("https://drive.google.com/file/d/1YuKFegVHldT-j11YoYTO3VRpNougOt4w/view?usp=drivesdk", "Abrir_Factura")</f>
        <v>Abrir_Factura</v>
      </c>
      <c r="AD2987" s="9">
        <v>46088.314988425926</v>
      </c>
    </row>
    <row r="2988" spans="1:30" ht="12.5">
      <c r="A2988" s="4">
        <v>46088.326963518513</v>
      </c>
      <c r="B2988" s="5">
        <v>92727</v>
      </c>
      <c r="C2988" s="5">
        <v>67023658</v>
      </c>
      <c r="D2988" s="5" t="s">
        <v>13174</v>
      </c>
      <c r="F2988" s="5"/>
      <c r="H2988" s="5">
        <v>573148903107</v>
      </c>
      <c r="J2988" s="5" t="s">
        <v>13175</v>
      </c>
      <c r="K2988" s="5" t="s">
        <v>73</v>
      </c>
      <c r="L2988" s="5" t="s">
        <v>13176</v>
      </c>
      <c r="M2988" s="5">
        <v>573148903107</v>
      </c>
      <c r="N2988" s="6">
        <v>46088</v>
      </c>
      <c r="O2988" s="7">
        <v>0</v>
      </c>
      <c r="P2988" s="5">
        <v>1</v>
      </c>
      <c r="Q2988" s="5" t="s">
        <v>42</v>
      </c>
      <c r="R2988" s="5">
        <v>40000</v>
      </c>
      <c r="S2988" s="5">
        <v>0</v>
      </c>
      <c r="T2988" s="5">
        <v>8000</v>
      </c>
      <c r="U2988" s="5">
        <v>48000</v>
      </c>
      <c r="V2988" s="5"/>
      <c r="W2988" s="5" t="s">
        <v>36</v>
      </c>
      <c r="X2988" s="5" t="s">
        <v>43</v>
      </c>
      <c r="Z2988" s="5"/>
      <c r="AA2988" s="5" t="s">
        <v>44</v>
      </c>
      <c r="AB2988" s="5"/>
      <c r="AC2988" s="8" t="str">
        <f>HYPERLINK("https://drive.google.com/file/d/13Ur2D192EdPrUdOuf3vOx0bJf5BEvaUO/view?usp=drivesdk", "Abrir_Factura")</f>
        <v>Abrir_Factura</v>
      </c>
      <c r="AD2988" s="9">
        <v>46088.675173611111</v>
      </c>
    </row>
    <row r="2989" spans="1:30" ht="12.5">
      <c r="A2989" s="4">
        <v>46088.357236377313</v>
      </c>
      <c r="B2989" s="5">
        <v>92729</v>
      </c>
      <c r="C2989" s="5">
        <v>1045750041</v>
      </c>
      <c r="D2989" s="5" t="s">
        <v>13177</v>
      </c>
      <c r="F2989" s="5"/>
      <c r="H2989" s="5">
        <v>573122624285</v>
      </c>
      <c r="J2989" s="5" t="s">
        <v>13177</v>
      </c>
      <c r="K2989" s="5" t="s">
        <v>12657</v>
      </c>
      <c r="L2989" s="5" t="s">
        <v>12657</v>
      </c>
      <c r="M2989" s="5">
        <v>573122624285</v>
      </c>
      <c r="N2989" s="6">
        <v>46088</v>
      </c>
      <c r="O2989" s="7">
        <v>0</v>
      </c>
      <c r="P2989" s="5">
        <v>1</v>
      </c>
      <c r="Q2989" s="5" t="s">
        <v>12728</v>
      </c>
      <c r="R2989" s="5">
        <v>120000</v>
      </c>
      <c r="S2989" s="5">
        <v>0</v>
      </c>
      <c r="T2989" s="5"/>
      <c r="U2989" s="5">
        <v>120000</v>
      </c>
      <c r="V2989" s="5"/>
      <c r="W2989" s="5" t="s">
        <v>36</v>
      </c>
      <c r="X2989" s="5" t="s">
        <v>37</v>
      </c>
      <c r="Z2989" s="5"/>
      <c r="AA2989" s="5" t="s">
        <v>37</v>
      </c>
      <c r="AB2989" s="5" t="s">
        <v>13178</v>
      </c>
      <c r="AC2989" s="8" t="str">
        <f>HYPERLINK("https://drive.google.com/file/d/1pjDCR2LLdk5x3dZdcyAQ6N-MWM7_hQfi/view?usp=drivesdk", "Abrir_Factura")</f>
        <v>Abrir_Factura</v>
      </c>
      <c r="AD2989" s="9">
        <v>46088.357835648145</v>
      </c>
    </row>
    <row r="2990" spans="1:30" ht="12.5">
      <c r="A2990" s="4">
        <v>46088.358141018514</v>
      </c>
      <c r="B2990" s="5">
        <v>92732</v>
      </c>
      <c r="C2990" s="5">
        <v>1052983558</v>
      </c>
      <c r="D2990" s="5" t="s">
        <v>13179</v>
      </c>
      <c r="F2990" s="5"/>
      <c r="H2990" s="5">
        <v>573008290573</v>
      </c>
      <c r="J2990" s="5" t="s">
        <v>13180</v>
      </c>
      <c r="K2990" s="5" t="s">
        <v>265</v>
      </c>
      <c r="L2990" s="5" t="s">
        <v>13181</v>
      </c>
      <c r="M2990" s="5">
        <v>573046660861</v>
      </c>
      <c r="N2990" s="6">
        <v>46088</v>
      </c>
      <c r="O2990" s="7">
        <v>0.4375</v>
      </c>
      <c r="P2990" s="5">
        <v>1</v>
      </c>
      <c r="Q2990" s="5" t="s">
        <v>12423</v>
      </c>
      <c r="R2990" s="5">
        <v>80000</v>
      </c>
      <c r="S2990" s="5">
        <v>0</v>
      </c>
      <c r="T2990" s="5">
        <v>17000</v>
      </c>
      <c r="U2990" s="5">
        <v>97000</v>
      </c>
      <c r="V2990" s="5" t="s">
        <v>13182</v>
      </c>
      <c r="W2990" s="5" t="s">
        <v>36</v>
      </c>
      <c r="X2990" s="5" t="s">
        <v>12646</v>
      </c>
      <c r="Z2990" s="5" t="s">
        <v>13183</v>
      </c>
      <c r="AA2990" s="5" t="s">
        <v>44</v>
      </c>
      <c r="AB2990" s="5" t="s">
        <v>9771</v>
      </c>
      <c r="AC2990" s="8" t="str">
        <f>HYPERLINK("https://drive.google.com/file/d/1iBKvBWbV5X0HDODlsO7lHeAYr-RgHXOD/view?usp=drivesdk", "Abrir_Factura")</f>
        <v>Abrir_Factura</v>
      </c>
      <c r="AD2990" s="9">
        <v>46088.376076388886</v>
      </c>
    </row>
    <row r="2991" spans="1:30" ht="12.5">
      <c r="A2991" s="4">
        <v>46088.367113645829</v>
      </c>
      <c r="B2991" s="5">
        <v>92731</v>
      </c>
      <c r="C2991" s="5">
        <v>72269426</v>
      </c>
      <c r="D2991" s="5" t="s">
        <v>13184</v>
      </c>
      <c r="F2991" s="5"/>
      <c r="H2991" s="5">
        <v>573017838768</v>
      </c>
      <c r="J2991" s="5" t="s">
        <v>13185</v>
      </c>
      <c r="K2991" s="5" t="s">
        <v>6905</v>
      </c>
      <c r="L2991" s="5" t="s">
        <v>13186</v>
      </c>
      <c r="M2991" s="5">
        <v>573017838768</v>
      </c>
      <c r="N2991" s="6">
        <v>46088</v>
      </c>
      <c r="O2991" s="7">
        <v>0.41666666666666669</v>
      </c>
      <c r="P2991" s="5">
        <v>1</v>
      </c>
      <c r="Q2991" s="5" t="s">
        <v>42</v>
      </c>
      <c r="R2991" s="5">
        <v>500000</v>
      </c>
      <c r="S2991" s="5">
        <v>0</v>
      </c>
      <c r="T2991" s="5">
        <v>25000</v>
      </c>
      <c r="U2991" s="5">
        <v>525000</v>
      </c>
      <c r="V2991" s="5" t="s">
        <v>13187</v>
      </c>
      <c r="W2991" s="5" t="s">
        <v>36</v>
      </c>
      <c r="X2991" s="5" t="s">
        <v>1705</v>
      </c>
      <c r="Z2991" s="5"/>
      <c r="AA2991" s="5" t="s">
        <v>44</v>
      </c>
      <c r="AB2991" s="5" t="s">
        <v>13188</v>
      </c>
      <c r="AC2991" s="8" t="str">
        <f>HYPERLINK("https://drive.google.com/file/d/14HL4doEixf9UdU_yS54hDxYfoxfqCcGp/view?usp=drivesdk", "Abrir_Factura")</f>
        <v>Abrir_Factura</v>
      </c>
      <c r="AD2991" s="9">
        <v>46088.690509259257</v>
      </c>
    </row>
    <row r="2992" spans="1:30" ht="12.5">
      <c r="A2992" s="4">
        <v>46088.369781875001</v>
      </c>
      <c r="B2992" s="5">
        <v>92733</v>
      </c>
      <c r="C2992" s="5">
        <v>1043876320</v>
      </c>
      <c r="D2992" s="5" t="s">
        <v>13189</v>
      </c>
      <c r="F2992" s="5"/>
      <c r="H2992" s="5">
        <v>30463046426864</v>
      </c>
      <c r="J2992" s="5" t="s">
        <v>13189</v>
      </c>
      <c r="K2992" s="5" t="s">
        <v>12657</v>
      </c>
      <c r="L2992" s="5" t="s">
        <v>12657</v>
      </c>
      <c r="M2992" s="5">
        <v>573046426864</v>
      </c>
      <c r="N2992" s="6">
        <v>46088</v>
      </c>
      <c r="O2992" s="7">
        <v>0.45833333333333331</v>
      </c>
      <c r="P2992" s="5">
        <v>2</v>
      </c>
      <c r="Q2992" s="5" t="s">
        <v>13190</v>
      </c>
      <c r="R2992" s="5">
        <v>160000</v>
      </c>
      <c r="S2992" s="5">
        <v>0</v>
      </c>
      <c r="T2992" s="5"/>
      <c r="U2992" s="5">
        <v>160000</v>
      </c>
      <c r="V2992" s="5"/>
      <c r="W2992" s="5" t="s">
        <v>36</v>
      </c>
      <c r="X2992" s="5" t="s">
        <v>12646</v>
      </c>
      <c r="Z2992" s="5"/>
      <c r="AA2992" s="5" t="s">
        <v>44</v>
      </c>
      <c r="AB2992" s="5" t="s">
        <v>9771</v>
      </c>
      <c r="AC2992" s="8" t="str">
        <f>HYPERLINK("https://drive.google.com/file/d/1JtnT6bqtFeJQDifExFVfhqYaWlR4zcX5/view?usp=drivesdk", "Abrir_Factura")</f>
        <v>Abrir_Factura</v>
      </c>
      <c r="AD2992" s="9">
        <v>46088.378321759257</v>
      </c>
    </row>
    <row r="2993" spans="1:30" ht="12.5">
      <c r="A2993" s="4">
        <v>46088.370576770831</v>
      </c>
      <c r="B2993" s="5">
        <v>92730</v>
      </c>
      <c r="C2993" s="5">
        <v>55303645</v>
      </c>
      <c r="D2993" s="5" t="s">
        <v>1781</v>
      </c>
      <c r="F2993" s="5"/>
      <c r="H2993" s="5">
        <v>573205425252</v>
      </c>
      <c r="J2993" s="5" t="s">
        <v>13191</v>
      </c>
      <c r="K2993" s="5" t="s">
        <v>110</v>
      </c>
      <c r="L2993" s="5" t="s">
        <v>13192</v>
      </c>
      <c r="M2993" s="5">
        <v>573205425252</v>
      </c>
      <c r="N2993" s="6">
        <v>46088</v>
      </c>
      <c r="O2993" s="7">
        <v>0.4375</v>
      </c>
      <c r="P2993" s="5">
        <v>1</v>
      </c>
      <c r="Q2993" s="5" t="s">
        <v>7733</v>
      </c>
      <c r="R2993" s="5">
        <v>60000</v>
      </c>
      <c r="S2993" s="5">
        <v>0</v>
      </c>
      <c r="T2993" s="5">
        <v>6000</v>
      </c>
      <c r="U2993" s="5">
        <v>66000</v>
      </c>
      <c r="V2993" s="5" t="s">
        <v>13193</v>
      </c>
      <c r="W2993" s="5" t="s">
        <v>36</v>
      </c>
      <c r="X2993" s="5" t="s">
        <v>67</v>
      </c>
      <c r="Z2993" s="5" t="s">
        <v>13193</v>
      </c>
      <c r="AA2993" s="5" t="s">
        <v>44</v>
      </c>
      <c r="AB2993" s="5" t="s">
        <v>7733</v>
      </c>
      <c r="AC2993" s="8" t="str">
        <f>HYPERLINK("https://drive.google.com/file/d/1mJEUaIPdQ2KUVPB4SxskuZv2D3EshVeW/view?usp=drivesdk", "Abrir_Factura")</f>
        <v>Abrir_Factura</v>
      </c>
      <c r="AD2993" s="9">
        <v>46088.371574074074</v>
      </c>
    </row>
    <row r="2994" spans="1:30" ht="12.5">
      <c r="A2994" s="4">
        <v>46088.381401701394</v>
      </c>
      <c r="B2994" s="5">
        <v>92734</v>
      </c>
      <c r="C2994" s="5">
        <v>1121532753</v>
      </c>
      <c r="D2994" s="5" t="s">
        <v>13194</v>
      </c>
      <c r="F2994" s="5"/>
      <c r="H2994" s="5">
        <v>573233115245</v>
      </c>
      <c r="J2994" s="5" t="s">
        <v>13195</v>
      </c>
      <c r="K2994" s="5" t="s">
        <v>4558</v>
      </c>
      <c r="L2994" s="5" t="s">
        <v>13196</v>
      </c>
      <c r="M2994" s="5">
        <v>573148761641</v>
      </c>
      <c r="N2994" s="6">
        <v>46088</v>
      </c>
      <c r="O2994" s="7">
        <v>0</v>
      </c>
      <c r="P2994" s="5">
        <v>1</v>
      </c>
      <c r="Q2994" s="5" t="s">
        <v>12522</v>
      </c>
      <c r="R2994" s="5">
        <v>99000</v>
      </c>
      <c r="S2994" s="5">
        <v>0</v>
      </c>
      <c r="T2994" s="5">
        <v>10000</v>
      </c>
      <c r="U2994" s="5">
        <v>109000</v>
      </c>
      <c r="V2994" s="5" t="s">
        <v>13197</v>
      </c>
      <c r="W2994" s="5" t="s">
        <v>36</v>
      </c>
      <c r="X2994" s="5" t="s">
        <v>12646</v>
      </c>
      <c r="Z2994" s="5">
        <v>626</v>
      </c>
      <c r="AA2994" s="5" t="s">
        <v>44</v>
      </c>
      <c r="AB2994" s="5" t="s">
        <v>13198</v>
      </c>
      <c r="AC2994" s="8" t="str">
        <f>HYPERLINK("https://drive.google.com/file/d/1Z2W41hz__mEHjJJjR47xk3zyHdM68sdT/view?usp=drivesdk", "Abrir_Factura")</f>
        <v>Abrir_Factura</v>
      </c>
      <c r="AD2994" s="9">
        <v>46088.391701388886</v>
      </c>
    </row>
    <row r="2995" spans="1:30" ht="12.5">
      <c r="A2995" s="4">
        <v>46088.384791342593</v>
      </c>
      <c r="B2995" s="5">
        <v>92737</v>
      </c>
      <c r="C2995" s="5">
        <v>1140860148</v>
      </c>
      <c r="D2995" s="5" t="s">
        <v>13199</v>
      </c>
      <c r="F2995" s="5"/>
      <c r="H2995" s="5">
        <v>13478145898</v>
      </c>
      <c r="J2995" s="5" t="s">
        <v>13200</v>
      </c>
      <c r="K2995" s="5" t="s">
        <v>33</v>
      </c>
      <c r="L2995" s="5" t="s">
        <v>13201</v>
      </c>
      <c r="M2995" s="5">
        <v>573157180602</v>
      </c>
      <c r="N2995" s="6">
        <v>46089</v>
      </c>
      <c r="O2995" s="7">
        <v>0.33333333333333331</v>
      </c>
      <c r="P2995" s="5">
        <v>1</v>
      </c>
      <c r="Q2995" s="5" t="s">
        <v>12844</v>
      </c>
      <c r="R2995" s="5">
        <v>80000</v>
      </c>
      <c r="S2995" s="5">
        <v>0</v>
      </c>
      <c r="T2995" s="5">
        <v>0</v>
      </c>
      <c r="U2995" s="5">
        <v>80000</v>
      </c>
      <c r="V2995" s="5" t="s">
        <v>13202</v>
      </c>
      <c r="W2995" s="5" t="s">
        <v>36</v>
      </c>
      <c r="X2995" s="5" t="s">
        <v>12646</v>
      </c>
      <c r="Z2995" s="5" t="s">
        <v>4673</v>
      </c>
      <c r="AA2995" s="5" t="s">
        <v>44</v>
      </c>
      <c r="AB2995" s="5" t="s">
        <v>13203</v>
      </c>
      <c r="AC2995" s="8" t="str">
        <f>HYPERLINK("https://drive.google.com/file/d/1cDpHMfaEDKejGhOpj7XkMGhFCjdvCeTW/view?usp=drivesdk", "Abrir_Factura")</f>
        <v>Abrir_Factura</v>
      </c>
      <c r="AD2995" s="9">
        <v>46088.402777777781</v>
      </c>
    </row>
    <row r="2996" spans="1:30" ht="12.5">
      <c r="A2996" s="4">
        <v>46088.388287094909</v>
      </c>
      <c r="B2996" s="5">
        <v>92738</v>
      </c>
      <c r="C2996" s="5">
        <v>1140860148</v>
      </c>
      <c r="D2996" s="5" t="s">
        <v>13199</v>
      </c>
      <c r="F2996" s="5"/>
      <c r="H2996" s="5">
        <v>13478145898</v>
      </c>
      <c r="J2996" s="5" t="s">
        <v>13204</v>
      </c>
      <c r="K2996" s="5" t="s">
        <v>73</v>
      </c>
      <c r="L2996" s="5" t="s">
        <v>13205</v>
      </c>
      <c r="M2996" s="5">
        <v>573046381678</v>
      </c>
      <c r="N2996" s="6">
        <v>46089</v>
      </c>
      <c r="O2996" s="7">
        <v>0.33333333333333331</v>
      </c>
      <c r="P2996" s="5">
        <v>1</v>
      </c>
      <c r="Q2996" s="5" t="s">
        <v>12423</v>
      </c>
      <c r="R2996" s="5">
        <v>80000</v>
      </c>
      <c r="S2996" s="5">
        <v>0</v>
      </c>
      <c r="T2996" s="5">
        <v>8000</v>
      </c>
      <c r="U2996" s="5">
        <v>88000</v>
      </c>
      <c r="V2996" s="5" t="s">
        <v>13206</v>
      </c>
      <c r="W2996" s="5" t="s">
        <v>36</v>
      </c>
      <c r="X2996" s="5" t="s">
        <v>12646</v>
      </c>
      <c r="Z2996" s="5" t="s">
        <v>13207</v>
      </c>
      <c r="AA2996" s="5" t="s">
        <v>44</v>
      </c>
      <c r="AB2996" s="5" t="s">
        <v>13208</v>
      </c>
      <c r="AC2996" s="8" t="str">
        <f>HYPERLINK("https://drive.google.com/file/d/17FZxSBSDM-47asRuGtOWP6DxA7ls_QVY/view?usp=drivesdk", "Abrir_Factura")</f>
        <v>Abrir_Factura</v>
      </c>
      <c r="AD2996" s="9">
        <v>46088.405150462961</v>
      </c>
    </row>
    <row r="2997" spans="1:30" ht="12.5">
      <c r="A2997" s="4">
        <v>46088.390459629634</v>
      </c>
      <c r="B2997" s="5">
        <v>92741</v>
      </c>
      <c r="C2997" s="5">
        <v>1140897197</v>
      </c>
      <c r="D2997" s="5" t="s">
        <v>13209</v>
      </c>
      <c r="F2997" s="5"/>
      <c r="H2997" s="5">
        <v>573042914618</v>
      </c>
      <c r="J2997" s="5" t="s">
        <v>13210</v>
      </c>
      <c r="K2997" s="5" t="s">
        <v>249</v>
      </c>
      <c r="L2997" s="5" t="s">
        <v>13211</v>
      </c>
      <c r="M2997" s="5">
        <v>573042914618</v>
      </c>
      <c r="N2997" s="6">
        <v>46088</v>
      </c>
      <c r="O2997" s="7">
        <v>0</v>
      </c>
      <c r="P2997" s="5">
        <v>1</v>
      </c>
      <c r="Q2997" s="5" t="s">
        <v>13212</v>
      </c>
      <c r="R2997" s="5">
        <v>170000</v>
      </c>
      <c r="S2997" s="5">
        <v>0</v>
      </c>
      <c r="T2997" s="5">
        <v>10000</v>
      </c>
      <c r="U2997" s="5">
        <v>180000</v>
      </c>
      <c r="V2997" s="5" t="s">
        <v>13213</v>
      </c>
      <c r="W2997" s="5" t="s">
        <v>36</v>
      </c>
      <c r="X2997" s="5" t="s">
        <v>12646</v>
      </c>
      <c r="Z2997" s="5" t="s">
        <v>13214</v>
      </c>
      <c r="AA2997" s="5" t="s">
        <v>44</v>
      </c>
      <c r="AB2997" s="5" t="s">
        <v>13215</v>
      </c>
      <c r="AC2997" s="8" t="str">
        <f>HYPERLINK("https://drive.google.com/file/d/1bu-aH_CdbIr82Rl1Kfm1XvU1cXPInR8f/view?usp=drivesdk", "Abrir_Factura")</f>
        <v>Abrir_Factura</v>
      </c>
      <c r="AD2997" s="9">
        <v>46088.410057870373</v>
      </c>
    </row>
    <row r="2998" spans="1:30" ht="12.5">
      <c r="A2998" s="4">
        <v>46088.391037326393</v>
      </c>
      <c r="B2998" s="5">
        <v>92735</v>
      </c>
      <c r="C2998" s="5">
        <v>1129566585</v>
      </c>
      <c r="D2998" s="5" t="s">
        <v>13216</v>
      </c>
      <c r="F2998" s="5"/>
      <c r="H2998" s="5">
        <v>573146413791</v>
      </c>
      <c r="J2998" s="5" t="s">
        <v>13216</v>
      </c>
      <c r="K2998" s="5" t="s">
        <v>12657</v>
      </c>
      <c r="L2998" s="5" t="s">
        <v>12657</v>
      </c>
      <c r="M2998" s="5">
        <v>573146413791</v>
      </c>
      <c r="N2998" s="6">
        <v>46088</v>
      </c>
      <c r="O2998" s="7">
        <v>0</v>
      </c>
      <c r="P2998" s="5">
        <v>2</v>
      </c>
      <c r="Q2998" s="5" t="s">
        <v>13217</v>
      </c>
      <c r="R2998" s="5">
        <v>180000</v>
      </c>
      <c r="S2998" s="5">
        <v>0</v>
      </c>
      <c r="T2998" s="5"/>
      <c r="U2998" s="5">
        <v>180000</v>
      </c>
      <c r="V2998" s="5"/>
      <c r="W2998" s="5" t="s">
        <v>36</v>
      </c>
      <c r="X2998" s="5" t="s">
        <v>1705</v>
      </c>
      <c r="Z2998" s="5"/>
      <c r="AA2998" s="5" t="s">
        <v>1717</v>
      </c>
      <c r="AB2998" s="5"/>
      <c r="AC2998" s="8" t="str">
        <f>HYPERLINK("https://drive.google.com/file/d/1C-4fvazApqohHuarcnCplgh9vzzBEY-L/view?usp=drivesdk", "Abrir_Factura")</f>
        <v>Abrir_Factura</v>
      </c>
      <c r="AD2998" s="9">
        <v>46088.392361111109</v>
      </c>
    </row>
    <row r="2999" spans="1:30" ht="12.5">
      <c r="A2999" s="4">
        <v>46088.392713379624</v>
      </c>
      <c r="B2999" s="5">
        <v>92743</v>
      </c>
      <c r="C2999" s="5">
        <v>1045738136</v>
      </c>
      <c r="D2999" s="5" t="s">
        <v>13218</v>
      </c>
      <c r="F2999" s="5"/>
      <c r="H2999" s="5">
        <v>573012136288</v>
      </c>
      <c r="J2999" s="5" t="s">
        <v>13219</v>
      </c>
      <c r="K2999" s="5" t="s">
        <v>73</v>
      </c>
      <c r="L2999" s="5" t="s">
        <v>13220</v>
      </c>
      <c r="M2999" s="5">
        <v>573012136288</v>
      </c>
      <c r="N2999" s="6">
        <v>46088</v>
      </c>
      <c r="O2999" s="7">
        <v>0.45833333333333331</v>
      </c>
      <c r="P2999" s="5">
        <v>1</v>
      </c>
      <c r="Q2999" s="5" t="s">
        <v>12844</v>
      </c>
      <c r="R2999" s="5">
        <v>82000</v>
      </c>
      <c r="S2999" s="5">
        <v>0</v>
      </c>
      <c r="T2999" s="5">
        <v>8000</v>
      </c>
      <c r="U2999" s="5">
        <v>90000</v>
      </c>
      <c r="V2999" s="5" t="s">
        <v>13221</v>
      </c>
      <c r="W2999" s="5" t="s">
        <v>36</v>
      </c>
      <c r="X2999" s="5" t="s">
        <v>12646</v>
      </c>
      <c r="Z2999" s="5" t="s">
        <v>13222</v>
      </c>
      <c r="AA2999" s="5" t="s">
        <v>44</v>
      </c>
      <c r="AB2999" s="5"/>
      <c r="AC2999" s="8" t="str">
        <f>HYPERLINK("https://drive.google.com/file/d/1FE1GFRqRf05AhNLIDrDdy7Sdg8301TCE/view?usp=drivesdk", "Abrir_Factura")</f>
        <v>Abrir_Factura</v>
      </c>
      <c r="AD2999" s="9">
        <v>46088.716851851852</v>
      </c>
    </row>
    <row r="3000" spans="1:30" ht="12.5">
      <c r="A3000" s="4">
        <v>46088.39957543982</v>
      </c>
      <c r="B3000" s="5">
        <v>92736</v>
      </c>
      <c r="C3000" s="5">
        <v>22520462</v>
      </c>
      <c r="D3000" s="5" t="s">
        <v>13223</v>
      </c>
      <c r="F3000" s="5"/>
      <c r="H3000" s="5">
        <v>573022644325</v>
      </c>
      <c r="J3000" s="5" t="s">
        <v>13223</v>
      </c>
      <c r="K3000" s="5" t="s">
        <v>12657</v>
      </c>
      <c r="L3000" s="5" t="s">
        <v>12657</v>
      </c>
      <c r="M3000" s="5">
        <v>573022644325</v>
      </c>
      <c r="N3000" s="6">
        <v>46088</v>
      </c>
      <c r="O3000" s="7">
        <v>0</v>
      </c>
      <c r="P3000" s="5">
        <v>1</v>
      </c>
      <c r="Q3000" s="5" t="s">
        <v>42</v>
      </c>
      <c r="R3000" s="5">
        <v>130000</v>
      </c>
      <c r="S3000" s="5">
        <v>0</v>
      </c>
      <c r="T3000" s="5"/>
      <c r="U3000" s="5">
        <v>130000</v>
      </c>
      <c r="V3000" s="5"/>
      <c r="W3000" s="5" t="s">
        <v>36</v>
      </c>
      <c r="X3000" s="5" t="s">
        <v>1705</v>
      </c>
      <c r="Z3000" s="5"/>
      <c r="AA3000" s="5" t="s">
        <v>1717</v>
      </c>
      <c r="AB3000" s="5"/>
      <c r="AC3000" s="8" t="str">
        <f>HYPERLINK("https://drive.google.com/file/d/1PATg6lIhF3EnZiaZQd_vEjCTaa3d7VFu/view?usp=drivesdk", "Abrir_Factura")</f>
        <v>Abrir_Factura</v>
      </c>
      <c r="AD3000" s="9">
        <v>46088.400509259256</v>
      </c>
    </row>
    <row r="3001" spans="1:30" ht="12.5">
      <c r="A3001" s="4">
        <v>46088.400629826385</v>
      </c>
      <c r="B3001" s="5">
        <v>92746</v>
      </c>
      <c r="C3001" s="5">
        <v>1045676308</v>
      </c>
      <c r="D3001" s="5" t="s">
        <v>13224</v>
      </c>
      <c r="F3001" s="5"/>
      <c r="H3001" s="5">
        <v>573022309690</v>
      </c>
      <c r="J3001" s="5" t="s">
        <v>13224</v>
      </c>
      <c r="K3001" s="5" t="s">
        <v>12657</v>
      </c>
      <c r="L3001" s="5" t="s">
        <v>12657</v>
      </c>
      <c r="M3001" s="5">
        <v>573022309690</v>
      </c>
      <c r="N3001" s="6">
        <v>46088</v>
      </c>
      <c r="O3001" s="7">
        <v>0.5</v>
      </c>
      <c r="P3001" s="5">
        <v>1</v>
      </c>
      <c r="Q3001" s="5" t="s">
        <v>12817</v>
      </c>
      <c r="R3001" s="5">
        <v>340000</v>
      </c>
      <c r="S3001" s="5">
        <v>0</v>
      </c>
      <c r="T3001" s="5"/>
      <c r="U3001" s="5">
        <v>340000</v>
      </c>
      <c r="V3001" s="5"/>
      <c r="W3001" s="5" t="s">
        <v>36</v>
      </c>
      <c r="X3001" s="5" t="s">
        <v>1937</v>
      </c>
      <c r="Z3001" s="5"/>
      <c r="AA3001" s="5" t="s">
        <v>44</v>
      </c>
      <c r="AB3001" s="5" t="s">
        <v>9771</v>
      </c>
      <c r="AC3001" s="8" t="str">
        <f>HYPERLINK("https://drive.google.com/file/d/1IKg_uFLtAmxHakfnGFkNHYgWM1kthGR9/view?usp=drivesdk", "Abrir_Factura")</f>
        <v>Abrir_Factura</v>
      </c>
      <c r="AD3001" s="9">
        <v>46088.420902777776</v>
      </c>
    </row>
    <row r="3002" spans="1:30" ht="12.5">
      <c r="A3002" s="4">
        <v>46088.400881423615</v>
      </c>
      <c r="B3002" s="5">
        <v>92740</v>
      </c>
      <c r="C3002" s="5">
        <v>1060877789</v>
      </c>
      <c r="D3002" s="5" t="s">
        <v>13225</v>
      </c>
      <c r="F3002" s="5"/>
      <c r="H3002" s="5">
        <v>573243475368</v>
      </c>
      <c r="J3002" s="5" t="s">
        <v>13226</v>
      </c>
      <c r="K3002" s="5" t="s">
        <v>7476</v>
      </c>
      <c r="L3002" s="5" t="s">
        <v>13227</v>
      </c>
      <c r="M3002" s="5">
        <v>573243475398</v>
      </c>
      <c r="N3002" s="6">
        <v>46088</v>
      </c>
      <c r="O3002" s="7">
        <v>0</v>
      </c>
      <c r="P3002" s="5">
        <v>1</v>
      </c>
      <c r="Q3002" s="5" t="s">
        <v>12724</v>
      </c>
      <c r="R3002" s="5">
        <v>150000</v>
      </c>
      <c r="S3002" s="5">
        <v>0</v>
      </c>
      <c r="T3002" s="5">
        <v>17000</v>
      </c>
      <c r="U3002" s="5">
        <v>167000</v>
      </c>
      <c r="V3002" s="5" t="s">
        <v>13228</v>
      </c>
      <c r="W3002" s="5" t="s">
        <v>36</v>
      </c>
      <c r="X3002" s="5" t="s">
        <v>12646</v>
      </c>
      <c r="Z3002" s="5" t="s">
        <v>13229</v>
      </c>
      <c r="AA3002" s="5" t="s">
        <v>44</v>
      </c>
      <c r="AB3002" s="5"/>
      <c r="AC3002" s="8" t="str">
        <f>HYPERLINK("https://drive.google.com/file/d/1-tJl3q_9MOsbK1HJdcp3Yyad_b9ktD0u/view?usp=drivesdk", "Abrir_Factura")</f>
        <v>Abrir_Factura</v>
      </c>
      <c r="AD3002" s="9">
        <v>46088.409270833334</v>
      </c>
    </row>
    <row r="3003" spans="1:30" ht="12.5">
      <c r="A3003" s="4">
        <v>46088.402617500004</v>
      </c>
      <c r="B3003" s="5">
        <v>92742</v>
      </c>
      <c r="C3003" s="5">
        <v>63540893</v>
      </c>
      <c r="D3003" s="5" t="s">
        <v>13230</v>
      </c>
      <c r="F3003" s="5"/>
      <c r="H3003" s="5">
        <v>573219727131</v>
      </c>
      <c r="J3003" s="5" t="s">
        <v>13231</v>
      </c>
      <c r="K3003" s="5" t="s">
        <v>307</v>
      </c>
      <c r="L3003" s="5" t="s">
        <v>13232</v>
      </c>
      <c r="M3003" s="5">
        <v>573145298616</v>
      </c>
      <c r="N3003" s="6">
        <v>46089</v>
      </c>
      <c r="O3003" s="7">
        <v>0.45833333333333331</v>
      </c>
      <c r="P3003" s="5">
        <v>1</v>
      </c>
      <c r="Q3003" s="5" t="s">
        <v>12817</v>
      </c>
      <c r="R3003" s="5">
        <v>340000</v>
      </c>
      <c r="S3003" s="5">
        <v>0</v>
      </c>
      <c r="T3003" s="5">
        <v>10000</v>
      </c>
      <c r="U3003" s="5">
        <v>350000</v>
      </c>
      <c r="V3003" s="5" t="s">
        <v>13233</v>
      </c>
      <c r="W3003" s="5" t="s">
        <v>36</v>
      </c>
      <c r="X3003" s="5" t="s">
        <v>12646</v>
      </c>
      <c r="Z3003" s="5" t="s">
        <v>13234</v>
      </c>
      <c r="AA3003" s="5" t="s">
        <v>44</v>
      </c>
      <c r="AB3003" s="5" t="s">
        <v>9771</v>
      </c>
      <c r="AC3003" s="8" t="str">
        <f>HYPERLINK("https://drive.google.com/file/d/1xFAMvZasKPZsBAnhk-LQl8s8V-1WsI4X/view?usp=drivesdk", "Abrir_Factura")</f>
        <v>Abrir_Factura</v>
      </c>
      <c r="AD3003" s="9">
        <v>46088.413912037038</v>
      </c>
    </row>
    <row r="3004" spans="1:30" ht="12.5">
      <c r="A3004" s="4">
        <v>46088.402794016205</v>
      </c>
      <c r="B3004" s="5">
        <v>92739</v>
      </c>
      <c r="C3004" s="5">
        <v>1045766944</v>
      </c>
      <c r="D3004" s="5" t="s">
        <v>968</v>
      </c>
      <c r="F3004" s="5" t="s">
        <v>2368</v>
      </c>
      <c r="H3004" s="5">
        <v>573136214673</v>
      </c>
      <c r="J3004" s="5" t="s">
        <v>13235</v>
      </c>
      <c r="K3004" s="5" t="s">
        <v>265</v>
      </c>
      <c r="L3004" s="5" t="s">
        <v>13236</v>
      </c>
      <c r="M3004" s="5">
        <v>3136214673</v>
      </c>
      <c r="N3004" s="6">
        <v>46088</v>
      </c>
      <c r="O3004" s="7">
        <v>0</v>
      </c>
      <c r="P3004" s="5">
        <v>1</v>
      </c>
      <c r="Q3004" s="5" t="s">
        <v>6874</v>
      </c>
      <c r="R3004" s="5">
        <v>120000</v>
      </c>
      <c r="S3004" s="5">
        <v>0</v>
      </c>
      <c r="T3004" s="5">
        <v>17000</v>
      </c>
      <c r="U3004" s="5">
        <v>137000</v>
      </c>
      <c r="V3004" s="5" t="s">
        <v>13237</v>
      </c>
      <c r="W3004" s="5" t="s">
        <v>36</v>
      </c>
      <c r="X3004" s="5" t="s">
        <v>83</v>
      </c>
      <c r="Z3004" s="5" t="s">
        <v>13238</v>
      </c>
      <c r="AA3004" s="5" t="s">
        <v>44</v>
      </c>
      <c r="AB3004" s="5"/>
      <c r="AC3004" s="8" t="str">
        <f>HYPERLINK("https://drive.google.com/file/d/1y0tNeeXB3lchJ2dWn9IgY23U62rtxJmw/view?usp=drivesdk", "Abrir_Factura")</f>
        <v>Abrir_Factura</v>
      </c>
      <c r="AD3004" s="9">
        <v>46088.406944444447</v>
      </c>
    </row>
    <row r="3005" spans="1:30" ht="12.5">
      <c r="A3005" s="4">
        <v>46088.410961284724</v>
      </c>
      <c r="B3005" s="5">
        <v>92748</v>
      </c>
      <c r="C3005" s="5">
        <v>1072673674</v>
      </c>
      <c r="D3005" s="5" t="s">
        <v>13239</v>
      </c>
      <c r="F3005" s="5"/>
      <c r="H3005" s="5">
        <v>573106198726</v>
      </c>
      <c r="J3005" s="5" t="s">
        <v>13240</v>
      </c>
      <c r="K3005" s="5" t="s">
        <v>7476</v>
      </c>
      <c r="L3005" s="5" t="s">
        <v>13241</v>
      </c>
      <c r="M3005" s="5">
        <v>573106198726</v>
      </c>
      <c r="N3005" s="6">
        <v>46088</v>
      </c>
      <c r="O3005" s="7">
        <v>0.5</v>
      </c>
      <c r="P3005" s="5">
        <v>1</v>
      </c>
      <c r="Q3005" s="5" t="s">
        <v>12423</v>
      </c>
      <c r="R3005" s="5">
        <v>80000</v>
      </c>
      <c r="S3005" s="5">
        <v>0</v>
      </c>
      <c r="T3005" s="5">
        <v>17000</v>
      </c>
      <c r="U3005" s="5">
        <v>97000</v>
      </c>
      <c r="V3005" s="5" t="s">
        <v>13242</v>
      </c>
      <c r="W3005" s="5" t="s">
        <v>36</v>
      </c>
      <c r="X3005" s="5" t="s">
        <v>12646</v>
      </c>
      <c r="Z3005" s="5" t="s">
        <v>4286</v>
      </c>
      <c r="AA3005" s="5" t="s">
        <v>44</v>
      </c>
      <c r="AB3005" s="5" t="s">
        <v>9771</v>
      </c>
      <c r="AC3005" s="8" t="str">
        <f>HYPERLINK("https://drive.google.com/file/d/1DkX4oSIJ3gK9TqtuN4IEnNs4XjT6QlM6/view?usp=drivesdk", "Abrir_Factura")</f>
        <v>Abrir_Factura</v>
      </c>
      <c r="AD3005" s="9">
        <v>46088.422210648147</v>
      </c>
    </row>
    <row r="3006" spans="1:30" ht="12.5">
      <c r="A3006" s="4">
        <v>46088.41518207176</v>
      </c>
      <c r="B3006" s="5">
        <v>92744</v>
      </c>
      <c r="C3006" s="5">
        <v>123456</v>
      </c>
      <c r="D3006" s="5" t="s">
        <v>13243</v>
      </c>
      <c r="F3006" s="5"/>
      <c r="H3006" s="5">
        <v>573000000001</v>
      </c>
      <c r="J3006" s="5" t="s">
        <v>13243</v>
      </c>
      <c r="K3006" s="5" t="s">
        <v>12657</v>
      </c>
      <c r="L3006" s="5" t="s">
        <v>12657</v>
      </c>
      <c r="M3006" s="5">
        <v>573000000001</v>
      </c>
      <c r="N3006" s="6">
        <v>46088</v>
      </c>
      <c r="O3006" s="7">
        <v>0</v>
      </c>
      <c r="P3006" s="5">
        <v>1</v>
      </c>
      <c r="Q3006" s="5" t="s">
        <v>42</v>
      </c>
      <c r="R3006" s="5">
        <v>0</v>
      </c>
      <c r="S3006" s="5">
        <v>0</v>
      </c>
      <c r="T3006" s="5"/>
      <c r="U3006" s="5">
        <v>0</v>
      </c>
      <c r="V3006" s="5"/>
      <c r="W3006" s="5" t="s">
        <v>36</v>
      </c>
      <c r="X3006" s="5" t="s">
        <v>43</v>
      </c>
      <c r="Z3006" s="5"/>
      <c r="AA3006" s="5" t="s">
        <v>1717</v>
      </c>
      <c r="AB3006" s="5"/>
      <c r="AC3006" s="8" t="str">
        <f>HYPERLINK("https://drive.google.com/file/d/12rFQtrLhjLQwz1gJ8iedXAqwOlMkOQnP/view?usp=drivesdk", "Abrir_Factura")</f>
        <v>Abrir_Factura</v>
      </c>
      <c r="AD3006" s="9">
        <v>46088.416365740741</v>
      </c>
    </row>
    <row r="3007" spans="1:30" ht="12.5">
      <c r="A3007" s="4">
        <v>46088.415489965279</v>
      </c>
      <c r="B3007" s="5">
        <v>92745</v>
      </c>
      <c r="C3007" s="5">
        <v>1129569019</v>
      </c>
      <c r="D3007" s="5" t="s">
        <v>2150</v>
      </c>
      <c r="F3007" s="5"/>
      <c r="H3007" s="5">
        <v>573012394343</v>
      </c>
      <c r="J3007" s="5" t="s">
        <v>2150</v>
      </c>
      <c r="K3007" s="5" t="s">
        <v>12657</v>
      </c>
      <c r="L3007" s="5" t="s">
        <v>12657</v>
      </c>
      <c r="M3007" s="5">
        <v>573012394343</v>
      </c>
      <c r="N3007" s="6">
        <v>46088</v>
      </c>
      <c r="O3007" s="7">
        <v>0</v>
      </c>
      <c r="P3007" s="5">
        <v>1</v>
      </c>
      <c r="Q3007" s="5" t="s">
        <v>42</v>
      </c>
      <c r="R3007" s="5">
        <v>80000</v>
      </c>
      <c r="S3007" s="5">
        <v>0</v>
      </c>
      <c r="T3007" s="5"/>
      <c r="U3007" s="5">
        <v>80000</v>
      </c>
      <c r="V3007" s="5"/>
      <c r="W3007" s="5" t="s">
        <v>36</v>
      </c>
      <c r="X3007" s="5" t="s">
        <v>67</v>
      </c>
      <c r="Z3007" s="5"/>
      <c r="AA3007" s="5" t="s">
        <v>1717</v>
      </c>
      <c r="AB3007" s="5"/>
      <c r="AC3007" s="8" t="str">
        <f>HYPERLINK("https://drive.google.com/file/d/1UgDtSLAEdxehOy2ICeoRKfNjYgERFSHn/view?usp=drivesdk", "Abrir_Factura")</f>
        <v>Abrir_Factura</v>
      </c>
      <c r="AD3007" s="9">
        <v>46088.422418981485</v>
      </c>
    </row>
    <row r="3008" spans="1:30" ht="12.5">
      <c r="A3008" s="4">
        <v>46088.41708028935</v>
      </c>
      <c r="B3008" s="5">
        <v>92752</v>
      </c>
      <c r="C3008" s="5">
        <v>1003383902</v>
      </c>
      <c r="D3008" s="5" t="s">
        <v>13244</v>
      </c>
      <c r="F3008" s="5"/>
      <c r="H3008" s="5">
        <v>3152628627</v>
      </c>
      <c r="J3008" s="5" t="s">
        <v>13245</v>
      </c>
      <c r="K3008" s="5" t="s">
        <v>146</v>
      </c>
      <c r="L3008" s="5" t="s">
        <v>13246</v>
      </c>
      <c r="M3008" s="5">
        <v>573234863791</v>
      </c>
      <c r="N3008" s="6">
        <v>46089</v>
      </c>
      <c r="O3008" s="7">
        <v>0.375</v>
      </c>
      <c r="P3008" s="5">
        <v>1</v>
      </c>
      <c r="Q3008" s="5" t="s">
        <v>12496</v>
      </c>
      <c r="R3008" s="5">
        <v>120000</v>
      </c>
      <c r="S3008" s="5">
        <v>0</v>
      </c>
      <c r="T3008" s="5">
        <v>15000</v>
      </c>
      <c r="U3008" s="5">
        <v>135000</v>
      </c>
      <c r="V3008" s="5" t="s">
        <v>13247</v>
      </c>
      <c r="W3008" s="5" t="s">
        <v>36</v>
      </c>
      <c r="X3008" s="5" t="s">
        <v>12646</v>
      </c>
      <c r="Z3008" s="5" t="s">
        <v>13248</v>
      </c>
      <c r="AA3008" s="5" t="s">
        <v>44</v>
      </c>
      <c r="AB3008" s="5"/>
      <c r="AC3008" s="8" t="str">
        <f>HYPERLINK("https://drive.google.com/file/d/1jkEze73PZXEL4DoV7T9dkRnVY_bwKhpd/view?usp=drivesdk", "Abrir_Factura")</f>
        <v>Abrir_Factura</v>
      </c>
      <c r="AD3008" s="9">
        <v>46088.439270833333</v>
      </c>
    </row>
    <row r="3009" spans="1:30" ht="12.5">
      <c r="A3009" s="4">
        <v>46088.420185752315</v>
      </c>
      <c r="B3009" s="5">
        <v>92747</v>
      </c>
      <c r="C3009" s="5">
        <v>49735564</v>
      </c>
      <c r="D3009" s="5" t="s">
        <v>13249</v>
      </c>
      <c r="F3009" s="5"/>
      <c r="H3009" s="5">
        <v>573008003842</v>
      </c>
      <c r="J3009" s="5" t="s">
        <v>13249</v>
      </c>
      <c r="K3009" s="5" t="s">
        <v>5574</v>
      </c>
      <c r="L3009" s="5" t="s">
        <v>13250</v>
      </c>
      <c r="M3009" s="5">
        <v>573008003842</v>
      </c>
      <c r="N3009" s="6">
        <v>46089</v>
      </c>
      <c r="O3009" s="7">
        <v>0</v>
      </c>
      <c r="P3009" s="5">
        <v>2</v>
      </c>
      <c r="Q3009" s="5" t="s">
        <v>13217</v>
      </c>
      <c r="R3009" s="5">
        <v>180000</v>
      </c>
      <c r="S3009" s="5">
        <v>0</v>
      </c>
      <c r="T3009" s="5">
        <v>10000</v>
      </c>
      <c r="U3009" s="5">
        <v>190000</v>
      </c>
      <c r="V3009" s="5" t="s">
        <v>13251</v>
      </c>
      <c r="W3009" s="5" t="s">
        <v>36</v>
      </c>
      <c r="X3009" s="5" t="s">
        <v>1705</v>
      </c>
      <c r="Z3009" s="5"/>
      <c r="AA3009" s="5" t="s">
        <v>1717</v>
      </c>
      <c r="AB3009" s="5"/>
      <c r="AC3009" s="8" t="str">
        <f>HYPERLINK("https://drive.google.com/file/d/1P8uf1f7_2XM3OdVc5JT6CLxKCZ9Ynhxw/view?usp=drivesdk", "Abrir_Factura")</f>
        <v>Abrir_Factura</v>
      </c>
      <c r="AD3009" s="9">
        <v>46088.421956018516</v>
      </c>
    </row>
    <row r="3010" spans="1:30" ht="12.5">
      <c r="A3010" s="4">
        <v>46088.430126793981</v>
      </c>
      <c r="B3010" s="5">
        <v>92749</v>
      </c>
      <c r="C3010" s="5">
        <v>1042090607</v>
      </c>
      <c r="D3010" s="5" t="s">
        <v>13252</v>
      </c>
      <c r="F3010" s="5"/>
      <c r="H3010" s="5">
        <v>573137587141</v>
      </c>
      <c r="J3010" s="5" t="s">
        <v>13253</v>
      </c>
      <c r="K3010" s="5" t="s">
        <v>73</v>
      </c>
      <c r="L3010" s="5" t="s">
        <v>13254</v>
      </c>
      <c r="M3010" s="5">
        <v>573105736346</v>
      </c>
      <c r="N3010" s="6">
        <v>46089</v>
      </c>
      <c r="O3010" s="7">
        <v>0</v>
      </c>
      <c r="P3010" s="5">
        <v>1</v>
      </c>
      <c r="Q3010" s="5" t="s">
        <v>13255</v>
      </c>
      <c r="R3010" s="5">
        <v>690000</v>
      </c>
      <c r="S3010" s="5">
        <v>0</v>
      </c>
      <c r="T3010" s="5">
        <v>8000</v>
      </c>
      <c r="U3010" s="5">
        <v>698000</v>
      </c>
      <c r="V3010" s="5" t="s">
        <v>1119</v>
      </c>
      <c r="W3010" s="5" t="s">
        <v>36</v>
      </c>
      <c r="X3010" s="5" t="s">
        <v>12646</v>
      </c>
      <c r="Z3010" s="5"/>
      <c r="AA3010" s="5" t="s">
        <v>44</v>
      </c>
      <c r="AB3010" s="5"/>
      <c r="AC3010" s="8" t="str">
        <f>HYPERLINK("https://drive.google.com/file/d/1RJSQoik6rlxrXmQW8WqyR7ad-_I_yC2v/view?usp=drivesdk", "Abrir_Factura")</f>
        <v>Abrir_Factura</v>
      </c>
      <c r="AD3010" s="9">
        <v>46088.433819444443</v>
      </c>
    </row>
    <row r="3011" spans="1:30" ht="12.5">
      <c r="A3011" s="4">
        <v>46088.431472928241</v>
      </c>
      <c r="B3011" s="5">
        <v>92751</v>
      </c>
      <c r="C3011" s="5">
        <v>1235339075</v>
      </c>
      <c r="D3011" s="5" t="s">
        <v>13256</v>
      </c>
      <c r="F3011" s="5"/>
      <c r="H3011" s="5">
        <v>573106812364</v>
      </c>
      <c r="J3011" s="5" t="s">
        <v>13257</v>
      </c>
      <c r="K3011" s="5" t="s">
        <v>9925</v>
      </c>
      <c r="L3011" s="5" t="s">
        <v>13258</v>
      </c>
      <c r="M3011" s="5">
        <v>573166954198</v>
      </c>
      <c r="N3011" s="6">
        <v>46089</v>
      </c>
      <c r="O3011" s="7">
        <v>0.5</v>
      </c>
      <c r="P3011" s="5">
        <v>1</v>
      </c>
      <c r="Q3011" s="5" t="s">
        <v>12844</v>
      </c>
      <c r="R3011" s="5">
        <v>80000</v>
      </c>
      <c r="S3011" s="5">
        <v>0</v>
      </c>
      <c r="T3011" s="5">
        <v>11000</v>
      </c>
      <c r="U3011" s="5">
        <v>91000</v>
      </c>
      <c r="V3011" s="5" t="s">
        <v>13259</v>
      </c>
      <c r="W3011" s="5" t="s">
        <v>36</v>
      </c>
      <c r="X3011" s="5" t="s">
        <v>12646</v>
      </c>
      <c r="Z3011" s="5" t="s">
        <v>13260</v>
      </c>
      <c r="AA3011" s="5" t="s">
        <v>44</v>
      </c>
      <c r="AB3011" s="5"/>
      <c r="AC3011" s="8" t="str">
        <f>HYPERLINK("https://drive.google.com/file/d/1jd_T05BShkRPjFDTvOKIZCtzy4eYh1pe/view?usp=drivesdk", "Abrir_Factura")</f>
        <v>Abrir_Factura</v>
      </c>
      <c r="AD3011" s="9">
        <v>46088.437407407408</v>
      </c>
    </row>
    <row r="3012" spans="1:30" ht="12.5">
      <c r="A3012" s="4">
        <v>46088.43257853009</v>
      </c>
      <c r="B3012" s="5">
        <v>92750</v>
      </c>
      <c r="C3012" s="5">
        <v>1019111094</v>
      </c>
      <c r="D3012" s="5" t="s">
        <v>13261</v>
      </c>
      <c r="F3012" s="5"/>
      <c r="H3012" s="5">
        <v>573246847878</v>
      </c>
      <c r="J3012" s="5" t="s">
        <v>13262</v>
      </c>
      <c r="K3012" s="5" t="s">
        <v>185</v>
      </c>
      <c r="L3012" s="5" t="s">
        <v>13263</v>
      </c>
      <c r="M3012" s="5">
        <v>573246847878</v>
      </c>
      <c r="N3012" s="6">
        <v>46089</v>
      </c>
      <c r="O3012" s="7">
        <v>0.375</v>
      </c>
      <c r="P3012" s="5">
        <v>1</v>
      </c>
      <c r="Q3012" s="5" t="s">
        <v>12724</v>
      </c>
      <c r="R3012" s="5">
        <v>150000</v>
      </c>
      <c r="S3012" s="5">
        <v>0</v>
      </c>
      <c r="T3012" s="5">
        <v>8000</v>
      </c>
      <c r="U3012" s="5">
        <v>158000</v>
      </c>
      <c r="V3012" s="5" t="s">
        <v>13264</v>
      </c>
      <c r="W3012" s="5" t="s">
        <v>36</v>
      </c>
      <c r="X3012" s="5" t="s">
        <v>12646</v>
      </c>
      <c r="Z3012" s="5" t="s">
        <v>13265</v>
      </c>
      <c r="AA3012" s="5" t="s">
        <v>44</v>
      </c>
      <c r="AB3012" s="5"/>
      <c r="AC3012" s="8" t="str">
        <f>HYPERLINK("https://drive.google.com/file/d/1VHGtXK_bQJlHou43Iq14EhVr-Huj_XUC/view?usp=drivesdk", "Abrir_Factura")</f>
        <v>Abrir_Factura</v>
      </c>
      <c r="AD3012" s="9">
        <v>46088.43644675926</v>
      </c>
    </row>
    <row r="3013" spans="1:30" ht="12.5">
      <c r="A3013" s="4">
        <v>46088.43310130787</v>
      </c>
      <c r="B3013" s="5">
        <v>92789</v>
      </c>
      <c r="C3013" s="5">
        <v>1140846687</v>
      </c>
      <c r="D3013" s="5" t="s">
        <v>13266</v>
      </c>
      <c r="F3013" s="5"/>
      <c r="H3013" s="5">
        <v>573028631428</v>
      </c>
      <c r="J3013" s="5" t="s">
        <v>13267</v>
      </c>
      <c r="K3013" s="5" t="s">
        <v>73</v>
      </c>
      <c r="L3013" s="5" t="s">
        <v>13268</v>
      </c>
      <c r="M3013" s="5">
        <v>573046790297</v>
      </c>
      <c r="N3013" s="6">
        <v>46089</v>
      </c>
      <c r="O3013" s="7">
        <v>0.375</v>
      </c>
      <c r="P3013" s="5">
        <v>1</v>
      </c>
      <c r="Q3013" s="5" t="s">
        <v>12724</v>
      </c>
      <c r="R3013" s="5">
        <v>150000</v>
      </c>
      <c r="S3013" s="5">
        <v>0</v>
      </c>
      <c r="T3013" s="5">
        <v>8000</v>
      </c>
      <c r="U3013" s="5">
        <v>158000</v>
      </c>
      <c r="V3013" s="5" t="s">
        <v>13269</v>
      </c>
      <c r="W3013" s="5" t="s">
        <v>36</v>
      </c>
      <c r="X3013" s="5" t="s">
        <v>1937</v>
      </c>
      <c r="Z3013" s="5" t="s">
        <v>13270</v>
      </c>
      <c r="AA3013" s="5" t="s">
        <v>44</v>
      </c>
      <c r="AB3013" s="5" t="s">
        <v>13271</v>
      </c>
      <c r="AC3013" s="8" t="str">
        <f>HYPERLINK("https://drive.google.com/file/d/1A0Zs_V9X4MB0PQg3oYDiHdWMtGjGV5Jt/view?usp=drivesdk", "Abrir_Factura")</f>
        <v>Abrir_Factura</v>
      </c>
      <c r="AD3013" s="9">
        <v>46088.552314814813</v>
      </c>
    </row>
    <row r="3014" spans="1:30" ht="12.5">
      <c r="A3014" s="4">
        <v>46088.434359837964</v>
      </c>
      <c r="B3014" s="5">
        <v>92756</v>
      </c>
      <c r="C3014" s="5">
        <v>72348356</v>
      </c>
      <c r="D3014" s="5" t="s">
        <v>13272</v>
      </c>
      <c r="F3014" s="5"/>
      <c r="H3014" s="5">
        <v>573154313588</v>
      </c>
      <c r="J3014" s="5" t="s">
        <v>13273</v>
      </c>
      <c r="K3014" s="5" t="s">
        <v>154</v>
      </c>
      <c r="L3014" s="5" t="s">
        <v>13274</v>
      </c>
      <c r="M3014" s="5">
        <v>573017756989</v>
      </c>
      <c r="N3014" s="6">
        <v>46089</v>
      </c>
      <c r="O3014" s="7">
        <v>0.52083333333333337</v>
      </c>
      <c r="P3014" s="5">
        <v>1</v>
      </c>
      <c r="Q3014" s="5" t="s">
        <v>12724</v>
      </c>
      <c r="R3014" s="5">
        <v>150000</v>
      </c>
      <c r="S3014" s="5">
        <v>0</v>
      </c>
      <c r="T3014" s="5">
        <v>8000</v>
      </c>
      <c r="U3014" s="5">
        <v>158000</v>
      </c>
      <c r="V3014" s="5" t="s">
        <v>13275</v>
      </c>
      <c r="W3014" s="5" t="s">
        <v>36</v>
      </c>
      <c r="X3014" s="5" t="s">
        <v>12646</v>
      </c>
      <c r="Z3014" s="5" t="s">
        <v>13276</v>
      </c>
      <c r="AA3014" s="5" t="s">
        <v>44</v>
      </c>
      <c r="AB3014" s="5" t="s">
        <v>9771</v>
      </c>
      <c r="AC3014" s="8" t="str">
        <f>HYPERLINK("https://drive.google.com/file/d/1P2fT4NFY9c574YNoySH-68rhWDHmaquY/view?usp=drivesdk", "Abrir_Factura")</f>
        <v>Abrir_Factura</v>
      </c>
      <c r="AD3014" s="9">
        <v>46088.456689814811</v>
      </c>
    </row>
    <row r="3015" spans="1:30" ht="12.5">
      <c r="A3015" s="4">
        <v>46088.436837118061</v>
      </c>
      <c r="B3015" s="5">
        <v>92753</v>
      </c>
      <c r="C3015" s="5">
        <v>32863218</v>
      </c>
      <c r="D3015" s="5" t="s">
        <v>13277</v>
      </c>
      <c r="F3015" s="5"/>
      <c r="H3015" s="5">
        <v>573001284881</v>
      </c>
      <c r="J3015" s="5" t="s">
        <v>13278</v>
      </c>
      <c r="K3015" s="5" t="s">
        <v>249</v>
      </c>
      <c r="L3015" s="5" t="s">
        <v>13279</v>
      </c>
      <c r="M3015" s="5">
        <v>573108339033</v>
      </c>
      <c r="N3015" s="6">
        <v>46089</v>
      </c>
      <c r="O3015" s="7">
        <v>0.41666666666666669</v>
      </c>
      <c r="P3015" s="5">
        <v>1</v>
      </c>
      <c r="Q3015" s="5" t="s">
        <v>12437</v>
      </c>
      <c r="R3015" s="5">
        <v>250000</v>
      </c>
      <c r="S3015" s="5">
        <v>0</v>
      </c>
      <c r="T3015" s="5">
        <v>10000</v>
      </c>
      <c r="U3015" s="5">
        <v>260000</v>
      </c>
      <c r="V3015" s="5" t="s">
        <v>13280</v>
      </c>
      <c r="W3015" s="5" t="s">
        <v>36</v>
      </c>
      <c r="X3015" s="5" t="s">
        <v>67</v>
      </c>
      <c r="Z3015" s="5" t="s">
        <v>7184</v>
      </c>
      <c r="AA3015" s="5" t="s">
        <v>44</v>
      </c>
      <c r="AB3015" s="5" t="s">
        <v>13281</v>
      </c>
      <c r="AC3015" s="8" t="str">
        <f>HYPERLINK("https://drive.google.com/file/d/1ek8fOzPx9pph3hy50NbENUotGazsSPH_/view?usp=drivesdk", "Abrir_Factura")</f>
        <v>Abrir_Factura</v>
      </c>
      <c r="AD3015" s="9">
        <v>46088.444803240738</v>
      </c>
    </row>
    <row r="3016" spans="1:30" ht="12.5">
      <c r="A3016" s="4">
        <v>46088.44853173611</v>
      </c>
      <c r="B3016" s="5">
        <v>92762</v>
      </c>
      <c r="C3016" s="5">
        <v>1146534571</v>
      </c>
      <c r="D3016" s="5" t="s">
        <v>13282</v>
      </c>
      <c r="F3016" s="5"/>
      <c r="H3016" s="5">
        <v>573028649234</v>
      </c>
      <c r="J3016" s="5" t="s">
        <v>13282</v>
      </c>
      <c r="K3016" s="5" t="s">
        <v>12657</v>
      </c>
      <c r="L3016" s="5" t="s">
        <v>12657</v>
      </c>
      <c r="M3016" s="5">
        <v>573028649234</v>
      </c>
      <c r="N3016" s="6">
        <v>46088</v>
      </c>
      <c r="O3016" s="7">
        <v>0</v>
      </c>
      <c r="P3016" s="5">
        <v>1</v>
      </c>
      <c r="Q3016" s="5" t="s">
        <v>13283</v>
      </c>
      <c r="R3016" s="5">
        <v>220000</v>
      </c>
      <c r="S3016" s="5">
        <v>0</v>
      </c>
      <c r="T3016" s="5"/>
      <c r="U3016" s="5">
        <v>220000</v>
      </c>
      <c r="V3016" s="5" t="s">
        <v>13284</v>
      </c>
      <c r="W3016" s="5" t="s">
        <v>36</v>
      </c>
      <c r="X3016" s="5" t="s">
        <v>2438</v>
      </c>
      <c r="Z3016" s="5" t="s">
        <v>13285</v>
      </c>
      <c r="AA3016" s="5" t="s">
        <v>44</v>
      </c>
      <c r="AB3016" s="5"/>
      <c r="AC3016" s="8" t="str">
        <f>HYPERLINK("https://drive.google.com/file/d/15nsb5DRu8nhpKO2uRcy8_3rfawpkCxMT/view?usp=drivesdk", "Abrir_Factura")</f>
        <v>Abrir_Factura</v>
      </c>
      <c r="AD3016" s="9">
        <v>46088.484398148146</v>
      </c>
    </row>
    <row r="3017" spans="1:30" ht="12.5">
      <c r="A3017" s="4">
        <v>46088.45080121528</v>
      </c>
      <c r="B3017" s="5">
        <v>92755</v>
      </c>
      <c r="C3017" s="5">
        <v>900467904</v>
      </c>
      <c r="D3017" s="5" t="s">
        <v>2178</v>
      </c>
      <c r="F3017" s="5"/>
      <c r="H3017" s="5">
        <v>573015669546</v>
      </c>
      <c r="J3017" s="5" t="s">
        <v>2178</v>
      </c>
      <c r="K3017" s="5" t="s">
        <v>12657</v>
      </c>
      <c r="L3017" s="5" t="s">
        <v>12657</v>
      </c>
      <c r="M3017" s="5">
        <v>573015669546</v>
      </c>
      <c r="N3017" s="6">
        <v>46088</v>
      </c>
      <c r="O3017" s="7">
        <v>0.41666666666666669</v>
      </c>
      <c r="P3017" s="5">
        <v>1</v>
      </c>
      <c r="Q3017" s="5" t="s">
        <v>13286</v>
      </c>
      <c r="R3017" s="5">
        <v>0</v>
      </c>
      <c r="S3017" s="5">
        <v>0</v>
      </c>
      <c r="T3017" s="5"/>
      <c r="U3017" s="5">
        <v>0</v>
      </c>
      <c r="V3017" s="5"/>
      <c r="W3017" s="5" t="s">
        <v>36</v>
      </c>
      <c r="X3017" s="5" t="s">
        <v>43</v>
      </c>
      <c r="Z3017" s="5"/>
      <c r="AA3017" s="5" t="s">
        <v>44</v>
      </c>
      <c r="AB3017" s="5" t="s">
        <v>13286</v>
      </c>
      <c r="AC3017" s="8" t="str">
        <f>HYPERLINK("https://drive.google.com/file/d/1SUqhFZXgqzZdT0EGVnL6aT3Pd7e3i3VT/view?usp=drivesdk", "Abrir_Factura")</f>
        <v>Abrir_Factura</v>
      </c>
      <c r="AD3017" s="9">
        <v>46088.451678240737</v>
      </c>
    </row>
    <row r="3018" spans="1:30" ht="12.5">
      <c r="A3018" s="4">
        <v>46088.453707187495</v>
      </c>
      <c r="B3018" s="5">
        <v>92757</v>
      </c>
      <c r="C3018" s="5">
        <v>1065623626</v>
      </c>
      <c r="D3018" s="5" t="s">
        <v>13287</v>
      </c>
      <c r="F3018" s="5"/>
      <c r="H3018" s="5">
        <v>573246866740</v>
      </c>
      <c r="J3018" s="5" t="s">
        <v>13288</v>
      </c>
      <c r="K3018" s="5" t="s">
        <v>13289</v>
      </c>
      <c r="L3018" s="5" t="s">
        <v>13290</v>
      </c>
      <c r="M3018" s="5">
        <v>573015769728</v>
      </c>
      <c r="N3018" s="6">
        <v>46089</v>
      </c>
      <c r="O3018" s="7">
        <v>0.375</v>
      </c>
      <c r="P3018" s="5">
        <v>1</v>
      </c>
      <c r="Q3018" s="5" t="s">
        <v>12423</v>
      </c>
      <c r="R3018" s="5">
        <v>80000</v>
      </c>
      <c r="S3018" s="5">
        <v>0</v>
      </c>
      <c r="T3018" s="5">
        <v>25000</v>
      </c>
      <c r="U3018" s="5">
        <v>105000</v>
      </c>
      <c r="V3018" s="5" t="s">
        <v>13291</v>
      </c>
      <c r="W3018" s="5" t="s">
        <v>36</v>
      </c>
      <c r="X3018" s="5" t="s">
        <v>12646</v>
      </c>
      <c r="Z3018" s="5" t="s">
        <v>13292</v>
      </c>
      <c r="AA3018" s="5" t="s">
        <v>44</v>
      </c>
      <c r="AB3018" s="5"/>
      <c r="AC3018" s="8" t="str">
        <f>HYPERLINK("https://drive.google.com/file/d/1Nx2wlRHasPHHirlRDP77KZRc8G1TNdLb/view?usp=drivesdk", "Abrir_Factura")</f>
        <v>Abrir_Factura</v>
      </c>
      <c r="AD3018" s="9">
        <v>46088.467615740738</v>
      </c>
    </row>
    <row r="3019" spans="1:30" ht="12.5">
      <c r="A3019" s="4">
        <v>46088.45619996528</v>
      </c>
      <c r="B3019" s="5">
        <v>92759</v>
      </c>
      <c r="C3019" s="5">
        <v>1065574020</v>
      </c>
      <c r="D3019" s="5" t="s">
        <v>13293</v>
      </c>
      <c r="F3019" s="5"/>
      <c r="H3019" s="5">
        <v>573173649429</v>
      </c>
      <c r="J3019" s="5" t="s">
        <v>13294</v>
      </c>
      <c r="K3019" s="5" t="s">
        <v>249</v>
      </c>
      <c r="L3019" s="5" t="s">
        <v>13295</v>
      </c>
      <c r="M3019" s="5">
        <v>573002389931</v>
      </c>
      <c r="N3019" s="6">
        <v>46089</v>
      </c>
      <c r="O3019" s="7">
        <v>0.375</v>
      </c>
      <c r="P3019" s="5">
        <v>1</v>
      </c>
      <c r="Q3019" s="5" t="s">
        <v>12817</v>
      </c>
      <c r="R3019" s="5">
        <v>340000</v>
      </c>
      <c r="S3019" s="5">
        <v>0</v>
      </c>
      <c r="T3019" s="5">
        <v>10000</v>
      </c>
      <c r="U3019" s="5">
        <v>350000</v>
      </c>
      <c r="V3019" s="5" t="s">
        <v>13296</v>
      </c>
      <c r="W3019" s="5" t="s">
        <v>36</v>
      </c>
      <c r="X3019" s="5" t="s">
        <v>12646</v>
      </c>
      <c r="Z3019" s="5" t="s">
        <v>13297</v>
      </c>
      <c r="AA3019" s="5" t="s">
        <v>44</v>
      </c>
      <c r="AB3019" s="5"/>
      <c r="AC3019" s="8" t="str">
        <f>HYPERLINK("https://drive.google.com/file/d/1zOs3qL_XiRIQ-iEQt64s5XdVM6N67qCm/view?usp=drivesdk", "Abrir_Factura")</f>
        <v>Abrir_Factura</v>
      </c>
      <c r="AD3019" s="9">
        <v>46088.473506944443</v>
      </c>
    </row>
    <row r="3020" spans="1:30" ht="12.5">
      <c r="A3020" s="4">
        <v>46088.457554872686</v>
      </c>
      <c r="B3020" s="5">
        <v>92760</v>
      </c>
      <c r="C3020" s="5">
        <v>1044424379</v>
      </c>
      <c r="D3020" s="5" t="s">
        <v>13298</v>
      </c>
      <c r="F3020" s="5"/>
      <c r="H3020" s="5">
        <v>573157877568</v>
      </c>
      <c r="J3020" s="5" t="s">
        <v>13299</v>
      </c>
      <c r="K3020" s="5" t="s">
        <v>265</v>
      </c>
      <c r="L3020" s="5" t="s">
        <v>13300</v>
      </c>
      <c r="M3020" s="5">
        <v>573022835151</v>
      </c>
      <c r="N3020" s="6">
        <v>46088</v>
      </c>
      <c r="O3020" s="7">
        <v>4.1666666666666664E-2</v>
      </c>
      <c r="P3020" s="5">
        <v>1</v>
      </c>
      <c r="Q3020" s="5" t="s">
        <v>12406</v>
      </c>
      <c r="R3020" s="5">
        <v>90000</v>
      </c>
      <c r="S3020" s="5">
        <v>0</v>
      </c>
      <c r="T3020" s="5">
        <v>17000</v>
      </c>
      <c r="U3020" s="5">
        <v>107000</v>
      </c>
      <c r="V3020" s="5" t="s">
        <v>13301</v>
      </c>
      <c r="W3020" s="5" t="s">
        <v>36</v>
      </c>
      <c r="X3020" s="5" t="s">
        <v>12646</v>
      </c>
      <c r="Z3020" s="5" t="s">
        <v>13302</v>
      </c>
      <c r="AA3020" s="5" t="s">
        <v>44</v>
      </c>
      <c r="AB3020" s="5" t="s">
        <v>13303</v>
      </c>
      <c r="AC3020" s="8" t="str">
        <f>HYPERLINK("https://drive.google.com/file/d/13-8IwkuyIHXtEh3R-FpVdQ_A_YyAVgRw/view?usp=drivesdk", "Abrir_Factura")</f>
        <v>Abrir_Factura</v>
      </c>
      <c r="AD3020" s="9">
        <v>46088.475092592591</v>
      </c>
    </row>
    <row r="3021" spans="1:30" ht="12.5">
      <c r="A3021" s="4">
        <v>46088.458714155087</v>
      </c>
      <c r="B3021" s="5">
        <v>92758</v>
      </c>
      <c r="C3021" s="5">
        <v>80852394</v>
      </c>
      <c r="D3021" s="5" t="s">
        <v>13304</v>
      </c>
      <c r="F3021" s="5"/>
      <c r="H3021" s="5">
        <v>573246813327</v>
      </c>
      <c r="J3021" s="5" t="s">
        <v>13305</v>
      </c>
      <c r="K3021" s="5" t="s">
        <v>73</v>
      </c>
      <c r="L3021" s="5" t="s">
        <v>13306</v>
      </c>
      <c r="M3021" s="5"/>
      <c r="N3021" s="6">
        <v>46089</v>
      </c>
      <c r="O3021" s="7">
        <v>4.1666666666666664E-2</v>
      </c>
      <c r="P3021" s="5">
        <v>1</v>
      </c>
      <c r="Q3021" s="5" t="s">
        <v>13307</v>
      </c>
      <c r="R3021" s="5">
        <v>240000</v>
      </c>
      <c r="S3021" s="5">
        <v>0</v>
      </c>
      <c r="T3021" s="5">
        <v>8000</v>
      </c>
      <c r="U3021" s="5">
        <v>248000</v>
      </c>
      <c r="V3021" s="5"/>
      <c r="W3021" s="5" t="s">
        <v>36</v>
      </c>
      <c r="X3021" s="5" t="s">
        <v>12646</v>
      </c>
      <c r="Z3021" s="5"/>
      <c r="AA3021" s="5" t="s">
        <v>44</v>
      </c>
      <c r="AB3021" s="5" t="s">
        <v>9771</v>
      </c>
      <c r="AC3021" s="8" t="str">
        <f>HYPERLINK("https://drive.google.com/file/d/16FM7IkkiJjCjj5d6tI5E8rTmfUkTIBvu/view?usp=drivesdk", "Abrir_Factura")</f>
        <v>Abrir_Factura</v>
      </c>
      <c r="AD3021" s="9">
        <v>46088.472951388889</v>
      </c>
    </row>
    <row r="3022" spans="1:30" ht="12.5">
      <c r="A3022" s="4">
        <v>46088.459654606486</v>
      </c>
      <c r="B3022" s="5">
        <v>92768</v>
      </c>
      <c r="C3022" s="5">
        <v>1042433094</v>
      </c>
      <c r="D3022" s="5" t="s">
        <v>13308</v>
      </c>
      <c r="F3022" s="5"/>
      <c r="H3022" s="5">
        <v>573017245671</v>
      </c>
      <c r="J3022" s="5" t="s">
        <v>13309</v>
      </c>
      <c r="K3022" s="5" t="s">
        <v>12657</v>
      </c>
      <c r="L3022" s="5" t="s">
        <v>12657</v>
      </c>
      <c r="M3022" s="5">
        <v>573017245671</v>
      </c>
      <c r="N3022" s="6">
        <v>46088</v>
      </c>
      <c r="O3022" s="7">
        <v>0.52083333333333337</v>
      </c>
      <c r="P3022" s="5">
        <v>1</v>
      </c>
      <c r="Q3022" s="5" t="s">
        <v>12406</v>
      </c>
      <c r="R3022" s="5">
        <v>90000</v>
      </c>
      <c r="S3022" s="5">
        <v>0</v>
      </c>
      <c r="T3022" s="5"/>
      <c r="U3022" s="5">
        <v>90000</v>
      </c>
      <c r="V3022" s="5"/>
      <c r="W3022" s="5" t="s">
        <v>36</v>
      </c>
      <c r="X3022" s="5" t="s">
        <v>12646</v>
      </c>
      <c r="Z3022" s="5"/>
      <c r="AA3022" s="5" t="s">
        <v>44</v>
      </c>
      <c r="AB3022" s="5"/>
      <c r="AC3022" s="8" t="str">
        <f>HYPERLINK("https://drive.google.com/file/d/1IGLIPIbpQiLE-8ja93Hry8qBbMskryFL/view?usp=drivesdk", "Abrir_Factura")</f>
        <v>Abrir_Factura</v>
      </c>
      <c r="AD3022" s="9">
        <v>46088.498506944445</v>
      </c>
    </row>
    <row r="3023" spans="1:30" ht="12.5">
      <c r="A3023" s="4">
        <v>46088.470243402779</v>
      </c>
      <c r="B3023" s="5">
        <v>92763</v>
      </c>
      <c r="C3023" s="5">
        <v>1047045002</v>
      </c>
      <c r="D3023" s="5" t="s">
        <v>13310</v>
      </c>
      <c r="F3023" s="5"/>
      <c r="H3023" s="5">
        <v>573503746735</v>
      </c>
      <c r="J3023" s="5" t="s">
        <v>13311</v>
      </c>
      <c r="K3023" s="5" t="s">
        <v>73</v>
      </c>
      <c r="L3023" s="5" t="s">
        <v>10161</v>
      </c>
      <c r="M3023" s="5">
        <v>573058681889</v>
      </c>
      <c r="N3023" s="6">
        <v>46089</v>
      </c>
      <c r="O3023" s="7">
        <v>0</v>
      </c>
      <c r="P3023" s="5">
        <v>1</v>
      </c>
      <c r="Q3023" s="5" t="s">
        <v>42</v>
      </c>
      <c r="R3023" s="5">
        <v>40000</v>
      </c>
      <c r="S3023" s="5">
        <v>0</v>
      </c>
      <c r="T3023" s="5">
        <v>8000</v>
      </c>
      <c r="U3023" s="5">
        <v>48000</v>
      </c>
      <c r="V3023" s="5" t="s">
        <v>13312</v>
      </c>
      <c r="W3023" s="5" t="s">
        <v>36</v>
      </c>
      <c r="X3023" s="5" t="s">
        <v>12646</v>
      </c>
      <c r="Z3023" s="5" t="s">
        <v>13313</v>
      </c>
      <c r="AA3023" s="5" t="s">
        <v>44</v>
      </c>
      <c r="AB3023" s="5" t="s">
        <v>13314</v>
      </c>
      <c r="AC3023" s="8" t="str">
        <f>HYPERLINK("https://drive.google.com/file/d/1YYvBfIw14kr36lPubfh2P6RHuhwjGBya/view?usp=drivesdk", "Abrir_Factura")</f>
        <v>Abrir_Factura</v>
      </c>
      <c r="AD3023" s="9">
        <v>46088.488449074073</v>
      </c>
    </row>
    <row r="3024" spans="1:30" ht="12.5">
      <c r="A3024" s="4">
        <v>46088.472706354165</v>
      </c>
      <c r="B3024" s="5">
        <v>92772</v>
      </c>
      <c r="C3024" s="5">
        <v>1042454245</v>
      </c>
      <c r="D3024" s="5" t="s">
        <v>13315</v>
      </c>
      <c r="F3024" s="5"/>
      <c r="H3024" s="5">
        <v>573008182932</v>
      </c>
      <c r="J3024" s="5" t="s">
        <v>13316</v>
      </c>
      <c r="K3024" s="5" t="s">
        <v>63</v>
      </c>
      <c r="L3024" s="5" t="s">
        <v>13317</v>
      </c>
      <c r="M3024" s="5">
        <v>573148667813</v>
      </c>
      <c r="N3024" s="6">
        <v>46088</v>
      </c>
      <c r="O3024" s="7">
        <v>6.25E-2</v>
      </c>
      <c r="P3024" s="5">
        <v>1</v>
      </c>
      <c r="Q3024" s="5" t="s">
        <v>12423</v>
      </c>
      <c r="R3024" s="5">
        <v>80000</v>
      </c>
      <c r="S3024" s="5">
        <v>0</v>
      </c>
      <c r="T3024" s="5">
        <v>17000</v>
      </c>
      <c r="U3024" s="5">
        <v>97000</v>
      </c>
      <c r="V3024" s="5"/>
      <c r="W3024" s="5" t="s">
        <v>36</v>
      </c>
      <c r="X3024" s="5" t="s">
        <v>1937</v>
      </c>
      <c r="Z3024" s="5"/>
      <c r="AA3024" s="5" t="s">
        <v>44</v>
      </c>
      <c r="AB3024" s="5" t="s">
        <v>9771</v>
      </c>
      <c r="AC3024" s="8" t="str">
        <f>HYPERLINK("https://drive.google.com/file/d/1LzHcYmqbEYRfpz4KPi8oEqLMwMQsfP66/view?usp=drivesdk", "Abrir_Factura")</f>
        <v>Abrir_Factura</v>
      </c>
      <c r="AD3024" s="9">
        <v>46088.505995370368</v>
      </c>
    </row>
    <row r="3025" spans="1:30" ht="12.5">
      <c r="A3025" s="4">
        <v>46088.47359306713</v>
      </c>
      <c r="B3025" s="5">
        <v>92800</v>
      </c>
      <c r="C3025" s="5">
        <v>1143462013</v>
      </c>
      <c r="D3025" s="5" t="s">
        <v>13318</v>
      </c>
      <c r="F3025" s="5"/>
      <c r="H3025" s="5">
        <v>573023514914</v>
      </c>
      <c r="J3025" s="5" t="s">
        <v>13319</v>
      </c>
      <c r="K3025" s="5" t="s">
        <v>630</v>
      </c>
      <c r="L3025" s="5" t="s">
        <v>13320</v>
      </c>
      <c r="M3025" s="5">
        <v>573023514914</v>
      </c>
      <c r="N3025" s="6">
        <v>46088</v>
      </c>
      <c r="O3025" s="7">
        <v>0.58333333333333337</v>
      </c>
      <c r="P3025" s="5">
        <v>1</v>
      </c>
      <c r="Q3025" s="5" t="s">
        <v>12496</v>
      </c>
      <c r="R3025" s="5">
        <v>120000</v>
      </c>
      <c r="S3025" s="5">
        <v>0</v>
      </c>
      <c r="T3025" s="5">
        <v>20000</v>
      </c>
      <c r="U3025" s="5">
        <v>140000</v>
      </c>
      <c r="V3025" s="5" t="s">
        <v>13321</v>
      </c>
      <c r="W3025" s="5" t="s">
        <v>36</v>
      </c>
      <c r="X3025" s="5" t="s">
        <v>1937</v>
      </c>
      <c r="Z3025" s="5"/>
      <c r="AA3025" s="5" t="s">
        <v>44</v>
      </c>
      <c r="AB3025" s="5"/>
      <c r="AC3025" s="8" t="str">
        <f>HYPERLINK("https://drive.google.com/file/d/1rRO7skQyVKu1UFxYsFXAQ9wVmnF1Ktae/view?usp=drivesdk", "Abrir_Factura")</f>
        <v>Abrir_Factura</v>
      </c>
      <c r="AD3025" s="9">
        <v>46088.590509259258</v>
      </c>
    </row>
    <row r="3026" spans="1:30" ht="12.5">
      <c r="A3026" s="4">
        <v>46088.477991192129</v>
      </c>
      <c r="B3026" s="5">
        <v>92765</v>
      </c>
      <c r="C3026" s="5">
        <v>1140873658</v>
      </c>
      <c r="D3026" s="5" t="s">
        <v>13322</v>
      </c>
      <c r="F3026" s="5"/>
      <c r="H3026" s="5">
        <v>573004300764</v>
      </c>
      <c r="J3026" s="5" t="s">
        <v>13322</v>
      </c>
      <c r="K3026" s="5" t="s">
        <v>12657</v>
      </c>
      <c r="L3026" s="5" t="s">
        <v>12657</v>
      </c>
      <c r="M3026" s="5">
        <v>573004300764</v>
      </c>
      <c r="N3026" s="6">
        <v>46088</v>
      </c>
      <c r="O3026" s="7">
        <v>0.52083333333333337</v>
      </c>
      <c r="P3026" s="5">
        <v>1</v>
      </c>
      <c r="Q3026" s="5" t="s">
        <v>13323</v>
      </c>
      <c r="R3026" s="5">
        <v>120000</v>
      </c>
      <c r="S3026" s="5">
        <v>0</v>
      </c>
      <c r="T3026" s="5"/>
      <c r="U3026" s="5">
        <v>120000</v>
      </c>
      <c r="V3026" s="5" t="s">
        <v>13324</v>
      </c>
      <c r="W3026" s="5" t="s">
        <v>36</v>
      </c>
      <c r="X3026" s="5" t="s">
        <v>12646</v>
      </c>
      <c r="Z3026" s="5" t="s">
        <v>13324</v>
      </c>
      <c r="AA3026" s="5" t="s">
        <v>44</v>
      </c>
      <c r="AB3026" s="5"/>
      <c r="AC3026" s="8" t="str">
        <f>HYPERLINK("https://drive.google.com/file/d/1tD6gjG76vVYROcfznuXfA1lVaYZzsAu0/view?usp=drivesdk", "Abrir_Factura")</f>
        <v>Abrir_Factura</v>
      </c>
      <c r="AD3026" s="9">
        <v>46088.492905092593</v>
      </c>
    </row>
    <row r="3027" spans="1:30" ht="12.5">
      <c r="A3027" s="4">
        <v>46088.479559016203</v>
      </c>
      <c r="B3027" s="5">
        <v>92767</v>
      </c>
      <c r="C3027" s="5">
        <v>1143117694</v>
      </c>
      <c r="D3027" s="5" t="s">
        <v>13325</v>
      </c>
      <c r="F3027" s="5"/>
      <c r="H3027" s="5">
        <v>573013460233</v>
      </c>
      <c r="J3027" s="5" t="s">
        <v>13326</v>
      </c>
      <c r="K3027" s="5" t="s">
        <v>249</v>
      </c>
      <c r="L3027" s="5" t="s">
        <v>13327</v>
      </c>
      <c r="M3027" s="5">
        <v>573013460233</v>
      </c>
      <c r="N3027" s="6">
        <v>46088</v>
      </c>
      <c r="O3027" s="7">
        <v>0.60416666666666663</v>
      </c>
      <c r="P3027" s="5">
        <v>1</v>
      </c>
      <c r="Q3027" s="5" t="s">
        <v>12423</v>
      </c>
      <c r="R3027" s="5">
        <v>80000</v>
      </c>
      <c r="S3027" s="5">
        <v>0</v>
      </c>
      <c r="T3027" s="5">
        <v>10000</v>
      </c>
      <c r="U3027" s="5">
        <v>90000</v>
      </c>
      <c r="V3027" s="5" t="s">
        <v>13328</v>
      </c>
      <c r="W3027" s="5" t="s">
        <v>36</v>
      </c>
      <c r="X3027" s="5" t="s">
        <v>1937</v>
      </c>
      <c r="Z3027" s="5" t="s">
        <v>13325</v>
      </c>
      <c r="AA3027" s="5" t="s">
        <v>44</v>
      </c>
      <c r="AB3027" s="5"/>
      <c r="AC3027" s="8" t="str">
        <f>HYPERLINK("https://drive.google.com/file/d/1qh9NfBVEcv9z7DiU7NhSafAcHkx25Y6R/view?usp=drivesdk", "Abrir_Factura")</f>
        <v>Abrir_Factura</v>
      </c>
      <c r="AD3027" s="9">
        <v>46088.496319444443</v>
      </c>
    </row>
    <row r="3028" spans="1:30" ht="12.5">
      <c r="A3028" s="4">
        <v>46088.47961440972</v>
      </c>
      <c r="B3028" s="5">
        <v>92770</v>
      </c>
      <c r="C3028" s="5">
        <v>1043665104</v>
      </c>
      <c r="D3028" s="5" t="s">
        <v>13329</v>
      </c>
      <c r="F3028" s="5"/>
      <c r="H3028" s="5">
        <v>573005553279</v>
      </c>
      <c r="J3028" s="5" t="s">
        <v>10834</v>
      </c>
      <c r="K3028" s="5" t="s">
        <v>33</v>
      </c>
      <c r="L3028" s="5" t="s">
        <v>12066</v>
      </c>
      <c r="M3028" s="5">
        <v>573005553279</v>
      </c>
      <c r="N3028" s="6">
        <v>46088</v>
      </c>
      <c r="O3028" s="7">
        <v>0.58333333333333337</v>
      </c>
      <c r="P3028" s="5">
        <v>1</v>
      </c>
      <c r="Q3028" s="5" t="s">
        <v>12406</v>
      </c>
      <c r="R3028" s="5">
        <v>90000</v>
      </c>
      <c r="S3028" s="5">
        <v>0</v>
      </c>
      <c r="T3028" s="5">
        <v>0</v>
      </c>
      <c r="U3028" s="5">
        <v>90000</v>
      </c>
      <c r="V3028" s="5" t="s">
        <v>13330</v>
      </c>
      <c r="W3028" s="5" t="s">
        <v>36</v>
      </c>
      <c r="X3028" s="5" t="s">
        <v>12646</v>
      </c>
      <c r="Z3028" s="5" t="s">
        <v>13331</v>
      </c>
      <c r="AA3028" s="5" t="s">
        <v>44</v>
      </c>
      <c r="AB3028" s="5"/>
      <c r="AC3028" s="8" t="str">
        <f>HYPERLINK("https://drive.google.com/file/d/1EvlHfTfbmFyc1WKwv-LSOCjOj2JhCXW8/view?usp=drivesdk", "Abrir_Factura")</f>
        <v>Abrir_Factura</v>
      </c>
      <c r="AD3028" s="9">
        <v>46088.505682870367</v>
      </c>
    </row>
    <row r="3029" spans="1:30" ht="12.5">
      <c r="A3029" s="4">
        <v>46088.480415636572</v>
      </c>
      <c r="B3029" s="5">
        <v>92761</v>
      </c>
      <c r="C3029" s="5">
        <v>1001945648</v>
      </c>
      <c r="D3029" s="5" t="s">
        <v>2678</v>
      </c>
      <c r="F3029" s="5"/>
      <c r="H3029" s="5">
        <v>573012527757</v>
      </c>
      <c r="J3029" s="5" t="s">
        <v>2678</v>
      </c>
      <c r="K3029" s="5" t="s">
        <v>12657</v>
      </c>
      <c r="L3029" s="5" t="s">
        <v>12657</v>
      </c>
      <c r="M3029" s="5">
        <v>573012527757</v>
      </c>
      <c r="N3029" s="6">
        <v>46088</v>
      </c>
      <c r="O3029" s="7">
        <v>0</v>
      </c>
      <c r="P3029" s="5">
        <v>2</v>
      </c>
      <c r="Q3029" s="5" t="s">
        <v>42</v>
      </c>
      <c r="R3029" s="5">
        <v>200000</v>
      </c>
      <c r="S3029" s="5">
        <v>0</v>
      </c>
      <c r="T3029" s="5"/>
      <c r="U3029" s="5">
        <v>200000</v>
      </c>
      <c r="V3029" s="5"/>
      <c r="W3029" s="5" t="s">
        <v>36</v>
      </c>
      <c r="X3029" s="5" t="s">
        <v>196</v>
      </c>
      <c r="Z3029" s="5"/>
      <c r="AA3029" s="5" t="s">
        <v>1717</v>
      </c>
      <c r="AB3029" s="5"/>
      <c r="AC3029" s="8" t="str">
        <f>HYPERLINK("https://drive.google.com/file/d/1YMnllt6Xv2T2iRPYBnOeYQF3_-cAgcjy/view?usp=drivesdk", "Abrir_Factura")</f>
        <v>Abrir_Factura</v>
      </c>
      <c r="AD3029" s="9">
        <v>46088.484074074076</v>
      </c>
    </row>
    <row r="3030" spans="1:30" ht="12.5">
      <c r="A3030" s="4">
        <v>46088.488459884262</v>
      </c>
      <c r="B3030" s="5">
        <v>92769</v>
      </c>
      <c r="C3030" s="5">
        <v>72274583</v>
      </c>
      <c r="D3030" s="5" t="s">
        <v>13332</v>
      </c>
      <c r="F3030" s="5"/>
      <c r="H3030" s="5">
        <v>573014243732</v>
      </c>
      <c r="J3030" s="5" t="s">
        <v>13332</v>
      </c>
      <c r="K3030" s="5" t="s">
        <v>12657</v>
      </c>
      <c r="L3030" s="5" t="s">
        <v>12657</v>
      </c>
      <c r="M3030" s="5">
        <v>573014243732</v>
      </c>
      <c r="N3030" s="6">
        <v>46088</v>
      </c>
      <c r="O3030" s="7">
        <v>0.58333333333333337</v>
      </c>
      <c r="P3030" s="5">
        <v>1</v>
      </c>
      <c r="Q3030" s="5" t="s">
        <v>12724</v>
      </c>
      <c r="R3030" s="5">
        <v>150000</v>
      </c>
      <c r="S3030" s="5">
        <v>0</v>
      </c>
      <c r="T3030" s="5"/>
      <c r="U3030" s="5">
        <v>150000</v>
      </c>
      <c r="V3030" s="5" t="s">
        <v>13333</v>
      </c>
      <c r="W3030" s="5" t="s">
        <v>36</v>
      </c>
      <c r="X3030" s="5" t="s">
        <v>196</v>
      </c>
      <c r="Z3030" s="5" t="s">
        <v>582</v>
      </c>
      <c r="AA3030" s="5" t="s">
        <v>44</v>
      </c>
      <c r="AB3030" s="5" t="s">
        <v>13334</v>
      </c>
      <c r="AC3030" s="8" t="str">
        <f>HYPERLINK("https://drive.google.com/file/d/1NDy7cEXWmLOcd0EqFktjVG1wUIkg2Tve/view?usp=drivesdk", "Abrir_Factura")</f>
        <v>Abrir_Factura</v>
      </c>
      <c r="AD3030" s="9">
        <v>46088.681747685187</v>
      </c>
    </row>
    <row r="3031" spans="1:30" ht="12.5">
      <c r="A3031" s="4">
        <v>46088.490814942124</v>
      </c>
      <c r="B3031" s="5">
        <v>92764</v>
      </c>
      <c r="C3031" s="5">
        <v>1021513482</v>
      </c>
      <c r="D3031" s="5" t="s">
        <v>13335</v>
      </c>
      <c r="F3031" s="5"/>
      <c r="H3031" s="5">
        <v>573006804129</v>
      </c>
      <c r="J3031" s="5" t="s">
        <v>13335</v>
      </c>
      <c r="K3031" s="5" t="s">
        <v>12657</v>
      </c>
      <c r="L3031" s="5" t="s">
        <v>12657</v>
      </c>
      <c r="M3031" s="5">
        <v>573006804129</v>
      </c>
      <c r="N3031" s="6">
        <v>46088</v>
      </c>
      <c r="O3031" s="7">
        <v>0</v>
      </c>
      <c r="P3031" s="5">
        <v>1</v>
      </c>
      <c r="Q3031" s="5" t="s">
        <v>13336</v>
      </c>
      <c r="R3031" s="5">
        <v>210000</v>
      </c>
      <c r="S3031" s="5">
        <v>0</v>
      </c>
      <c r="T3031" s="5"/>
      <c r="U3031" s="5">
        <v>210000</v>
      </c>
      <c r="V3031" s="5"/>
      <c r="W3031" s="5" t="s">
        <v>36</v>
      </c>
      <c r="X3031" s="5" t="s">
        <v>37</v>
      </c>
      <c r="Z3031" s="5"/>
      <c r="AA3031" s="5" t="s">
        <v>37</v>
      </c>
      <c r="AB3031" s="5" t="s">
        <v>13337</v>
      </c>
      <c r="AC3031" s="8" t="str">
        <f>HYPERLINK("https://drive.google.com/file/d/1sBk4g7BKlfO7o2im5iCK_2l6MII7LOQ7/view?usp=drivesdk", "Abrir_Factura")</f>
        <v>Abrir_Factura</v>
      </c>
      <c r="AD3031" s="9">
        <v>46088.491331018522</v>
      </c>
    </row>
    <row r="3032" spans="1:30" ht="12.5">
      <c r="A3032" s="4">
        <v>46088.492336875002</v>
      </c>
      <c r="B3032" s="5">
        <v>92771</v>
      </c>
      <c r="C3032" s="5">
        <v>1140819726</v>
      </c>
      <c r="D3032" s="5" t="s">
        <v>13338</v>
      </c>
      <c r="F3032" s="5"/>
      <c r="H3032" s="5">
        <v>573135975191</v>
      </c>
      <c r="J3032" s="5" t="s">
        <v>13338</v>
      </c>
      <c r="K3032" s="5" t="s">
        <v>12657</v>
      </c>
      <c r="L3032" s="5" t="s">
        <v>12657</v>
      </c>
      <c r="M3032" s="5">
        <v>573135975191</v>
      </c>
      <c r="N3032" s="6">
        <v>46088</v>
      </c>
      <c r="O3032" s="7">
        <v>0</v>
      </c>
      <c r="P3032" s="5">
        <v>1</v>
      </c>
      <c r="Q3032" s="5" t="s">
        <v>12496</v>
      </c>
      <c r="R3032" s="5">
        <v>120000</v>
      </c>
      <c r="S3032" s="5">
        <v>0</v>
      </c>
      <c r="T3032" s="5"/>
      <c r="U3032" s="5">
        <v>120000</v>
      </c>
      <c r="V3032" s="5"/>
      <c r="W3032" s="5" t="s">
        <v>36</v>
      </c>
      <c r="X3032" s="5" t="s">
        <v>37</v>
      </c>
      <c r="Z3032" s="5"/>
      <c r="AA3032" s="5" t="s">
        <v>37</v>
      </c>
      <c r="AB3032" s="5" t="s">
        <v>13339</v>
      </c>
      <c r="AC3032" s="8" t="str">
        <f>HYPERLINK("https://drive.google.com/file/d/1jp46MjeGCgBw3fBw_8rjyXG66wjCy7Q-/view?usp=drivesdk", "Abrir_Factura")</f>
        <v>Abrir_Factura</v>
      </c>
      <c r="AD3032" s="9">
        <v>46088.50577546296</v>
      </c>
    </row>
    <row r="3033" spans="1:30" ht="12.5">
      <c r="A3033" s="4">
        <v>46088.492477442131</v>
      </c>
      <c r="B3033" s="5">
        <v>92776</v>
      </c>
      <c r="C3033" s="5">
        <v>1125782405</v>
      </c>
      <c r="D3033" s="5" t="s">
        <v>13340</v>
      </c>
      <c r="F3033" s="5"/>
      <c r="H3033" s="5">
        <v>12012323440</v>
      </c>
      <c r="J3033" s="5" t="s">
        <v>13341</v>
      </c>
      <c r="K3033" s="5" t="s">
        <v>103</v>
      </c>
      <c r="L3033" s="5" t="s">
        <v>13342</v>
      </c>
      <c r="M3033" s="5">
        <v>573013032735</v>
      </c>
      <c r="N3033" s="6">
        <v>46088</v>
      </c>
      <c r="O3033" s="7">
        <v>6.25E-2</v>
      </c>
      <c r="P3033" s="5">
        <v>1</v>
      </c>
      <c r="Q3033" s="5" t="s">
        <v>12724</v>
      </c>
      <c r="R3033" s="5">
        <v>150000</v>
      </c>
      <c r="S3033" s="5">
        <v>0</v>
      </c>
      <c r="T3033" s="5">
        <v>10000</v>
      </c>
      <c r="U3033" s="5">
        <v>160000</v>
      </c>
      <c r="V3033" s="5" t="s">
        <v>13343</v>
      </c>
      <c r="W3033" s="5" t="s">
        <v>36</v>
      </c>
      <c r="X3033" s="5" t="s">
        <v>12646</v>
      </c>
      <c r="Z3033" s="5" t="s">
        <v>13340</v>
      </c>
      <c r="AA3033" s="5" t="s">
        <v>44</v>
      </c>
      <c r="AB3033" s="5" t="s">
        <v>9771</v>
      </c>
      <c r="AC3033" s="8" t="str">
        <f>HYPERLINK("https://drive.google.com/file/d/1_mOrb1j-h0yZpR-Dn1ywyqPEmeilSJTT/view?usp=drivesdk", "Abrir_Factura")</f>
        <v>Abrir_Factura</v>
      </c>
      <c r="AD3033" s="9">
        <v>46088.512418981481</v>
      </c>
    </row>
    <row r="3034" spans="1:30" ht="12.5">
      <c r="A3034" s="4">
        <v>46088.494346747684</v>
      </c>
      <c r="B3034" s="5">
        <v>92766</v>
      </c>
      <c r="C3034" s="5">
        <v>72343206</v>
      </c>
      <c r="D3034" s="5" t="s">
        <v>13344</v>
      </c>
      <c r="F3034" s="5"/>
      <c r="H3034" s="5">
        <v>573013643099</v>
      </c>
      <c r="J3034" s="5" t="s">
        <v>13344</v>
      </c>
      <c r="K3034" s="5" t="s">
        <v>12657</v>
      </c>
      <c r="L3034" s="5" t="s">
        <v>12657</v>
      </c>
      <c r="M3034" s="5">
        <v>573013643099</v>
      </c>
      <c r="N3034" s="6">
        <v>46088</v>
      </c>
      <c r="O3034" s="7">
        <v>0</v>
      </c>
      <c r="P3034" s="5">
        <v>1</v>
      </c>
      <c r="Q3034" s="5" t="s">
        <v>12406</v>
      </c>
      <c r="R3034" s="5">
        <v>90000</v>
      </c>
      <c r="S3034" s="5">
        <v>0</v>
      </c>
      <c r="T3034" s="5"/>
      <c r="U3034" s="5">
        <v>90000</v>
      </c>
      <c r="V3034" s="5"/>
      <c r="W3034" s="5" t="s">
        <v>36</v>
      </c>
      <c r="X3034" s="5" t="s">
        <v>37</v>
      </c>
      <c r="Z3034" s="5"/>
      <c r="AA3034" s="5" t="s">
        <v>37</v>
      </c>
      <c r="AB3034" s="5" t="s">
        <v>13345</v>
      </c>
      <c r="AC3034" s="8" t="str">
        <f>HYPERLINK("https://drive.google.com/file/d/1vErdD7njUDs-_s00sxHmLM23eXYzihB2/view?usp=drivesdk", "Abrir_Factura")</f>
        <v>Abrir_Factura</v>
      </c>
      <c r="AD3034" s="9">
        <v>46088.495254629626</v>
      </c>
    </row>
    <row r="3035" spans="1:30" ht="12.5">
      <c r="A3035" s="4">
        <v>46088.494464444448</v>
      </c>
      <c r="B3035" s="5">
        <v>92777</v>
      </c>
      <c r="C3035" s="5">
        <v>52006896</v>
      </c>
      <c r="D3035" s="5" t="s">
        <v>12942</v>
      </c>
      <c r="F3035" s="5"/>
      <c r="H3035" s="5">
        <v>573022781926</v>
      </c>
      <c r="J3035" s="5" t="s">
        <v>13346</v>
      </c>
      <c r="K3035" s="5" t="s">
        <v>1815</v>
      </c>
      <c r="L3035" s="5" t="s">
        <v>13347</v>
      </c>
      <c r="M3035" s="5">
        <v>573107383697</v>
      </c>
      <c r="N3035" s="6">
        <v>46088</v>
      </c>
      <c r="O3035" s="7">
        <v>6.25E-2</v>
      </c>
      <c r="P3035" s="5">
        <v>1</v>
      </c>
      <c r="Q3035" s="5" t="s">
        <v>12423</v>
      </c>
      <c r="R3035" s="5">
        <v>80000</v>
      </c>
      <c r="S3035" s="5">
        <v>0</v>
      </c>
      <c r="T3035" s="5">
        <v>18000</v>
      </c>
      <c r="U3035" s="5">
        <v>98000</v>
      </c>
      <c r="V3035" s="5" t="s">
        <v>13348</v>
      </c>
      <c r="W3035" s="5" t="s">
        <v>36</v>
      </c>
      <c r="X3035" s="5" t="s">
        <v>12646</v>
      </c>
      <c r="Z3035" s="5" t="s">
        <v>13349</v>
      </c>
      <c r="AA3035" s="5" t="s">
        <v>44</v>
      </c>
      <c r="AB3035" s="5" t="s">
        <v>9771</v>
      </c>
      <c r="AC3035" s="8" t="str">
        <f>HYPERLINK("https://drive.google.com/file/d/1XqB_fMqMZrp8kzJNF9iKHyMInmagK4pG/view?usp=drivesdk", "Abrir_Factura")</f>
        <v>Abrir_Factura</v>
      </c>
      <c r="AD3035" s="9">
        <v>46088.513657407406</v>
      </c>
    </row>
    <row r="3036" spans="1:30" ht="12.5">
      <c r="A3036" s="4">
        <v>46088.504105462962</v>
      </c>
      <c r="B3036" s="5">
        <v>92778</v>
      </c>
      <c r="C3036" s="5">
        <v>1044634549</v>
      </c>
      <c r="D3036" s="5" t="s">
        <v>13350</v>
      </c>
      <c r="F3036" s="5"/>
      <c r="H3036" s="5">
        <v>573012043812</v>
      </c>
      <c r="J3036" s="5" t="s">
        <v>6678</v>
      </c>
      <c r="K3036" s="5" t="s">
        <v>2880</v>
      </c>
      <c r="L3036" s="5" t="s">
        <v>13351</v>
      </c>
      <c r="M3036" s="5">
        <v>573012043812</v>
      </c>
      <c r="N3036" s="6">
        <v>46089</v>
      </c>
      <c r="O3036" s="7">
        <v>8.3333333333333329E-2</v>
      </c>
      <c r="P3036" s="5">
        <v>1</v>
      </c>
      <c r="Q3036" s="5" t="s">
        <v>13352</v>
      </c>
      <c r="R3036" s="5">
        <v>200000</v>
      </c>
      <c r="S3036" s="5">
        <v>0</v>
      </c>
      <c r="T3036" s="5">
        <v>25000</v>
      </c>
      <c r="U3036" s="5">
        <v>225000</v>
      </c>
      <c r="V3036" s="5" t="s">
        <v>13353</v>
      </c>
      <c r="W3036" s="5" t="s">
        <v>36</v>
      </c>
      <c r="X3036" s="5" t="s">
        <v>12646</v>
      </c>
      <c r="Z3036" s="5" t="s">
        <v>13354</v>
      </c>
      <c r="AA3036" s="5" t="s">
        <v>44</v>
      </c>
      <c r="AB3036" s="5" t="s">
        <v>9771</v>
      </c>
      <c r="AC3036" s="8" t="str">
        <f>HYPERLINK("https://drive.google.com/file/d/1ZNKghrlLlgHXqjErX9YSSVneFLzZAa3M/view?usp=drivesdk", "Abrir_Factura")</f>
        <v>Abrir_Factura</v>
      </c>
      <c r="AD3036" s="9">
        <v>46088.516828703701</v>
      </c>
    </row>
    <row r="3037" spans="1:30" ht="12.5">
      <c r="A3037" s="4">
        <v>46088.504908923613</v>
      </c>
      <c r="B3037" s="5">
        <v>92774</v>
      </c>
      <c r="C3037" s="5">
        <v>1140882684</v>
      </c>
      <c r="D3037" s="5" t="s">
        <v>13355</v>
      </c>
      <c r="F3037" s="5"/>
      <c r="H3037" s="5">
        <v>573106105271</v>
      </c>
      <c r="J3037" s="5" t="s">
        <v>13355</v>
      </c>
      <c r="K3037" s="5" t="s">
        <v>12657</v>
      </c>
      <c r="L3037" s="5" t="s">
        <v>12657</v>
      </c>
      <c r="M3037" s="5">
        <v>573106105271</v>
      </c>
      <c r="N3037" s="6">
        <v>46088</v>
      </c>
      <c r="O3037" s="7">
        <v>0</v>
      </c>
      <c r="P3037" s="5">
        <v>1</v>
      </c>
      <c r="Q3037" s="5" t="s">
        <v>13356</v>
      </c>
      <c r="R3037" s="5">
        <v>105000</v>
      </c>
      <c r="S3037" s="5">
        <v>0</v>
      </c>
      <c r="T3037" s="5"/>
      <c r="U3037" s="5">
        <v>105000</v>
      </c>
      <c r="V3037" s="5"/>
      <c r="W3037" s="5" t="s">
        <v>36</v>
      </c>
      <c r="X3037" s="5" t="s">
        <v>196</v>
      </c>
      <c r="Z3037" s="5"/>
      <c r="AA3037" s="5" t="s">
        <v>1717</v>
      </c>
      <c r="AB3037" s="5"/>
      <c r="AC3037" s="8" t="str">
        <f>HYPERLINK("https://drive.google.com/file/d/1BqOBjeIOpM2IocZH0tm4Z1NyQXBKdBMb/view?usp=drivesdk", "Abrir_Factura")</f>
        <v>Abrir_Factura</v>
      </c>
      <c r="AD3037" s="9">
        <v>46088.519189814811</v>
      </c>
    </row>
    <row r="3038" spans="1:30" ht="12.5">
      <c r="A3038" s="4">
        <v>46088.504976724536</v>
      </c>
      <c r="B3038" s="5"/>
      <c r="C3038" s="5">
        <v>1140882684</v>
      </c>
      <c r="D3038" s="5" t="s">
        <v>13355</v>
      </c>
      <c r="F3038" s="5"/>
      <c r="H3038" s="5">
        <v>573106105271</v>
      </c>
      <c r="J3038" s="5" t="s">
        <v>13355</v>
      </c>
      <c r="K3038" s="5" t="s">
        <v>12657</v>
      </c>
      <c r="L3038" s="5" t="s">
        <v>12657</v>
      </c>
      <c r="M3038" s="5">
        <v>573106105271</v>
      </c>
      <c r="N3038" s="6">
        <v>46088</v>
      </c>
      <c r="O3038" s="7">
        <v>0</v>
      </c>
      <c r="P3038" s="5">
        <v>1</v>
      </c>
      <c r="Q3038" s="5" t="s">
        <v>42</v>
      </c>
      <c r="R3038" s="5">
        <v>15000</v>
      </c>
      <c r="S3038" s="5">
        <v>0</v>
      </c>
      <c r="T3038" s="5"/>
      <c r="U3038" s="5">
        <v>15000</v>
      </c>
      <c r="V3038" s="5"/>
      <c r="W3038" s="5" t="s">
        <v>36</v>
      </c>
      <c r="X3038" s="5" t="s">
        <v>196</v>
      </c>
      <c r="Z3038" s="5"/>
      <c r="AA3038" s="5" t="s">
        <v>1717</v>
      </c>
      <c r="AB3038" s="5"/>
      <c r="AC3038" s="5" t="str">
        <f>HYPERLINK("", "")</f>
        <v/>
      </c>
      <c r="AD3038" s="9">
        <v>46088.505381944444</v>
      </c>
    </row>
    <row r="3039" spans="1:30" ht="12.5">
      <c r="A3039" s="4">
        <v>46088.508866874996</v>
      </c>
      <c r="B3039" s="5">
        <v>92775</v>
      </c>
      <c r="C3039" s="5">
        <v>1065604356</v>
      </c>
      <c r="D3039" s="5" t="s">
        <v>13357</v>
      </c>
      <c r="F3039" s="5"/>
      <c r="H3039" s="5">
        <v>573024517351</v>
      </c>
      <c r="J3039" s="5" t="s">
        <v>13357</v>
      </c>
      <c r="K3039" s="5" t="s">
        <v>12657</v>
      </c>
      <c r="L3039" s="5" t="s">
        <v>12657</v>
      </c>
      <c r="M3039" s="5">
        <v>573024517351</v>
      </c>
      <c r="N3039" s="6">
        <v>46089</v>
      </c>
      <c r="O3039" s="7">
        <v>0</v>
      </c>
      <c r="P3039" s="5">
        <v>1</v>
      </c>
      <c r="Q3039" s="5" t="s">
        <v>12406</v>
      </c>
      <c r="R3039" s="5">
        <v>90000</v>
      </c>
      <c r="S3039" s="5">
        <v>0</v>
      </c>
      <c r="T3039" s="5"/>
      <c r="U3039" s="5">
        <v>90000</v>
      </c>
      <c r="V3039" s="5" t="s">
        <v>13358</v>
      </c>
      <c r="W3039" s="5" t="s">
        <v>36</v>
      </c>
      <c r="X3039" s="5" t="s">
        <v>196</v>
      </c>
      <c r="Z3039" s="5" t="s">
        <v>13359</v>
      </c>
      <c r="AA3039" s="5" t="s">
        <v>1717</v>
      </c>
      <c r="AB3039" s="5"/>
      <c r="AC3039" s="8" t="str">
        <f>HYPERLINK("https://drive.google.com/file/d/1fyoyjEaH4Kjl1wTQpMJUH0zenQ-X8D7A/view?usp=drivesdk", "Abrir_Factura")</f>
        <v>Abrir_Factura</v>
      </c>
      <c r="AD3039" s="9">
        <v>46088.510925925926</v>
      </c>
    </row>
    <row r="3040" spans="1:30" ht="12.5">
      <c r="A3040" s="4">
        <v>46088.510840937495</v>
      </c>
      <c r="B3040" s="5">
        <v>92788</v>
      </c>
      <c r="C3040" s="5">
        <v>1140865472</v>
      </c>
      <c r="D3040" s="5" t="s">
        <v>13360</v>
      </c>
      <c r="F3040" s="5"/>
      <c r="H3040" s="5">
        <v>573016746741</v>
      </c>
      <c r="J3040" s="5" t="s">
        <v>13361</v>
      </c>
      <c r="K3040" s="5" t="s">
        <v>1272</v>
      </c>
      <c r="L3040" s="5" t="s">
        <v>13362</v>
      </c>
      <c r="M3040" s="5">
        <v>573234155972</v>
      </c>
      <c r="N3040" s="6">
        <v>46088</v>
      </c>
      <c r="O3040" s="7">
        <v>0</v>
      </c>
      <c r="P3040" s="5">
        <v>1</v>
      </c>
      <c r="Q3040" s="5" t="s">
        <v>12484</v>
      </c>
      <c r="R3040" s="5">
        <v>190000</v>
      </c>
      <c r="S3040" s="5">
        <v>0</v>
      </c>
      <c r="T3040" s="5">
        <v>12000</v>
      </c>
      <c r="U3040" s="5">
        <v>202000</v>
      </c>
      <c r="V3040" s="5" t="s">
        <v>13363</v>
      </c>
      <c r="W3040" s="5" t="s">
        <v>36</v>
      </c>
      <c r="X3040" s="5" t="s">
        <v>12646</v>
      </c>
      <c r="Z3040" s="5" t="s">
        <v>13364</v>
      </c>
      <c r="AA3040" s="5" t="s">
        <v>44</v>
      </c>
      <c r="AB3040" s="5"/>
      <c r="AC3040" s="8" t="str">
        <f>HYPERLINK("https://drive.google.com/file/d/1svHyYNf3kGnEaAkZnTvzZnxbE3AyzJpV/view?usp=drivesdk", "Abrir_Factura")</f>
        <v>Abrir_Factura</v>
      </c>
      <c r="AD3040" s="9">
        <v>46088.550625000003</v>
      </c>
    </row>
    <row r="3041" spans="1:30" ht="12.5">
      <c r="A3041" s="4">
        <v>46088.512604398144</v>
      </c>
      <c r="B3041" s="5">
        <v>92780</v>
      </c>
      <c r="C3041" s="5">
        <v>1140886147</v>
      </c>
      <c r="D3041" s="5" t="s">
        <v>13365</v>
      </c>
      <c r="F3041" s="5"/>
      <c r="H3041" s="5">
        <v>34616790085</v>
      </c>
      <c r="J3041" s="5" t="s">
        <v>13366</v>
      </c>
      <c r="K3041" s="5" t="s">
        <v>9925</v>
      </c>
      <c r="L3041" s="5" t="s">
        <v>13367</v>
      </c>
      <c r="M3041" s="5">
        <v>573164032710</v>
      </c>
      <c r="N3041" s="6">
        <v>46088</v>
      </c>
      <c r="O3041" s="7">
        <v>0.60416666666666663</v>
      </c>
      <c r="P3041" s="5">
        <v>1</v>
      </c>
      <c r="Q3041" s="5" t="s">
        <v>12844</v>
      </c>
      <c r="R3041" s="5">
        <v>80000</v>
      </c>
      <c r="S3041" s="5">
        <v>0</v>
      </c>
      <c r="T3041" s="5">
        <v>11000</v>
      </c>
      <c r="U3041" s="5">
        <v>91000</v>
      </c>
      <c r="V3041" s="5" t="s">
        <v>13368</v>
      </c>
      <c r="W3041" s="5" t="s">
        <v>36</v>
      </c>
      <c r="X3041" s="5" t="s">
        <v>12646</v>
      </c>
      <c r="Z3041" s="5" t="s">
        <v>13369</v>
      </c>
      <c r="AA3041" s="5" t="s">
        <v>44</v>
      </c>
      <c r="AB3041" s="5"/>
      <c r="AC3041" s="8" t="str">
        <f>HYPERLINK("https://drive.google.com/file/d/1bBhuLwMpYcSNIf1splhBbnhGzqXZoNhX/view?usp=drivesdk", "Abrir_Factura")</f>
        <v>Abrir_Factura</v>
      </c>
      <c r="AD3041" s="9">
        <v>46088.5237037037</v>
      </c>
    </row>
    <row r="3042" spans="1:30" ht="12.5">
      <c r="A3042" s="4">
        <v>46088.512644259259</v>
      </c>
      <c r="B3042" s="5">
        <v>92779</v>
      </c>
      <c r="C3042" s="5">
        <v>72309922</v>
      </c>
      <c r="D3042" s="5" t="s">
        <v>13370</v>
      </c>
      <c r="F3042" s="5"/>
      <c r="H3042" s="5">
        <v>573145358206</v>
      </c>
      <c r="J3042" s="5" t="s">
        <v>13371</v>
      </c>
      <c r="K3042" s="5" t="s">
        <v>5574</v>
      </c>
      <c r="L3042" s="5" t="s">
        <v>13372</v>
      </c>
      <c r="M3042" s="5">
        <v>573215381382</v>
      </c>
      <c r="N3042" s="6">
        <v>46088</v>
      </c>
      <c r="O3042" s="7">
        <v>0</v>
      </c>
      <c r="P3042" s="5">
        <v>1</v>
      </c>
      <c r="Q3042" s="5" t="s">
        <v>13373</v>
      </c>
      <c r="R3042" s="5">
        <v>189000</v>
      </c>
      <c r="S3042" s="5">
        <v>0</v>
      </c>
      <c r="T3042" s="5">
        <v>10000</v>
      </c>
      <c r="U3042" s="5">
        <v>199000</v>
      </c>
      <c r="V3042" s="5" t="s">
        <v>13374</v>
      </c>
      <c r="W3042" s="5" t="s">
        <v>36</v>
      </c>
      <c r="X3042" s="5" t="s">
        <v>12646</v>
      </c>
      <c r="Z3042" s="5" t="s">
        <v>13375</v>
      </c>
      <c r="AA3042" s="5" t="s">
        <v>44</v>
      </c>
      <c r="AB3042" s="5" t="s">
        <v>13376</v>
      </c>
      <c r="AC3042" s="8" t="str">
        <f>HYPERLINK("https://drive.google.com/file/d/1yAXXEFhFvjWXuWOI-57KZClIiZPKDbAB/view?usp=drivesdk", "Abrir_Factura")</f>
        <v>Abrir_Factura</v>
      </c>
      <c r="AD3042" s="9">
        <v>46088.521412037036</v>
      </c>
    </row>
    <row r="3043" spans="1:30" ht="12.5">
      <c r="A3043" s="4">
        <v>46088.512755358795</v>
      </c>
      <c r="B3043" s="5">
        <v>92836</v>
      </c>
      <c r="C3043" s="5">
        <v>1002212893</v>
      </c>
      <c r="D3043" s="5" t="s">
        <v>13377</v>
      </c>
      <c r="F3043" s="5"/>
      <c r="H3043" s="5">
        <v>344654255225</v>
      </c>
      <c r="J3043" s="5" t="s">
        <v>13378</v>
      </c>
      <c r="K3043" s="5" t="s">
        <v>892</v>
      </c>
      <c r="L3043" s="5" t="s">
        <v>13379</v>
      </c>
      <c r="M3043" s="5">
        <v>573008378521</v>
      </c>
      <c r="N3043" s="6">
        <v>46089</v>
      </c>
      <c r="O3043" s="7">
        <v>0.41666666666666669</v>
      </c>
      <c r="P3043" s="5">
        <v>1</v>
      </c>
      <c r="Q3043" s="5" t="s">
        <v>12924</v>
      </c>
      <c r="R3043" s="5">
        <v>200000</v>
      </c>
      <c r="S3043" s="5">
        <v>0</v>
      </c>
      <c r="T3043" s="5">
        <v>10000</v>
      </c>
      <c r="U3043" s="5">
        <v>210000</v>
      </c>
      <c r="V3043" s="5" t="s">
        <v>13380</v>
      </c>
      <c r="W3043" s="5" t="s">
        <v>36</v>
      </c>
      <c r="X3043" s="5" t="s">
        <v>12646</v>
      </c>
      <c r="Z3043" s="5" t="s">
        <v>13381</v>
      </c>
      <c r="AA3043" s="5" t="s">
        <v>44</v>
      </c>
      <c r="AB3043" s="5" t="s">
        <v>13382</v>
      </c>
      <c r="AC3043" s="8" t="str">
        <f>HYPERLINK("https://drive.google.com/file/d/1CRoL2VpE5QF752MF-mBcNct4L3I165Ca/view?usp=drivesdk", "Abrir_Factura")</f>
        <v>Abrir_Factura</v>
      </c>
      <c r="AD3043" s="9">
        <v>46088.692743055559</v>
      </c>
    </row>
    <row r="3044" spans="1:30" ht="12.5">
      <c r="A3044" s="4">
        <v>46088.514808622684</v>
      </c>
      <c r="B3044" s="5">
        <v>92831</v>
      </c>
      <c r="C3044" s="5">
        <v>1140864819</v>
      </c>
      <c r="D3044" s="5" t="s">
        <v>13383</v>
      </c>
      <c r="F3044" s="5"/>
      <c r="H3044" s="5">
        <v>573108339033</v>
      </c>
      <c r="J3044" s="5" t="s">
        <v>13384</v>
      </c>
      <c r="K3044" s="5" t="s">
        <v>249</v>
      </c>
      <c r="L3044" s="5" t="s">
        <v>13385</v>
      </c>
      <c r="M3044" s="5">
        <v>573108339033</v>
      </c>
      <c r="N3044" s="6">
        <v>46089</v>
      </c>
      <c r="O3044" s="7">
        <v>0.45833333333333331</v>
      </c>
      <c r="P3044" s="5">
        <v>1</v>
      </c>
      <c r="Q3044" s="5" t="s">
        <v>12406</v>
      </c>
      <c r="R3044" s="5">
        <v>90000</v>
      </c>
      <c r="S3044" s="5">
        <v>0</v>
      </c>
      <c r="T3044" s="5">
        <v>10000</v>
      </c>
      <c r="U3044" s="5">
        <v>100000</v>
      </c>
      <c r="V3044" s="5" t="s">
        <v>13386</v>
      </c>
      <c r="W3044" s="5" t="s">
        <v>36</v>
      </c>
      <c r="X3044" s="5" t="s">
        <v>12646</v>
      </c>
      <c r="Z3044" s="5" t="s">
        <v>13387</v>
      </c>
      <c r="AA3044" s="5" t="s">
        <v>44</v>
      </c>
      <c r="AB3044" s="5"/>
      <c r="AC3044" s="8" t="str">
        <f>HYPERLINK("https://drive.google.com/file/d/1BAiTXKYmjk9Z0ZS-IFfgQn4-gUgIaGeH/view?usp=drivesdk", "Abrir_Factura")</f>
        <v>Abrir_Factura</v>
      </c>
      <c r="AD3044" s="9">
        <v>46088.677824074075</v>
      </c>
    </row>
    <row r="3045" spans="1:30" ht="12.5">
      <c r="A3045" s="4">
        <v>46088.52236609954</v>
      </c>
      <c r="B3045" s="5">
        <v>92783</v>
      </c>
      <c r="C3045" s="5">
        <v>1041694819</v>
      </c>
      <c r="D3045" s="5" t="s">
        <v>10213</v>
      </c>
      <c r="F3045" s="5"/>
      <c r="H3045" s="5">
        <v>573187306563</v>
      </c>
      <c r="J3045" s="5" t="s">
        <v>13388</v>
      </c>
      <c r="K3045" s="5" t="s">
        <v>161</v>
      </c>
      <c r="L3045" s="5" t="s">
        <v>13389</v>
      </c>
      <c r="M3045" s="5">
        <v>573106865424</v>
      </c>
      <c r="N3045" s="6">
        <v>46089</v>
      </c>
      <c r="O3045" s="7">
        <v>0.33333333333333331</v>
      </c>
      <c r="P3045" s="5">
        <v>1</v>
      </c>
      <c r="Q3045" s="5" t="s">
        <v>13390</v>
      </c>
      <c r="R3045" s="5">
        <v>210000</v>
      </c>
      <c r="S3045" s="5">
        <v>0</v>
      </c>
      <c r="T3045" s="5">
        <v>8000</v>
      </c>
      <c r="U3045" s="5">
        <v>218000</v>
      </c>
      <c r="V3045" s="5" t="s">
        <v>12605</v>
      </c>
      <c r="W3045" s="5" t="s">
        <v>36</v>
      </c>
      <c r="X3045" s="5" t="s">
        <v>12646</v>
      </c>
      <c r="Z3045" s="5" t="s">
        <v>13391</v>
      </c>
      <c r="AA3045" s="5" t="s">
        <v>44</v>
      </c>
      <c r="AB3045" s="5" t="s">
        <v>9771</v>
      </c>
      <c r="AC3045" s="8" t="str">
        <f>HYPERLINK("https://drive.google.com/file/d/1A4m1HAJSOMVb4MPRynIGwvgR7xNQD3FH/view?usp=drivesdk", "Abrir_Factura")</f>
        <v>Abrir_Factura</v>
      </c>
      <c r="AD3045" s="9">
        <v>46088.533680555556</v>
      </c>
    </row>
    <row r="3046" spans="1:30" ht="12.5">
      <c r="A3046" s="4">
        <v>46088.524200324071</v>
      </c>
      <c r="B3046" s="5">
        <v>92787</v>
      </c>
      <c r="C3046" s="5">
        <v>1047034883</v>
      </c>
      <c r="D3046" s="5" t="s">
        <v>13392</v>
      </c>
      <c r="F3046" s="5"/>
      <c r="H3046" s="5">
        <v>573144908649</v>
      </c>
      <c r="J3046" s="5" t="s">
        <v>13393</v>
      </c>
      <c r="K3046" s="5" t="s">
        <v>13394</v>
      </c>
      <c r="L3046" s="5" t="s">
        <v>13395</v>
      </c>
      <c r="M3046" s="5">
        <v>573213704751</v>
      </c>
      <c r="N3046" s="6">
        <v>46089</v>
      </c>
      <c r="O3046" s="7">
        <v>0</v>
      </c>
      <c r="P3046" s="5">
        <v>1</v>
      </c>
      <c r="Q3046" s="5" t="s">
        <v>12651</v>
      </c>
      <c r="R3046" s="5">
        <v>360000</v>
      </c>
      <c r="S3046" s="5">
        <v>0</v>
      </c>
      <c r="T3046" s="5">
        <v>30000</v>
      </c>
      <c r="U3046" s="5">
        <v>390000</v>
      </c>
      <c r="V3046" s="5" t="s">
        <v>13396</v>
      </c>
      <c r="W3046" s="5" t="s">
        <v>36</v>
      </c>
      <c r="X3046" s="5" t="s">
        <v>12646</v>
      </c>
      <c r="Z3046" s="5" t="s">
        <v>13397</v>
      </c>
      <c r="AA3046" s="5" t="s">
        <v>44</v>
      </c>
      <c r="AB3046" s="5"/>
      <c r="AC3046" s="8" t="str">
        <f>HYPERLINK("https://drive.google.com/file/d/1q2X4JHos9k60CxmpMTNipfoS3jo-hfxt/view?usp=drivesdk", "Abrir_Factura")</f>
        <v>Abrir_Factura</v>
      </c>
      <c r="AD3046" s="9">
        <v>46088.547627314816</v>
      </c>
    </row>
    <row r="3047" spans="1:30" ht="12.5">
      <c r="A3047" s="4">
        <v>46088.526207662042</v>
      </c>
      <c r="B3047" s="5">
        <v>92781</v>
      </c>
      <c r="C3047" s="5">
        <v>8485573</v>
      </c>
      <c r="D3047" s="5" t="s">
        <v>13398</v>
      </c>
      <c r="F3047" s="5"/>
      <c r="H3047" s="5">
        <v>573002050746</v>
      </c>
      <c r="J3047" s="5" t="s">
        <v>13399</v>
      </c>
      <c r="K3047" s="5" t="s">
        <v>12657</v>
      </c>
      <c r="L3047" s="5" t="s">
        <v>12657</v>
      </c>
      <c r="M3047" s="5">
        <v>573002050746</v>
      </c>
      <c r="N3047" s="6">
        <v>46088</v>
      </c>
      <c r="O3047" s="7">
        <v>0</v>
      </c>
      <c r="P3047" s="5">
        <v>1</v>
      </c>
      <c r="Q3047" s="5" t="s">
        <v>12406</v>
      </c>
      <c r="R3047" s="5">
        <v>90000</v>
      </c>
      <c r="S3047" s="5">
        <v>0</v>
      </c>
      <c r="T3047" s="5"/>
      <c r="U3047" s="5">
        <v>90000</v>
      </c>
      <c r="V3047" s="5"/>
      <c r="W3047" s="5" t="s">
        <v>36</v>
      </c>
      <c r="X3047" s="5" t="s">
        <v>37</v>
      </c>
      <c r="Z3047" s="5"/>
      <c r="AA3047" s="5" t="s">
        <v>37</v>
      </c>
      <c r="AB3047" s="5">
        <v>2435949101</v>
      </c>
      <c r="AC3047" s="8" t="str">
        <f>HYPERLINK("https://drive.google.com/file/d/1VIwAqRNISHLTHygUUUJitCJ58T2GkZco/view?usp=drivesdk", "Abrir_Factura")</f>
        <v>Abrir_Factura</v>
      </c>
      <c r="AD3047" s="9">
        <v>46088.527488425927</v>
      </c>
    </row>
    <row r="3048" spans="1:30" ht="12.5">
      <c r="A3048" s="4">
        <v>46088.526351666667</v>
      </c>
      <c r="B3048" s="5">
        <v>92782</v>
      </c>
      <c r="C3048" s="5">
        <v>1042430417</v>
      </c>
      <c r="D3048" s="5" t="s">
        <v>13400</v>
      </c>
      <c r="F3048" s="5"/>
      <c r="H3048" s="5">
        <v>573044617821</v>
      </c>
      <c r="J3048" s="5" t="s">
        <v>13401</v>
      </c>
      <c r="K3048" s="5" t="s">
        <v>9925</v>
      </c>
      <c r="L3048" s="5" t="s">
        <v>13402</v>
      </c>
      <c r="M3048" s="5">
        <v>573044617821</v>
      </c>
      <c r="N3048" s="6">
        <v>46088</v>
      </c>
      <c r="O3048" s="7">
        <v>8.3333333333333329E-2</v>
      </c>
      <c r="P3048" s="5">
        <v>1</v>
      </c>
      <c r="Q3048" s="5" t="s">
        <v>12423</v>
      </c>
      <c r="R3048" s="5">
        <v>80000</v>
      </c>
      <c r="S3048" s="5">
        <v>0</v>
      </c>
      <c r="T3048" s="5">
        <v>11000</v>
      </c>
      <c r="U3048" s="5">
        <v>91000</v>
      </c>
      <c r="V3048" s="5" t="s">
        <v>13403</v>
      </c>
      <c r="W3048" s="5" t="s">
        <v>36</v>
      </c>
      <c r="X3048" s="5" t="s">
        <v>12646</v>
      </c>
      <c r="Z3048" s="5" t="s">
        <v>12089</v>
      </c>
      <c r="AA3048" s="5" t="s">
        <v>44</v>
      </c>
      <c r="AB3048" s="5" t="s">
        <v>9771</v>
      </c>
      <c r="AC3048" s="8" t="str">
        <f>HYPERLINK("https://drive.google.com/file/d/1SsVEZFkhCO6jzvWC4wRu_nHvgps0aHyC/view?usp=drivesdk", "Abrir_Factura")</f>
        <v>Abrir_Factura</v>
      </c>
      <c r="AD3048" s="9">
        <v>46088.532916666663</v>
      </c>
    </row>
    <row r="3049" spans="1:30" ht="12.5">
      <c r="A3049" s="4">
        <v>46088.531833472225</v>
      </c>
      <c r="B3049" s="5">
        <v>92786</v>
      </c>
      <c r="C3049" s="5">
        <v>1143155076</v>
      </c>
      <c r="D3049" s="5" t="s">
        <v>13404</v>
      </c>
      <c r="F3049" s="5"/>
      <c r="H3049" s="5">
        <v>573160525021</v>
      </c>
      <c r="J3049" s="5" t="s">
        <v>13405</v>
      </c>
      <c r="K3049" s="5" t="s">
        <v>265</v>
      </c>
      <c r="L3049" s="5" t="s">
        <v>13406</v>
      </c>
      <c r="M3049" s="5">
        <v>573135492688</v>
      </c>
      <c r="N3049" s="6">
        <v>46089</v>
      </c>
      <c r="O3049" s="7">
        <v>0.375</v>
      </c>
      <c r="P3049" s="5">
        <v>1</v>
      </c>
      <c r="Q3049" s="5" t="s">
        <v>13407</v>
      </c>
      <c r="R3049" s="5">
        <v>450000</v>
      </c>
      <c r="S3049" s="5">
        <v>0</v>
      </c>
      <c r="T3049" s="5">
        <v>17000</v>
      </c>
      <c r="U3049" s="5">
        <v>467000</v>
      </c>
      <c r="V3049" s="5" t="s">
        <v>13408</v>
      </c>
      <c r="W3049" s="5" t="s">
        <v>36</v>
      </c>
      <c r="X3049" s="5" t="s">
        <v>12646</v>
      </c>
      <c r="Z3049" s="5" t="s">
        <v>13409</v>
      </c>
      <c r="AA3049" s="5" t="s">
        <v>44</v>
      </c>
      <c r="AB3049" s="5" t="s">
        <v>9771</v>
      </c>
      <c r="AC3049" s="8" t="str">
        <f>HYPERLINK("https://drive.google.com/file/d/1pTeNZcUgnVoCkmBVcrUHpFtZfiqZJOIH/view?usp=drivesdk", "Abrir_Factura")</f>
        <v>Abrir_Factura</v>
      </c>
      <c r="AD3049" s="9">
        <v>46088.541863425926</v>
      </c>
    </row>
    <row r="3050" spans="1:30" ht="12.5">
      <c r="A3050" s="4">
        <v>46088.53324856481</v>
      </c>
      <c r="B3050" s="5">
        <v>92784</v>
      </c>
      <c r="C3050" s="5">
        <v>1140880440</v>
      </c>
      <c r="D3050" s="5" t="s">
        <v>13410</v>
      </c>
      <c r="F3050" s="5"/>
      <c r="H3050" s="5">
        <v>573003145207</v>
      </c>
      <c r="J3050" s="5" t="s">
        <v>13410</v>
      </c>
      <c r="K3050" s="5" t="s">
        <v>12657</v>
      </c>
      <c r="L3050" s="5" t="s">
        <v>12657</v>
      </c>
      <c r="M3050" s="5">
        <v>573003145207</v>
      </c>
      <c r="N3050" s="6">
        <v>46088</v>
      </c>
      <c r="O3050" s="7">
        <v>0</v>
      </c>
      <c r="P3050" s="5">
        <v>1</v>
      </c>
      <c r="Q3050" s="5" t="s">
        <v>12496</v>
      </c>
      <c r="R3050" s="5">
        <v>120000</v>
      </c>
      <c r="S3050" s="5">
        <v>0</v>
      </c>
      <c r="T3050" s="5"/>
      <c r="U3050" s="5">
        <v>120000</v>
      </c>
      <c r="V3050" s="5"/>
      <c r="W3050" s="5" t="s">
        <v>36</v>
      </c>
      <c r="X3050" s="5" t="s">
        <v>1705</v>
      </c>
      <c r="Z3050" s="5"/>
      <c r="AA3050" s="5" t="s">
        <v>1717</v>
      </c>
      <c r="AB3050" s="5"/>
      <c r="AC3050" s="8" t="str">
        <f>HYPERLINK("https://drive.google.com/file/d/1s51FP1pYMglGjw2uZ1UKf1vFa-lkXJII/view?usp=drivesdk", "Abrir_Factura")</f>
        <v>Abrir_Factura</v>
      </c>
      <c r="AD3050" s="9">
        <v>46088.533865740741</v>
      </c>
    </row>
    <row r="3051" spans="1:30" ht="12.5">
      <c r="A3051" s="4">
        <v>46088.536055462959</v>
      </c>
      <c r="B3051" s="5">
        <v>92803</v>
      </c>
      <c r="C3051" s="5">
        <v>84450369</v>
      </c>
      <c r="D3051" s="5" t="s">
        <v>13411</v>
      </c>
      <c r="F3051" s="5"/>
      <c r="H3051" s="5">
        <v>573004501900</v>
      </c>
      <c r="J3051" s="5" t="s">
        <v>13412</v>
      </c>
      <c r="K3051" s="5" t="s">
        <v>307</v>
      </c>
      <c r="L3051" s="5" t="s">
        <v>13413</v>
      </c>
      <c r="M3051" s="5">
        <v>573012965404</v>
      </c>
      <c r="N3051" s="6">
        <v>46089</v>
      </c>
      <c r="O3051" s="7">
        <v>0</v>
      </c>
      <c r="P3051" s="5">
        <v>1</v>
      </c>
      <c r="Q3051" s="5" t="s">
        <v>12522</v>
      </c>
      <c r="R3051" s="5">
        <v>99000</v>
      </c>
      <c r="S3051" s="5">
        <v>0</v>
      </c>
      <c r="T3051" s="5">
        <v>10000</v>
      </c>
      <c r="U3051" s="5">
        <v>109000</v>
      </c>
      <c r="V3051" s="5" t="s">
        <v>13414</v>
      </c>
      <c r="W3051" s="5" t="s">
        <v>36</v>
      </c>
      <c r="X3051" s="5" t="s">
        <v>12646</v>
      </c>
      <c r="Z3051" s="5" t="s">
        <v>13415</v>
      </c>
      <c r="AA3051" s="5" t="s">
        <v>44</v>
      </c>
      <c r="AB3051" s="5"/>
      <c r="AC3051" s="8" t="str">
        <f>HYPERLINK("https://drive.google.com/file/d/1JTRY73L8MQt02iJYT4NKGxVEi2O29ZD8/view?usp=drivesdk", "Abrir_Factura")</f>
        <v>Abrir_Factura</v>
      </c>
      <c r="AD3051" s="9">
        <v>46088.60119212963</v>
      </c>
    </row>
    <row r="3052" spans="1:30" ht="12.5">
      <c r="A3052" s="4">
        <v>46088.536099710647</v>
      </c>
      <c r="B3052" s="5">
        <v>92785</v>
      </c>
      <c r="C3052" s="5">
        <v>1002210872</v>
      </c>
      <c r="D3052" s="5" t="s">
        <v>2940</v>
      </c>
      <c r="F3052" s="5"/>
      <c r="H3052" s="5">
        <v>573158063644</v>
      </c>
      <c r="J3052" s="5" t="s">
        <v>2940</v>
      </c>
      <c r="K3052" s="5" t="s">
        <v>12657</v>
      </c>
      <c r="L3052" s="5" t="s">
        <v>12657</v>
      </c>
      <c r="M3052" s="5">
        <v>573158063644</v>
      </c>
      <c r="N3052" s="6">
        <v>46088</v>
      </c>
      <c r="O3052" s="7">
        <v>0</v>
      </c>
      <c r="P3052" s="5">
        <v>1</v>
      </c>
      <c r="Q3052" s="5" t="s">
        <v>42</v>
      </c>
      <c r="R3052" s="5">
        <v>60000</v>
      </c>
      <c r="S3052" s="5">
        <v>0</v>
      </c>
      <c r="T3052" s="5"/>
      <c r="U3052" s="5">
        <v>60000</v>
      </c>
      <c r="V3052" s="5"/>
      <c r="W3052" s="5" t="s">
        <v>36</v>
      </c>
      <c r="X3052" s="5" t="s">
        <v>1705</v>
      </c>
      <c r="Z3052" s="5"/>
      <c r="AA3052" s="5" t="s">
        <v>1717</v>
      </c>
      <c r="AB3052" s="5"/>
      <c r="AC3052" s="8" t="str">
        <f>HYPERLINK("https://drive.google.com/file/d/11FyIUCPiO6bmkkgreCeM8zwDbYQLFJXI/view?usp=drivesdk", "Abrir_Factura")</f>
        <v>Abrir_Factura</v>
      </c>
      <c r="AD3052" s="9">
        <v>46088.536874999998</v>
      </c>
    </row>
    <row r="3053" spans="1:30" ht="12.5">
      <c r="A3053" s="4">
        <v>46088.539934814813</v>
      </c>
      <c r="B3053" s="5">
        <v>92808</v>
      </c>
      <c r="C3053" s="5">
        <v>900433172</v>
      </c>
      <c r="D3053" s="5" t="s">
        <v>13416</v>
      </c>
      <c r="F3053" s="5"/>
      <c r="H3053" s="5">
        <v>573215472589</v>
      </c>
      <c r="J3053" s="5" t="s">
        <v>13417</v>
      </c>
      <c r="K3053" s="5" t="s">
        <v>2090</v>
      </c>
      <c r="L3053" s="5" t="s">
        <v>13418</v>
      </c>
      <c r="M3053" s="5">
        <v>573145630549</v>
      </c>
      <c r="N3053" s="6">
        <v>46089</v>
      </c>
      <c r="O3053" s="7">
        <v>0.33333333333333331</v>
      </c>
      <c r="P3053" s="5">
        <v>1</v>
      </c>
      <c r="Q3053" s="5" t="s">
        <v>13419</v>
      </c>
      <c r="R3053" s="5">
        <v>940000</v>
      </c>
      <c r="S3053" s="5">
        <v>178600</v>
      </c>
      <c r="T3053" s="5">
        <v>10000</v>
      </c>
      <c r="U3053" s="5">
        <v>1128600</v>
      </c>
      <c r="V3053" s="5"/>
      <c r="W3053" s="5" t="s">
        <v>36</v>
      </c>
      <c r="X3053" s="5" t="s">
        <v>67</v>
      </c>
      <c r="Z3053" s="5" t="s">
        <v>13420</v>
      </c>
      <c r="AA3053" s="5" t="s">
        <v>44</v>
      </c>
      <c r="AB3053" s="5" t="s">
        <v>13421</v>
      </c>
      <c r="AC3053" s="8" t="str">
        <f>HYPERLINK("https://drive.google.com/file/d/1kEghIc20S5zybBoHhtT_rrYGtFrWthre/view?usp=drivesdk", "Abrir_Factura")</f>
        <v>Abrir_Factura</v>
      </c>
      <c r="AD3053" s="9">
        <v>46088.621666666666</v>
      </c>
    </row>
    <row r="3054" spans="1:30" ht="12.5">
      <c r="A3054" s="4">
        <v>46088.541527986112</v>
      </c>
      <c r="B3054" s="5">
        <v>92791</v>
      </c>
      <c r="C3054" s="5">
        <v>1234093390</v>
      </c>
      <c r="D3054" s="5" t="s">
        <v>8636</v>
      </c>
      <c r="F3054" s="5"/>
      <c r="H3054" s="5">
        <v>573008641212</v>
      </c>
      <c r="J3054" s="5" t="s">
        <v>13422</v>
      </c>
      <c r="K3054" s="5" t="s">
        <v>2509</v>
      </c>
      <c r="L3054" s="5" t="s">
        <v>13423</v>
      </c>
      <c r="M3054" s="5">
        <v>573156108580</v>
      </c>
      <c r="N3054" s="6">
        <v>46089</v>
      </c>
      <c r="O3054" s="7">
        <v>0.375</v>
      </c>
      <c r="P3054" s="5">
        <v>1</v>
      </c>
      <c r="Q3054" s="5" t="s">
        <v>13424</v>
      </c>
      <c r="R3054" s="5">
        <v>440000</v>
      </c>
      <c r="S3054" s="5">
        <v>0</v>
      </c>
      <c r="T3054" s="5">
        <v>10000</v>
      </c>
      <c r="U3054" s="5">
        <v>450000</v>
      </c>
      <c r="V3054" s="5" t="s">
        <v>13425</v>
      </c>
      <c r="W3054" s="5" t="s">
        <v>36</v>
      </c>
      <c r="X3054" s="5" t="s">
        <v>12646</v>
      </c>
      <c r="Z3054" s="5" t="s">
        <v>8636</v>
      </c>
      <c r="AA3054" s="5" t="s">
        <v>44</v>
      </c>
      <c r="AB3054" s="5" t="s">
        <v>9771</v>
      </c>
      <c r="AC3054" s="8" t="str">
        <f>HYPERLINK("https://drive.google.com/file/d/1WO6flT4VmpW-SMo4F2PvfaG2d4zJ4SeZ/view?usp=drivesdk", "Abrir_Factura")</f>
        <v>Abrir_Factura</v>
      </c>
      <c r="AD3054" s="9">
        <v>46088.560497685183</v>
      </c>
    </row>
    <row r="3055" spans="1:30" ht="12.5">
      <c r="A3055" s="4">
        <v>46088.546393171295</v>
      </c>
      <c r="B3055" s="5">
        <v>92792</v>
      </c>
      <c r="C3055" s="5">
        <v>1234093390</v>
      </c>
      <c r="D3055" s="5" t="s">
        <v>8636</v>
      </c>
      <c r="F3055" s="5"/>
      <c r="H3055" s="5">
        <v>573008641212</v>
      </c>
      <c r="J3055" s="5" t="s">
        <v>13426</v>
      </c>
      <c r="K3055" s="5" t="s">
        <v>307</v>
      </c>
      <c r="L3055" s="5" t="s">
        <v>13427</v>
      </c>
      <c r="M3055" s="5">
        <v>573013643949</v>
      </c>
      <c r="N3055" s="6">
        <v>46089</v>
      </c>
      <c r="O3055" s="7">
        <v>0.375</v>
      </c>
      <c r="P3055" s="5">
        <v>1</v>
      </c>
      <c r="Q3055" s="5" t="s">
        <v>13428</v>
      </c>
      <c r="R3055" s="5">
        <v>399000</v>
      </c>
      <c r="S3055" s="5">
        <v>0</v>
      </c>
      <c r="T3055" s="5">
        <v>10000</v>
      </c>
      <c r="U3055" s="5">
        <v>409000</v>
      </c>
      <c r="V3055" s="5" t="s">
        <v>13429</v>
      </c>
      <c r="W3055" s="5" t="s">
        <v>36</v>
      </c>
      <c r="X3055" s="5" t="s">
        <v>12646</v>
      </c>
      <c r="Z3055" s="5" t="s">
        <v>13430</v>
      </c>
      <c r="AA3055" s="5" t="s">
        <v>44</v>
      </c>
      <c r="AB3055" s="5" t="s">
        <v>13431</v>
      </c>
      <c r="AC3055" s="8" t="str">
        <f>HYPERLINK("https://drive.google.com/file/d/1eH9JoyByu9ZhdoXfV09zRmyjsWVGGPJX/view?usp=drivesdk", "Abrir_Factura")</f>
        <v>Abrir_Factura</v>
      </c>
      <c r="AD3055" s="9">
        <v>46088.561932870369</v>
      </c>
    </row>
    <row r="3056" spans="1:30" ht="12.5">
      <c r="A3056" s="4">
        <v>46088.549068460648</v>
      </c>
      <c r="B3056" s="5">
        <v>92793</v>
      </c>
      <c r="C3056" s="5">
        <v>1234093390</v>
      </c>
      <c r="D3056" s="5" t="s">
        <v>8636</v>
      </c>
      <c r="F3056" s="5"/>
      <c r="H3056" s="5">
        <v>573008641212</v>
      </c>
      <c r="J3056" s="5" t="s">
        <v>13432</v>
      </c>
      <c r="K3056" s="5" t="s">
        <v>193</v>
      </c>
      <c r="L3056" s="5" t="s">
        <v>13433</v>
      </c>
      <c r="M3056" s="5">
        <v>573008641212</v>
      </c>
      <c r="N3056" s="6">
        <v>46089</v>
      </c>
      <c r="O3056" s="7">
        <v>0.375</v>
      </c>
      <c r="P3056" s="5">
        <v>1</v>
      </c>
      <c r="Q3056" s="5" t="s">
        <v>12701</v>
      </c>
      <c r="R3056" s="5">
        <v>150000</v>
      </c>
      <c r="S3056" s="5">
        <v>0</v>
      </c>
      <c r="T3056" s="5">
        <v>15000</v>
      </c>
      <c r="U3056" s="5">
        <v>165000</v>
      </c>
      <c r="V3056" s="5" t="s">
        <v>13434</v>
      </c>
      <c r="W3056" s="5" t="s">
        <v>36</v>
      </c>
      <c r="X3056" s="5" t="s">
        <v>12646</v>
      </c>
      <c r="Z3056" s="5" t="s">
        <v>13435</v>
      </c>
      <c r="AA3056" s="5" t="s">
        <v>44</v>
      </c>
      <c r="AB3056" s="5" t="s">
        <v>9771</v>
      </c>
      <c r="AC3056" s="8" t="str">
        <f>HYPERLINK("https://drive.google.com/file/d/1XZzyB-9eunJA1DX8Q5jYvZcVyuj-x5Yc/view?usp=drivesdk", "Abrir_Factura")</f>
        <v>Abrir_Factura</v>
      </c>
      <c r="AD3056" s="9">
        <v>46088.562881944446</v>
      </c>
    </row>
    <row r="3057" spans="1:30" ht="12.5">
      <c r="A3057" s="4">
        <v>46088.551886018518</v>
      </c>
      <c r="B3057" s="5">
        <v>92796</v>
      </c>
      <c r="C3057" s="5">
        <v>11431137117</v>
      </c>
      <c r="D3057" s="5" t="s">
        <v>13436</v>
      </c>
      <c r="F3057" s="5"/>
      <c r="H3057" s="5">
        <v>573008035220</v>
      </c>
      <c r="J3057" s="5" t="s">
        <v>13437</v>
      </c>
      <c r="K3057" s="5" t="s">
        <v>63</v>
      </c>
      <c r="L3057" s="5" t="s">
        <v>13438</v>
      </c>
      <c r="M3057" s="5">
        <v>573188530000</v>
      </c>
      <c r="N3057" s="6">
        <v>46089</v>
      </c>
      <c r="O3057" s="7">
        <v>0</v>
      </c>
      <c r="P3057" s="5">
        <v>1</v>
      </c>
      <c r="Q3057" s="5" t="s">
        <v>12496</v>
      </c>
      <c r="R3057" s="5">
        <v>120000</v>
      </c>
      <c r="S3057" s="5">
        <v>0</v>
      </c>
      <c r="T3057" s="5">
        <v>17000</v>
      </c>
      <c r="U3057" s="5">
        <v>137000</v>
      </c>
      <c r="V3057" s="5" t="s">
        <v>13439</v>
      </c>
      <c r="W3057" s="5" t="s">
        <v>36</v>
      </c>
      <c r="X3057" s="5" t="s">
        <v>12646</v>
      </c>
      <c r="Z3057" s="5" t="s">
        <v>2080</v>
      </c>
      <c r="AA3057" s="5" t="s">
        <v>44</v>
      </c>
      <c r="AB3057" s="5"/>
      <c r="AC3057" s="8" t="str">
        <f>HYPERLINK("https://drive.google.com/file/d/1VhtgpyeLFcksQg0ZbzsqS34kqYFG5zTB/view?usp=drivesdk", "Abrir_Factura")</f>
        <v>Abrir_Factura</v>
      </c>
      <c r="AD3057" s="9">
        <v>46088.569884259261</v>
      </c>
    </row>
    <row r="3058" spans="1:30" ht="12.5">
      <c r="A3058" s="4">
        <v>46088.558220844905</v>
      </c>
      <c r="B3058" s="5">
        <v>92790</v>
      </c>
      <c r="C3058" s="5">
        <v>88211006</v>
      </c>
      <c r="D3058" s="5" t="s">
        <v>13440</v>
      </c>
      <c r="F3058" s="5"/>
      <c r="H3058" s="5">
        <v>573155605686</v>
      </c>
      <c r="J3058" s="5" t="s">
        <v>13440</v>
      </c>
      <c r="K3058" s="5" t="s">
        <v>12657</v>
      </c>
      <c r="L3058" s="5" t="s">
        <v>12657</v>
      </c>
      <c r="M3058" s="5">
        <v>573155605686</v>
      </c>
      <c r="N3058" s="6">
        <v>46088</v>
      </c>
      <c r="O3058" s="7">
        <v>0.75</v>
      </c>
      <c r="P3058" s="5">
        <v>1</v>
      </c>
      <c r="Q3058" s="5" t="s">
        <v>42</v>
      </c>
      <c r="R3058" s="5">
        <v>70000</v>
      </c>
      <c r="S3058" s="5">
        <v>0</v>
      </c>
      <c r="T3058" s="5"/>
      <c r="U3058" s="5">
        <v>70000</v>
      </c>
      <c r="V3058" s="5" t="s">
        <v>1499</v>
      </c>
      <c r="W3058" s="5" t="s">
        <v>36</v>
      </c>
      <c r="X3058" s="5" t="s">
        <v>1705</v>
      </c>
      <c r="Z3058" s="5"/>
      <c r="AA3058" s="5" t="s">
        <v>1717</v>
      </c>
      <c r="AB3058" s="5"/>
      <c r="AC3058" s="8" t="str">
        <f>HYPERLINK("https://drive.google.com/file/d/1K_x1u4CXwF_i9IxAy5Tc4Zk3pyl8F9kR/view?usp=drivesdk", "Abrir_Factura")</f>
        <v>Abrir_Factura</v>
      </c>
      <c r="AD3058" s="9">
        <v>46088.559467592589</v>
      </c>
    </row>
    <row r="3059" spans="1:30" ht="12.5">
      <c r="A3059" s="4">
        <v>46088.561918287036</v>
      </c>
      <c r="B3059" s="5">
        <v>92794</v>
      </c>
      <c r="C3059" s="5">
        <v>1143163410</v>
      </c>
      <c r="D3059" s="5" t="s">
        <v>13441</v>
      </c>
      <c r="F3059" s="5"/>
      <c r="H3059" s="5">
        <v>573012967965</v>
      </c>
      <c r="J3059" s="5" t="s">
        <v>13441</v>
      </c>
      <c r="K3059" s="5" t="s">
        <v>12657</v>
      </c>
      <c r="L3059" s="5" t="s">
        <v>12657</v>
      </c>
      <c r="M3059" s="5">
        <v>573012967965</v>
      </c>
      <c r="N3059" s="6">
        <v>46088</v>
      </c>
      <c r="O3059" s="7">
        <v>0</v>
      </c>
      <c r="P3059" s="5">
        <v>1</v>
      </c>
      <c r="Q3059" s="5" t="s">
        <v>13138</v>
      </c>
      <c r="R3059" s="5">
        <v>200000</v>
      </c>
      <c r="S3059" s="5">
        <v>0</v>
      </c>
      <c r="T3059" s="5"/>
      <c r="U3059" s="5">
        <v>200000</v>
      </c>
      <c r="V3059" s="5" t="s">
        <v>13442</v>
      </c>
      <c r="W3059" s="5" t="s">
        <v>36</v>
      </c>
      <c r="X3059" s="5" t="s">
        <v>12646</v>
      </c>
      <c r="Z3059" s="5" t="s">
        <v>13443</v>
      </c>
      <c r="AA3059" s="5" t="s">
        <v>44</v>
      </c>
      <c r="AB3059" s="5"/>
      <c r="AC3059" s="8" t="str">
        <f>HYPERLINK("https://drive.google.com/file/d/1OgvhIxR2jdEHEJGR0o4JiOQ2UpZq_bzy/view?usp=drivesdk", "Abrir_Factura")</f>
        <v>Abrir_Factura</v>
      </c>
      <c r="AD3059" s="9">
        <v>46088.566006944442</v>
      </c>
    </row>
    <row r="3060" spans="1:30" ht="12.5">
      <c r="A3060" s="4">
        <v>46088.563440115744</v>
      </c>
      <c r="B3060" s="5">
        <v>92795</v>
      </c>
      <c r="C3060" s="5">
        <v>1001913218</v>
      </c>
      <c r="D3060" s="5" t="s">
        <v>13444</v>
      </c>
      <c r="F3060" s="5"/>
      <c r="H3060" s="5">
        <v>573013550351</v>
      </c>
      <c r="J3060" s="5" t="s">
        <v>13445</v>
      </c>
      <c r="K3060" s="5" t="s">
        <v>11267</v>
      </c>
      <c r="L3060" s="5" t="s">
        <v>13446</v>
      </c>
      <c r="M3060" s="5">
        <v>573006293387</v>
      </c>
      <c r="N3060" s="6">
        <v>46089</v>
      </c>
      <c r="O3060" s="7">
        <v>0.375</v>
      </c>
      <c r="P3060" s="5">
        <v>1</v>
      </c>
      <c r="Q3060" s="5" t="s">
        <v>13447</v>
      </c>
      <c r="R3060" s="5">
        <v>150000</v>
      </c>
      <c r="S3060" s="5">
        <v>0</v>
      </c>
      <c r="T3060" s="5">
        <v>35000</v>
      </c>
      <c r="U3060" s="5">
        <v>185000</v>
      </c>
      <c r="V3060" s="5" t="s">
        <v>13448</v>
      </c>
      <c r="W3060" s="5" t="s">
        <v>36</v>
      </c>
      <c r="X3060" s="5" t="s">
        <v>12646</v>
      </c>
      <c r="Z3060" s="5" t="s">
        <v>13449</v>
      </c>
      <c r="AA3060" s="5" t="s">
        <v>44</v>
      </c>
      <c r="AB3060" s="5"/>
      <c r="AC3060" s="8" t="str">
        <f>HYPERLINK("https://drive.google.com/file/d/1XspycOMJZXWp1xi6vAn_Ez4wZnADV669/view?usp=drivesdk", "Abrir_Factura")</f>
        <v>Abrir_Factura</v>
      </c>
      <c r="AD3060" s="9">
        <v>46088.568113425928</v>
      </c>
    </row>
    <row r="3061" spans="1:30" ht="12.5">
      <c r="A3061" s="4">
        <v>46088.568618819445</v>
      </c>
      <c r="B3061" s="5">
        <v>92797</v>
      </c>
      <c r="C3061" s="5">
        <v>1002161474</v>
      </c>
      <c r="D3061" s="5" t="s">
        <v>13450</v>
      </c>
      <c r="F3061" s="5"/>
      <c r="H3061" s="5">
        <v>573003839612</v>
      </c>
      <c r="J3061" s="5" t="s">
        <v>13451</v>
      </c>
      <c r="K3061" s="5" t="s">
        <v>9925</v>
      </c>
      <c r="L3061" s="5" t="s">
        <v>13452</v>
      </c>
      <c r="M3061" s="5">
        <v>573003839612</v>
      </c>
      <c r="N3061" s="6">
        <v>46089</v>
      </c>
      <c r="O3061" s="7">
        <v>0</v>
      </c>
      <c r="P3061" s="5">
        <v>1</v>
      </c>
      <c r="Q3061" s="5" t="s">
        <v>12844</v>
      </c>
      <c r="R3061" s="5">
        <v>80000</v>
      </c>
      <c r="S3061" s="5">
        <v>0</v>
      </c>
      <c r="T3061" s="5">
        <v>11000</v>
      </c>
      <c r="U3061" s="5">
        <v>91000</v>
      </c>
      <c r="V3061" s="5" t="s">
        <v>13453</v>
      </c>
      <c r="W3061" s="5" t="s">
        <v>36</v>
      </c>
      <c r="X3061" s="5" t="s">
        <v>12646</v>
      </c>
      <c r="Z3061" s="5" t="s">
        <v>13454</v>
      </c>
      <c r="AA3061" s="5" t="s">
        <v>44</v>
      </c>
      <c r="AB3061" s="5"/>
      <c r="AC3061" s="8" t="str">
        <f>HYPERLINK("https://drive.google.com/file/d/1at334Iyypa-IQptBNl6TjvqtHNZyOIQM/view?usp=drivesdk", "Abrir_Factura")</f>
        <v>Abrir_Factura</v>
      </c>
      <c r="AD3061" s="9">
        <v>46088.573171296295</v>
      </c>
    </row>
    <row r="3062" spans="1:30" ht="12.5">
      <c r="A3062" s="4">
        <v>46088.569620671296</v>
      </c>
      <c r="B3062" s="5">
        <v>92799</v>
      </c>
      <c r="C3062" s="5">
        <v>1027886856</v>
      </c>
      <c r="D3062" s="5" t="s">
        <v>13455</v>
      </c>
      <c r="F3062" s="5"/>
      <c r="H3062" s="5">
        <v>573122002272</v>
      </c>
      <c r="J3062" s="5" t="s">
        <v>13456</v>
      </c>
      <c r="K3062" s="5" t="s">
        <v>1100</v>
      </c>
      <c r="L3062" s="5" t="s">
        <v>13457</v>
      </c>
      <c r="M3062" s="5">
        <v>573013030081</v>
      </c>
      <c r="N3062" s="6">
        <v>46089</v>
      </c>
      <c r="O3062" s="7">
        <v>0</v>
      </c>
      <c r="P3062" s="5">
        <v>1</v>
      </c>
      <c r="Q3062" s="5" t="s">
        <v>12728</v>
      </c>
      <c r="R3062" s="5">
        <v>120000</v>
      </c>
      <c r="S3062" s="5">
        <v>0</v>
      </c>
      <c r="T3062" s="5">
        <v>13000</v>
      </c>
      <c r="U3062" s="5">
        <v>133000</v>
      </c>
      <c r="V3062" s="5" t="s">
        <v>13458</v>
      </c>
      <c r="W3062" s="5" t="s">
        <v>36</v>
      </c>
      <c r="X3062" s="5" t="s">
        <v>12646</v>
      </c>
      <c r="Z3062" s="5" t="s">
        <v>4694</v>
      </c>
      <c r="AA3062" s="5" t="s">
        <v>44</v>
      </c>
      <c r="AB3062" s="5"/>
      <c r="AC3062" s="8" t="str">
        <f>HYPERLINK("https://drive.google.com/file/d/1Bnc0z7qp7bVokdKU0sEF8SMVCMSfDF9G/view?usp=drivesdk", "Abrir_Factura")</f>
        <v>Abrir_Factura</v>
      </c>
      <c r="AD3062" s="9">
        <v>46088.5858912037</v>
      </c>
    </row>
    <row r="3063" spans="1:30" ht="21" customHeight="1">
      <c r="A3063" s="4">
        <v>46088.570195590277</v>
      </c>
      <c r="B3063" s="5">
        <v>92802</v>
      </c>
      <c r="C3063" s="5">
        <v>1001826060</v>
      </c>
      <c r="D3063" s="5" t="s">
        <v>13459</v>
      </c>
      <c r="F3063" s="5"/>
      <c r="H3063" s="5">
        <v>3144885016</v>
      </c>
      <c r="J3063" s="5" t="s">
        <v>13460</v>
      </c>
      <c r="K3063" s="5" t="s">
        <v>9002</v>
      </c>
      <c r="L3063" s="5" t="s">
        <v>13461</v>
      </c>
      <c r="M3063" s="5">
        <v>573144885016</v>
      </c>
      <c r="N3063" s="6">
        <v>46089</v>
      </c>
      <c r="O3063" s="7">
        <v>0.375</v>
      </c>
      <c r="P3063" s="5">
        <v>1</v>
      </c>
      <c r="Q3063" s="5" t="s">
        <v>12423</v>
      </c>
      <c r="R3063" s="5">
        <v>80000</v>
      </c>
      <c r="S3063" s="5">
        <v>0</v>
      </c>
      <c r="T3063" s="5">
        <v>16000</v>
      </c>
      <c r="U3063" s="5">
        <v>96000</v>
      </c>
      <c r="V3063" s="5" t="s">
        <v>13462</v>
      </c>
      <c r="W3063" s="5" t="s">
        <v>36</v>
      </c>
      <c r="X3063" s="5" t="s">
        <v>12646</v>
      </c>
      <c r="Z3063" s="5" t="s">
        <v>13463</v>
      </c>
      <c r="AA3063" s="5" t="s">
        <v>44</v>
      </c>
      <c r="AB3063" s="5"/>
      <c r="AC3063" s="8" t="str">
        <f>HYPERLINK("https://drive.google.com/file/d/1hhPwWM1U3VSn5dy67St6wYAr5tQPdDTG/view?usp=drivesdk", "Abrir_Factura")</f>
        <v>Abrir_Factura</v>
      </c>
      <c r="AD3063" s="9">
        <v>46088.600729166668</v>
      </c>
    </row>
    <row r="3064" spans="1:30" ht="12.5">
      <c r="A3064" s="4">
        <v>46088.573265023151</v>
      </c>
      <c r="B3064" s="5">
        <v>92806</v>
      </c>
      <c r="C3064" s="5">
        <v>1045738136</v>
      </c>
      <c r="D3064" s="5" t="s">
        <v>13218</v>
      </c>
      <c r="F3064" s="5"/>
      <c r="H3064" s="5">
        <v>573012136288</v>
      </c>
      <c r="J3064" s="5" t="s">
        <v>13218</v>
      </c>
      <c r="K3064" s="5" t="s">
        <v>12657</v>
      </c>
      <c r="L3064" s="5" t="s">
        <v>12657</v>
      </c>
      <c r="M3064" s="5">
        <v>573012136288</v>
      </c>
      <c r="N3064" s="6">
        <v>46088</v>
      </c>
      <c r="O3064" s="7">
        <v>0.64583333333333337</v>
      </c>
      <c r="P3064" s="5">
        <v>1</v>
      </c>
      <c r="Q3064" s="5" t="s">
        <v>12406</v>
      </c>
      <c r="R3064" s="5">
        <v>90000</v>
      </c>
      <c r="S3064" s="5">
        <v>0</v>
      </c>
      <c r="T3064" s="5"/>
      <c r="U3064" s="5">
        <v>90000</v>
      </c>
      <c r="V3064" s="5" t="s">
        <v>13464</v>
      </c>
      <c r="W3064" s="5" t="s">
        <v>36</v>
      </c>
      <c r="X3064" s="5" t="s">
        <v>12646</v>
      </c>
      <c r="Z3064" s="5"/>
      <c r="AA3064" s="5" t="s">
        <v>44</v>
      </c>
      <c r="AB3064" s="5"/>
      <c r="AC3064" s="8" t="str">
        <f>HYPERLINK("https://drive.google.com/file/d/1mjOv-q4GLArmTKNAI_nChcNtl-bHEzOB/view?usp=drivesdk", "Abrir_Factura")</f>
        <v>Abrir_Factura</v>
      </c>
      <c r="AD3064" s="9">
        <v>46088.610763888886</v>
      </c>
    </row>
    <row r="3065" spans="1:30" ht="12.5">
      <c r="A3065" s="4">
        <v>46088.573500497689</v>
      </c>
      <c r="B3065" s="5">
        <v>92812</v>
      </c>
      <c r="C3065" s="5">
        <v>1627200200064</v>
      </c>
      <c r="D3065" s="5" t="s">
        <v>13465</v>
      </c>
      <c r="F3065" s="5"/>
      <c r="H3065" s="5">
        <v>50497268800</v>
      </c>
      <c r="J3065" s="5" t="s">
        <v>13466</v>
      </c>
      <c r="K3065" s="5" t="s">
        <v>63</v>
      </c>
      <c r="L3065" s="5" t="s">
        <v>13467</v>
      </c>
      <c r="M3065" s="5">
        <v>573217513907</v>
      </c>
      <c r="N3065" s="6">
        <v>46089</v>
      </c>
      <c r="O3065" s="7">
        <v>0</v>
      </c>
      <c r="P3065" s="5">
        <v>1</v>
      </c>
      <c r="Q3065" s="5" t="s">
        <v>13468</v>
      </c>
      <c r="R3065" s="5">
        <v>600000</v>
      </c>
      <c r="S3065" s="5">
        <v>0</v>
      </c>
      <c r="T3065" s="5">
        <v>17000</v>
      </c>
      <c r="U3065" s="5">
        <v>617000</v>
      </c>
      <c r="V3065" s="5"/>
      <c r="W3065" s="5" t="s">
        <v>36</v>
      </c>
      <c r="X3065" s="5" t="s">
        <v>1705</v>
      </c>
      <c r="Z3065" s="5"/>
      <c r="AA3065" s="5" t="s">
        <v>44</v>
      </c>
      <c r="AB3065" s="5"/>
      <c r="AC3065" s="8" t="str">
        <f>HYPERLINK("https://drive.google.com/file/d/12Q7EXi6hjgo272GZnYVE90Qte5N6OVuV/view?usp=drivesdk", "Abrir_Factura")</f>
        <v>Abrir_Factura</v>
      </c>
      <c r="AD3065" s="9">
        <v>46088.629363425927</v>
      </c>
    </row>
    <row r="3066" spans="1:30" ht="12.5">
      <c r="A3066" s="4">
        <v>46088.57628361111</v>
      </c>
      <c r="B3066" s="5">
        <v>92811</v>
      </c>
      <c r="C3066" s="5">
        <v>771146930</v>
      </c>
      <c r="D3066" s="5" t="s">
        <v>13469</v>
      </c>
      <c r="F3066" s="5"/>
      <c r="H3066" s="5">
        <v>573112969038</v>
      </c>
      <c r="J3066" s="5" t="s">
        <v>13470</v>
      </c>
      <c r="K3066" s="5" t="s">
        <v>79</v>
      </c>
      <c r="L3066" s="5" t="s">
        <v>13471</v>
      </c>
      <c r="M3066" s="5">
        <v>573112969038</v>
      </c>
      <c r="N3066" s="6">
        <v>46089</v>
      </c>
      <c r="O3066" s="7">
        <v>0.375</v>
      </c>
      <c r="P3066" s="5">
        <v>1</v>
      </c>
      <c r="Q3066" s="5" t="s">
        <v>13472</v>
      </c>
      <c r="R3066" s="5">
        <v>250000</v>
      </c>
      <c r="S3066" s="5">
        <v>0</v>
      </c>
      <c r="T3066" s="5">
        <v>10000</v>
      </c>
      <c r="U3066" s="5">
        <v>260000</v>
      </c>
      <c r="V3066" s="5" t="s">
        <v>13473</v>
      </c>
      <c r="W3066" s="5" t="s">
        <v>36</v>
      </c>
      <c r="X3066" s="5" t="s">
        <v>12646</v>
      </c>
      <c r="Z3066" s="5" t="s">
        <v>13474</v>
      </c>
      <c r="AA3066" s="5" t="s">
        <v>44</v>
      </c>
      <c r="AB3066" s="5"/>
      <c r="AC3066" s="8" t="str">
        <f>HYPERLINK("https://drive.google.com/file/d/1h0WEW98Ly3v60nLjnTlIfJB4LUir6Ixm/view?usp=drivesdk", "Abrir_Factura")</f>
        <v>Abrir_Factura</v>
      </c>
      <c r="AD3066" s="9">
        <v>46088.628460648149</v>
      </c>
    </row>
    <row r="3067" spans="1:30" ht="12.5">
      <c r="A3067" s="4">
        <v>46088.579077523143</v>
      </c>
      <c r="B3067" s="5">
        <v>92804</v>
      </c>
      <c r="C3067" s="5">
        <v>1001780688</v>
      </c>
      <c r="D3067" s="5" t="s">
        <v>13475</v>
      </c>
      <c r="F3067" s="5"/>
      <c r="H3067" s="5">
        <v>573174870896</v>
      </c>
      <c r="J3067" s="5" t="s">
        <v>13476</v>
      </c>
      <c r="K3067" s="5" t="s">
        <v>124</v>
      </c>
      <c r="L3067" s="5" t="s">
        <v>13477</v>
      </c>
      <c r="M3067" s="5">
        <v>573174870896</v>
      </c>
      <c r="N3067" s="6">
        <v>46089</v>
      </c>
      <c r="O3067" s="7">
        <v>0</v>
      </c>
      <c r="P3067" s="5">
        <v>1</v>
      </c>
      <c r="Q3067" s="5" t="s">
        <v>12437</v>
      </c>
      <c r="R3067" s="5">
        <v>250000</v>
      </c>
      <c r="S3067" s="5">
        <v>0</v>
      </c>
      <c r="T3067" s="5">
        <v>12000</v>
      </c>
      <c r="U3067" s="5">
        <v>262000</v>
      </c>
      <c r="V3067" s="5" t="s">
        <v>13478</v>
      </c>
      <c r="W3067" s="5" t="s">
        <v>36</v>
      </c>
      <c r="X3067" s="5" t="s">
        <v>12646</v>
      </c>
      <c r="Z3067" s="5" t="s">
        <v>13479</v>
      </c>
      <c r="AA3067" s="5" t="s">
        <v>44</v>
      </c>
      <c r="AB3067" s="5"/>
      <c r="AC3067" s="8" t="str">
        <f>HYPERLINK("https://drive.google.com/file/d/1m-CaRsdXDJXqHVM-MCQAMg9Mnw8H_RDx/view?usp=drivesdk", "Abrir_Factura")</f>
        <v>Abrir_Factura</v>
      </c>
      <c r="AD3067" s="9">
        <v>46088.602627314816</v>
      </c>
    </row>
    <row r="3068" spans="1:30" ht="12.5">
      <c r="A3068" s="4">
        <v>46088.582595902779</v>
      </c>
      <c r="B3068" s="5">
        <v>92825</v>
      </c>
      <c r="C3068" s="5">
        <v>1045751780</v>
      </c>
      <c r="D3068" s="5" t="s">
        <v>13480</v>
      </c>
      <c r="F3068" s="5"/>
      <c r="H3068" s="5">
        <v>573002201240</v>
      </c>
      <c r="J3068" s="5" t="s">
        <v>13481</v>
      </c>
      <c r="K3068" s="5" t="s">
        <v>73</v>
      </c>
      <c r="L3068" s="5" t="s">
        <v>13482</v>
      </c>
      <c r="M3068" s="5">
        <v>573007734183</v>
      </c>
      <c r="N3068" s="6">
        <v>46089</v>
      </c>
      <c r="O3068" s="7">
        <v>0.375</v>
      </c>
      <c r="P3068" s="5">
        <v>1</v>
      </c>
      <c r="Q3068" s="5" t="s">
        <v>13483</v>
      </c>
      <c r="R3068" s="5">
        <v>150000</v>
      </c>
      <c r="S3068" s="5">
        <v>0</v>
      </c>
      <c r="T3068" s="5">
        <v>8000</v>
      </c>
      <c r="U3068" s="5">
        <v>158000</v>
      </c>
      <c r="V3068" s="5" t="s">
        <v>13484</v>
      </c>
      <c r="W3068" s="5" t="s">
        <v>36</v>
      </c>
      <c r="X3068" s="5" t="s">
        <v>12646</v>
      </c>
      <c r="Z3068" s="5" t="s">
        <v>13485</v>
      </c>
      <c r="AA3068" s="5" t="s">
        <v>44</v>
      </c>
      <c r="AB3068" s="5"/>
      <c r="AC3068" s="8" t="str">
        <f>HYPERLINK("https://drive.google.com/file/d/1HOyQbK61WpXiBT2HIX8lLSw6QSP2UPDa/view?usp=drivesdk", "Abrir_Factura")</f>
        <v>Abrir_Factura</v>
      </c>
      <c r="AD3068" s="9">
        <v>46088.660175405093</v>
      </c>
    </row>
    <row r="3069" spans="1:30" ht="12.5">
      <c r="A3069" s="4">
        <v>46088.58294025463</v>
      </c>
      <c r="B3069" s="5">
        <v>92801</v>
      </c>
      <c r="C3069" s="5">
        <v>1042242436</v>
      </c>
      <c r="D3069" s="5" t="s">
        <v>12073</v>
      </c>
      <c r="F3069" s="5"/>
      <c r="H3069" s="5">
        <v>573166212722</v>
      </c>
      <c r="J3069" s="5" t="s">
        <v>12073</v>
      </c>
      <c r="K3069" s="5" t="s">
        <v>12657</v>
      </c>
      <c r="L3069" s="5" t="s">
        <v>12657</v>
      </c>
      <c r="M3069" s="5">
        <v>573166212722</v>
      </c>
      <c r="N3069" s="6">
        <v>46088</v>
      </c>
      <c r="O3069" s="7">
        <v>0</v>
      </c>
      <c r="P3069" s="5">
        <v>1</v>
      </c>
      <c r="Q3069" s="5" t="s">
        <v>13483</v>
      </c>
      <c r="R3069" s="5">
        <v>150000</v>
      </c>
      <c r="S3069" s="5">
        <v>0</v>
      </c>
      <c r="T3069" s="5"/>
      <c r="U3069" s="5">
        <v>150000</v>
      </c>
      <c r="V3069" s="5" t="s">
        <v>13486</v>
      </c>
      <c r="W3069" s="5" t="s">
        <v>36</v>
      </c>
      <c r="X3069" s="5" t="s">
        <v>67</v>
      </c>
      <c r="Z3069" s="5" t="s">
        <v>4254</v>
      </c>
      <c r="AA3069" s="5" t="s">
        <v>44</v>
      </c>
      <c r="AB3069" s="5"/>
      <c r="AC3069" s="8" t="str">
        <f>HYPERLINK("https://drive.google.com/file/d/1YRwdWZAa9_m4Y814jb0hNzAt0WHWSMlE/view?usp=drivesdk", "Abrir_Factura")</f>
        <v>Abrir_Factura</v>
      </c>
      <c r="AD3069" s="9">
        <v>46088.791770833333</v>
      </c>
    </row>
    <row r="3070" spans="1:30" ht="12.5">
      <c r="A3070" s="4">
        <v>46088.58815142361</v>
      </c>
      <c r="B3070" s="5">
        <v>92819</v>
      </c>
      <c r="C3070" s="5">
        <v>55225988</v>
      </c>
      <c r="D3070" s="5" t="s">
        <v>13487</v>
      </c>
      <c r="F3070" s="5"/>
      <c r="H3070" s="5">
        <v>573016323295</v>
      </c>
      <c r="J3070" s="5" t="s">
        <v>13488</v>
      </c>
      <c r="K3070" s="5" t="s">
        <v>265</v>
      </c>
      <c r="L3070" s="5" t="s">
        <v>13489</v>
      </c>
      <c r="M3070" s="5">
        <v>573243087390</v>
      </c>
      <c r="N3070" s="6">
        <v>46088</v>
      </c>
      <c r="O3070" s="7">
        <v>0.70833333333333337</v>
      </c>
      <c r="P3070" s="5">
        <v>1</v>
      </c>
      <c r="Q3070" s="5" t="s">
        <v>12814</v>
      </c>
      <c r="R3070" s="5">
        <v>240000</v>
      </c>
      <c r="S3070" s="5">
        <v>0</v>
      </c>
      <c r="T3070" s="5">
        <v>17000</v>
      </c>
      <c r="U3070" s="5">
        <v>257000</v>
      </c>
      <c r="V3070" s="5" t="s">
        <v>13490</v>
      </c>
      <c r="W3070" s="5" t="s">
        <v>36</v>
      </c>
      <c r="X3070" s="5" t="s">
        <v>12646</v>
      </c>
      <c r="Z3070" s="5" t="s">
        <v>4694</v>
      </c>
      <c r="AA3070" s="5" t="s">
        <v>44</v>
      </c>
      <c r="AB3070" s="5"/>
      <c r="AC3070" s="8" t="str">
        <f>HYPERLINK("https://drive.google.com/file/d/1sZgo6jS8ebQCVkHH6qPTlCDe6-edvVP8/view?usp=drivesdk", "Abrir_Factura")</f>
        <v>Abrir_Factura</v>
      </c>
      <c r="AD3070" s="9">
        <v>46088.646180555559</v>
      </c>
    </row>
    <row r="3071" spans="1:30" ht="12.5">
      <c r="A3071" s="4">
        <v>46088.589383495375</v>
      </c>
      <c r="B3071" s="5">
        <v>92809</v>
      </c>
      <c r="C3071" s="5">
        <v>1143148257</v>
      </c>
      <c r="D3071" s="5" t="s">
        <v>13491</v>
      </c>
      <c r="F3071" s="5"/>
      <c r="H3071" s="5">
        <v>53383245895338</v>
      </c>
      <c r="J3071" s="5" t="s">
        <v>13492</v>
      </c>
      <c r="K3071" s="5" t="s">
        <v>6692</v>
      </c>
      <c r="L3071" s="5" t="s">
        <v>13493</v>
      </c>
      <c r="M3071" s="5">
        <v>573245895338</v>
      </c>
      <c r="N3071" s="6">
        <v>46089</v>
      </c>
      <c r="O3071" s="7">
        <v>0</v>
      </c>
      <c r="P3071" s="5">
        <v>1</v>
      </c>
      <c r="Q3071" s="5" t="s">
        <v>12844</v>
      </c>
      <c r="R3071" s="5">
        <v>80000</v>
      </c>
      <c r="S3071" s="5">
        <v>0</v>
      </c>
      <c r="T3071" s="5">
        <v>20000</v>
      </c>
      <c r="U3071" s="5">
        <v>100000</v>
      </c>
      <c r="V3071" s="5" t="s">
        <v>13494</v>
      </c>
      <c r="W3071" s="5" t="s">
        <v>36</v>
      </c>
      <c r="X3071" s="5" t="s">
        <v>12646</v>
      </c>
      <c r="Z3071" s="5" t="s">
        <v>13495</v>
      </c>
      <c r="AA3071" s="5" t="s">
        <v>44</v>
      </c>
      <c r="AB3071" s="5"/>
      <c r="AC3071" s="8" t="str">
        <f>HYPERLINK("https://drive.google.com/file/d/1o0GwJ6OxGBmm9fUedHXX2FmppYnVXbLo/view?usp=drivesdk", "Abrir_Factura")</f>
        <v>Abrir_Factura</v>
      </c>
      <c r="AD3071" s="9">
        <v>46088.622523148151</v>
      </c>
    </row>
    <row r="3072" spans="1:30" ht="12.5">
      <c r="A3072" s="4">
        <v>46088.59487148148</v>
      </c>
      <c r="B3072" s="5">
        <v>92807</v>
      </c>
      <c r="C3072" s="5">
        <v>84450875</v>
      </c>
      <c r="D3072" s="5" t="s">
        <v>13496</v>
      </c>
      <c r="F3072" s="5"/>
      <c r="H3072" s="5">
        <v>573012771247</v>
      </c>
      <c r="J3072" s="5" t="s">
        <v>13497</v>
      </c>
      <c r="K3072" s="5" t="s">
        <v>249</v>
      </c>
      <c r="L3072" s="5" t="s">
        <v>13498</v>
      </c>
      <c r="M3072" s="5">
        <v>573012157433</v>
      </c>
      <c r="N3072" s="6">
        <v>46089</v>
      </c>
      <c r="O3072" s="7">
        <v>0</v>
      </c>
      <c r="P3072" s="5">
        <v>1</v>
      </c>
      <c r="Q3072" s="5" t="s">
        <v>12673</v>
      </c>
      <c r="R3072" s="5">
        <v>220000</v>
      </c>
      <c r="S3072" s="5">
        <v>0</v>
      </c>
      <c r="T3072" s="5">
        <v>10000</v>
      </c>
      <c r="U3072" s="5">
        <v>230000</v>
      </c>
      <c r="V3072" s="5" t="s">
        <v>13499</v>
      </c>
      <c r="W3072" s="5" t="s">
        <v>36</v>
      </c>
      <c r="X3072" s="5" t="s">
        <v>12646</v>
      </c>
      <c r="Z3072" s="5" t="s">
        <v>13500</v>
      </c>
      <c r="AA3072" s="5" t="s">
        <v>44</v>
      </c>
      <c r="AB3072" s="5" t="s">
        <v>13501</v>
      </c>
      <c r="AC3072" s="8" t="str">
        <f>HYPERLINK("https://drive.google.com/file/d/1QkDp3ihtMmimjgMa-wvH95NUawtLPaYr/view?usp=drivesdk", "Abrir_Factura")</f>
        <v>Abrir_Factura</v>
      </c>
      <c r="AD3072" s="9">
        <v>46088.611458333333</v>
      </c>
    </row>
    <row r="3073" spans="1:30" ht="12.5">
      <c r="A3073" s="4">
        <v>46088.599711921299</v>
      </c>
      <c r="B3073" s="5">
        <v>92827</v>
      </c>
      <c r="C3073" s="5">
        <v>1045734114</v>
      </c>
      <c r="D3073" s="5" t="s">
        <v>13502</v>
      </c>
      <c r="F3073" s="5"/>
      <c r="H3073" s="5">
        <v>573016510953</v>
      </c>
      <c r="J3073" s="5" t="s">
        <v>13503</v>
      </c>
      <c r="K3073" s="5" t="s">
        <v>54</v>
      </c>
      <c r="L3073" s="5" t="s">
        <v>13504</v>
      </c>
      <c r="M3073" s="5">
        <v>573106040276</v>
      </c>
      <c r="N3073" s="6">
        <v>46090</v>
      </c>
      <c r="O3073" s="7">
        <v>0.33333333333333331</v>
      </c>
      <c r="P3073" s="5">
        <v>1</v>
      </c>
      <c r="Q3073" s="5" t="s">
        <v>12924</v>
      </c>
      <c r="R3073" s="5">
        <v>200000</v>
      </c>
      <c r="S3073" s="5">
        <v>0</v>
      </c>
      <c r="T3073" s="5">
        <v>20000</v>
      </c>
      <c r="U3073" s="5">
        <v>220000</v>
      </c>
      <c r="V3073" s="5" t="s">
        <v>13505</v>
      </c>
      <c r="W3073" s="5" t="s">
        <v>36</v>
      </c>
      <c r="X3073" s="5" t="s">
        <v>12646</v>
      </c>
      <c r="Z3073" s="5" t="s">
        <v>310</v>
      </c>
      <c r="AA3073" s="5" t="s">
        <v>44</v>
      </c>
      <c r="AB3073" s="5" t="s">
        <v>13506</v>
      </c>
      <c r="AC3073" s="8" t="str">
        <f>HYPERLINK("https://drive.google.com/file/d/1v0HxbaIkpYY2DO3hO5O2sHuEziQ-OcNs/view?usp=drivesdk", "Abrir_Factura")</f>
        <v>Abrir_Factura</v>
      </c>
      <c r="AD3073" s="9">
        <v>46088.665810185186</v>
      </c>
    </row>
    <row r="3074" spans="1:30" ht="12.5">
      <c r="A3074" s="4">
        <v>46088.60477233796</v>
      </c>
      <c r="B3074" s="5">
        <v>92805</v>
      </c>
      <c r="C3074" s="10" t="s">
        <v>13507</v>
      </c>
      <c r="D3074" s="5" t="s">
        <v>13508</v>
      </c>
      <c r="F3074" s="5"/>
      <c r="H3074" s="5">
        <v>573015488453</v>
      </c>
      <c r="J3074" s="5" t="s">
        <v>13509</v>
      </c>
      <c r="K3074" s="5" t="s">
        <v>12657</v>
      </c>
      <c r="L3074" s="5" t="s">
        <v>12657</v>
      </c>
      <c r="M3074" s="5">
        <v>573015488453</v>
      </c>
      <c r="N3074" s="6">
        <v>46088</v>
      </c>
      <c r="O3074" s="7">
        <v>0.58333333333333337</v>
      </c>
      <c r="P3074" s="5">
        <v>1</v>
      </c>
      <c r="Q3074" s="5" t="s">
        <v>12423</v>
      </c>
      <c r="R3074" s="5">
        <v>80000</v>
      </c>
      <c r="S3074" s="5">
        <v>0</v>
      </c>
      <c r="T3074" s="5"/>
      <c r="U3074" s="5">
        <v>80000</v>
      </c>
      <c r="V3074" s="5"/>
      <c r="W3074" s="5" t="s">
        <v>36</v>
      </c>
      <c r="X3074" s="5" t="s">
        <v>37</v>
      </c>
      <c r="Z3074" s="5"/>
      <c r="AA3074" s="5" t="s">
        <v>37</v>
      </c>
      <c r="AB3074" s="10" t="s">
        <v>13510</v>
      </c>
      <c r="AC3074" s="8" t="str">
        <f>HYPERLINK("https://drive.google.com/file/d/1ON_4CuCf-enzmj62ffHSoCLIxlJ1lL51/view?usp=drivesdk", "Abrir_Factura")</f>
        <v>Abrir_Factura</v>
      </c>
      <c r="AD3074" s="9">
        <v>46088.605590277781</v>
      </c>
    </row>
    <row r="3075" spans="1:30" ht="12.5">
      <c r="A3075" s="4">
        <v>46088.605829942127</v>
      </c>
      <c r="B3075" s="5">
        <v>92826</v>
      </c>
      <c r="C3075" s="5">
        <v>1093776262</v>
      </c>
      <c r="D3075" s="5" t="s">
        <v>13511</v>
      </c>
      <c r="F3075" s="5"/>
      <c r="H3075" s="5">
        <v>573183494738</v>
      </c>
      <c r="J3075" s="5" t="s">
        <v>13512</v>
      </c>
      <c r="K3075" s="5" t="s">
        <v>11267</v>
      </c>
      <c r="L3075" s="5" t="s">
        <v>13513</v>
      </c>
      <c r="M3075" s="5">
        <v>573208244545</v>
      </c>
      <c r="N3075" s="6">
        <v>46089</v>
      </c>
      <c r="O3075" s="7">
        <v>0</v>
      </c>
      <c r="P3075" s="5">
        <v>1</v>
      </c>
      <c r="Q3075" s="5" t="s">
        <v>12406</v>
      </c>
      <c r="R3075" s="5">
        <v>90000</v>
      </c>
      <c r="S3075" s="5">
        <v>0</v>
      </c>
      <c r="T3075" s="5">
        <v>35000</v>
      </c>
      <c r="U3075" s="5">
        <v>125000</v>
      </c>
      <c r="V3075" s="5" t="s">
        <v>13514</v>
      </c>
      <c r="W3075" s="5" t="s">
        <v>36</v>
      </c>
      <c r="X3075" s="5" t="s">
        <v>12646</v>
      </c>
      <c r="Z3075" s="5" t="s">
        <v>13515</v>
      </c>
      <c r="AA3075" s="5" t="s">
        <v>44</v>
      </c>
      <c r="AB3075" s="5"/>
      <c r="AC3075" s="8" t="str">
        <f>HYPERLINK("https://drive.google.com/file/d/1efeeXMgk_-lRdRU0cIAdgaPUlsFe_ThS/view?usp=drivesdk", "Abrir_Factura")</f>
        <v>Abrir_Factura</v>
      </c>
      <c r="AD3075" s="9">
        <v>46088.665439814817</v>
      </c>
    </row>
    <row r="3076" spans="1:30" ht="12.5">
      <c r="A3076" s="4">
        <v>46088.608566736111</v>
      </c>
      <c r="B3076" s="5">
        <v>92813</v>
      </c>
      <c r="C3076" s="5">
        <v>1047054321</v>
      </c>
      <c r="D3076" s="5" t="s">
        <v>13516</v>
      </c>
      <c r="F3076" s="5"/>
      <c r="H3076" s="5">
        <v>573008822165</v>
      </c>
      <c r="J3076" s="5" t="s">
        <v>13517</v>
      </c>
      <c r="K3076" s="5" t="s">
        <v>249</v>
      </c>
      <c r="L3076" s="5" t="s">
        <v>13518</v>
      </c>
      <c r="M3076" s="5">
        <v>573002789561</v>
      </c>
      <c r="N3076" s="6">
        <v>46088</v>
      </c>
      <c r="O3076" s="7">
        <v>0.66666666666666663</v>
      </c>
      <c r="P3076" s="5">
        <v>1</v>
      </c>
      <c r="Q3076" s="5" t="s">
        <v>13483</v>
      </c>
      <c r="R3076" s="5">
        <v>150000</v>
      </c>
      <c r="S3076" s="5">
        <v>0</v>
      </c>
      <c r="T3076" s="5">
        <v>10000</v>
      </c>
      <c r="U3076" s="5">
        <v>160000</v>
      </c>
      <c r="V3076" s="5" t="s">
        <v>13519</v>
      </c>
      <c r="W3076" s="5" t="s">
        <v>36</v>
      </c>
      <c r="X3076" s="5" t="s">
        <v>12646</v>
      </c>
      <c r="Z3076" s="5"/>
      <c r="AA3076" s="5" t="s">
        <v>44</v>
      </c>
      <c r="AB3076" s="5"/>
      <c r="AC3076" s="8" t="str">
        <f>HYPERLINK("https://drive.google.com/file/d/1nR1G6PRw7q-sPLUOlvHfqQReGz-4UFhu/view?usp=drivesdk", "Abrir_Factura")</f>
        <v>Abrir_Factura</v>
      </c>
      <c r="AD3076" s="9">
        <v>46088.635995370372</v>
      </c>
    </row>
    <row r="3077" spans="1:30" ht="12.5">
      <c r="A3077" s="4">
        <v>46088.609111087964</v>
      </c>
      <c r="B3077" s="5">
        <v>92817</v>
      </c>
      <c r="C3077" s="5">
        <v>1146534849</v>
      </c>
      <c r="D3077" s="5" t="s">
        <v>13520</v>
      </c>
      <c r="F3077" s="5"/>
      <c r="H3077" s="5">
        <v>573118234583</v>
      </c>
      <c r="J3077" s="5" t="s">
        <v>13520</v>
      </c>
      <c r="K3077" s="5" t="s">
        <v>12657</v>
      </c>
      <c r="L3077" s="5" t="s">
        <v>12657</v>
      </c>
      <c r="M3077" s="5">
        <v>573118234583</v>
      </c>
      <c r="N3077" s="6">
        <v>46088</v>
      </c>
      <c r="O3077" s="7">
        <v>0.70833333333333337</v>
      </c>
      <c r="P3077" s="5">
        <v>1</v>
      </c>
      <c r="Q3077" s="5" t="s">
        <v>42</v>
      </c>
      <c r="R3077" s="5">
        <v>200000</v>
      </c>
      <c r="S3077" s="5">
        <v>0</v>
      </c>
      <c r="T3077" s="5"/>
      <c r="U3077" s="5">
        <v>200000</v>
      </c>
      <c r="V3077" s="5" t="s">
        <v>13521</v>
      </c>
      <c r="W3077" s="5" t="s">
        <v>36</v>
      </c>
      <c r="X3077" s="5" t="s">
        <v>12646</v>
      </c>
      <c r="Z3077" s="5" t="s">
        <v>13522</v>
      </c>
      <c r="AA3077" s="5" t="s">
        <v>44</v>
      </c>
      <c r="AB3077" s="5" t="s">
        <v>13523</v>
      </c>
      <c r="AC3077" s="8" t="str">
        <f>HYPERLINK("https://drive.google.com/file/d/17TgrHSQGkSU99ki7T2sbM8XeWp8Sp9UV/view?usp=drivesdk", "Abrir_Factura")</f>
        <v>Abrir_Factura</v>
      </c>
      <c r="AD3077" s="9">
        <v>46088.651238425926</v>
      </c>
    </row>
    <row r="3078" spans="1:30" ht="12.5">
      <c r="A3078" s="4">
        <v>46088.610561331021</v>
      </c>
      <c r="B3078" s="5">
        <v>92815</v>
      </c>
      <c r="C3078" s="5">
        <v>1000285394</v>
      </c>
      <c r="D3078" s="5" t="s">
        <v>12481</v>
      </c>
      <c r="F3078" s="5"/>
      <c r="H3078" s="5">
        <v>573174391102</v>
      </c>
      <c r="J3078" s="5" t="s">
        <v>13524</v>
      </c>
      <c r="K3078" s="5" t="s">
        <v>79</v>
      </c>
      <c r="L3078" s="5" t="s">
        <v>13525</v>
      </c>
      <c r="M3078" s="5">
        <v>573116828393</v>
      </c>
      <c r="N3078" s="6">
        <v>46089</v>
      </c>
      <c r="O3078" s="7">
        <v>0.41666666666666669</v>
      </c>
      <c r="P3078" s="5">
        <v>1</v>
      </c>
      <c r="Q3078" s="5" t="s">
        <v>12701</v>
      </c>
      <c r="R3078" s="5">
        <v>150000</v>
      </c>
      <c r="S3078" s="5">
        <v>0</v>
      </c>
      <c r="T3078" s="5">
        <v>10000</v>
      </c>
      <c r="U3078" s="5">
        <v>160000</v>
      </c>
      <c r="V3078" s="5" t="s">
        <v>13526</v>
      </c>
      <c r="W3078" s="5" t="s">
        <v>36</v>
      </c>
      <c r="X3078" s="5" t="s">
        <v>12646</v>
      </c>
      <c r="Z3078" s="5" t="s">
        <v>13527</v>
      </c>
      <c r="AA3078" s="5" t="s">
        <v>44</v>
      </c>
      <c r="AB3078" s="5"/>
      <c r="AC3078" s="8" t="str">
        <f>HYPERLINK("https://drive.google.com/file/d/12eMIA9Q3r8NAoef0TB09GHGBTVAjA8e0/view?usp=drivesdk", "Abrir_Factura")</f>
        <v>Abrir_Factura</v>
      </c>
      <c r="AD3078" s="9">
        <v>46088.63821759259</v>
      </c>
    </row>
    <row r="3079" spans="1:30" ht="12.5">
      <c r="A3079" s="4">
        <v>46088.621598124999</v>
      </c>
      <c r="B3079" s="5">
        <v>92810</v>
      </c>
      <c r="C3079" s="5">
        <v>72252127</v>
      </c>
      <c r="D3079" s="5" t="s">
        <v>13528</v>
      </c>
      <c r="F3079" s="5"/>
      <c r="H3079" s="5">
        <v>573106831128</v>
      </c>
      <c r="J3079" s="5" t="s">
        <v>13529</v>
      </c>
      <c r="K3079" s="5" t="s">
        <v>185</v>
      </c>
      <c r="L3079" s="5" t="s">
        <v>13530</v>
      </c>
      <c r="M3079" s="5"/>
      <c r="N3079" s="6">
        <v>46089</v>
      </c>
      <c r="O3079" s="7">
        <v>0.29166666666666669</v>
      </c>
      <c r="P3079" s="5">
        <v>1</v>
      </c>
      <c r="Q3079" s="5" t="s">
        <v>13531</v>
      </c>
      <c r="R3079" s="5">
        <v>200000</v>
      </c>
      <c r="S3079" s="5">
        <v>0</v>
      </c>
      <c r="T3079" s="5">
        <v>8000</v>
      </c>
      <c r="U3079" s="5">
        <v>208000</v>
      </c>
      <c r="V3079" s="5"/>
      <c r="W3079" s="5" t="s">
        <v>36</v>
      </c>
      <c r="X3079" s="5" t="s">
        <v>1705</v>
      </c>
      <c r="Z3079" s="5"/>
      <c r="AA3079" s="5" t="s">
        <v>1717</v>
      </c>
      <c r="AB3079" s="5" t="s">
        <v>13532</v>
      </c>
      <c r="AC3079" s="8" t="str">
        <f>HYPERLINK("https://drive.google.com/file/d/1BX6boSu4ryrgAf699ZVVE3Xa2WJ9HWIo/view?usp=drivesdk", "Abrir_Factura")</f>
        <v>Abrir_Factura</v>
      </c>
      <c r="AD3079" s="9">
        <v>46088.624976851854</v>
      </c>
    </row>
    <row r="3080" spans="1:30" ht="12.5">
      <c r="A3080" s="4">
        <v>46088.626691412035</v>
      </c>
      <c r="B3080" s="5">
        <v>92822</v>
      </c>
      <c r="C3080" s="5">
        <v>77181950</v>
      </c>
      <c r="D3080" s="5" t="s">
        <v>13533</v>
      </c>
      <c r="F3080" s="5"/>
      <c r="H3080" s="5">
        <v>573126606039</v>
      </c>
      <c r="J3080" s="5" t="s">
        <v>13534</v>
      </c>
      <c r="K3080" s="5" t="s">
        <v>103</v>
      </c>
      <c r="L3080" s="5" t="s">
        <v>13535</v>
      </c>
      <c r="M3080" s="5">
        <v>573173312315</v>
      </c>
      <c r="N3080" s="6">
        <v>46089</v>
      </c>
      <c r="O3080" s="7">
        <v>0.41666666666666669</v>
      </c>
      <c r="P3080" s="5">
        <v>1</v>
      </c>
      <c r="Q3080" s="5" t="s">
        <v>12924</v>
      </c>
      <c r="R3080" s="5">
        <v>200000</v>
      </c>
      <c r="S3080" s="5">
        <v>0</v>
      </c>
      <c r="T3080" s="5">
        <v>10000</v>
      </c>
      <c r="U3080" s="5">
        <v>210000</v>
      </c>
      <c r="V3080" s="5" t="s">
        <v>13536</v>
      </c>
      <c r="W3080" s="5" t="s">
        <v>36</v>
      </c>
      <c r="X3080" s="5" t="s">
        <v>12646</v>
      </c>
      <c r="Z3080" s="5" t="s">
        <v>13537</v>
      </c>
      <c r="AA3080" s="5" t="s">
        <v>44</v>
      </c>
      <c r="AB3080" s="5" t="s">
        <v>9771</v>
      </c>
      <c r="AC3080" s="8" t="str">
        <f>HYPERLINK("https://drive.google.com/file/d/1xxmtr3KMXiQtseFFQA4yd-dNddfCWPvx/view?usp=drivesdk", "Abrir_Factura")</f>
        <v>Abrir_Factura</v>
      </c>
      <c r="AD3080" s="9">
        <v>46088.654282407406</v>
      </c>
    </row>
    <row r="3081" spans="1:30" ht="12.5">
      <c r="A3081" s="4">
        <v>46088.627132719907</v>
      </c>
      <c r="B3081" s="5">
        <v>92814</v>
      </c>
      <c r="C3081" s="5">
        <v>1121897993</v>
      </c>
      <c r="D3081" s="5" t="s">
        <v>13538</v>
      </c>
      <c r="F3081" s="5"/>
      <c r="H3081" s="5">
        <v>573134009314</v>
      </c>
      <c r="J3081" s="5" t="s">
        <v>13539</v>
      </c>
      <c r="K3081" s="5" t="s">
        <v>1317</v>
      </c>
      <c r="L3081" s="5" t="s">
        <v>13540</v>
      </c>
      <c r="M3081" s="5">
        <v>573134009314</v>
      </c>
      <c r="N3081" s="6">
        <v>46089</v>
      </c>
      <c r="O3081" s="7">
        <v>0.41666666666666669</v>
      </c>
      <c r="P3081" s="5">
        <v>1</v>
      </c>
      <c r="Q3081" s="5" t="s">
        <v>12437</v>
      </c>
      <c r="R3081" s="5">
        <v>250000</v>
      </c>
      <c r="S3081" s="5">
        <v>0</v>
      </c>
      <c r="T3081" s="5">
        <v>12000</v>
      </c>
      <c r="U3081" s="5">
        <v>262000</v>
      </c>
      <c r="V3081" s="5" t="s">
        <v>13541</v>
      </c>
      <c r="W3081" s="5" t="s">
        <v>36</v>
      </c>
      <c r="X3081" s="5" t="s">
        <v>12646</v>
      </c>
      <c r="Z3081" s="5" t="s">
        <v>13542</v>
      </c>
      <c r="AA3081" s="5" t="s">
        <v>69</v>
      </c>
      <c r="AB3081" s="5" t="s">
        <v>9612</v>
      </c>
      <c r="AC3081" s="8" t="str">
        <f>HYPERLINK("https://drive.google.com/file/d/1WyFq5pQf4DRm-CyvN9nrj2tqwI3Hpkv5/view?usp=drivesdk", "Abrir_Factura")</f>
        <v>Abrir_Factura</v>
      </c>
      <c r="AD3081" s="9">
        <v>46088.63658564815</v>
      </c>
    </row>
    <row r="3082" spans="1:30" ht="12.5">
      <c r="A3082" s="4">
        <v>46088.629311365745</v>
      </c>
      <c r="B3082" s="5">
        <v>92835</v>
      </c>
      <c r="C3082" s="5">
        <v>1042241181</v>
      </c>
      <c r="D3082" s="5" t="s">
        <v>9432</v>
      </c>
      <c r="F3082" s="5"/>
      <c r="H3082" s="5">
        <v>573016856910</v>
      </c>
      <c r="J3082" s="5" t="s">
        <v>9432</v>
      </c>
      <c r="K3082" s="5" t="s">
        <v>12657</v>
      </c>
      <c r="L3082" s="5" t="s">
        <v>12657</v>
      </c>
      <c r="M3082" s="5">
        <v>573016856910</v>
      </c>
      <c r="N3082" s="6">
        <v>46089</v>
      </c>
      <c r="O3082" s="7">
        <v>0.375</v>
      </c>
      <c r="P3082" s="5">
        <v>1</v>
      </c>
      <c r="Q3082" s="5" t="s">
        <v>12406</v>
      </c>
      <c r="R3082" s="5">
        <v>90000</v>
      </c>
      <c r="S3082" s="5">
        <v>0</v>
      </c>
      <c r="T3082" s="5"/>
      <c r="U3082" s="5">
        <v>90000</v>
      </c>
      <c r="V3082" s="5" t="s">
        <v>13543</v>
      </c>
      <c r="W3082" s="5" t="s">
        <v>36</v>
      </c>
      <c r="X3082" s="5" t="s">
        <v>12646</v>
      </c>
      <c r="Z3082" s="5" t="s">
        <v>2293</v>
      </c>
      <c r="AA3082" s="5" t="s">
        <v>44</v>
      </c>
      <c r="AB3082" s="5" t="s">
        <v>9771</v>
      </c>
      <c r="AC3082" s="8" t="str">
        <f>HYPERLINK("https://drive.google.com/file/d/10rv4kUdzjeA9expaDENtRCF1nJx5_R6D/view?usp=drivesdk", "Abrir_Factura")</f>
        <v>Abrir_Factura</v>
      </c>
      <c r="AD3082" s="9">
        <v>46088.687789351854</v>
      </c>
    </row>
    <row r="3083" spans="1:30" ht="12.5">
      <c r="A3083" s="4">
        <v>46088.630827824076</v>
      </c>
      <c r="B3083" s="5">
        <v>92820</v>
      </c>
      <c r="C3083" s="5">
        <v>80040271</v>
      </c>
      <c r="D3083" s="5" t="s">
        <v>13544</v>
      </c>
      <c r="F3083" s="5"/>
      <c r="H3083" s="5">
        <v>573016673824</v>
      </c>
      <c r="J3083" s="5" t="s">
        <v>13545</v>
      </c>
      <c r="K3083" s="5" t="s">
        <v>146</v>
      </c>
      <c r="L3083" s="5" t="s">
        <v>13546</v>
      </c>
      <c r="M3083" s="5">
        <v>573016673824</v>
      </c>
      <c r="N3083" s="6">
        <v>46089</v>
      </c>
      <c r="O3083" s="7">
        <v>0.29166666666666669</v>
      </c>
      <c r="P3083" s="5">
        <v>1</v>
      </c>
      <c r="Q3083" s="5" t="s">
        <v>13547</v>
      </c>
      <c r="R3083" s="5">
        <v>80000</v>
      </c>
      <c r="S3083" s="5">
        <v>0</v>
      </c>
      <c r="T3083" s="5">
        <v>15000</v>
      </c>
      <c r="U3083" s="5">
        <v>95000</v>
      </c>
      <c r="V3083" s="5" t="s">
        <v>13548</v>
      </c>
      <c r="W3083" s="5" t="s">
        <v>36</v>
      </c>
      <c r="X3083" s="5" t="s">
        <v>12646</v>
      </c>
      <c r="Z3083" s="5" t="s">
        <v>13549</v>
      </c>
      <c r="AA3083" s="5" t="s">
        <v>44</v>
      </c>
      <c r="AB3083" s="5" t="s">
        <v>13550</v>
      </c>
      <c r="AC3083" s="8" t="str">
        <f>HYPERLINK("https://drive.google.com/file/d/1FNvS2WHnzN0ifOFASu85qp_IRcs3JY_g/view?usp=drivesdk", "Abrir_Factura")</f>
        <v>Abrir_Factura</v>
      </c>
      <c r="AD3083" s="9">
        <v>46088.647962962961</v>
      </c>
    </row>
    <row r="3084" spans="1:30" ht="12.5">
      <c r="A3084" s="4">
        <v>46088.631320347224</v>
      </c>
      <c r="B3084" s="5">
        <v>92824</v>
      </c>
      <c r="C3084" s="5">
        <v>1094572514</v>
      </c>
      <c r="D3084" s="5" t="s">
        <v>13551</v>
      </c>
      <c r="F3084" s="5"/>
      <c r="H3084" s="5">
        <v>573124484094</v>
      </c>
      <c r="J3084" s="5" t="s">
        <v>13552</v>
      </c>
      <c r="K3084" s="5" t="s">
        <v>7476</v>
      </c>
      <c r="L3084" s="5" t="s">
        <v>13553</v>
      </c>
      <c r="M3084" s="5">
        <v>573114473491</v>
      </c>
      <c r="N3084" s="6">
        <v>46089</v>
      </c>
      <c r="O3084" s="7">
        <v>0.375</v>
      </c>
      <c r="P3084" s="5">
        <v>1</v>
      </c>
      <c r="Q3084" s="5" t="s">
        <v>13554</v>
      </c>
      <c r="R3084" s="5">
        <v>190000</v>
      </c>
      <c r="S3084" s="5">
        <v>0</v>
      </c>
      <c r="T3084" s="5">
        <v>17000</v>
      </c>
      <c r="U3084" s="5">
        <v>207000</v>
      </c>
      <c r="V3084" s="5" t="s">
        <v>13555</v>
      </c>
      <c r="W3084" s="5" t="s">
        <v>36</v>
      </c>
      <c r="X3084" s="5" t="s">
        <v>12646</v>
      </c>
      <c r="Z3084" s="5" t="s">
        <v>2350</v>
      </c>
      <c r="AA3084" s="5" t="s">
        <v>44</v>
      </c>
      <c r="AB3084" s="5" t="s">
        <v>13556</v>
      </c>
      <c r="AC3084" s="8" t="str">
        <f>HYPERLINK("https://drive.google.com/file/d/1Fsa-QdBrknCM8Fjbkfcj_AQGtlZ_VgRv/view?usp=drivesdk", "Abrir_Factura")</f>
        <v>Abrir_Factura</v>
      </c>
      <c r="AD3084" s="9">
        <v>46088.664386574077</v>
      </c>
    </row>
    <row r="3085" spans="1:30" ht="12.5">
      <c r="A3085" s="4">
        <v>46088.634079305557</v>
      </c>
      <c r="B3085" s="5">
        <v>92829</v>
      </c>
      <c r="C3085" s="5">
        <v>1140884929</v>
      </c>
      <c r="D3085" s="5" t="s">
        <v>13557</v>
      </c>
      <c r="F3085" s="5"/>
      <c r="H3085" s="5">
        <v>573145549122</v>
      </c>
      <c r="J3085" s="5" t="s">
        <v>13557</v>
      </c>
      <c r="K3085" s="5" t="s">
        <v>12657</v>
      </c>
      <c r="L3085" s="5" t="s">
        <v>12657</v>
      </c>
      <c r="M3085" s="5">
        <v>573145549122</v>
      </c>
      <c r="N3085" s="6">
        <v>46089</v>
      </c>
      <c r="O3085" s="7">
        <v>0</v>
      </c>
      <c r="P3085" s="5">
        <v>1</v>
      </c>
      <c r="Q3085" s="5" t="s">
        <v>13138</v>
      </c>
      <c r="R3085" s="5">
        <v>200000</v>
      </c>
      <c r="S3085" s="5">
        <v>0</v>
      </c>
      <c r="T3085" s="5"/>
      <c r="U3085" s="5">
        <v>200000</v>
      </c>
      <c r="V3085" s="5" t="s">
        <v>13558</v>
      </c>
      <c r="W3085" s="5" t="s">
        <v>36</v>
      </c>
      <c r="X3085" s="5" t="s">
        <v>12646</v>
      </c>
      <c r="Z3085" s="5" t="s">
        <v>13559</v>
      </c>
      <c r="AA3085" s="5" t="s">
        <v>44</v>
      </c>
      <c r="AB3085" s="5"/>
      <c r="AC3085" s="8" t="str">
        <f>HYPERLINK("https://drive.google.com/file/d/10pMSiQsyHAIUQ4X6sLPBjZkbh9yM2FeD/view?usp=drivesdk", "Abrir_Factura")</f>
        <v>Abrir_Factura</v>
      </c>
      <c r="AD3085" s="9">
        <v>46088.676226851851</v>
      </c>
    </row>
    <row r="3086" spans="1:30" ht="12.5">
      <c r="A3086" s="4">
        <v>46088.638900891208</v>
      </c>
      <c r="B3086" s="5">
        <v>92823</v>
      </c>
      <c r="C3086" s="5">
        <v>1140857984</v>
      </c>
      <c r="D3086" s="5" t="s">
        <v>13560</v>
      </c>
      <c r="F3086" s="5"/>
      <c r="H3086" s="5">
        <v>17863815004</v>
      </c>
      <c r="J3086" s="5" t="s">
        <v>13561</v>
      </c>
      <c r="K3086" s="5" t="s">
        <v>265</v>
      </c>
      <c r="L3086" s="5" t="s">
        <v>13562</v>
      </c>
      <c r="M3086" s="5">
        <v>573223885721</v>
      </c>
      <c r="N3086" s="6">
        <v>46089</v>
      </c>
      <c r="O3086" s="7">
        <v>0.41666666666666669</v>
      </c>
      <c r="P3086" s="5">
        <v>1</v>
      </c>
      <c r="Q3086" s="5" t="s">
        <v>13563</v>
      </c>
      <c r="R3086" s="5">
        <v>315000</v>
      </c>
      <c r="S3086" s="5">
        <v>0</v>
      </c>
      <c r="T3086" s="5">
        <v>17000</v>
      </c>
      <c r="U3086" s="5">
        <v>332000</v>
      </c>
      <c r="V3086" s="5" t="s">
        <v>13564</v>
      </c>
      <c r="W3086" s="5" t="s">
        <v>36</v>
      </c>
      <c r="X3086" s="5" t="s">
        <v>12646</v>
      </c>
      <c r="Z3086" s="5"/>
      <c r="AA3086" s="5" t="s">
        <v>44</v>
      </c>
      <c r="AB3086" s="5" t="s">
        <v>13565</v>
      </c>
      <c r="AC3086" s="8" t="str">
        <f>HYPERLINK("https://drive.google.com/file/d/1bQEy7gN0NFQa8vZYsh4MuHyEe_LN1FSK/view?usp=drivesdk", "Abrir_Factura")</f>
        <v>Abrir_Factura</v>
      </c>
      <c r="AD3086" s="9">
        <v>46088.656793981485</v>
      </c>
    </row>
    <row r="3087" spans="1:30" ht="12.5">
      <c r="A3087" s="4">
        <v>46088.640124513884</v>
      </c>
      <c r="B3087" s="5">
        <v>92816</v>
      </c>
      <c r="C3087" s="5">
        <v>1140872463</v>
      </c>
      <c r="D3087" s="5" t="s">
        <v>12718</v>
      </c>
      <c r="F3087" s="5"/>
      <c r="H3087" s="5">
        <v>573014785425</v>
      </c>
      <c r="J3087" s="5" t="s">
        <v>12718</v>
      </c>
      <c r="K3087" s="5" t="s">
        <v>12657</v>
      </c>
      <c r="L3087" s="5" t="s">
        <v>12657</v>
      </c>
      <c r="M3087" s="5">
        <v>573014785425</v>
      </c>
      <c r="N3087" s="6">
        <v>46088</v>
      </c>
      <c r="O3087" s="7">
        <v>0</v>
      </c>
      <c r="P3087" s="5">
        <v>1</v>
      </c>
      <c r="Q3087" s="5" t="s">
        <v>42</v>
      </c>
      <c r="R3087" s="5">
        <v>30000</v>
      </c>
      <c r="S3087" s="5">
        <v>0</v>
      </c>
      <c r="T3087" s="5"/>
      <c r="U3087" s="5">
        <v>30000</v>
      </c>
      <c r="V3087" s="5"/>
      <c r="W3087" s="5" t="s">
        <v>36</v>
      </c>
      <c r="X3087" s="5" t="s">
        <v>1705</v>
      </c>
      <c r="Z3087" s="5"/>
      <c r="AA3087" s="5" t="s">
        <v>1717</v>
      </c>
      <c r="AB3087" s="5"/>
      <c r="AC3087" s="8" t="str">
        <f>HYPERLINK("https://drive.google.com/file/d/13ucFkYFkIFo92V_rgTSzCf8hN-Ky2-g0/view?usp=drivesdk", "Abrir_Factura")</f>
        <v>Abrir_Factura</v>
      </c>
      <c r="AD3087" s="9">
        <v>46088.640763888892</v>
      </c>
    </row>
    <row r="3088" spans="1:30" ht="12.5">
      <c r="A3088" s="4">
        <v>46088.642653842588</v>
      </c>
      <c r="B3088" s="5">
        <v>92818</v>
      </c>
      <c r="C3088" s="5">
        <v>1143448994</v>
      </c>
      <c r="D3088" s="5" t="s">
        <v>3183</v>
      </c>
      <c r="F3088" s="5"/>
      <c r="H3088" s="5">
        <v>573043190657</v>
      </c>
      <c r="J3088" s="5" t="s">
        <v>13566</v>
      </c>
      <c r="K3088" s="5" t="s">
        <v>12657</v>
      </c>
      <c r="L3088" s="5" t="s">
        <v>12657</v>
      </c>
      <c r="M3088" s="5">
        <v>573043190657</v>
      </c>
      <c r="N3088" s="6">
        <v>46088</v>
      </c>
      <c r="O3088" s="7">
        <v>0</v>
      </c>
      <c r="P3088" s="5">
        <v>1</v>
      </c>
      <c r="Q3088" s="5" t="s">
        <v>42</v>
      </c>
      <c r="R3088" s="5">
        <v>16000</v>
      </c>
      <c r="S3088" s="5">
        <v>0</v>
      </c>
      <c r="T3088" s="5"/>
      <c r="U3088" s="5">
        <v>16000</v>
      </c>
      <c r="V3088" s="5"/>
      <c r="W3088" s="5" t="s">
        <v>36</v>
      </c>
      <c r="X3088" s="5" t="s">
        <v>1481</v>
      </c>
      <c r="Z3088" s="5"/>
      <c r="AA3088" s="5" t="s">
        <v>1717</v>
      </c>
      <c r="AB3088" s="5"/>
      <c r="AC3088" s="8" t="str">
        <f>HYPERLINK("https://drive.google.com/file/d/1K__RajKugA8j7mxaeN_6yMk2KS70d6GP/view?usp=drivesdk", "Abrir_Factura")</f>
        <v>Abrir_Factura</v>
      </c>
      <c r="AD3088" s="9">
        <v>46088.644733796296</v>
      </c>
    </row>
    <row r="3089" spans="1:30" ht="12.5">
      <c r="A3089" s="4">
        <v>46088.645663530093</v>
      </c>
      <c r="B3089" s="5">
        <v>92853</v>
      </c>
      <c r="C3089" s="5">
        <v>1083045561</v>
      </c>
      <c r="D3089" s="5" t="s">
        <v>13567</v>
      </c>
      <c r="F3089" s="5"/>
      <c r="H3089" s="5">
        <v>573008588209</v>
      </c>
      <c r="J3089" s="5" t="s">
        <v>13568</v>
      </c>
      <c r="K3089" s="5" t="s">
        <v>448</v>
      </c>
      <c r="L3089" s="5" t="s">
        <v>13569</v>
      </c>
      <c r="M3089" s="5">
        <v>573207258284</v>
      </c>
      <c r="N3089" s="6">
        <v>46089</v>
      </c>
      <c r="O3089" s="7">
        <v>0.41666666666666669</v>
      </c>
      <c r="P3089" s="5">
        <v>1</v>
      </c>
      <c r="Q3089" s="5" t="s">
        <v>12496</v>
      </c>
      <c r="R3089" s="5">
        <v>120000</v>
      </c>
      <c r="S3089" s="5">
        <v>0</v>
      </c>
      <c r="T3089" s="5">
        <v>15000</v>
      </c>
      <c r="U3089" s="5">
        <v>135000</v>
      </c>
      <c r="V3089" s="5" t="s">
        <v>13570</v>
      </c>
      <c r="W3089" s="5" t="s">
        <v>36</v>
      </c>
      <c r="X3089" s="5" t="s">
        <v>12646</v>
      </c>
      <c r="Z3089" s="5" t="s">
        <v>182</v>
      </c>
      <c r="AA3089" s="5" t="s">
        <v>44</v>
      </c>
      <c r="AB3089" s="5"/>
      <c r="AC3089" s="8" t="str">
        <f>HYPERLINK("https://drive.google.com/file/d/1l0UikA9yTUkw6a3IOmntcrx2Bcrp3Cvf/view?usp=drivesdk", "Abrir_Factura")</f>
        <v>Abrir_Factura</v>
      </c>
      <c r="AD3089" s="9">
        <v>46088.731678240743</v>
      </c>
    </row>
    <row r="3090" spans="1:30" ht="12.5">
      <c r="A3090" s="4">
        <v>46088.647519143517</v>
      </c>
      <c r="B3090" s="5">
        <v>92837</v>
      </c>
      <c r="C3090" s="5">
        <v>1193414565</v>
      </c>
      <c r="D3090" s="5" t="s">
        <v>13571</v>
      </c>
      <c r="F3090" s="5"/>
      <c r="H3090" s="5">
        <v>573243002224</v>
      </c>
      <c r="J3090" s="5" t="s">
        <v>13572</v>
      </c>
      <c r="K3090" s="5" t="s">
        <v>307</v>
      </c>
      <c r="L3090" s="5" t="s">
        <v>13573</v>
      </c>
      <c r="M3090" s="5">
        <v>573243002224</v>
      </c>
      <c r="N3090" s="6">
        <v>46089</v>
      </c>
      <c r="O3090" s="7">
        <v>0.45833333333333331</v>
      </c>
      <c r="P3090" s="5">
        <v>1</v>
      </c>
      <c r="Q3090" s="5" t="s">
        <v>13079</v>
      </c>
      <c r="R3090" s="5">
        <v>170000</v>
      </c>
      <c r="S3090" s="5">
        <v>0</v>
      </c>
      <c r="T3090" s="5">
        <v>10000</v>
      </c>
      <c r="U3090" s="5">
        <v>180000</v>
      </c>
      <c r="V3090" s="5" t="s">
        <v>13574</v>
      </c>
      <c r="W3090" s="5" t="s">
        <v>36</v>
      </c>
      <c r="X3090" s="5" t="s">
        <v>12646</v>
      </c>
      <c r="Z3090" s="5" t="s">
        <v>13575</v>
      </c>
      <c r="AA3090" s="5" t="s">
        <v>44</v>
      </c>
      <c r="AB3090" s="5"/>
      <c r="AC3090" s="8" t="str">
        <f>HYPERLINK("https://drive.google.com/file/d/1gEbHVfQjL65nT-nj5nudPa2UMYg-Yjg8/view?usp=drivesdk", "Abrir_Factura")</f>
        <v>Abrir_Factura</v>
      </c>
      <c r="AD3090" s="9">
        <v>46088.692858796298</v>
      </c>
    </row>
    <row r="3091" spans="1:30" ht="12.5">
      <c r="A3091" s="4">
        <v>46088.649601817131</v>
      </c>
      <c r="B3091" s="5">
        <v>92821</v>
      </c>
      <c r="C3091" s="5">
        <v>84452301</v>
      </c>
      <c r="D3091" s="5" t="s">
        <v>13576</v>
      </c>
      <c r="F3091" s="5"/>
      <c r="H3091" s="5">
        <v>573004522108</v>
      </c>
      <c r="J3091" s="5" t="s">
        <v>13576</v>
      </c>
      <c r="K3091" s="5" t="s">
        <v>33</v>
      </c>
      <c r="L3091" s="5" t="s">
        <v>49</v>
      </c>
      <c r="M3091" s="5">
        <v>573242814915</v>
      </c>
      <c r="N3091" s="6">
        <v>46088</v>
      </c>
      <c r="O3091" s="7">
        <v>0.16666666666666666</v>
      </c>
      <c r="P3091" s="5">
        <v>1</v>
      </c>
      <c r="Q3091" s="5" t="s">
        <v>42</v>
      </c>
      <c r="R3091" s="5">
        <v>80000</v>
      </c>
      <c r="S3091" s="5">
        <v>0</v>
      </c>
      <c r="T3091" s="5">
        <v>0</v>
      </c>
      <c r="U3091" s="5">
        <v>80000</v>
      </c>
      <c r="V3091" s="5" t="s">
        <v>13577</v>
      </c>
      <c r="W3091" s="5" t="s">
        <v>36</v>
      </c>
      <c r="X3091" s="5" t="s">
        <v>1705</v>
      </c>
      <c r="Z3091" s="5"/>
      <c r="AA3091" s="5" t="s">
        <v>69</v>
      </c>
      <c r="AB3091" s="5" t="s">
        <v>13578</v>
      </c>
      <c r="AC3091" s="8" t="str">
        <f>HYPERLINK("https://drive.google.com/file/d/1O1Xi6zZXHImMzL5omY5w1FZ-vxw2qh8m/view?usp=drivesdk", "Abrir_Factura")</f>
        <v>Abrir_Factura</v>
      </c>
      <c r="AD3091" s="9">
        <v>46088.651469907411</v>
      </c>
    </row>
    <row r="3092" spans="1:30" ht="12.5">
      <c r="A3092" s="4">
        <v>46088.650587141208</v>
      </c>
      <c r="B3092" s="5">
        <v>92832</v>
      </c>
      <c r="C3092" s="5">
        <v>1140863160</v>
      </c>
      <c r="D3092" s="5" t="s">
        <v>13579</v>
      </c>
      <c r="F3092" s="5"/>
      <c r="H3092" s="5">
        <v>573008049549</v>
      </c>
      <c r="J3092" s="5" t="s">
        <v>13580</v>
      </c>
      <c r="K3092" s="5" t="s">
        <v>307</v>
      </c>
      <c r="L3092" s="5" t="s">
        <v>13581</v>
      </c>
      <c r="M3092" s="5">
        <v>573008049549</v>
      </c>
      <c r="N3092" s="6">
        <v>46089</v>
      </c>
      <c r="O3092" s="7">
        <v>0.41666666666666669</v>
      </c>
      <c r="P3092" s="5">
        <v>1</v>
      </c>
      <c r="Q3092" s="5" t="s">
        <v>13582</v>
      </c>
      <c r="R3092" s="5">
        <v>130000</v>
      </c>
      <c r="S3092" s="5">
        <v>0</v>
      </c>
      <c r="T3092" s="5">
        <v>10000</v>
      </c>
      <c r="U3092" s="5">
        <v>140000</v>
      </c>
      <c r="V3092" s="5" t="s">
        <v>13583</v>
      </c>
      <c r="W3092" s="5" t="s">
        <v>36</v>
      </c>
      <c r="X3092" s="5" t="s">
        <v>12646</v>
      </c>
      <c r="Z3092" s="5" t="s">
        <v>13584</v>
      </c>
      <c r="AA3092" s="5" t="s">
        <v>44</v>
      </c>
      <c r="AB3092" s="5"/>
      <c r="AC3092" s="8" t="str">
        <f>HYPERLINK("https://drive.google.com/file/d/1HpA5cTvlAGLNY2MIoOIfeMfJo3gOC1Rl/view?usp=drivesdk", "Abrir_Factura")</f>
        <v>Abrir_Factura</v>
      </c>
      <c r="AD3092" s="9">
        <v>46088.687106481484</v>
      </c>
    </row>
    <row r="3093" spans="1:30" ht="12.5">
      <c r="A3093" s="4">
        <v>46088.661103703707</v>
      </c>
      <c r="B3093" s="5">
        <v>92834</v>
      </c>
      <c r="C3093" s="5">
        <v>1129569178</v>
      </c>
      <c r="D3093" s="5" t="s">
        <v>13585</v>
      </c>
      <c r="F3093" s="5"/>
      <c r="H3093" s="5">
        <v>573004918707</v>
      </c>
      <c r="J3093" s="5" t="s">
        <v>13586</v>
      </c>
      <c r="K3093" s="5" t="s">
        <v>63</v>
      </c>
      <c r="L3093" s="5" t="s">
        <v>13587</v>
      </c>
      <c r="M3093" s="5">
        <v>573004918707</v>
      </c>
      <c r="N3093" s="6">
        <v>46088</v>
      </c>
      <c r="O3093" s="7">
        <v>0.75</v>
      </c>
      <c r="P3093" s="5">
        <v>1</v>
      </c>
      <c r="Q3093" s="5" t="s">
        <v>13336</v>
      </c>
      <c r="R3093" s="5">
        <v>210000</v>
      </c>
      <c r="S3093" s="5">
        <v>0</v>
      </c>
      <c r="T3093" s="5">
        <v>17000</v>
      </c>
      <c r="U3093" s="5">
        <v>227000</v>
      </c>
      <c r="V3093" s="5" t="s">
        <v>13588</v>
      </c>
      <c r="W3093" s="5" t="s">
        <v>36</v>
      </c>
      <c r="X3093" s="5" t="s">
        <v>12646</v>
      </c>
      <c r="Z3093" s="5" t="s">
        <v>13589</v>
      </c>
      <c r="AA3093" s="5" t="s">
        <v>44</v>
      </c>
      <c r="AB3093" s="5"/>
      <c r="AC3093" s="8" t="str">
        <f>HYPERLINK("https://drive.google.com/file/d/1JKXobp2sYtRyhOxlq_nPxV1DOHWHppi9/view?usp=drivesdk", "Abrir_Factura")</f>
        <v>Abrir_Factura</v>
      </c>
      <c r="AD3093" s="9">
        <v>46088.684641203705</v>
      </c>
    </row>
    <row r="3094" spans="1:30" ht="12.5">
      <c r="A3094" s="4">
        <v>46088.662006423612</v>
      </c>
      <c r="B3094" s="5">
        <v>92828</v>
      </c>
      <c r="C3094" s="10" t="s">
        <v>13590</v>
      </c>
      <c r="D3094" s="5" t="s">
        <v>13591</v>
      </c>
      <c r="F3094" s="5"/>
      <c r="H3094" s="5">
        <v>573015883041</v>
      </c>
      <c r="J3094" s="5" t="s">
        <v>13592</v>
      </c>
      <c r="K3094" s="5" t="s">
        <v>193</v>
      </c>
      <c r="L3094" s="5" t="s">
        <v>13593</v>
      </c>
      <c r="M3094" s="5">
        <v>573014145481</v>
      </c>
      <c r="N3094" s="6">
        <v>46089</v>
      </c>
      <c r="O3094" s="7">
        <v>0.41666666666666669</v>
      </c>
      <c r="P3094" s="5">
        <v>1</v>
      </c>
      <c r="Q3094" s="5" t="s">
        <v>12724</v>
      </c>
      <c r="R3094" s="5">
        <v>150000</v>
      </c>
      <c r="S3094" s="5">
        <v>0</v>
      </c>
      <c r="T3094" s="5">
        <v>15000</v>
      </c>
      <c r="U3094" s="5">
        <v>165000</v>
      </c>
      <c r="V3094" s="5" t="s">
        <v>13594</v>
      </c>
      <c r="W3094" s="5" t="s">
        <v>36</v>
      </c>
      <c r="X3094" s="5" t="s">
        <v>12646</v>
      </c>
      <c r="Z3094" s="5" t="s">
        <v>10137</v>
      </c>
      <c r="AA3094" s="5" t="s">
        <v>44</v>
      </c>
      <c r="AB3094" s="5" t="s">
        <v>13595</v>
      </c>
      <c r="AC3094" s="8" t="str">
        <f>HYPERLINK("https://drive.google.com/file/d/1qJYGjiCwznSAWCNBJLht8LRPGYo9j-ue/view?usp=drivesdk", "Abrir_Factura")</f>
        <v>Abrir_Factura</v>
      </c>
      <c r="AD3094" s="9">
        <v>46088.668344907404</v>
      </c>
    </row>
    <row r="3095" spans="1:30" ht="12.5">
      <c r="A3095" s="4">
        <v>46088.669020486108</v>
      </c>
      <c r="B3095" s="5">
        <v>92848</v>
      </c>
      <c r="C3095" s="5">
        <v>22736099</v>
      </c>
      <c r="D3095" s="5" t="s">
        <v>13185</v>
      </c>
      <c r="F3095" s="5"/>
      <c r="H3095" s="5">
        <v>573126810333</v>
      </c>
      <c r="J3095" s="5" t="s">
        <v>13185</v>
      </c>
      <c r="K3095" s="5" t="s">
        <v>6905</v>
      </c>
      <c r="L3095" s="5" t="s">
        <v>13596</v>
      </c>
      <c r="M3095" s="5">
        <v>573126810333</v>
      </c>
      <c r="N3095" s="6">
        <v>46088</v>
      </c>
      <c r="O3095" s="7">
        <v>0.75</v>
      </c>
      <c r="P3095" s="5">
        <v>1</v>
      </c>
      <c r="Q3095" s="5" t="s">
        <v>13597</v>
      </c>
      <c r="R3095" s="5">
        <v>220000</v>
      </c>
      <c r="S3095" s="5">
        <v>0</v>
      </c>
      <c r="T3095" s="5">
        <v>25000</v>
      </c>
      <c r="U3095" s="5">
        <v>245000</v>
      </c>
      <c r="V3095" s="5" t="s">
        <v>13598</v>
      </c>
      <c r="W3095" s="5" t="s">
        <v>36</v>
      </c>
      <c r="X3095" s="5" t="s">
        <v>12646</v>
      </c>
      <c r="Z3095" s="5" t="s">
        <v>13599</v>
      </c>
      <c r="AA3095" s="5" t="s">
        <v>44</v>
      </c>
      <c r="AB3095" s="5" t="s">
        <v>13600</v>
      </c>
      <c r="AC3095" s="8" t="str">
        <f>HYPERLINK("https://drive.google.com/file/d/1grg1UrnqWCUApcjwrAh050izDpTmXqEB/view?usp=drivesdk", "Abrir_Factura")</f>
        <v>Abrir_Factura</v>
      </c>
      <c r="AD3095" s="9">
        <v>46088.722581018519</v>
      </c>
    </row>
    <row r="3096" spans="1:30" ht="12.5">
      <c r="A3096" s="4">
        <v>46088.676665856481</v>
      </c>
      <c r="B3096" s="5">
        <v>92830</v>
      </c>
      <c r="C3096" s="5">
        <v>1045715294</v>
      </c>
      <c r="D3096" s="5" t="s">
        <v>12968</v>
      </c>
      <c r="F3096" s="5"/>
      <c r="H3096" s="5">
        <v>573504438774</v>
      </c>
      <c r="J3096" s="5" t="s">
        <v>13601</v>
      </c>
      <c r="K3096" s="5" t="s">
        <v>726</v>
      </c>
      <c r="L3096" s="5" t="s">
        <v>13602</v>
      </c>
      <c r="M3096" s="5">
        <v>573000000000</v>
      </c>
      <c r="N3096" s="6">
        <v>46089</v>
      </c>
      <c r="O3096" s="7">
        <v>0.33333333333333331</v>
      </c>
      <c r="P3096" s="5">
        <v>1</v>
      </c>
      <c r="Q3096" s="5" t="s">
        <v>42</v>
      </c>
      <c r="R3096" s="5">
        <v>140000</v>
      </c>
      <c r="S3096" s="5">
        <v>0</v>
      </c>
      <c r="T3096" s="5">
        <v>9000</v>
      </c>
      <c r="U3096" s="5">
        <v>149000</v>
      </c>
      <c r="V3096" s="5" t="s">
        <v>13603</v>
      </c>
      <c r="W3096" s="5" t="s">
        <v>36</v>
      </c>
      <c r="X3096" s="5" t="s">
        <v>12646</v>
      </c>
      <c r="Z3096" s="5"/>
      <c r="AA3096" s="5" t="s">
        <v>44</v>
      </c>
      <c r="AB3096" s="5" t="s">
        <v>13604</v>
      </c>
      <c r="AC3096" s="8" t="str">
        <f>HYPERLINK("https://drive.google.com/file/d/1jwpKU2pCgIppW-HD62xUNPrGybNx8KRf/view?usp=drivesdk", "Abrir_Factura")</f>
        <v>Abrir_Factura</v>
      </c>
      <c r="AD3096" s="9">
        <v>46088.677268518521</v>
      </c>
    </row>
    <row r="3097" spans="1:30" ht="12.5">
      <c r="A3097" s="4">
        <v>46088.67969167824</v>
      </c>
      <c r="B3097" s="5">
        <v>92867</v>
      </c>
      <c r="C3097" s="5">
        <v>1041693339</v>
      </c>
      <c r="D3097" s="5" t="s">
        <v>13605</v>
      </c>
      <c r="F3097" s="5"/>
      <c r="H3097" s="5">
        <v>573243585945</v>
      </c>
      <c r="J3097" s="5" t="s">
        <v>13606</v>
      </c>
      <c r="K3097" s="5" t="s">
        <v>9925</v>
      </c>
      <c r="L3097" s="5" t="s">
        <v>13607</v>
      </c>
      <c r="M3097" s="5">
        <v>573243585945</v>
      </c>
      <c r="N3097" s="6">
        <v>46089</v>
      </c>
      <c r="O3097" s="7">
        <v>0.5</v>
      </c>
      <c r="P3097" s="5">
        <v>1</v>
      </c>
      <c r="Q3097" s="5" t="s">
        <v>13608</v>
      </c>
      <c r="R3097" s="5">
        <v>320000</v>
      </c>
      <c r="S3097" s="5">
        <v>0</v>
      </c>
      <c r="T3097" s="5">
        <v>11000</v>
      </c>
      <c r="U3097" s="5">
        <v>331000</v>
      </c>
      <c r="V3097" s="5" t="s">
        <v>13609</v>
      </c>
      <c r="W3097" s="5" t="s">
        <v>36</v>
      </c>
      <c r="X3097" s="5" t="s">
        <v>12646</v>
      </c>
      <c r="Z3097" s="5" t="s">
        <v>13610</v>
      </c>
      <c r="AA3097" s="5" t="s">
        <v>44</v>
      </c>
      <c r="AB3097" s="5" t="s">
        <v>13611</v>
      </c>
      <c r="AC3097" s="8" t="str">
        <f>HYPERLINK("https://drive.google.com/file/d/1jKeqNs1bv1ZovC3hNu3iTqeh7m2MqWXh/view?usp=drivesdk", "Abrir_Factura")</f>
        <v>Abrir_Factura</v>
      </c>
      <c r="AD3097" s="9">
        <v>46088.77747685185</v>
      </c>
    </row>
    <row r="3098" spans="1:30" ht="12.5">
      <c r="A3098" s="4">
        <v>46088.680116527779</v>
      </c>
      <c r="B3098" s="5">
        <v>92833</v>
      </c>
      <c r="C3098" s="5">
        <v>9014271967</v>
      </c>
      <c r="D3098" s="5" t="s">
        <v>13612</v>
      </c>
      <c r="F3098" s="5"/>
      <c r="H3098" s="5">
        <v>573003858601</v>
      </c>
      <c r="J3098" s="5" t="s">
        <v>13612</v>
      </c>
      <c r="K3098" s="5" t="s">
        <v>12657</v>
      </c>
      <c r="L3098" s="5" t="s">
        <v>12657</v>
      </c>
      <c r="M3098" s="5">
        <v>573003858601</v>
      </c>
      <c r="N3098" s="6">
        <v>46088</v>
      </c>
      <c r="O3098" s="7">
        <v>0</v>
      </c>
      <c r="P3098" s="5">
        <v>1</v>
      </c>
      <c r="Q3098" s="5" t="s">
        <v>42</v>
      </c>
      <c r="R3098" s="5">
        <v>450000</v>
      </c>
      <c r="S3098" s="5">
        <v>85500</v>
      </c>
      <c r="T3098" s="5"/>
      <c r="U3098" s="5">
        <v>535500</v>
      </c>
      <c r="V3098" s="5"/>
      <c r="W3098" s="5" t="s">
        <v>36</v>
      </c>
      <c r="X3098" s="5" t="s">
        <v>2636</v>
      </c>
      <c r="Z3098" s="5"/>
      <c r="AA3098" s="5" t="s">
        <v>1717</v>
      </c>
      <c r="AB3098" s="5"/>
      <c r="AC3098" s="8" t="str">
        <f>HYPERLINK("https://drive.google.com/file/d/17u3M3KoSOveihB_O-Q4pB4nfgq7yvvcA/view?usp=drivesdk", "Abrir_Factura")</f>
        <v>Abrir_Factura</v>
      </c>
      <c r="AD3098" s="9">
        <v>46088.68141203704</v>
      </c>
    </row>
    <row r="3099" spans="1:30" ht="12.5">
      <c r="A3099" s="4">
        <v>46088.683641990741</v>
      </c>
      <c r="B3099" s="5">
        <v>92856</v>
      </c>
      <c r="C3099" s="5">
        <v>1007603910</v>
      </c>
      <c r="D3099" s="5" t="s">
        <v>13613</v>
      </c>
      <c r="F3099" s="5"/>
      <c r="H3099" s="5">
        <v>573156670982</v>
      </c>
      <c r="J3099" s="5" t="s">
        <v>13614</v>
      </c>
      <c r="K3099" s="5" t="s">
        <v>63</v>
      </c>
      <c r="L3099" s="5" t="s">
        <v>13615</v>
      </c>
      <c r="M3099" s="5">
        <v>573185779237</v>
      </c>
      <c r="N3099" s="6">
        <v>46089</v>
      </c>
      <c r="O3099" s="7">
        <v>0.5</v>
      </c>
      <c r="P3099" s="5">
        <v>1</v>
      </c>
      <c r="Q3099" s="5" t="s">
        <v>13074</v>
      </c>
      <c r="R3099" s="5">
        <v>350000</v>
      </c>
      <c r="S3099" s="5">
        <v>0</v>
      </c>
      <c r="T3099" s="5">
        <v>17000</v>
      </c>
      <c r="U3099" s="5">
        <v>367000</v>
      </c>
      <c r="V3099" s="5" t="s">
        <v>13616</v>
      </c>
      <c r="W3099" s="5" t="s">
        <v>36</v>
      </c>
      <c r="X3099" s="5" t="s">
        <v>12646</v>
      </c>
      <c r="Z3099" s="5" t="s">
        <v>13617</v>
      </c>
      <c r="AA3099" s="5" t="s">
        <v>44</v>
      </c>
      <c r="AB3099" s="5"/>
      <c r="AC3099" s="8" t="str">
        <f>HYPERLINK("https://drive.google.com/file/d/1e4xwqty9CnuTVIScH0TA-kcCf3HC2HbI/view?usp=drivesdk", "Abrir_Factura")</f>
        <v>Abrir_Factura</v>
      </c>
      <c r="AD3099" s="9">
        <v>46088.740219907406</v>
      </c>
    </row>
    <row r="3100" spans="1:30" ht="12.5">
      <c r="A3100" s="4">
        <v>46088.69038630787</v>
      </c>
      <c r="B3100" s="5">
        <v>92839</v>
      </c>
      <c r="C3100" s="5">
        <v>1096034679</v>
      </c>
      <c r="D3100" s="5" t="s">
        <v>13618</v>
      </c>
      <c r="F3100" s="5"/>
      <c r="H3100" s="5">
        <v>573125118337</v>
      </c>
      <c r="J3100" s="5" t="s">
        <v>4952</v>
      </c>
      <c r="K3100" s="5" t="s">
        <v>146</v>
      </c>
      <c r="L3100" s="5" t="s">
        <v>13619</v>
      </c>
      <c r="M3100" s="5">
        <v>573226529301</v>
      </c>
      <c r="N3100" s="6">
        <v>46089</v>
      </c>
      <c r="O3100" s="7">
        <v>0.45833333333333331</v>
      </c>
      <c r="P3100" s="5">
        <v>1</v>
      </c>
      <c r="Q3100" s="5" t="s">
        <v>12406</v>
      </c>
      <c r="R3100" s="5">
        <v>90000</v>
      </c>
      <c r="S3100" s="5">
        <v>0</v>
      </c>
      <c r="T3100" s="5">
        <v>15000</v>
      </c>
      <c r="U3100" s="5">
        <v>105000</v>
      </c>
      <c r="V3100" s="5" t="s">
        <v>13620</v>
      </c>
      <c r="W3100" s="5" t="s">
        <v>36</v>
      </c>
      <c r="X3100" s="5" t="s">
        <v>12646</v>
      </c>
      <c r="Z3100" s="5" t="s">
        <v>13621</v>
      </c>
      <c r="AA3100" s="5" t="s">
        <v>44</v>
      </c>
      <c r="AB3100" s="5"/>
      <c r="AC3100" s="8" t="str">
        <f>HYPERLINK("https://drive.google.com/file/d/1UHBc2UinJqmq--HME4Fc9teRGPkMBp1R/view?usp=drivesdk", "Abrir_Factura")</f>
        <v>Abrir_Factura</v>
      </c>
      <c r="AD3100" s="9">
        <v>46088.698159722226</v>
      </c>
    </row>
    <row r="3101" spans="1:30" ht="12.5">
      <c r="A3101" s="4">
        <v>46088.691075451388</v>
      </c>
      <c r="B3101" s="5">
        <v>92845</v>
      </c>
      <c r="C3101" s="5">
        <v>80200237</v>
      </c>
      <c r="D3101" s="5" t="s">
        <v>13622</v>
      </c>
      <c r="F3101" s="5"/>
      <c r="H3101" s="5">
        <v>3103615061</v>
      </c>
      <c r="J3101" s="5" t="s">
        <v>13623</v>
      </c>
      <c r="K3101" s="5" t="s">
        <v>930</v>
      </c>
      <c r="L3101" s="5" t="s">
        <v>13624</v>
      </c>
      <c r="M3101" s="5">
        <v>573008157380</v>
      </c>
      <c r="N3101" s="6">
        <v>46089</v>
      </c>
      <c r="O3101" s="7">
        <v>0.45833333333333331</v>
      </c>
      <c r="P3101" s="5">
        <v>1</v>
      </c>
      <c r="Q3101" s="5" t="s">
        <v>13531</v>
      </c>
      <c r="R3101" s="5">
        <v>200000</v>
      </c>
      <c r="S3101" s="5">
        <v>0</v>
      </c>
      <c r="T3101" s="5">
        <v>30000</v>
      </c>
      <c r="U3101" s="5">
        <v>230000</v>
      </c>
      <c r="V3101" s="5" t="s">
        <v>13625</v>
      </c>
      <c r="W3101" s="5" t="s">
        <v>36</v>
      </c>
      <c r="X3101" s="5" t="s">
        <v>12646</v>
      </c>
      <c r="Z3101" s="5"/>
      <c r="AA3101" s="5" t="s">
        <v>44</v>
      </c>
      <c r="AB3101" s="5"/>
      <c r="AC3101" s="8" t="str">
        <f>HYPERLINK("https://drive.google.com/file/d/1QaUzZFkf90cuaiW9Ax-LJPzUBu-veWJG/view?usp=drivesdk", "Abrir_Factura")</f>
        <v>Abrir_Factura</v>
      </c>
      <c r="AD3101" s="9">
        <v>46088.713379629633</v>
      </c>
    </row>
    <row r="3102" spans="1:30" ht="12.5">
      <c r="A3102" s="4">
        <v>46088.691361562502</v>
      </c>
      <c r="B3102" s="5">
        <v>92842</v>
      </c>
      <c r="C3102" s="5">
        <v>72346037</v>
      </c>
      <c r="D3102" s="5" t="s">
        <v>13626</v>
      </c>
      <c r="F3102" s="5"/>
      <c r="H3102" s="5">
        <v>573186000036</v>
      </c>
      <c r="J3102" s="5" t="s">
        <v>13627</v>
      </c>
      <c r="K3102" s="5" t="s">
        <v>73</v>
      </c>
      <c r="L3102" s="5" t="s">
        <v>13628</v>
      </c>
      <c r="M3102" s="5">
        <v>573156706066</v>
      </c>
      <c r="N3102" s="6">
        <v>46089</v>
      </c>
      <c r="O3102" s="7">
        <v>0.45833333333333331</v>
      </c>
      <c r="P3102" s="5">
        <v>1</v>
      </c>
      <c r="Q3102" s="5" t="s">
        <v>12701</v>
      </c>
      <c r="R3102" s="5">
        <v>150000</v>
      </c>
      <c r="S3102" s="5">
        <v>0</v>
      </c>
      <c r="T3102" s="5">
        <v>8000</v>
      </c>
      <c r="U3102" s="5">
        <v>158000</v>
      </c>
      <c r="V3102" s="5" t="s">
        <v>13629</v>
      </c>
      <c r="W3102" s="5" t="s">
        <v>36</v>
      </c>
      <c r="X3102" s="5" t="s">
        <v>12646</v>
      </c>
      <c r="Z3102" s="5" t="s">
        <v>13630</v>
      </c>
      <c r="AA3102" s="5" t="s">
        <v>44</v>
      </c>
      <c r="AB3102" s="5"/>
      <c r="AC3102" s="8" t="str">
        <f>HYPERLINK("https://drive.google.com/file/d/17ic3fEX8wx5Qt-dVXaqqt4xn8ZXFEnQv/view?usp=drivesdk", "Abrir_Factura")</f>
        <v>Abrir_Factura</v>
      </c>
      <c r="AD3102" s="9">
        <v>46088.70988425926</v>
      </c>
    </row>
    <row r="3103" spans="1:30" ht="12.5">
      <c r="A3103" s="4">
        <v>46088.692084837967</v>
      </c>
      <c r="B3103" s="5">
        <v>92840</v>
      </c>
      <c r="C3103" s="5">
        <v>1001780688</v>
      </c>
      <c r="D3103" s="5" t="s">
        <v>13475</v>
      </c>
      <c r="F3103" s="5"/>
      <c r="H3103" s="5">
        <v>573174870896</v>
      </c>
      <c r="J3103" s="5" t="s">
        <v>13631</v>
      </c>
      <c r="K3103" s="5" t="s">
        <v>73</v>
      </c>
      <c r="L3103" s="5" t="s">
        <v>13632</v>
      </c>
      <c r="M3103" s="5">
        <v>573174870896</v>
      </c>
      <c r="N3103" s="6">
        <v>46089</v>
      </c>
      <c r="O3103" s="7">
        <v>0.45833333333333331</v>
      </c>
      <c r="P3103" s="5">
        <v>1</v>
      </c>
      <c r="Q3103" s="5" t="s">
        <v>12437</v>
      </c>
      <c r="R3103" s="5">
        <v>250000</v>
      </c>
      <c r="S3103" s="5">
        <v>0</v>
      </c>
      <c r="T3103" s="5">
        <v>8000</v>
      </c>
      <c r="U3103" s="5">
        <v>258000</v>
      </c>
      <c r="V3103" s="5" t="s">
        <v>13633</v>
      </c>
      <c r="W3103" s="5" t="s">
        <v>36</v>
      </c>
      <c r="X3103" s="5" t="s">
        <v>12646</v>
      </c>
      <c r="Z3103" s="5" t="s">
        <v>13634</v>
      </c>
      <c r="AA3103" s="5" t="s">
        <v>44</v>
      </c>
      <c r="AB3103" s="5"/>
      <c r="AC3103" s="8" t="str">
        <f>HYPERLINK("https://drive.google.com/file/d/1wpFLf66EiYMt8EfMEde8ByT_fKR5f6KC/view?usp=drivesdk", "Abrir_Factura")</f>
        <v>Abrir_Factura</v>
      </c>
      <c r="AD3103" s="9">
        <v>46088.700254629628</v>
      </c>
    </row>
    <row r="3104" spans="1:30" ht="12.5">
      <c r="A3104" s="4">
        <v>46088.692590300925</v>
      </c>
      <c r="B3104" s="5">
        <v>92838</v>
      </c>
      <c r="C3104" s="5">
        <v>1042850194</v>
      </c>
      <c r="D3104" s="5" t="s">
        <v>13635</v>
      </c>
      <c r="F3104" s="5"/>
      <c r="H3104" s="5">
        <v>573244495614</v>
      </c>
      <c r="J3104" s="5" t="s">
        <v>13635</v>
      </c>
      <c r="K3104" s="5" t="s">
        <v>12657</v>
      </c>
      <c r="L3104" s="5" t="s">
        <v>12657</v>
      </c>
      <c r="M3104" s="5">
        <v>573244495614</v>
      </c>
      <c r="N3104" s="6">
        <v>46088</v>
      </c>
      <c r="O3104" s="7">
        <v>0</v>
      </c>
      <c r="P3104" s="5">
        <v>1</v>
      </c>
      <c r="Q3104" s="5" t="s">
        <v>42</v>
      </c>
      <c r="R3104" s="5">
        <v>45000</v>
      </c>
      <c r="S3104" s="5">
        <v>0</v>
      </c>
      <c r="T3104" s="5"/>
      <c r="U3104" s="5">
        <v>45000</v>
      </c>
      <c r="V3104" s="5"/>
      <c r="W3104" s="5" t="s">
        <v>36</v>
      </c>
      <c r="X3104" s="5" t="s">
        <v>196</v>
      </c>
      <c r="Z3104" s="5"/>
      <c r="AA3104" s="5" t="s">
        <v>1717</v>
      </c>
      <c r="AB3104" s="5"/>
      <c r="AC3104" s="8" t="str">
        <f>HYPERLINK("https://drive.google.com/file/d/1mHrMn2fE10ppq1rW4WLPGLwIGiAgAHNt/view?usp=drivesdk", "Abrir_Factura")</f>
        <v>Abrir_Factura</v>
      </c>
      <c r="AD3104" s="9">
        <v>46088.693854166668</v>
      </c>
    </row>
    <row r="3105" spans="1:30" ht="12.5">
      <c r="A3105" s="4">
        <v>46088.693601678242</v>
      </c>
      <c r="B3105" s="5">
        <v>92859</v>
      </c>
      <c r="C3105" s="5">
        <v>1140832141</v>
      </c>
      <c r="D3105" s="5" t="s">
        <v>13636</v>
      </c>
      <c r="F3105" s="5"/>
      <c r="H3105" s="5">
        <v>573106407759</v>
      </c>
      <c r="J3105" s="5" t="s">
        <v>13637</v>
      </c>
      <c r="K3105" s="5" t="s">
        <v>161</v>
      </c>
      <c r="L3105" s="5" t="s">
        <v>13638</v>
      </c>
      <c r="M3105" s="5">
        <v>573007895738</v>
      </c>
      <c r="N3105" s="6">
        <v>46089</v>
      </c>
      <c r="O3105" s="7">
        <v>0.5</v>
      </c>
      <c r="P3105" s="5">
        <v>1</v>
      </c>
      <c r="Q3105" s="5" t="s">
        <v>13639</v>
      </c>
      <c r="R3105" s="5">
        <v>90000</v>
      </c>
      <c r="S3105" s="5">
        <v>0</v>
      </c>
      <c r="T3105" s="5">
        <v>8000</v>
      </c>
      <c r="U3105" s="5">
        <v>98000</v>
      </c>
      <c r="V3105" s="5" t="s">
        <v>13640</v>
      </c>
      <c r="W3105" s="5" t="s">
        <v>36</v>
      </c>
      <c r="X3105" s="5" t="s">
        <v>1937</v>
      </c>
      <c r="Z3105" s="5" t="s">
        <v>13641</v>
      </c>
      <c r="AA3105" s="5" t="s">
        <v>44</v>
      </c>
      <c r="AB3105" s="5"/>
      <c r="AC3105" s="8" t="str">
        <f>HYPERLINK("https://drive.google.com/file/d/1lmDaUjeue0p6FHqRN46Hy3B_pVdg3bct/view?usp=drivesdk", "Abrir_Factura")</f>
        <v>Abrir_Factura</v>
      </c>
      <c r="AD3105" s="9">
        <v>46088.745324074072</v>
      </c>
    </row>
    <row r="3106" spans="1:30" ht="12.5">
      <c r="A3106" s="4">
        <v>46088.693669456014</v>
      </c>
      <c r="B3106" s="5">
        <v>92854</v>
      </c>
      <c r="C3106" s="5">
        <v>1079940497</v>
      </c>
      <c r="D3106" s="5" t="s">
        <v>13642</v>
      </c>
      <c r="F3106" s="5"/>
      <c r="H3106" s="5">
        <v>573013019698</v>
      </c>
      <c r="J3106" s="5" t="s">
        <v>738</v>
      </c>
      <c r="K3106" s="5" t="s">
        <v>265</v>
      </c>
      <c r="L3106" s="5" t="s">
        <v>13643</v>
      </c>
      <c r="M3106" s="5">
        <v>573014254024</v>
      </c>
      <c r="N3106" s="6">
        <v>46089</v>
      </c>
      <c r="O3106" s="7">
        <v>0.41666666666666669</v>
      </c>
      <c r="P3106" s="5">
        <v>1</v>
      </c>
      <c r="Q3106" s="5" t="s">
        <v>12728</v>
      </c>
      <c r="R3106" s="5">
        <v>120000</v>
      </c>
      <c r="S3106" s="5">
        <v>0</v>
      </c>
      <c r="T3106" s="5">
        <v>17000</v>
      </c>
      <c r="U3106" s="5">
        <v>137000</v>
      </c>
      <c r="V3106" s="5" t="s">
        <v>13644</v>
      </c>
      <c r="W3106" s="5" t="s">
        <v>36</v>
      </c>
      <c r="X3106" s="5" t="s">
        <v>12646</v>
      </c>
      <c r="Z3106" s="5"/>
      <c r="AA3106" s="5" t="s">
        <v>44</v>
      </c>
      <c r="AB3106" s="5"/>
      <c r="AC3106" s="8" t="str">
        <f>HYPERLINK("https://drive.google.com/file/d/1yTLF07Wq382UfmfS2MhFr6p6C4ZLzE2N/view?usp=drivesdk", "Abrir_Factura")</f>
        <v>Abrir_Factura</v>
      </c>
      <c r="AD3106" s="9">
        <v>46088.732615740744</v>
      </c>
    </row>
    <row r="3107" spans="1:30" ht="12.5">
      <c r="A3107" s="4">
        <v>46088.696367418983</v>
      </c>
      <c r="B3107" s="5">
        <v>92851</v>
      </c>
      <c r="C3107" s="5">
        <v>1051743942</v>
      </c>
      <c r="D3107" s="5" t="s">
        <v>13645</v>
      </c>
      <c r="F3107" s="5"/>
      <c r="H3107" s="5">
        <v>573233315915</v>
      </c>
      <c r="J3107" s="5" t="s">
        <v>13646</v>
      </c>
      <c r="K3107" s="5" t="s">
        <v>11267</v>
      </c>
      <c r="L3107" s="5" t="s">
        <v>13647</v>
      </c>
      <c r="M3107" s="5">
        <v>573147853196</v>
      </c>
      <c r="N3107" s="6">
        <v>46089</v>
      </c>
      <c r="O3107" s="7">
        <v>0.33333333333333331</v>
      </c>
      <c r="P3107" s="5">
        <v>1</v>
      </c>
      <c r="Q3107" s="5" t="s">
        <v>13648</v>
      </c>
      <c r="R3107" s="5">
        <v>170000</v>
      </c>
      <c r="S3107" s="5">
        <v>0</v>
      </c>
      <c r="T3107" s="5">
        <v>35000</v>
      </c>
      <c r="U3107" s="5">
        <v>205000</v>
      </c>
      <c r="V3107" s="5" t="s">
        <v>13649</v>
      </c>
      <c r="W3107" s="5" t="s">
        <v>36</v>
      </c>
      <c r="X3107" s="5" t="s">
        <v>12646</v>
      </c>
      <c r="Z3107" s="5" t="s">
        <v>13650</v>
      </c>
      <c r="AA3107" s="5" t="s">
        <v>44</v>
      </c>
      <c r="AB3107" s="5" t="s">
        <v>9771</v>
      </c>
      <c r="AC3107" s="8" t="str">
        <f>HYPERLINK("https://drive.google.com/file/d/1pyypYKaJgbFD_2yMfm0FJxVEGIkceDZF/view?usp=drivesdk", "Abrir_Factura")</f>
        <v>Abrir_Factura</v>
      </c>
      <c r="AD3107" s="9">
        <v>46088.729930555557</v>
      </c>
    </row>
    <row r="3108" spans="1:30" ht="12.5">
      <c r="A3108" s="4">
        <v>46088.696607511578</v>
      </c>
      <c r="B3108" s="5">
        <v>92862</v>
      </c>
      <c r="C3108" s="5">
        <v>1006746018</v>
      </c>
      <c r="D3108" s="5" t="s">
        <v>13651</v>
      </c>
      <c r="F3108" s="5"/>
      <c r="H3108" s="5">
        <v>573052988140</v>
      </c>
      <c r="J3108" s="5" t="s">
        <v>13652</v>
      </c>
      <c r="K3108" s="5" t="s">
        <v>146</v>
      </c>
      <c r="L3108" s="5" t="s">
        <v>13653</v>
      </c>
      <c r="M3108" s="5">
        <v>573052988140</v>
      </c>
      <c r="N3108" s="6">
        <v>46089</v>
      </c>
      <c r="O3108" s="7">
        <v>0.5</v>
      </c>
      <c r="P3108" s="5">
        <v>1</v>
      </c>
      <c r="Q3108" s="5" t="s">
        <v>13654</v>
      </c>
      <c r="R3108" s="5">
        <v>80000</v>
      </c>
      <c r="S3108" s="5">
        <v>0</v>
      </c>
      <c r="T3108" s="5">
        <v>15000</v>
      </c>
      <c r="U3108" s="5">
        <v>95000</v>
      </c>
      <c r="V3108" s="5" t="s">
        <v>13655</v>
      </c>
      <c r="W3108" s="5" t="s">
        <v>36</v>
      </c>
      <c r="X3108" s="5" t="s">
        <v>12646</v>
      </c>
      <c r="Z3108" s="5" t="s">
        <v>13656</v>
      </c>
      <c r="AA3108" s="5" t="s">
        <v>44</v>
      </c>
      <c r="AB3108" s="5"/>
      <c r="AC3108" s="8" t="str">
        <f>HYPERLINK("https://drive.google.com/file/d/1dBjs-06xPD2mynNew-IkZStpwxOMlKfl/view?usp=drivesdk", "Abrir_Factura")</f>
        <v>Abrir_Factura</v>
      </c>
      <c r="AD3108" s="9">
        <v>46088.755335648151</v>
      </c>
    </row>
    <row r="3109" spans="1:30" ht="12.5">
      <c r="A3109" s="4">
        <v>46088.698142685185</v>
      </c>
      <c r="B3109" s="5">
        <v>92841</v>
      </c>
      <c r="C3109" s="5">
        <v>1143143970</v>
      </c>
      <c r="D3109" s="5" t="s">
        <v>13657</v>
      </c>
      <c r="F3109" s="5"/>
      <c r="H3109" s="5">
        <v>573007835381</v>
      </c>
      <c r="J3109" s="5" t="s">
        <v>13657</v>
      </c>
      <c r="K3109" s="5" t="s">
        <v>12657</v>
      </c>
      <c r="L3109" s="5" t="s">
        <v>12657</v>
      </c>
      <c r="M3109" s="5">
        <v>573007835381</v>
      </c>
      <c r="N3109" s="6">
        <v>46088</v>
      </c>
      <c r="O3109" s="7">
        <v>0</v>
      </c>
      <c r="P3109" s="5">
        <v>1</v>
      </c>
      <c r="Q3109" s="5" t="s">
        <v>42</v>
      </c>
      <c r="R3109" s="5">
        <v>80000</v>
      </c>
      <c r="S3109" s="5">
        <v>0</v>
      </c>
      <c r="T3109" s="5"/>
      <c r="U3109" s="5">
        <v>80000</v>
      </c>
      <c r="V3109" s="5"/>
      <c r="W3109" s="5" t="s">
        <v>36</v>
      </c>
      <c r="X3109" s="5" t="s">
        <v>1705</v>
      </c>
      <c r="Z3109" s="5"/>
      <c r="AA3109" s="5" t="s">
        <v>1717</v>
      </c>
      <c r="AB3109" s="5" t="s">
        <v>13658</v>
      </c>
      <c r="AC3109" s="8" t="str">
        <f>HYPERLINK("https://drive.google.com/file/d/1hYZY2N4BieAH4qcIFf0zXYRUY6eYO1mj/view?usp=drivesdk", "Abrir_Factura")</f>
        <v>Abrir_Factura</v>
      </c>
      <c r="AD3109" s="9">
        <v>46088.702141203707</v>
      </c>
    </row>
    <row r="3110" spans="1:30" ht="12.5">
      <c r="A3110" s="4">
        <v>46088.699478287039</v>
      </c>
      <c r="B3110" s="5">
        <v>92858</v>
      </c>
      <c r="C3110" s="5">
        <v>1003243633</v>
      </c>
      <c r="D3110" s="5" t="s">
        <v>13659</v>
      </c>
      <c r="F3110" s="5"/>
      <c r="H3110" s="5">
        <v>573205681382</v>
      </c>
      <c r="J3110" s="5" t="s">
        <v>13660</v>
      </c>
      <c r="K3110" s="5" t="s">
        <v>73</v>
      </c>
      <c r="L3110" s="5" t="s">
        <v>13661</v>
      </c>
      <c r="M3110" s="5">
        <v>573024235316</v>
      </c>
      <c r="N3110" s="6">
        <v>46089</v>
      </c>
      <c r="O3110" s="7">
        <v>0.375</v>
      </c>
      <c r="P3110" s="5">
        <v>1</v>
      </c>
      <c r="Q3110" s="5" t="s">
        <v>12423</v>
      </c>
      <c r="R3110" s="5">
        <v>80000</v>
      </c>
      <c r="S3110" s="5">
        <v>0</v>
      </c>
      <c r="T3110" s="5">
        <v>8000</v>
      </c>
      <c r="U3110" s="5">
        <v>88000</v>
      </c>
      <c r="V3110" s="5" t="s">
        <v>13662</v>
      </c>
      <c r="W3110" s="5" t="s">
        <v>36</v>
      </c>
      <c r="X3110" s="5" t="s">
        <v>12646</v>
      </c>
      <c r="Z3110" s="5" t="s">
        <v>290</v>
      </c>
      <c r="AA3110" s="5" t="s">
        <v>44</v>
      </c>
      <c r="AB3110" s="5"/>
      <c r="AC3110" s="8" t="str">
        <f>HYPERLINK("https://drive.google.com/file/d/1HDMBJWvrKmClWuRsjGopJKAX_m28lGCr/view?usp=drivesdk", "Abrir_Factura")</f>
        <v>Abrir_Factura</v>
      </c>
      <c r="AD3110" s="9">
        <v>46088.742384259262</v>
      </c>
    </row>
    <row r="3111" spans="1:30" ht="12.5">
      <c r="A3111" s="4">
        <v>46088.699771840278</v>
      </c>
      <c r="B3111" s="5">
        <v>92866</v>
      </c>
      <c r="C3111" s="5">
        <v>1140848726</v>
      </c>
      <c r="D3111" s="5" t="s">
        <v>13663</v>
      </c>
      <c r="F3111" s="5"/>
      <c r="H3111" s="5">
        <v>573138831564</v>
      </c>
      <c r="J3111" s="5" t="s">
        <v>13664</v>
      </c>
      <c r="K3111" s="5" t="s">
        <v>124</v>
      </c>
      <c r="L3111" s="5" t="s">
        <v>13665</v>
      </c>
      <c r="M3111" s="5">
        <v>573007389560</v>
      </c>
      <c r="N3111" s="6">
        <v>46089</v>
      </c>
      <c r="O3111" s="7">
        <v>4.1666666666666664E-2</v>
      </c>
      <c r="P3111" s="5">
        <v>1</v>
      </c>
      <c r="Q3111" s="5" t="s">
        <v>13483</v>
      </c>
      <c r="R3111" s="5">
        <v>150000</v>
      </c>
      <c r="S3111" s="5">
        <v>0</v>
      </c>
      <c r="T3111" s="5">
        <v>12000</v>
      </c>
      <c r="U3111" s="5">
        <v>162000</v>
      </c>
      <c r="V3111" s="5"/>
      <c r="W3111" s="5" t="s">
        <v>36</v>
      </c>
      <c r="X3111" s="5" t="s">
        <v>12646</v>
      </c>
      <c r="Z3111" s="5"/>
      <c r="AA3111" s="5" t="s">
        <v>44</v>
      </c>
      <c r="AB3111" s="5" t="s">
        <v>9771</v>
      </c>
      <c r="AC3111" s="8" t="str">
        <f>HYPERLINK("https://drive.google.com/file/d/1_THsw82GVDA4tI_RMniYCxmqVuCYB11x/view?usp=drivesdk", "Abrir_Factura")</f>
        <v>Abrir_Factura</v>
      </c>
      <c r="AD3111" s="9">
        <v>46088.77207175926</v>
      </c>
    </row>
    <row r="3112" spans="1:30" ht="12.5">
      <c r="A3112" s="4">
        <v>46088.702785092595</v>
      </c>
      <c r="B3112" s="5">
        <v>92873</v>
      </c>
      <c r="C3112" s="5">
        <v>1005280742</v>
      </c>
      <c r="D3112" s="5" t="s">
        <v>13666</v>
      </c>
      <c r="F3112" s="5"/>
      <c r="H3112" s="5">
        <v>573123838194</v>
      </c>
      <c r="J3112" s="5" t="s">
        <v>13666</v>
      </c>
      <c r="K3112" s="5" t="s">
        <v>12657</v>
      </c>
      <c r="L3112" s="5" t="s">
        <v>12657</v>
      </c>
      <c r="M3112" s="5">
        <v>573123838194</v>
      </c>
      <c r="N3112" s="6">
        <v>46089</v>
      </c>
      <c r="O3112" s="7">
        <v>0</v>
      </c>
      <c r="P3112" s="5">
        <v>1</v>
      </c>
      <c r="Q3112" s="5" t="s">
        <v>13667</v>
      </c>
      <c r="R3112" s="5">
        <v>80000</v>
      </c>
      <c r="S3112" s="5">
        <v>0</v>
      </c>
      <c r="T3112" s="5"/>
      <c r="U3112" s="5">
        <v>80000</v>
      </c>
      <c r="V3112" s="5" t="s">
        <v>13668</v>
      </c>
      <c r="W3112" s="5" t="s">
        <v>36</v>
      </c>
      <c r="X3112" s="5" t="s">
        <v>1937</v>
      </c>
      <c r="Z3112" s="5" t="s">
        <v>13669</v>
      </c>
      <c r="AA3112" s="5" t="s">
        <v>44</v>
      </c>
      <c r="AB3112" s="5"/>
      <c r="AC3112" s="8" t="str">
        <f>HYPERLINK("https://drive.google.com/file/d/1jYcMou5RNBXgdKYbBOvHpu8jDjk9DpZF/view?usp=drivesdk", "Abrir_Factura")</f>
        <v>Abrir_Factura</v>
      </c>
      <c r="AD3112" s="9">
        <v>46088.79755787037</v>
      </c>
    </row>
    <row r="3113" spans="1:30" ht="12.5">
      <c r="A3113" s="4">
        <v>46088.70748474537</v>
      </c>
      <c r="B3113" s="5">
        <v>92844</v>
      </c>
      <c r="C3113" s="5">
        <v>9014271967</v>
      </c>
      <c r="D3113" s="5" t="s">
        <v>13612</v>
      </c>
      <c r="F3113" s="5"/>
      <c r="H3113" s="5">
        <v>573003858601</v>
      </c>
      <c r="J3113" s="5" t="s">
        <v>13670</v>
      </c>
      <c r="K3113" s="5"/>
      <c r="L3113" s="5" t="s">
        <v>13671</v>
      </c>
      <c r="M3113" s="5"/>
      <c r="N3113" s="6">
        <v>46089</v>
      </c>
      <c r="O3113" s="7">
        <v>0.33333333333333331</v>
      </c>
      <c r="P3113" s="5">
        <v>1</v>
      </c>
      <c r="Q3113" s="5" t="s">
        <v>13672</v>
      </c>
      <c r="R3113" s="5">
        <v>500000</v>
      </c>
      <c r="S3113" s="5">
        <v>95000</v>
      </c>
      <c r="T3113" s="5"/>
      <c r="U3113" s="5">
        <v>595000</v>
      </c>
      <c r="V3113" s="5" t="s">
        <v>13673</v>
      </c>
      <c r="W3113" s="5" t="s">
        <v>36</v>
      </c>
      <c r="X3113" s="5" t="s">
        <v>2636</v>
      </c>
      <c r="Z3113" s="5"/>
      <c r="AA3113" s="5" t="s">
        <v>1717</v>
      </c>
      <c r="AB3113" s="5"/>
      <c r="AC3113" s="8" t="str">
        <f>HYPERLINK("https://drive.google.com/file/d/1C99m13GsZYhRtTo5vQIWBGEah3OSEL_I/view?usp=drivesdk", "Abrir_Factura")</f>
        <v>Abrir_Factura</v>
      </c>
      <c r="AD3113" s="9">
        <v>46088.712407407409</v>
      </c>
    </row>
    <row r="3114" spans="1:30" ht="12.5">
      <c r="A3114" s="4">
        <v>46088.709996527774</v>
      </c>
      <c r="B3114" s="5">
        <v>92870</v>
      </c>
      <c r="C3114" s="5">
        <v>1001282286</v>
      </c>
      <c r="D3114" s="5" t="s">
        <v>7555</v>
      </c>
      <c r="F3114" s="5"/>
      <c r="H3114" s="5">
        <v>13059988217</v>
      </c>
      <c r="J3114" s="5" t="s">
        <v>13674</v>
      </c>
      <c r="K3114" s="5" t="s">
        <v>307</v>
      </c>
      <c r="L3114" s="5" t="s">
        <v>13675</v>
      </c>
      <c r="M3114" s="5">
        <v>573045365575</v>
      </c>
      <c r="N3114" s="6">
        <v>46089</v>
      </c>
      <c r="O3114" s="7">
        <v>4.1666666666666664E-2</v>
      </c>
      <c r="P3114" s="5">
        <v>1</v>
      </c>
      <c r="Q3114" s="5" t="s">
        <v>12484</v>
      </c>
      <c r="R3114" s="5">
        <v>190000</v>
      </c>
      <c r="S3114" s="5">
        <v>0</v>
      </c>
      <c r="T3114" s="5">
        <v>10000</v>
      </c>
      <c r="U3114" s="5">
        <v>200000</v>
      </c>
      <c r="V3114" s="5" t="s">
        <v>13676</v>
      </c>
      <c r="W3114" s="5" t="s">
        <v>36</v>
      </c>
      <c r="X3114" s="5" t="s">
        <v>1937</v>
      </c>
      <c r="Z3114" s="5" t="s">
        <v>13677</v>
      </c>
      <c r="AA3114" s="5" t="s">
        <v>44</v>
      </c>
      <c r="AB3114" s="5" t="s">
        <v>13678</v>
      </c>
      <c r="AC3114" s="8" t="str">
        <f>HYPERLINK("https://drive.google.com/file/d/1VGrai3IZVltWHIkC25a6DktdBpaj-eiF/view?usp=drivesdk", "Abrir_Factura")</f>
        <v>Abrir_Factura</v>
      </c>
      <c r="AD3114" s="9">
        <v>46088.787986111114</v>
      </c>
    </row>
    <row r="3115" spans="1:30" ht="12.5">
      <c r="A3115" s="4">
        <v>46088.710547303242</v>
      </c>
      <c r="B3115" s="5">
        <v>92843</v>
      </c>
      <c r="C3115" s="5">
        <v>1019054012</v>
      </c>
      <c r="D3115" s="5" t="s">
        <v>13679</v>
      </c>
      <c r="F3115" s="5"/>
      <c r="H3115" s="5">
        <v>573183309978</v>
      </c>
      <c r="J3115" s="5" t="s">
        <v>13680</v>
      </c>
      <c r="K3115" s="5" t="s">
        <v>1317</v>
      </c>
      <c r="L3115" s="5" t="s">
        <v>13681</v>
      </c>
      <c r="M3115" s="5">
        <v>573157335190</v>
      </c>
      <c r="N3115" s="6">
        <v>46089</v>
      </c>
      <c r="O3115" s="7">
        <v>0.37916666666666665</v>
      </c>
      <c r="P3115" s="5">
        <v>1</v>
      </c>
      <c r="Q3115" s="5" t="s">
        <v>12423</v>
      </c>
      <c r="R3115" s="5">
        <v>80000</v>
      </c>
      <c r="S3115" s="5">
        <v>0</v>
      </c>
      <c r="T3115" s="5">
        <v>12000</v>
      </c>
      <c r="U3115" s="5">
        <v>92000</v>
      </c>
      <c r="V3115" s="5" t="s">
        <v>13682</v>
      </c>
      <c r="W3115" s="5" t="s">
        <v>36</v>
      </c>
      <c r="X3115" s="5" t="s">
        <v>1705</v>
      </c>
      <c r="Z3115" s="5" t="s">
        <v>13683</v>
      </c>
      <c r="AA3115" s="5" t="s">
        <v>1717</v>
      </c>
      <c r="AB3115" s="5"/>
      <c r="AC3115" s="8" t="str">
        <f>HYPERLINK("https://drive.google.com/file/d/173dtZCeaonV0SWeK1EonGB1ePBj6hfcC/view?usp=drivesdk", "Abrir_Factura")</f>
        <v>Abrir_Factura</v>
      </c>
      <c r="AD3115" s="9">
        <v>46088.711412037039</v>
      </c>
    </row>
    <row r="3116" spans="1:30" ht="12.5">
      <c r="A3116" s="4">
        <v>46088.71542349537</v>
      </c>
      <c r="B3116" s="5">
        <v>92846</v>
      </c>
      <c r="C3116" s="5">
        <v>9014271967</v>
      </c>
      <c r="D3116" s="5" t="s">
        <v>13612</v>
      </c>
      <c r="F3116" s="5"/>
      <c r="H3116" s="5">
        <v>573003858601</v>
      </c>
      <c r="J3116" s="5" t="s">
        <v>13670</v>
      </c>
      <c r="K3116" s="5"/>
      <c r="L3116" s="5" t="s">
        <v>13684</v>
      </c>
      <c r="M3116" s="5"/>
      <c r="N3116" s="6">
        <v>46089</v>
      </c>
      <c r="O3116" s="7">
        <v>0.33333333333333331</v>
      </c>
      <c r="P3116" s="5">
        <v>2</v>
      </c>
      <c r="Q3116" s="5" t="s">
        <v>13217</v>
      </c>
      <c r="R3116" s="5">
        <v>180000</v>
      </c>
      <c r="S3116" s="5">
        <v>34200</v>
      </c>
      <c r="T3116" s="5"/>
      <c r="U3116" s="5">
        <v>214200</v>
      </c>
      <c r="V3116" s="5" t="s">
        <v>13685</v>
      </c>
      <c r="W3116" s="5" t="s">
        <v>36</v>
      </c>
      <c r="X3116" s="5" t="s">
        <v>2636</v>
      </c>
      <c r="Z3116" s="5"/>
      <c r="AA3116" s="5" t="s">
        <v>1717</v>
      </c>
      <c r="AB3116" s="5"/>
      <c r="AC3116" s="8" t="str">
        <f>HYPERLINK("https://drive.google.com/file/d/1alxqJ9Ogewo3nSAuIBQygRgeFCnh-nOJ/view?usp=drivesdk", "Abrir_Factura")</f>
        <v>Abrir_Factura</v>
      </c>
      <c r="AD3116" s="9">
        <v>46088.858483796299</v>
      </c>
    </row>
    <row r="3117" spans="1:30" ht="12.5">
      <c r="A3117" s="4">
        <v>46088.718561354166</v>
      </c>
      <c r="B3117" s="5">
        <v>92847</v>
      </c>
      <c r="C3117" s="5">
        <v>9014271967</v>
      </c>
      <c r="D3117" s="5" t="s">
        <v>13612</v>
      </c>
      <c r="F3117" s="5"/>
      <c r="H3117" s="5">
        <v>573003858601</v>
      </c>
      <c r="J3117" s="5" t="s">
        <v>13686</v>
      </c>
      <c r="K3117" s="5"/>
      <c r="L3117" s="5" t="s">
        <v>13687</v>
      </c>
      <c r="M3117" s="5"/>
      <c r="N3117" s="6">
        <v>46089</v>
      </c>
      <c r="O3117" s="7">
        <v>0.33333333333333331</v>
      </c>
      <c r="P3117" s="5">
        <v>1</v>
      </c>
      <c r="Q3117" s="5" t="s">
        <v>12423</v>
      </c>
      <c r="R3117" s="5">
        <v>80000</v>
      </c>
      <c r="S3117" s="5">
        <v>15200</v>
      </c>
      <c r="T3117" s="5"/>
      <c r="U3117" s="5">
        <v>95200</v>
      </c>
      <c r="V3117" s="5" t="s">
        <v>13688</v>
      </c>
      <c r="W3117" s="5" t="s">
        <v>36</v>
      </c>
      <c r="X3117" s="5" t="s">
        <v>2636</v>
      </c>
      <c r="Z3117" s="5" t="s">
        <v>12551</v>
      </c>
      <c r="AA3117" s="5" t="s">
        <v>1717</v>
      </c>
      <c r="AB3117" s="5"/>
      <c r="AC3117" s="8" t="str">
        <f>HYPERLINK("https://drive.google.com/file/d/1Q9_uV5GKx7QZg7r1PP7_-TurXUN2ZIc5/view?usp=drivesdk", "Abrir_Factura")</f>
        <v>Abrir_Factura</v>
      </c>
      <c r="AD3117" s="9">
        <v>46088.719398148147</v>
      </c>
    </row>
    <row r="3118" spans="1:30" ht="12.5">
      <c r="A3118" s="4">
        <v>46088.725034490737</v>
      </c>
      <c r="B3118" s="5">
        <v>92849</v>
      </c>
      <c r="C3118" s="5">
        <v>9014271967</v>
      </c>
      <c r="D3118" s="5" t="s">
        <v>13612</v>
      </c>
      <c r="F3118" s="5"/>
      <c r="H3118" s="5">
        <v>573003858601</v>
      </c>
      <c r="J3118" s="5" t="s">
        <v>13689</v>
      </c>
      <c r="K3118" s="5"/>
      <c r="L3118" s="5" t="s">
        <v>13690</v>
      </c>
      <c r="M3118" s="5"/>
      <c r="N3118" s="6">
        <v>46089</v>
      </c>
      <c r="O3118" s="7">
        <v>0.33333333333333331</v>
      </c>
      <c r="P3118" s="5">
        <v>1</v>
      </c>
      <c r="Q3118" s="5" t="s">
        <v>12423</v>
      </c>
      <c r="R3118" s="5">
        <v>80000</v>
      </c>
      <c r="S3118" s="5">
        <v>15200</v>
      </c>
      <c r="T3118" s="5"/>
      <c r="U3118" s="5">
        <v>95200</v>
      </c>
      <c r="V3118" s="5" t="s">
        <v>13691</v>
      </c>
      <c r="W3118" s="5" t="s">
        <v>36</v>
      </c>
      <c r="X3118" s="5" t="s">
        <v>2636</v>
      </c>
      <c r="Z3118" s="5" t="s">
        <v>12551</v>
      </c>
      <c r="AA3118" s="5" t="s">
        <v>1717</v>
      </c>
      <c r="AB3118" s="5"/>
      <c r="AC3118" s="8" t="str">
        <f>HYPERLINK("https://drive.google.com/file/d/1Wp6tFsXTPg3QWoHrci6XEm-TQh9MSuW7/view?usp=drivesdk", "Abrir_Factura")</f>
        <v>Abrir_Factura</v>
      </c>
      <c r="AD3118" s="9">
        <v>46088.725636574076</v>
      </c>
    </row>
    <row r="3119" spans="1:30" ht="12.5">
      <c r="A3119" s="4">
        <v>46088.725830995369</v>
      </c>
      <c r="B3119" s="5">
        <v>92872</v>
      </c>
      <c r="C3119" s="5">
        <v>72214745</v>
      </c>
      <c r="D3119" s="5" t="s">
        <v>13692</v>
      </c>
      <c r="F3119" s="5"/>
      <c r="H3119" s="5">
        <v>573217755180</v>
      </c>
      <c r="J3119" s="5" t="s">
        <v>13693</v>
      </c>
      <c r="K3119" s="5" t="s">
        <v>185</v>
      </c>
      <c r="L3119" s="5" t="s">
        <v>13694</v>
      </c>
      <c r="M3119" s="5">
        <v>573160560530</v>
      </c>
      <c r="N3119" s="6">
        <v>46088</v>
      </c>
      <c r="O3119" s="7">
        <v>4.1666666666666664E-2</v>
      </c>
      <c r="P3119" s="5">
        <v>1</v>
      </c>
      <c r="Q3119" s="5" t="s">
        <v>13695</v>
      </c>
      <c r="R3119" s="5">
        <v>320000</v>
      </c>
      <c r="S3119" s="5">
        <v>0</v>
      </c>
      <c r="T3119" s="5">
        <v>8000</v>
      </c>
      <c r="U3119" s="5">
        <v>328000</v>
      </c>
      <c r="V3119" s="5" t="s">
        <v>13696</v>
      </c>
      <c r="W3119" s="5" t="s">
        <v>36</v>
      </c>
      <c r="X3119" s="5" t="s">
        <v>1937</v>
      </c>
      <c r="Z3119" s="5" t="s">
        <v>338</v>
      </c>
      <c r="AA3119" s="5" t="s">
        <v>44</v>
      </c>
      <c r="AB3119" s="5" t="s">
        <v>13697</v>
      </c>
      <c r="AC3119" s="8" t="str">
        <f>HYPERLINK("https://drive.google.com/file/d/1-M_pxcfF8IH1BZIMcaSd6QK0nXjrCP4U/view?usp=drivesdk", "Abrir_Factura")</f>
        <v>Abrir_Factura</v>
      </c>
      <c r="AD3119" s="9">
        <v>46088.796770833331</v>
      </c>
    </row>
    <row r="3120" spans="1:30" ht="12.5">
      <c r="A3120" s="4">
        <v>46088.72690543982</v>
      </c>
      <c r="B3120" s="5">
        <v>92850</v>
      </c>
      <c r="C3120" s="5">
        <v>1129536365</v>
      </c>
      <c r="D3120" s="5" t="s">
        <v>12202</v>
      </c>
      <c r="F3120" s="5"/>
      <c r="H3120" s="5">
        <v>573043810703</v>
      </c>
      <c r="J3120" s="5" t="s">
        <v>12202</v>
      </c>
      <c r="K3120" s="5" t="s">
        <v>12657</v>
      </c>
      <c r="L3120" s="5" t="s">
        <v>12657</v>
      </c>
      <c r="M3120" s="5">
        <v>573043810703</v>
      </c>
      <c r="N3120" s="6">
        <v>46089</v>
      </c>
      <c r="O3120" s="7">
        <v>0</v>
      </c>
      <c r="P3120" s="5">
        <v>1</v>
      </c>
      <c r="Q3120" s="5" t="s">
        <v>42</v>
      </c>
      <c r="R3120" s="5">
        <v>30000</v>
      </c>
      <c r="S3120" s="5">
        <v>0</v>
      </c>
      <c r="T3120" s="5"/>
      <c r="U3120" s="5">
        <v>30000</v>
      </c>
      <c r="V3120" s="5"/>
      <c r="W3120" s="5" t="s">
        <v>36</v>
      </c>
      <c r="X3120" s="5" t="s">
        <v>43</v>
      </c>
      <c r="Z3120" s="5"/>
      <c r="AA3120" s="5" t="s">
        <v>1717</v>
      </c>
      <c r="AB3120" s="5" t="s">
        <v>13698</v>
      </c>
      <c r="AC3120" s="8" t="str">
        <f>HYPERLINK("https://drive.google.com/file/d/1Cusd4OHzXS_fOn_PHAvsvPEyJHZSySHi/view?usp=drivesdk", "Abrir_Factura")</f>
        <v>Abrir_Factura</v>
      </c>
      <c r="AD3120" s="9">
        <v>46088.728055555555</v>
      </c>
    </row>
    <row r="3121" spans="1:30" ht="12.5">
      <c r="A3121" s="4">
        <v>46088.730505335647</v>
      </c>
      <c r="B3121" s="5">
        <v>92852</v>
      </c>
      <c r="C3121" s="5">
        <v>9014271967</v>
      </c>
      <c r="D3121" s="5" t="s">
        <v>13612</v>
      </c>
      <c r="F3121" s="5"/>
      <c r="H3121" s="5">
        <v>573003858601</v>
      </c>
      <c r="J3121" s="5" t="s">
        <v>13699</v>
      </c>
      <c r="K3121" s="5"/>
      <c r="L3121" s="5" t="s">
        <v>13700</v>
      </c>
      <c r="M3121" s="5"/>
      <c r="N3121" s="6">
        <v>46089</v>
      </c>
      <c r="O3121" s="7">
        <v>0.33333333333333331</v>
      </c>
      <c r="P3121" s="5">
        <v>2</v>
      </c>
      <c r="Q3121" s="5" t="s">
        <v>13701</v>
      </c>
      <c r="R3121" s="5">
        <v>240000</v>
      </c>
      <c r="S3121" s="5">
        <v>45600</v>
      </c>
      <c r="T3121" s="5"/>
      <c r="U3121" s="5">
        <v>285600</v>
      </c>
      <c r="V3121" s="5" t="s">
        <v>13702</v>
      </c>
      <c r="W3121" s="5" t="s">
        <v>36</v>
      </c>
      <c r="X3121" s="5" t="s">
        <v>2636</v>
      </c>
      <c r="Z3121" s="5" t="s">
        <v>13703</v>
      </c>
      <c r="AA3121" s="5" t="s">
        <v>1717</v>
      </c>
      <c r="AB3121" s="5"/>
      <c r="AC3121" s="8" t="str">
        <f>HYPERLINK("https://drive.google.com/file/d/1BIAHTn2AQRbUKYyGDyyFuNIo03BiI166/view?usp=drivesdk", "Abrir_Factura")</f>
        <v>Abrir_Factura</v>
      </c>
      <c r="AD3121" s="9">
        <v>46088.731423611112</v>
      </c>
    </row>
    <row r="3122" spans="1:30" ht="12.5">
      <c r="A3122" s="4">
        <v>46088.736487314818</v>
      </c>
      <c r="B3122" s="5">
        <v>92855</v>
      </c>
      <c r="C3122" s="5">
        <v>1140875179</v>
      </c>
      <c r="D3122" s="5" t="s">
        <v>11653</v>
      </c>
      <c r="F3122" s="5"/>
      <c r="H3122" s="5">
        <v>573005293740</v>
      </c>
      <c r="J3122" s="5" t="s">
        <v>13704</v>
      </c>
      <c r="K3122" s="5" t="s">
        <v>73</v>
      </c>
      <c r="L3122" s="5" t="s">
        <v>13705</v>
      </c>
      <c r="M3122" s="5">
        <v>573005293740</v>
      </c>
      <c r="N3122" s="6">
        <v>46089</v>
      </c>
      <c r="O3122" s="7">
        <v>0.33333333333333331</v>
      </c>
      <c r="P3122" s="5">
        <v>1</v>
      </c>
      <c r="Q3122" s="5" t="s">
        <v>12844</v>
      </c>
      <c r="R3122" s="5">
        <v>82000</v>
      </c>
      <c r="S3122" s="5">
        <v>0</v>
      </c>
      <c r="T3122" s="5">
        <v>8000</v>
      </c>
      <c r="U3122" s="5">
        <v>90000</v>
      </c>
      <c r="V3122" s="5" t="s">
        <v>13706</v>
      </c>
      <c r="W3122" s="5" t="s">
        <v>36</v>
      </c>
      <c r="X3122" s="5" t="s">
        <v>12646</v>
      </c>
      <c r="Z3122" s="5"/>
      <c r="AA3122" s="5" t="s">
        <v>44</v>
      </c>
      <c r="AB3122" s="5" t="s">
        <v>13707</v>
      </c>
      <c r="AC3122" s="8" t="str">
        <f>HYPERLINK("https://drive.google.com/file/d/1lGtXNAUJEpU1DUXhqHIil0L8S1r0AQEH/view?usp=drivesdk", "Abrir_Factura")</f>
        <v>Abrir_Factura</v>
      </c>
      <c r="AD3122" s="9">
        <v>46088.737997685188</v>
      </c>
    </row>
    <row r="3123" spans="1:30" ht="12.5">
      <c r="A3123" s="4">
        <v>46088.739160081022</v>
      </c>
      <c r="B3123" s="5">
        <v>92863</v>
      </c>
      <c r="C3123" s="5">
        <v>1143159260</v>
      </c>
      <c r="D3123" s="5" t="s">
        <v>13708</v>
      </c>
      <c r="F3123" s="5"/>
      <c r="H3123" s="5">
        <v>573242829432</v>
      </c>
      <c r="J3123" s="5" t="s">
        <v>8395</v>
      </c>
      <c r="K3123" s="5" t="s">
        <v>146</v>
      </c>
      <c r="L3123" s="5" t="s">
        <v>13709</v>
      </c>
      <c r="M3123" s="5">
        <v>573137652515</v>
      </c>
      <c r="N3123" s="6">
        <v>46089</v>
      </c>
      <c r="O3123" s="7">
        <v>0.41666666666666669</v>
      </c>
      <c r="P3123" s="5">
        <v>1</v>
      </c>
      <c r="Q3123" s="5" t="s">
        <v>12728</v>
      </c>
      <c r="R3123" s="5">
        <v>120000</v>
      </c>
      <c r="S3123" s="5">
        <v>0</v>
      </c>
      <c r="T3123" s="5">
        <v>15000</v>
      </c>
      <c r="U3123" s="5">
        <v>135000</v>
      </c>
      <c r="V3123" s="5" t="s">
        <v>13710</v>
      </c>
      <c r="W3123" s="5" t="s">
        <v>36</v>
      </c>
      <c r="X3123" s="5" t="s">
        <v>12646</v>
      </c>
      <c r="Z3123" s="5" t="s">
        <v>13711</v>
      </c>
      <c r="AA3123" s="5" t="s">
        <v>44</v>
      </c>
      <c r="AB3123" s="5"/>
      <c r="AC3123" s="8" t="str">
        <f>HYPERLINK("https://drive.google.com/file/d/1b_6ISR42NFvUAWrmczfsVSJCejwR4fVE/view?usp=drivesdk", "Abrir_Factura")</f>
        <v>Abrir_Factura</v>
      </c>
      <c r="AD3123" s="9">
        <v>46088.757256944446</v>
      </c>
    </row>
    <row r="3124" spans="1:30" ht="12.5">
      <c r="A3124" s="4">
        <v>46088.739790127314</v>
      </c>
      <c r="B3124" s="5">
        <v>92857</v>
      </c>
      <c r="C3124" s="5">
        <v>1098718323</v>
      </c>
      <c r="D3124" s="5" t="s">
        <v>13712</v>
      </c>
      <c r="F3124" s="5"/>
      <c r="H3124" s="5">
        <v>573014686030</v>
      </c>
      <c r="J3124" s="5" t="s">
        <v>13712</v>
      </c>
      <c r="K3124" s="5" t="s">
        <v>12657</v>
      </c>
      <c r="L3124" s="5" t="s">
        <v>12657</v>
      </c>
      <c r="M3124" s="5">
        <v>573014686030</v>
      </c>
      <c r="N3124" s="6">
        <v>46089</v>
      </c>
      <c r="O3124" s="7">
        <v>0.33333333333333331</v>
      </c>
      <c r="P3124" s="5">
        <v>1</v>
      </c>
      <c r="Q3124" s="5" t="s">
        <v>12406</v>
      </c>
      <c r="R3124" s="5">
        <v>90000</v>
      </c>
      <c r="S3124" s="5">
        <v>0</v>
      </c>
      <c r="T3124" s="5"/>
      <c r="U3124" s="5">
        <v>90000</v>
      </c>
      <c r="V3124" s="5" t="s">
        <v>13713</v>
      </c>
      <c r="W3124" s="5" t="s">
        <v>36</v>
      </c>
      <c r="X3124" s="5" t="s">
        <v>1705</v>
      </c>
      <c r="Z3124" s="5" t="s">
        <v>13714</v>
      </c>
      <c r="AA3124" s="5" t="s">
        <v>1717</v>
      </c>
      <c r="AB3124" s="5"/>
      <c r="AC3124" s="8" t="str">
        <f>HYPERLINK("https://drive.google.com/file/d/1A_R-oZkJOl0whoPFFwdInmGQAxG7sMnD/view?usp=drivesdk", "Abrir_Factura")</f>
        <v>Abrir_Factura</v>
      </c>
      <c r="AD3124" s="9">
        <v>46088.740590277775</v>
      </c>
    </row>
    <row r="3125" spans="1:30" ht="12.5">
      <c r="A3125" s="4">
        <v>46088.750521655093</v>
      </c>
      <c r="B3125" s="5">
        <v>92860</v>
      </c>
      <c r="C3125" s="5">
        <v>1045720933</v>
      </c>
      <c r="D3125" s="5" t="s">
        <v>13715</v>
      </c>
      <c r="F3125" s="5"/>
      <c r="H3125" s="5">
        <v>573017703687</v>
      </c>
      <c r="J3125" s="5" t="s">
        <v>13715</v>
      </c>
      <c r="K3125" s="5" t="s">
        <v>12657</v>
      </c>
      <c r="L3125" s="5" t="s">
        <v>12657</v>
      </c>
      <c r="M3125" s="5">
        <v>573017703687</v>
      </c>
      <c r="N3125" s="6">
        <v>46088</v>
      </c>
      <c r="O3125" s="7">
        <v>0</v>
      </c>
      <c r="P3125" s="5">
        <v>1</v>
      </c>
      <c r="Q3125" s="5" t="s">
        <v>13716</v>
      </c>
      <c r="R3125" s="5">
        <v>70000</v>
      </c>
      <c r="S3125" s="5">
        <v>0</v>
      </c>
      <c r="T3125" s="5"/>
      <c r="U3125" s="5">
        <v>70000</v>
      </c>
      <c r="V3125" s="5"/>
      <c r="W3125" s="5" t="s">
        <v>36</v>
      </c>
      <c r="X3125" s="5" t="s">
        <v>1705</v>
      </c>
      <c r="Z3125" s="5"/>
      <c r="AA3125" s="5" t="s">
        <v>1717</v>
      </c>
      <c r="AB3125" s="5"/>
      <c r="AC3125" s="8" t="str">
        <f>HYPERLINK("https://drive.google.com/file/d/1uojKRk6xxif3VOboEO-mlz3NPBTBngen/view?usp=drivesdk", "Abrir_Factura")</f>
        <v>Abrir_Factura</v>
      </c>
      <c r="AD3125" s="9">
        <v>46088.751643518517</v>
      </c>
    </row>
    <row r="3126" spans="1:30" ht="12.5">
      <c r="A3126" s="4">
        <v>46088.751127453703</v>
      </c>
      <c r="B3126" s="5">
        <v>92864</v>
      </c>
      <c r="C3126" s="5">
        <v>32606925</v>
      </c>
      <c r="D3126" s="5" t="s">
        <v>13717</v>
      </c>
      <c r="F3126" s="5"/>
      <c r="H3126" s="5">
        <v>573106364062</v>
      </c>
      <c r="J3126" s="5" t="s">
        <v>13718</v>
      </c>
      <c r="K3126" s="5" t="s">
        <v>103</v>
      </c>
      <c r="L3126" s="5" t="s">
        <v>13719</v>
      </c>
      <c r="M3126" s="5">
        <v>573205116170</v>
      </c>
      <c r="N3126" s="6">
        <v>46089</v>
      </c>
      <c r="O3126" s="7">
        <v>0.5</v>
      </c>
      <c r="P3126" s="5">
        <v>1</v>
      </c>
      <c r="Q3126" s="5" t="s">
        <v>12406</v>
      </c>
      <c r="R3126" s="5">
        <v>90000</v>
      </c>
      <c r="S3126" s="5">
        <v>0</v>
      </c>
      <c r="T3126" s="5">
        <v>10000</v>
      </c>
      <c r="U3126" s="5">
        <v>100000</v>
      </c>
      <c r="V3126" s="5" t="s">
        <v>13720</v>
      </c>
      <c r="W3126" s="5" t="s">
        <v>36</v>
      </c>
      <c r="X3126" s="5" t="s">
        <v>12646</v>
      </c>
      <c r="Z3126" s="5" t="s">
        <v>13721</v>
      </c>
      <c r="AA3126" s="5" t="s">
        <v>44</v>
      </c>
      <c r="AB3126" s="5"/>
      <c r="AC3126" s="8" t="str">
        <f>HYPERLINK("https://drive.google.com/file/d/1rbIjYecY_yZS9BZ1QjMMCs5Lceq96Waf/view?usp=drivesdk", "Abrir_Factura")</f>
        <v>Abrir_Factura</v>
      </c>
      <c r="AD3126" s="9">
        <v>46088.768182870372</v>
      </c>
    </row>
    <row r="3127" spans="1:30" ht="12.5">
      <c r="A3127" s="4">
        <v>46088.751638171292</v>
      </c>
      <c r="B3127" s="5">
        <v>92865</v>
      </c>
      <c r="C3127" s="5">
        <v>20142244684</v>
      </c>
      <c r="D3127" s="5" t="s">
        <v>13722</v>
      </c>
      <c r="F3127" s="5"/>
      <c r="H3127" s="5">
        <v>573008366418</v>
      </c>
      <c r="J3127" s="5" t="s">
        <v>13723</v>
      </c>
      <c r="K3127" s="5" t="s">
        <v>103</v>
      </c>
      <c r="L3127" s="5" t="s">
        <v>13724</v>
      </c>
      <c r="M3127" s="5">
        <v>573008366418</v>
      </c>
      <c r="N3127" s="6">
        <v>46089</v>
      </c>
      <c r="O3127" s="7">
        <v>4.1666666666666664E-2</v>
      </c>
      <c r="P3127" s="5">
        <v>1</v>
      </c>
      <c r="Q3127" s="5" t="s">
        <v>13725</v>
      </c>
      <c r="R3127" s="5">
        <v>280000</v>
      </c>
      <c r="S3127" s="5">
        <v>0</v>
      </c>
      <c r="T3127" s="5">
        <v>10000</v>
      </c>
      <c r="U3127" s="5">
        <v>290000</v>
      </c>
      <c r="V3127" s="5"/>
      <c r="W3127" s="5" t="s">
        <v>36</v>
      </c>
      <c r="X3127" s="5" t="s">
        <v>12646</v>
      </c>
      <c r="Z3127" s="5" t="s">
        <v>13726</v>
      </c>
      <c r="AA3127" s="5" t="s">
        <v>44</v>
      </c>
      <c r="AB3127" s="5" t="s">
        <v>9771</v>
      </c>
      <c r="AC3127" s="8" t="str">
        <f>HYPERLINK("https://drive.google.com/file/d/1L_4jTxiZi-06rfVBHl-fArJTR3F7ypoM/view?usp=drivesdk", "Abrir_Factura")</f>
        <v>Abrir_Factura</v>
      </c>
      <c r="AD3127" s="9">
        <v>46088.77039351852</v>
      </c>
    </row>
    <row r="3128" spans="1:30" ht="12.5">
      <c r="A3128" s="4">
        <v>46088.754542812501</v>
      </c>
      <c r="B3128" s="5">
        <v>92861</v>
      </c>
      <c r="C3128" s="5">
        <v>72215919</v>
      </c>
      <c r="D3128" s="5" t="s">
        <v>13727</v>
      </c>
      <c r="F3128" s="5"/>
      <c r="H3128" s="5">
        <v>5719543974714</v>
      </c>
      <c r="J3128" s="5" t="s">
        <v>13727</v>
      </c>
      <c r="K3128" s="5" t="s">
        <v>103</v>
      </c>
      <c r="L3128" s="5" t="s">
        <v>13728</v>
      </c>
      <c r="M3128" s="5"/>
      <c r="N3128" s="6">
        <v>46089</v>
      </c>
      <c r="O3128" s="7">
        <v>0.33333333333333331</v>
      </c>
      <c r="P3128" s="5">
        <v>1</v>
      </c>
      <c r="Q3128" s="5" t="s">
        <v>12496</v>
      </c>
      <c r="R3128" s="5">
        <v>120000</v>
      </c>
      <c r="S3128" s="5">
        <v>0</v>
      </c>
      <c r="T3128" s="5">
        <v>10000</v>
      </c>
      <c r="U3128" s="5">
        <v>130000</v>
      </c>
      <c r="V3128" s="5" t="s">
        <v>13729</v>
      </c>
      <c r="W3128" s="5" t="s">
        <v>36</v>
      </c>
      <c r="X3128" s="5" t="s">
        <v>43</v>
      </c>
      <c r="Z3128" s="5" t="s">
        <v>13730</v>
      </c>
      <c r="AA3128" s="5" t="s">
        <v>44</v>
      </c>
      <c r="AB3128" s="5" t="s">
        <v>13731</v>
      </c>
      <c r="AC3128" s="8" t="str">
        <f>HYPERLINK("https://drive.google.com/file/d/1ObAkO_jh15Gli-1Onbz1R4RHxmnpNc2v/view?usp=drivesdk", "Abrir_Factura")</f>
        <v>Abrir_Factura</v>
      </c>
      <c r="AD3128" s="9">
        <v>46088.754965277774</v>
      </c>
    </row>
    <row r="3129" spans="1:30" ht="12.5">
      <c r="A3129" s="4">
        <v>46088.757215173609</v>
      </c>
      <c r="B3129" s="5">
        <v>92875</v>
      </c>
      <c r="C3129" s="5">
        <v>1143448994</v>
      </c>
      <c r="D3129" s="5" t="s">
        <v>3183</v>
      </c>
      <c r="F3129" s="5"/>
      <c r="H3129" s="5">
        <v>573043190657</v>
      </c>
      <c r="J3129" s="5" t="s">
        <v>3183</v>
      </c>
      <c r="K3129" s="5" t="s">
        <v>12657</v>
      </c>
      <c r="L3129" s="5" t="s">
        <v>12657</v>
      </c>
      <c r="M3129" s="5">
        <v>573043190657</v>
      </c>
      <c r="N3129" s="6">
        <v>46089</v>
      </c>
      <c r="O3129" s="7">
        <v>0.4375</v>
      </c>
      <c r="P3129" s="5">
        <v>1</v>
      </c>
      <c r="Q3129" s="5" t="s">
        <v>12406</v>
      </c>
      <c r="R3129" s="5">
        <v>120000</v>
      </c>
      <c r="S3129" s="5">
        <v>0</v>
      </c>
      <c r="T3129" s="5"/>
      <c r="U3129" s="5">
        <v>120000</v>
      </c>
      <c r="V3129" s="5" t="s">
        <v>13732</v>
      </c>
      <c r="W3129" s="5" t="s">
        <v>36</v>
      </c>
      <c r="X3129" s="5" t="s">
        <v>12646</v>
      </c>
      <c r="Z3129" s="5" t="s">
        <v>13733</v>
      </c>
      <c r="AA3129" s="5" t="s">
        <v>44</v>
      </c>
      <c r="AB3129" s="5" t="s">
        <v>13734</v>
      </c>
      <c r="AC3129" s="8" t="str">
        <f>HYPERLINK("https://drive.google.com/file/d/10bN3Y5jK0X66Ar8bWGscUnN3_TEwy337/view?usp=drivesdk", "Abrir_Factura")</f>
        <v>Abrir_Factura</v>
      </c>
      <c r="AD3129" s="9">
        <v>46088.802627314813</v>
      </c>
    </row>
    <row r="3130" spans="1:30" ht="12.5">
      <c r="A3130" s="4">
        <v>46088.760082962966</v>
      </c>
      <c r="B3130" s="5">
        <v>92876</v>
      </c>
      <c r="C3130" s="5">
        <v>94495495</v>
      </c>
      <c r="D3130" s="5" t="s">
        <v>4008</v>
      </c>
      <c r="F3130" s="5"/>
      <c r="H3130" s="5">
        <v>573144430705</v>
      </c>
      <c r="J3130" s="5" t="s">
        <v>941</v>
      </c>
      <c r="K3130" s="5" t="s">
        <v>185</v>
      </c>
      <c r="L3130" s="5" t="s">
        <v>13735</v>
      </c>
      <c r="M3130" s="5">
        <v>573144430705</v>
      </c>
      <c r="N3130" s="6">
        <v>46088</v>
      </c>
      <c r="O3130" s="7">
        <v>4.1666666666666664E-2</v>
      </c>
      <c r="P3130" s="5">
        <v>1</v>
      </c>
      <c r="Q3130" s="5" t="s">
        <v>12673</v>
      </c>
      <c r="R3130" s="5">
        <v>220000</v>
      </c>
      <c r="S3130" s="5">
        <v>0</v>
      </c>
      <c r="T3130" s="5">
        <v>8000</v>
      </c>
      <c r="U3130" s="5">
        <v>228000</v>
      </c>
      <c r="V3130" s="5" t="s">
        <v>13736</v>
      </c>
      <c r="W3130" s="5" t="s">
        <v>36</v>
      </c>
      <c r="X3130" s="5" t="s">
        <v>12646</v>
      </c>
      <c r="Z3130" s="5" t="s">
        <v>13737</v>
      </c>
      <c r="AA3130" s="5" t="s">
        <v>44</v>
      </c>
      <c r="AB3130" s="5" t="s">
        <v>9771</v>
      </c>
      <c r="AC3130" s="8" t="str">
        <f>HYPERLINK("https://drive.google.com/file/d/1mptTCn7xtmaJ0dSvwAVV94Nr2Tv0C9vg/view?usp=drivesdk", "Abrir_Factura")</f>
        <v>Abrir_Factura</v>
      </c>
      <c r="AD3130" s="9">
        <v>46088.808240740742</v>
      </c>
    </row>
    <row r="3131" spans="1:30" ht="12.5">
      <c r="A3131" s="4">
        <v>46088.763666342595</v>
      </c>
      <c r="B3131" s="5">
        <v>92869</v>
      </c>
      <c r="C3131" s="5">
        <v>1149865375</v>
      </c>
      <c r="D3131" s="5" t="s">
        <v>13738</v>
      </c>
      <c r="F3131" s="5"/>
      <c r="H3131" s="5">
        <v>573004304422</v>
      </c>
      <c r="J3131" s="5" t="s">
        <v>13739</v>
      </c>
      <c r="K3131" s="5" t="s">
        <v>63</v>
      </c>
      <c r="L3131" s="5" t="s">
        <v>13740</v>
      </c>
      <c r="M3131" s="5"/>
      <c r="N3131" s="6">
        <v>46089</v>
      </c>
      <c r="O3131" s="7">
        <v>0.41666666666666669</v>
      </c>
      <c r="P3131" s="5">
        <v>1</v>
      </c>
      <c r="Q3131" s="5" t="s">
        <v>13741</v>
      </c>
      <c r="R3131" s="5">
        <v>240000</v>
      </c>
      <c r="S3131" s="5">
        <v>0</v>
      </c>
      <c r="T3131" s="5">
        <v>17000</v>
      </c>
      <c r="U3131" s="5">
        <v>257000</v>
      </c>
      <c r="V3131" s="5" t="s">
        <v>13742</v>
      </c>
      <c r="W3131" s="5" t="s">
        <v>36</v>
      </c>
      <c r="X3131" s="5" t="s">
        <v>12646</v>
      </c>
      <c r="Z3131" s="5"/>
      <c r="AA3131" s="5" t="s">
        <v>44</v>
      </c>
      <c r="AB3131" s="5" t="s">
        <v>9771</v>
      </c>
      <c r="AC3131" s="8" t="str">
        <f>HYPERLINK("https://drive.google.com/file/d/1zviyUtuv0miWR_1-8S1tKWetDX05c179/view?usp=drivesdk", "Abrir_Factura")</f>
        <v>Abrir_Factura</v>
      </c>
      <c r="AD3131" s="9">
        <v>46088.78324074074</v>
      </c>
    </row>
    <row r="3132" spans="1:30" ht="12.5">
      <c r="A3132" s="4">
        <v>46088.771066759262</v>
      </c>
      <c r="B3132" s="5">
        <v>92868</v>
      </c>
      <c r="C3132" s="5">
        <v>72227395</v>
      </c>
      <c r="D3132" s="5" t="s">
        <v>13743</v>
      </c>
      <c r="F3132" s="5"/>
      <c r="H3132" s="5">
        <v>573114121833</v>
      </c>
      <c r="J3132" s="5" t="s">
        <v>13744</v>
      </c>
      <c r="K3132" s="5" t="s">
        <v>4558</v>
      </c>
      <c r="L3132" s="5" t="s">
        <v>13745</v>
      </c>
      <c r="M3132" s="5">
        <v>573114121833</v>
      </c>
      <c r="N3132" s="6">
        <v>46089</v>
      </c>
      <c r="O3132" s="7">
        <v>0.54166666666666663</v>
      </c>
      <c r="P3132" s="5">
        <v>1</v>
      </c>
      <c r="Q3132" s="5" t="s">
        <v>13074</v>
      </c>
      <c r="R3132" s="5">
        <v>350000</v>
      </c>
      <c r="S3132" s="5">
        <v>0</v>
      </c>
      <c r="T3132" s="5">
        <v>10000</v>
      </c>
      <c r="U3132" s="5">
        <v>360000</v>
      </c>
      <c r="V3132" s="5" t="s">
        <v>13746</v>
      </c>
      <c r="W3132" s="5" t="s">
        <v>36</v>
      </c>
      <c r="X3132" s="5" t="s">
        <v>12646</v>
      </c>
      <c r="Z3132" s="5" t="s">
        <v>13747</v>
      </c>
      <c r="AA3132" s="5" t="s">
        <v>44</v>
      </c>
      <c r="AB3132" s="5" t="s">
        <v>9771</v>
      </c>
      <c r="AC3132" s="8" t="str">
        <f>HYPERLINK("https://drive.google.com/file/d/1b8TKpxW27BGgnOztt5J4pgUvFkqNr-ZW/view?usp=drivesdk", "Abrir_Factura")</f>
        <v>Abrir_Factura</v>
      </c>
      <c r="AD3132" s="9">
        <v>46088.780636574076</v>
      </c>
    </row>
    <row r="3133" spans="1:30" ht="12.5">
      <c r="A3133" s="4">
        <v>46088.783233738424</v>
      </c>
      <c r="B3133" s="5">
        <v>92874</v>
      </c>
      <c r="C3133" s="5">
        <v>1045753653</v>
      </c>
      <c r="D3133" s="5" t="s">
        <v>13748</v>
      </c>
      <c r="F3133" s="5"/>
      <c r="H3133" s="5">
        <v>573187321627</v>
      </c>
      <c r="J3133" s="5" t="s">
        <v>13749</v>
      </c>
      <c r="K3133" s="5" t="s">
        <v>886</v>
      </c>
      <c r="L3133" s="5" t="s">
        <v>13750</v>
      </c>
      <c r="M3133" s="5">
        <v>573012120265</v>
      </c>
      <c r="N3133" s="6">
        <v>46089</v>
      </c>
      <c r="O3133" s="7">
        <v>4.1666666666666664E-2</v>
      </c>
      <c r="P3133" s="5">
        <v>1</v>
      </c>
      <c r="Q3133" s="5" t="s">
        <v>12406</v>
      </c>
      <c r="R3133" s="5">
        <v>90000</v>
      </c>
      <c r="S3133" s="5">
        <v>0</v>
      </c>
      <c r="T3133" s="5">
        <v>12000</v>
      </c>
      <c r="U3133" s="5">
        <v>102000</v>
      </c>
      <c r="V3133" s="5" t="s">
        <v>13751</v>
      </c>
      <c r="W3133" s="5" t="s">
        <v>36</v>
      </c>
      <c r="X3133" s="5" t="s">
        <v>12646</v>
      </c>
      <c r="Z3133" s="5" t="s">
        <v>1719</v>
      </c>
      <c r="AA3133" s="5" t="s">
        <v>44</v>
      </c>
      <c r="AB3133" s="5" t="s">
        <v>9771</v>
      </c>
      <c r="AC3133" s="8" t="str">
        <f>HYPERLINK("https://drive.google.com/file/d/1Qs-ZboQ5an9xzrx-2rK0nH1_-pHMDWOi/view?usp=drivesdk", "Abrir_Factura")</f>
        <v>Abrir_Factura</v>
      </c>
      <c r="AD3133" s="9">
        <v>46088.799201388887</v>
      </c>
    </row>
    <row r="3134" spans="1:30" ht="12.5">
      <c r="A3134" s="4">
        <v>46088.788532824074</v>
      </c>
      <c r="B3134" s="5">
        <v>92877</v>
      </c>
      <c r="C3134" s="5">
        <v>91390153</v>
      </c>
      <c r="D3134" s="5" t="s">
        <v>13752</v>
      </c>
      <c r="F3134" s="5"/>
      <c r="H3134" s="5">
        <v>573013882003</v>
      </c>
      <c r="J3134" s="5" t="s">
        <v>13753</v>
      </c>
      <c r="K3134" s="5" t="s">
        <v>54</v>
      </c>
      <c r="L3134" s="5" t="s">
        <v>13754</v>
      </c>
      <c r="M3134" s="5">
        <v>573016476237</v>
      </c>
      <c r="N3134" s="6">
        <v>46089</v>
      </c>
      <c r="O3134" s="7">
        <v>4.1666666666666664E-2</v>
      </c>
      <c r="P3134" s="5">
        <v>1</v>
      </c>
      <c r="Q3134" s="5" t="s">
        <v>12437</v>
      </c>
      <c r="R3134" s="5">
        <v>250000</v>
      </c>
      <c r="S3134" s="5">
        <v>0</v>
      </c>
      <c r="T3134" s="5">
        <v>20000</v>
      </c>
      <c r="U3134" s="5">
        <v>270000</v>
      </c>
      <c r="V3134" s="5" t="s">
        <v>13755</v>
      </c>
      <c r="W3134" s="5" t="s">
        <v>36</v>
      </c>
      <c r="X3134" s="5" t="s">
        <v>12646</v>
      </c>
      <c r="Z3134" s="5" t="s">
        <v>686</v>
      </c>
      <c r="AA3134" s="5" t="s">
        <v>44</v>
      </c>
      <c r="AB3134" s="5" t="s">
        <v>9771</v>
      </c>
      <c r="AC3134" s="8" t="str">
        <f>HYPERLINK("https://drive.google.com/file/d/1kNUxBgR770RhIVs5RLMfh1etxcHdl7Mz/view?usp=drivesdk", "Abrir_Factura")</f>
        <v>Abrir_Factura</v>
      </c>
      <c r="AD3134" s="9">
        <v>46088.81386574074</v>
      </c>
    </row>
    <row r="3135" spans="1:30" ht="12.5">
      <c r="A3135" s="4">
        <v>46088.79059178241</v>
      </c>
      <c r="B3135" s="5">
        <v>92871</v>
      </c>
      <c r="C3135" s="5">
        <v>72291437</v>
      </c>
      <c r="D3135" s="5" t="s">
        <v>13756</v>
      </c>
      <c r="F3135" s="5"/>
      <c r="H3135" s="5">
        <v>573164708911</v>
      </c>
      <c r="J3135" s="5" t="s">
        <v>13756</v>
      </c>
      <c r="K3135" s="5" t="s">
        <v>110</v>
      </c>
      <c r="L3135" s="5" t="s">
        <v>13757</v>
      </c>
      <c r="M3135" s="5">
        <v>573164708911</v>
      </c>
      <c r="N3135" s="6">
        <v>46089</v>
      </c>
      <c r="O3135" s="7">
        <v>0</v>
      </c>
      <c r="P3135" s="5">
        <v>3</v>
      </c>
      <c r="Q3135" s="5" t="s">
        <v>13758</v>
      </c>
      <c r="R3135" s="5">
        <v>240000</v>
      </c>
      <c r="S3135" s="5">
        <v>0</v>
      </c>
      <c r="T3135" s="5">
        <v>6000</v>
      </c>
      <c r="U3135" s="5">
        <v>246000</v>
      </c>
      <c r="V3135" s="5" t="s">
        <v>13759</v>
      </c>
      <c r="W3135" s="5" t="s">
        <v>36</v>
      </c>
      <c r="X3135" s="5" t="s">
        <v>12646</v>
      </c>
      <c r="Z3135" s="5"/>
      <c r="AA3135" s="5" t="s">
        <v>332</v>
      </c>
      <c r="AB3135" s="5" t="s">
        <v>13759</v>
      </c>
      <c r="AC3135" s="8" t="str">
        <f>HYPERLINK("https://drive.google.com/file/d/1JogshwVm7fovPGNUgizlGEhQ249SAinG/view?usp=drivesdk", "Abrir_Factura")</f>
        <v>Abrir_Factura</v>
      </c>
      <c r="AD3135" s="9">
        <v>46088.867708333331</v>
      </c>
    </row>
    <row r="3136" spans="1:30" ht="12.5">
      <c r="A3136" s="4">
        <v>46088.795801944449</v>
      </c>
      <c r="B3136" s="5">
        <v>92923</v>
      </c>
      <c r="C3136" s="5">
        <v>1123438066</v>
      </c>
      <c r="D3136" s="5" t="s">
        <v>13760</v>
      </c>
      <c r="F3136" s="5"/>
      <c r="H3136" s="5">
        <v>573024384118</v>
      </c>
      <c r="J3136" s="5" t="s">
        <v>13761</v>
      </c>
      <c r="K3136" s="5" t="s">
        <v>33</v>
      </c>
      <c r="L3136" s="5" t="s">
        <v>579</v>
      </c>
      <c r="M3136" s="5"/>
      <c r="N3136" s="6">
        <v>46089</v>
      </c>
      <c r="O3136" s="7">
        <v>4.1666666666666664E-2</v>
      </c>
      <c r="P3136" s="5">
        <v>1</v>
      </c>
      <c r="Q3136" s="5" t="s">
        <v>12728</v>
      </c>
      <c r="R3136" s="5">
        <v>120000</v>
      </c>
      <c r="S3136" s="5">
        <v>0</v>
      </c>
      <c r="T3136" s="5">
        <v>0</v>
      </c>
      <c r="U3136" s="5">
        <v>120000</v>
      </c>
      <c r="V3136" s="5" t="s">
        <v>13762</v>
      </c>
      <c r="W3136" s="5" t="s">
        <v>36</v>
      </c>
      <c r="X3136" s="5" t="s">
        <v>12646</v>
      </c>
      <c r="Z3136" s="5" t="s">
        <v>13763</v>
      </c>
      <c r="AA3136" s="5" t="s">
        <v>44</v>
      </c>
      <c r="AB3136" s="5" t="s">
        <v>13764</v>
      </c>
      <c r="AC3136" s="8" t="str">
        <f>HYPERLINK("https://drive.google.com/file/d/1TXhuXtivZF1GyIZFNmUqyFc9KC2EWb5E/view?usp=drivesdk", "Abrir_Factura")</f>
        <v>Abrir_Factura</v>
      </c>
      <c r="AD3136" s="9">
        <v>46089.461608796293</v>
      </c>
    </row>
    <row r="3137" spans="1:30" ht="12.5">
      <c r="A3137" s="4">
        <v>46088.797228090276</v>
      </c>
      <c r="B3137" s="5">
        <v>92878</v>
      </c>
      <c r="C3137" s="5">
        <v>1140895489</v>
      </c>
      <c r="D3137" s="5" t="s">
        <v>13765</v>
      </c>
      <c r="F3137" s="5"/>
      <c r="H3137" s="5">
        <v>573017717218</v>
      </c>
      <c r="J3137" s="5" t="s">
        <v>13766</v>
      </c>
      <c r="K3137" s="5" t="s">
        <v>1317</v>
      </c>
      <c r="L3137" s="5" t="s">
        <v>13767</v>
      </c>
      <c r="M3137" s="5">
        <v>573017717218</v>
      </c>
      <c r="N3137" s="6">
        <v>46089</v>
      </c>
      <c r="O3137" s="7">
        <v>4.1666666666666664E-2</v>
      </c>
      <c r="P3137" s="5">
        <v>1</v>
      </c>
      <c r="Q3137" s="5" t="s">
        <v>12406</v>
      </c>
      <c r="R3137" s="5">
        <v>90000</v>
      </c>
      <c r="S3137" s="5">
        <v>0</v>
      </c>
      <c r="T3137" s="5">
        <v>12000</v>
      </c>
      <c r="U3137" s="5">
        <v>102000</v>
      </c>
      <c r="V3137" s="5" t="s">
        <v>13768</v>
      </c>
      <c r="W3137" s="5" t="s">
        <v>36</v>
      </c>
      <c r="X3137" s="5" t="s">
        <v>12646</v>
      </c>
      <c r="Z3137" s="5" t="s">
        <v>13769</v>
      </c>
      <c r="AA3137" s="5" t="s">
        <v>44</v>
      </c>
      <c r="AB3137" s="5" t="s">
        <v>9771</v>
      </c>
      <c r="AC3137" s="8" t="str">
        <f>HYPERLINK("https://drive.google.com/file/d/1sh84Hf8ibFwIW_rtc71ySpqH_xLZTttQ/view?usp=drivesdk", "Abrir_Factura")</f>
        <v>Abrir_Factura</v>
      </c>
      <c r="AD3137" s="9">
        <v>46088.816655092596</v>
      </c>
    </row>
    <row r="3138" spans="1:30" ht="12.5">
      <c r="A3138" s="4">
        <v>46088.804454826386</v>
      </c>
      <c r="B3138" s="5">
        <v>92879</v>
      </c>
      <c r="C3138" s="5">
        <v>1068421420</v>
      </c>
      <c r="D3138" s="5" t="s">
        <v>13770</v>
      </c>
      <c r="F3138" s="5"/>
      <c r="H3138" s="5">
        <v>573206470322</v>
      </c>
      <c r="J3138" s="5" t="s">
        <v>13771</v>
      </c>
      <c r="K3138" s="5" t="s">
        <v>7476</v>
      </c>
      <c r="L3138" s="5" t="s">
        <v>13772</v>
      </c>
      <c r="M3138" s="5">
        <v>573234741832</v>
      </c>
      <c r="N3138" s="6">
        <v>46089</v>
      </c>
      <c r="O3138" s="7">
        <v>4.1666666666666664E-2</v>
      </c>
      <c r="P3138" s="5">
        <v>1</v>
      </c>
      <c r="Q3138" s="5" t="s">
        <v>12406</v>
      </c>
      <c r="R3138" s="5">
        <v>90000</v>
      </c>
      <c r="S3138" s="5">
        <v>0</v>
      </c>
      <c r="T3138" s="5">
        <v>17000</v>
      </c>
      <c r="U3138" s="5">
        <v>107000</v>
      </c>
      <c r="V3138" s="5" t="s">
        <v>13773</v>
      </c>
      <c r="W3138" s="5" t="s">
        <v>36</v>
      </c>
      <c r="X3138" s="5" t="s">
        <v>12646</v>
      </c>
      <c r="Z3138" s="5" t="s">
        <v>13774</v>
      </c>
      <c r="AA3138" s="5" t="s">
        <v>44</v>
      </c>
      <c r="AB3138" s="5" t="s">
        <v>9771</v>
      </c>
      <c r="AC3138" s="8" t="str">
        <f>HYPERLINK("https://drive.google.com/file/d/1In4g_wotbRRFsrM-8HZUw4Gcn8H_iWRb/view?usp=drivesdk", "Abrir_Factura")</f>
        <v>Abrir_Factura</v>
      </c>
      <c r="AD3138" s="9">
        <v>46088.825416666667</v>
      </c>
    </row>
    <row r="3139" spans="1:30" ht="12.5">
      <c r="A3139" s="4">
        <v>46088.82136563657</v>
      </c>
      <c r="B3139" s="5">
        <v>92880</v>
      </c>
      <c r="C3139" s="5">
        <v>1005280742</v>
      </c>
      <c r="D3139" s="5" t="s">
        <v>13666</v>
      </c>
      <c r="F3139" s="5"/>
      <c r="H3139" s="5">
        <v>57312383819419</v>
      </c>
      <c r="J3139" s="5" t="s">
        <v>13666</v>
      </c>
      <c r="K3139" s="5" t="s">
        <v>12657</v>
      </c>
      <c r="L3139" s="5" t="s">
        <v>12657</v>
      </c>
      <c r="M3139" s="5">
        <v>573123838194</v>
      </c>
      <c r="N3139" s="6">
        <v>46089</v>
      </c>
      <c r="O3139" s="7">
        <v>0.41666666666666669</v>
      </c>
      <c r="P3139" s="5">
        <v>1</v>
      </c>
      <c r="Q3139" s="5" t="s">
        <v>12406</v>
      </c>
      <c r="R3139" s="5">
        <v>90000</v>
      </c>
      <c r="S3139" s="5">
        <v>0</v>
      </c>
      <c r="T3139" s="5"/>
      <c r="U3139" s="5">
        <v>90000</v>
      </c>
      <c r="V3139" s="5" t="s">
        <v>13775</v>
      </c>
      <c r="W3139" s="5" t="s">
        <v>36</v>
      </c>
      <c r="X3139" s="5" t="s">
        <v>1937</v>
      </c>
      <c r="Z3139" s="5" t="s">
        <v>13776</v>
      </c>
      <c r="AA3139" s="5" t="s">
        <v>44</v>
      </c>
      <c r="AB3139" s="5" t="s">
        <v>9771</v>
      </c>
      <c r="AC3139" s="8" t="str">
        <f>HYPERLINK("https://drive.google.com/file/d/1VRUZDGKbI7gMUTBu5MMg1asAMxrWfKjH/view?usp=drivesdk", "Abrir_Factura")</f>
        <v>Abrir_Factura</v>
      </c>
      <c r="AD3139" s="9">
        <v>46088.833136574074</v>
      </c>
    </row>
    <row r="3140" spans="1:30" ht="12.5">
      <c r="A3140" s="4">
        <v>46088.831149618054</v>
      </c>
      <c r="B3140" s="5">
        <v>92881</v>
      </c>
      <c r="C3140" s="5">
        <v>1047359157</v>
      </c>
      <c r="D3140" s="5" t="s">
        <v>13777</v>
      </c>
      <c r="F3140" s="5"/>
      <c r="H3140" s="5">
        <v>573013258824</v>
      </c>
      <c r="J3140" s="5" t="s">
        <v>13778</v>
      </c>
      <c r="K3140" s="5" t="s">
        <v>63</v>
      </c>
      <c r="L3140" s="5" t="s">
        <v>13779</v>
      </c>
      <c r="M3140" s="5">
        <v>573022940485</v>
      </c>
      <c r="N3140" s="6">
        <v>46089</v>
      </c>
      <c r="O3140" s="7">
        <v>4.1666666666666664E-2</v>
      </c>
      <c r="P3140" s="5">
        <v>1</v>
      </c>
      <c r="Q3140" s="5" t="s">
        <v>13079</v>
      </c>
      <c r="R3140" s="5">
        <v>170000</v>
      </c>
      <c r="S3140" s="5">
        <v>0</v>
      </c>
      <c r="T3140" s="5">
        <v>17000</v>
      </c>
      <c r="U3140" s="5">
        <v>187000</v>
      </c>
      <c r="V3140" s="5" t="s">
        <v>13780</v>
      </c>
      <c r="W3140" s="5" t="s">
        <v>36</v>
      </c>
      <c r="X3140" s="5" t="s">
        <v>12646</v>
      </c>
      <c r="Z3140" s="5" t="s">
        <v>13781</v>
      </c>
      <c r="AA3140" s="5" t="s">
        <v>44</v>
      </c>
      <c r="AB3140" s="5" t="s">
        <v>13782</v>
      </c>
      <c r="AC3140" s="8" t="str">
        <f>HYPERLINK("https://drive.google.com/file/d/1nLrw5pbuwINCLOHmKlPBYsf5SgWkBrmk/view?usp=drivesdk", "Abrir_Factura")</f>
        <v>Abrir_Factura</v>
      </c>
      <c r="AD3140" s="9">
        <v>46088.853449074071</v>
      </c>
    </row>
    <row r="3141" spans="1:30" ht="12.5">
      <c r="A3141" s="4">
        <v>46088.833766296295</v>
      </c>
      <c r="B3141" s="5">
        <v>92882</v>
      </c>
      <c r="C3141" s="5">
        <v>1005663856</v>
      </c>
      <c r="D3141" s="5" t="s">
        <v>13783</v>
      </c>
      <c r="F3141" s="5"/>
      <c r="H3141" s="5">
        <v>573042441999</v>
      </c>
      <c r="J3141" s="5" t="s">
        <v>13784</v>
      </c>
      <c r="K3141" s="5" t="s">
        <v>103</v>
      </c>
      <c r="L3141" s="5" t="s">
        <v>13785</v>
      </c>
      <c r="M3141" s="5">
        <v>573042441999</v>
      </c>
      <c r="N3141" s="6">
        <v>46089</v>
      </c>
      <c r="O3141" s="7">
        <v>4.1666666666666664E-2</v>
      </c>
      <c r="P3141" s="5">
        <v>1</v>
      </c>
      <c r="Q3141" s="5" t="s">
        <v>12423</v>
      </c>
      <c r="R3141" s="5">
        <v>80000</v>
      </c>
      <c r="S3141" s="5">
        <v>0</v>
      </c>
      <c r="T3141" s="5">
        <v>10000</v>
      </c>
      <c r="U3141" s="5">
        <v>90000</v>
      </c>
      <c r="V3141" s="5" t="s">
        <v>13786</v>
      </c>
      <c r="W3141" s="5" t="s">
        <v>36</v>
      </c>
      <c r="X3141" s="5" t="s">
        <v>1937</v>
      </c>
      <c r="Z3141" s="5" t="s">
        <v>13787</v>
      </c>
      <c r="AA3141" s="5" t="s">
        <v>44</v>
      </c>
      <c r="AB3141" s="5" t="s">
        <v>9771</v>
      </c>
      <c r="AC3141" s="8" t="str">
        <f>HYPERLINK("https://drive.google.com/file/d/1rLM88kkqa8yHF0OjttuUunb84fLObphz/view?usp=drivesdk", "Abrir_Factura")</f>
        <v>Abrir_Factura</v>
      </c>
      <c r="AD3141" s="9">
        <v>46088.849386574075</v>
      </c>
    </row>
    <row r="3142" spans="1:30" ht="12.5">
      <c r="A3142" s="4">
        <v>46088.850555682875</v>
      </c>
      <c r="B3142" s="5">
        <v>92883</v>
      </c>
      <c r="C3142" s="5">
        <v>73074069</v>
      </c>
      <c r="D3142" s="5" t="s">
        <v>7064</v>
      </c>
      <c r="F3142" s="5"/>
      <c r="H3142" s="5">
        <v>573008368202</v>
      </c>
      <c r="J3142" s="5" t="s">
        <v>8399</v>
      </c>
      <c r="K3142" s="5" t="s">
        <v>103</v>
      </c>
      <c r="L3142" s="5" t="s">
        <v>13788</v>
      </c>
      <c r="M3142" s="5"/>
      <c r="N3142" s="6">
        <v>46089</v>
      </c>
      <c r="O3142" s="7">
        <v>0</v>
      </c>
      <c r="P3142" s="5">
        <v>1</v>
      </c>
      <c r="Q3142" s="5" t="s">
        <v>13789</v>
      </c>
      <c r="R3142" s="5">
        <v>200000</v>
      </c>
      <c r="S3142" s="5">
        <v>0</v>
      </c>
      <c r="T3142" s="5">
        <v>10000</v>
      </c>
      <c r="U3142" s="5">
        <v>210000</v>
      </c>
      <c r="V3142" s="5" t="s">
        <v>13790</v>
      </c>
      <c r="W3142" s="5" t="s">
        <v>36</v>
      </c>
      <c r="X3142" s="5" t="s">
        <v>43</v>
      </c>
      <c r="Z3142" s="5" t="s">
        <v>13791</v>
      </c>
      <c r="AA3142" s="5" t="s">
        <v>332</v>
      </c>
      <c r="AB3142" s="5"/>
      <c r="AC3142" s="8" t="str">
        <f>HYPERLINK("https://drive.google.com/file/d/1xLL-y8IYyke88KdUqYubnSQT9ESVEvU_/view?usp=drivesdk", "Abrir_Factura")</f>
        <v>Abrir_Factura</v>
      </c>
      <c r="AD3142" s="9">
        <v>46088.85732638889</v>
      </c>
    </row>
    <row r="3143" spans="1:30" ht="12.5">
      <c r="A3143" s="4">
        <v>46088.862595879633</v>
      </c>
      <c r="B3143" s="5">
        <v>92884</v>
      </c>
      <c r="C3143" s="5">
        <v>108356933</v>
      </c>
      <c r="D3143" s="5" t="s">
        <v>12629</v>
      </c>
      <c r="F3143" s="5"/>
      <c r="H3143" s="5">
        <v>573112024333</v>
      </c>
      <c r="J3143" s="5" t="s">
        <v>13792</v>
      </c>
      <c r="K3143" s="5" t="s">
        <v>7476</v>
      </c>
      <c r="L3143" s="5" t="s">
        <v>13793</v>
      </c>
      <c r="M3143" s="5">
        <v>573045291724</v>
      </c>
      <c r="N3143" s="6">
        <v>46089</v>
      </c>
      <c r="O3143" s="7">
        <v>0.54166666666666663</v>
      </c>
      <c r="P3143" s="5">
        <v>1</v>
      </c>
      <c r="Q3143" s="5" t="s">
        <v>12924</v>
      </c>
      <c r="R3143" s="5">
        <v>200000</v>
      </c>
      <c r="S3143" s="5">
        <v>0</v>
      </c>
      <c r="T3143" s="5">
        <v>17000</v>
      </c>
      <c r="U3143" s="5">
        <v>217000</v>
      </c>
      <c r="V3143" s="5" t="s">
        <v>13794</v>
      </c>
      <c r="W3143" s="5" t="s">
        <v>36</v>
      </c>
      <c r="X3143" s="5" t="s">
        <v>12646</v>
      </c>
      <c r="Z3143" s="5" t="s">
        <v>13795</v>
      </c>
      <c r="AA3143" s="5" t="s">
        <v>44</v>
      </c>
      <c r="AB3143" s="5"/>
      <c r="AC3143" s="8" t="str">
        <f>HYPERLINK("https://drive.google.com/file/d/1OjjDP-Y9Pd7oeVWlfrruqOUg8JK4bUSP/view?usp=drivesdk", "Abrir_Factura")</f>
        <v>Abrir_Factura</v>
      </c>
      <c r="AD3143" s="9">
        <v>46088.871203703704</v>
      </c>
    </row>
    <row r="3144" spans="1:30" ht="12.5">
      <c r="A3144" s="4">
        <v>46088.871125138889</v>
      </c>
      <c r="B3144" s="5">
        <v>92885</v>
      </c>
      <c r="C3144" s="5">
        <v>1048066728</v>
      </c>
      <c r="D3144" s="5" t="s">
        <v>13796</v>
      </c>
      <c r="F3144" s="5"/>
      <c r="H3144" s="5">
        <v>573052578032</v>
      </c>
      <c r="J3144" s="5" t="s">
        <v>13797</v>
      </c>
      <c r="K3144" s="5" t="s">
        <v>9925</v>
      </c>
      <c r="L3144" s="5" t="s">
        <v>13798</v>
      </c>
      <c r="M3144" s="5">
        <v>573052578032</v>
      </c>
      <c r="N3144" s="6">
        <v>46089</v>
      </c>
      <c r="O3144" s="7">
        <v>0.95833333333333337</v>
      </c>
      <c r="P3144" s="5">
        <v>1</v>
      </c>
      <c r="Q3144" s="5" t="s">
        <v>13799</v>
      </c>
      <c r="R3144" s="5">
        <v>130000</v>
      </c>
      <c r="S3144" s="5">
        <v>0</v>
      </c>
      <c r="T3144" s="5">
        <v>11000</v>
      </c>
      <c r="U3144" s="5">
        <v>141000</v>
      </c>
      <c r="V3144" s="5" t="s">
        <v>13800</v>
      </c>
      <c r="W3144" s="5" t="s">
        <v>36</v>
      </c>
      <c r="X3144" s="5" t="s">
        <v>12646</v>
      </c>
      <c r="Z3144" s="5" t="s">
        <v>13801</v>
      </c>
      <c r="AA3144" s="5" t="s">
        <v>44</v>
      </c>
      <c r="AB3144" s="5"/>
      <c r="AC3144" s="8" t="str">
        <f>HYPERLINK("https://drive.google.com/file/d/1leKH8Gwd36-zq1AJltlN3o8Q7fW6XxH3/view?usp=drivesdk", "Abrir_Factura")</f>
        <v>Abrir_Factura</v>
      </c>
      <c r="AD3144" s="9">
        <v>46088.885416666664</v>
      </c>
    </row>
    <row r="3145" spans="1:30" ht="12.5">
      <c r="A3145" s="4">
        <v>46088.881928055554</v>
      </c>
      <c r="B3145" s="5">
        <v>92962</v>
      </c>
      <c r="C3145" s="5">
        <v>1047237931</v>
      </c>
      <c r="D3145" s="5" t="s">
        <v>13802</v>
      </c>
      <c r="F3145" s="5"/>
      <c r="H3145" s="5">
        <v>573052325427</v>
      </c>
      <c r="J3145" s="5" t="s">
        <v>13802</v>
      </c>
      <c r="K3145" s="5" t="s">
        <v>12657</v>
      </c>
      <c r="L3145" s="5" t="s">
        <v>12657</v>
      </c>
      <c r="M3145" s="5">
        <v>573052325427</v>
      </c>
      <c r="N3145" s="6">
        <v>46089</v>
      </c>
      <c r="O3145" s="7">
        <v>8.3333333333333329E-2</v>
      </c>
      <c r="P3145" s="5">
        <v>1</v>
      </c>
      <c r="Q3145" s="5" t="s">
        <v>13803</v>
      </c>
      <c r="R3145" s="5">
        <v>170000</v>
      </c>
      <c r="S3145" s="5">
        <v>0</v>
      </c>
      <c r="T3145" s="5"/>
      <c r="U3145" s="5">
        <v>170000</v>
      </c>
      <c r="V3145" s="5"/>
      <c r="W3145" s="5" t="s">
        <v>36</v>
      </c>
      <c r="X3145" s="5" t="s">
        <v>12646</v>
      </c>
      <c r="Z3145" s="5"/>
      <c r="AA3145" s="5" t="s">
        <v>44</v>
      </c>
      <c r="AB3145" s="5" t="s">
        <v>9771</v>
      </c>
      <c r="AC3145" s="8" t="str">
        <f>HYPERLINK("https://drive.google.com/file/d/1yPXN5b_QVgaDDHtxKzbwvgxHvxMjl0LU/view?usp=drivesdk", "Abrir_Factura")</f>
        <v>Abrir_Factura</v>
      </c>
      <c r="AD3145" s="9">
        <v>46089.563275462962</v>
      </c>
    </row>
    <row r="3146" spans="1:30" ht="12.5">
      <c r="A3146" s="4">
        <v>46088.885757662036</v>
      </c>
      <c r="B3146" s="5">
        <v>92886</v>
      </c>
      <c r="C3146" s="5">
        <v>32584129</v>
      </c>
      <c r="D3146" s="5" t="s">
        <v>13804</v>
      </c>
      <c r="F3146" s="5"/>
      <c r="H3146" s="5">
        <v>573116677797</v>
      </c>
      <c r="J3146" s="5" t="s">
        <v>13805</v>
      </c>
      <c r="K3146" s="5" t="s">
        <v>73</v>
      </c>
      <c r="L3146" s="5" t="s">
        <v>13806</v>
      </c>
      <c r="M3146" s="5">
        <v>573116677797</v>
      </c>
      <c r="N3146" s="6">
        <v>46089</v>
      </c>
      <c r="O3146" s="7">
        <v>8.3333333333333329E-2</v>
      </c>
      <c r="P3146" s="5">
        <v>1</v>
      </c>
      <c r="Q3146" s="5" t="s">
        <v>13807</v>
      </c>
      <c r="R3146" s="5">
        <v>150000</v>
      </c>
      <c r="S3146" s="5">
        <v>0</v>
      </c>
      <c r="T3146" s="5">
        <v>8000</v>
      </c>
      <c r="U3146" s="5">
        <v>158000</v>
      </c>
      <c r="V3146" s="10" t="s">
        <v>3330</v>
      </c>
      <c r="W3146" s="5" t="s">
        <v>36</v>
      </c>
      <c r="X3146" s="5" t="s">
        <v>12646</v>
      </c>
      <c r="Z3146" s="5"/>
      <c r="AA3146" s="5" t="s">
        <v>69</v>
      </c>
      <c r="AB3146" s="5" t="s">
        <v>13808</v>
      </c>
      <c r="AC3146" s="8" t="str">
        <f>HYPERLINK("https://drive.google.com/file/d/1fDuEdvUib7fHIf09182kxtrqFXDqm4l0/view?usp=drivesdk", "Abrir_Factura")</f>
        <v>Abrir_Factura</v>
      </c>
      <c r="AD3146" s="9">
        <v>46088.887789351851</v>
      </c>
    </row>
    <row r="3147" spans="1:30" ht="12.5">
      <c r="A3147" s="4">
        <v>46088.887168402776</v>
      </c>
      <c r="B3147" s="5">
        <v>92888</v>
      </c>
      <c r="C3147" s="5">
        <v>1234090855</v>
      </c>
      <c r="D3147" s="5" t="s">
        <v>13809</v>
      </c>
      <c r="F3147" s="5"/>
      <c r="H3147" s="5">
        <v>573114301416</v>
      </c>
      <c r="J3147" s="5" t="s">
        <v>13810</v>
      </c>
      <c r="K3147" s="5" t="s">
        <v>185</v>
      </c>
      <c r="L3147" s="5" t="s">
        <v>13811</v>
      </c>
      <c r="M3147" s="5"/>
      <c r="N3147" s="6">
        <v>46089</v>
      </c>
      <c r="O3147" s="7">
        <v>0.54166666666666663</v>
      </c>
      <c r="P3147" s="5">
        <v>1</v>
      </c>
      <c r="Q3147" s="5" t="s">
        <v>12406</v>
      </c>
      <c r="R3147" s="5">
        <v>90000</v>
      </c>
      <c r="S3147" s="5">
        <v>0</v>
      </c>
      <c r="T3147" s="5">
        <v>8000</v>
      </c>
      <c r="U3147" s="5">
        <v>98000</v>
      </c>
      <c r="V3147" s="5" t="s">
        <v>13812</v>
      </c>
      <c r="W3147" s="5" t="s">
        <v>36</v>
      </c>
      <c r="X3147" s="5" t="s">
        <v>12646</v>
      </c>
      <c r="Z3147" s="5"/>
      <c r="AA3147" s="5" t="s">
        <v>44</v>
      </c>
      <c r="AB3147" s="5"/>
      <c r="AC3147" s="8" t="str">
        <f>HYPERLINK("https://drive.google.com/file/d/1Cu1VJzCrSofclt97ywc9-U84qjk1MQr_/view?usp=drivesdk", "Abrir_Factura")</f>
        <v>Abrir_Factura</v>
      </c>
      <c r="AD3147" s="9">
        <v>46088.913900462961</v>
      </c>
    </row>
    <row r="3148" spans="1:30" ht="12.5">
      <c r="A3148" s="4">
        <v>46088.89892663194</v>
      </c>
      <c r="B3148" s="5">
        <v>92889</v>
      </c>
      <c r="C3148" s="5">
        <v>1234098186</v>
      </c>
      <c r="D3148" s="5" t="s">
        <v>13813</v>
      </c>
      <c r="F3148" s="5"/>
      <c r="H3148" s="5">
        <v>573015327503</v>
      </c>
      <c r="J3148" s="5" t="s">
        <v>13814</v>
      </c>
      <c r="K3148" s="5" t="s">
        <v>12657</v>
      </c>
      <c r="L3148" s="5" t="s">
        <v>12657</v>
      </c>
      <c r="M3148" s="5">
        <v>573015327503</v>
      </c>
      <c r="N3148" s="6">
        <v>46089</v>
      </c>
      <c r="O3148" s="7">
        <v>0.41666666666666669</v>
      </c>
      <c r="P3148" s="5">
        <v>1</v>
      </c>
      <c r="Q3148" s="5" t="s">
        <v>12423</v>
      </c>
      <c r="R3148" s="5">
        <v>80000</v>
      </c>
      <c r="S3148" s="5">
        <v>0</v>
      </c>
      <c r="T3148" s="5"/>
      <c r="U3148" s="5">
        <v>80000</v>
      </c>
      <c r="V3148" s="5" t="s">
        <v>13815</v>
      </c>
      <c r="W3148" s="5" t="s">
        <v>36</v>
      </c>
      <c r="X3148" s="5" t="s">
        <v>2438</v>
      </c>
      <c r="Z3148" s="5" t="s">
        <v>13769</v>
      </c>
      <c r="AA3148" s="5" t="s">
        <v>44</v>
      </c>
      <c r="AB3148" s="5" t="s">
        <v>13816</v>
      </c>
      <c r="AC3148" s="8" t="str">
        <f>HYPERLINK("https://drive.google.com/file/d/1IYZz7XO3UHczQvket9SjjFAW16uYNVoA/view?usp=drivesdk", "Abrir_Factura")</f>
        <v>Abrir_Factura</v>
      </c>
      <c r="AD3148" s="9">
        <v>46089.318333333336</v>
      </c>
    </row>
    <row r="3149" spans="1:30" ht="12.5">
      <c r="A3149" s="4">
        <v>46088.901119120375</v>
      </c>
      <c r="B3149" s="5">
        <v>92940</v>
      </c>
      <c r="C3149" s="5">
        <v>1041693339</v>
      </c>
      <c r="D3149" s="5" t="s">
        <v>13817</v>
      </c>
      <c r="F3149" s="5"/>
      <c r="H3149" s="5">
        <v>573243585945</v>
      </c>
      <c r="J3149" s="5" t="s">
        <v>13818</v>
      </c>
      <c r="K3149" s="5" t="s">
        <v>1057</v>
      </c>
      <c r="L3149" s="5" t="s">
        <v>13819</v>
      </c>
      <c r="M3149" s="5">
        <v>573045961095</v>
      </c>
      <c r="N3149" s="6">
        <v>46089</v>
      </c>
      <c r="O3149" s="7">
        <v>0.58333333333333337</v>
      </c>
      <c r="P3149" s="5">
        <v>1</v>
      </c>
      <c r="Q3149" s="5" t="s">
        <v>12484</v>
      </c>
      <c r="R3149" s="5">
        <v>190000</v>
      </c>
      <c r="S3149" s="5">
        <v>0</v>
      </c>
      <c r="T3149" s="5">
        <v>14000</v>
      </c>
      <c r="U3149" s="5">
        <v>204000</v>
      </c>
      <c r="V3149" s="5" t="s">
        <v>13820</v>
      </c>
      <c r="W3149" s="5" t="s">
        <v>36</v>
      </c>
      <c r="X3149" s="5" t="s">
        <v>12646</v>
      </c>
      <c r="Z3149" s="5" t="s">
        <v>13821</v>
      </c>
      <c r="AA3149" s="5" t="s">
        <v>44</v>
      </c>
      <c r="AB3149" s="5"/>
      <c r="AC3149" s="8" t="str">
        <f>HYPERLINK("https://drive.google.com/file/d/1ooBFGpzPhu6OAt2nAsxbUx1LUqS1cH32/view?usp=drivesdk", "Abrir_Factura")</f>
        <v>Abrir_Factura</v>
      </c>
      <c r="AD3149" s="9">
        <v>46089.512673611112</v>
      </c>
    </row>
    <row r="3150" spans="1:30" ht="12.5">
      <c r="A3150" s="4">
        <v>46088.919242534721</v>
      </c>
      <c r="B3150" s="5">
        <v>92896</v>
      </c>
      <c r="C3150" s="5">
        <v>1234091712</v>
      </c>
      <c r="D3150" s="5" t="s">
        <v>13822</v>
      </c>
      <c r="F3150" s="5"/>
      <c r="H3150" s="5">
        <v>573057683063</v>
      </c>
      <c r="J3150" s="5" t="s">
        <v>13823</v>
      </c>
      <c r="K3150" s="5" t="s">
        <v>598</v>
      </c>
      <c r="L3150" s="5" t="s">
        <v>13824</v>
      </c>
      <c r="M3150" s="5">
        <v>573225721015</v>
      </c>
      <c r="N3150" s="6">
        <v>46089</v>
      </c>
      <c r="O3150" s="7">
        <v>0.58333333333333337</v>
      </c>
      <c r="P3150" s="5">
        <v>1</v>
      </c>
      <c r="Q3150" s="5" t="s">
        <v>12496</v>
      </c>
      <c r="R3150" s="5">
        <v>120000</v>
      </c>
      <c r="S3150" s="5">
        <v>0</v>
      </c>
      <c r="T3150" s="5">
        <v>10000</v>
      </c>
      <c r="U3150" s="5">
        <v>130000</v>
      </c>
      <c r="V3150" s="5" t="s">
        <v>13825</v>
      </c>
      <c r="W3150" s="5" t="s">
        <v>36</v>
      </c>
      <c r="X3150" s="5" t="s">
        <v>12646</v>
      </c>
      <c r="Z3150" s="5" t="s">
        <v>8328</v>
      </c>
      <c r="AA3150" s="5" t="s">
        <v>44</v>
      </c>
      <c r="AB3150" s="5"/>
      <c r="AC3150" s="8" t="str">
        <f>HYPERLINK("https://drive.google.com/file/d/1n_4PGYfEUNhT1W-09YyABfG7hWNtadeS/view?usp=drivesdk", "Abrir_Factura")</f>
        <v>Abrir_Factura</v>
      </c>
      <c r="AD3150" s="9">
        <v>46089.399201388886</v>
      </c>
    </row>
    <row r="3151" spans="1:30" ht="12.5">
      <c r="A3151" s="4">
        <v>46089.317558819443</v>
      </c>
      <c r="B3151" s="5">
        <v>92894</v>
      </c>
      <c r="C3151" s="5">
        <v>1192795547</v>
      </c>
      <c r="D3151" s="5" t="s">
        <v>13826</v>
      </c>
      <c r="F3151" s="5"/>
      <c r="H3151" s="5">
        <v>573023902381</v>
      </c>
      <c r="J3151" s="5" t="s">
        <v>13827</v>
      </c>
      <c r="K3151" s="5" t="s">
        <v>12657</v>
      </c>
      <c r="L3151" s="5" t="s">
        <v>12657</v>
      </c>
      <c r="M3151" s="5">
        <v>573023902381</v>
      </c>
      <c r="N3151" s="6">
        <v>46089</v>
      </c>
      <c r="O3151" s="7">
        <v>8.3333333333333329E-2</v>
      </c>
      <c r="P3151" s="5">
        <v>1</v>
      </c>
      <c r="Q3151" s="5" t="s">
        <v>12728</v>
      </c>
      <c r="R3151" s="5">
        <v>120000</v>
      </c>
      <c r="S3151" s="5">
        <v>0</v>
      </c>
      <c r="T3151" s="5"/>
      <c r="U3151" s="5">
        <v>120000</v>
      </c>
      <c r="V3151" s="5" t="s">
        <v>13828</v>
      </c>
      <c r="W3151" s="5" t="s">
        <v>36</v>
      </c>
      <c r="X3151" s="5" t="s">
        <v>12646</v>
      </c>
      <c r="Z3151" s="5" t="s">
        <v>13829</v>
      </c>
      <c r="AA3151" s="5" t="s">
        <v>44</v>
      </c>
      <c r="AB3151" s="5" t="s">
        <v>9771</v>
      </c>
      <c r="AC3151" s="8" t="str">
        <f>HYPERLINK("https://drive.google.com/file/d/1qmktnero6Q8KxzlmBD2qtfyHaslPqCYI/view?usp=drivesdk", "Abrir_Factura")</f>
        <v>Abrir_Factura</v>
      </c>
      <c r="AD3151" s="9">
        <v>46089.384340277778</v>
      </c>
    </row>
    <row r="3152" spans="1:30" ht="12.5">
      <c r="A3152" s="4">
        <v>46089.31990613426</v>
      </c>
      <c r="B3152" s="5">
        <v>92891</v>
      </c>
      <c r="C3152" s="5">
        <v>1081822582</v>
      </c>
      <c r="D3152" s="5" t="s">
        <v>13830</v>
      </c>
      <c r="F3152" s="5"/>
      <c r="H3152" s="5">
        <v>573145948123</v>
      </c>
      <c r="J3152" s="5" t="s">
        <v>13831</v>
      </c>
      <c r="K3152" s="5" t="s">
        <v>726</v>
      </c>
      <c r="L3152" s="5" t="s">
        <v>13832</v>
      </c>
      <c r="M3152" s="5">
        <v>573106158120</v>
      </c>
      <c r="N3152" s="6">
        <v>46089</v>
      </c>
      <c r="O3152" s="7">
        <v>0.58333333333333337</v>
      </c>
      <c r="P3152" s="5">
        <v>1</v>
      </c>
      <c r="Q3152" s="5" t="s">
        <v>12406</v>
      </c>
      <c r="R3152" s="5">
        <v>90000</v>
      </c>
      <c r="S3152" s="5">
        <v>0</v>
      </c>
      <c r="T3152" s="5">
        <v>9000</v>
      </c>
      <c r="U3152" s="5">
        <v>99000</v>
      </c>
      <c r="V3152" s="5" t="s">
        <v>13833</v>
      </c>
      <c r="W3152" s="5" t="s">
        <v>36</v>
      </c>
      <c r="X3152" s="5" t="s">
        <v>12646</v>
      </c>
      <c r="Z3152" s="5" t="s">
        <v>13834</v>
      </c>
      <c r="AA3152" s="5" t="s">
        <v>44</v>
      </c>
      <c r="AB3152" s="5"/>
      <c r="AC3152" s="8" t="str">
        <f>HYPERLINK("https://drive.google.com/file/d/1DsQBSfuQHxzlYdV27jM3vW8-C55kDPHP/view?usp=drivesdk", "Abrir_Factura")</f>
        <v>Abrir_Factura</v>
      </c>
      <c r="AD3152" s="9">
        <v>46089.367685185185</v>
      </c>
    </row>
    <row r="3153" spans="1:30" ht="12.5">
      <c r="A3153" s="4">
        <v>46089.328812488428</v>
      </c>
      <c r="B3153" s="5">
        <v>92892</v>
      </c>
      <c r="C3153" s="5">
        <v>1042357434</v>
      </c>
      <c r="D3153" s="5" t="s">
        <v>13835</v>
      </c>
      <c r="F3153" s="5"/>
      <c r="H3153" s="5">
        <v>573122768847</v>
      </c>
      <c r="J3153" s="5" t="s">
        <v>13836</v>
      </c>
      <c r="K3153" s="5" t="s">
        <v>9925</v>
      </c>
      <c r="L3153" s="5" t="s">
        <v>13837</v>
      </c>
      <c r="M3153" s="5">
        <v>573046549343</v>
      </c>
      <c r="N3153" s="6">
        <v>46089</v>
      </c>
      <c r="O3153" s="7">
        <v>0.58333333333333337</v>
      </c>
      <c r="P3153" s="5">
        <v>1</v>
      </c>
      <c r="Q3153" s="5" t="s">
        <v>13838</v>
      </c>
      <c r="R3153" s="5">
        <v>80000</v>
      </c>
      <c r="S3153" s="5">
        <v>0</v>
      </c>
      <c r="T3153" s="5">
        <v>11000</v>
      </c>
      <c r="U3153" s="5">
        <v>91000</v>
      </c>
      <c r="V3153" s="5" t="s">
        <v>13839</v>
      </c>
      <c r="W3153" s="5" t="s">
        <v>36</v>
      </c>
      <c r="X3153" s="5" t="s">
        <v>12646</v>
      </c>
      <c r="Z3153" s="5"/>
      <c r="AA3153" s="5" t="s">
        <v>44</v>
      </c>
      <c r="AB3153" s="5" t="s">
        <v>13840</v>
      </c>
      <c r="AC3153" s="8" t="str">
        <f>HYPERLINK("https://drive.google.com/file/d/1qFXiS4dXy_CGzBupAGQzRdSv5txis2O5/view?usp=drivesdk", "Abrir_Factura")</f>
        <v>Abrir_Factura</v>
      </c>
      <c r="AD3153" s="9">
        <v>46089.375069444446</v>
      </c>
    </row>
    <row r="3154" spans="1:30" ht="12.5">
      <c r="A3154" s="4">
        <v>46089.332901412039</v>
      </c>
      <c r="B3154" s="5">
        <v>92895</v>
      </c>
      <c r="C3154" s="5">
        <v>1002000297</v>
      </c>
      <c r="D3154" s="5" t="s">
        <v>13841</v>
      </c>
      <c r="F3154" s="5"/>
      <c r="H3154" s="5">
        <v>573106894979</v>
      </c>
      <c r="J3154" s="5" t="s">
        <v>13842</v>
      </c>
      <c r="K3154" s="5" t="s">
        <v>964</v>
      </c>
      <c r="L3154" s="5" t="s">
        <v>13843</v>
      </c>
      <c r="M3154" s="5">
        <v>573057860370</v>
      </c>
      <c r="N3154" s="6">
        <v>46089</v>
      </c>
      <c r="O3154" s="7">
        <v>8.3333333333333329E-2</v>
      </c>
      <c r="P3154" s="5">
        <v>1</v>
      </c>
      <c r="Q3154" s="5" t="s">
        <v>12406</v>
      </c>
      <c r="R3154" s="5">
        <v>90000</v>
      </c>
      <c r="S3154" s="5">
        <v>0</v>
      </c>
      <c r="T3154" s="5">
        <v>12000</v>
      </c>
      <c r="U3154" s="5">
        <v>102000</v>
      </c>
      <c r="V3154" s="5" t="s">
        <v>13844</v>
      </c>
      <c r="W3154" s="5" t="s">
        <v>36</v>
      </c>
      <c r="X3154" s="5" t="s">
        <v>12646</v>
      </c>
      <c r="Z3154" s="5" t="s">
        <v>13845</v>
      </c>
      <c r="AA3154" s="5" t="s">
        <v>44</v>
      </c>
      <c r="AB3154" s="5" t="s">
        <v>9771</v>
      </c>
      <c r="AC3154" s="8" t="str">
        <f>HYPERLINK("https://drive.google.com/file/d/1BHHtzCEYZTj2CkilxxdXe6vSWx7qrMYi/view?usp=drivesdk", "Abrir_Factura")</f>
        <v>Abrir_Factura</v>
      </c>
      <c r="AD3154" s="9">
        <v>46089.385868055557</v>
      </c>
    </row>
    <row r="3155" spans="1:30" ht="12.5">
      <c r="A3155" s="4">
        <v>46089.353145949077</v>
      </c>
      <c r="B3155" s="5">
        <v>92900</v>
      </c>
      <c r="C3155" s="5">
        <v>1193048127</v>
      </c>
      <c r="D3155" s="5" t="s">
        <v>13846</v>
      </c>
      <c r="F3155" s="5"/>
      <c r="H3155" s="5">
        <v>573006358140</v>
      </c>
      <c r="J3155" s="5" t="s">
        <v>13847</v>
      </c>
      <c r="K3155" s="5" t="s">
        <v>4171</v>
      </c>
      <c r="L3155" s="5" t="s">
        <v>13848</v>
      </c>
      <c r="M3155" s="5">
        <v>573222595986</v>
      </c>
      <c r="N3155" s="6">
        <v>46089</v>
      </c>
      <c r="O3155" s="7">
        <v>0.58333333333333337</v>
      </c>
      <c r="P3155" s="5">
        <v>1</v>
      </c>
      <c r="Q3155" s="5" t="s">
        <v>12496</v>
      </c>
      <c r="R3155" s="5">
        <v>120000</v>
      </c>
      <c r="S3155" s="5">
        <v>0</v>
      </c>
      <c r="T3155" s="5">
        <v>18000</v>
      </c>
      <c r="U3155" s="5">
        <v>138000</v>
      </c>
      <c r="V3155" s="5" t="s">
        <v>13849</v>
      </c>
      <c r="W3155" s="5" t="s">
        <v>36</v>
      </c>
      <c r="X3155" s="5" t="s">
        <v>12646</v>
      </c>
      <c r="Z3155" s="5"/>
      <c r="AA3155" s="5" t="s">
        <v>44</v>
      </c>
      <c r="AB3155" s="5"/>
      <c r="AC3155" s="8" t="str">
        <f>HYPERLINK("https://drive.google.com/file/d/1vm7qDB8xuUGH0myXiqg0fE1R-UBYsJcT/view?usp=drivesdk", "Abrir_Factura")</f>
        <v>Abrir_Factura</v>
      </c>
      <c r="AD3155" s="9">
        <v>46089.420937499999</v>
      </c>
    </row>
    <row r="3156" spans="1:30" ht="12.5">
      <c r="A3156" s="4">
        <v>46089.355952280093</v>
      </c>
      <c r="B3156" s="5">
        <v>92893</v>
      </c>
      <c r="C3156" s="5">
        <v>28252226</v>
      </c>
      <c r="D3156" s="5" t="s">
        <v>13850</v>
      </c>
      <c r="F3156" s="5"/>
      <c r="H3156" s="5">
        <v>573234632212</v>
      </c>
      <c r="J3156" s="5" t="s">
        <v>13851</v>
      </c>
      <c r="K3156" s="5" t="s">
        <v>110</v>
      </c>
      <c r="L3156" s="5" t="s">
        <v>13852</v>
      </c>
      <c r="M3156" s="5">
        <v>573234632212</v>
      </c>
      <c r="N3156" s="6">
        <v>46089</v>
      </c>
      <c r="O3156" s="7">
        <v>0.45833333333333331</v>
      </c>
      <c r="P3156" s="5">
        <v>1</v>
      </c>
      <c r="Q3156" s="5" t="s">
        <v>13853</v>
      </c>
      <c r="R3156" s="5">
        <v>530000</v>
      </c>
      <c r="S3156" s="5">
        <v>0</v>
      </c>
      <c r="T3156" s="5">
        <v>6000</v>
      </c>
      <c r="U3156" s="5">
        <v>536000</v>
      </c>
      <c r="V3156" s="5" t="s">
        <v>13854</v>
      </c>
      <c r="W3156" s="5" t="s">
        <v>36</v>
      </c>
      <c r="X3156" s="5" t="s">
        <v>12646</v>
      </c>
      <c r="Z3156" s="5" t="s">
        <v>13855</v>
      </c>
      <c r="AA3156" s="5" t="s">
        <v>1717</v>
      </c>
      <c r="AB3156" s="5" t="s">
        <v>13856</v>
      </c>
      <c r="AC3156" s="8" t="str">
        <f>HYPERLINK("https://drive.google.com/file/d/1iP0lBAumuwmylKG1VIGiC5w9uINsF-BJ/view?usp=drivesdk", "Abrir_Factura")</f>
        <v>Abrir_Factura</v>
      </c>
      <c r="AD3156" s="9">
        <v>46089.383518518516</v>
      </c>
    </row>
    <row r="3157" spans="1:30" ht="12.5">
      <c r="A3157" s="4">
        <v>46089.365331006949</v>
      </c>
      <c r="B3157" s="5">
        <v>92890</v>
      </c>
      <c r="C3157" s="5">
        <v>1042433094</v>
      </c>
      <c r="D3157" s="5" t="s">
        <v>13308</v>
      </c>
      <c r="F3157" s="5"/>
      <c r="H3157" s="5">
        <v>573017245671</v>
      </c>
      <c r="J3157" s="5" t="s">
        <v>13308</v>
      </c>
      <c r="K3157" s="5" t="s">
        <v>12657</v>
      </c>
      <c r="L3157" s="5" t="s">
        <v>12657</v>
      </c>
      <c r="M3157" s="5">
        <v>573017245671</v>
      </c>
      <c r="N3157" s="6">
        <v>46089</v>
      </c>
      <c r="O3157" s="7">
        <v>0</v>
      </c>
      <c r="P3157" s="5">
        <v>1</v>
      </c>
      <c r="Q3157" s="5" t="s">
        <v>42</v>
      </c>
      <c r="R3157" s="5">
        <v>45000</v>
      </c>
      <c r="S3157" s="5">
        <v>0</v>
      </c>
      <c r="T3157" s="5"/>
      <c r="U3157" s="5">
        <v>45000</v>
      </c>
      <c r="V3157" s="5"/>
      <c r="W3157" s="5" t="s">
        <v>36</v>
      </c>
      <c r="X3157" s="5" t="s">
        <v>1705</v>
      </c>
      <c r="Z3157" s="5"/>
      <c r="AA3157" s="5" t="s">
        <v>1717</v>
      </c>
      <c r="AB3157" s="5"/>
      <c r="AC3157" s="8" t="str">
        <f>HYPERLINK("https://drive.google.com/file/d/1aqY-Fv7OCEcTxZs64dMItK138JORSOaW/view?usp=drivesdk", "Abrir_Factura")</f>
        <v>Abrir_Factura</v>
      </c>
      <c r="AD3157" s="9">
        <v>46089.366423611114</v>
      </c>
    </row>
    <row r="3158" spans="1:30" ht="12.5">
      <c r="A3158" s="4">
        <v>46089.366661979162</v>
      </c>
      <c r="B3158" s="5">
        <v>92931</v>
      </c>
      <c r="C3158" s="5">
        <v>1042455744</v>
      </c>
      <c r="D3158" s="5" t="s">
        <v>13857</v>
      </c>
      <c r="F3158" s="5"/>
      <c r="H3158" s="5">
        <v>34620769481</v>
      </c>
      <c r="J3158" s="5" t="s">
        <v>13858</v>
      </c>
      <c r="K3158" s="5" t="s">
        <v>87</v>
      </c>
      <c r="L3158" s="5" t="s">
        <v>13859</v>
      </c>
      <c r="M3158" s="5">
        <v>573004073607</v>
      </c>
      <c r="N3158" s="6">
        <v>46089</v>
      </c>
      <c r="O3158" s="7">
        <v>0.58333333333333337</v>
      </c>
      <c r="P3158" s="5">
        <v>1</v>
      </c>
      <c r="Q3158" s="5" t="s">
        <v>13860</v>
      </c>
      <c r="R3158" s="5">
        <v>200000</v>
      </c>
      <c r="S3158" s="5">
        <v>0</v>
      </c>
      <c r="T3158" s="5">
        <v>13000</v>
      </c>
      <c r="U3158" s="5">
        <v>213000</v>
      </c>
      <c r="V3158" s="5" t="s">
        <v>13861</v>
      </c>
      <c r="W3158" s="5" t="s">
        <v>36</v>
      </c>
      <c r="X3158" s="5" t="s">
        <v>12646</v>
      </c>
      <c r="Z3158" s="5" t="s">
        <v>13862</v>
      </c>
      <c r="AA3158" s="5" t="s">
        <v>44</v>
      </c>
      <c r="AB3158" s="5"/>
      <c r="AC3158" s="8" t="str">
        <f>HYPERLINK("https://drive.google.com/file/d/1SdkZxo5sydyLLo7GWb3dYyeILY5TzBeB/view?usp=drivesdk", "Abrir_Factura")</f>
        <v>Abrir_Factura</v>
      </c>
      <c r="AD3158" s="9">
        <v>46089.492488425924</v>
      </c>
    </row>
    <row r="3159" spans="1:30" ht="12.5">
      <c r="A3159" s="4">
        <v>46089.369751712962</v>
      </c>
      <c r="B3159" s="5">
        <v>92910</v>
      </c>
      <c r="C3159" s="5">
        <v>103663571</v>
      </c>
      <c r="D3159" s="5" t="s">
        <v>13863</v>
      </c>
      <c r="F3159" s="5"/>
      <c r="H3159" s="5">
        <v>573012463494</v>
      </c>
      <c r="J3159" s="5" t="s">
        <v>13864</v>
      </c>
      <c r="K3159" s="5" t="s">
        <v>9925</v>
      </c>
      <c r="L3159" s="5" t="s">
        <v>13865</v>
      </c>
      <c r="M3159" s="5">
        <v>573218473244</v>
      </c>
      <c r="N3159" s="6">
        <v>46089</v>
      </c>
      <c r="O3159" s="7">
        <v>0.58333333333333337</v>
      </c>
      <c r="P3159" s="5">
        <v>1</v>
      </c>
      <c r="Q3159" s="5" t="s">
        <v>12496</v>
      </c>
      <c r="R3159" s="5">
        <v>120000</v>
      </c>
      <c r="S3159" s="5">
        <v>0</v>
      </c>
      <c r="T3159" s="5">
        <v>11000</v>
      </c>
      <c r="U3159" s="5">
        <v>131000</v>
      </c>
      <c r="V3159" s="5" t="s">
        <v>13866</v>
      </c>
      <c r="W3159" s="5" t="s">
        <v>36</v>
      </c>
      <c r="X3159" s="5" t="s">
        <v>12646</v>
      </c>
      <c r="Z3159" s="5"/>
      <c r="AA3159" s="5" t="s">
        <v>44</v>
      </c>
      <c r="AB3159" s="5"/>
      <c r="AC3159" s="8" t="str">
        <f>HYPERLINK("https://drive.google.com/file/d/14CStqgkvri0W3xciJeZY1_yvryexfc0_/view?usp=drivesdk", "Abrir_Factura")</f>
        <v>Abrir_Factura</v>
      </c>
      <c r="AD3159" s="9">
        <v>46089.434583333335</v>
      </c>
    </row>
    <row r="3160" spans="1:30" ht="12.5">
      <c r="A3160" s="4">
        <v>46089.369828981478</v>
      </c>
      <c r="B3160" s="5">
        <v>92902</v>
      </c>
      <c r="C3160" s="5">
        <v>1082944582</v>
      </c>
      <c r="D3160" s="5" t="s">
        <v>13867</v>
      </c>
      <c r="F3160" s="5"/>
      <c r="H3160" s="5">
        <v>573186808218</v>
      </c>
      <c r="J3160" s="5" t="s">
        <v>13868</v>
      </c>
      <c r="K3160" s="5" t="s">
        <v>33</v>
      </c>
      <c r="L3160" s="5" t="s">
        <v>13869</v>
      </c>
      <c r="M3160" s="5">
        <v>573042078835</v>
      </c>
      <c r="N3160" s="6">
        <v>46089</v>
      </c>
      <c r="O3160" s="7">
        <v>0.58333333333333337</v>
      </c>
      <c r="P3160" s="5">
        <v>1</v>
      </c>
      <c r="Q3160" s="5" t="s">
        <v>13870</v>
      </c>
      <c r="R3160" s="5">
        <v>290000</v>
      </c>
      <c r="S3160" s="5">
        <v>0</v>
      </c>
      <c r="T3160" s="5">
        <v>0</v>
      </c>
      <c r="U3160" s="5">
        <v>290000</v>
      </c>
      <c r="V3160" s="5" t="s">
        <v>13871</v>
      </c>
      <c r="W3160" s="5" t="s">
        <v>36</v>
      </c>
      <c r="X3160" s="5" t="s">
        <v>12646</v>
      </c>
      <c r="Z3160" s="5" t="s">
        <v>13872</v>
      </c>
      <c r="AA3160" s="5" t="s">
        <v>44</v>
      </c>
      <c r="AB3160" s="5" t="s">
        <v>13873</v>
      </c>
      <c r="AC3160" s="8" t="str">
        <f>HYPERLINK("https://drive.google.com/file/d/10wP9wLqV0HUKSgv9NoanE-W7jWjkJV2P/view?usp=drivesdk", "Abrir_Factura")</f>
        <v>Abrir_Factura</v>
      </c>
      <c r="AD3160" s="9">
        <v>46089.424525462964</v>
      </c>
    </row>
    <row r="3161" spans="1:30" ht="12.5">
      <c r="A3161" s="4">
        <v>46089.374158888888</v>
      </c>
      <c r="B3161" s="5">
        <v>92903</v>
      </c>
      <c r="C3161" s="5">
        <v>1140816178</v>
      </c>
      <c r="D3161" s="5" t="s">
        <v>13874</v>
      </c>
      <c r="F3161" s="5"/>
      <c r="H3161" s="5">
        <v>573003591462</v>
      </c>
      <c r="J3161" s="5" t="s">
        <v>13875</v>
      </c>
      <c r="K3161" s="5" t="s">
        <v>892</v>
      </c>
      <c r="L3161" s="5" t="s">
        <v>13876</v>
      </c>
      <c r="M3161" s="5">
        <v>573107283794</v>
      </c>
      <c r="N3161" s="6">
        <v>46089</v>
      </c>
      <c r="O3161" s="7">
        <v>0</v>
      </c>
      <c r="P3161" s="5">
        <v>1</v>
      </c>
      <c r="Q3161" s="5" t="s">
        <v>12423</v>
      </c>
      <c r="R3161" s="5">
        <v>80000</v>
      </c>
      <c r="S3161" s="5">
        <v>0</v>
      </c>
      <c r="T3161" s="5">
        <v>10000</v>
      </c>
      <c r="U3161" s="5">
        <v>90000</v>
      </c>
      <c r="V3161" s="5" t="s">
        <v>13877</v>
      </c>
      <c r="W3161" s="5" t="s">
        <v>36</v>
      </c>
      <c r="X3161" s="5" t="s">
        <v>12646</v>
      </c>
      <c r="Z3161" s="5" t="s">
        <v>1389</v>
      </c>
      <c r="AA3161" s="5" t="s">
        <v>44</v>
      </c>
      <c r="AB3161" s="5" t="s">
        <v>13878</v>
      </c>
      <c r="AC3161" s="8" t="str">
        <f>HYPERLINK("https://drive.google.com/file/d/1RjiOyXry3Esl5dieR3WUcH23PKMQ-4Eb/view?usp=drivesdk", "Abrir_Factura")</f>
        <v>Abrir_Factura</v>
      </c>
      <c r="AD3161" s="9">
        <v>46089.426435185182</v>
      </c>
    </row>
    <row r="3162" spans="1:30" ht="12.5">
      <c r="A3162" s="4">
        <v>46089.375466261576</v>
      </c>
      <c r="B3162" s="5">
        <v>92904</v>
      </c>
      <c r="C3162" s="5">
        <v>1067728662</v>
      </c>
      <c r="D3162" s="5" t="s">
        <v>13879</v>
      </c>
      <c r="F3162" s="5"/>
      <c r="H3162" s="5">
        <v>573045849541</v>
      </c>
      <c r="J3162" s="5" t="s">
        <v>13880</v>
      </c>
      <c r="K3162" s="5" t="s">
        <v>124</v>
      </c>
      <c r="L3162" s="5" t="s">
        <v>13881</v>
      </c>
      <c r="M3162" s="5">
        <v>573242526558</v>
      </c>
      <c r="N3162" s="6">
        <v>46089</v>
      </c>
      <c r="O3162" s="7">
        <v>0</v>
      </c>
      <c r="P3162" s="5">
        <v>1</v>
      </c>
      <c r="Q3162" s="5" t="s">
        <v>12406</v>
      </c>
      <c r="R3162" s="5">
        <v>90000</v>
      </c>
      <c r="S3162" s="5">
        <v>0</v>
      </c>
      <c r="T3162" s="5">
        <v>12000</v>
      </c>
      <c r="U3162" s="5">
        <v>102000</v>
      </c>
      <c r="V3162" s="5" t="s">
        <v>13882</v>
      </c>
      <c r="W3162" s="5" t="s">
        <v>36</v>
      </c>
      <c r="X3162" s="5" t="s">
        <v>12646</v>
      </c>
      <c r="Z3162" s="5" t="s">
        <v>13883</v>
      </c>
      <c r="AA3162" s="5" t="s">
        <v>44</v>
      </c>
      <c r="AB3162" s="5" t="s">
        <v>13884</v>
      </c>
      <c r="AC3162" s="8" t="str">
        <f>HYPERLINK("https://drive.google.com/file/d/1zjPgr1AObXOMrJUE76FJRUP87MslHRe7/view?usp=drivesdk", "Abrir_Factura")</f>
        <v>Abrir_Factura</v>
      </c>
      <c r="AD3162" s="9">
        <v>46089.427916666667</v>
      </c>
    </row>
    <row r="3163" spans="1:30" ht="12.5">
      <c r="A3163" s="4">
        <v>46089.380789456016</v>
      </c>
      <c r="B3163" s="5">
        <v>92967</v>
      </c>
      <c r="C3163" s="5">
        <v>1045717294</v>
      </c>
      <c r="D3163" s="5" t="s">
        <v>13885</v>
      </c>
      <c r="F3163" s="5"/>
      <c r="H3163" s="5">
        <v>573013894849</v>
      </c>
      <c r="J3163" s="5" t="s">
        <v>10497</v>
      </c>
      <c r="K3163" s="5" t="s">
        <v>63</v>
      </c>
      <c r="L3163" s="5" t="s">
        <v>13886</v>
      </c>
      <c r="M3163" s="5">
        <v>573013894849</v>
      </c>
      <c r="N3163" s="6">
        <v>46089</v>
      </c>
      <c r="O3163" s="7">
        <v>0.16666666666666666</v>
      </c>
      <c r="P3163" s="5">
        <v>1</v>
      </c>
      <c r="Q3163" s="5" t="s">
        <v>12673</v>
      </c>
      <c r="R3163" s="5">
        <v>220000</v>
      </c>
      <c r="S3163" s="5">
        <v>0</v>
      </c>
      <c r="T3163" s="5">
        <v>17000</v>
      </c>
      <c r="U3163" s="5">
        <v>237000</v>
      </c>
      <c r="V3163" s="5" t="s">
        <v>13887</v>
      </c>
      <c r="W3163" s="5" t="s">
        <v>36</v>
      </c>
      <c r="X3163" s="5" t="s">
        <v>12646</v>
      </c>
      <c r="Z3163" s="5" t="s">
        <v>13888</v>
      </c>
      <c r="AA3163" s="5" t="s">
        <v>44</v>
      </c>
      <c r="AB3163" s="5" t="s">
        <v>9771</v>
      </c>
      <c r="AC3163" s="8" t="str">
        <f>HYPERLINK("https://drive.google.com/file/d/15ZutpbVGr7F9oeju0B6Cz0B5icQkes-y/view?usp=drivesdk", "Abrir_Factura")</f>
        <v>Abrir_Factura</v>
      </c>
      <c r="AD3163" s="9">
        <v>46089.587939814817</v>
      </c>
    </row>
    <row r="3164" spans="1:30" ht="12.5">
      <c r="A3164" s="4">
        <v>46089.381243888885</v>
      </c>
      <c r="B3164" s="5">
        <v>92905</v>
      </c>
      <c r="C3164" s="5">
        <v>72293032</v>
      </c>
      <c r="D3164" s="5" t="s">
        <v>13889</v>
      </c>
      <c r="F3164" s="5"/>
      <c r="H3164" s="5">
        <v>573175115454</v>
      </c>
      <c r="J3164" s="5" t="s">
        <v>13890</v>
      </c>
      <c r="K3164" s="5" t="s">
        <v>79</v>
      </c>
      <c r="L3164" s="5" t="s">
        <v>13891</v>
      </c>
      <c r="M3164" s="5">
        <v>573175115454</v>
      </c>
      <c r="N3164" s="6">
        <v>46089</v>
      </c>
      <c r="O3164" s="7">
        <v>0.54166666666666663</v>
      </c>
      <c r="P3164" s="5">
        <v>1</v>
      </c>
      <c r="Q3164" s="5" t="s">
        <v>12924</v>
      </c>
      <c r="R3164" s="5">
        <v>200000</v>
      </c>
      <c r="S3164" s="5">
        <v>0</v>
      </c>
      <c r="T3164" s="5">
        <v>10000</v>
      </c>
      <c r="U3164" s="5">
        <v>210000</v>
      </c>
      <c r="V3164" s="5" t="s">
        <v>13892</v>
      </c>
      <c r="W3164" s="5" t="s">
        <v>36</v>
      </c>
      <c r="X3164" s="5" t="s">
        <v>1937</v>
      </c>
      <c r="Z3164" s="5" t="s">
        <v>13893</v>
      </c>
      <c r="AA3164" s="5" t="s">
        <v>44</v>
      </c>
      <c r="AB3164" s="5" t="s">
        <v>13878</v>
      </c>
      <c r="AC3164" s="8" t="str">
        <f>HYPERLINK("https://drive.google.com/file/d/1pWgpt96MDJA-sHHEhBPyKJzTp6WnI1pU/view?usp=drivesdk", "Abrir_Factura")</f>
        <v>Abrir_Factura</v>
      </c>
      <c r="AD3164" s="9">
        <v>46089.429108796299</v>
      </c>
    </row>
    <row r="3165" spans="1:30" ht="12.5">
      <c r="A3165" s="4">
        <v>46089.386361898149</v>
      </c>
      <c r="B3165" s="5">
        <v>92922</v>
      </c>
      <c r="C3165" s="5">
        <v>13617311</v>
      </c>
      <c r="D3165" s="5" t="s">
        <v>13894</v>
      </c>
      <c r="F3165" s="5"/>
      <c r="H3165" s="5">
        <v>573173579313</v>
      </c>
      <c r="J3165" s="5" t="s">
        <v>13895</v>
      </c>
      <c r="K3165" s="5" t="s">
        <v>265</v>
      </c>
      <c r="L3165" s="5" t="s">
        <v>13896</v>
      </c>
      <c r="M3165" s="5">
        <v>573173666064</v>
      </c>
      <c r="N3165" s="6">
        <v>46089</v>
      </c>
      <c r="O3165" s="7">
        <v>0</v>
      </c>
      <c r="P3165" s="5">
        <v>1</v>
      </c>
      <c r="Q3165" s="5" t="s">
        <v>12423</v>
      </c>
      <c r="R3165" s="5">
        <v>80000</v>
      </c>
      <c r="S3165" s="5">
        <v>0</v>
      </c>
      <c r="T3165" s="5">
        <v>17000</v>
      </c>
      <c r="U3165" s="5">
        <v>97000</v>
      </c>
      <c r="V3165" s="5" t="s">
        <v>13897</v>
      </c>
      <c r="W3165" s="5" t="s">
        <v>36</v>
      </c>
      <c r="X3165" s="5" t="s">
        <v>12646</v>
      </c>
      <c r="Z3165" s="5" t="s">
        <v>13898</v>
      </c>
      <c r="AA3165" s="5" t="s">
        <v>44</v>
      </c>
      <c r="AB3165" s="5"/>
      <c r="AC3165" s="8" t="str">
        <f>HYPERLINK("https://drive.google.com/file/d/16lIZ1mx-q-K6WZRI6A_P20jRDwIdHhYu/view?usp=drivesdk", "Abrir_Factura")</f>
        <v>Abrir_Factura</v>
      </c>
      <c r="AD3165" s="9">
        <v>46089.459988425922</v>
      </c>
    </row>
    <row r="3166" spans="1:30" ht="12.5">
      <c r="A3166" s="4">
        <v>46089.398386412038</v>
      </c>
      <c r="B3166" s="5">
        <v>92918</v>
      </c>
      <c r="C3166" s="5">
        <v>1045674063</v>
      </c>
      <c r="D3166" s="5" t="s">
        <v>13899</v>
      </c>
      <c r="F3166" s="5"/>
      <c r="H3166" s="5">
        <v>57300514042300</v>
      </c>
      <c r="J3166" s="5" t="s">
        <v>46</v>
      </c>
      <c r="K3166" s="5" t="s">
        <v>33</v>
      </c>
      <c r="L3166" s="5" t="s">
        <v>579</v>
      </c>
      <c r="M3166" s="10" t="s">
        <v>2019</v>
      </c>
      <c r="N3166" s="6">
        <v>46089</v>
      </c>
      <c r="O3166" s="7">
        <v>8.3333333333333329E-2</v>
      </c>
      <c r="P3166" s="5">
        <v>1</v>
      </c>
      <c r="Q3166" s="5" t="s">
        <v>13900</v>
      </c>
      <c r="R3166" s="5">
        <v>230000</v>
      </c>
      <c r="S3166" s="5">
        <v>0</v>
      </c>
      <c r="T3166" s="5">
        <v>0</v>
      </c>
      <c r="U3166" s="5">
        <v>230000</v>
      </c>
      <c r="V3166" s="5" t="s">
        <v>13901</v>
      </c>
      <c r="W3166" s="5" t="s">
        <v>36</v>
      </c>
      <c r="X3166" s="5" t="s">
        <v>12646</v>
      </c>
      <c r="Z3166" s="5" t="s">
        <v>13902</v>
      </c>
      <c r="AA3166" s="5" t="s">
        <v>44</v>
      </c>
      <c r="AB3166" s="5" t="s">
        <v>9612</v>
      </c>
      <c r="AC3166" s="8" t="str">
        <f>HYPERLINK("https://drive.google.com/file/d/1xAnD4CGvLAo5qpkPusxus6M3yItN9UEr/view?usp=drivesdk", "Abrir_Factura")</f>
        <v>Abrir_Factura</v>
      </c>
      <c r="AD3166" s="9">
        <v>46089.711493055554</v>
      </c>
    </row>
    <row r="3167" spans="1:30" ht="12.5">
      <c r="A3167" s="4">
        <v>46089.404731168979</v>
      </c>
      <c r="B3167" s="5">
        <v>92897</v>
      </c>
      <c r="C3167" s="5">
        <v>1042256416</v>
      </c>
      <c r="D3167" s="5" t="s">
        <v>10549</v>
      </c>
      <c r="F3167" s="5"/>
      <c r="H3167" s="5">
        <v>573001241116</v>
      </c>
      <c r="J3167" s="5" t="s">
        <v>10549</v>
      </c>
      <c r="K3167" s="5" t="s">
        <v>12657</v>
      </c>
      <c r="L3167" s="5" t="s">
        <v>12657</v>
      </c>
      <c r="M3167" s="5">
        <v>573001241116</v>
      </c>
      <c r="N3167" s="6">
        <v>46089</v>
      </c>
      <c r="O3167" s="7">
        <v>0</v>
      </c>
      <c r="P3167" s="5">
        <v>1</v>
      </c>
      <c r="Q3167" s="5" t="s">
        <v>13903</v>
      </c>
      <c r="R3167" s="5">
        <v>40000</v>
      </c>
      <c r="S3167" s="5">
        <v>0</v>
      </c>
      <c r="T3167" s="5"/>
      <c r="U3167" s="5">
        <v>40000</v>
      </c>
      <c r="V3167" s="5"/>
      <c r="W3167" s="5" t="s">
        <v>36</v>
      </c>
      <c r="X3167" s="5" t="s">
        <v>196</v>
      </c>
      <c r="Z3167" s="5"/>
      <c r="AA3167" s="5" t="s">
        <v>1717</v>
      </c>
      <c r="AB3167" s="5"/>
      <c r="AC3167" s="8" t="str">
        <f>HYPERLINK("https://drive.google.com/file/d/1WJnP6jzvDI4YSACdJJLIS_J7mSfno83y/view?usp=drivesdk", "Abrir_Factura")</f>
        <v>Abrir_Factura</v>
      </c>
      <c r="AD3167" s="9">
        <v>46089.408437500002</v>
      </c>
    </row>
    <row r="3168" spans="1:30" ht="12.5">
      <c r="A3168" s="4">
        <v>46089.408154016201</v>
      </c>
      <c r="B3168" s="5">
        <v>92906</v>
      </c>
      <c r="C3168" s="5">
        <v>1123400657</v>
      </c>
      <c r="D3168" s="5" t="s">
        <v>13904</v>
      </c>
      <c r="F3168" s="5"/>
      <c r="H3168" s="5">
        <v>573004826083</v>
      </c>
      <c r="J3168" s="5" t="s">
        <v>13905</v>
      </c>
      <c r="K3168" s="5" t="s">
        <v>351</v>
      </c>
      <c r="L3168" s="5" t="s">
        <v>13906</v>
      </c>
      <c r="M3168" s="5">
        <v>573022009383</v>
      </c>
      <c r="N3168" s="6">
        <v>46089</v>
      </c>
      <c r="O3168" s="7">
        <v>8.3333333333333329E-2</v>
      </c>
      <c r="P3168" s="5">
        <v>1</v>
      </c>
      <c r="Q3168" s="5" t="s">
        <v>13907</v>
      </c>
      <c r="R3168" s="5">
        <v>130000</v>
      </c>
      <c r="S3168" s="5">
        <v>0</v>
      </c>
      <c r="T3168" s="5">
        <v>12000</v>
      </c>
      <c r="U3168" s="5">
        <v>142000</v>
      </c>
      <c r="V3168" s="5" t="s">
        <v>13908</v>
      </c>
      <c r="W3168" s="5" t="s">
        <v>36</v>
      </c>
      <c r="X3168" s="5" t="s">
        <v>12646</v>
      </c>
      <c r="Z3168" s="5"/>
      <c r="AA3168" s="5" t="s">
        <v>44</v>
      </c>
      <c r="AB3168" s="5" t="s">
        <v>9771</v>
      </c>
      <c r="AC3168" s="8" t="str">
        <f>HYPERLINK("https://drive.google.com/file/d/17UWnsoSQ5hD0atNkq75dKD1Nm67PwCdd/view?usp=drivesdk", "Abrir_Factura")</f>
        <v>Abrir_Factura</v>
      </c>
      <c r="AD3168" s="9">
        <v>46089.4294212963</v>
      </c>
    </row>
    <row r="3169" spans="1:30" ht="12.5">
      <c r="A3169" s="4">
        <v>46089.411447974533</v>
      </c>
      <c r="B3169" s="5">
        <v>92912</v>
      </c>
      <c r="C3169" s="5">
        <v>1002162815</v>
      </c>
      <c r="D3169" s="5" t="s">
        <v>13909</v>
      </c>
      <c r="F3169" s="5"/>
      <c r="H3169" s="5">
        <v>573046167890</v>
      </c>
      <c r="J3169" s="5" t="s">
        <v>13910</v>
      </c>
      <c r="K3169" s="5" t="s">
        <v>892</v>
      </c>
      <c r="L3169" s="5" t="s">
        <v>13911</v>
      </c>
      <c r="M3169" s="5">
        <v>573207472778</v>
      </c>
      <c r="N3169" s="6">
        <v>46089</v>
      </c>
      <c r="O3169" s="7">
        <v>0.58333333333333337</v>
      </c>
      <c r="P3169" s="5">
        <v>1</v>
      </c>
      <c r="Q3169" s="5" t="s">
        <v>13912</v>
      </c>
      <c r="R3169" s="5">
        <v>249000</v>
      </c>
      <c r="S3169" s="5">
        <v>0</v>
      </c>
      <c r="T3169" s="5">
        <v>10000</v>
      </c>
      <c r="U3169" s="5">
        <v>259000</v>
      </c>
      <c r="V3169" s="5"/>
      <c r="W3169" s="5" t="s">
        <v>36</v>
      </c>
      <c r="X3169" s="5" t="s">
        <v>12646</v>
      </c>
      <c r="Z3169" s="5"/>
      <c r="AA3169" s="5" t="s">
        <v>44</v>
      </c>
      <c r="AB3169" s="5"/>
      <c r="AC3169" s="8" t="str">
        <f>HYPERLINK("https://drive.google.com/file/d/16av3ypUxCbCAgFNxIYylKwJyziqMHuVw/view?usp=drivesdk", "Abrir_Factura")</f>
        <v>Abrir_Factura</v>
      </c>
      <c r="AD3169" s="9">
        <v>46089.458240740743</v>
      </c>
    </row>
    <row r="3170" spans="1:30" ht="12.5">
      <c r="A3170" s="4">
        <v>46089.411709652777</v>
      </c>
      <c r="B3170" s="5">
        <v>92915</v>
      </c>
      <c r="C3170" s="5">
        <v>1118862038</v>
      </c>
      <c r="D3170" s="5" t="s">
        <v>13913</v>
      </c>
      <c r="F3170" s="5"/>
      <c r="H3170" s="5">
        <v>573127035334</v>
      </c>
      <c r="J3170" s="5" t="s">
        <v>13914</v>
      </c>
      <c r="K3170" s="5" t="s">
        <v>448</v>
      </c>
      <c r="L3170" s="5" t="s">
        <v>13915</v>
      </c>
      <c r="M3170" s="5">
        <v>573127035334</v>
      </c>
      <c r="N3170" s="6">
        <v>46089</v>
      </c>
      <c r="O3170" s="7">
        <v>0.125</v>
      </c>
      <c r="P3170" s="5">
        <v>1</v>
      </c>
      <c r="Q3170" s="5" t="s">
        <v>13138</v>
      </c>
      <c r="R3170" s="5">
        <v>200000</v>
      </c>
      <c r="S3170" s="5">
        <v>0</v>
      </c>
      <c r="T3170" s="5">
        <v>15000</v>
      </c>
      <c r="U3170" s="5">
        <v>215000</v>
      </c>
      <c r="V3170" s="5" t="s">
        <v>13916</v>
      </c>
      <c r="W3170" s="5" t="s">
        <v>36</v>
      </c>
      <c r="X3170" s="5" t="s">
        <v>12646</v>
      </c>
      <c r="Z3170" s="5" t="s">
        <v>13917</v>
      </c>
      <c r="AA3170" s="5" t="s">
        <v>44</v>
      </c>
      <c r="AB3170" s="5" t="s">
        <v>9771</v>
      </c>
      <c r="AC3170" s="8" t="str">
        <f>HYPERLINK("https://drive.google.com/file/d/18hoCqtFFwTaYD7pe1P-o_dd43kXDGbss/view?usp=drivesdk", "Abrir_Factura")</f>
        <v>Abrir_Factura</v>
      </c>
      <c r="AD3170" s="9">
        <v>46089.444907407407</v>
      </c>
    </row>
    <row r="3171" spans="1:30" ht="12.5">
      <c r="A3171" s="4">
        <v>46089.411966435189</v>
      </c>
      <c r="B3171" s="5">
        <v>92908</v>
      </c>
      <c r="C3171" s="5">
        <v>1017252955</v>
      </c>
      <c r="D3171" s="5" t="s">
        <v>13918</v>
      </c>
      <c r="F3171" s="5"/>
      <c r="H3171" s="5">
        <v>573014139346</v>
      </c>
      <c r="J3171" s="5" t="s">
        <v>13919</v>
      </c>
      <c r="K3171" s="5" t="s">
        <v>87</v>
      </c>
      <c r="L3171" s="5" t="s">
        <v>13920</v>
      </c>
      <c r="M3171" s="5">
        <v>573226242456</v>
      </c>
      <c r="N3171" s="6">
        <v>46089</v>
      </c>
      <c r="O3171" s="7">
        <v>8.3333333333333329E-2</v>
      </c>
      <c r="P3171" s="5">
        <v>1</v>
      </c>
      <c r="Q3171" s="5" t="s">
        <v>13921</v>
      </c>
      <c r="R3171" s="5">
        <v>290000</v>
      </c>
      <c r="S3171" s="5">
        <v>0</v>
      </c>
      <c r="T3171" s="5">
        <v>13000</v>
      </c>
      <c r="U3171" s="5">
        <v>303000</v>
      </c>
      <c r="V3171" s="5" t="s">
        <v>13922</v>
      </c>
      <c r="W3171" s="5" t="s">
        <v>36</v>
      </c>
      <c r="X3171" s="5" t="s">
        <v>12646</v>
      </c>
      <c r="Z3171" s="5" t="s">
        <v>5249</v>
      </c>
      <c r="AA3171" s="5" t="s">
        <v>44</v>
      </c>
      <c r="AB3171" s="5" t="s">
        <v>9771</v>
      </c>
      <c r="AC3171" s="8" t="str">
        <f>HYPERLINK("https://drive.google.com/file/d/1FShUGFLZTqXEFSVj9S-aoYjh8OFTH_7k/view?usp=drivesdk", "Abrir_Factura")</f>
        <v>Abrir_Factura</v>
      </c>
      <c r="AD3171" s="9">
        <v>46089.431168981479</v>
      </c>
    </row>
    <row r="3172" spans="1:30" ht="12.5">
      <c r="A3172" s="4">
        <v>46089.413519710652</v>
      </c>
      <c r="B3172" s="5">
        <v>92898</v>
      </c>
      <c r="C3172" s="5">
        <v>1140849012</v>
      </c>
      <c r="D3172" s="5" t="s">
        <v>13923</v>
      </c>
      <c r="F3172" s="5"/>
      <c r="H3172" s="5">
        <v>573505478522</v>
      </c>
      <c r="J3172" s="5" t="s">
        <v>13923</v>
      </c>
      <c r="K3172" s="5" t="s">
        <v>12657</v>
      </c>
      <c r="L3172" s="5" t="s">
        <v>12657</v>
      </c>
      <c r="M3172" s="5">
        <v>573505478522</v>
      </c>
      <c r="N3172" s="6">
        <v>46089</v>
      </c>
      <c r="O3172" s="7">
        <v>0.375</v>
      </c>
      <c r="P3172" s="5">
        <v>1</v>
      </c>
      <c r="Q3172" s="5" t="s">
        <v>13807</v>
      </c>
      <c r="R3172" s="5">
        <v>150000</v>
      </c>
      <c r="S3172" s="5">
        <v>0</v>
      </c>
      <c r="T3172" s="5"/>
      <c r="U3172" s="5">
        <v>150000</v>
      </c>
      <c r="V3172" s="5"/>
      <c r="W3172" s="5" t="s">
        <v>36</v>
      </c>
      <c r="X3172" s="5" t="s">
        <v>1705</v>
      </c>
      <c r="Z3172" s="5"/>
      <c r="AA3172" s="5" t="s">
        <v>1717</v>
      </c>
      <c r="AB3172" s="5"/>
      <c r="AC3172" s="8" t="str">
        <f>HYPERLINK("https://drive.google.com/file/d/1ek7gYEaK2e0KGZP_Kbt4uiUoGorMSUgL/view?usp=drivesdk", "Abrir_Factura")</f>
        <v>Abrir_Factura</v>
      </c>
      <c r="AD3172" s="9">
        <v>46089.416238425925</v>
      </c>
    </row>
    <row r="3173" spans="1:30" ht="12.5">
      <c r="A3173" s="4">
        <v>46089.41523982639</v>
      </c>
      <c r="B3173" s="5">
        <v>92929</v>
      </c>
      <c r="C3173" s="5">
        <v>1045170036</v>
      </c>
      <c r="D3173" s="5" t="s">
        <v>13924</v>
      </c>
      <c r="F3173" s="5"/>
      <c r="H3173" s="5">
        <v>573017997710</v>
      </c>
      <c r="J3173" s="5" t="s">
        <v>13925</v>
      </c>
      <c r="K3173" s="5" t="s">
        <v>73</v>
      </c>
      <c r="L3173" s="5" t="s">
        <v>13926</v>
      </c>
      <c r="M3173" s="5">
        <v>573017997710</v>
      </c>
      <c r="N3173" s="6">
        <v>46089</v>
      </c>
      <c r="O3173" s="7">
        <v>8.3333333333333329E-2</v>
      </c>
      <c r="P3173" s="5">
        <v>1</v>
      </c>
      <c r="Q3173" s="5" t="s">
        <v>13838</v>
      </c>
      <c r="R3173" s="5">
        <v>80000</v>
      </c>
      <c r="S3173" s="5">
        <v>0</v>
      </c>
      <c r="T3173" s="5">
        <v>8000</v>
      </c>
      <c r="U3173" s="5">
        <v>88000</v>
      </c>
      <c r="V3173" s="5" t="s">
        <v>13927</v>
      </c>
      <c r="W3173" s="5" t="s">
        <v>36</v>
      </c>
      <c r="X3173" s="5" t="s">
        <v>12646</v>
      </c>
      <c r="Z3173" s="5" t="s">
        <v>13928</v>
      </c>
      <c r="AA3173" s="5" t="s">
        <v>44</v>
      </c>
      <c r="AB3173" s="5" t="s">
        <v>9771</v>
      </c>
      <c r="AC3173" s="8" t="str">
        <f>HYPERLINK("https://drive.google.com/file/d/1A2xA_6mVYp_hRFCmD_ojvoypEnhWJ-7M/view?usp=drivesdk", "Abrir_Factura")</f>
        <v>Abrir_Factura</v>
      </c>
      <c r="AD3173" s="9">
        <v>46089.485567129632</v>
      </c>
    </row>
    <row r="3174" spans="1:30" ht="12.5">
      <c r="A3174" s="4">
        <v>46089.417722326391</v>
      </c>
      <c r="B3174" s="5">
        <v>92899</v>
      </c>
      <c r="C3174" s="5">
        <v>1045742978</v>
      </c>
      <c r="D3174" s="5" t="s">
        <v>13929</v>
      </c>
      <c r="F3174" s="5"/>
      <c r="H3174" s="5">
        <v>57003176637</v>
      </c>
      <c r="J3174" s="5" t="s">
        <v>492</v>
      </c>
      <c r="K3174" s="5" t="s">
        <v>110</v>
      </c>
      <c r="L3174" s="5" t="s">
        <v>13930</v>
      </c>
      <c r="M3174" s="5"/>
      <c r="N3174" s="6">
        <v>46089</v>
      </c>
      <c r="O3174" s="7">
        <v>0.58333333333333337</v>
      </c>
      <c r="P3174" s="5">
        <v>1</v>
      </c>
      <c r="Q3174" s="5" t="s">
        <v>13931</v>
      </c>
      <c r="R3174" s="5">
        <v>200000</v>
      </c>
      <c r="S3174" s="5">
        <v>0</v>
      </c>
      <c r="T3174" s="5">
        <v>6000</v>
      </c>
      <c r="U3174" s="5">
        <v>206000</v>
      </c>
      <c r="V3174" s="5" t="s">
        <v>13892</v>
      </c>
      <c r="W3174" s="5" t="s">
        <v>36</v>
      </c>
      <c r="X3174" s="5" t="s">
        <v>43</v>
      </c>
      <c r="Z3174" s="5" t="s">
        <v>13892</v>
      </c>
      <c r="AA3174" s="5" t="s">
        <v>44</v>
      </c>
      <c r="AB3174" s="5" t="s">
        <v>13931</v>
      </c>
      <c r="AC3174" s="8" t="str">
        <f>HYPERLINK("https://drive.google.com/file/d/1troJR6ORPz6BBgp632OXzMZJ870-prJF/view?usp=drivesdk", "Abrir_Factura")</f>
        <v>Abrir_Factura</v>
      </c>
      <c r="AD3174" s="9">
        <v>46089.419247685182</v>
      </c>
    </row>
    <row r="3175" spans="1:30" ht="12.5">
      <c r="A3175" s="4">
        <v>46089.419754965274</v>
      </c>
      <c r="B3175" s="5">
        <v>92941</v>
      </c>
      <c r="C3175" s="5">
        <v>1004372836</v>
      </c>
      <c r="D3175" s="5" t="s">
        <v>13932</v>
      </c>
      <c r="F3175" s="5"/>
      <c r="H3175" s="5">
        <v>573114239021</v>
      </c>
      <c r="J3175" s="5" t="s">
        <v>13933</v>
      </c>
      <c r="K3175" s="5" t="s">
        <v>1815</v>
      </c>
      <c r="L3175" s="5" t="s">
        <v>13934</v>
      </c>
      <c r="M3175" s="5">
        <v>573114239021</v>
      </c>
      <c r="N3175" s="6">
        <v>46089</v>
      </c>
      <c r="O3175" s="7">
        <v>0.125</v>
      </c>
      <c r="P3175" s="5">
        <v>1</v>
      </c>
      <c r="Q3175" s="5" t="s">
        <v>13907</v>
      </c>
      <c r="R3175" s="5">
        <v>130000</v>
      </c>
      <c r="S3175" s="5">
        <v>0</v>
      </c>
      <c r="T3175" s="5">
        <v>18000</v>
      </c>
      <c r="U3175" s="5">
        <v>148000</v>
      </c>
      <c r="V3175" s="5" t="s">
        <v>13935</v>
      </c>
      <c r="W3175" s="5" t="s">
        <v>36</v>
      </c>
      <c r="X3175" s="5" t="s">
        <v>12646</v>
      </c>
      <c r="Z3175" s="5" t="s">
        <v>13936</v>
      </c>
      <c r="AA3175" s="5" t="s">
        <v>69</v>
      </c>
      <c r="AB3175" s="5"/>
      <c r="AC3175" s="8" t="str">
        <f>HYPERLINK("https://drive.google.com/file/d/1fpwH7ZiG9-HeBEIUSAUkHJUvdxsTnCGv/view?usp=drivesdk", "Abrir_Factura")</f>
        <v>Abrir_Factura</v>
      </c>
      <c r="AD3175" s="9">
        <v>46089.513310185182</v>
      </c>
    </row>
    <row r="3176" spans="1:30" ht="12.5">
      <c r="A3176" s="4">
        <v>46089.421229652777</v>
      </c>
      <c r="B3176" s="5">
        <v>92919</v>
      </c>
      <c r="C3176" s="5">
        <v>1143160074</v>
      </c>
      <c r="D3176" s="5" t="s">
        <v>13937</v>
      </c>
      <c r="F3176" s="5"/>
      <c r="H3176" s="5">
        <v>57320940951551</v>
      </c>
      <c r="J3176" s="5" t="s">
        <v>13937</v>
      </c>
      <c r="K3176" s="5" t="s">
        <v>12657</v>
      </c>
      <c r="L3176" s="5" t="s">
        <v>12657</v>
      </c>
      <c r="M3176" s="5">
        <v>573209409515</v>
      </c>
      <c r="N3176" s="6">
        <v>46089</v>
      </c>
      <c r="O3176" s="7">
        <v>0.5</v>
      </c>
      <c r="P3176" s="5">
        <v>1</v>
      </c>
      <c r="Q3176" s="5" t="s">
        <v>13938</v>
      </c>
      <c r="R3176" s="5">
        <v>99000</v>
      </c>
      <c r="S3176" s="5">
        <v>0</v>
      </c>
      <c r="T3176" s="5"/>
      <c r="U3176" s="5">
        <v>99000</v>
      </c>
      <c r="V3176" s="5"/>
      <c r="W3176" s="5" t="s">
        <v>36</v>
      </c>
      <c r="X3176" s="5" t="s">
        <v>2438</v>
      </c>
      <c r="Z3176" s="5"/>
      <c r="AA3176" s="5" t="s">
        <v>44</v>
      </c>
      <c r="AB3176" s="5" t="s">
        <v>13939</v>
      </c>
      <c r="AC3176" s="8" t="str">
        <f>HYPERLINK("https://drive.google.com/file/d/1tpJiN1li2A__5ySBehYqXc81jH_tXek0/view?usp=drivesdk", "Abrir_Factura")</f>
        <v>Abrir_Factura</v>
      </c>
      <c r="AD3176" s="9">
        <v>46089.460405092592</v>
      </c>
    </row>
    <row r="3177" spans="1:30" ht="12.5">
      <c r="A3177" s="4">
        <v>46089.422725104167</v>
      </c>
      <c r="B3177" s="5">
        <v>92901</v>
      </c>
      <c r="C3177" s="5">
        <v>1234093992</v>
      </c>
      <c r="D3177" s="5" t="s">
        <v>13940</v>
      </c>
      <c r="F3177" s="5"/>
      <c r="H3177" s="5">
        <v>573015934541</v>
      </c>
      <c r="J3177" s="5" t="s">
        <v>13940</v>
      </c>
      <c r="K3177" s="5" t="s">
        <v>12657</v>
      </c>
      <c r="L3177" s="5" t="s">
        <v>12657</v>
      </c>
      <c r="M3177" s="5">
        <v>573015934541</v>
      </c>
      <c r="N3177" s="6">
        <v>46089</v>
      </c>
      <c r="O3177" s="7">
        <v>0</v>
      </c>
      <c r="P3177" s="5">
        <v>1</v>
      </c>
      <c r="Q3177" s="5" t="s">
        <v>13941</v>
      </c>
      <c r="R3177" s="5">
        <v>95000</v>
      </c>
      <c r="S3177" s="5">
        <v>0</v>
      </c>
      <c r="T3177" s="5"/>
      <c r="U3177" s="5">
        <v>95000</v>
      </c>
      <c r="V3177" s="5"/>
      <c r="W3177" s="5" t="s">
        <v>36</v>
      </c>
      <c r="X3177" s="5" t="s">
        <v>1705</v>
      </c>
      <c r="Z3177" s="5"/>
      <c r="AA3177" s="5" t="s">
        <v>1717</v>
      </c>
      <c r="AB3177" s="5"/>
      <c r="AC3177" s="8" t="str">
        <f>HYPERLINK("https://drive.google.com/file/d/1nzJj7exe8CRPYXXnJAgCfV_GjTc2Y_OZ/view?usp=drivesdk", "Abrir_Factura")</f>
        <v>Abrir_Factura</v>
      </c>
      <c r="AD3177" s="9">
        <v>46089.424097222225</v>
      </c>
    </row>
    <row r="3178" spans="1:30" ht="12.5">
      <c r="A3178" s="4">
        <v>46089.42503189815</v>
      </c>
      <c r="B3178" s="5">
        <v>92934</v>
      </c>
      <c r="C3178" s="5">
        <v>1235539051</v>
      </c>
      <c r="D3178" s="5" t="s">
        <v>13942</v>
      </c>
      <c r="F3178" s="5"/>
      <c r="H3178" s="5">
        <v>573016147069</v>
      </c>
      <c r="J3178" s="5" t="s">
        <v>13943</v>
      </c>
      <c r="K3178" s="5" t="s">
        <v>103</v>
      </c>
      <c r="L3178" s="5" t="s">
        <v>13944</v>
      </c>
      <c r="M3178" s="5">
        <v>573209588809</v>
      </c>
      <c r="N3178" s="6">
        <v>46089</v>
      </c>
      <c r="O3178" s="7">
        <v>0.58333333333333337</v>
      </c>
      <c r="P3178" s="5">
        <v>1</v>
      </c>
      <c r="Q3178" s="5" t="s">
        <v>12522</v>
      </c>
      <c r="R3178" s="5">
        <v>99000</v>
      </c>
      <c r="S3178" s="5">
        <v>0</v>
      </c>
      <c r="T3178" s="5">
        <v>10000</v>
      </c>
      <c r="U3178" s="5">
        <v>109000</v>
      </c>
      <c r="V3178" s="5" t="s">
        <v>13945</v>
      </c>
      <c r="W3178" s="5" t="s">
        <v>36</v>
      </c>
      <c r="X3178" s="5" t="s">
        <v>12646</v>
      </c>
      <c r="Z3178" s="5" t="s">
        <v>13946</v>
      </c>
      <c r="AA3178" s="5" t="s">
        <v>44</v>
      </c>
      <c r="AB3178" s="5" t="s">
        <v>13947</v>
      </c>
      <c r="AC3178" s="8" t="str">
        <f>HYPERLINK("https://drive.google.com/file/d/1qu-6k746nFhhaEtpZHXuclrUJTkev-TL/view?usp=drivesdk", "Abrir_Factura")</f>
        <v>Abrir_Factura</v>
      </c>
      <c r="AD3178" s="9">
        <v>46089.501643518517</v>
      </c>
    </row>
    <row r="3179" spans="1:30" ht="12.5">
      <c r="A3179" s="4">
        <v>46089.425400370368</v>
      </c>
      <c r="B3179" s="5">
        <v>92926</v>
      </c>
      <c r="C3179" s="5">
        <v>1140856006</v>
      </c>
      <c r="D3179" s="5" t="s">
        <v>13948</v>
      </c>
      <c r="F3179" s="5"/>
      <c r="H3179" s="5">
        <v>573006489514</v>
      </c>
      <c r="J3179" s="5" t="s">
        <v>13949</v>
      </c>
      <c r="K3179" s="5" t="s">
        <v>1317</v>
      </c>
      <c r="L3179" s="5" t="s">
        <v>13950</v>
      </c>
      <c r="M3179" s="5">
        <v>573006489514</v>
      </c>
      <c r="N3179" s="6">
        <v>46089</v>
      </c>
      <c r="O3179" s="7">
        <v>0.54166666666666663</v>
      </c>
      <c r="P3179" s="5">
        <v>1</v>
      </c>
      <c r="Q3179" s="5" t="s">
        <v>12406</v>
      </c>
      <c r="R3179" s="5">
        <v>90000</v>
      </c>
      <c r="S3179" s="5">
        <v>0</v>
      </c>
      <c r="T3179" s="5">
        <v>12000</v>
      </c>
      <c r="U3179" s="5">
        <v>102000</v>
      </c>
      <c r="V3179" s="5" t="s">
        <v>13951</v>
      </c>
      <c r="W3179" s="5" t="s">
        <v>36</v>
      </c>
      <c r="X3179" s="5" t="s">
        <v>12646</v>
      </c>
      <c r="Z3179" s="5" t="s">
        <v>9733</v>
      </c>
      <c r="AA3179" s="5" t="s">
        <v>44</v>
      </c>
      <c r="AB3179" s="5"/>
      <c r="AC3179" s="8" t="str">
        <f>HYPERLINK("https://drive.google.com/file/d/1CkMnUxn9gzxLM2MK64wUcvYq5A-3dkVi/view?usp=drivesdk", "Abrir_Factura")</f>
        <v>Abrir_Factura</v>
      </c>
      <c r="AD3179" s="9">
        <v>46089.472175925926</v>
      </c>
    </row>
    <row r="3180" spans="1:30" ht="12.5">
      <c r="A3180" s="4">
        <v>46089.425523680555</v>
      </c>
      <c r="B3180" s="5">
        <v>92935</v>
      </c>
      <c r="C3180" s="5">
        <v>1131085553</v>
      </c>
      <c r="D3180" s="5" t="s">
        <v>13952</v>
      </c>
      <c r="F3180" s="5"/>
      <c r="H3180" s="5">
        <v>573204208147</v>
      </c>
      <c r="J3180" s="5" t="s">
        <v>13953</v>
      </c>
      <c r="K3180" s="5" t="s">
        <v>975</v>
      </c>
      <c r="L3180" s="5" t="s">
        <v>13954</v>
      </c>
      <c r="M3180" s="5">
        <v>573147387811</v>
      </c>
      <c r="N3180" s="6">
        <v>46089</v>
      </c>
      <c r="O3180" s="7">
        <v>0.58333333333333337</v>
      </c>
      <c r="P3180" s="5">
        <v>1</v>
      </c>
      <c r="Q3180" s="5" t="s">
        <v>12423</v>
      </c>
      <c r="R3180" s="5">
        <v>80000</v>
      </c>
      <c r="S3180" s="5">
        <v>0</v>
      </c>
      <c r="T3180" s="5">
        <v>10000</v>
      </c>
      <c r="U3180" s="5">
        <v>90000</v>
      </c>
      <c r="V3180" s="5" t="s">
        <v>13955</v>
      </c>
      <c r="W3180" s="5" t="s">
        <v>36</v>
      </c>
      <c r="X3180" s="5" t="s">
        <v>12646</v>
      </c>
      <c r="Z3180" s="5" t="s">
        <v>13956</v>
      </c>
      <c r="AA3180" s="5" t="s">
        <v>44</v>
      </c>
      <c r="AB3180" s="5"/>
      <c r="AC3180" s="8" t="str">
        <f>HYPERLINK("https://drive.google.com/file/d/1kCmbOaImIUj84K3XRrp47_DLxzIXP1QQ/view?usp=drivesdk", "Abrir_Factura")</f>
        <v>Abrir_Factura</v>
      </c>
      <c r="AD3180" s="9">
        <v>46089.502789351849</v>
      </c>
    </row>
    <row r="3181" spans="1:30" ht="12.5">
      <c r="A3181" s="4">
        <v>46089.428198935188</v>
      </c>
      <c r="B3181" s="5">
        <v>92913</v>
      </c>
      <c r="C3181" s="5">
        <v>92530141</v>
      </c>
      <c r="D3181" s="5" t="s">
        <v>13957</v>
      </c>
      <c r="F3181" s="5"/>
      <c r="H3181" s="5">
        <v>573005873865</v>
      </c>
      <c r="J3181" s="5" t="s">
        <v>13958</v>
      </c>
      <c r="K3181" s="5" t="s">
        <v>1647</v>
      </c>
      <c r="L3181" s="5" t="s">
        <v>13959</v>
      </c>
      <c r="M3181" s="5">
        <v>573015202077</v>
      </c>
      <c r="N3181" s="6">
        <v>46089</v>
      </c>
      <c r="O3181" s="7">
        <v>8.3333333333333329E-2</v>
      </c>
      <c r="P3181" s="5">
        <v>1</v>
      </c>
      <c r="Q3181" s="5" t="s">
        <v>12406</v>
      </c>
      <c r="R3181" s="5">
        <v>90000</v>
      </c>
      <c r="S3181" s="5">
        <v>0</v>
      </c>
      <c r="T3181" s="5">
        <v>18000</v>
      </c>
      <c r="U3181" s="5">
        <v>108000</v>
      </c>
      <c r="V3181" s="5" t="s">
        <v>13960</v>
      </c>
      <c r="W3181" s="5" t="s">
        <v>36</v>
      </c>
      <c r="X3181" s="5" t="s">
        <v>12646</v>
      </c>
      <c r="Z3181" s="5" t="s">
        <v>1051</v>
      </c>
      <c r="AA3181" s="5" t="s">
        <v>44</v>
      </c>
      <c r="AB3181" s="5" t="s">
        <v>9771</v>
      </c>
      <c r="AC3181" s="8" t="str">
        <f>HYPERLINK("https://drive.google.com/file/d/1jiel04JbX_b3FYcJJNM5TTq2hNjfi7m1/view?usp=drivesdk", "Abrir_Factura")</f>
        <v>Abrir_Factura</v>
      </c>
      <c r="AD3181" s="9">
        <v>46089.44259259259</v>
      </c>
    </row>
    <row r="3182" spans="1:30" ht="12.5">
      <c r="A3182" s="4">
        <v>46089.428783726849</v>
      </c>
      <c r="B3182" s="5">
        <v>92907</v>
      </c>
      <c r="C3182" s="5">
        <v>1234093992</v>
      </c>
      <c r="D3182" s="5" t="s">
        <v>13940</v>
      </c>
      <c r="F3182" s="5"/>
      <c r="H3182" s="5">
        <v>573015934541</v>
      </c>
      <c r="J3182" s="5" t="s">
        <v>13961</v>
      </c>
      <c r="K3182" s="5" t="s">
        <v>1497</v>
      </c>
      <c r="L3182" s="5" t="s">
        <v>13962</v>
      </c>
      <c r="M3182" s="5">
        <v>573007592052</v>
      </c>
      <c r="N3182" s="6">
        <v>46089</v>
      </c>
      <c r="O3182" s="7">
        <v>0.54166666666666663</v>
      </c>
      <c r="P3182" s="5">
        <v>1</v>
      </c>
      <c r="Q3182" s="5" t="s">
        <v>12423</v>
      </c>
      <c r="R3182" s="5">
        <v>80000</v>
      </c>
      <c r="S3182" s="5">
        <v>0</v>
      </c>
      <c r="T3182" s="5">
        <v>12000</v>
      </c>
      <c r="U3182" s="5">
        <v>92000</v>
      </c>
      <c r="V3182" s="5"/>
      <c r="W3182" s="5" t="s">
        <v>36</v>
      </c>
      <c r="X3182" s="5" t="s">
        <v>1705</v>
      </c>
      <c r="Z3182" s="5"/>
      <c r="AA3182" s="5" t="s">
        <v>1717</v>
      </c>
      <c r="AB3182" s="5"/>
      <c r="AC3182" s="8" t="str">
        <f>HYPERLINK("https://drive.google.com/file/d/12tZkDpeGceDgXEIys3IOoz-7dR2EzGR1/view?usp=drivesdk", "Abrir_Factura")</f>
        <v>Abrir_Factura</v>
      </c>
      <c r="AD3182" s="9">
        <v>46089.430127314816</v>
      </c>
    </row>
    <row r="3183" spans="1:30" ht="12.5">
      <c r="A3183" s="4">
        <v>46089.430539837966</v>
      </c>
      <c r="B3183" s="5">
        <v>92921</v>
      </c>
      <c r="C3183" s="5">
        <v>1045752007</v>
      </c>
      <c r="D3183" s="5" t="s">
        <v>13963</v>
      </c>
      <c r="F3183" s="5"/>
      <c r="H3183" s="5">
        <v>573022812819</v>
      </c>
      <c r="J3183" s="5" t="s">
        <v>13964</v>
      </c>
      <c r="K3183" s="5" t="s">
        <v>249</v>
      </c>
      <c r="L3183" s="5" t="s">
        <v>13965</v>
      </c>
      <c r="M3183" s="5">
        <v>573113106759</v>
      </c>
      <c r="N3183" s="6">
        <v>46089</v>
      </c>
      <c r="O3183" s="7">
        <v>0.60416666666666663</v>
      </c>
      <c r="P3183" s="5">
        <v>1</v>
      </c>
      <c r="Q3183" s="5" t="s">
        <v>12423</v>
      </c>
      <c r="R3183" s="5">
        <v>80000</v>
      </c>
      <c r="S3183" s="5">
        <v>0</v>
      </c>
      <c r="T3183" s="5">
        <v>10000</v>
      </c>
      <c r="U3183" s="5">
        <v>90000</v>
      </c>
      <c r="V3183" s="5" t="s">
        <v>13966</v>
      </c>
      <c r="W3183" s="5" t="s">
        <v>36</v>
      </c>
      <c r="X3183" s="5" t="s">
        <v>12646</v>
      </c>
      <c r="Z3183" s="5" t="s">
        <v>13967</v>
      </c>
      <c r="AA3183" s="5" t="s">
        <v>69</v>
      </c>
      <c r="AB3183" s="5" t="s">
        <v>13968</v>
      </c>
      <c r="AC3183" s="8" t="str">
        <f>HYPERLINK("https://drive.google.com/file/d/1GZliRE5JyaCqjxPlH6Gcx428nQSu74m0/view?usp=drivesdk", "Abrir_Factura")</f>
        <v>Abrir_Factura</v>
      </c>
      <c r="AD3183" s="9">
        <v>46089.454340277778</v>
      </c>
    </row>
    <row r="3184" spans="1:30" ht="12.5">
      <c r="A3184" s="4">
        <v>46089.432292083337</v>
      </c>
      <c r="B3184" s="5">
        <v>92909</v>
      </c>
      <c r="C3184" s="5">
        <v>1100692307</v>
      </c>
      <c r="D3184" s="5" t="s">
        <v>13969</v>
      </c>
      <c r="F3184" s="5"/>
      <c r="H3184" s="5">
        <v>573003322666</v>
      </c>
      <c r="J3184" s="5" t="s">
        <v>13969</v>
      </c>
      <c r="K3184" s="5" t="s">
        <v>12657</v>
      </c>
      <c r="L3184" s="5" t="s">
        <v>12657</v>
      </c>
      <c r="M3184" s="5">
        <v>573003322666</v>
      </c>
      <c r="N3184" s="6">
        <v>46089</v>
      </c>
      <c r="O3184" s="7">
        <v>0.45833333333333331</v>
      </c>
      <c r="P3184" s="5">
        <v>1</v>
      </c>
      <c r="Q3184" s="5" t="s">
        <v>12423</v>
      </c>
      <c r="R3184" s="5">
        <v>80000</v>
      </c>
      <c r="S3184" s="5">
        <v>0</v>
      </c>
      <c r="T3184" s="5"/>
      <c r="U3184" s="5">
        <v>80000</v>
      </c>
      <c r="V3184" s="5"/>
      <c r="W3184" s="5" t="s">
        <v>36</v>
      </c>
      <c r="X3184" s="5" t="s">
        <v>1705</v>
      </c>
      <c r="Z3184" s="5"/>
      <c r="AA3184" s="5" t="s">
        <v>1717</v>
      </c>
      <c r="AB3184" s="5"/>
      <c r="AC3184" s="8" t="str">
        <f>HYPERLINK("https://drive.google.com/file/d/11KpPdl9flzjg63VjUoRY601Wdrp39HWP/view?usp=drivesdk", "Abrir_Factura")</f>
        <v>Abrir_Factura</v>
      </c>
      <c r="AD3184" s="9">
        <v>46089.433217592596</v>
      </c>
    </row>
    <row r="3185" spans="1:30" ht="12.5">
      <c r="A3185" s="4">
        <v>46089.435666215279</v>
      </c>
      <c r="B3185" s="5">
        <v>92911</v>
      </c>
      <c r="C3185" s="5">
        <v>32896361</v>
      </c>
      <c r="D3185" s="5" t="s">
        <v>13970</v>
      </c>
      <c r="F3185" s="5"/>
      <c r="H3185" s="5">
        <v>573133861423</v>
      </c>
      <c r="J3185" s="5" t="s">
        <v>13970</v>
      </c>
      <c r="K3185" s="5" t="s">
        <v>12657</v>
      </c>
      <c r="L3185" s="5" t="s">
        <v>12657</v>
      </c>
      <c r="M3185" s="5">
        <v>573133861423</v>
      </c>
      <c r="N3185" s="6">
        <v>46089</v>
      </c>
      <c r="O3185" s="7">
        <v>0</v>
      </c>
      <c r="P3185" s="5">
        <v>1</v>
      </c>
      <c r="Q3185" s="5" t="s">
        <v>13971</v>
      </c>
      <c r="R3185" s="5">
        <v>140000</v>
      </c>
      <c r="S3185" s="5">
        <v>0</v>
      </c>
      <c r="T3185" s="5"/>
      <c r="U3185" s="5">
        <v>140000</v>
      </c>
      <c r="V3185" s="5"/>
      <c r="W3185" s="5" t="s">
        <v>36</v>
      </c>
      <c r="X3185" s="5" t="s">
        <v>1705</v>
      </c>
      <c r="Z3185" s="5"/>
      <c r="AA3185" s="5" t="s">
        <v>1717</v>
      </c>
      <c r="AB3185" s="5"/>
      <c r="AC3185" s="8" t="str">
        <f>HYPERLINK("https://drive.google.com/file/d/1rtztryAltQHrf2yMtuV7QL7LGZ40D-WG/view?usp=drivesdk", "Abrir_Factura")</f>
        <v>Abrir_Factura</v>
      </c>
      <c r="AD3185" s="9">
        <v>46089.438460648147</v>
      </c>
    </row>
    <row r="3186" spans="1:30" ht="12.5">
      <c r="A3186" s="4">
        <v>46089.43727869213</v>
      </c>
      <c r="B3186" s="5">
        <v>92920</v>
      </c>
      <c r="C3186" s="5">
        <v>5930583</v>
      </c>
      <c r="D3186" s="5" t="s">
        <v>13972</v>
      </c>
      <c r="F3186" s="5"/>
      <c r="H3186" s="5">
        <v>573004214517</v>
      </c>
      <c r="J3186" s="5" t="s">
        <v>13973</v>
      </c>
      <c r="K3186" s="5" t="s">
        <v>103</v>
      </c>
      <c r="L3186" s="5" t="s">
        <v>13974</v>
      </c>
      <c r="M3186" s="5">
        <v>573004214517</v>
      </c>
      <c r="N3186" s="6">
        <v>46089</v>
      </c>
      <c r="O3186" s="7">
        <v>8.3333333333333329E-2</v>
      </c>
      <c r="P3186" s="5">
        <v>1</v>
      </c>
      <c r="Q3186" s="5" t="s">
        <v>13074</v>
      </c>
      <c r="R3186" s="5">
        <v>350000</v>
      </c>
      <c r="S3186" s="5">
        <v>0</v>
      </c>
      <c r="T3186" s="5">
        <v>10000</v>
      </c>
      <c r="U3186" s="5">
        <v>360000</v>
      </c>
      <c r="V3186" s="5" t="s">
        <v>13975</v>
      </c>
      <c r="W3186" s="5" t="s">
        <v>36</v>
      </c>
      <c r="X3186" s="5" t="s">
        <v>12646</v>
      </c>
      <c r="Z3186" s="5" t="s">
        <v>686</v>
      </c>
      <c r="AA3186" s="5" t="s">
        <v>69</v>
      </c>
      <c r="AB3186" s="5"/>
      <c r="AC3186" s="8" t="str">
        <f>HYPERLINK("https://drive.google.com/file/d/1tdv-Y8tU1fV5UWwZYECRLxcMumNyBDb-/view?usp=drivesdk", "Abrir_Factura")</f>
        <v>Abrir_Factura</v>
      </c>
      <c r="AD3186" s="9">
        <v>46089.452939814815</v>
      </c>
    </row>
    <row r="3187" spans="1:30" ht="12.5">
      <c r="A3187" s="4">
        <v>46089.441662037032</v>
      </c>
      <c r="B3187" s="5">
        <v>92914</v>
      </c>
      <c r="C3187" s="5">
        <v>1140886855</v>
      </c>
      <c r="D3187" s="5" t="s">
        <v>13976</v>
      </c>
      <c r="F3187" s="5"/>
      <c r="H3187" s="5">
        <v>573502817351</v>
      </c>
      <c r="J3187" s="5" t="s">
        <v>13976</v>
      </c>
      <c r="K3187" s="5" t="s">
        <v>12657</v>
      </c>
      <c r="L3187" s="5" t="s">
        <v>12657</v>
      </c>
      <c r="M3187" s="5">
        <v>573502817351</v>
      </c>
      <c r="N3187" s="6">
        <v>46089</v>
      </c>
      <c r="O3187" s="7">
        <v>0</v>
      </c>
      <c r="P3187" s="5">
        <v>1</v>
      </c>
      <c r="Q3187" s="5" t="s">
        <v>12484</v>
      </c>
      <c r="R3187" s="5">
        <v>190000</v>
      </c>
      <c r="S3187" s="5">
        <v>0</v>
      </c>
      <c r="T3187" s="5"/>
      <c r="U3187" s="5">
        <v>190000</v>
      </c>
      <c r="V3187" s="5" t="s">
        <v>13977</v>
      </c>
      <c r="W3187" s="5" t="s">
        <v>36</v>
      </c>
      <c r="X3187" s="5" t="s">
        <v>196</v>
      </c>
      <c r="Z3187" s="5"/>
      <c r="AA3187" s="5" t="s">
        <v>1717</v>
      </c>
      <c r="AB3187" s="5"/>
      <c r="AC3187" s="8" t="str">
        <f>HYPERLINK("https://drive.google.com/file/d/1mUPsDH3kyh5VIifwoeeHne1qypjsMtZ3/view?usp=drivesdk", "Abrir_Factura")</f>
        <v>Abrir_Factura</v>
      </c>
      <c r="AD3187" s="9">
        <v>46089.442719907405</v>
      </c>
    </row>
    <row r="3188" spans="1:30" ht="12.5">
      <c r="A3188" s="4">
        <v>46089.446330532402</v>
      </c>
      <c r="B3188" s="5">
        <v>92916</v>
      </c>
      <c r="C3188" s="5">
        <v>1100692307</v>
      </c>
      <c r="D3188" s="5" t="s">
        <v>13969</v>
      </c>
      <c r="F3188" s="5"/>
      <c r="H3188" s="5">
        <v>573003322666</v>
      </c>
      <c r="J3188" s="5" t="s">
        <v>13969</v>
      </c>
      <c r="K3188" s="5" t="s">
        <v>12657</v>
      </c>
      <c r="L3188" s="5" t="s">
        <v>12657</v>
      </c>
      <c r="M3188" s="5">
        <v>573003322666</v>
      </c>
      <c r="N3188" s="6">
        <v>46089</v>
      </c>
      <c r="O3188" s="7">
        <v>0</v>
      </c>
      <c r="P3188" s="5">
        <v>2</v>
      </c>
      <c r="Q3188" s="5" t="s">
        <v>13978</v>
      </c>
      <c r="R3188" s="5">
        <v>160000</v>
      </c>
      <c r="S3188" s="5">
        <v>0</v>
      </c>
      <c r="T3188" s="5"/>
      <c r="U3188" s="5">
        <v>160000</v>
      </c>
      <c r="V3188" s="5"/>
      <c r="W3188" s="5" t="s">
        <v>36</v>
      </c>
      <c r="X3188" s="5" t="s">
        <v>1705</v>
      </c>
      <c r="Z3188" s="5"/>
      <c r="AA3188" s="5" t="s">
        <v>1717</v>
      </c>
      <c r="AB3188" s="5"/>
      <c r="AC3188" s="8" t="str">
        <f>HYPERLINK("https://drive.google.com/file/d/1j7itZ0NgnB8sqQXm06RSIGvQo3TuylK-/view?usp=drivesdk", "Abrir_Factura")</f>
        <v>Abrir_Factura</v>
      </c>
      <c r="AD3188" s="9">
        <v>46089.718978379635</v>
      </c>
    </row>
    <row r="3189" spans="1:30" ht="12.5">
      <c r="A3189" s="4">
        <v>46089.448361087962</v>
      </c>
      <c r="B3189" s="5">
        <v>92963</v>
      </c>
      <c r="C3189" s="5">
        <v>1067728702</v>
      </c>
      <c r="D3189" s="5" t="s">
        <v>13979</v>
      </c>
      <c r="F3189" s="5"/>
      <c r="H3189" s="5">
        <v>573188709938</v>
      </c>
      <c r="J3189" s="5" t="s">
        <v>13980</v>
      </c>
      <c r="K3189" s="5" t="s">
        <v>307</v>
      </c>
      <c r="L3189" s="5" t="s">
        <v>13981</v>
      </c>
      <c r="M3189" s="5">
        <v>573215461190</v>
      </c>
      <c r="N3189" s="6">
        <v>46089</v>
      </c>
      <c r="O3189" s="7">
        <v>0.66666666666666663</v>
      </c>
      <c r="P3189" s="5">
        <v>1</v>
      </c>
      <c r="Q3189" s="5" t="s">
        <v>13138</v>
      </c>
      <c r="R3189" s="5">
        <v>200000</v>
      </c>
      <c r="S3189" s="5">
        <v>0</v>
      </c>
      <c r="T3189" s="5">
        <v>10000</v>
      </c>
      <c r="U3189" s="5">
        <v>210000</v>
      </c>
      <c r="V3189" s="5" t="s">
        <v>13982</v>
      </c>
      <c r="W3189" s="5" t="s">
        <v>36</v>
      </c>
      <c r="X3189" s="5" t="s">
        <v>12646</v>
      </c>
      <c r="Z3189" s="5"/>
      <c r="AA3189" s="5" t="s">
        <v>44</v>
      </c>
      <c r="AB3189" s="5"/>
      <c r="AC3189" s="8" t="str">
        <f>HYPERLINK("https://drive.google.com/file/d/1sbtL29rlBm6cvxGkEtmlnJOptP0yN5FA/view?usp=drivesdk", "Abrir_Factura")</f>
        <v>Abrir_Factura</v>
      </c>
      <c r="AD3189" s="9">
        <v>46089.567048611112</v>
      </c>
    </row>
    <row r="3190" spans="1:30" ht="12.5">
      <c r="A3190" s="4">
        <v>46089.449573773149</v>
      </c>
      <c r="B3190" s="5">
        <v>92917</v>
      </c>
      <c r="C3190" s="5">
        <v>1140876846</v>
      </c>
      <c r="D3190" s="5" t="s">
        <v>13983</v>
      </c>
      <c r="F3190" s="5"/>
      <c r="H3190" s="5">
        <v>573013726870</v>
      </c>
      <c r="J3190" s="5" t="s">
        <v>13983</v>
      </c>
      <c r="K3190" s="5" t="s">
        <v>12657</v>
      </c>
      <c r="L3190" s="5" t="s">
        <v>12657</v>
      </c>
      <c r="M3190" s="5">
        <v>573013726870</v>
      </c>
      <c r="N3190" s="6">
        <v>46089</v>
      </c>
      <c r="O3190" s="7">
        <v>0</v>
      </c>
      <c r="P3190" s="5">
        <v>1</v>
      </c>
      <c r="Q3190" s="5" t="s">
        <v>42</v>
      </c>
      <c r="R3190" s="5">
        <v>50000</v>
      </c>
      <c r="S3190" s="5">
        <v>0</v>
      </c>
      <c r="T3190" s="5"/>
      <c r="U3190" s="5">
        <v>50000</v>
      </c>
      <c r="V3190" s="5"/>
      <c r="W3190" s="5" t="s">
        <v>36</v>
      </c>
      <c r="X3190" s="5" t="s">
        <v>1705</v>
      </c>
      <c r="Z3190" s="5"/>
      <c r="AA3190" s="5" t="s">
        <v>1717</v>
      </c>
      <c r="AB3190" s="5"/>
      <c r="AC3190" s="8" t="str">
        <f>HYPERLINK("https://drive.google.com/file/d/1EXz3RJfWMXYtFWi0O5Lv0rCsGG-ddhx_/view?usp=drivesdk", "Abrir_Factura")</f>
        <v>Abrir_Factura</v>
      </c>
      <c r="AD3190" s="9">
        <v>46089.466828703706</v>
      </c>
    </row>
    <row r="3191" spans="1:30" ht="12.5">
      <c r="A3191" s="4">
        <v>46089.455298020832</v>
      </c>
      <c r="B3191" s="5">
        <v>92933</v>
      </c>
      <c r="C3191" s="5">
        <v>1140890727</v>
      </c>
      <c r="D3191" s="5" t="s">
        <v>13984</v>
      </c>
      <c r="F3191" s="5"/>
      <c r="H3191" s="5">
        <v>84383137308438</v>
      </c>
      <c r="J3191" s="5" t="s">
        <v>13985</v>
      </c>
      <c r="K3191" s="5" t="s">
        <v>1921</v>
      </c>
      <c r="L3191" s="5" t="s">
        <v>13986</v>
      </c>
      <c r="M3191" s="5">
        <v>573166256584</v>
      </c>
      <c r="N3191" s="6">
        <v>46089</v>
      </c>
      <c r="O3191" s="7">
        <v>0.58333333333333337</v>
      </c>
      <c r="P3191" s="5">
        <v>2</v>
      </c>
      <c r="Q3191" s="5" t="s">
        <v>13217</v>
      </c>
      <c r="R3191" s="5">
        <v>180000</v>
      </c>
      <c r="S3191" s="5">
        <v>0</v>
      </c>
      <c r="T3191" s="5">
        <v>15000</v>
      </c>
      <c r="U3191" s="5">
        <v>195000</v>
      </c>
      <c r="V3191" s="5" t="s">
        <v>13987</v>
      </c>
      <c r="W3191" s="5" t="s">
        <v>36</v>
      </c>
      <c r="X3191" s="5" t="s">
        <v>12646</v>
      </c>
      <c r="Z3191" s="5" t="s">
        <v>13988</v>
      </c>
      <c r="AA3191" s="5" t="s">
        <v>44</v>
      </c>
      <c r="AB3191" s="5"/>
      <c r="AC3191" s="8" t="str">
        <f>HYPERLINK("https://drive.google.com/file/d/1IdL36T0wfzHL-5v_oOc_Z94q99l_Vn1m/view?usp=drivesdk", "Abrir_Factura")</f>
        <v>Abrir_Factura</v>
      </c>
      <c r="AD3191" s="9">
        <v>46090.470104166663</v>
      </c>
    </row>
    <row r="3192" spans="1:30" ht="12.5">
      <c r="A3192" s="4">
        <v>46089.456288032408</v>
      </c>
      <c r="B3192" s="5">
        <v>92953</v>
      </c>
      <c r="C3192" s="5">
        <v>32940456</v>
      </c>
      <c r="D3192" s="5" t="s">
        <v>13989</v>
      </c>
      <c r="F3192" s="5"/>
      <c r="H3192" s="5">
        <v>573052429073</v>
      </c>
      <c r="J3192" s="5" t="s">
        <v>13990</v>
      </c>
      <c r="K3192" s="5" t="s">
        <v>124</v>
      </c>
      <c r="L3192" s="5" t="s">
        <v>13991</v>
      </c>
      <c r="M3192" s="5">
        <v>573002866923</v>
      </c>
      <c r="N3192" s="6">
        <v>46089</v>
      </c>
      <c r="O3192" s="7">
        <v>0.66666666666666663</v>
      </c>
      <c r="P3192" s="5">
        <v>1</v>
      </c>
      <c r="Q3192" s="5" t="s">
        <v>12496</v>
      </c>
      <c r="R3192" s="5">
        <v>120000</v>
      </c>
      <c r="S3192" s="5">
        <v>0</v>
      </c>
      <c r="T3192" s="5">
        <v>12000</v>
      </c>
      <c r="U3192" s="5">
        <v>132000</v>
      </c>
      <c r="V3192" s="5" t="s">
        <v>13992</v>
      </c>
      <c r="W3192" s="5" t="s">
        <v>36</v>
      </c>
      <c r="X3192" s="5" t="s">
        <v>12646</v>
      </c>
      <c r="Z3192" s="5" t="s">
        <v>7069</v>
      </c>
      <c r="AA3192" s="5" t="s">
        <v>44</v>
      </c>
      <c r="AB3192" s="5"/>
      <c r="AC3192" s="8" t="str">
        <f>HYPERLINK("https://drive.google.com/file/d/1j-UEo6W8JG8aulnKzMFmZiIkIGDHbkMe/view?usp=drivesdk", "Abrir_Factura")</f>
        <v>Abrir_Factura</v>
      </c>
      <c r="AD3192" s="9">
        <v>46089.542222222219</v>
      </c>
    </row>
    <row r="3193" spans="1:30" ht="12.5">
      <c r="A3193" s="4">
        <v>46089.458844444445</v>
      </c>
      <c r="B3193" s="5">
        <v>92930</v>
      </c>
      <c r="C3193" s="5">
        <v>0</v>
      </c>
      <c r="D3193" s="5" t="s">
        <v>13993</v>
      </c>
      <c r="F3193" s="5"/>
      <c r="H3193" s="5">
        <v>5712398497780</v>
      </c>
      <c r="J3193" s="5" t="s">
        <v>13994</v>
      </c>
      <c r="K3193" s="5" t="s">
        <v>1047</v>
      </c>
      <c r="L3193" s="5" t="s">
        <v>13995</v>
      </c>
      <c r="M3193" s="5">
        <v>573112313035</v>
      </c>
      <c r="N3193" s="6">
        <v>46089</v>
      </c>
      <c r="O3193" s="7">
        <v>0.58333333333333337</v>
      </c>
      <c r="P3193" s="5">
        <v>1</v>
      </c>
      <c r="Q3193" s="5" t="s">
        <v>13283</v>
      </c>
      <c r="R3193" s="5">
        <v>220000</v>
      </c>
      <c r="S3193" s="5">
        <v>0</v>
      </c>
      <c r="T3193" s="5">
        <v>15000</v>
      </c>
      <c r="U3193" s="5">
        <v>235000</v>
      </c>
      <c r="V3193" s="5" t="s">
        <v>13996</v>
      </c>
      <c r="W3193" s="5" t="s">
        <v>36</v>
      </c>
      <c r="X3193" s="5" t="s">
        <v>12646</v>
      </c>
      <c r="Z3193" s="5" t="s">
        <v>13997</v>
      </c>
      <c r="AA3193" s="5" t="s">
        <v>44</v>
      </c>
      <c r="AB3193" s="5" t="s">
        <v>9771</v>
      </c>
      <c r="AC3193" s="8" t="str">
        <f>HYPERLINK("https://drive.google.com/file/d/1lQgls_swZzZEdKZLhevjYX1hiRs7Rj4m/view?usp=drivesdk", "Abrir_Factura")</f>
        <v>Abrir_Factura</v>
      </c>
      <c r="AD3193" s="9">
        <v>46089.48883101852</v>
      </c>
    </row>
    <row r="3194" spans="1:30" ht="12.5">
      <c r="A3194" s="4">
        <v>46089.463062187497</v>
      </c>
      <c r="B3194" s="5">
        <v>92924</v>
      </c>
      <c r="C3194" s="5">
        <v>1140876846</v>
      </c>
      <c r="D3194" s="5" t="s">
        <v>13983</v>
      </c>
      <c r="F3194" s="5"/>
      <c r="H3194" s="5">
        <v>573013726870</v>
      </c>
      <c r="J3194" s="5" t="s">
        <v>13983</v>
      </c>
      <c r="K3194" s="5" t="s">
        <v>12657</v>
      </c>
      <c r="L3194" s="5" t="s">
        <v>12657</v>
      </c>
      <c r="M3194" s="5">
        <v>573013726870</v>
      </c>
      <c r="N3194" s="6">
        <v>46089</v>
      </c>
      <c r="O3194" s="7">
        <v>0</v>
      </c>
      <c r="P3194" s="5">
        <v>1</v>
      </c>
      <c r="Q3194" s="5" t="s">
        <v>42</v>
      </c>
      <c r="R3194" s="5">
        <v>100000</v>
      </c>
      <c r="S3194" s="5">
        <v>0</v>
      </c>
      <c r="T3194" s="5"/>
      <c r="U3194" s="5">
        <v>100000</v>
      </c>
      <c r="V3194" s="5"/>
      <c r="W3194" s="5" t="s">
        <v>36</v>
      </c>
      <c r="X3194" s="5" t="s">
        <v>1705</v>
      </c>
      <c r="Z3194" s="5"/>
      <c r="AA3194" s="5" t="s">
        <v>1717</v>
      </c>
      <c r="AB3194" s="5"/>
      <c r="AC3194" s="8" t="str">
        <f>HYPERLINK("https://drive.google.com/file/d/17lGcS-iduilUhilyPgvnVCNOWjmhpT21/view?usp=drivesdk", "Abrir_Factura")</f>
        <v>Abrir_Factura</v>
      </c>
      <c r="AD3194" s="9">
        <v>46089.466423611113</v>
      </c>
    </row>
    <row r="3195" spans="1:30" ht="12.5">
      <c r="A3195" s="4">
        <v>46089.467667696765</v>
      </c>
      <c r="B3195" s="5">
        <v>92959</v>
      </c>
      <c r="C3195" s="5">
        <v>1098744385</v>
      </c>
      <c r="D3195" s="5" t="s">
        <v>13998</v>
      </c>
      <c r="F3195" s="5"/>
      <c r="H3195" s="5">
        <v>573105585460</v>
      </c>
      <c r="J3195" s="5" t="s">
        <v>13999</v>
      </c>
      <c r="K3195" s="5" t="s">
        <v>307</v>
      </c>
      <c r="L3195" s="5" t="s">
        <v>14000</v>
      </c>
      <c r="M3195" s="5">
        <v>573105585460</v>
      </c>
      <c r="N3195" s="6">
        <v>46089</v>
      </c>
      <c r="O3195" s="7">
        <v>0.16666666666666666</v>
      </c>
      <c r="P3195" s="5">
        <v>1</v>
      </c>
      <c r="Q3195" s="5" t="s">
        <v>14001</v>
      </c>
      <c r="R3195" s="5">
        <v>150000</v>
      </c>
      <c r="S3195" s="5">
        <v>0</v>
      </c>
      <c r="T3195" s="5">
        <v>10000</v>
      </c>
      <c r="U3195" s="5">
        <v>160000</v>
      </c>
      <c r="V3195" s="5" t="s">
        <v>14002</v>
      </c>
      <c r="W3195" s="5" t="s">
        <v>36</v>
      </c>
      <c r="X3195" s="5" t="s">
        <v>12646</v>
      </c>
      <c r="Z3195" s="5" t="s">
        <v>14003</v>
      </c>
      <c r="AA3195" s="5" t="s">
        <v>44</v>
      </c>
      <c r="AB3195" s="5" t="s">
        <v>9771</v>
      </c>
      <c r="AC3195" s="8" t="str">
        <f>HYPERLINK("https://drive.google.com/file/d/1vrjM8i7HS9j4o0VdvoPlP204JNQCj-at/view?usp=drivesdk", "Abrir_Factura")</f>
        <v>Abrir_Factura</v>
      </c>
      <c r="AD3195" s="9">
        <v>46089.556574074071</v>
      </c>
    </row>
    <row r="3196" spans="1:30" ht="12.5">
      <c r="A3196" s="4">
        <v>46089.470123425926</v>
      </c>
      <c r="B3196" s="5">
        <v>92925</v>
      </c>
      <c r="C3196" s="5">
        <v>7475817</v>
      </c>
      <c r="D3196" s="5" t="s">
        <v>14004</v>
      </c>
      <c r="F3196" s="5"/>
      <c r="H3196" s="5">
        <v>573106336999</v>
      </c>
      <c r="J3196" s="5" t="s">
        <v>14005</v>
      </c>
      <c r="K3196" s="5" t="s">
        <v>12657</v>
      </c>
      <c r="L3196" s="5" t="s">
        <v>12657</v>
      </c>
      <c r="M3196" s="5">
        <v>573106336999</v>
      </c>
      <c r="N3196" s="6">
        <v>46089</v>
      </c>
      <c r="O3196" s="7">
        <v>0</v>
      </c>
      <c r="P3196" s="5">
        <v>1</v>
      </c>
      <c r="Q3196" s="5" t="s">
        <v>12496</v>
      </c>
      <c r="R3196" s="5">
        <v>120000</v>
      </c>
      <c r="S3196" s="5">
        <v>0</v>
      </c>
      <c r="T3196" s="5"/>
      <c r="U3196" s="5">
        <v>120000</v>
      </c>
      <c r="V3196" s="5"/>
      <c r="W3196" s="5" t="s">
        <v>36</v>
      </c>
      <c r="X3196" s="5" t="s">
        <v>1705</v>
      </c>
      <c r="Z3196" s="5"/>
      <c r="AA3196" s="5" t="s">
        <v>1717</v>
      </c>
      <c r="AB3196" s="5"/>
      <c r="AC3196" s="8" t="str">
        <f>HYPERLINK("https://drive.google.com/file/d/1Q_TQqN1_iCRVvG2Ll3MkNQMMBMCGqbUS/view?usp=drivesdk", "Abrir_Factura")</f>
        <v>Abrir_Factura</v>
      </c>
      <c r="AD3196" s="9">
        <v>46089.470983796295</v>
      </c>
    </row>
    <row r="3197" spans="1:30" ht="12.5">
      <c r="A3197" s="4">
        <v>46089.474160185186</v>
      </c>
      <c r="B3197" s="5">
        <v>92938</v>
      </c>
      <c r="C3197" s="5">
        <v>1234095923</v>
      </c>
      <c r="D3197" s="5" t="s">
        <v>14006</v>
      </c>
      <c r="F3197" s="5"/>
      <c r="H3197" s="5">
        <v>573145417064</v>
      </c>
      <c r="J3197" s="5" t="s">
        <v>14007</v>
      </c>
      <c r="K3197" s="5" t="s">
        <v>103</v>
      </c>
      <c r="L3197" s="5" t="s">
        <v>14008</v>
      </c>
      <c r="M3197" s="5">
        <v>573145471397</v>
      </c>
      <c r="N3197" s="6">
        <v>46089</v>
      </c>
      <c r="O3197" s="7">
        <v>8.3333333333333329E-2</v>
      </c>
      <c r="P3197" s="5">
        <v>1</v>
      </c>
      <c r="Q3197" s="5" t="s">
        <v>12673</v>
      </c>
      <c r="R3197" s="5">
        <v>220000</v>
      </c>
      <c r="S3197" s="5">
        <v>0</v>
      </c>
      <c r="T3197" s="5">
        <v>10000</v>
      </c>
      <c r="U3197" s="5">
        <v>230000</v>
      </c>
      <c r="V3197" s="5" t="s">
        <v>14009</v>
      </c>
      <c r="W3197" s="5" t="s">
        <v>36</v>
      </c>
      <c r="X3197" s="5" t="s">
        <v>1937</v>
      </c>
      <c r="Z3197" s="5" t="s">
        <v>14010</v>
      </c>
      <c r="AA3197" s="5" t="s">
        <v>44</v>
      </c>
      <c r="AB3197" s="5" t="s">
        <v>9771</v>
      </c>
      <c r="AC3197" s="8" t="str">
        <f>HYPERLINK("https://drive.google.com/file/d/1QvYAOpnEL6VaH6d7-qxCAxBR31YssVhU/view?usp=drivesdk", "Abrir_Factura")</f>
        <v>Abrir_Factura</v>
      </c>
      <c r="AD3197" s="9">
        <v>46089.510891203703</v>
      </c>
    </row>
    <row r="3198" spans="1:30" ht="12.5">
      <c r="A3198" s="4">
        <v>46089.474561817129</v>
      </c>
      <c r="B3198" s="5">
        <v>92954</v>
      </c>
      <c r="C3198" s="5">
        <v>1143466960</v>
      </c>
      <c r="D3198" s="5" t="s">
        <v>14011</v>
      </c>
      <c r="F3198" s="5"/>
      <c r="H3198" s="5">
        <v>573116629388</v>
      </c>
      <c r="J3198" s="5" t="s">
        <v>14012</v>
      </c>
      <c r="K3198" s="5" t="s">
        <v>193</v>
      </c>
      <c r="L3198" s="5" t="s">
        <v>14013</v>
      </c>
      <c r="M3198" s="5">
        <v>573163764650</v>
      </c>
      <c r="N3198" s="6">
        <v>46089</v>
      </c>
      <c r="O3198" s="7">
        <v>0.125</v>
      </c>
      <c r="P3198" s="5">
        <v>1</v>
      </c>
      <c r="Q3198" s="5" t="s">
        <v>13789</v>
      </c>
      <c r="R3198" s="5">
        <v>150000</v>
      </c>
      <c r="S3198" s="5">
        <v>0</v>
      </c>
      <c r="T3198" s="5">
        <v>15000</v>
      </c>
      <c r="U3198" s="5">
        <v>165000</v>
      </c>
      <c r="V3198" s="5" t="s">
        <v>14014</v>
      </c>
      <c r="W3198" s="5" t="s">
        <v>36</v>
      </c>
      <c r="X3198" s="5" t="s">
        <v>1937</v>
      </c>
      <c r="Z3198" s="5" t="s">
        <v>14015</v>
      </c>
      <c r="AA3198" s="5" t="s">
        <v>44</v>
      </c>
      <c r="AB3198" s="5" t="s">
        <v>14016</v>
      </c>
      <c r="AC3198" s="8" t="str">
        <f>HYPERLINK("https://drive.google.com/file/d/1Enqa4T55-0P1Zww4zKupbmGjODQYH6C_/view?usp=drivesdk", "Abrir_Factura")</f>
        <v>Abrir_Factura</v>
      </c>
      <c r="AD3198" s="9">
        <v>46089.549027777779</v>
      </c>
    </row>
    <row r="3199" spans="1:30" ht="12.5">
      <c r="A3199" s="4">
        <v>46089.474594293977</v>
      </c>
      <c r="B3199" s="5">
        <v>92927</v>
      </c>
      <c r="C3199" s="5">
        <v>7475817</v>
      </c>
      <c r="D3199" s="5" t="s">
        <v>14004</v>
      </c>
      <c r="F3199" s="5"/>
      <c r="H3199" s="5">
        <v>573106336999</v>
      </c>
      <c r="J3199" s="5" t="s">
        <v>14004</v>
      </c>
      <c r="K3199" s="5" t="s">
        <v>12657</v>
      </c>
      <c r="L3199" s="5" t="s">
        <v>12657</v>
      </c>
      <c r="M3199" s="5">
        <v>573106336999</v>
      </c>
      <c r="N3199" s="6">
        <v>46089</v>
      </c>
      <c r="O3199" s="7">
        <v>0</v>
      </c>
      <c r="P3199" s="5">
        <v>1</v>
      </c>
      <c r="Q3199" s="5" t="s">
        <v>42</v>
      </c>
      <c r="R3199" s="5">
        <v>40000</v>
      </c>
      <c r="S3199" s="5">
        <v>0</v>
      </c>
      <c r="T3199" s="5"/>
      <c r="U3199" s="5">
        <v>40000</v>
      </c>
      <c r="V3199" s="5"/>
      <c r="W3199" s="5" t="s">
        <v>36</v>
      </c>
      <c r="X3199" s="5" t="s">
        <v>1705</v>
      </c>
      <c r="Z3199" s="5"/>
      <c r="AA3199" s="5" t="s">
        <v>1717</v>
      </c>
      <c r="AB3199" s="5"/>
      <c r="AC3199" s="8" t="str">
        <f>HYPERLINK("https://drive.google.com/file/d/1IucnLdDNOHAG5rDp7Gvmh2n3UsZShAPn/view?usp=drivesdk", "Abrir_Factura")</f>
        <v>Abrir_Factura</v>
      </c>
      <c r="AD3199" s="9">
        <v>46089.475127314814</v>
      </c>
    </row>
    <row r="3200" spans="1:30" ht="12.5">
      <c r="A3200" s="4">
        <v>46089.477387592589</v>
      </c>
      <c r="B3200" s="5">
        <v>92932</v>
      </c>
      <c r="C3200" s="5">
        <v>1001817949</v>
      </c>
      <c r="D3200" s="5" t="s">
        <v>10764</v>
      </c>
      <c r="F3200" s="5"/>
      <c r="H3200" s="5">
        <v>57321524086969</v>
      </c>
      <c r="J3200" s="5" t="s">
        <v>10764</v>
      </c>
      <c r="K3200" s="5" t="s">
        <v>12657</v>
      </c>
      <c r="L3200" s="5" t="s">
        <v>12657</v>
      </c>
      <c r="M3200" s="5">
        <v>573215240869</v>
      </c>
      <c r="N3200" s="6">
        <v>46089</v>
      </c>
      <c r="O3200" s="7">
        <v>0.54166666666666663</v>
      </c>
      <c r="P3200" s="5">
        <v>1</v>
      </c>
      <c r="Q3200" s="5" t="s">
        <v>12728</v>
      </c>
      <c r="R3200" s="5">
        <v>120000</v>
      </c>
      <c r="S3200" s="5">
        <v>0</v>
      </c>
      <c r="T3200" s="5"/>
      <c r="U3200" s="5">
        <v>120000</v>
      </c>
      <c r="V3200" s="5" t="s">
        <v>10238</v>
      </c>
      <c r="W3200" s="5" t="s">
        <v>36</v>
      </c>
      <c r="X3200" s="5" t="s">
        <v>12646</v>
      </c>
      <c r="Z3200" s="5"/>
      <c r="AA3200" s="5" t="s">
        <v>44</v>
      </c>
      <c r="AB3200" s="5"/>
      <c r="AC3200" s="8" t="str">
        <f>HYPERLINK("https://drive.google.com/file/d/14VNBv6K1veB2g7CR8F2TGVzXCpmCLL3W/view?usp=drivesdk", "Abrir_Factura")</f>
        <v>Abrir_Factura</v>
      </c>
      <c r="AD3200" s="9">
        <v>46089.497106481482</v>
      </c>
    </row>
    <row r="3201" spans="1:30" ht="12.5">
      <c r="A3201" s="4">
        <v>46089.479508715274</v>
      </c>
      <c r="B3201" s="5">
        <v>92949</v>
      </c>
      <c r="C3201" s="5">
        <v>1002241187</v>
      </c>
      <c r="D3201" s="5" t="s">
        <v>14017</v>
      </c>
      <c r="F3201" s="5"/>
      <c r="H3201" s="5">
        <v>573015245531</v>
      </c>
      <c r="J3201" s="5" t="s">
        <v>14018</v>
      </c>
      <c r="K3201" s="5" t="s">
        <v>73</v>
      </c>
      <c r="L3201" s="5" t="s">
        <v>14019</v>
      </c>
      <c r="M3201" s="5">
        <v>573184187111</v>
      </c>
      <c r="N3201" s="6">
        <v>46089</v>
      </c>
      <c r="O3201" s="7">
        <v>0.58333333333333337</v>
      </c>
      <c r="P3201" s="5">
        <v>1</v>
      </c>
      <c r="Q3201" s="5" t="s">
        <v>14020</v>
      </c>
      <c r="R3201" s="5">
        <v>99000</v>
      </c>
      <c r="S3201" s="5">
        <v>0</v>
      </c>
      <c r="T3201" s="5">
        <v>8000</v>
      </c>
      <c r="U3201" s="5">
        <v>107000</v>
      </c>
      <c r="V3201" s="5" t="s">
        <v>14021</v>
      </c>
      <c r="W3201" s="5" t="s">
        <v>36</v>
      </c>
      <c r="X3201" s="5" t="s">
        <v>12646</v>
      </c>
      <c r="Z3201" s="5" t="s">
        <v>3641</v>
      </c>
      <c r="AA3201" s="5" t="s">
        <v>44</v>
      </c>
      <c r="AB3201" s="5"/>
      <c r="AC3201" s="8" t="str">
        <f>HYPERLINK("https://drive.google.com/file/d/1lSdj-L0cKPOV7CmlC7nVrK5ir1niX9bB/view?usp=drivesdk", "Abrir_Factura")</f>
        <v>Abrir_Factura</v>
      </c>
      <c r="AD3201" s="9">
        <v>46089.616689814815</v>
      </c>
    </row>
    <row r="3202" spans="1:30" ht="12.5">
      <c r="A3202" s="4">
        <v>46089.480842210643</v>
      </c>
      <c r="B3202" s="5">
        <v>92942</v>
      </c>
      <c r="C3202" s="5">
        <v>1129565567</v>
      </c>
      <c r="D3202" s="5" t="s">
        <v>14022</v>
      </c>
      <c r="F3202" s="5"/>
      <c r="H3202" s="5">
        <v>573013506011</v>
      </c>
      <c r="J3202" s="5" t="s">
        <v>14023</v>
      </c>
      <c r="K3202" s="5" t="s">
        <v>892</v>
      </c>
      <c r="L3202" s="5" t="s">
        <v>14024</v>
      </c>
      <c r="M3202" s="5">
        <v>573013506011</v>
      </c>
      <c r="N3202" s="6">
        <v>46089</v>
      </c>
      <c r="O3202" s="7">
        <v>0.58333333333333337</v>
      </c>
      <c r="P3202" s="5">
        <v>1</v>
      </c>
      <c r="Q3202" s="5" t="s">
        <v>12484</v>
      </c>
      <c r="R3202" s="5">
        <v>190000</v>
      </c>
      <c r="S3202" s="5">
        <v>0</v>
      </c>
      <c r="T3202" s="5">
        <v>10000</v>
      </c>
      <c r="U3202" s="5">
        <v>200000</v>
      </c>
      <c r="V3202" s="5" t="s">
        <v>14025</v>
      </c>
      <c r="W3202" s="5" t="s">
        <v>36</v>
      </c>
      <c r="X3202" s="5" t="s">
        <v>12646</v>
      </c>
      <c r="Z3202" s="5" t="s">
        <v>5685</v>
      </c>
      <c r="AA3202" s="5" t="s">
        <v>44</v>
      </c>
      <c r="AB3202" s="5"/>
      <c r="AC3202" s="8" t="str">
        <f>HYPERLINK("https://drive.google.com/file/d/1t7Cm-SLxBXxA8cT238IhhuGqPAm0W7lO/view?usp=drivesdk", "Abrir_Factura")</f>
        <v>Abrir_Factura</v>
      </c>
      <c r="AD3202" s="9">
        <v>46089.515208333331</v>
      </c>
    </row>
    <row r="3203" spans="1:30" ht="12.5">
      <c r="A3203" s="4">
        <v>46089.480985821763</v>
      </c>
      <c r="B3203" s="5">
        <v>92928</v>
      </c>
      <c r="C3203" s="5">
        <v>17160915</v>
      </c>
      <c r="D3203" s="5" t="s">
        <v>14026</v>
      </c>
      <c r="F3203" s="5"/>
      <c r="H3203" s="5">
        <v>573186228967</v>
      </c>
      <c r="J3203" s="5" t="s">
        <v>14026</v>
      </c>
      <c r="K3203" s="5" t="s">
        <v>12657</v>
      </c>
      <c r="L3203" s="5" t="s">
        <v>12657</v>
      </c>
      <c r="M3203" s="5">
        <v>573186228967</v>
      </c>
      <c r="N3203" s="6">
        <v>46089</v>
      </c>
      <c r="O3203" s="7">
        <v>0.52083333333333337</v>
      </c>
      <c r="P3203" s="5">
        <v>1</v>
      </c>
      <c r="Q3203" s="5" t="s">
        <v>14027</v>
      </c>
      <c r="R3203" s="5">
        <v>170000</v>
      </c>
      <c r="S3203" s="5">
        <v>0</v>
      </c>
      <c r="T3203" s="5"/>
      <c r="U3203" s="5">
        <v>170000</v>
      </c>
      <c r="V3203" s="5"/>
      <c r="W3203" s="5" t="s">
        <v>36</v>
      </c>
      <c r="X3203" s="5" t="s">
        <v>1705</v>
      </c>
      <c r="Z3203" s="5"/>
      <c r="AA3203" s="5" t="s">
        <v>1717</v>
      </c>
      <c r="AB3203" s="5"/>
      <c r="AC3203" s="8" t="str">
        <f>HYPERLINK("https://drive.google.com/file/d/12swPcRbdP42xsp0JZuml7WZ204g5dL8L/view?usp=drivesdk", "Abrir_Factura")</f>
        <v>Abrir_Factura</v>
      </c>
      <c r="AD3203" s="9">
        <v>46089.482233796298</v>
      </c>
    </row>
    <row r="3204" spans="1:30" ht="12.5">
      <c r="A3204" s="4">
        <v>46089.484398252316</v>
      </c>
      <c r="B3204" s="5">
        <v>92947</v>
      </c>
      <c r="C3204" s="5">
        <v>1043013939</v>
      </c>
      <c r="D3204" s="5">
        <v>3246899919</v>
      </c>
      <c r="F3204" s="5"/>
      <c r="H3204" s="5">
        <v>573246899919</v>
      </c>
      <c r="J3204" s="5" t="s">
        <v>14028</v>
      </c>
      <c r="K3204" s="5" t="s">
        <v>307</v>
      </c>
      <c r="L3204" s="5" t="s">
        <v>14029</v>
      </c>
      <c r="M3204" s="5">
        <v>573246899919</v>
      </c>
      <c r="N3204" s="6">
        <v>46089</v>
      </c>
      <c r="O3204" s="7">
        <v>8.3333333333333329E-2</v>
      </c>
      <c r="P3204" s="5">
        <v>1</v>
      </c>
      <c r="Q3204" s="5" t="s">
        <v>12406</v>
      </c>
      <c r="R3204" s="5">
        <v>90000</v>
      </c>
      <c r="S3204" s="5">
        <v>0</v>
      </c>
      <c r="T3204" s="5">
        <v>10000</v>
      </c>
      <c r="U3204" s="5">
        <v>100000</v>
      </c>
      <c r="V3204" s="5" t="s">
        <v>14030</v>
      </c>
      <c r="W3204" s="5" t="s">
        <v>36</v>
      </c>
      <c r="X3204" s="5" t="s">
        <v>12646</v>
      </c>
      <c r="Z3204" s="5" t="s">
        <v>14031</v>
      </c>
      <c r="AA3204" s="5" t="s">
        <v>44</v>
      </c>
      <c r="AB3204" s="5" t="s">
        <v>9771</v>
      </c>
      <c r="AC3204" s="8" t="str">
        <f>HYPERLINK("https://drive.google.com/file/d/1KEz6UhZgre3PbblIJf4maPcnlDKT6jp_/view?usp=drivesdk", "Abrir_Factura")</f>
        <v>Abrir_Factura</v>
      </c>
      <c r="AD3204" s="9">
        <v>46089.528449074074</v>
      </c>
    </row>
    <row r="3205" spans="1:30" ht="12.5">
      <c r="A3205" s="4">
        <v>46089.484684305557</v>
      </c>
      <c r="B3205" s="5">
        <v>92943</v>
      </c>
      <c r="C3205" s="5">
        <v>1129565567</v>
      </c>
      <c r="D3205" s="5" t="s">
        <v>14022</v>
      </c>
      <c r="F3205" s="5"/>
      <c r="H3205" s="5">
        <v>573013506011</v>
      </c>
      <c r="J3205" s="5" t="s">
        <v>14032</v>
      </c>
      <c r="K3205" s="5" t="s">
        <v>892</v>
      </c>
      <c r="L3205" s="5" t="s">
        <v>14024</v>
      </c>
      <c r="M3205" s="5">
        <v>573013506011</v>
      </c>
      <c r="N3205" s="6">
        <v>46089</v>
      </c>
      <c r="O3205" s="7">
        <v>0.58333333333333337</v>
      </c>
      <c r="P3205" s="5">
        <v>1</v>
      </c>
      <c r="Q3205" s="5" t="s">
        <v>13079</v>
      </c>
      <c r="R3205" s="5">
        <v>160000</v>
      </c>
      <c r="S3205" s="5">
        <v>0</v>
      </c>
      <c r="T3205" s="5">
        <v>10000</v>
      </c>
      <c r="U3205" s="5">
        <v>170000</v>
      </c>
      <c r="V3205" s="5" t="s">
        <v>14033</v>
      </c>
      <c r="W3205" s="5" t="s">
        <v>36</v>
      </c>
      <c r="X3205" s="5" t="s">
        <v>12646</v>
      </c>
      <c r="Z3205" s="5" t="s">
        <v>5685</v>
      </c>
      <c r="AA3205" s="5" t="s">
        <v>44</v>
      </c>
      <c r="AB3205" s="5"/>
      <c r="AC3205" s="8" t="str">
        <f>HYPERLINK("https://drive.google.com/file/d/1XCW7FkzfzxWg5Nbe7BSnv6__NHH1N9af/view?usp=drivesdk", "Abrir_Factura")</f>
        <v>Abrir_Factura</v>
      </c>
      <c r="AD3205" s="9">
        <v>46089.515717592592</v>
      </c>
    </row>
    <row r="3206" spans="1:30" ht="12.5">
      <c r="A3206" s="4">
        <v>46089.487220439813</v>
      </c>
      <c r="B3206" s="5">
        <v>92951</v>
      </c>
      <c r="C3206" s="5">
        <v>1048067722</v>
      </c>
      <c r="D3206" s="5" t="s">
        <v>14034</v>
      </c>
      <c r="F3206" s="5"/>
      <c r="H3206" s="5">
        <v>573043117743</v>
      </c>
      <c r="J3206" s="5" t="s">
        <v>14034</v>
      </c>
      <c r="K3206" s="5" t="s">
        <v>63</v>
      </c>
      <c r="L3206" s="5" t="s">
        <v>14035</v>
      </c>
      <c r="M3206" s="5">
        <v>573043117743</v>
      </c>
      <c r="N3206" s="6">
        <v>46089</v>
      </c>
      <c r="O3206" s="7">
        <v>0.625</v>
      </c>
      <c r="P3206" s="5">
        <v>1</v>
      </c>
      <c r="Q3206" s="5" t="s">
        <v>12522</v>
      </c>
      <c r="R3206" s="5">
        <v>100000</v>
      </c>
      <c r="S3206" s="5">
        <v>0</v>
      </c>
      <c r="T3206" s="5">
        <v>17000</v>
      </c>
      <c r="U3206" s="5">
        <v>117000</v>
      </c>
      <c r="V3206" s="5" t="s">
        <v>14036</v>
      </c>
      <c r="W3206" s="5" t="s">
        <v>36</v>
      </c>
      <c r="X3206" s="5" t="s">
        <v>1937</v>
      </c>
      <c r="Z3206" s="5" t="s">
        <v>12830</v>
      </c>
      <c r="AA3206" s="5" t="s">
        <v>44</v>
      </c>
      <c r="AB3206" s="5"/>
      <c r="AC3206" s="8" t="str">
        <f>HYPERLINK("https://drive.google.com/file/d/1RgTjXAFR6CkWK9c96YL4E2syTBS5cN8t/view?usp=drivesdk", "Abrir_Factura")</f>
        <v>Abrir_Factura</v>
      </c>
      <c r="AD3206" s="9">
        <v>46089.532951388886</v>
      </c>
    </row>
    <row r="3207" spans="1:30" ht="12.5">
      <c r="A3207" s="4">
        <v>46089.494199490742</v>
      </c>
      <c r="B3207" s="5">
        <v>92939</v>
      </c>
      <c r="C3207" s="5">
        <v>1082494165</v>
      </c>
      <c r="D3207" s="5" t="s">
        <v>13308</v>
      </c>
      <c r="F3207" s="5"/>
      <c r="H3207" s="5">
        <v>573128297775</v>
      </c>
      <c r="J3207" s="5" t="s">
        <v>14037</v>
      </c>
      <c r="K3207" s="5" t="s">
        <v>420</v>
      </c>
      <c r="L3207" s="5" t="s">
        <v>14038</v>
      </c>
      <c r="M3207" s="5">
        <v>573105923689</v>
      </c>
      <c r="N3207" s="6">
        <v>46089</v>
      </c>
      <c r="O3207" s="7">
        <v>0.58333333333333337</v>
      </c>
      <c r="P3207" s="5">
        <v>1</v>
      </c>
      <c r="Q3207" s="5" t="s">
        <v>13138</v>
      </c>
      <c r="R3207" s="5">
        <v>200000</v>
      </c>
      <c r="S3207" s="5">
        <v>0</v>
      </c>
      <c r="T3207" s="5">
        <v>16000</v>
      </c>
      <c r="U3207" s="5">
        <v>216000</v>
      </c>
      <c r="V3207" s="5" t="s">
        <v>14039</v>
      </c>
      <c r="W3207" s="5" t="s">
        <v>36</v>
      </c>
      <c r="X3207" s="5" t="s">
        <v>12646</v>
      </c>
      <c r="Z3207" s="5" t="s">
        <v>14040</v>
      </c>
      <c r="AA3207" s="5" t="s">
        <v>44</v>
      </c>
      <c r="AB3207" s="5"/>
      <c r="AC3207" s="8" t="str">
        <f>HYPERLINK("https://drive.google.com/file/d/1oqFKbZtBwFczea34b6HtRjjfIgKtGEv5/view?usp=drivesdk", "Abrir_Factura")</f>
        <v>Abrir_Factura</v>
      </c>
      <c r="AD3207" s="9">
        <v>46089.51221064815</v>
      </c>
    </row>
    <row r="3208" spans="1:30" ht="12.5">
      <c r="A3208" s="4">
        <v>46089.501530289352</v>
      </c>
      <c r="B3208" s="5">
        <v>92936</v>
      </c>
      <c r="C3208" s="5">
        <v>1234095923</v>
      </c>
      <c r="D3208" s="5" t="s">
        <v>14006</v>
      </c>
      <c r="F3208" s="5"/>
      <c r="H3208" s="5">
        <v>573145417064</v>
      </c>
      <c r="J3208" s="5" t="s">
        <v>14041</v>
      </c>
      <c r="K3208" s="5" t="s">
        <v>161</v>
      </c>
      <c r="L3208" s="5" t="s">
        <v>14042</v>
      </c>
      <c r="M3208" s="5">
        <v>573145417064</v>
      </c>
      <c r="N3208" s="6">
        <v>46089</v>
      </c>
      <c r="O3208" s="7">
        <v>8.3333333333333329E-2</v>
      </c>
      <c r="P3208" s="5">
        <v>1</v>
      </c>
      <c r="Q3208" s="5" t="s">
        <v>12673</v>
      </c>
      <c r="R3208" s="5">
        <v>220000</v>
      </c>
      <c r="S3208" s="5">
        <v>0</v>
      </c>
      <c r="T3208" s="5">
        <v>8000</v>
      </c>
      <c r="U3208" s="5">
        <v>228000</v>
      </c>
      <c r="V3208" s="5" t="s">
        <v>14043</v>
      </c>
      <c r="W3208" s="5" t="s">
        <v>36</v>
      </c>
      <c r="X3208" s="5" t="s">
        <v>1937</v>
      </c>
      <c r="Z3208" s="5" t="s">
        <v>14044</v>
      </c>
      <c r="AA3208" s="5" t="s">
        <v>44</v>
      </c>
      <c r="AB3208" s="5" t="s">
        <v>9771</v>
      </c>
      <c r="AC3208" s="8" t="str">
        <f>HYPERLINK("https://drive.google.com/file/d/1ahw1alOaZnCGGNNLhGe5Hap6yAbKrmH4/view?usp=drivesdk", "Abrir_Factura")</f>
        <v>Abrir_Factura</v>
      </c>
      <c r="AD3208" s="9">
        <v>46089.509664351855</v>
      </c>
    </row>
    <row r="3209" spans="1:30" ht="12.5">
      <c r="A3209" s="4">
        <v>46089.501574224538</v>
      </c>
      <c r="B3209" s="5">
        <v>92955</v>
      </c>
      <c r="C3209" s="5">
        <v>1002209205</v>
      </c>
      <c r="D3209" s="5" t="s">
        <v>14045</v>
      </c>
      <c r="F3209" s="5"/>
      <c r="H3209" s="5">
        <v>3107063615</v>
      </c>
      <c r="J3209" s="5" t="s">
        <v>14046</v>
      </c>
      <c r="K3209" s="5" t="s">
        <v>154</v>
      </c>
      <c r="L3209" s="5" t="s">
        <v>14047</v>
      </c>
      <c r="M3209" s="5">
        <v>573005435875</v>
      </c>
      <c r="N3209" s="6">
        <v>46089</v>
      </c>
      <c r="O3209" s="7">
        <v>0.625</v>
      </c>
      <c r="P3209" s="5">
        <v>1</v>
      </c>
      <c r="Q3209" s="5" t="s">
        <v>12728</v>
      </c>
      <c r="R3209" s="5">
        <v>120000</v>
      </c>
      <c r="S3209" s="5">
        <v>0</v>
      </c>
      <c r="T3209" s="5">
        <v>8000</v>
      </c>
      <c r="U3209" s="5">
        <v>128000</v>
      </c>
      <c r="V3209" s="5" t="s">
        <v>14048</v>
      </c>
      <c r="W3209" s="5" t="s">
        <v>36</v>
      </c>
      <c r="X3209" s="5" t="s">
        <v>12646</v>
      </c>
      <c r="Z3209" s="5" t="s">
        <v>14049</v>
      </c>
      <c r="AA3209" s="5" t="s">
        <v>44</v>
      </c>
      <c r="AB3209" s="5"/>
      <c r="AC3209" s="8" t="str">
        <f>HYPERLINK("https://drive.google.com/file/d/19w3ee1V4UiVhXJbACoYfiZq9O9gjbjCR/view?usp=drivesdk", "Abrir_Factura")</f>
        <v>Abrir_Factura</v>
      </c>
      <c r="AD3209" s="9">
        <v>46089.549571759257</v>
      </c>
    </row>
    <row r="3210" spans="1:30" ht="12.5">
      <c r="A3210" s="4">
        <v>46089.504889814816</v>
      </c>
      <c r="B3210" s="5">
        <v>92946</v>
      </c>
      <c r="C3210" s="5">
        <v>1192816613</v>
      </c>
      <c r="D3210" s="5" t="s">
        <v>14050</v>
      </c>
      <c r="F3210" s="5"/>
      <c r="H3210" s="5">
        <v>573028023810</v>
      </c>
      <c r="J3210" s="5" t="s">
        <v>14051</v>
      </c>
      <c r="K3210" s="5" t="s">
        <v>14052</v>
      </c>
      <c r="L3210" s="5" t="s">
        <v>14053</v>
      </c>
      <c r="M3210" s="5">
        <v>573028023810</v>
      </c>
      <c r="N3210" s="6">
        <v>46089</v>
      </c>
      <c r="O3210" s="7">
        <v>0.125</v>
      </c>
      <c r="P3210" s="5">
        <v>1</v>
      </c>
      <c r="Q3210" s="5" t="s">
        <v>12728</v>
      </c>
      <c r="R3210" s="5">
        <v>120000</v>
      </c>
      <c r="S3210" s="5">
        <v>0</v>
      </c>
      <c r="T3210" s="5">
        <v>20000</v>
      </c>
      <c r="U3210" s="5">
        <v>140000</v>
      </c>
      <c r="V3210" s="5" t="s">
        <v>14054</v>
      </c>
      <c r="W3210" s="5" t="s">
        <v>36</v>
      </c>
      <c r="X3210" s="5" t="s">
        <v>12646</v>
      </c>
      <c r="Z3210" s="5" t="s">
        <v>14055</v>
      </c>
      <c r="AA3210" s="5" t="s">
        <v>44</v>
      </c>
      <c r="AB3210" s="5"/>
      <c r="AC3210" s="8" t="str">
        <f>HYPERLINK("https://drive.google.com/file/d/1QZubm5ZTDB68EZlQOi3adDV0YzyqICRm/view?usp=drivesdk", "Abrir_Factura")</f>
        <v>Abrir_Factura</v>
      </c>
      <c r="AD3210" s="9">
        <v>46089.52616898148</v>
      </c>
    </row>
    <row r="3211" spans="1:30" ht="12.5">
      <c r="A3211" s="4">
        <v>46089.506290879624</v>
      </c>
      <c r="B3211" s="5">
        <v>92937</v>
      </c>
      <c r="C3211" s="5">
        <v>1082961536</v>
      </c>
      <c r="D3211" s="5" t="s">
        <v>14056</v>
      </c>
      <c r="F3211" s="5"/>
      <c r="H3211" s="5">
        <v>573004568021</v>
      </c>
      <c r="J3211" s="5" t="s">
        <v>14056</v>
      </c>
      <c r="K3211" s="5" t="s">
        <v>12657</v>
      </c>
      <c r="L3211" s="5" t="s">
        <v>12657</v>
      </c>
      <c r="M3211" s="5">
        <v>573004568021</v>
      </c>
      <c r="N3211" s="6">
        <v>46089</v>
      </c>
      <c r="O3211" s="7">
        <v>0</v>
      </c>
      <c r="P3211" s="5">
        <v>1</v>
      </c>
      <c r="Q3211" s="5" t="s">
        <v>14057</v>
      </c>
      <c r="R3211" s="5">
        <v>60000</v>
      </c>
      <c r="S3211" s="5">
        <v>0</v>
      </c>
      <c r="T3211" s="5"/>
      <c r="U3211" s="5">
        <v>60000</v>
      </c>
      <c r="V3211" s="5"/>
      <c r="W3211" s="5" t="s">
        <v>36</v>
      </c>
      <c r="X3211" s="5" t="s">
        <v>12646</v>
      </c>
      <c r="Z3211" s="5"/>
      <c r="AA3211" s="5" t="s">
        <v>1717</v>
      </c>
      <c r="AB3211" s="5"/>
      <c r="AC3211" s="8" t="str">
        <f>HYPERLINK("https://drive.google.com/file/d/1V7v8HDYc7ZR-d2gBUsw7BClrimRJZ3AA/view?usp=drivesdk", "Abrir_Factura")</f>
        <v>Abrir_Factura</v>
      </c>
      <c r="AD3211" s="9">
        <v>46089.509791666664</v>
      </c>
    </row>
    <row r="3212" spans="1:30" ht="12.5">
      <c r="A3212" s="4">
        <v>46089.507549849535</v>
      </c>
      <c r="B3212" s="5">
        <v>92948</v>
      </c>
      <c r="C3212" s="5">
        <v>1002033407</v>
      </c>
      <c r="D3212" s="5" t="s">
        <v>14058</v>
      </c>
      <c r="F3212" s="5"/>
      <c r="H3212" s="5">
        <v>573244514045</v>
      </c>
      <c r="J3212" s="5" t="s">
        <v>4163</v>
      </c>
      <c r="K3212" s="5" t="s">
        <v>1647</v>
      </c>
      <c r="L3212" s="5" t="s">
        <v>14059</v>
      </c>
      <c r="M3212" s="5"/>
      <c r="N3212" s="6">
        <v>46089</v>
      </c>
      <c r="O3212" s="7">
        <v>0.58333333333333337</v>
      </c>
      <c r="P3212" s="5">
        <v>1</v>
      </c>
      <c r="Q3212" s="5" t="s">
        <v>12423</v>
      </c>
      <c r="R3212" s="5">
        <v>80000</v>
      </c>
      <c r="S3212" s="5">
        <v>0</v>
      </c>
      <c r="T3212" s="5">
        <v>18000</v>
      </c>
      <c r="U3212" s="5">
        <v>98000</v>
      </c>
      <c r="V3212" s="5" t="s">
        <v>14060</v>
      </c>
      <c r="W3212" s="5" t="s">
        <v>36</v>
      </c>
      <c r="X3212" s="5" t="s">
        <v>12646</v>
      </c>
      <c r="Z3212" s="5"/>
      <c r="AA3212" s="5" t="s">
        <v>44</v>
      </c>
      <c r="AB3212" s="5" t="s">
        <v>14061</v>
      </c>
      <c r="AC3212" s="8" t="str">
        <f>HYPERLINK("https://drive.google.com/file/d/1a4Mf-Dam6XctxAgGf_ep-UTQAEPJBGr0/view?usp=drivesdk", "Abrir_Factura")</f>
        <v>Abrir_Factura</v>
      </c>
      <c r="AD3212" s="9">
        <v>46089.52915509259</v>
      </c>
    </row>
    <row r="3213" spans="1:30" ht="12.5">
      <c r="A3213" s="4">
        <v>46089.508661261571</v>
      </c>
      <c r="B3213" s="5">
        <v>92957</v>
      </c>
      <c r="C3213" s="5">
        <v>22467756</v>
      </c>
      <c r="D3213" s="5" t="s">
        <v>14062</v>
      </c>
      <c r="F3213" s="5"/>
      <c r="H3213" s="5">
        <v>573004400740</v>
      </c>
      <c r="J3213" s="5" t="s">
        <v>14063</v>
      </c>
      <c r="K3213" s="5" t="s">
        <v>307</v>
      </c>
      <c r="L3213" s="5" t="s">
        <v>14064</v>
      </c>
      <c r="M3213" s="5">
        <v>573004400740</v>
      </c>
      <c r="N3213" s="6">
        <v>46089</v>
      </c>
      <c r="O3213" s="7">
        <v>0.625</v>
      </c>
      <c r="P3213" s="5">
        <v>1</v>
      </c>
      <c r="Q3213" s="5" t="s">
        <v>12406</v>
      </c>
      <c r="R3213" s="5">
        <v>90000</v>
      </c>
      <c r="S3213" s="5">
        <v>0</v>
      </c>
      <c r="T3213" s="5">
        <v>10000</v>
      </c>
      <c r="U3213" s="5">
        <v>100000</v>
      </c>
      <c r="V3213" s="5" t="s">
        <v>14065</v>
      </c>
      <c r="W3213" s="5" t="s">
        <v>36</v>
      </c>
      <c r="X3213" s="5" t="s">
        <v>1937</v>
      </c>
      <c r="Z3213" s="5" t="s">
        <v>14066</v>
      </c>
      <c r="AA3213" s="5" t="s">
        <v>44</v>
      </c>
      <c r="AB3213" s="5"/>
      <c r="AC3213" s="8" t="str">
        <f>HYPERLINK("https://drive.google.com/file/d/1gQiILmclv9ccMNJHyzmpVsDfx9H9BA8k/view?usp=drivesdk", "Abrir_Factura")</f>
        <v>Abrir_Factura</v>
      </c>
      <c r="AD3213" s="9">
        <v>46089.553113425929</v>
      </c>
    </row>
    <row r="3214" spans="1:30" ht="12.5">
      <c r="A3214" s="4">
        <v>46089.516784039355</v>
      </c>
      <c r="B3214" s="5">
        <v>92944</v>
      </c>
      <c r="C3214" s="5">
        <v>1001914291</v>
      </c>
      <c r="D3214" s="5" t="s">
        <v>14067</v>
      </c>
      <c r="F3214" s="5"/>
      <c r="H3214" s="5">
        <v>573136454703</v>
      </c>
      <c r="J3214" s="5" t="s">
        <v>14068</v>
      </c>
      <c r="K3214" s="5" t="s">
        <v>33</v>
      </c>
      <c r="L3214" s="5" t="s">
        <v>49</v>
      </c>
      <c r="M3214" s="5">
        <v>573136454703</v>
      </c>
      <c r="N3214" s="6">
        <v>46089</v>
      </c>
      <c r="O3214" s="7">
        <v>4.1666666666666664E-2</v>
      </c>
      <c r="P3214" s="5">
        <v>1</v>
      </c>
      <c r="Q3214" s="5" t="s">
        <v>42</v>
      </c>
      <c r="R3214" s="5">
        <v>40000</v>
      </c>
      <c r="S3214" s="5">
        <v>0</v>
      </c>
      <c r="T3214" s="5">
        <v>0</v>
      </c>
      <c r="U3214" s="5">
        <v>40000</v>
      </c>
      <c r="V3214" s="5" t="s">
        <v>14069</v>
      </c>
      <c r="W3214" s="5" t="s">
        <v>36</v>
      </c>
      <c r="X3214" s="5" t="s">
        <v>12646</v>
      </c>
      <c r="Z3214" s="5" t="s">
        <v>14070</v>
      </c>
      <c r="AA3214" s="5" t="s">
        <v>44</v>
      </c>
      <c r="AB3214" s="5" t="s">
        <v>14071</v>
      </c>
      <c r="AC3214" s="8" t="str">
        <f>HYPERLINK("https://drive.google.com/file/d/1apZJQH9-0HuHJ1QmuCg3Y6ShylnTGZCJ/view?usp=drivesdk", "Abrir_Factura")</f>
        <v>Abrir_Factura</v>
      </c>
      <c r="AD3214" s="9">
        <v>46089.517881944441</v>
      </c>
    </row>
    <row r="3215" spans="1:30" ht="12.5">
      <c r="A3215" s="4">
        <v>46089.522515543984</v>
      </c>
      <c r="B3215" s="5">
        <v>92945</v>
      </c>
      <c r="C3215" s="5">
        <v>1002022611</v>
      </c>
      <c r="D3215" s="5" t="s">
        <v>14072</v>
      </c>
      <c r="F3215" s="5"/>
      <c r="H3215" s="5">
        <v>573238048114</v>
      </c>
      <c r="J3215" s="5" t="s">
        <v>14072</v>
      </c>
      <c r="K3215" s="5" t="s">
        <v>12657</v>
      </c>
      <c r="L3215" s="5" t="s">
        <v>12657</v>
      </c>
      <c r="M3215" s="5">
        <v>573238048114</v>
      </c>
      <c r="N3215" s="6">
        <v>46089</v>
      </c>
      <c r="O3215" s="7">
        <v>0</v>
      </c>
      <c r="P3215" s="5">
        <v>1</v>
      </c>
      <c r="Q3215" s="5" t="s">
        <v>14073</v>
      </c>
      <c r="R3215" s="5">
        <v>55000</v>
      </c>
      <c r="S3215" s="5">
        <v>0</v>
      </c>
      <c r="T3215" s="5"/>
      <c r="U3215" s="5">
        <v>55000</v>
      </c>
      <c r="V3215" s="5"/>
      <c r="W3215" s="5" t="s">
        <v>36</v>
      </c>
      <c r="X3215" s="5" t="s">
        <v>1705</v>
      </c>
      <c r="Z3215" s="5"/>
      <c r="AA3215" s="5" t="s">
        <v>1717</v>
      </c>
      <c r="AB3215" s="5"/>
      <c r="AC3215" s="8" t="str">
        <f>HYPERLINK("https://drive.google.com/file/d/1FD2nmbTGvnPH33CER0b0Xneztz8Q-SfY/view?usp=drivesdk", "Abrir_Factura")</f>
        <v>Abrir_Factura</v>
      </c>
      <c r="AD3215" s="9">
        <v>46089.527141203704</v>
      </c>
    </row>
    <row r="3216" spans="1:30" ht="12.5">
      <c r="A3216" s="4">
        <v>46089.526134537038</v>
      </c>
      <c r="B3216" s="5">
        <v>92956</v>
      </c>
      <c r="C3216" s="5">
        <v>1004891869</v>
      </c>
      <c r="D3216" s="5" t="s">
        <v>14074</v>
      </c>
      <c r="F3216" s="5"/>
      <c r="H3216" s="5">
        <v>573154447302</v>
      </c>
      <c r="J3216" s="5" t="s">
        <v>14075</v>
      </c>
      <c r="K3216" s="5" t="s">
        <v>964</v>
      </c>
      <c r="L3216" s="5" t="s">
        <v>14076</v>
      </c>
      <c r="M3216" s="5">
        <v>573045724174</v>
      </c>
      <c r="N3216" s="6">
        <v>46089</v>
      </c>
      <c r="O3216" s="7">
        <v>0.125</v>
      </c>
      <c r="P3216" s="5">
        <v>1</v>
      </c>
      <c r="Q3216" s="5" t="s">
        <v>14077</v>
      </c>
      <c r="R3216" s="5">
        <v>185000</v>
      </c>
      <c r="S3216" s="5">
        <v>0</v>
      </c>
      <c r="T3216" s="5">
        <v>12000</v>
      </c>
      <c r="U3216" s="5">
        <v>197000</v>
      </c>
      <c r="V3216" s="5" t="s">
        <v>14078</v>
      </c>
      <c r="W3216" s="5" t="s">
        <v>36</v>
      </c>
      <c r="X3216" s="5" t="s">
        <v>12646</v>
      </c>
      <c r="Z3216" s="5" t="s">
        <v>14079</v>
      </c>
      <c r="AA3216" s="5" t="s">
        <v>44</v>
      </c>
      <c r="AB3216" s="5" t="s">
        <v>9771</v>
      </c>
      <c r="AC3216" s="8" t="str">
        <f>HYPERLINK("https://drive.google.com/file/d/1oNN1SRx5OE1TaVn7r1ZsH91euCprqfqF/view?usp=drivesdk", "Abrir_Factura")</f>
        <v>Abrir_Factura</v>
      </c>
      <c r="AD3216" s="9">
        <v>46089.551944444444</v>
      </c>
    </row>
    <row r="3217" spans="1:30" ht="12.5">
      <c r="A3217" s="4">
        <v>46089.528256400459</v>
      </c>
      <c r="B3217" s="5">
        <v>92975</v>
      </c>
      <c r="C3217" s="5">
        <v>1140852613</v>
      </c>
      <c r="D3217" s="5" t="s">
        <v>14080</v>
      </c>
      <c r="F3217" s="5"/>
      <c r="H3217" s="5">
        <v>573015889880</v>
      </c>
      <c r="J3217" s="5" t="s">
        <v>14080</v>
      </c>
      <c r="K3217" s="5" t="s">
        <v>12657</v>
      </c>
      <c r="L3217" s="5" t="s">
        <v>12657</v>
      </c>
      <c r="M3217" s="5">
        <v>573015889880</v>
      </c>
      <c r="N3217" s="6">
        <v>46089</v>
      </c>
      <c r="O3217" s="7">
        <v>0</v>
      </c>
      <c r="P3217" s="5">
        <v>1</v>
      </c>
      <c r="Q3217" s="5" t="s">
        <v>13838</v>
      </c>
      <c r="R3217" s="5">
        <v>80000</v>
      </c>
      <c r="S3217" s="5">
        <v>0</v>
      </c>
      <c r="T3217" s="5"/>
      <c r="U3217" s="5">
        <v>80000</v>
      </c>
      <c r="V3217" s="5" t="s">
        <v>14081</v>
      </c>
      <c r="W3217" s="5" t="s">
        <v>36</v>
      </c>
      <c r="X3217" s="5" t="s">
        <v>12646</v>
      </c>
      <c r="Z3217" s="5" t="s">
        <v>14080</v>
      </c>
      <c r="AA3217" s="5" t="s">
        <v>1717</v>
      </c>
      <c r="AB3217" s="5"/>
      <c r="AC3217" s="8" t="str">
        <f>HYPERLINK("https://drive.google.com/file/d/1azT2z8BZZP58fKIpv3UENmu1qqAs5O37/view?usp=drivesdk", "Abrir_Factura")</f>
        <v>Abrir_Factura</v>
      </c>
      <c r="AD3217" s="9">
        <v>46089.61173611111</v>
      </c>
    </row>
    <row r="3218" spans="1:30" ht="12.5">
      <c r="A3218" s="4">
        <v>46089.528510972217</v>
      </c>
      <c r="B3218" s="5">
        <v>92950</v>
      </c>
      <c r="C3218" s="5">
        <v>1002158975</v>
      </c>
      <c r="D3218" s="5" t="s">
        <v>14082</v>
      </c>
      <c r="F3218" s="5"/>
      <c r="H3218" s="5">
        <v>573150491518</v>
      </c>
      <c r="J3218" s="5" t="s">
        <v>14083</v>
      </c>
      <c r="K3218" s="5" t="s">
        <v>12657</v>
      </c>
      <c r="L3218" s="5" t="s">
        <v>12657</v>
      </c>
      <c r="M3218" s="5">
        <v>573150491518</v>
      </c>
      <c r="N3218" s="6">
        <v>46089</v>
      </c>
      <c r="O3218" s="7">
        <v>0.54166666666666663</v>
      </c>
      <c r="P3218" s="5">
        <v>1</v>
      </c>
      <c r="Q3218" s="5" t="s">
        <v>12406</v>
      </c>
      <c r="R3218" s="5">
        <v>90000</v>
      </c>
      <c r="S3218" s="5">
        <v>0</v>
      </c>
      <c r="T3218" s="5"/>
      <c r="U3218" s="5">
        <v>90000</v>
      </c>
      <c r="V3218" s="5" t="s">
        <v>14084</v>
      </c>
      <c r="W3218" s="5" t="s">
        <v>36</v>
      </c>
      <c r="X3218" s="5" t="s">
        <v>12646</v>
      </c>
      <c r="Z3218" s="5" t="s">
        <v>14085</v>
      </c>
      <c r="AA3218" s="5" t="s">
        <v>44</v>
      </c>
      <c r="AB3218" s="5" t="s">
        <v>14086</v>
      </c>
      <c r="AC3218" s="8" t="str">
        <f>HYPERLINK("https://drive.google.com/file/d/1ROHmyFWSpekMtbsYiFU5ljclwogFO2Yz/view?usp=drivesdk", "Abrir_Factura")</f>
        <v>Abrir_Factura</v>
      </c>
      <c r="AD3218" s="9">
        <v>46089.699386574073</v>
      </c>
    </row>
    <row r="3219" spans="1:30" ht="12.5">
      <c r="A3219" s="4">
        <v>46089.53823450231</v>
      </c>
      <c r="B3219" s="5">
        <v>92958</v>
      </c>
      <c r="C3219" s="5">
        <v>1001946049</v>
      </c>
      <c r="D3219" s="5" t="s">
        <v>14087</v>
      </c>
      <c r="F3219" s="5"/>
      <c r="H3219" s="5">
        <v>573005273265</v>
      </c>
      <c r="J3219" s="5" t="s">
        <v>14088</v>
      </c>
      <c r="K3219" s="5" t="s">
        <v>964</v>
      </c>
      <c r="L3219" s="5" t="s">
        <v>14089</v>
      </c>
      <c r="M3219" s="5">
        <v>573012112234</v>
      </c>
      <c r="N3219" s="6">
        <v>46089</v>
      </c>
      <c r="O3219" s="7">
        <v>0.625</v>
      </c>
      <c r="P3219" s="5">
        <v>1</v>
      </c>
      <c r="Q3219" s="5" t="s">
        <v>14090</v>
      </c>
      <c r="R3219" s="5">
        <v>170000</v>
      </c>
      <c r="S3219" s="5">
        <v>0</v>
      </c>
      <c r="T3219" s="5">
        <v>12000</v>
      </c>
      <c r="U3219" s="5">
        <v>182000</v>
      </c>
      <c r="V3219" s="5" t="s">
        <v>14091</v>
      </c>
      <c r="W3219" s="5" t="s">
        <v>36</v>
      </c>
      <c r="X3219" s="5" t="s">
        <v>12646</v>
      </c>
      <c r="Z3219" s="5"/>
      <c r="AA3219" s="5" t="s">
        <v>44</v>
      </c>
      <c r="AB3219" s="5"/>
      <c r="AC3219" s="8" t="str">
        <f>HYPERLINK("https://drive.google.com/file/d/1jCTqQOCCBkgxRvwOGbutumS3s4wjIyIP/view?usp=drivesdk", "Abrir_Factura")</f>
        <v>Abrir_Factura</v>
      </c>
      <c r="AD3219" s="9">
        <v>46089.555231481485</v>
      </c>
    </row>
    <row r="3220" spans="1:30" ht="12.5">
      <c r="A3220" s="4">
        <v>46089.539936562505</v>
      </c>
      <c r="B3220" s="5">
        <v>92952</v>
      </c>
      <c r="C3220" s="5">
        <v>1043672241</v>
      </c>
      <c r="D3220" s="5" t="s">
        <v>14092</v>
      </c>
      <c r="F3220" s="5"/>
      <c r="H3220" s="5">
        <v>573007358551</v>
      </c>
      <c r="J3220" s="5" t="s">
        <v>14092</v>
      </c>
      <c r="K3220" s="5" t="s">
        <v>12657</v>
      </c>
      <c r="L3220" s="5" t="s">
        <v>12657</v>
      </c>
      <c r="M3220" s="5">
        <v>573007358551</v>
      </c>
      <c r="N3220" s="6">
        <v>46089</v>
      </c>
      <c r="O3220" s="7">
        <v>0</v>
      </c>
      <c r="P3220" s="5">
        <v>1</v>
      </c>
      <c r="Q3220" s="5" t="s">
        <v>12423</v>
      </c>
      <c r="R3220" s="5">
        <v>80000</v>
      </c>
      <c r="S3220" s="5">
        <v>0</v>
      </c>
      <c r="T3220" s="5"/>
      <c r="U3220" s="5">
        <v>80000</v>
      </c>
      <c r="V3220" s="5"/>
      <c r="W3220" s="5" t="s">
        <v>36</v>
      </c>
      <c r="X3220" s="5" t="s">
        <v>1705</v>
      </c>
      <c r="Z3220" s="5"/>
      <c r="AA3220" s="5" t="s">
        <v>1717</v>
      </c>
      <c r="AB3220" s="5"/>
      <c r="AC3220" s="8" t="str">
        <f>HYPERLINK("https://drive.google.com/file/d/1y3iJNG9SgtScj1UgQTMawPpjhZQUFN00/view?usp=drivesdk", "Abrir_Factura")</f>
        <v>Abrir_Factura</v>
      </c>
      <c r="AD3220" s="9">
        <v>46089.540798611109</v>
      </c>
    </row>
    <row r="3221" spans="1:30" ht="12.5">
      <c r="A3221" s="4">
        <v>46089.541393587962</v>
      </c>
      <c r="B3221" s="5">
        <v>92960</v>
      </c>
      <c r="C3221" s="5">
        <v>1140829113</v>
      </c>
      <c r="D3221" s="5" t="s">
        <v>14093</v>
      </c>
      <c r="F3221" s="5"/>
      <c r="H3221" s="5" t="s">
        <v>14094</v>
      </c>
      <c r="J3221" s="5" t="s">
        <v>14093</v>
      </c>
      <c r="K3221" s="5" t="s">
        <v>12657</v>
      </c>
      <c r="L3221" s="5" t="s">
        <v>12657</v>
      </c>
      <c r="M3221" s="5">
        <v>573106376698</v>
      </c>
      <c r="N3221" s="6">
        <v>46089</v>
      </c>
      <c r="O3221" s="7">
        <v>0.125</v>
      </c>
      <c r="P3221" s="5">
        <v>1</v>
      </c>
      <c r="Q3221" s="5" t="s">
        <v>14095</v>
      </c>
      <c r="R3221" s="5">
        <v>360000</v>
      </c>
      <c r="S3221" s="5">
        <v>0</v>
      </c>
      <c r="T3221" s="5"/>
      <c r="U3221" s="5">
        <v>360000</v>
      </c>
      <c r="V3221" s="5"/>
      <c r="W3221" s="5" t="s">
        <v>36</v>
      </c>
      <c r="X3221" s="5" t="s">
        <v>12646</v>
      </c>
      <c r="Z3221" s="5"/>
      <c r="AA3221" s="5" t="s">
        <v>44</v>
      </c>
      <c r="AB3221" s="5" t="s">
        <v>9771</v>
      </c>
      <c r="AC3221" s="8" t="str">
        <f>HYPERLINK("https://drive.google.com/file/d/1IgUmYTsajBQVxbC5l7wVXpYhMjM9dM2Z/view?usp=drivesdk", "Abrir_Factura")</f>
        <v>Abrir_Factura</v>
      </c>
      <c r="AD3221" s="9">
        <v>46089.560046296298</v>
      </c>
    </row>
    <row r="3222" spans="1:30" ht="12.5">
      <c r="A3222" s="4">
        <v>46089.552023124998</v>
      </c>
      <c r="B3222" s="5">
        <v>92961</v>
      </c>
      <c r="C3222" s="5">
        <v>1003124149</v>
      </c>
      <c r="D3222" s="5" t="s">
        <v>14096</v>
      </c>
      <c r="F3222" s="5"/>
      <c r="H3222" s="5">
        <v>573152727192</v>
      </c>
      <c r="J3222" s="5" t="s">
        <v>14097</v>
      </c>
      <c r="K3222" s="5" t="s">
        <v>73</v>
      </c>
      <c r="L3222" s="5" t="s">
        <v>14098</v>
      </c>
      <c r="M3222" s="5">
        <v>573156165550</v>
      </c>
      <c r="N3222" s="6">
        <v>46089</v>
      </c>
      <c r="O3222" s="7">
        <v>0.625</v>
      </c>
      <c r="P3222" s="5">
        <v>1</v>
      </c>
      <c r="Q3222" s="5" t="s">
        <v>12406</v>
      </c>
      <c r="R3222" s="5">
        <v>90000</v>
      </c>
      <c r="S3222" s="5">
        <v>0</v>
      </c>
      <c r="T3222" s="5">
        <v>8000</v>
      </c>
      <c r="U3222" s="5">
        <v>98000</v>
      </c>
      <c r="V3222" s="5" t="s">
        <v>14099</v>
      </c>
      <c r="W3222" s="5" t="s">
        <v>36</v>
      </c>
      <c r="X3222" s="5" t="s">
        <v>12646</v>
      </c>
      <c r="Z3222" s="5" t="s">
        <v>14100</v>
      </c>
      <c r="AA3222" s="5" t="s">
        <v>44</v>
      </c>
      <c r="AB3222" s="5"/>
      <c r="AC3222" s="8" t="str">
        <f>HYPERLINK("https://drive.google.com/file/d/1Iz0pEjRyNns-fKdpCO-wT3UBqGN750Xp/view?usp=drivesdk", "Abrir_Factura")</f>
        <v>Abrir_Factura</v>
      </c>
      <c r="AD3222" s="9">
        <v>46089.560810185183</v>
      </c>
    </row>
    <row r="3223" spans="1:30" ht="12.5">
      <c r="A3223" s="4">
        <v>46089.55636072917</v>
      </c>
      <c r="B3223" s="5">
        <v>92964</v>
      </c>
      <c r="C3223" s="5">
        <v>1047036112</v>
      </c>
      <c r="D3223" s="5" t="s">
        <v>14101</v>
      </c>
      <c r="F3223" s="5"/>
      <c r="H3223" s="5">
        <v>573009477121</v>
      </c>
      <c r="J3223" s="5" t="s">
        <v>14102</v>
      </c>
      <c r="K3223" s="5" t="s">
        <v>154</v>
      </c>
      <c r="L3223" s="5" t="s">
        <v>14103</v>
      </c>
      <c r="M3223" s="5">
        <v>573053042125</v>
      </c>
      <c r="N3223" s="6">
        <v>46089</v>
      </c>
      <c r="O3223" s="7">
        <v>0.16666666666666666</v>
      </c>
      <c r="P3223" s="5">
        <v>1</v>
      </c>
      <c r="Q3223" s="5" t="s">
        <v>12496</v>
      </c>
      <c r="R3223" s="5">
        <v>120000</v>
      </c>
      <c r="S3223" s="5">
        <v>0</v>
      </c>
      <c r="T3223" s="5">
        <v>8000</v>
      </c>
      <c r="U3223" s="5">
        <v>128000</v>
      </c>
      <c r="V3223" s="5" t="s">
        <v>14104</v>
      </c>
      <c r="W3223" s="5" t="s">
        <v>36</v>
      </c>
      <c r="X3223" s="5" t="s">
        <v>12646</v>
      </c>
      <c r="Z3223" s="5" t="s">
        <v>14105</v>
      </c>
      <c r="AA3223" s="5" t="s">
        <v>44</v>
      </c>
      <c r="AB3223" s="5" t="s">
        <v>9771</v>
      </c>
      <c r="AC3223" s="8" t="str">
        <f>HYPERLINK("https://drive.google.com/file/d/1dFou43qqtZzq9do0sgeQdugjRCAauZjR/view?usp=drivesdk", "Abrir_Factura")</f>
        <v>Abrir_Factura</v>
      </c>
      <c r="AD3223" s="9">
        <v>46089.568564814814</v>
      </c>
    </row>
    <row r="3224" spans="1:30" ht="12.5">
      <c r="A3224" s="4">
        <v>46089.55796395833</v>
      </c>
      <c r="B3224" s="5">
        <v>92965</v>
      </c>
      <c r="C3224" s="5">
        <v>72172533</v>
      </c>
      <c r="D3224" s="5" t="s">
        <v>14106</v>
      </c>
      <c r="F3224" s="5"/>
      <c r="H3224" s="5">
        <v>573208395916</v>
      </c>
      <c r="J3224" s="5" t="s">
        <v>14107</v>
      </c>
      <c r="K3224" s="5" t="s">
        <v>73</v>
      </c>
      <c r="L3224" s="5" t="s">
        <v>14108</v>
      </c>
      <c r="M3224" s="5">
        <v>573004056966</v>
      </c>
      <c r="N3224" s="6">
        <v>46089</v>
      </c>
      <c r="O3224" s="7">
        <v>0.625</v>
      </c>
      <c r="P3224" s="5">
        <v>1</v>
      </c>
      <c r="Q3224" s="5" t="s">
        <v>13138</v>
      </c>
      <c r="R3224" s="5">
        <v>200000</v>
      </c>
      <c r="S3224" s="5">
        <v>0</v>
      </c>
      <c r="T3224" s="5">
        <v>8000</v>
      </c>
      <c r="U3224" s="5">
        <v>208000</v>
      </c>
      <c r="V3224" s="5" t="s">
        <v>14109</v>
      </c>
      <c r="W3224" s="5" t="s">
        <v>36</v>
      </c>
      <c r="X3224" s="5" t="s">
        <v>12646</v>
      </c>
      <c r="Z3224" s="5" t="s">
        <v>14110</v>
      </c>
      <c r="AA3224" s="5" t="s">
        <v>44</v>
      </c>
      <c r="AB3224" s="5"/>
      <c r="AC3224" s="8" t="str">
        <f>HYPERLINK("https://drive.google.com/file/d/1MhxVnzWJH2AKnvaS9oB7jTOWOdhr1DAZ/view?usp=drivesdk", "Abrir_Factura")</f>
        <v>Abrir_Factura</v>
      </c>
      <c r="AD3224" s="9">
        <v>46089.568842592591</v>
      </c>
    </row>
    <row r="3225" spans="1:30" ht="12.5">
      <c r="A3225" s="4">
        <v>46089.563088182869</v>
      </c>
      <c r="B3225" s="5">
        <v>92966</v>
      </c>
      <c r="C3225" s="5">
        <v>1126038022</v>
      </c>
      <c r="D3225" s="5" t="s">
        <v>14111</v>
      </c>
      <c r="F3225" s="5"/>
      <c r="H3225" s="5">
        <v>573008446022</v>
      </c>
      <c r="J3225" s="5" t="s">
        <v>14112</v>
      </c>
      <c r="K3225" s="5" t="s">
        <v>146</v>
      </c>
      <c r="L3225" s="5" t="s">
        <v>14113</v>
      </c>
      <c r="M3225" s="5">
        <v>573012615857</v>
      </c>
      <c r="N3225" s="6">
        <v>46089</v>
      </c>
      <c r="O3225" s="7">
        <v>0.66666666666666663</v>
      </c>
      <c r="P3225" s="5">
        <v>1</v>
      </c>
      <c r="Q3225" s="5" t="s">
        <v>12406</v>
      </c>
      <c r="R3225" s="5">
        <v>90000</v>
      </c>
      <c r="S3225" s="5">
        <v>0</v>
      </c>
      <c r="T3225" s="5">
        <v>15000</v>
      </c>
      <c r="U3225" s="5">
        <v>105000</v>
      </c>
      <c r="V3225" s="5" t="s">
        <v>14114</v>
      </c>
      <c r="W3225" s="5" t="s">
        <v>36</v>
      </c>
      <c r="X3225" s="5" t="s">
        <v>12646</v>
      </c>
      <c r="Z3225" s="5" t="s">
        <v>14115</v>
      </c>
      <c r="AA3225" s="5" t="s">
        <v>44</v>
      </c>
      <c r="AB3225" s="5"/>
      <c r="AC3225" s="8" t="str">
        <f>HYPERLINK("https://drive.google.com/file/d/1askMGBn6J6TOlBaaMiEYEtAdUWXvVUI2/view?usp=drivesdk", "Abrir_Factura")</f>
        <v>Abrir_Factura</v>
      </c>
      <c r="AD3225" s="9">
        <v>46089.58734953704</v>
      </c>
    </row>
    <row r="3226" spans="1:30" ht="12.5">
      <c r="A3226" s="4">
        <v>46089.575119004629</v>
      </c>
      <c r="B3226" s="5">
        <v>92985</v>
      </c>
      <c r="C3226" s="5">
        <v>55313230</v>
      </c>
      <c r="D3226" s="5" t="s">
        <v>14116</v>
      </c>
      <c r="F3226" s="5"/>
      <c r="H3226" s="5">
        <v>573006498138</v>
      </c>
      <c r="J3226" s="5" t="s">
        <v>14117</v>
      </c>
      <c r="K3226" s="5" t="s">
        <v>79</v>
      </c>
      <c r="L3226" s="5" t="s">
        <v>14118</v>
      </c>
      <c r="M3226" s="5">
        <v>573157496731</v>
      </c>
      <c r="N3226" s="6">
        <v>46089</v>
      </c>
      <c r="O3226" s="7">
        <v>0.16666666666666666</v>
      </c>
      <c r="P3226" s="5">
        <v>1</v>
      </c>
      <c r="Q3226" s="5" t="s">
        <v>12728</v>
      </c>
      <c r="R3226" s="5">
        <v>120000</v>
      </c>
      <c r="S3226" s="5">
        <v>0</v>
      </c>
      <c r="T3226" s="5">
        <v>10000</v>
      </c>
      <c r="U3226" s="5">
        <v>130000</v>
      </c>
      <c r="V3226" s="5" t="s">
        <v>14119</v>
      </c>
      <c r="W3226" s="5" t="s">
        <v>36</v>
      </c>
      <c r="X3226" s="5" t="s">
        <v>12646</v>
      </c>
      <c r="Z3226" s="5" t="s">
        <v>14120</v>
      </c>
      <c r="AA3226" s="5" t="s">
        <v>44</v>
      </c>
      <c r="AB3226" s="5" t="s">
        <v>9771</v>
      </c>
      <c r="AC3226" s="8" t="str">
        <f>HYPERLINK("https://drive.google.com/file/d/12JcUOcv0ZGRD2RZv3R0_e9MOAL6_rwQD/view?usp=drivesdk", "Abrir_Factura")</f>
        <v>Abrir_Factura</v>
      </c>
      <c r="AD3226" s="9">
        <v>46089.644953703704</v>
      </c>
    </row>
    <row r="3227" spans="1:30" ht="12.5">
      <c r="A3227" s="4">
        <v>46089.577494421297</v>
      </c>
      <c r="B3227" s="5">
        <v>92968</v>
      </c>
      <c r="C3227" s="5">
        <v>1041691632</v>
      </c>
      <c r="D3227" s="5" t="s">
        <v>14121</v>
      </c>
      <c r="F3227" s="5"/>
      <c r="H3227" s="5">
        <v>30043004612667</v>
      </c>
      <c r="J3227" s="5" t="s">
        <v>14122</v>
      </c>
      <c r="K3227" s="5" t="s">
        <v>103</v>
      </c>
      <c r="L3227" s="5" t="s">
        <v>14123</v>
      </c>
      <c r="M3227" s="5">
        <v>573004612667</v>
      </c>
      <c r="N3227" s="6">
        <v>46089</v>
      </c>
      <c r="O3227" s="7">
        <v>0.66666666666666663</v>
      </c>
      <c r="P3227" s="5">
        <v>1</v>
      </c>
      <c r="Q3227" s="5" t="s">
        <v>12728</v>
      </c>
      <c r="R3227" s="5">
        <v>120000</v>
      </c>
      <c r="S3227" s="5">
        <v>0</v>
      </c>
      <c r="T3227" s="5">
        <v>10000</v>
      </c>
      <c r="U3227" s="5">
        <v>130000</v>
      </c>
      <c r="V3227" s="5" t="s">
        <v>14124</v>
      </c>
      <c r="W3227" s="5" t="s">
        <v>36</v>
      </c>
      <c r="X3227" s="5" t="s">
        <v>12646</v>
      </c>
      <c r="Z3227" s="5" t="s">
        <v>14125</v>
      </c>
      <c r="AA3227" s="5" t="s">
        <v>44</v>
      </c>
      <c r="AB3227" s="5"/>
      <c r="AC3227" s="8" t="str">
        <f>HYPERLINK("https://drive.google.com/file/d/1K9bvfQz-94NlucvqHYUIN6VyX_zWijz-/view?usp=drivesdk", "Abrir_Factura")</f>
        <v>Abrir_Factura</v>
      </c>
      <c r="AD3227" s="9">
        <v>46089.589201388888</v>
      </c>
    </row>
    <row r="3228" spans="1:30" ht="12.5">
      <c r="A3228" s="4">
        <v>46089.578450138884</v>
      </c>
      <c r="B3228" s="5">
        <v>92971</v>
      </c>
      <c r="C3228" s="5">
        <v>800141</v>
      </c>
      <c r="D3228" s="5" t="s">
        <v>14126</v>
      </c>
      <c r="F3228" s="5"/>
      <c r="H3228" s="5">
        <v>34644380068</v>
      </c>
      <c r="J3228" s="5" t="s">
        <v>14127</v>
      </c>
      <c r="K3228" s="5" t="s">
        <v>448</v>
      </c>
      <c r="L3228" s="5" t="s">
        <v>14128</v>
      </c>
      <c r="M3228" s="5">
        <v>573508401213</v>
      </c>
      <c r="N3228" s="6">
        <v>46089</v>
      </c>
      <c r="O3228" s="7">
        <v>0.1875</v>
      </c>
      <c r="P3228" s="5">
        <v>1</v>
      </c>
      <c r="Q3228" s="5" t="s">
        <v>14129</v>
      </c>
      <c r="R3228" s="5">
        <v>280000</v>
      </c>
      <c r="S3228" s="5">
        <v>0</v>
      </c>
      <c r="T3228" s="5">
        <v>15000</v>
      </c>
      <c r="U3228" s="5">
        <v>295000</v>
      </c>
      <c r="V3228" s="5" t="s">
        <v>14130</v>
      </c>
      <c r="W3228" s="5" t="s">
        <v>36</v>
      </c>
      <c r="X3228" s="5" t="s">
        <v>1937</v>
      </c>
      <c r="Z3228" s="5"/>
      <c r="AA3228" s="5" t="s">
        <v>69</v>
      </c>
      <c r="AB3228" s="5" t="s">
        <v>14131</v>
      </c>
      <c r="AC3228" s="8" t="str">
        <f>HYPERLINK("https://drive.google.com/file/d/1jSaUhtcjkwC_6L-5kMcWncXjsr4zZAUn/view?usp=drivesdk", "Abrir_Factura")</f>
        <v>Abrir_Factura</v>
      </c>
      <c r="AD3228" s="9">
        <v>46089.597094907411</v>
      </c>
    </row>
    <row r="3229" spans="1:30" ht="12.5">
      <c r="A3229" s="4">
        <v>46089.579437708337</v>
      </c>
      <c r="B3229" s="5">
        <v>92969</v>
      </c>
      <c r="C3229" s="5">
        <v>1044219368</v>
      </c>
      <c r="D3229" s="5" t="s">
        <v>14132</v>
      </c>
      <c r="F3229" s="5"/>
      <c r="H3229" s="5">
        <v>573007524271</v>
      </c>
      <c r="J3229" s="5" t="s">
        <v>14133</v>
      </c>
      <c r="K3229" s="5" t="s">
        <v>161</v>
      </c>
      <c r="L3229" s="5" t="s">
        <v>14134</v>
      </c>
      <c r="M3229" s="5">
        <v>573007524271</v>
      </c>
      <c r="N3229" s="6">
        <v>46089</v>
      </c>
      <c r="O3229" s="7">
        <v>0.625</v>
      </c>
      <c r="P3229" s="5">
        <v>1</v>
      </c>
      <c r="Q3229" s="5" t="s">
        <v>14135</v>
      </c>
      <c r="R3229" s="5">
        <v>170000</v>
      </c>
      <c r="S3229" s="5">
        <v>0</v>
      </c>
      <c r="T3229" s="5">
        <v>8000</v>
      </c>
      <c r="U3229" s="5">
        <v>178000</v>
      </c>
      <c r="V3229" s="5" t="s">
        <v>3038</v>
      </c>
      <c r="W3229" s="5" t="s">
        <v>36</v>
      </c>
      <c r="X3229" s="5" t="s">
        <v>12646</v>
      </c>
      <c r="Z3229" s="5"/>
      <c r="AA3229" s="5" t="s">
        <v>44</v>
      </c>
      <c r="AB3229" s="5" t="s">
        <v>14136</v>
      </c>
      <c r="AC3229" s="8" t="str">
        <f>HYPERLINK("https://drive.google.com/file/d/1FumgfBvbLfKxLRx3OOuMfrz8jeIoLZlm/view?usp=drivesdk", "Abrir_Factura")</f>
        <v>Abrir_Factura</v>
      </c>
      <c r="AD3229" s="9">
        <v>46089.592777777776</v>
      </c>
    </row>
    <row r="3230" spans="1:30" ht="12.5">
      <c r="A3230" s="4">
        <v>46089.58417188657</v>
      </c>
      <c r="B3230" s="5">
        <v>92986</v>
      </c>
      <c r="C3230" s="5">
        <v>55313230</v>
      </c>
      <c r="D3230" s="5" t="s">
        <v>14116</v>
      </c>
      <c r="F3230" s="5"/>
      <c r="H3230" s="5">
        <v>573006498138</v>
      </c>
      <c r="J3230" s="5" t="s">
        <v>3174</v>
      </c>
      <c r="K3230" s="5" t="s">
        <v>73</v>
      </c>
      <c r="L3230" s="5" t="s">
        <v>14137</v>
      </c>
      <c r="M3230" s="5">
        <v>573157496731</v>
      </c>
      <c r="N3230" s="6">
        <v>46089</v>
      </c>
      <c r="O3230" s="7">
        <v>0.16666666666666666</v>
      </c>
      <c r="P3230" s="5">
        <v>1</v>
      </c>
      <c r="Q3230" s="5" t="s">
        <v>12406</v>
      </c>
      <c r="R3230" s="5">
        <v>90000</v>
      </c>
      <c r="S3230" s="5">
        <v>0</v>
      </c>
      <c r="T3230" s="5">
        <v>8000</v>
      </c>
      <c r="U3230" s="5">
        <v>98000</v>
      </c>
      <c r="V3230" s="5" t="s">
        <v>14138</v>
      </c>
      <c r="W3230" s="5" t="s">
        <v>36</v>
      </c>
      <c r="X3230" s="5" t="s">
        <v>12646</v>
      </c>
      <c r="Z3230" s="5" t="s">
        <v>1812</v>
      </c>
      <c r="AA3230" s="5" t="s">
        <v>44</v>
      </c>
      <c r="AB3230" s="5" t="s">
        <v>9612</v>
      </c>
      <c r="AC3230" s="8" t="str">
        <f>HYPERLINK("https://drive.google.com/file/d/1nk0LgzJbsZaqMArP64figYJajp3jVn1p/view?usp=drivesdk", "Abrir_Factura")</f>
        <v>Abrir_Factura</v>
      </c>
      <c r="AD3230" s="9">
        <v>46089.643599537034</v>
      </c>
    </row>
    <row r="3231" spans="1:30" ht="12.5">
      <c r="A3231" s="4">
        <v>46089.589754918983</v>
      </c>
      <c r="B3231" s="5">
        <v>92970</v>
      </c>
      <c r="C3231" s="5">
        <v>80184534</v>
      </c>
      <c r="D3231" s="5" t="s">
        <v>14139</v>
      </c>
      <c r="F3231" s="5"/>
      <c r="H3231" s="5">
        <v>573168763144</v>
      </c>
      <c r="J3231" s="5" t="s">
        <v>14139</v>
      </c>
      <c r="K3231" s="5" t="s">
        <v>12657</v>
      </c>
      <c r="L3231" s="5" t="s">
        <v>12657</v>
      </c>
      <c r="M3231" s="5">
        <v>573168763144</v>
      </c>
      <c r="N3231" s="6">
        <v>46089</v>
      </c>
      <c r="O3231" s="7">
        <v>0</v>
      </c>
      <c r="P3231" s="5">
        <v>1</v>
      </c>
      <c r="Q3231" s="5" t="s">
        <v>14140</v>
      </c>
      <c r="R3231" s="5">
        <v>180000</v>
      </c>
      <c r="S3231" s="5">
        <v>0</v>
      </c>
      <c r="T3231" s="5"/>
      <c r="U3231" s="5">
        <v>180000</v>
      </c>
      <c r="V3231" s="5" t="s">
        <v>14141</v>
      </c>
      <c r="W3231" s="5" t="s">
        <v>36</v>
      </c>
      <c r="X3231" s="5" t="s">
        <v>1705</v>
      </c>
      <c r="Z3231" s="5" t="s">
        <v>14139</v>
      </c>
      <c r="AA3231" s="5" t="s">
        <v>1717</v>
      </c>
      <c r="AB3231" s="5"/>
      <c r="AC3231" s="8" t="str">
        <f>HYPERLINK("https://drive.google.com/file/d/1-ajtYp6Qi7bjdweEx5TEI-KquvVhXndE/view?usp=drivesdk", "Abrir_Factura")</f>
        <v>Abrir_Factura</v>
      </c>
      <c r="AD3231" s="9">
        <v>46089.696423611109</v>
      </c>
    </row>
    <row r="3232" spans="1:30" ht="12.5">
      <c r="A3232" s="4">
        <v>46089.591371921299</v>
      </c>
      <c r="B3232" s="5">
        <v>92983</v>
      </c>
      <c r="C3232" s="5">
        <v>1140898322</v>
      </c>
      <c r="D3232" s="5" t="s">
        <v>14142</v>
      </c>
      <c r="F3232" s="5"/>
      <c r="H3232" s="5">
        <v>573148167126</v>
      </c>
      <c r="J3232" s="5" t="s">
        <v>14143</v>
      </c>
      <c r="K3232" s="5" t="s">
        <v>11628</v>
      </c>
      <c r="L3232" s="5" t="s">
        <v>14144</v>
      </c>
      <c r="M3232" s="5">
        <v>573148167126</v>
      </c>
      <c r="N3232" s="6">
        <v>46089</v>
      </c>
      <c r="O3232" s="7">
        <v>0.66666666666666663</v>
      </c>
      <c r="P3232" s="5">
        <v>1</v>
      </c>
      <c r="Q3232" s="5" t="s">
        <v>13483</v>
      </c>
      <c r="R3232" s="5">
        <v>150000</v>
      </c>
      <c r="S3232" s="5">
        <v>0</v>
      </c>
      <c r="T3232" s="5">
        <v>12000</v>
      </c>
      <c r="U3232" s="5">
        <v>162000</v>
      </c>
      <c r="V3232" s="5" t="s">
        <v>14145</v>
      </c>
      <c r="W3232" s="5" t="s">
        <v>36</v>
      </c>
      <c r="X3232" s="5" t="s">
        <v>12646</v>
      </c>
      <c r="Z3232" s="5" t="s">
        <v>14146</v>
      </c>
      <c r="AA3232" s="5" t="s">
        <v>44</v>
      </c>
      <c r="AB3232" s="5"/>
      <c r="AC3232" s="8" t="str">
        <f>HYPERLINK("https://drive.google.com/file/d/1uX8cfEJlQKvqbvBPvzdzc998Pr0tYe4O/view?usp=drivesdk", "Abrir_Factura")</f>
        <v>Abrir_Factura</v>
      </c>
      <c r="AD3232" s="9">
        <v>46089.634340277778</v>
      </c>
    </row>
    <row r="3233" spans="1:30" ht="12.5">
      <c r="A3233" s="4">
        <v>46089.594753831014</v>
      </c>
      <c r="B3233" s="5">
        <v>92977</v>
      </c>
      <c r="C3233" s="5">
        <v>72020602</v>
      </c>
      <c r="D3233" s="5" t="s">
        <v>14147</v>
      </c>
      <c r="F3233" s="5"/>
      <c r="H3233" s="5">
        <v>573044408100</v>
      </c>
      <c r="J3233" s="5" t="s">
        <v>14148</v>
      </c>
      <c r="K3233" s="5" t="s">
        <v>73</v>
      </c>
      <c r="L3233" s="5" t="s">
        <v>14149</v>
      </c>
      <c r="M3233" s="5">
        <v>573044408100</v>
      </c>
      <c r="N3233" s="6">
        <v>46089</v>
      </c>
      <c r="O3233" s="7">
        <v>0.16666666666666666</v>
      </c>
      <c r="P3233" s="5">
        <v>1</v>
      </c>
      <c r="Q3233" s="5" t="s">
        <v>12406</v>
      </c>
      <c r="R3233" s="5">
        <v>90000</v>
      </c>
      <c r="S3233" s="5">
        <v>0</v>
      </c>
      <c r="T3233" s="5">
        <v>8000</v>
      </c>
      <c r="U3233" s="5">
        <v>98000</v>
      </c>
      <c r="V3233" s="5" t="s">
        <v>14150</v>
      </c>
      <c r="W3233" s="5" t="s">
        <v>36</v>
      </c>
      <c r="X3233" s="5" t="s">
        <v>12646</v>
      </c>
      <c r="Z3233" s="5" t="s">
        <v>14151</v>
      </c>
      <c r="AA3233" s="5" t="s">
        <v>44</v>
      </c>
      <c r="AB3233" s="5" t="s">
        <v>9771</v>
      </c>
      <c r="AC3233" s="8" t="str">
        <f>HYPERLINK("https://drive.google.com/file/d/1eSzEWi79TWbjzWsRk-Fpsg1902shrzCF/view?usp=drivesdk", "Abrir_Factura")</f>
        <v>Abrir_Factura</v>
      </c>
      <c r="AD3233" s="9">
        <v>46089.616493055553</v>
      </c>
    </row>
    <row r="3234" spans="1:30" ht="12.5">
      <c r="A3234" s="4">
        <v>46089.59510799768</v>
      </c>
      <c r="B3234" s="5">
        <v>92980</v>
      </c>
      <c r="C3234" s="5">
        <v>1001993797</v>
      </c>
      <c r="D3234" s="5" t="s">
        <v>12577</v>
      </c>
      <c r="F3234" s="5"/>
      <c r="H3234" s="5">
        <v>573003346799</v>
      </c>
      <c r="J3234" s="5" t="s">
        <v>14152</v>
      </c>
      <c r="K3234" s="5" t="s">
        <v>124</v>
      </c>
      <c r="L3234" s="5" t="s">
        <v>14153</v>
      </c>
      <c r="M3234" s="5">
        <v>573114100464</v>
      </c>
      <c r="N3234" s="6">
        <v>46089</v>
      </c>
      <c r="O3234" s="7">
        <v>0.70833333333333337</v>
      </c>
      <c r="P3234" s="5">
        <v>1</v>
      </c>
      <c r="Q3234" s="5" t="s">
        <v>14154</v>
      </c>
      <c r="R3234" s="5">
        <v>150000</v>
      </c>
      <c r="S3234" s="5">
        <v>0</v>
      </c>
      <c r="T3234" s="5">
        <v>12000</v>
      </c>
      <c r="U3234" s="5">
        <v>162000</v>
      </c>
      <c r="V3234" s="5" t="s">
        <v>14155</v>
      </c>
      <c r="W3234" s="5" t="s">
        <v>36</v>
      </c>
      <c r="X3234" s="5" t="s">
        <v>12646</v>
      </c>
      <c r="Z3234" s="5" t="s">
        <v>14156</v>
      </c>
      <c r="AA3234" s="5" t="s">
        <v>44</v>
      </c>
      <c r="AB3234" s="5"/>
      <c r="AC3234" s="8" t="str">
        <f>HYPERLINK("https://drive.google.com/file/d/1THr8SH5i9_Jy7nEI9pyz0M2Tk4MZ4jas/view?usp=drivesdk", "Abrir_Factura")</f>
        <v>Abrir_Factura</v>
      </c>
      <c r="AD3234" s="9">
        <v>46089.629282407404</v>
      </c>
    </row>
    <row r="3235" spans="1:30" ht="12.5">
      <c r="A3235" s="4">
        <v>46089.597468599539</v>
      </c>
      <c r="B3235" s="5">
        <v>92973</v>
      </c>
      <c r="C3235" s="5">
        <v>1041691632</v>
      </c>
      <c r="D3235" s="5" t="s">
        <v>14121</v>
      </c>
      <c r="F3235" s="5"/>
      <c r="H3235" s="5">
        <v>3004612667</v>
      </c>
      <c r="J3235" s="5" t="s">
        <v>14157</v>
      </c>
      <c r="K3235" s="5" t="s">
        <v>103</v>
      </c>
      <c r="L3235" s="5" t="s">
        <v>14158</v>
      </c>
      <c r="M3235" s="5">
        <v>573044233449</v>
      </c>
      <c r="N3235" s="6">
        <v>46089</v>
      </c>
      <c r="O3235" s="7">
        <v>0.66666666666666663</v>
      </c>
      <c r="P3235" s="5">
        <v>1</v>
      </c>
      <c r="Q3235" s="5" t="s">
        <v>12728</v>
      </c>
      <c r="R3235" s="5">
        <v>120000</v>
      </c>
      <c r="S3235" s="5">
        <v>0</v>
      </c>
      <c r="T3235" s="5">
        <v>10000</v>
      </c>
      <c r="U3235" s="5">
        <v>130000</v>
      </c>
      <c r="V3235" s="5" t="s">
        <v>14159</v>
      </c>
      <c r="W3235" s="5" t="s">
        <v>36</v>
      </c>
      <c r="X3235" s="5" t="s">
        <v>12646</v>
      </c>
      <c r="Z3235" s="5"/>
      <c r="AA3235" s="5" t="s">
        <v>44</v>
      </c>
      <c r="AB3235" s="5"/>
      <c r="AC3235" s="8" t="str">
        <f>HYPERLINK("https://drive.google.com/file/d/1_HCnKFErlcgCM73lqCJ9VTAQQJFnXJrj/view?usp=drivesdk", "Abrir_Factura")</f>
        <v>Abrir_Factura</v>
      </c>
      <c r="AD3235" s="9">
        <v>46089.606111111112</v>
      </c>
    </row>
    <row r="3236" spans="1:30" ht="12.5">
      <c r="A3236" s="4">
        <v>46089.598624143517</v>
      </c>
      <c r="B3236" s="5">
        <v>92972</v>
      </c>
      <c r="C3236" s="5">
        <v>1143163410</v>
      </c>
      <c r="D3236" s="5" t="s">
        <v>13441</v>
      </c>
      <c r="F3236" s="5"/>
      <c r="H3236" s="5">
        <v>573012967965</v>
      </c>
      <c r="J3236" s="5" t="s">
        <v>13441</v>
      </c>
      <c r="K3236" s="5" t="s">
        <v>12657</v>
      </c>
      <c r="L3236" s="5" t="s">
        <v>12657</v>
      </c>
      <c r="M3236" s="5">
        <v>573012967965</v>
      </c>
      <c r="N3236" s="6">
        <v>46089</v>
      </c>
      <c r="O3236" s="7">
        <v>0</v>
      </c>
      <c r="P3236" s="5">
        <v>1</v>
      </c>
      <c r="Q3236" s="5" t="s">
        <v>14160</v>
      </c>
      <c r="R3236" s="5">
        <v>45000</v>
      </c>
      <c r="S3236" s="5">
        <v>0</v>
      </c>
      <c r="T3236" s="5"/>
      <c r="U3236" s="5">
        <v>45000</v>
      </c>
      <c r="V3236" s="5"/>
      <c r="W3236" s="5" t="s">
        <v>36</v>
      </c>
      <c r="X3236" s="5" t="s">
        <v>1705</v>
      </c>
      <c r="Z3236" s="5"/>
      <c r="AA3236" s="5" t="s">
        <v>1717</v>
      </c>
      <c r="AB3236" s="5"/>
      <c r="AC3236" s="8" t="str">
        <f>HYPERLINK("https://drive.google.com/file/d/1pfNctxy4CromOdpztbz-JKOGHFLyEZfH/view?usp=drivesdk", "Abrir_Factura")</f>
        <v>Abrir_Factura</v>
      </c>
      <c r="AD3236" s="9">
        <v>46089.600671296299</v>
      </c>
    </row>
    <row r="3237" spans="1:30" ht="12.5">
      <c r="A3237" s="4">
        <v>46089.603112488425</v>
      </c>
      <c r="B3237" s="5">
        <v>92976</v>
      </c>
      <c r="C3237" s="5">
        <v>72272077</v>
      </c>
      <c r="D3237" s="5" t="s">
        <v>14161</v>
      </c>
      <c r="F3237" s="5"/>
      <c r="H3237" s="5">
        <v>573145927399</v>
      </c>
      <c r="J3237" s="5" t="s">
        <v>14162</v>
      </c>
      <c r="K3237" s="5" t="s">
        <v>185</v>
      </c>
      <c r="L3237" s="5" t="s">
        <v>14163</v>
      </c>
      <c r="M3237" s="5">
        <v>573145927399</v>
      </c>
      <c r="N3237" s="6">
        <v>46089</v>
      </c>
      <c r="O3237" s="7">
        <v>0.6875</v>
      </c>
      <c r="P3237" s="5">
        <v>1</v>
      </c>
      <c r="Q3237" s="5" t="s">
        <v>12651</v>
      </c>
      <c r="R3237" s="5">
        <v>360000</v>
      </c>
      <c r="S3237" s="5">
        <v>0</v>
      </c>
      <c r="T3237" s="5">
        <v>8000</v>
      </c>
      <c r="U3237" s="5">
        <v>368000</v>
      </c>
      <c r="V3237" s="5" t="s">
        <v>14164</v>
      </c>
      <c r="W3237" s="5" t="s">
        <v>36</v>
      </c>
      <c r="X3237" s="5" t="s">
        <v>12646</v>
      </c>
      <c r="Z3237" s="5" t="s">
        <v>14165</v>
      </c>
      <c r="AA3237" s="5" t="s">
        <v>44</v>
      </c>
      <c r="AB3237" s="5"/>
      <c r="AC3237" s="8" t="str">
        <f>HYPERLINK("https://drive.google.com/file/d/1xBs7MpsmnNNggoNHKQRuQJgNe7hoH8gY/view?usp=drivesdk", "Abrir_Factura")</f>
        <v>Abrir_Factura</v>
      </c>
      <c r="AD3237" s="9">
        <v>46089.615914351853</v>
      </c>
    </row>
    <row r="3238" spans="1:30" ht="12.5">
      <c r="A3238" s="4">
        <v>46089.604187662037</v>
      </c>
      <c r="B3238" s="5">
        <v>92978</v>
      </c>
      <c r="C3238" s="5">
        <v>72145304</v>
      </c>
      <c r="D3238" s="5" t="s">
        <v>14166</v>
      </c>
      <c r="F3238" s="5"/>
      <c r="H3238" s="5">
        <v>573117169931</v>
      </c>
      <c r="J3238" s="5" t="s">
        <v>14062</v>
      </c>
      <c r="K3238" s="5" t="s">
        <v>103</v>
      </c>
      <c r="L3238" s="5" t="s">
        <v>14167</v>
      </c>
      <c r="M3238" s="5">
        <v>573004400740</v>
      </c>
      <c r="N3238" s="6">
        <v>46089</v>
      </c>
      <c r="O3238" s="7">
        <v>0.16666666666666666</v>
      </c>
      <c r="P3238" s="5">
        <v>1</v>
      </c>
      <c r="Q3238" s="5" t="s">
        <v>14168</v>
      </c>
      <c r="R3238" s="5">
        <v>190000</v>
      </c>
      <c r="S3238" s="5">
        <v>0</v>
      </c>
      <c r="T3238" s="5">
        <v>10000</v>
      </c>
      <c r="U3238" s="5">
        <v>200000</v>
      </c>
      <c r="V3238" s="5" t="s">
        <v>14169</v>
      </c>
      <c r="W3238" s="5" t="s">
        <v>36</v>
      </c>
      <c r="X3238" s="5" t="s">
        <v>1937</v>
      </c>
      <c r="Z3238" s="5" t="s">
        <v>2889</v>
      </c>
      <c r="AA3238" s="5" t="s">
        <v>44</v>
      </c>
      <c r="AB3238" s="5" t="s">
        <v>9771</v>
      </c>
      <c r="AC3238" s="8" t="str">
        <f>HYPERLINK("https://drive.google.com/file/d/1Xbn7YAU5FBADgTPIDxvn3S7Z1qCQzouJ/view?usp=drivesdk", "Abrir_Factura")</f>
        <v>Abrir_Factura</v>
      </c>
      <c r="AD3238" s="9">
        <v>46089.618831018517</v>
      </c>
    </row>
    <row r="3239" spans="1:30" ht="12.5">
      <c r="A3239" s="4">
        <v>46089.606167002319</v>
      </c>
      <c r="B3239" s="5">
        <v>92974</v>
      </c>
      <c r="C3239" s="5">
        <v>80757296</v>
      </c>
      <c r="D3239" s="5" t="s">
        <v>14170</v>
      </c>
      <c r="F3239" s="5"/>
      <c r="H3239" s="5">
        <v>573155928344</v>
      </c>
      <c r="J3239" s="5" t="s">
        <v>14171</v>
      </c>
      <c r="K3239" s="5" t="s">
        <v>103</v>
      </c>
      <c r="L3239" s="5" t="s">
        <v>14172</v>
      </c>
      <c r="M3239" s="5"/>
      <c r="N3239" s="6">
        <v>46089</v>
      </c>
      <c r="O3239" s="7">
        <v>0</v>
      </c>
      <c r="P3239" s="5">
        <v>1</v>
      </c>
      <c r="Q3239" s="5" t="s">
        <v>12406</v>
      </c>
      <c r="R3239" s="5">
        <v>90000</v>
      </c>
      <c r="S3239" s="5">
        <v>0</v>
      </c>
      <c r="T3239" s="5">
        <v>10000</v>
      </c>
      <c r="U3239" s="5">
        <v>100000</v>
      </c>
      <c r="V3239" s="5" t="s">
        <v>14173</v>
      </c>
      <c r="W3239" s="5" t="s">
        <v>36</v>
      </c>
      <c r="X3239" s="5" t="s">
        <v>12646</v>
      </c>
      <c r="Z3239" s="5" t="s">
        <v>14174</v>
      </c>
      <c r="AA3239" s="5" t="s">
        <v>69</v>
      </c>
      <c r="AB3239" s="5"/>
      <c r="AC3239" s="8" t="str">
        <f>HYPERLINK("https://drive.google.com/file/d/1U9GTcxpGtFzW91UxYp2t2O64KqeRCkk2/view?usp=drivesdk", "Abrir_Factura")</f>
        <v>Abrir_Factura</v>
      </c>
      <c r="AD3239" s="9">
        <v>46089.606932870367</v>
      </c>
    </row>
    <row r="3240" spans="1:30" ht="12.5">
      <c r="A3240" s="4">
        <v>46089.620057499997</v>
      </c>
      <c r="B3240" s="5">
        <v>92990</v>
      </c>
      <c r="C3240" s="5">
        <v>1001998161</v>
      </c>
      <c r="D3240" s="5" t="s">
        <v>14175</v>
      </c>
      <c r="F3240" s="5"/>
      <c r="H3240" s="5">
        <v>573023088354</v>
      </c>
      <c r="J3240" s="5" t="s">
        <v>14176</v>
      </c>
      <c r="K3240" s="5" t="s">
        <v>185</v>
      </c>
      <c r="L3240" s="5" t="s">
        <v>14177</v>
      </c>
      <c r="M3240" s="5">
        <v>573023088354</v>
      </c>
      <c r="N3240" s="6">
        <v>46089</v>
      </c>
      <c r="O3240" s="7">
        <v>0.16666666666666666</v>
      </c>
      <c r="P3240" s="5">
        <v>1</v>
      </c>
      <c r="Q3240" s="5" t="s">
        <v>42</v>
      </c>
      <c r="R3240" s="5">
        <v>150000</v>
      </c>
      <c r="S3240" s="5">
        <v>0</v>
      </c>
      <c r="T3240" s="5">
        <v>8000</v>
      </c>
      <c r="U3240" s="5">
        <v>158000</v>
      </c>
      <c r="V3240" s="5" t="s">
        <v>14178</v>
      </c>
      <c r="W3240" s="5" t="s">
        <v>36</v>
      </c>
      <c r="X3240" s="5" t="s">
        <v>12646</v>
      </c>
      <c r="Z3240" s="5"/>
      <c r="AA3240" s="5" t="s">
        <v>44</v>
      </c>
      <c r="AB3240" s="5" t="s">
        <v>14179</v>
      </c>
      <c r="AC3240" s="8" t="str">
        <f>HYPERLINK("https://drive.google.com/file/d/1nstUr9M8ld_u3ZenH_djfriE4fBR11wQ/view?usp=drivesdk", "Abrir_Factura")</f>
        <v>Abrir_Factura</v>
      </c>
      <c r="AD3240" s="9">
        <v>46089.658703703702</v>
      </c>
    </row>
    <row r="3241" spans="1:30" ht="12.5">
      <c r="A3241" s="4">
        <v>46089.625595347221</v>
      </c>
      <c r="B3241" s="5">
        <v>92989</v>
      </c>
      <c r="C3241" s="5">
        <v>1234767898</v>
      </c>
      <c r="D3241" s="5" t="s">
        <v>14180</v>
      </c>
      <c r="F3241" s="5"/>
      <c r="H3241" s="5">
        <v>573126737737</v>
      </c>
      <c r="J3241" s="5" t="s">
        <v>14181</v>
      </c>
      <c r="K3241" s="5" t="s">
        <v>516</v>
      </c>
      <c r="L3241" s="5" t="s">
        <v>14182</v>
      </c>
      <c r="M3241" s="5">
        <v>573162880157</v>
      </c>
      <c r="N3241" s="6">
        <v>46089</v>
      </c>
      <c r="O3241" s="7">
        <v>0.16666666666666666</v>
      </c>
      <c r="P3241" s="5">
        <v>1</v>
      </c>
      <c r="Q3241" s="5" t="s">
        <v>13079</v>
      </c>
      <c r="R3241" s="5">
        <v>170000</v>
      </c>
      <c r="S3241" s="5">
        <v>0</v>
      </c>
      <c r="T3241" s="5">
        <v>10000</v>
      </c>
      <c r="U3241" s="5">
        <v>180000</v>
      </c>
      <c r="V3241" s="5" t="s">
        <v>14183</v>
      </c>
      <c r="W3241" s="5" t="s">
        <v>36</v>
      </c>
      <c r="X3241" s="5" t="s">
        <v>12646</v>
      </c>
      <c r="Z3241" s="5" t="s">
        <v>14184</v>
      </c>
      <c r="AA3241" s="5" t="s">
        <v>44</v>
      </c>
      <c r="AB3241" s="5" t="s">
        <v>9771</v>
      </c>
      <c r="AC3241" s="8" t="str">
        <f>HYPERLINK("https://drive.google.com/file/d/1Q9lAaXv1FN6lJ-yXliSUiPrxOkGYhrii/view?usp=drivesdk", "Abrir_Factura")</f>
        <v>Abrir_Factura</v>
      </c>
      <c r="AD3241" s="9">
        <v>46089.656273148146</v>
      </c>
    </row>
    <row r="3242" spans="1:30" ht="12.5">
      <c r="A3242" s="4">
        <v>46089.626607164348</v>
      </c>
      <c r="B3242" s="5">
        <v>92979</v>
      </c>
      <c r="C3242" s="5">
        <v>1044633821</v>
      </c>
      <c r="D3242" s="5" t="s">
        <v>14185</v>
      </c>
      <c r="F3242" s="5"/>
      <c r="H3242" s="5">
        <v>573126314688</v>
      </c>
      <c r="J3242" s="5" t="s">
        <v>14185</v>
      </c>
      <c r="K3242" s="5" t="s">
        <v>12657</v>
      </c>
      <c r="L3242" s="5" t="s">
        <v>12657</v>
      </c>
      <c r="M3242" s="5">
        <v>573126314688</v>
      </c>
      <c r="N3242" s="6">
        <v>46089</v>
      </c>
      <c r="O3242" s="7">
        <v>0.70833333333333337</v>
      </c>
      <c r="P3242" s="5">
        <v>1</v>
      </c>
      <c r="Q3242" s="5" t="s">
        <v>14186</v>
      </c>
      <c r="R3242" s="5">
        <v>140000</v>
      </c>
      <c r="S3242" s="5">
        <v>0</v>
      </c>
      <c r="T3242" s="5"/>
      <c r="U3242" s="5">
        <v>140000</v>
      </c>
      <c r="V3242" s="5" t="s">
        <v>13892</v>
      </c>
      <c r="W3242" s="5" t="s">
        <v>36</v>
      </c>
      <c r="X3242" s="5" t="s">
        <v>12646</v>
      </c>
      <c r="Z3242" s="5" t="s">
        <v>13893</v>
      </c>
      <c r="AA3242" s="5" t="s">
        <v>44</v>
      </c>
      <c r="AB3242" s="5"/>
      <c r="AC3242" s="8" t="str">
        <f>HYPERLINK("https://drive.google.com/file/d/1OsewrHG6eY3kwcpBAt-mvEAPEFc_85On/view?usp=drivesdk", "Abrir_Factura")</f>
        <v>Abrir_Factura</v>
      </c>
      <c r="AD3242" s="9">
        <v>46089.627523148149</v>
      </c>
    </row>
    <row r="3243" spans="1:30" ht="12.5">
      <c r="A3243" s="4">
        <v>46089.629386365741</v>
      </c>
      <c r="B3243" s="5">
        <v>92981</v>
      </c>
      <c r="C3243" s="5">
        <v>9007653478</v>
      </c>
      <c r="D3243" s="5" t="s">
        <v>14187</v>
      </c>
      <c r="F3243" s="5"/>
      <c r="H3243" s="5">
        <v>573234114820</v>
      </c>
      <c r="J3243" s="5" t="s">
        <v>14187</v>
      </c>
      <c r="K3243" s="5" t="s">
        <v>12657</v>
      </c>
      <c r="L3243" s="5" t="s">
        <v>12657</v>
      </c>
      <c r="M3243" s="5">
        <v>573234114820</v>
      </c>
      <c r="N3243" s="6">
        <v>46089</v>
      </c>
      <c r="O3243" s="7">
        <v>0</v>
      </c>
      <c r="P3243" s="5">
        <v>1</v>
      </c>
      <c r="Q3243" s="5" t="s">
        <v>14188</v>
      </c>
      <c r="R3243" s="5">
        <v>80000</v>
      </c>
      <c r="S3243" s="5">
        <v>15200</v>
      </c>
      <c r="T3243" s="5"/>
      <c r="U3243" s="5">
        <v>95200</v>
      </c>
      <c r="V3243" s="5"/>
      <c r="W3243" s="5" t="s">
        <v>36</v>
      </c>
      <c r="X3243" s="5" t="s">
        <v>196</v>
      </c>
      <c r="Z3243" s="5"/>
      <c r="AA3243" s="5" t="s">
        <v>1717</v>
      </c>
      <c r="AB3243" s="5"/>
      <c r="AC3243" s="8" t="str">
        <f>HYPERLINK("https://drive.google.com/file/d/1EBFykgDhT7EIQhYK5LHpOEuS5VrkHJD7/view?usp=drivesdk", "Abrir_Factura")</f>
        <v>Abrir_Factura</v>
      </c>
      <c r="AD3243" s="9">
        <v>46089.630983796298</v>
      </c>
    </row>
    <row r="3244" spans="1:30" ht="12.5">
      <c r="A3244" s="4">
        <v>46089.632178356478</v>
      </c>
      <c r="B3244" s="5">
        <v>92982</v>
      </c>
      <c r="C3244" s="5">
        <v>1042255448</v>
      </c>
      <c r="D3244" s="5" t="s">
        <v>14189</v>
      </c>
      <c r="F3244" s="5"/>
      <c r="H3244" s="5">
        <v>573152651668</v>
      </c>
      <c r="J3244" s="5" t="s">
        <v>14190</v>
      </c>
      <c r="K3244" s="5" t="s">
        <v>12657</v>
      </c>
      <c r="L3244" s="5" t="s">
        <v>12657</v>
      </c>
      <c r="M3244" s="5">
        <v>573152651668</v>
      </c>
      <c r="N3244" s="6">
        <v>46089</v>
      </c>
      <c r="O3244" s="7">
        <v>0</v>
      </c>
      <c r="P3244" s="5">
        <v>1</v>
      </c>
      <c r="Q3244" s="5" t="s">
        <v>14191</v>
      </c>
      <c r="R3244" s="5">
        <v>40000</v>
      </c>
      <c r="S3244" s="5">
        <v>0</v>
      </c>
      <c r="T3244" s="5"/>
      <c r="U3244" s="5">
        <v>40000</v>
      </c>
      <c r="V3244" s="5"/>
      <c r="W3244" s="5" t="s">
        <v>36</v>
      </c>
      <c r="X3244" s="5" t="s">
        <v>1705</v>
      </c>
      <c r="Z3244" s="5"/>
      <c r="AA3244" s="5" t="s">
        <v>1717</v>
      </c>
      <c r="AB3244" s="5"/>
      <c r="AC3244" s="8" t="str">
        <f>HYPERLINK("https://drive.google.com/file/d/1tN6a41oo10taApch2WHBpPpzCVUGiiEv/view?usp=drivesdk", "Abrir_Factura")</f>
        <v>Abrir_Factura</v>
      </c>
      <c r="AD3244" s="9">
        <v>46089.633298611108</v>
      </c>
    </row>
    <row r="3245" spans="1:30" ht="12.5">
      <c r="A3245" s="4">
        <v>46089.639387025461</v>
      </c>
      <c r="B3245" s="5">
        <v>92984</v>
      </c>
      <c r="C3245" s="5">
        <v>1143160074</v>
      </c>
      <c r="D3245" s="5" t="s">
        <v>13937</v>
      </c>
      <c r="F3245" s="5"/>
      <c r="H3245" s="5">
        <v>57320940951551</v>
      </c>
      <c r="J3245" s="5" t="s">
        <v>13937</v>
      </c>
      <c r="K3245" s="5" t="s">
        <v>12657</v>
      </c>
      <c r="L3245" s="5" t="s">
        <v>12657</v>
      </c>
      <c r="M3245" s="5">
        <v>573209409515</v>
      </c>
      <c r="N3245" s="6">
        <v>46089</v>
      </c>
      <c r="O3245" s="7">
        <v>0</v>
      </c>
      <c r="P3245" s="5">
        <v>1</v>
      </c>
      <c r="Q3245" s="5" t="s">
        <v>13483</v>
      </c>
      <c r="R3245" s="5">
        <v>150000</v>
      </c>
      <c r="S3245" s="5">
        <v>0</v>
      </c>
      <c r="T3245" s="5"/>
      <c r="U3245" s="5">
        <v>150000</v>
      </c>
      <c r="V3245" s="5"/>
      <c r="W3245" s="5" t="s">
        <v>36</v>
      </c>
      <c r="X3245" s="5" t="s">
        <v>196</v>
      </c>
      <c r="Z3245" s="5"/>
      <c r="AA3245" s="5" t="s">
        <v>1717</v>
      </c>
      <c r="AB3245" s="5" t="s">
        <v>14192</v>
      </c>
      <c r="AC3245" s="8" t="str">
        <f>HYPERLINK("https://drive.google.com/file/d/1cZt6lua2Qbzg-eWpv9Vzbah01V-80kEK/view?usp=drivesdk", "Abrir_Factura")</f>
        <v>Abrir_Factura</v>
      </c>
      <c r="AD3245" s="9">
        <v>46089.641030092593</v>
      </c>
    </row>
    <row r="3246" spans="1:30" ht="12.5">
      <c r="A3246" s="4">
        <v>46089.639491863425</v>
      </c>
      <c r="B3246" s="5">
        <v>92992</v>
      </c>
      <c r="C3246" s="5">
        <v>1122812087</v>
      </c>
      <c r="D3246" s="5" t="s">
        <v>14193</v>
      </c>
      <c r="F3246" s="5"/>
      <c r="H3246" s="5">
        <v>573213359021</v>
      </c>
      <c r="J3246" s="5" t="s">
        <v>14194</v>
      </c>
      <c r="K3246" s="5" t="s">
        <v>63</v>
      </c>
      <c r="L3246" s="5" t="s">
        <v>14195</v>
      </c>
      <c r="M3246" s="5">
        <v>573213359021</v>
      </c>
      <c r="N3246" s="6">
        <v>46089</v>
      </c>
      <c r="O3246" s="7">
        <v>0.70833333333333337</v>
      </c>
      <c r="P3246" s="5">
        <v>1</v>
      </c>
      <c r="Q3246" s="5" t="s">
        <v>12522</v>
      </c>
      <c r="R3246" s="5">
        <v>99000</v>
      </c>
      <c r="S3246" s="5">
        <v>0</v>
      </c>
      <c r="T3246" s="5">
        <v>17000</v>
      </c>
      <c r="U3246" s="5">
        <v>116000</v>
      </c>
      <c r="V3246" s="5" t="s">
        <v>14196</v>
      </c>
      <c r="W3246" s="5" t="s">
        <v>36</v>
      </c>
      <c r="X3246" s="5" t="s">
        <v>12646</v>
      </c>
      <c r="Z3246" s="5" t="s">
        <v>14197</v>
      </c>
      <c r="AA3246" s="5" t="s">
        <v>44</v>
      </c>
      <c r="AB3246" s="5"/>
      <c r="AC3246" s="8" t="str">
        <f>HYPERLINK("https://drive.google.com/file/d/10W6Wm64-xwm45ziXp0l_w23F5p0-78B0/view?usp=drivesdk", "Abrir_Factura")</f>
        <v>Abrir_Factura</v>
      </c>
      <c r="AD3246" s="9">
        <v>46089.659537037034</v>
      </c>
    </row>
    <row r="3247" spans="1:30" ht="12.5">
      <c r="A3247" s="4">
        <v>46089.643225891203</v>
      </c>
      <c r="B3247" s="5">
        <v>92987</v>
      </c>
      <c r="C3247" s="5">
        <v>3747910</v>
      </c>
      <c r="D3247" s="5" t="s">
        <v>11397</v>
      </c>
      <c r="F3247" s="5"/>
      <c r="H3247" s="5">
        <v>573205423436</v>
      </c>
      <c r="J3247" s="5" t="s">
        <v>14198</v>
      </c>
      <c r="K3247" s="5" t="s">
        <v>307</v>
      </c>
      <c r="L3247" s="5" t="s">
        <v>14199</v>
      </c>
      <c r="M3247" s="5">
        <v>573008834542</v>
      </c>
      <c r="N3247" s="6">
        <v>46089</v>
      </c>
      <c r="O3247" s="7">
        <v>0.6875</v>
      </c>
      <c r="P3247" s="5">
        <v>1</v>
      </c>
      <c r="Q3247" s="5" t="s">
        <v>14200</v>
      </c>
      <c r="R3247" s="5">
        <v>120000</v>
      </c>
      <c r="S3247" s="5">
        <v>0</v>
      </c>
      <c r="T3247" s="5">
        <v>10000</v>
      </c>
      <c r="U3247" s="5">
        <v>130000</v>
      </c>
      <c r="V3247" s="5" t="s">
        <v>13892</v>
      </c>
      <c r="W3247" s="5" t="s">
        <v>36</v>
      </c>
      <c r="X3247" s="5" t="s">
        <v>12646</v>
      </c>
      <c r="Z3247" s="5" t="s">
        <v>13893</v>
      </c>
      <c r="AA3247" s="5" t="s">
        <v>44</v>
      </c>
      <c r="AB3247" s="5"/>
      <c r="AC3247" s="8" t="str">
        <f>HYPERLINK("https://drive.google.com/file/d/1fT8hko_f2RID1LwrxTWhuNxglvY40Aq5/view?usp=drivesdk", "Abrir_Factura")</f>
        <v>Abrir_Factura</v>
      </c>
      <c r="AD3247" s="9">
        <v>46089.69394675926</v>
      </c>
    </row>
    <row r="3248" spans="1:30" ht="12.5">
      <c r="A3248" s="4">
        <v>46089.643543611106</v>
      </c>
      <c r="B3248" s="5">
        <v>92993</v>
      </c>
      <c r="C3248" s="5">
        <v>1001993797</v>
      </c>
      <c r="D3248" s="5" t="s">
        <v>12577</v>
      </c>
      <c r="F3248" s="5"/>
      <c r="H3248" s="5">
        <v>573003346799</v>
      </c>
      <c r="J3248" s="5" t="s">
        <v>12577</v>
      </c>
      <c r="K3248" s="5" t="s">
        <v>12657</v>
      </c>
      <c r="L3248" s="5" t="s">
        <v>12657</v>
      </c>
      <c r="M3248" s="5">
        <v>573003346799</v>
      </c>
      <c r="N3248" s="6">
        <v>46089</v>
      </c>
      <c r="O3248" s="7">
        <v>0.70833333333333337</v>
      </c>
      <c r="P3248" s="5">
        <v>1</v>
      </c>
      <c r="Q3248" s="5" t="s">
        <v>12728</v>
      </c>
      <c r="R3248" s="5">
        <v>120000</v>
      </c>
      <c r="S3248" s="5">
        <v>0</v>
      </c>
      <c r="T3248" s="5"/>
      <c r="U3248" s="5">
        <v>120000</v>
      </c>
      <c r="V3248" s="5" t="s">
        <v>14201</v>
      </c>
      <c r="W3248" s="5" t="s">
        <v>36</v>
      </c>
      <c r="X3248" s="5" t="s">
        <v>12646</v>
      </c>
      <c r="Z3248" s="5" t="s">
        <v>12581</v>
      </c>
      <c r="AA3248" s="5" t="s">
        <v>44</v>
      </c>
      <c r="AB3248" s="5"/>
      <c r="AC3248" s="8" t="str">
        <f>HYPERLINK("https://drive.google.com/file/d/1tH7xPOwLk8Ep3yonRyQLSnJNgLBR9601/view?usp=drivesdk", "Abrir_Factura")</f>
        <v>Abrir_Factura</v>
      </c>
      <c r="AD3248" s="9">
        <v>46089.662303240744</v>
      </c>
    </row>
    <row r="3249" spans="1:30" ht="12.5">
      <c r="A3249" s="4">
        <v>46089.64734899305</v>
      </c>
      <c r="B3249" s="5">
        <v>92988</v>
      </c>
      <c r="C3249" s="5">
        <v>1003240353</v>
      </c>
      <c r="D3249" s="5" t="s">
        <v>14202</v>
      </c>
      <c r="F3249" s="5"/>
      <c r="H3249" s="5">
        <v>573012421500</v>
      </c>
      <c r="J3249" s="5" t="s">
        <v>14203</v>
      </c>
      <c r="K3249" s="5" t="s">
        <v>12657</v>
      </c>
      <c r="L3249" s="5" t="s">
        <v>12657</v>
      </c>
      <c r="M3249" s="5">
        <v>573012421500</v>
      </c>
      <c r="N3249" s="6">
        <v>46089</v>
      </c>
      <c r="O3249" s="7">
        <v>0</v>
      </c>
      <c r="P3249" s="5">
        <v>1</v>
      </c>
      <c r="Q3249" s="5" t="s">
        <v>14204</v>
      </c>
      <c r="R3249" s="5">
        <v>80000</v>
      </c>
      <c r="S3249" s="5">
        <v>0</v>
      </c>
      <c r="T3249" s="5"/>
      <c r="U3249" s="5">
        <v>80000</v>
      </c>
      <c r="V3249" s="5"/>
      <c r="W3249" s="5" t="s">
        <v>36</v>
      </c>
      <c r="X3249" s="5" t="s">
        <v>1705</v>
      </c>
      <c r="Z3249" s="5"/>
      <c r="AA3249" s="5" t="s">
        <v>1717</v>
      </c>
      <c r="AB3249" s="5"/>
      <c r="AC3249" s="8" t="str">
        <f>HYPERLINK("https://drive.google.com/file/d/1RlH7ElvcBLqRfARbGPH4NVCLfOHF2lca/view?usp=drivesdk", "Abrir_Factura")</f>
        <v>Abrir_Factura</v>
      </c>
      <c r="AD3249" s="9">
        <v>46089.648692129631</v>
      </c>
    </row>
    <row r="3250" spans="1:30" ht="12.5">
      <c r="A3250" s="4">
        <v>46089.657780266207</v>
      </c>
      <c r="B3250" s="5">
        <v>92991</v>
      </c>
      <c r="C3250" s="5">
        <v>2222222222</v>
      </c>
      <c r="D3250" s="5" t="s">
        <v>14205</v>
      </c>
      <c r="F3250" s="5"/>
      <c r="H3250" s="5">
        <v>57000000000</v>
      </c>
      <c r="J3250" s="5" t="s">
        <v>14205</v>
      </c>
      <c r="K3250" s="5" t="s">
        <v>12657</v>
      </c>
      <c r="L3250" s="5" t="s">
        <v>12657</v>
      </c>
      <c r="M3250" s="5">
        <v>573000000000</v>
      </c>
      <c r="N3250" s="6">
        <v>46089</v>
      </c>
      <c r="O3250" s="7">
        <v>0</v>
      </c>
      <c r="P3250" s="5">
        <v>1</v>
      </c>
      <c r="Q3250" s="5" t="s">
        <v>14206</v>
      </c>
      <c r="R3250" s="5">
        <v>45000</v>
      </c>
      <c r="S3250" s="5">
        <v>0</v>
      </c>
      <c r="T3250" s="5"/>
      <c r="U3250" s="5">
        <v>45000</v>
      </c>
      <c r="V3250" s="5"/>
      <c r="W3250" s="5" t="s">
        <v>36</v>
      </c>
      <c r="X3250" s="5" t="s">
        <v>196</v>
      </c>
      <c r="Z3250" s="5"/>
      <c r="AA3250" s="5" t="s">
        <v>1717</v>
      </c>
      <c r="AB3250" s="5"/>
      <c r="AC3250" s="8" t="str">
        <f>HYPERLINK("https://drive.google.com/file/d/1S-quzkY5OEw4dsyoZBX5x_Ydy6g6mSaT/view?usp=drivesdk", "Abrir_Factura")</f>
        <v>Abrir_Factura</v>
      </c>
      <c r="AD3250" s="9">
        <v>46089.65898148148</v>
      </c>
    </row>
    <row r="3251" spans="1:30" ht="12.5">
      <c r="A3251" s="4">
        <v>46089.660274548616</v>
      </c>
      <c r="B3251" s="5">
        <v>92999</v>
      </c>
      <c r="C3251" s="5">
        <v>1129579693</v>
      </c>
      <c r="D3251" s="5" t="s">
        <v>14207</v>
      </c>
      <c r="F3251" s="5"/>
      <c r="H3251" s="5">
        <v>573045346498</v>
      </c>
      <c r="J3251" s="5" t="s">
        <v>14208</v>
      </c>
      <c r="K3251" s="5" t="s">
        <v>103</v>
      </c>
      <c r="L3251" s="5" t="s">
        <v>14209</v>
      </c>
      <c r="M3251" s="5">
        <v>573004071754</v>
      </c>
      <c r="N3251" s="6">
        <v>46089</v>
      </c>
      <c r="O3251" s="7">
        <v>0</v>
      </c>
      <c r="P3251" s="5">
        <v>1</v>
      </c>
      <c r="Q3251" s="5" t="s">
        <v>12522</v>
      </c>
      <c r="R3251" s="5">
        <v>99000</v>
      </c>
      <c r="S3251" s="5">
        <v>0</v>
      </c>
      <c r="T3251" s="5">
        <v>10000</v>
      </c>
      <c r="U3251" s="5">
        <v>109000</v>
      </c>
      <c r="V3251" s="5" t="s">
        <v>14210</v>
      </c>
      <c r="W3251" s="5" t="s">
        <v>36</v>
      </c>
      <c r="X3251" s="5" t="s">
        <v>12646</v>
      </c>
      <c r="Z3251" s="5" t="s">
        <v>14211</v>
      </c>
      <c r="AA3251" s="5" t="s">
        <v>69</v>
      </c>
      <c r="AB3251" s="5" t="s">
        <v>14212</v>
      </c>
      <c r="AC3251" s="8" t="str">
        <f>HYPERLINK("https://drive.google.com/file/d/1jryH7Cu6PBymBtKKPEDTQErvaP7wAO1x/view?usp=drivesdk", "Abrir_Factura")</f>
        <v>Abrir_Factura</v>
      </c>
      <c r="AD3251" s="9">
        <v>46089.693842592591</v>
      </c>
    </row>
    <row r="3252" spans="1:30" ht="12.5">
      <c r="A3252" s="4">
        <v>46089.661064548607</v>
      </c>
      <c r="B3252" s="5">
        <v>92994</v>
      </c>
      <c r="C3252" s="5">
        <v>1047359325</v>
      </c>
      <c r="D3252" s="5" t="s">
        <v>14213</v>
      </c>
      <c r="F3252" s="5"/>
      <c r="H3252" s="5">
        <v>573017217176</v>
      </c>
      <c r="J3252" s="5" t="s">
        <v>14213</v>
      </c>
      <c r="K3252" s="5" t="s">
        <v>12657</v>
      </c>
      <c r="L3252" s="5" t="s">
        <v>12657</v>
      </c>
      <c r="M3252" s="5">
        <v>573017217176</v>
      </c>
      <c r="N3252" s="6">
        <v>46089</v>
      </c>
      <c r="O3252" s="7">
        <v>0.70833333333333337</v>
      </c>
      <c r="P3252" s="5">
        <v>1</v>
      </c>
      <c r="Q3252" s="5" t="s">
        <v>14214</v>
      </c>
      <c r="R3252" s="5">
        <v>219000</v>
      </c>
      <c r="S3252" s="5">
        <v>0</v>
      </c>
      <c r="T3252" s="5"/>
      <c r="U3252" s="5">
        <v>219000</v>
      </c>
      <c r="V3252" s="5" t="s">
        <v>14215</v>
      </c>
      <c r="W3252" s="5" t="s">
        <v>36</v>
      </c>
      <c r="X3252" s="5" t="s">
        <v>12646</v>
      </c>
      <c r="Z3252" s="5" t="s">
        <v>5439</v>
      </c>
      <c r="AA3252" s="5" t="s">
        <v>44</v>
      </c>
      <c r="AB3252" s="5" t="s">
        <v>14216</v>
      </c>
      <c r="AC3252" s="8" t="str">
        <f>HYPERLINK("https://drive.google.com/file/d/16k2DGmTKla9igaANqwaYxQ0oVVaAaRoF/view?usp=drivesdk", "Abrir_Factura")</f>
        <v>Abrir_Factura</v>
      </c>
      <c r="AD3252" s="9">
        <v>46089.668368055558</v>
      </c>
    </row>
    <row r="3253" spans="1:30" ht="12.5">
      <c r="A3253" s="4">
        <v>46089.6687165162</v>
      </c>
      <c r="B3253" s="5">
        <v>92995</v>
      </c>
      <c r="C3253" s="5">
        <v>1065592332</v>
      </c>
      <c r="D3253" s="5" t="s">
        <v>14217</v>
      </c>
      <c r="F3253" s="5"/>
      <c r="H3253" s="5">
        <v>573232862659</v>
      </c>
      <c r="J3253" s="5" t="s">
        <v>14218</v>
      </c>
      <c r="K3253" s="5" t="s">
        <v>726</v>
      </c>
      <c r="L3253" s="5" t="s">
        <v>14219</v>
      </c>
      <c r="M3253" s="5"/>
      <c r="N3253" s="6">
        <v>46090</v>
      </c>
      <c r="O3253" s="7">
        <v>0.33333333333333331</v>
      </c>
      <c r="P3253" s="5">
        <v>1</v>
      </c>
      <c r="Q3253" s="5" t="s">
        <v>12728</v>
      </c>
      <c r="R3253" s="5">
        <v>120000</v>
      </c>
      <c r="S3253" s="5">
        <v>0</v>
      </c>
      <c r="T3253" s="5">
        <v>9000</v>
      </c>
      <c r="U3253" s="5">
        <v>129000</v>
      </c>
      <c r="V3253" s="5" t="s">
        <v>14220</v>
      </c>
      <c r="W3253" s="5" t="s">
        <v>36</v>
      </c>
      <c r="X3253" s="5" t="s">
        <v>12646</v>
      </c>
      <c r="Z3253" s="5" t="s">
        <v>14217</v>
      </c>
      <c r="AA3253" s="5" t="s">
        <v>69</v>
      </c>
      <c r="AB3253" s="5"/>
      <c r="AC3253" s="8" t="str">
        <f>HYPERLINK("https://drive.google.com/file/d/18s9MyGppM9OdbAHU16GOyGJlqYLAJCRP/view?usp=drivesdk", "Abrir_Factura")</f>
        <v>Abrir_Factura</v>
      </c>
      <c r="AD3253" s="9">
        <v>46089.669444444444</v>
      </c>
    </row>
    <row r="3254" spans="1:30" ht="12.5">
      <c r="A3254" s="4">
        <v>46089.676864548615</v>
      </c>
      <c r="B3254" s="5">
        <v>92996</v>
      </c>
      <c r="C3254" s="5">
        <v>1052970482</v>
      </c>
      <c r="D3254" s="5" t="s">
        <v>14221</v>
      </c>
      <c r="F3254" s="5"/>
      <c r="H3254" s="5">
        <v>573045225866</v>
      </c>
      <c r="J3254" s="5" t="s">
        <v>14221</v>
      </c>
      <c r="K3254" s="5" t="s">
        <v>12657</v>
      </c>
      <c r="L3254" s="5" t="s">
        <v>12657</v>
      </c>
      <c r="M3254" s="5">
        <v>573045225866</v>
      </c>
      <c r="N3254" s="6">
        <v>46089</v>
      </c>
      <c r="O3254" s="7">
        <v>0</v>
      </c>
      <c r="P3254" s="5">
        <v>1</v>
      </c>
      <c r="Q3254" s="5" t="s">
        <v>14222</v>
      </c>
      <c r="R3254" s="5">
        <v>30000</v>
      </c>
      <c r="S3254" s="5">
        <v>0</v>
      </c>
      <c r="T3254" s="5"/>
      <c r="U3254" s="5">
        <v>30000</v>
      </c>
      <c r="V3254" s="5" t="s">
        <v>14223</v>
      </c>
      <c r="W3254" s="5" t="s">
        <v>36</v>
      </c>
      <c r="X3254" s="5" t="s">
        <v>196</v>
      </c>
      <c r="Z3254" s="5" t="s">
        <v>14224</v>
      </c>
      <c r="AA3254" s="5" t="s">
        <v>1717</v>
      </c>
      <c r="AB3254" s="5"/>
      <c r="AC3254" s="8" t="str">
        <f>HYPERLINK("https://drive.google.com/file/d/1_G_WZikegLVsPr-3Sd2pn1nrwKaUeocC/view?usp=drivesdk", "Abrir_Factura")</f>
        <v>Abrir_Factura</v>
      </c>
      <c r="AD3254" s="9">
        <v>46089.679120370369</v>
      </c>
    </row>
    <row r="3255" spans="1:30" ht="12.5">
      <c r="A3255" s="4">
        <v>46089.68420304398</v>
      </c>
      <c r="B3255" s="5">
        <v>92997</v>
      </c>
      <c r="C3255" s="5">
        <v>1140840043</v>
      </c>
      <c r="D3255" s="5" t="s">
        <v>14225</v>
      </c>
      <c r="F3255" s="5"/>
      <c r="H3255" s="5">
        <v>573005296460</v>
      </c>
      <c r="J3255" s="5" t="s">
        <v>14226</v>
      </c>
      <c r="K3255" s="5" t="s">
        <v>598</v>
      </c>
      <c r="L3255" s="5" t="s">
        <v>14227</v>
      </c>
      <c r="M3255" s="5">
        <v>573005296460</v>
      </c>
      <c r="N3255" s="6">
        <v>46089</v>
      </c>
      <c r="O3255" s="7">
        <v>0</v>
      </c>
      <c r="P3255" s="5">
        <v>1</v>
      </c>
      <c r="Q3255" s="5" t="s">
        <v>42</v>
      </c>
      <c r="R3255" s="5">
        <v>110000</v>
      </c>
      <c r="S3255" s="5">
        <v>0</v>
      </c>
      <c r="T3255" s="5">
        <v>10000</v>
      </c>
      <c r="U3255" s="5">
        <v>120000</v>
      </c>
      <c r="V3255" s="5" t="s">
        <v>14228</v>
      </c>
      <c r="W3255" s="5" t="s">
        <v>36</v>
      </c>
      <c r="X3255" s="5" t="s">
        <v>12646</v>
      </c>
      <c r="Z3255" s="5" t="s">
        <v>14229</v>
      </c>
      <c r="AA3255" s="5" t="s">
        <v>69</v>
      </c>
      <c r="AB3255" s="5" t="s">
        <v>14230</v>
      </c>
      <c r="AC3255" s="8" t="str">
        <f>HYPERLINK("https://drive.google.com/file/d/1lvfHDx-WRSodhhzxQgzhM3PgkNrDcDrh/view?usp=drivesdk", "Abrir_Factura")</f>
        <v>Abrir_Factura</v>
      </c>
      <c r="AD3255" s="9">
        <v>46089.685069444444</v>
      </c>
    </row>
    <row r="3256" spans="1:30" ht="12.5">
      <c r="A3256" s="4">
        <v>46089.68744115741</v>
      </c>
      <c r="B3256" s="5">
        <v>92998</v>
      </c>
      <c r="C3256" s="5">
        <v>1004109911</v>
      </c>
      <c r="D3256" s="5" t="s">
        <v>14231</v>
      </c>
      <c r="F3256" s="5"/>
      <c r="H3256" s="5">
        <v>573013053173</v>
      </c>
      <c r="J3256" s="5" t="s">
        <v>14231</v>
      </c>
      <c r="K3256" s="5" t="s">
        <v>12657</v>
      </c>
      <c r="L3256" s="5" t="s">
        <v>12657</v>
      </c>
      <c r="M3256" s="5">
        <v>573013053173</v>
      </c>
      <c r="N3256" s="6">
        <v>46089</v>
      </c>
      <c r="O3256" s="7">
        <v>0</v>
      </c>
      <c r="P3256" s="5">
        <v>1</v>
      </c>
      <c r="Q3256" s="5" t="s">
        <v>14232</v>
      </c>
      <c r="R3256" s="5">
        <v>200000</v>
      </c>
      <c r="S3256" s="5">
        <v>0</v>
      </c>
      <c r="T3256" s="5"/>
      <c r="U3256" s="5">
        <v>200000</v>
      </c>
      <c r="V3256" s="5"/>
      <c r="W3256" s="5" t="s">
        <v>36</v>
      </c>
      <c r="X3256" s="5" t="s">
        <v>1705</v>
      </c>
      <c r="Z3256" s="5"/>
      <c r="AA3256" s="5" t="s">
        <v>1717</v>
      </c>
      <c r="AB3256" s="5"/>
      <c r="AC3256" s="8" t="str">
        <f>HYPERLINK("https://drive.google.com/file/d/1H5UyGBcEqJ5LcSZ2w8rBVe-A9WfLjQa4/view?usp=drivesdk", "Abrir_Factura")</f>
        <v>Abrir_Factura</v>
      </c>
      <c r="AD3256" s="9">
        <v>46089.688449074078</v>
      </c>
    </row>
    <row r="3257" spans="1:30" ht="12.5">
      <c r="A3257" s="4">
        <v>46089.710464097225</v>
      </c>
      <c r="B3257" s="5">
        <v>93000</v>
      </c>
      <c r="C3257" s="5">
        <v>72290151</v>
      </c>
      <c r="D3257" s="5" t="s">
        <v>14233</v>
      </c>
      <c r="F3257" s="5"/>
      <c r="H3257" s="5">
        <v>573222222222</v>
      </c>
      <c r="J3257" s="5" t="s">
        <v>14234</v>
      </c>
      <c r="K3257" s="5" t="s">
        <v>12657</v>
      </c>
      <c r="L3257" s="5" t="s">
        <v>12657</v>
      </c>
      <c r="M3257" s="5">
        <v>573222222222</v>
      </c>
      <c r="N3257" s="6">
        <v>46089</v>
      </c>
      <c r="O3257" s="7">
        <v>0</v>
      </c>
      <c r="P3257" s="5">
        <v>1</v>
      </c>
      <c r="Q3257" s="5" t="s">
        <v>42</v>
      </c>
      <c r="R3257" s="5">
        <v>0</v>
      </c>
      <c r="S3257" s="5">
        <v>0</v>
      </c>
      <c r="T3257" s="5"/>
      <c r="U3257" s="5">
        <v>0</v>
      </c>
      <c r="V3257" s="5"/>
      <c r="W3257" s="5" t="s">
        <v>36</v>
      </c>
      <c r="X3257" s="5" t="s">
        <v>43</v>
      </c>
      <c r="Z3257" s="5"/>
      <c r="AA3257" s="5" t="s">
        <v>1717</v>
      </c>
      <c r="AB3257" s="5" t="s">
        <v>14235</v>
      </c>
      <c r="AC3257" s="8" t="str">
        <f>HYPERLINK("https://drive.google.com/file/d/1tXaZT40GspZvpXspihiPkp9vRDSVwQDe/view?usp=drivesdk", "Abrir_Factura")</f>
        <v>Abrir_Factura</v>
      </c>
      <c r="AD3257" s="9">
        <v>46089.711180555554</v>
      </c>
    </row>
    <row r="3258" spans="1:30" ht="12.5">
      <c r="A3258" s="4">
        <v>46089.716154560185</v>
      </c>
      <c r="B3258" s="5">
        <v>93012</v>
      </c>
      <c r="C3258" s="5">
        <v>1048065044</v>
      </c>
      <c r="D3258" s="5" t="s">
        <v>14236</v>
      </c>
      <c r="F3258" s="5"/>
      <c r="H3258" s="5">
        <v>573165774386</v>
      </c>
      <c r="J3258" s="5" t="s">
        <v>14237</v>
      </c>
      <c r="K3258" s="5" t="s">
        <v>9166</v>
      </c>
      <c r="L3258" s="5" t="s">
        <v>14238</v>
      </c>
      <c r="M3258" s="5">
        <v>573165774386</v>
      </c>
      <c r="N3258" s="6">
        <v>46090</v>
      </c>
      <c r="O3258" s="7">
        <v>0.41666666666666669</v>
      </c>
      <c r="P3258" s="5">
        <v>1</v>
      </c>
      <c r="Q3258" s="5" t="s">
        <v>42</v>
      </c>
      <c r="R3258" s="5">
        <v>179000</v>
      </c>
      <c r="S3258" s="5">
        <v>0</v>
      </c>
      <c r="T3258" s="5">
        <v>16000</v>
      </c>
      <c r="U3258" s="5">
        <v>195000</v>
      </c>
      <c r="V3258" s="5" t="s">
        <v>14239</v>
      </c>
      <c r="W3258" s="5" t="s">
        <v>36</v>
      </c>
      <c r="X3258" s="5" t="s">
        <v>1481</v>
      </c>
      <c r="Z3258" s="5" t="s">
        <v>14240</v>
      </c>
      <c r="AA3258" s="5" t="s">
        <v>44</v>
      </c>
      <c r="AB3258" s="5" t="s">
        <v>14241</v>
      </c>
      <c r="AC3258" s="8" t="str">
        <f>HYPERLINK("https://drive.google.com/file/d/1v4euSgzKPvVUsD6SX4ZzkkGCPxQ69900/view?usp=drivesdk", "Abrir_Factura")</f>
        <v>Abrir_Factura</v>
      </c>
      <c r="AD3258" s="9">
        <v>46090.719212962962</v>
      </c>
    </row>
    <row r="3259" spans="1:30" ht="12.5">
      <c r="A3259" s="4">
        <v>46089.750966898151</v>
      </c>
      <c r="B3259" s="5">
        <v>93001</v>
      </c>
      <c r="C3259" s="5">
        <v>72357686</v>
      </c>
      <c r="D3259" s="5" t="s">
        <v>14242</v>
      </c>
      <c r="F3259" s="5"/>
      <c r="H3259" s="5">
        <v>5776465214</v>
      </c>
      <c r="J3259" s="5" t="s">
        <v>14243</v>
      </c>
      <c r="K3259" s="5" t="s">
        <v>12657</v>
      </c>
      <c r="L3259" s="5" t="s">
        <v>12657</v>
      </c>
      <c r="M3259" s="5">
        <v>573176465214</v>
      </c>
      <c r="N3259" s="6">
        <v>46089</v>
      </c>
      <c r="O3259" s="7">
        <v>0</v>
      </c>
      <c r="P3259" s="5">
        <v>1</v>
      </c>
      <c r="Q3259" s="5" t="s">
        <v>42</v>
      </c>
      <c r="R3259" s="5">
        <v>100000</v>
      </c>
      <c r="S3259" s="5">
        <v>0</v>
      </c>
      <c r="T3259" s="5"/>
      <c r="U3259" s="5">
        <v>100000</v>
      </c>
      <c r="V3259" s="5"/>
      <c r="W3259" s="5" t="s">
        <v>36</v>
      </c>
      <c r="X3259" s="5" t="s">
        <v>12646</v>
      </c>
      <c r="Z3259" s="5"/>
      <c r="AA3259" s="5" t="s">
        <v>332</v>
      </c>
      <c r="AB3259" s="5"/>
      <c r="AC3259" s="8" t="str">
        <f>HYPERLINK("https://drive.google.com/file/d/1vXz5-u6O0mATn48JQQ9fzJ3zCdXgPqnp/view?usp=drivesdk", "Abrir_Factura")</f>
        <v>Abrir_Factura</v>
      </c>
      <c r="AD3259" s="9">
        <v>46089.752581018518</v>
      </c>
    </row>
    <row r="3260" spans="1:30" ht="12.5">
      <c r="A3260" s="4">
        <v>46089.761813495366</v>
      </c>
      <c r="B3260" s="5">
        <v>93002</v>
      </c>
      <c r="C3260" s="5">
        <v>801200305809</v>
      </c>
      <c r="D3260" s="5" t="s">
        <v>14244</v>
      </c>
      <c r="F3260" s="5"/>
      <c r="H3260" s="5">
        <v>50495814532</v>
      </c>
      <c r="J3260" s="5" t="s">
        <v>14245</v>
      </c>
      <c r="K3260" s="5" t="s">
        <v>146</v>
      </c>
      <c r="L3260" s="5" t="s">
        <v>14246</v>
      </c>
      <c r="M3260" s="5">
        <v>573005370705</v>
      </c>
      <c r="N3260" s="6">
        <v>46090</v>
      </c>
      <c r="O3260" s="7">
        <v>0.375</v>
      </c>
      <c r="P3260" s="5">
        <v>1</v>
      </c>
      <c r="Q3260" s="5" t="s">
        <v>14247</v>
      </c>
      <c r="R3260" s="5">
        <v>200000</v>
      </c>
      <c r="S3260" s="5">
        <v>0</v>
      </c>
      <c r="T3260" s="5">
        <v>15000</v>
      </c>
      <c r="U3260" s="5">
        <v>215000</v>
      </c>
      <c r="V3260" s="5" t="s">
        <v>14248</v>
      </c>
      <c r="W3260" s="5" t="s">
        <v>36</v>
      </c>
      <c r="X3260" s="5" t="s">
        <v>1937</v>
      </c>
      <c r="Z3260" s="5" t="s">
        <v>14249</v>
      </c>
      <c r="AA3260" s="5" t="s">
        <v>44</v>
      </c>
      <c r="AB3260" s="5"/>
      <c r="AC3260" s="8" t="str">
        <f>HYPERLINK("https://drive.google.com/file/d/1gVpffBeh15eFT9G-6PfLv_Jc4PQOc9Y8/view?usp=drivesdk", "Abrir_Factura")</f>
        <v>Abrir_Factura</v>
      </c>
      <c r="AD3260" s="9">
        <v>46090.324004629627</v>
      </c>
    </row>
    <row r="3261" spans="1:30" ht="12.5">
      <c r="A3261" s="4">
        <v>46090.185329050924</v>
      </c>
      <c r="B3261" s="5">
        <v>93003</v>
      </c>
      <c r="C3261" s="5">
        <v>1045671647</v>
      </c>
      <c r="D3261" s="5" t="s">
        <v>14250</v>
      </c>
      <c r="F3261" s="5"/>
      <c r="H3261" s="5">
        <v>573135053809</v>
      </c>
      <c r="J3261" s="5" t="s">
        <v>14251</v>
      </c>
      <c r="K3261" s="5" t="s">
        <v>464</v>
      </c>
      <c r="L3261" s="5" t="s">
        <v>14252</v>
      </c>
      <c r="M3261" s="5">
        <v>573113526683</v>
      </c>
      <c r="N3261" s="6">
        <v>46090</v>
      </c>
      <c r="O3261" s="7">
        <v>0</v>
      </c>
      <c r="P3261" s="5">
        <v>1</v>
      </c>
      <c r="Q3261" s="5" t="s">
        <v>13447</v>
      </c>
      <c r="R3261" s="5">
        <v>150000</v>
      </c>
      <c r="S3261" s="5">
        <v>0</v>
      </c>
      <c r="T3261" s="5">
        <v>20000</v>
      </c>
      <c r="U3261" s="5">
        <v>170000</v>
      </c>
      <c r="V3261" s="5" t="s">
        <v>14253</v>
      </c>
      <c r="W3261" s="5" t="s">
        <v>36</v>
      </c>
      <c r="X3261" s="5" t="s">
        <v>1481</v>
      </c>
      <c r="Z3261" s="5" t="s">
        <v>14254</v>
      </c>
      <c r="AA3261" s="5" t="s">
        <v>44</v>
      </c>
      <c r="AB3261" s="5" t="s">
        <v>14255</v>
      </c>
      <c r="AC3261" s="8" t="str">
        <f>HYPERLINK("https://drive.google.com/file/d/1hxl8WRqafWOyiIohtQpLRFObLBd42DiK/view?usp=drivesdk", "Abrir_Factura")</f>
        <v>Abrir_Factura</v>
      </c>
      <c r="AD3261" s="9">
        <v>46090.337060185186</v>
      </c>
    </row>
    <row r="3262" spans="1:30" ht="12.5">
      <c r="A3262" s="4">
        <v>46090.316943993057</v>
      </c>
      <c r="B3262" s="5">
        <v>93007</v>
      </c>
      <c r="C3262" s="5">
        <v>1047450213</v>
      </c>
      <c r="D3262" s="5" t="s">
        <v>14256</v>
      </c>
      <c r="F3262" s="5"/>
      <c r="H3262" s="5">
        <v>5731477372744</v>
      </c>
      <c r="J3262" s="5" t="s">
        <v>14257</v>
      </c>
      <c r="K3262" s="5" t="s">
        <v>2090</v>
      </c>
      <c r="L3262" s="5" t="s">
        <v>14258</v>
      </c>
      <c r="M3262" s="5">
        <v>573147737274</v>
      </c>
      <c r="N3262" s="6">
        <v>46090</v>
      </c>
      <c r="O3262" s="7">
        <v>0.41666666666666669</v>
      </c>
      <c r="P3262" s="5">
        <v>1</v>
      </c>
      <c r="Q3262" s="5" t="s">
        <v>2270</v>
      </c>
      <c r="R3262" s="5">
        <v>170000</v>
      </c>
      <c r="S3262" s="5">
        <v>0</v>
      </c>
      <c r="T3262" s="5">
        <v>10000</v>
      </c>
      <c r="U3262" s="5">
        <v>180000</v>
      </c>
      <c r="V3262" s="5" t="s">
        <v>14259</v>
      </c>
      <c r="W3262" s="5" t="s">
        <v>36</v>
      </c>
      <c r="X3262" s="5" t="s">
        <v>1481</v>
      </c>
      <c r="Z3262" s="5" t="s">
        <v>14260</v>
      </c>
      <c r="AA3262" s="5" t="s">
        <v>44</v>
      </c>
      <c r="AB3262" s="5" t="s">
        <v>14261</v>
      </c>
      <c r="AC3262" s="8" t="str">
        <f>HYPERLINK("https://drive.google.com/file/d/1hebHith_yQau8PIiSz2TRzTQTBUYCKnq/view?usp=drivesdk", "Abrir_Factura")</f>
        <v>Abrir_Factura</v>
      </c>
      <c r="AD3262" s="9">
        <v>46090.34752314815</v>
      </c>
    </row>
    <row r="3263" spans="1:30" ht="12.5">
      <c r="A3263" s="4">
        <v>46090.340386747688</v>
      </c>
      <c r="B3263" s="5">
        <v>93004</v>
      </c>
      <c r="C3263" s="5">
        <v>3217540688</v>
      </c>
      <c r="D3263" s="5" t="s">
        <v>14262</v>
      </c>
      <c r="F3263" s="5"/>
      <c r="H3263" s="5">
        <v>573000000002</v>
      </c>
      <c r="J3263" s="5" t="s">
        <v>14262</v>
      </c>
      <c r="K3263" s="5" t="s">
        <v>12657</v>
      </c>
      <c r="L3263" s="5" t="s">
        <v>12657</v>
      </c>
      <c r="M3263" s="5">
        <v>573000000002</v>
      </c>
      <c r="N3263" s="6">
        <v>46090</v>
      </c>
      <c r="O3263" s="7">
        <v>0</v>
      </c>
      <c r="P3263" s="5">
        <v>1</v>
      </c>
      <c r="Q3263" s="5" t="s">
        <v>12423</v>
      </c>
      <c r="R3263" s="5">
        <v>80000</v>
      </c>
      <c r="S3263" s="5">
        <v>0</v>
      </c>
      <c r="T3263" s="5"/>
      <c r="U3263" s="5">
        <v>80000</v>
      </c>
      <c r="V3263" s="5"/>
      <c r="W3263" s="5" t="s">
        <v>36</v>
      </c>
      <c r="X3263" s="5" t="s">
        <v>37</v>
      </c>
      <c r="Z3263" s="5"/>
      <c r="AA3263" s="5" t="s">
        <v>37</v>
      </c>
      <c r="AB3263" s="5" t="s">
        <v>14263</v>
      </c>
      <c r="AC3263" s="8" t="str">
        <f>HYPERLINK("https://drive.google.com/file/d/1xDEaeLlbvH_TR8tRhOHBAf4bg7-2Iv2e/view?usp=drivesdk", "Abrir_Factura")</f>
        <v>Abrir_Factura</v>
      </c>
      <c r="AD3263" s="9">
        <v>46090.346203703702</v>
      </c>
    </row>
    <row r="3264" spans="1:30" ht="12.5">
      <c r="A3264" s="4">
        <v>46090.342019398144</v>
      </c>
      <c r="B3264" s="5">
        <v>93005</v>
      </c>
      <c r="C3264" s="5">
        <v>3113379200</v>
      </c>
      <c r="D3264" s="5" t="s">
        <v>14264</v>
      </c>
      <c r="F3264" s="5"/>
      <c r="H3264" s="5">
        <v>573000000002</v>
      </c>
      <c r="J3264" s="5" t="s">
        <v>14264</v>
      </c>
      <c r="K3264" s="5" t="s">
        <v>12657</v>
      </c>
      <c r="L3264" s="5" t="s">
        <v>12657</v>
      </c>
      <c r="M3264" s="5">
        <v>573000000002</v>
      </c>
      <c r="N3264" s="6">
        <v>46090</v>
      </c>
      <c r="O3264" s="7">
        <v>0</v>
      </c>
      <c r="P3264" s="5">
        <v>1</v>
      </c>
      <c r="Q3264" s="5" t="s">
        <v>14265</v>
      </c>
      <c r="R3264" s="5">
        <v>80000</v>
      </c>
      <c r="S3264" s="5">
        <v>0</v>
      </c>
      <c r="T3264" s="5"/>
      <c r="U3264" s="5">
        <v>80000</v>
      </c>
      <c r="V3264" s="5"/>
      <c r="W3264" s="5" t="s">
        <v>36</v>
      </c>
      <c r="X3264" s="5" t="s">
        <v>37</v>
      </c>
      <c r="Z3264" s="5"/>
      <c r="AA3264" s="5" t="s">
        <v>37</v>
      </c>
      <c r="AB3264" s="5" t="s">
        <v>14266</v>
      </c>
      <c r="AC3264" s="8" t="str">
        <f>HYPERLINK("https://drive.google.com/file/d/1QD9lnh6F7xcN1sle02tkpMYCzJJZPPsF/view?usp=drivesdk", "Abrir_Factura")</f>
        <v>Abrir_Factura</v>
      </c>
      <c r="AD3264" s="9">
        <v>46090.346446759257</v>
      </c>
    </row>
    <row r="3265" spans="1:30" ht="12.5">
      <c r="A3265" s="4">
        <v>46090.345014305552</v>
      </c>
      <c r="B3265" s="5">
        <v>93006</v>
      </c>
      <c r="C3265" s="5">
        <v>79781930</v>
      </c>
      <c r="D3265" s="5" t="s">
        <v>14267</v>
      </c>
      <c r="F3265" s="5"/>
      <c r="H3265" s="5">
        <v>573213197043</v>
      </c>
      <c r="J3265" s="5" t="s">
        <v>14267</v>
      </c>
      <c r="K3265" s="5" t="s">
        <v>12657</v>
      </c>
      <c r="L3265" s="5" t="s">
        <v>12657</v>
      </c>
      <c r="M3265" s="5">
        <v>573213197043</v>
      </c>
      <c r="N3265" s="6">
        <v>46090</v>
      </c>
      <c r="O3265" s="7">
        <v>0</v>
      </c>
      <c r="P3265" s="5">
        <v>1</v>
      </c>
      <c r="Q3265" s="5" t="s">
        <v>14268</v>
      </c>
      <c r="R3265" s="5">
        <v>120000</v>
      </c>
      <c r="S3265" s="5">
        <v>0</v>
      </c>
      <c r="T3265" s="5"/>
      <c r="U3265" s="5">
        <v>120000</v>
      </c>
      <c r="V3265" s="5"/>
      <c r="W3265" s="5" t="s">
        <v>36</v>
      </c>
      <c r="X3265" s="5" t="s">
        <v>37</v>
      </c>
      <c r="Z3265" s="5"/>
      <c r="AA3265" s="5" t="s">
        <v>37</v>
      </c>
      <c r="AB3265" s="5" t="s">
        <v>14269</v>
      </c>
      <c r="AC3265" s="8" t="str">
        <f>HYPERLINK("https://drive.google.com/file/d/1dt_j1OGe14UbjT5mpDzScBBX8FKK7V32/view?usp=drivesdk", "Abrir_Factura")</f>
        <v>Abrir_Factura</v>
      </c>
      <c r="AD3265" s="9">
        <v>46090.346782407411</v>
      </c>
    </row>
    <row r="3266" spans="1:30" ht="12.5">
      <c r="A3266" s="4">
        <v>46090.345818784721</v>
      </c>
      <c r="B3266" s="5">
        <v>93010</v>
      </c>
      <c r="C3266" s="5">
        <v>1041902249</v>
      </c>
      <c r="D3266" s="5" t="s">
        <v>14270</v>
      </c>
      <c r="F3266" s="5"/>
      <c r="H3266" s="5">
        <v>573015425547</v>
      </c>
      <c r="J3266" s="5" t="s">
        <v>14271</v>
      </c>
      <c r="K3266" s="5" t="s">
        <v>185</v>
      </c>
      <c r="L3266" s="5" t="s">
        <v>14272</v>
      </c>
      <c r="M3266" s="5">
        <v>573002542493</v>
      </c>
      <c r="N3266" s="6">
        <v>46090</v>
      </c>
      <c r="O3266" s="7">
        <v>0.41666666666666669</v>
      </c>
      <c r="P3266" s="5">
        <v>1</v>
      </c>
      <c r="Q3266" s="5" t="s">
        <v>14273</v>
      </c>
      <c r="R3266" s="5">
        <v>100000</v>
      </c>
      <c r="S3266" s="5">
        <v>0</v>
      </c>
      <c r="T3266" s="5">
        <v>8000</v>
      </c>
      <c r="U3266" s="5">
        <v>108000</v>
      </c>
      <c r="V3266" s="5" t="s">
        <v>14274</v>
      </c>
      <c r="W3266" s="5" t="s">
        <v>36</v>
      </c>
      <c r="X3266" s="5" t="s">
        <v>1481</v>
      </c>
      <c r="Z3266" s="5" t="s">
        <v>14275</v>
      </c>
      <c r="AA3266" s="5" t="s">
        <v>44</v>
      </c>
      <c r="AB3266" s="5" t="s">
        <v>14276</v>
      </c>
      <c r="AC3266" s="8" t="str">
        <f>HYPERLINK("https://drive.google.com/file/d/1VkVP1UVAKJs1DZk6DRZ_Wf4TSwZGjbFE/view?usp=drivesdk", "Abrir_Factura")</f>
        <v>Abrir_Factura</v>
      </c>
      <c r="AD3266" s="9">
        <v>46090.372118055559</v>
      </c>
    </row>
    <row r="3267" spans="1:30" ht="12.5">
      <c r="A3267" s="4">
        <v>46090.354780034722</v>
      </c>
      <c r="B3267" s="5">
        <v>93011</v>
      </c>
      <c r="C3267" s="5">
        <v>1192802663</v>
      </c>
      <c r="D3267" s="5" t="s">
        <v>14277</v>
      </c>
      <c r="F3267" s="5"/>
      <c r="H3267" s="5">
        <v>573152574626</v>
      </c>
      <c r="J3267" s="5" t="s">
        <v>14278</v>
      </c>
      <c r="K3267" s="5" t="s">
        <v>563</v>
      </c>
      <c r="L3267" s="5" t="s">
        <v>14279</v>
      </c>
      <c r="M3267" s="5">
        <v>573152574626</v>
      </c>
      <c r="N3267" s="6">
        <v>46090</v>
      </c>
      <c r="O3267" s="7">
        <v>0.41666666666666669</v>
      </c>
      <c r="P3267" s="5">
        <v>2</v>
      </c>
      <c r="Q3267" s="5" t="s">
        <v>14280</v>
      </c>
      <c r="R3267" s="5">
        <v>160000</v>
      </c>
      <c r="S3267" s="5">
        <v>0</v>
      </c>
      <c r="T3267" s="5">
        <v>15000</v>
      </c>
      <c r="U3267" s="5">
        <v>175000</v>
      </c>
      <c r="V3267" s="5" t="s">
        <v>14281</v>
      </c>
      <c r="W3267" s="5" t="s">
        <v>36</v>
      </c>
      <c r="X3267" s="5" t="s">
        <v>1481</v>
      </c>
      <c r="Z3267" s="5" t="s">
        <v>14282</v>
      </c>
      <c r="AA3267" s="5" t="s">
        <v>44</v>
      </c>
      <c r="AB3267" s="5" t="s">
        <v>14283</v>
      </c>
      <c r="AC3267" s="8" t="str">
        <f>HYPERLINK("https://drive.google.com/file/d/1fRmoC89ZSHFF_q1C9pJhAZqrUqP1l9-e/view?usp=drivesdk", "Abrir_Factura")</f>
        <v>Abrir_Factura</v>
      </c>
      <c r="AD3267" s="9">
        <v>46090.382025462961</v>
      </c>
    </row>
    <row r="3268" spans="1:30" ht="12.5">
      <c r="A3268" s="4">
        <v>46090.355627210651</v>
      </c>
      <c r="B3268" s="5">
        <v>93014</v>
      </c>
      <c r="C3268" s="5">
        <v>18724976</v>
      </c>
      <c r="D3268" s="5" t="s">
        <v>14284</v>
      </c>
      <c r="F3268" s="5"/>
      <c r="H3268" s="5">
        <v>17867257308</v>
      </c>
      <c r="J3268" s="5" t="s">
        <v>14285</v>
      </c>
      <c r="K3268" s="5" t="s">
        <v>1057</v>
      </c>
      <c r="L3268" s="5" t="s">
        <v>14286</v>
      </c>
      <c r="M3268" s="5">
        <v>573106305830</v>
      </c>
      <c r="N3268" s="6">
        <v>46090</v>
      </c>
      <c r="O3268" s="7">
        <v>0.41666666666666669</v>
      </c>
      <c r="P3268" s="5">
        <v>1</v>
      </c>
      <c r="Q3268" s="5" t="s">
        <v>133</v>
      </c>
      <c r="R3268" s="5">
        <v>150000</v>
      </c>
      <c r="S3268" s="5">
        <v>0</v>
      </c>
      <c r="T3268" s="5">
        <v>14000</v>
      </c>
      <c r="U3268" s="5">
        <v>164000</v>
      </c>
      <c r="V3268" s="5" t="s">
        <v>14287</v>
      </c>
      <c r="W3268" s="5" t="s">
        <v>36</v>
      </c>
      <c r="X3268" s="5" t="s">
        <v>3754</v>
      </c>
      <c r="Z3268" s="5" t="s">
        <v>14288</v>
      </c>
      <c r="AA3268" s="5" t="s">
        <v>44</v>
      </c>
      <c r="AB3268" s="5"/>
      <c r="AC3268" s="8" t="str">
        <f>HYPERLINK("https://drive.google.com/file/d/1z_D9NYmgpENvhWxboSP8BpDpxVrmq0oi/view?usp=drivesdk", "Abrir_Factura")</f>
        <v>Abrir_Factura</v>
      </c>
      <c r="AD3268" s="9">
        <v>46090.411157407405</v>
      </c>
    </row>
    <row r="3269" spans="1:30" ht="12.5">
      <c r="A3269" s="4">
        <v>46090.360654317134</v>
      </c>
      <c r="B3269" s="5">
        <v>93016</v>
      </c>
      <c r="C3269" s="5">
        <v>1042246907</v>
      </c>
      <c r="D3269" s="5" t="s">
        <v>14289</v>
      </c>
      <c r="F3269" s="5"/>
      <c r="H3269" s="5">
        <v>573003243935</v>
      </c>
      <c r="J3269" s="5" t="s">
        <v>14290</v>
      </c>
      <c r="K3269" s="5" t="s">
        <v>73</v>
      </c>
      <c r="L3269" s="5" t="s">
        <v>14291</v>
      </c>
      <c r="M3269" s="5">
        <v>573208301662</v>
      </c>
      <c r="N3269" s="6">
        <v>46090</v>
      </c>
      <c r="O3269" s="7">
        <v>0</v>
      </c>
      <c r="P3269" s="5">
        <v>1</v>
      </c>
      <c r="Q3269" s="5" t="s">
        <v>14292</v>
      </c>
      <c r="R3269" s="5">
        <v>300000</v>
      </c>
      <c r="S3269" s="5">
        <v>0</v>
      </c>
      <c r="T3269" s="5">
        <v>8000</v>
      </c>
      <c r="U3269" s="5">
        <v>308000</v>
      </c>
      <c r="V3269" s="5" t="s">
        <v>14293</v>
      </c>
      <c r="W3269" s="5" t="s">
        <v>36</v>
      </c>
      <c r="X3269" s="5" t="s">
        <v>1481</v>
      </c>
      <c r="Z3269" s="5" t="s">
        <v>14294</v>
      </c>
      <c r="AA3269" s="5" t="s">
        <v>44</v>
      </c>
      <c r="AB3269" s="5"/>
      <c r="AC3269" s="8" t="str">
        <f>HYPERLINK("https://drive.google.com/file/d/1vWXvNAjVL945cc0LwIktXvCgy-nevhp8/view?usp=drivesdk", "Abrir_Factura")</f>
        <v>Abrir_Factura</v>
      </c>
      <c r="AD3269" s="9">
        <v>46090.420648148145</v>
      </c>
    </row>
    <row r="3270" spans="1:30" ht="12.5">
      <c r="A3270" s="4">
        <v>46090.362326296294</v>
      </c>
      <c r="B3270" s="5">
        <v>93008</v>
      </c>
      <c r="C3270" s="5">
        <v>1102880128</v>
      </c>
      <c r="D3270" s="5" t="s">
        <v>14295</v>
      </c>
      <c r="F3270" s="5"/>
      <c r="H3270" s="5">
        <v>573004645452</v>
      </c>
      <c r="J3270" s="5" t="s">
        <v>14295</v>
      </c>
      <c r="K3270" s="5" t="s">
        <v>12657</v>
      </c>
      <c r="L3270" s="5" t="s">
        <v>12657</v>
      </c>
      <c r="M3270" s="5">
        <v>573004645452</v>
      </c>
      <c r="N3270" s="6">
        <v>46090</v>
      </c>
      <c r="O3270" s="7">
        <v>0</v>
      </c>
      <c r="P3270" s="5">
        <v>1</v>
      </c>
      <c r="Q3270" s="5" t="s">
        <v>42</v>
      </c>
      <c r="R3270" s="5">
        <v>65000</v>
      </c>
      <c r="S3270" s="5">
        <v>0</v>
      </c>
      <c r="T3270" s="5"/>
      <c r="U3270" s="5">
        <v>65000</v>
      </c>
      <c r="V3270" s="5"/>
      <c r="W3270" s="5" t="s">
        <v>36</v>
      </c>
      <c r="X3270" s="5" t="s">
        <v>1705</v>
      </c>
      <c r="Z3270" s="5"/>
      <c r="AA3270" s="5" t="s">
        <v>1717</v>
      </c>
      <c r="AB3270" s="5" t="s">
        <v>14296</v>
      </c>
      <c r="AC3270" s="8" t="str">
        <f>HYPERLINK("https://drive.google.com/file/d/1Skpy_wog-B5vL8M7jLJd-xudU7tofD_-/view?usp=drivesdk", "Abrir_Factura")</f>
        <v>Abrir_Factura</v>
      </c>
      <c r="AD3270" s="9">
        <v>46090.362881944442</v>
      </c>
    </row>
    <row r="3271" spans="1:30" ht="12.5">
      <c r="A3271" s="4">
        <v>46090.366253402783</v>
      </c>
      <c r="B3271" s="5">
        <v>93009</v>
      </c>
      <c r="C3271" s="5">
        <v>1042979741</v>
      </c>
      <c r="D3271" s="5" t="s">
        <v>14297</v>
      </c>
      <c r="F3271" s="5"/>
      <c r="H3271" s="5">
        <v>573234455100</v>
      </c>
      <c r="J3271" s="5" t="s">
        <v>14298</v>
      </c>
      <c r="K3271" s="5" t="s">
        <v>161</v>
      </c>
      <c r="L3271" s="5" t="s">
        <v>14299</v>
      </c>
      <c r="M3271" s="5">
        <v>573106512053</v>
      </c>
      <c r="N3271" s="6">
        <v>46090</v>
      </c>
      <c r="O3271" s="7">
        <v>0.41666666666666669</v>
      </c>
      <c r="P3271" s="5">
        <v>1</v>
      </c>
      <c r="Q3271" s="5" t="s">
        <v>576</v>
      </c>
      <c r="R3271" s="5">
        <v>140000</v>
      </c>
      <c r="S3271" s="5">
        <v>0</v>
      </c>
      <c r="T3271" s="5">
        <v>8000</v>
      </c>
      <c r="U3271" s="5">
        <v>148000</v>
      </c>
      <c r="V3271" s="5" t="s">
        <v>14300</v>
      </c>
      <c r="W3271" s="5" t="s">
        <v>36</v>
      </c>
      <c r="X3271" s="5" t="s">
        <v>1705</v>
      </c>
      <c r="Z3271" s="5"/>
      <c r="AA3271" s="5" t="s">
        <v>1717</v>
      </c>
      <c r="AB3271" s="5"/>
      <c r="AC3271" s="8" t="str">
        <f>HYPERLINK("https://drive.google.com/file/d/1QBQJPugPv3-RDf2SHfetpf6APU_qjgTk/view?usp=drivesdk", "Abrir_Factura")</f>
        <v>Abrir_Factura</v>
      </c>
      <c r="AD3271" s="9">
        <v>46090.367789351854</v>
      </c>
    </row>
    <row r="3272" spans="1:30" ht="12.5">
      <c r="A3272" s="4">
        <v>46090.378967511569</v>
      </c>
      <c r="B3272" s="5">
        <v>93017</v>
      </c>
      <c r="C3272" s="5">
        <v>1002163522</v>
      </c>
      <c r="D3272" s="5" t="s">
        <v>14301</v>
      </c>
      <c r="F3272" s="5"/>
      <c r="H3272" s="5">
        <v>573004179000</v>
      </c>
      <c r="J3272" s="5" t="s">
        <v>14301</v>
      </c>
      <c r="K3272" s="5" t="s">
        <v>12657</v>
      </c>
      <c r="L3272" s="5" t="s">
        <v>12657</v>
      </c>
      <c r="M3272" s="5">
        <v>573004179000</v>
      </c>
      <c r="N3272" s="6">
        <v>46090</v>
      </c>
      <c r="O3272" s="7">
        <v>0</v>
      </c>
      <c r="P3272" s="5">
        <v>1</v>
      </c>
      <c r="Q3272" s="5" t="s">
        <v>14302</v>
      </c>
      <c r="R3272" s="5">
        <v>250000</v>
      </c>
      <c r="S3272" s="5">
        <v>0</v>
      </c>
      <c r="T3272" s="5"/>
      <c r="U3272" s="5">
        <v>250000</v>
      </c>
      <c r="V3272" s="5" t="s">
        <v>14303</v>
      </c>
      <c r="W3272" s="5" t="s">
        <v>36</v>
      </c>
      <c r="X3272" s="5" t="s">
        <v>180</v>
      </c>
      <c r="Z3272" s="5" t="s">
        <v>14304</v>
      </c>
      <c r="AA3272" s="5" t="s">
        <v>44</v>
      </c>
      <c r="AB3272" s="5"/>
      <c r="AC3272" s="8" t="str">
        <f>HYPERLINK("https://drive.google.com/file/d/1QCa342c3y5ycjpjh6oIszlhOlYoskVwe/view?usp=drivesdk", "Abrir_Factura")</f>
        <v>Abrir_Factura</v>
      </c>
      <c r="AD3272" s="9">
        <v>46090.685543981483</v>
      </c>
    </row>
    <row r="3273" spans="1:30" ht="12.5">
      <c r="A3273" s="4">
        <v>46090.397997534717</v>
      </c>
      <c r="B3273" s="5">
        <v>93013</v>
      </c>
      <c r="C3273" s="5">
        <v>32674364</v>
      </c>
      <c r="D3273" s="5" t="s">
        <v>14305</v>
      </c>
      <c r="F3273" s="5"/>
      <c r="H3273" s="5">
        <v>573000000002</v>
      </c>
      <c r="J3273" s="5" t="s">
        <v>14305</v>
      </c>
      <c r="K3273" s="5" t="s">
        <v>12657</v>
      </c>
      <c r="L3273" s="5" t="s">
        <v>12657</v>
      </c>
      <c r="M3273" s="5">
        <v>573003014520</v>
      </c>
      <c r="N3273" s="6">
        <v>46090</v>
      </c>
      <c r="O3273" s="7">
        <v>0</v>
      </c>
      <c r="P3273" s="5">
        <v>1</v>
      </c>
      <c r="Q3273" s="5" t="s">
        <v>12924</v>
      </c>
      <c r="R3273" s="5">
        <v>200000</v>
      </c>
      <c r="S3273" s="5">
        <v>0</v>
      </c>
      <c r="T3273" s="5"/>
      <c r="U3273" s="5">
        <v>200000</v>
      </c>
      <c r="V3273" s="5"/>
      <c r="W3273" s="5" t="s">
        <v>36</v>
      </c>
      <c r="X3273" s="5" t="s">
        <v>1705</v>
      </c>
      <c r="Z3273" s="5"/>
      <c r="AA3273" s="5" t="s">
        <v>1717</v>
      </c>
      <c r="AB3273" s="5" t="s">
        <v>8660</v>
      </c>
      <c r="AC3273" s="8" t="str">
        <f>HYPERLINK("https://drive.google.com/file/d/1ZgD8eiiFwIr_SkDUxCJ-U95Dq0Howq9X/view?usp=drivesdk", "Abrir_Factura")</f>
        <v>Abrir_Factura</v>
      </c>
      <c r="AD3273" s="9">
        <v>46090.398726851854</v>
      </c>
    </row>
    <row r="3274" spans="1:30" ht="12.5">
      <c r="A3274" s="4">
        <v>46090.399054768517</v>
      </c>
      <c r="B3274" s="5">
        <v>93015</v>
      </c>
      <c r="C3274" s="5">
        <v>1001823566</v>
      </c>
      <c r="D3274" s="5" t="s">
        <v>14306</v>
      </c>
      <c r="F3274" s="5"/>
      <c r="H3274" s="5">
        <v>573007562052</v>
      </c>
      <c r="J3274" s="5" t="s">
        <v>14307</v>
      </c>
      <c r="K3274" s="5" t="s">
        <v>1497</v>
      </c>
      <c r="L3274" s="5" t="s">
        <v>14308</v>
      </c>
      <c r="M3274" s="5">
        <v>573007592052</v>
      </c>
      <c r="N3274" s="6">
        <v>46090</v>
      </c>
      <c r="O3274" s="7">
        <v>0.45833333333333331</v>
      </c>
      <c r="P3274" s="5">
        <v>1</v>
      </c>
      <c r="Q3274" s="5" t="s">
        <v>14265</v>
      </c>
      <c r="R3274" s="5">
        <v>80000</v>
      </c>
      <c r="S3274" s="5">
        <v>0</v>
      </c>
      <c r="T3274" s="5">
        <v>12000</v>
      </c>
      <c r="U3274" s="5">
        <v>92000</v>
      </c>
      <c r="V3274" s="5" t="s">
        <v>14309</v>
      </c>
      <c r="W3274" s="5" t="s">
        <v>36</v>
      </c>
      <c r="X3274" s="5" t="s">
        <v>180</v>
      </c>
      <c r="Z3274" s="5" t="s">
        <v>14310</v>
      </c>
      <c r="AA3274" s="5" t="s">
        <v>44</v>
      </c>
      <c r="AB3274" s="5"/>
      <c r="AC3274" s="8" t="str">
        <f>HYPERLINK("https://drive.google.com/file/d/12bM4XkL3joMEFZJdj4Jlt5SM5VgjKBFZ/view?usp=drivesdk", "Abrir_Factura")</f>
        <v>Abrir_Factura</v>
      </c>
      <c r="AD3274" s="9">
        <v>46090.416631944441</v>
      </c>
    </row>
    <row r="3275" spans="1:30" ht="12.5">
      <c r="A3275" s="4">
        <v>46090.418248923612</v>
      </c>
      <c r="B3275" s="5">
        <v>93019</v>
      </c>
      <c r="C3275" s="5">
        <v>1007016849</v>
      </c>
      <c r="D3275" s="5" t="s">
        <v>14311</v>
      </c>
      <c r="F3275" s="5"/>
      <c r="H3275" s="5">
        <v>577864587718</v>
      </c>
      <c r="J3275" s="5" t="s">
        <v>14312</v>
      </c>
      <c r="K3275" s="5" t="s">
        <v>161</v>
      </c>
      <c r="L3275" s="5" t="s">
        <v>14313</v>
      </c>
      <c r="M3275" s="5">
        <v>573157215522</v>
      </c>
      <c r="N3275" s="6">
        <v>46104</v>
      </c>
      <c r="O3275" s="7">
        <v>0.33333333333333331</v>
      </c>
      <c r="P3275" s="5">
        <v>1</v>
      </c>
      <c r="Q3275" s="5" t="s">
        <v>14314</v>
      </c>
      <c r="R3275" s="5">
        <v>220000</v>
      </c>
      <c r="S3275" s="5">
        <v>0</v>
      </c>
      <c r="T3275" s="5">
        <v>8000</v>
      </c>
      <c r="U3275" s="5">
        <v>228000</v>
      </c>
      <c r="V3275" s="5" t="s">
        <v>14315</v>
      </c>
      <c r="W3275" s="5" t="s">
        <v>36</v>
      </c>
      <c r="X3275" s="5" t="s">
        <v>1481</v>
      </c>
      <c r="Z3275" s="5" t="s">
        <v>14316</v>
      </c>
      <c r="AA3275" s="5" t="s">
        <v>69</v>
      </c>
      <c r="AB3275" s="5"/>
      <c r="AC3275" s="8" t="str">
        <f>HYPERLINK("https://drive.google.com/file/d/1eie1axS2JqIxz8I7lFxj8hN3g1jyWfVS/view?usp=drivesdk", "Abrir_Factura")</f>
        <v>Abrir_Factura</v>
      </c>
      <c r="AD3275" s="9">
        <v>46090.447835648149</v>
      </c>
    </row>
    <row r="3276" spans="1:30" ht="12.5">
      <c r="A3276" s="4">
        <v>46090.425778321762</v>
      </c>
      <c r="B3276" s="5">
        <v>93018</v>
      </c>
      <c r="C3276" s="5">
        <v>1010074814</v>
      </c>
      <c r="D3276" s="5" t="s">
        <v>14317</v>
      </c>
      <c r="F3276" s="5"/>
      <c r="H3276" s="5">
        <v>573016545547</v>
      </c>
      <c r="J3276" s="5" t="s">
        <v>14318</v>
      </c>
      <c r="K3276" s="5" t="s">
        <v>146</v>
      </c>
      <c r="L3276" s="5" t="s">
        <v>14319</v>
      </c>
      <c r="M3276" s="5">
        <v>573122985343</v>
      </c>
      <c r="N3276" s="6">
        <v>46090</v>
      </c>
      <c r="O3276" s="7">
        <v>0</v>
      </c>
      <c r="P3276" s="5">
        <v>1</v>
      </c>
      <c r="Q3276" s="5" t="s">
        <v>11673</v>
      </c>
      <c r="R3276" s="5">
        <v>130000</v>
      </c>
      <c r="S3276" s="5">
        <v>0</v>
      </c>
      <c r="T3276" s="5">
        <v>15000</v>
      </c>
      <c r="U3276" s="5">
        <v>145000</v>
      </c>
      <c r="V3276" s="5" t="s">
        <v>14320</v>
      </c>
      <c r="W3276" s="5" t="s">
        <v>36</v>
      </c>
      <c r="X3276" s="5" t="s">
        <v>1481</v>
      </c>
      <c r="Z3276" s="5" t="s">
        <v>14321</v>
      </c>
      <c r="AA3276" s="5" t="s">
        <v>44</v>
      </c>
      <c r="AB3276" s="5"/>
      <c r="AC3276" s="8" t="str">
        <f>HYPERLINK("https://drive.google.com/file/d/1UbMFRnQoj3lo_ewExh88FjfurQ_rp30D/view?usp=drivesdk", "Abrir_Factura")</f>
        <v>Abrir_Factura</v>
      </c>
      <c r="AD3276" s="9">
        <v>46090.428541666668</v>
      </c>
    </row>
    <row r="3277" spans="1:30" ht="12.5">
      <c r="A3277" s="4">
        <v>46090.459329930556</v>
      </c>
      <c r="B3277" s="5">
        <v>93021</v>
      </c>
      <c r="C3277" s="5">
        <v>1042241494</v>
      </c>
      <c r="D3277" s="5" t="s">
        <v>14322</v>
      </c>
      <c r="F3277" s="5"/>
      <c r="H3277" s="5">
        <v>573005359055</v>
      </c>
      <c r="J3277" s="5" t="s">
        <v>14323</v>
      </c>
      <c r="K3277" s="5" t="s">
        <v>1047</v>
      </c>
      <c r="L3277" s="5" t="s">
        <v>14324</v>
      </c>
      <c r="M3277" s="5">
        <v>573017802621</v>
      </c>
      <c r="N3277" s="6">
        <v>46090</v>
      </c>
      <c r="O3277" s="7">
        <v>0.58333333333333337</v>
      </c>
      <c r="P3277" s="5">
        <v>1</v>
      </c>
      <c r="Q3277" s="5" t="s">
        <v>14268</v>
      </c>
      <c r="R3277" s="5">
        <v>120000</v>
      </c>
      <c r="S3277" s="5">
        <v>0</v>
      </c>
      <c r="T3277" s="5">
        <v>15000</v>
      </c>
      <c r="U3277" s="5">
        <v>135000</v>
      </c>
      <c r="V3277" s="5" t="s">
        <v>14325</v>
      </c>
      <c r="W3277" s="5" t="s">
        <v>36</v>
      </c>
      <c r="X3277" s="5" t="s">
        <v>1937</v>
      </c>
      <c r="Z3277" s="5" t="s">
        <v>14326</v>
      </c>
      <c r="AA3277" s="5" t="s">
        <v>44</v>
      </c>
      <c r="AB3277" s="5"/>
      <c r="AC3277" s="8" t="str">
        <f>HYPERLINK("https://drive.google.com/file/d/1feCMflYdVneHsq9ucP0dOW7WzLT6dENv/view?usp=drivesdk", "Abrir_Factura")</f>
        <v>Abrir_Factura</v>
      </c>
      <c r="AD3277" s="9">
        <v>46090.475706018522</v>
      </c>
    </row>
    <row r="3278" spans="1:30" ht="12.5">
      <c r="A3278" s="4">
        <v>46090.468416655094</v>
      </c>
      <c r="B3278" s="5">
        <v>93025</v>
      </c>
      <c r="C3278" s="5">
        <v>8486551</v>
      </c>
      <c r="D3278" s="5" t="s">
        <v>14327</v>
      </c>
      <c r="F3278" s="5"/>
      <c r="H3278" s="5">
        <v>573135743675</v>
      </c>
      <c r="J3278" s="5" t="s">
        <v>14328</v>
      </c>
      <c r="K3278" s="5" t="s">
        <v>726</v>
      </c>
      <c r="L3278" s="5" t="s">
        <v>14329</v>
      </c>
      <c r="M3278" s="5">
        <v>573135743675</v>
      </c>
      <c r="N3278" s="6">
        <v>46090</v>
      </c>
      <c r="O3278" s="7">
        <v>0.58333333333333337</v>
      </c>
      <c r="P3278" s="5">
        <v>1</v>
      </c>
      <c r="Q3278" s="5" t="s">
        <v>559</v>
      </c>
      <c r="R3278" s="5">
        <v>99000</v>
      </c>
      <c r="S3278" s="5">
        <v>0</v>
      </c>
      <c r="T3278" s="5">
        <v>9000</v>
      </c>
      <c r="U3278" s="5">
        <v>108000</v>
      </c>
      <c r="V3278" s="5" t="s">
        <v>14330</v>
      </c>
      <c r="W3278" s="5" t="s">
        <v>36</v>
      </c>
      <c r="X3278" s="5" t="s">
        <v>67</v>
      </c>
      <c r="Z3278" s="5" t="s">
        <v>14331</v>
      </c>
      <c r="AA3278" s="5" t="s">
        <v>44</v>
      </c>
      <c r="AB3278" s="5"/>
      <c r="AC3278" s="8" t="str">
        <f>HYPERLINK("https://drive.google.com/file/d/1Ai4aG_pNOCEqm1tRLs6yLhPrkAN32YSG/view?usp=drivesdk", "Abrir_Factura")</f>
        <v>Abrir_Factura</v>
      </c>
      <c r="AD3278" s="9">
        <v>46090.501331018517</v>
      </c>
    </row>
    <row r="3279" spans="1:30" ht="12.5">
      <c r="A3279" s="4">
        <v>46090.469706956021</v>
      </c>
      <c r="B3279" s="5">
        <v>93020</v>
      </c>
      <c r="C3279" s="5">
        <v>3014230323</v>
      </c>
      <c r="D3279" s="5" t="s">
        <v>14332</v>
      </c>
      <c r="F3279" s="5"/>
      <c r="H3279" s="5">
        <v>573014230323</v>
      </c>
      <c r="J3279" s="5" t="s">
        <v>14332</v>
      </c>
      <c r="K3279" s="5" t="s">
        <v>12657</v>
      </c>
      <c r="L3279" s="5" t="s">
        <v>12657</v>
      </c>
      <c r="M3279" s="5"/>
      <c r="N3279" s="6">
        <v>46090</v>
      </c>
      <c r="O3279" s="7">
        <v>0</v>
      </c>
      <c r="P3279" s="5">
        <v>1</v>
      </c>
      <c r="Q3279" s="5" t="s">
        <v>14265</v>
      </c>
      <c r="R3279" s="5">
        <v>80000</v>
      </c>
      <c r="S3279" s="5">
        <v>0</v>
      </c>
      <c r="T3279" s="5"/>
      <c r="U3279" s="5">
        <v>80000</v>
      </c>
      <c r="V3279" s="5"/>
      <c r="W3279" s="5" t="s">
        <v>36</v>
      </c>
      <c r="X3279" s="5" t="s">
        <v>37</v>
      </c>
      <c r="Z3279" s="5"/>
      <c r="AA3279" s="5" t="s">
        <v>37</v>
      </c>
      <c r="AB3279" s="5"/>
      <c r="AC3279" s="8" t="str">
        <f>HYPERLINK("https://drive.google.com/file/d/154wTCCS2Birx4O4hE8jC4xVk2EskM_Zp/view?usp=drivesdk", "Abrir_Factura")</f>
        <v>Abrir_Factura</v>
      </c>
      <c r="AD3279" s="9">
        <v>46090.470763888887</v>
      </c>
    </row>
    <row r="3280" spans="1:30" ht="12.5">
      <c r="A3280" s="4">
        <v>46090.469917395836</v>
      </c>
      <c r="B3280" s="5">
        <v>93023</v>
      </c>
      <c r="C3280" s="5">
        <v>1140869118</v>
      </c>
      <c r="D3280" s="5" t="s">
        <v>14333</v>
      </c>
      <c r="F3280" s="5"/>
      <c r="H3280" s="5">
        <v>573215005033</v>
      </c>
      <c r="J3280" s="5" t="s">
        <v>14334</v>
      </c>
      <c r="K3280" s="5" t="s">
        <v>563</v>
      </c>
      <c r="L3280" s="5" t="s">
        <v>14335</v>
      </c>
      <c r="M3280" s="5">
        <v>573012546176</v>
      </c>
      <c r="N3280" s="6">
        <v>46090</v>
      </c>
      <c r="O3280" s="7">
        <v>0.58333333333333337</v>
      </c>
      <c r="P3280" s="5">
        <v>1</v>
      </c>
      <c r="Q3280" s="5" t="s">
        <v>14268</v>
      </c>
      <c r="R3280" s="5">
        <v>120000</v>
      </c>
      <c r="S3280" s="5">
        <v>0</v>
      </c>
      <c r="T3280" s="5">
        <v>15000</v>
      </c>
      <c r="U3280" s="5">
        <v>135000</v>
      </c>
      <c r="V3280" s="5" t="s">
        <v>14336</v>
      </c>
      <c r="W3280" s="5" t="s">
        <v>36</v>
      </c>
      <c r="X3280" s="5" t="s">
        <v>1481</v>
      </c>
      <c r="Z3280" s="5" t="s">
        <v>14337</v>
      </c>
      <c r="AA3280" s="5" t="s">
        <v>44</v>
      </c>
      <c r="AB3280" s="5"/>
      <c r="AC3280" s="8" t="str">
        <f>HYPERLINK("https://drive.google.com/file/d/19xCV73RCCaf-Zp3GvuZT72OpiJNEhTLD/view?usp=drivesdk", "Abrir_Factura")</f>
        <v>Abrir_Factura</v>
      </c>
      <c r="AD3280" s="9">
        <v>46090.481921296298</v>
      </c>
    </row>
    <row r="3281" spans="1:30" ht="12.5">
      <c r="A3281" s="4">
        <v>46090.471356064816</v>
      </c>
      <c r="B3281" s="5">
        <v>93024</v>
      </c>
      <c r="C3281" s="5">
        <v>72269822</v>
      </c>
      <c r="D3281" s="5" t="s">
        <v>14338</v>
      </c>
      <c r="F3281" s="5"/>
      <c r="H3281" s="5">
        <v>573218244370</v>
      </c>
      <c r="J3281" s="5" t="s">
        <v>14339</v>
      </c>
      <c r="K3281" s="5" t="s">
        <v>185</v>
      </c>
      <c r="L3281" s="5" t="s">
        <v>14340</v>
      </c>
      <c r="M3281" s="5">
        <v>573045866895</v>
      </c>
      <c r="N3281" s="6">
        <v>46090</v>
      </c>
      <c r="O3281" s="7">
        <v>0.58333333333333337</v>
      </c>
      <c r="P3281" s="5">
        <v>1</v>
      </c>
      <c r="Q3281" s="5" t="s">
        <v>14341</v>
      </c>
      <c r="R3281" s="5">
        <v>220000</v>
      </c>
      <c r="S3281" s="5">
        <v>0</v>
      </c>
      <c r="T3281" s="5">
        <v>8000</v>
      </c>
      <c r="U3281" s="5">
        <v>228000</v>
      </c>
      <c r="V3281" s="5" t="s">
        <v>14342</v>
      </c>
      <c r="W3281" s="5" t="s">
        <v>36</v>
      </c>
      <c r="X3281" s="5" t="s">
        <v>1481</v>
      </c>
      <c r="Z3281" s="5" t="s">
        <v>968</v>
      </c>
      <c r="AA3281" s="5" t="s">
        <v>44</v>
      </c>
      <c r="AB3281" s="5" t="s">
        <v>14343</v>
      </c>
      <c r="AC3281" s="8" t="str">
        <f>HYPERLINK("https://drive.google.com/file/d/16ata0A4F-mB8QYXGQWa5MEBgBz75KK5W/view?usp=drivesdk", "Abrir_Factura")</f>
        <v>Abrir_Factura</v>
      </c>
      <c r="AD3281" s="9">
        <v>46090.483796296299</v>
      </c>
    </row>
    <row r="3282" spans="1:30" ht="12.5">
      <c r="A3282" s="4">
        <v>46090.471436226857</v>
      </c>
      <c r="B3282" s="5">
        <v>93022</v>
      </c>
      <c r="C3282" s="5">
        <v>1045735585</v>
      </c>
      <c r="D3282" s="5" t="s">
        <v>14344</v>
      </c>
      <c r="F3282" s="5"/>
      <c r="H3282" s="5">
        <v>573015758743</v>
      </c>
      <c r="J3282" s="5" t="s">
        <v>14345</v>
      </c>
      <c r="K3282" s="5"/>
      <c r="L3282" s="5" t="s">
        <v>14346</v>
      </c>
      <c r="M3282" s="5">
        <v>573015758743</v>
      </c>
      <c r="N3282" s="6">
        <v>46090</v>
      </c>
      <c r="O3282" s="7">
        <v>0.58333333333333337</v>
      </c>
      <c r="P3282" s="5">
        <v>1</v>
      </c>
      <c r="Q3282" s="5" t="s">
        <v>42</v>
      </c>
      <c r="R3282" s="5">
        <v>140000</v>
      </c>
      <c r="S3282" s="5">
        <v>0</v>
      </c>
      <c r="T3282" s="5"/>
      <c r="U3282" s="5">
        <v>140000</v>
      </c>
      <c r="V3282" s="5" t="s">
        <v>14030</v>
      </c>
      <c r="W3282" s="5" t="s">
        <v>36</v>
      </c>
      <c r="X3282" s="5" t="s">
        <v>1481</v>
      </c>
      <c r="Z3282" s="5" t="s">
        <v>14347</v>
      </c>
      <c r="AA3282" s="5" t="s">
        <v>44</v>
      </c>
      <c r="AB3282" s="5" t="s">
        <v>14348</v>
      </c>
      <c r="AC3282" s="8" t="str">
        <f>HYPERLINK("https://drive.google.com/file/d/1ZE2CmLCEF9s7qqd8kBN_zQU1MSDQr7iN/view?usp=drivesdk", "Abrir_Factura")</f>
        <v>Abrir_Factura</v>
      </c>
      <c r="AD3282" s="9">
        <v>46090.478622685187</v>
      </c>
    </row>
    <row r="3283" spans="1:30" ht="12.5">
      <c r="A3283" s="4">
        <v>46090.477877314814</v>
      </c>
      <c r="B3283" s="5">
        <v>93026</v>
      </c>
      <c r="C3283" s="5">
        <v>1140845249</v>
      </c>
      <c r="D3283" s="5" t="s">
        <v>14349</v>
      </c>
      <c r="F3283" s="5"/>
      <c r="H3283" s="5">
        <v>573017245676</v>
      </c>
      <c r="J3283" s="5" t="s">
        <v>532</v>
      </c>
      <c r="K3283" s="5" t="s">
        <v>892</v>
      </c>
      <c r="L3283" s="5" t="s">
        <v>14350</v>
      </c>
      <c r="M3283" s="5">
        <v>573017245676</v>
      </c>
      <c r="N3283" s="6">
        <v>46092</v>
      </c>
      <c r="O3283" s="7">
        <v>0</v>
      </c>
      <c r="P3283" s="5">
        <v>1</v>
      </c>
      <c r="Q3283" s="5" t="s">
        <v>42</v>
      </c>
      <c r="R3283" s="5">
        <v>120000</v>
      </c>
      <c r="S3283" s="5">
        <v>0</v>
      </c>
      <c r="T3283" s="5">
        <v>10000</v>
      </c>
      <c r="U3283" s="5">
        <v>130000</v>
      </c>
      <c r="V3283" s="5" t="s">
        <v>14239</v>
      </c>
      <c r="W3283" s="5" t="s">
        <v>36</v>
      </c>
      <c r="X3283" s="5" t="s">
        <v>1481</v>
      </c>
      <c r="Z3283" s="5"/>
      <c r="AA3283" s="5" t="s">
        <v>44</v>
      </c>
      <c r="AB3283" s="5" t="s">
        <v>14351</v>
      </c>
      <c r="AC3283" s="8" t="str">
        <f>HYPERLINK("https://drive.google.com/file/d/1AXecsbylYo6v81p8JYt71Qgokxj6PDq7/view?usp=drivesdk", "Abrir_Factura")</f>
        <v>Abrir_Factura</v>
      </c>
      <c r="AD3283" s="9">
        <v>46090.525000000001</v>
      </c>
    </row>
    <row r="3284" spans="1:30" ht="12.5">
      <c r="A3284" s="4">
        <v>46090.482618379625</v>
      </c>
      <c r="B3284" s="5"/>
      <c r="C3284" s="5">
        <v>1218716260</v>
      </c>
      <c r="D3284" s="5" t="s">
        <v>14352</v>
      </c>
      <c r="F3284" s="5"/>
      <c r="H3284" s="5">
        <v>573124845303</v>
      </c>
      <c r="J3284" s="5" t="s">
        <v>14353</v>
      </c>
      <c r="K3284" s="5" t="s">
        <v>886</v>
      </c>
      <c r="L3284" s="5" t="s">
        <v>14354</v>
      </c>
      <c r="M3284" s="5">
        <v>573106170478</v>
      </c>
      <c r="N3284" s="6">
        <v>46091</v>
      </c>
      <c r="O3284" s="7">
        <v>0</v>
      </c>
      <c r="P3284" s="5">
        <v>1</v>
      </c>
      <c r="Q3284" s="5" t="s">
        <v>42</v>
      </c>
      <c r="R3284" s="5">
        <v>0</v>
      </c>
      <c r="S3284" s="5">
        <v>0</v>
      </c>
      <c r="T3284" s="5">
        <v>12000</v>
      </c>
      <c r="U3284" s="5">
        <v>12000</v>
      </c>
      <c r="V3284" s="5" t="s">
        <v>14355</v>
      </c>
      <c r="W3284" s="5" t="s">
        <v>6139</v>
      </c>
      <c r="X3284" s="5"/>
      <c r="Z3284" s="5" t="s">
        <v>7329</v>
      </c>
      <c r="AA3284" s="5"/>
      <c r="AB3284" s="5"/>
      <c r="AD3284" s="9"/>
    </row>
    <row r="3285" spans="1:30" ht="12.5">
      <c r="A3285" s="4">
        <v>46090.48634768519</v>
      </c>
      <c r="B3285" s="5">
        <v>93027</v>
      </c>
      <c r="C3285" s="5">
        <v>55231223</v>
      </c>
      <c r="D3285" s="5" t="s">
        <v>14356</v>
      </c>
      <c r="F3285" s="5"/>
      <c r="H3285" s="5">
        <v>573016531088</v>
      </c>
      <c r="J3285" s="5" t="s">
        <v>14357</v>
      </c>
      <c r="K3285" s="5" t="s">
        <v>185</v>
      </c>
      <c r="L3285" s="5" t="s">
        <v>14358</v>
      </c>
      <c r="M3285" s="5">
        <v>573243031400</v>
      </c>
      <c r="N3285" s="6">
        <v>46093</v>
      </c>
      <c r="O3285" s="7">
        <v>0.375</v>
      </c>
      <c r="P3285" s="5">
        <v>1</v>
      </c>
      <c r="Q3285" s="5" t="s">
        <v>42</v>
      </c>
      <c r="R3285" s="5">
        <v>160000</v>
      </c>
      <c r="S3285" s="5">
        <v>0</v>
      </c>
      <c r="T3285" s="5">
        <v>8000</v>
      </c>
      <c r="U3285" s="5">
        <v>168000</v>
      </c>
      <c r="V3285" s="5" t="s">
        <v>14359</v>
      </c>
      <c r="W3285" s="5" t="s">
        <v>36</v>
      </c>
      <c r="X3285" s="5" t="s">
        <v>1481</v>
      </c>
      <c r="Z3285" s="5" t="s">
        <v>14360</v>
      </c>
      <c r="AA3285" s="5" t="s">
        <v>44</v>
      </c>
      <c r="AB3285" s="5" t="s">
        <v>14361</v>
      </c>
      <c r="AC3285" s="8" t="str">
        <f>HYPERLINK("https://drive.google.com/file/d/1GWwzkO0FKXaEuFDd0C90fRWfp7_futhf/view?usp=drivesdk", "Abrir_Factura")</f>
        <v>Abrir_Factura</v>
      </c>
      <c r="AD3285" s="9">
        <v>46090.531076388892</v>
      </c>
    </row>
    <row r="3286" spans="1:30" ht="12.5">
      <c r="A3286" s="4">
        <v>46090.509806307869</v>
      </c>
      <c r="B3286" s="5">
        <v>93028</v>
      </c>
      <c r="C3286" s="5">
        <v>1042266271</v>
      </c>
      <c r="D3286" s="5" t="s">
        <v>14362</v>
      </c>
      <c r="F3286" s="5"/>
      <c r="H3286" s="5">
        <v>573057837333</v>
      </c>
      <c r="J3286" s="5" t="s">
        <v>14363</v>
      </c>
      <c r="K3286" s="5" t="s">
        <v>12657</v>
      </c>
      <c r="L3286" s="5" t="s">
        <v>12657</v>
      </c>
      <c r="M3286" s="5">
        <v>573057837333</v>
      </c>
      <c r="N3286" s="6">
        <v>46090</v>
      </c>
      <c r="O3286" s="7">
        <v>8.3333333333333329E-2</v>
      </c>
      <c r="P3286" s="5">
        <v>1</v>
      </c>
      <c r="Q3286" s="5" t="s">
        <v>375</v>
      </c>
      <c r="R3286" s="5">
        <v>80000</v>
      </c>
      <c r="S3286" s="5">
        <v>0</v>
      </c>
      <c r="T3286" s="5"/>
      <c r="U3286" s="5">
        <v>80000</v>
      </c>
      <c r="V3286" s="5" t="s">
        <v>14364</v>
      </c>
      <c r="W3286" s="5" t="s">
        <v>36</v>
      </c>
      <c r="X3286" s="5" t="s">
        <v>1937</v>
      </c>
      <c r="Z3286" s="5" t="s">
        <v>14365</v>
      </c>
      <c r="AA3286" s="5" t="s">
        <v>44</v>
      </c>
      <c r="AB3286" s="5"/>
      <c r="AC3286" s="8" t="str">
        <f>HYPERLINK("https://drive.google.com/file/d/1gQBGerp-415v1ErjKcCHw8C4o8ELofdz/view?usp=drivesdk", "Abrir_Factura")</f>
        <v>Abrir_Factura</v>
      </c>
      <c r="AD3286" s="9">
        <v>46090.537199074075</v>
      </c>
    </row>
    <row r="3287" spans="1:30" ht="12.5">
      <c r="A3287" s="4">
        <v>46090.535937881941</v>
      </c>
      <c r="B3287" s="5">
        <v>93035</v>
      </c>
      <c r="C3287" s="5">
        <v>1043664003</v>
      </c>
      <c r="D3287" s="5" t="s">
        <v>14366</v>
      </c>
      <c r="F3287" s="5"/>
      <c r="H3287" s="5">
        <v>3053742565</v>
      </c>
      <c r="J3287" s="5" t="s">
        <v>14367</v>
      </c>
      <c r="K3287" s="5" t="s">
        <v>1595</v>
      </c>
      <c r="L3287" s="5" t="s">
        <v>14368</v>
      </c>
      <c r="M3287" s="5">
        <v>573052703708</v>
      </c>
      <c r="N3287" s="6">
        <v>46090</v>
      </c>
      <c r="O3287" s="7">
        <v>0.66666666666666663</v>
      </c>
      <c r="P3287" s="5">
        <v>1</v>
      </c>
      <c r="Q3287" s="5" t="s">
        <v>14265</v>
      </c>
      <c r="R3287" s="5">
        <v>80000</v>
      </c>
      <c r="S3287" s="5">
        <v>0</v>
      </c>
      <c r="T3287" s="5">
        <v>20000</v>
      </c>
      <c r="U3287" s="5">
        <v>100000</v>
      </c>
      <c r="V3287" s="5" t="s">
        <v>14369</v>
      </c>
      <c r="W3287" s="5" t="s">
        <v>36</v>
      </c>
      <c r="X3287" s="5" t="s">
        <v>12646</v>
      </c>
      <c r="Z3287" s="5" t="s">
        <v>2239</v>
      </c>
      <c r="AA3287" s="5" t="s">
        <v>44</v>
      </c>
      <c r="AB3287" s="5"/>
      <c r="AC3287" s="8" t="str">
        <f>HYPERLINK("https://drive.google.com/file/d/1a1wRH12nb_ehnJD19Vv4zSzvgbxVdxh1/view?usp=drivesdk", "Abrir_Factura")</f>
        <v>Abrir_Factura</v>
      </c>
      <c r="AD3287" s="9">
        <v>46090.603275462963</v>
      </c>
    </row>
    <row r="3288" spans="1:30" ht="12.5">
      <c r="A3288" s="4">
        <v>46090.550262951394</v>
      </c>
      <c r="B3288" s="5">
        <v>93029</v>
      </c>
      <c r="C3288" s="5">
        <v>32696701</v>
      </c>
      <c r="D3288" s="5" t="s">
        <v>14370</v>
      </c>
      <c r="F3288" s="5"/>
      <c r="H3288" s="5">
        <v>573005259249</v>
      </c>
      <c r="J3288" s="5" t="s">
        <v>14371</v>
      </c>
      <c r="K3288" s="5" t="s">
        <v>4403</v>
      </c>
      <c r="L3288" s="5" t="s">
        <v>14372</v>
      </c>
      <c r="M3288" s="5">
        <v>573005259249</v>
      </c>
      <c r="N3288" s="6">
        <v>46090</v>
      </c>
      <c r="O3288" s="7">
        <v>0.60416666666666663</v>
      </c>
      <c r="P3288" s="5">
        <v>1</v>
      </c>
      <c r="Q3288" s="5" t="s">
        <v>361</v>
      </c>
      <c r="R3288" s="5">
        <v>200000</v>
      </c>
      <c r="S3288" s="5">
        <v>0</v>
      </c>
      <c r="T3288" s="5">
        <v>20000</v>
      </c>
      <c r="U3288" s="5">
        <v>220000</v>
      </c>
      <c r="V3288" s="5" t="s">
        <v>14373</v>
      </c>
      <c r="W3288" s="5" t="s">
        <v>36</v>
      </c>
      <c r="X3288" s="5" t="s">
        <v>204</v>
      </c>
      <c r="Z3288" s="5"/>
      <c r="AA3288" s="5" t="s">
        <v>44</v>
      </c>
      <c r="AB3288" s="5"/>
      <c r="AC3288" s="8" t="str">
        <f>HYPERLINK("https://drive.google.com/file/d/1IhHBKrDQLveK9qLgBPTLB7nKY1FBgQTX/view?usp=drivesdk", "Abrir_Factura")</f>
        <v>Abrir_Factura</v>
      </c>
      <c r="AD3288" s="9">
        <v>46090.550856481481</v>
      </c>
    </row>
    <row r="3289" spans="1:30" ht="12.5">
      <c r="A3289" s="4">
        <v>46090.559696180557</v>
      </c>
      <c r="B3289" s="5">
        <v>93030</v>
      </c>
      <c r="C3289" s="5">
        <v>9014271967</v>
      </c>
      <c r="D3289" s="5" t="s">
        <v>13612</v>
      </c>
      <c r="F3289" s="5"/>
      <c r="H3289" s="5">
        <v>573003858601</v>
      </c>
      <c r="J3289" s="5" t="s">
        <v>14374</v>
      </c>
      <c r="K3289" s="5" t="s">
        <v>33</v>
      </c>
      <c r="L3289" s="5" t="s">
        <v>14375</v>
      </c>
      <c r="M3289" s="5">
        <v>573003858601</v>
      </c>
      <c r="N3289" s="6">
        <v>46090</v>
      </c>
      <c r="O3289" s="7">
        <v>0</v>
      </c>
      <c r="P3289" s="5">
        <v>1</v>
      </c>
      <c r="Q3289" s="5" t="s">
        <v>42</v>
      </c>
      <c r="R3289" s="5">
        <v>100840</v>
      </c>
      <c r="S3289" s="5">
        <v>19159.599999999999</v>
      </c>
      <c r="T3289" s="5">
        <v>0</v>
      </c>
      <c r="U3289" s="5">
        <v>120000</v>
      </c>
      <c r="V3289" s="5" t="s">
        <v>1117</v>
      </c>
      <c r="W3289" s="5" t="s">
        <v>36</v>
      </c>
      <c r="X3289" s="5" t="s">
        <v>67</v>
      </c>
      <c r="Z3289" s="5"/>
      <c r="AA3289" s="5" t="s">
        <v>44</v>
      </c>
      <c r="AB3289" s="5"/>
      <c r="AC3289" s="8" t="str">
        <f>HYPERLINK("https://drive.google.com/file/d/12LA8KrHzlk4ZQym-wsm3I4qwDqR67udA/view?usp=drivesdk", "Abrir_Factura")</f>
        <v>Abrir_Factura</v>
      </c>
      <c r="AD3289" s="9">
        <v>46090.563252314816</v>
      </c>
    </row>
    <row r="3290" spans="1:30" ht="12.5">
      <c r="A3290" s="4">
        <v>46090.568818969907</v>
      </c>
      <c r="B3290" s="5">
        <v>93031</v>
      </c>
      <c r="C3290" s="5">
        <v>1001855563</v>
      </c>
      <c r="D3290" s="5" t="s">
        <v>14376</v>
      </c>
      <c r="F3290" s="5"/>
      <c r="H3290" s="5">
        <v>573017963833</v>
      </c>
      <c r="J3290" s="5" t="s">
        <v>14377</v>
      </c>
      <c r="K3290" s="5" t="s">
        <v>1124</v>
      </c>
      <c r="L3290" s="5" t="s">
        <v>14378</v>
      </c>
      <c r="M3290" s="5">
        <v>573116178466</v>
      </c>
      <c r="N3290" s="6">
        <v>46090</v>
      </c>
      <c r="O3290" s="7">
        <v>0.625</v>
      </c>
      <c r="P3290" s="5">
        <v>1</v>
      </c>
      <c r="Q3290" s="5" t="s">
        <v>1792</v>
      </c>
      <c r="R3290" s="5">
        <v>160000</v>
      </c>
      <c r="S3290" s="5">
        <v>0</v>
      </c>
      <c r="T3290" s="5">
        <v>20000</v>
      </c>
      <c r="U3290" s="5">
        <v>180000</v>
      </c>
      <c r="V3290" s="5" t="s">
        <v>14379</v>
      </c>
      <c r="W3290" s="5" t="s">
        <v>36</v>
      </c>
      <c r="X3290" s="5" t="s">
        <v>12646</v>
      </c>
      <c r="Z3290" s="5" t="s">
        <v>14380</v>
      </c>
      <c r="AA3290" s="5" t="s">
        <v>44</v>
      </c>
      <c r="AB3290" s="5" t="s">
        <v>14381</v>
      </c>
      <c r="AC3290" s="8" t="str">
        <f>HYPERLINK("https://drive.google.com/file/d/1LWO4WbA6vpfK1dbkJRDhRrbpLZ8WHGOe/view?usp=drivesdk", "Abrir_Factura")</f>
        <v>Abrir_Factura</v>
      </c>
      <c r="AD3290" s="9">
        <v>46090.572916666664</v>
      </c>
    </row>
    <row r="3291" spans="1:30" ht="12.5">
      <c r="A3291" s="4">
        <v>46090.581102476848</v>
      </c>
      <c r="B3291" s="5">
        <v>93032</v>
      </c>
      <c r="C3291" s="5">
        <v>0</v>
      </c>
      <c r="D3291" s="5" t="s">
        <v>14382</v>
      </c>
      <c r="F3291" s="5"/>
      <c r="H3291" s="5">
        <v>573016619356</v>
      </c>
      <c r="J3291" s="5" t="s">
        <v>31</v>
      </c>
      <c r="K3291" s="5" t="s">
        <v>33</v>
      </c>
      <c r="L3291" s="5" t="s">
        <v>14383</v>
      </c>
      <c r="M3291" s="5">
        <v>573016619356</v>
      </c>
      <c r="N3291" s="6">
        <v>46090</v>
      </c>
      <c r="O3291" s="7">
        <v>0</v>
      </c>
      <c r="P3291" s="5">
        <v>1</v>
      </c>
      <c r="Q3291" s="5" t="s">
        <v>42</v>
      </c>
      <c r="R3291" s="5">
        <v>80000</v>
      </c>
      <c r="S3291" s="5">
        <v>0</v>
      </c>
      <c r="T3291" s="5">
        <v>0</v>
      </c>
      <c r="U3291" s="5">
        <v>80000</v>
      </c>
      <c r="V3291" s="5" t="s">
        <v>12325</v>
      </c>
      <c r="W3291" s="5" t="s">
        <v>36</v>
      </c>
      <c r="X3291" s="5" t="s">
        <v>37</v>
      </c>
      <c r="Z3291" s="5"/>
      <c r="AA3291" s="5" t="s">
        <v>37</v>
      </c>
      <c r="AB3291" s="5" t="s">
        <v>14384</v>
      </c>
      <c r="AC3291" s="8" t="str">
        <f>HYPERLINK("https://drive.google.com/file/d/1cJL2LSLHWb0Ql6mXFD8l_WinCurZN7Vp/view?usp=drivesdk", "Abrir_Factura")</f>
        <v>Abrir_Factura</v>
      </c>
      <c r="AD3291" s="9">
        <v>46090.586608796293</v>
      </c>
    </row>
    <row r="3292" spans="1:30" ht="12.5">
      <c r="A3292" s="4">
        <v>46090.583638888886</v>
      </c>
      <c r="B3292" s="5">
        <v>93033</v>
      </c>
      <c r="C3292" s="5">
        <v>1044424730</v>
      </c>
      <c r="D3292" s="5" t="s">
        <v>14385</v>
      </c>
      <c r="F3292" s="5"/>
      <c r="H3292" s="5">
        <v>573161910255</v>
      </c>
      <c r="J3292" s="5" t="s">
        <v>3330</v>
      </c>
      <c r="K3292" s="5" t="s">
        <v>33</v>
      </c>
      <c r="L3292" s="5" t="s">
        <v>14375</v>
      </c>
      <c r="M3292" s="5">
        <v>573161910255</v>
      </c>
      <c r="N3292" s="6">
        <v>46090</v>
      </c>
      <c r="O3292" s="7">
        <v>0</v>
      </c>
      <c r="P3292" s="5">
        <v>1</v>
      </c>
      <c r="Q3292" s="5" t="s">
        <v>57</v>
      </c>
      <c r="R3292" s="5">
        <v>120000</v>
      </c>
      <c r="S3292" s="5">
        <v>0</v>
      </c>
      <c r="T3292" s="5">
        <v>0</v>
      </c>
      <c r="U3292" s="5">
        <v>120000</v>
      </c>
      <c r="V3292" s="5" t="s">
        <v>14386</v>
      </c>
      <c r="W3292" s="5" t="s">
        <v>36</v>
      </c>
      <c r="X3292" s="5" t="s">
        <v>37</v>
      </c>
      <c r="Z3292" s="5"/>
      <c r="AA3292" s="5" t="s">
        <v>37</v>
      </c>
      <c r="AB3292" s="5" t="s">
        <v>14387</v>
      </c>
      <c r="AC3292" s="8" t="str">
        <f>HYPERLINK("https://drive.google.com/file/d/1OhQ4Ayc1AtF-70dUCxBOHN0NNd_Jy_fp/view?usp=drivesdk", "Abrir_Factura")</f>
        <v>Abrir_Factura</v>
      </c>
      <c r="AD3292" s="9">
        <v>46090.58697916667</v>
      </c>
    </row>
    <row r="3293" spans="1:30" ht="12.5">
      <c r="A3293" s="4">
        <v>46090.592284861108</v>
      </c>
      <c r="B3293" s="5">
        <v>93034</v>
      </c>
      <c r="C3293" s="5">
        <v>1140879764</v>
      </c>
      <c r="D3293" s="5" t="s">
        <v>14388</v>
      </c>
      <c r="F3293" s="5"/>
      <c r="H3293" s="5">
        <v>573216579591</v>
      </c>
      <c r="J3293" s="5" t="s">
        <v>14389</v>
      </c>
      <c r="K3293" s="5" t="s">
        <v>33</v>
      </c>
      <c r="L3293" s="5" t="s">
        <v>14375</v>
      </c>
      <c r="M3293" s="5">
        <v>573216579591</v>
      </c>
      <c r="N3293" s="6">
        <v>46090</v>
      </c>
      <c r="O3293" s="7">
        <v>0.58333333333333337</v>
      </c>
      <c r="P3293" s="5">
        <v>1</v>
      </c>
      <c r="Q3293" s="5" t="s">
        <v>14268</v>
      </c>
      <c r="R3293" s="5">
        <v>120000</v>
      </c>
      <c r="S3293" s="5">
        <v>0</v>
      </c>
      <c r="T3293" s="5">
        <v>0</v>
      </c>
      <c r="U3293" s="5">
        <v>120000</v>
      </c>
      <c r="V3293" s="5" t="s">
        <v>1117</v>
      </c>
      <c r="W3293" s="5" t="s">
        <v>36</v>
      </c>
      <c r="X3293" s="5" t="s">
        <v>1705</v>
      </c>
      <c r="Z3293" s="5"/>
      <c r="AA3293" s="5" t="s">
        <v>44</v>
      </c>
      <c r="AB3293" s="5"/>
      <c r="AC3293" s="8" t="str">
        <f>HYPERLINK("https://drive.google.com/file/d/1rNfZWey8KWybFNHDC_xQegku6V2WIAyb/view?usp=drivesdk", "Abrir_Factura")</f>
        <v>Abrir_Factura</v>
      </c>
      <c r="AD3293" s="9">
        <v>46090.652361111112</v>
      </c>
    </row>
    <row r="3294" spans="1:30" ht="12.5">
      <c r="A3294" s="4">
        <v>46090.62060898148</v>
      </c>
      <c r="B3294" s="5">
        <v>93036</v>
      </c>
      <c r="C3294" s="5">
        <v>72178067</v>
      </c>
      <c r="D3294" s="5" t="s">
        <v>3580</v>
      </c>
      <c r="F3294" s="5"/>
      <c r="H3294" s="5">
        <v>57300318287828</v>
      </c>
      <c r="J3294" s="5" t="s">
        <v>14390</v>
      </c>
      <c r="K3294" s="5" t="s">
        <v>154</v>
      </c>
      <c r="L3294" s="5" t="s">
        <v>14391</v>
      </c>
      <c r="M3294" s="5">
        <v>573116019862</v>
      </c>
      <c r="N3294" s="6">
        <v>46090</v>
      </c>
      <c r="O3294" s="7">
        <v>0.54166666666666663</v>
      </c>
      <c r="P3294" s="5">
        <v>1</v>
      </c>
      <c r="Q3294" s="5" t="s">
        <v>57</v>
      </c>
      <c r="R3294" s="5">
        <v>80000</v>
      </c>
      <c r="S3294" s="5">
        <v>0</v>
      </c>
      <c r="T3294" s="5">
        <v>8000</v>
      </c>
      <c r="U3294" s="5">
        <v>88000</v>
      </c>
      <c r="V3294" s="5" t="s">
        <v>14392</v>
      </c>
      <c r="W3294" s="5" t="s">
        <v>36</v>
      </c>
      <c r="X3294" s="5" t="s">
        <v>43</v>
      </c>
      <c r="Z3294" s="5" t="s">
        <v>14393</v>
      </c>
      <c r="AA3294" s="5" t="s">
        <v>44</v>
      </c>
      <c r="AB3294" s="5"/>
      <c r="AC3294" s="8" t="str">
        <f>HYPERLINK("https://drive.google.com/file/d/1JgHbI_vy1tEYzu8YbhfPMlAoxquIrWsS/view?usp=drivesdk", "Abrir_Factura")</f>
        <v>Abrir_Factura</v>
      </c>
      <c r="AD3294" s="9">
        <v>46090.625543981485</v>
      </c>
    </row>
    <row r="3295" spans="1:30" ht="12.5">
      <c r="A3295" s="4">
        <v>46090.63529460648</v>
      </c>
      <c r="B3295" s="5">
        <v>93040</v>
      </c>
      <c r="C3295" s="5">
        <v>40942812</v>
      </c>
      <c r="D3295" s="5" t="s">
        <v>14394</v>
      </c>
      <c r="F3295" s="5"/>
      <c r="H3295" s="5">
        <v>573007608715</v>
      </c>
      <c r="J3295" s="5" t="s">
        <v>14395</v>
      </c>
      <c r="K3295" s="5" t="s">
        <v>12657</v>
      </c>
      <c r="L3295" s="5" t="s">
        <v>12657</v>
      </c>
      <c r="M3295" s="5">
        <v>573007608715</v>
      </c>
      <c r="N3295" s="6">
        <v>46090</v>
      </c>
      <c r="O3295" s="7">
        <v>0</v>
      </c>
      <c r="P3295" s="5">
        <v>1</v>
      </c>
      <c r="Q3295" s="5" t="s">
        <v>57</v>
      </c>
      <c r="R3295" s="5">
        <v>120000</v>
      </c>
      <c r="S3295" s="5">
        <v>0</v>
      </c>
      <c r="T3295" s="5"/>
      <c r="U3295" s="5">
        <v>120000</v>
      </c>
      <c r="V3295" s="5" t="s">
        <v>14396</v>
      </c>
      <c r="W3295" s="5" t="s">
        <v>36</v>
      </c>
      <c r="X3295" s="5" t="s">
        <v>67</v>
      </c>
      <c r="Y3295" s="5" t="s">
        <v>14397</v>
      </c>
      <c r="Z3295" s="5"/>
      <c r="AA3295" s="5" t="s">
        <v>44</v>
      </c>
      <c r="AB3295" s="5"/>
      <c r="AC3295" s="8" t="str">
        <f>HYPERLINK("https://drive.google.com/file/d/1lO1kSkNpElEd7KnFIjem0ao11fMuCP4a/view?usp=drivesdk", "Abrir_Factura")</f>
        <v>Abrir_Factura</v>
      </c>
      <c r="AD3295" s="9">
        <v>46090.651608796295</v>
      </c>
    </row>
    <row r="3296" spans="1:30" ht="12.5">
      <c r="A3296" s="4">
        <v>46090.637423715278</v>
      </c>
      <c r="B3296" s="5">
        <v>93038</v>
      </c>
      <c r="C3296" s="5">
        <v>1065611070</v>
      </c>
      <c r="D3296" s="5" t="s">
        <v>14398</v>
      </c>
      <c r="F3296" s="5"/>
      <c r="H3296" s="5">
        <v>573014716102</v>
      </c>
      <c r="J3296" s="5" t="s">
        <v>14398</v>
      </c>
      <c r="K3296" s="5" t="s">
        <v>146</v>
      </c>
      <c r="L3296" s="5" t="s">
        <v>14399</v>
      </c>
      <c r="M3296" s="5">
        <v>573014749102</v>
      </c>
      <c r="N3296" s="6">
        <v>46090</v>
      </c>
      <c r="O3296" s="7">
        <v>0.6875</v>
      </c>
      <c r="P3296" s="5">
        <v>1</v>
      </c>
      <c r="Q3296" s="5" t="s">
        <v>14400</v>
      </c>
      <c r="R3296" s="5">
        <v>170000</v>
      </c>
      <c r="S3296" s="5">
        <v>0</v>
      </c>
      <c r="T3296" s="5">
        <v>15000</v>
      </c>
      <c r="U3296" s="5">
        <v>185000</v>
      </c>
      <c r="V3296" s="5"/>
      <c r="W3296" s="5" t="s">
        <v>36</v>
      </c>
      <c r="X3296" s="5" t="s">
        <v>12646</v>
      </c>
      <c r="Z3296" s="5"/>
      <c r="AA3296" s="5" t="s">
        <v>44</v>
      </c>
      <c r="AB3296" s="5" t="s">
        <v>14401</v>
      </c>
      <c r="AC3296" s="8" t="str">
        <f>HYPERLINK("https://drive.google.com/file/d/1p-cJAxvOQpZYi7P041-qBx_e7yAwLKA9/view?usp=drivesdk", "Abrir_Factura")</f>
        <v>Abrir_Factura</v>
      </c>
      <c r="AD3296" s="9">
        <v>46090.643275462964</v>
      </c>
    </row>
    <row r="3297" spans="1:30" ht="12.5">
      <c r="A3297" s="4">
        <v>46090.637965995367</v>
      </c>
      <c r="B3297" s="5">
        <v>93037</v>
      </c>
      <c r="C3297" s="5">
        <v>1042848205</v>
      </c>
      <c r="D3297" s="5" t="s">
        <v>14402</v>
      </c>
      <c r="F3297" s="5"/>
      <c r="H3297" s="5">
        <v>573207326329</v>
      </c>
      <c r="J3297" s="5" t="s">
        <v>14403</v>
      </c>
      <c r="K3297" s="5" t="s">
        <v>33</v>
      </c>
      <c r="L3297" s="5" t="s">
        <v>14375</v>
      </c>
      <c r="M3297" s="5">
        <v>573207326329</v>
      </c>
      <c r="N3297" s="6">
        <v>46090</v>
      </c>
      <c r="O3297" s="7">
        <v>0.64583333333333337</v>
      </c>
      <c r="P3297" s="5">
        <v>1</v>
      </c>
      <c r="Q3297" s="5" t="s">
        <v>14265</v>
      </c>
      <c r="R3297" s="5">
        <v>80000</v>
      </c>
      <c r="S3297" s="5">
        <v>0</v>
      </c>
      <c r="T3297" s="5">
        <v>0</v>
      </c>
      <c r="U3297" s="5">
        <v>80000</v>
      </c>
      <c r="V3297" s="5" t="s">
        <v>12325</v>
      </c>
      <c r="W3297" s="5" t="s">
        <v>36</v>
      </c>
      <c r="X3297" s="5" t="s">
        <v>37</v>
      </c>
      <c r="Z3297" s="5"/>
      <c r="AA3297" s="5" t="s">
        <v>37</v>
      </c>
      <c r="AB3297" s="5" t="s">
        <v>14404</v>
      </c>
      <c r="AC3297" s="8" t="str">
        <f>HYPERLINK("https://drive.google.com/file/d/10m5hdVxjYqbkxkp13zJdmMsiIh4xlfBz/view?usp=drivesdk", "Abrir_Factura")</f>
        <v>Abrir_Factura</v>
      </c>
      <c r="AD3297" s="9">
        <v>46090.638726851852</v>
      </c>
    </row>
    <row r="3298" spans="1:30" ht="12.5">
      <c r="A3298" s="4">
        <v>46090.642007326387</v>
      </c>
      <c r="B3298" s="5">
        <v>93043</v>
      </c>
      <c r="C3298" s="5">
        <v>1043004949</v>
      </c>
      <c r="D3298" s="5" t="s">
        <v>14405</v>
      </c>
      <c r="F3298" s="5"/>
      <c r="H3298" s="5">
        <v>57301413587883</v>
      </c>
      <c r="J3298" s="5" t="s">
        <v>14406</v>
      </c>
      <c r="K3298" s="5" t="s">
        <v>7476</v>
      </c>
      <c r="L3298" s="5" t="s">
        <v>14407</v>
      </c>
      <c r="M3298" s="5">
        <v>573006836054</v>
      </c>
      <c r="N3298" s="6">
        <v>46090</v>
      </c>
      <c r="O3298" s="7">
        <v>0.6875</v>
      </c>
      <c r="P3298" s="5">
        <v>1</v>
      </c>
      <c r="Q3298" s="5" t="s">
        <v>14265</v>
      </c>
      <c r="R3298" s="5">
        <v>80000</v>
      </c>
      <c r="S3298" s="5">
        <v>0</v>
      </c>
      <c r="T3298" s="5">
        <v>17000</v>
      </c>
      <c r="U3298" s="5">
        <v>97000</v>
      </c>
      <c r="V3298" s="5" t="s">
        <v>14408</v>
      </c>
      <c r="W3298" s="5" t="s">
        <v>36</v>
      </c>
      <c r="X3298" s="5" t="s">
        <v>12646</v>
      </c>
      <c r="Z3298" s="5" t="s">
        <v>12089</v>
      </c>
      <c r="AA3298" s="5" t="s">
        <v>44</v>
      </c>
      <c r="AB3298" s="5"/>
      <c r="AC3298" s="8" t="str">
        <f>HYPERLINK("https://drive.google.com/file/d/1LNyOGaPMg0PvClDhQNzfbke1hPTuCdk_/view?usp=drivesdk", "Abrir_Factura")</f>
        <v>Abrir_Factura</v>
      </c>
      <c r="AD3298" s="9">
        <v>46090.658877314818</v>
      </c>
    </row>
    <row r="3299" spans="1:30" ht="12.5">
      <c r="A3299" s="4">
        <v>46090.647652395834</v>
      </c>
      <c r="B3299" s="5">
        <v>93039</v>
      </c>
      <c r="C3299" s="5">
        <v>1001911506</v>
      </c>
      <c r="D3299" s="5" t="s">
        <v>14409</v>
      </c>
      <c r="F3299" s="5"/>
      <c r="H3299" s="5">
        <v>573044685715</v>
      </c>
      <c r="J3299" s="5" t="s">
        <v>14409</v>
      </c>
      <c r="K3299" s="5" t="s">
        <v>33</v>
      </c>
      <c r="L3299" s="5" t="s">
        <v>14375</v>
      </c>
      <c r="M3299" s="5">
        <v>573044685715</v>
      </c>
      <c r="N3299" s="6">
        <v>46090</v>
      </c>
      <c r="O3299" s="7">
        <v>0.625</v>
      </c>
      <c r="P3299" s="5">
        <v>1</v>
      </c>
      <c r="Q3299" s="5" t="s">
        <v>42</v>
      </c>
      <c r="R3299" s="5">
        <v>60000</v>
      </c>
      <c r="S3299" s="5">
        <v>0</v>
      </c>
      <c r="T3299" s="5">
        <v>0</v>
      </c>
      <c r="U3299" s="5">
        <v>60000</v>
      </c>
      <c r="V3299" s="5" t="s">
        <v>1117</v>
      </c>
      <c r="W3299" s="5" t="s">
        <v>36</v>
      </c>
      <c r="X3299" s="5" t="s">
        <v>1705</v>
      </c>
      <c r="Z3299" s="5"/>
      <c r="AA3299" s="5" t="s">
        <v>1717</v>
      </c>
      <c r="AB3299" s="5" t="s">
        <v>2275</v>
      </c>
      <c r="AC3299" s="8" t="str">
        <f>HYPERLINK("https://drive.google.com/file/d/1yDWQBUc1EysCgG7tOCJk58mYnEf2Q5H3/view?usp=drivesdk", "Abrir_Factura")</f>
        <v>Abrir_Factura</v>
      </c>
      <c r="AD3299" s="9">
        <v>46090.648344907408</v>
      </c>
    </row>
    <row r="3300" spans="1:30" ht="12.5">
      <c r="A3300" s="4">
        <v>46090.652482094913</v>
      </c>
      <c r="B3300" s="5">
        <v>93042</v>
      </c>
      <c r="C3300" s="10" t="s">
        <v>14410</v>
      </c>
      <c r="D3300" s="5" t="s">
        <v>13670</v>
      </c>
      <c r="F3300" s="5"/>
      <c r="H3300" s="5">
        <v>3000000000</v>
      </c>
      <c r="J3300" s="5" t="s">
        <v>33</v>
      </c>
      <c r="K3300" s="5" t="s">
        <v>33</v>
      </c>
      <c r="L3300" s="5" t="s">
        <v>33</v>
      </c>
      <c r="M3300" s="5">
        <v>3000000000</v>
      </c>
      <c r="N3300" s="6">
        <v>46090</v>
      </c>
      <c r="O3300" s="7">
        <v>0</v>
      </c>
      <c r="P3300" s="5">
        <v>1</v>
      </c>
      <c r="Q3300" s="5" t="s">
        <v>14411</v>
      </c>
      <c r="R3300" s="5">
        <v>15000</v>
      </c>
      <c r="S3300" s="5">
        <v>0</v>
      </c>
      <c r="T3300" s="5">
        <v>0</v>
      </c>
      <c r="U3300" s="5">
        <v>15000</v>
      </c>
      <c r="V3300" s="5"/>
      <c r="W3300" s="5" t="s">
        <v>36</v>
      </c>
      <c r="X3300" s="5" t="s">
        <v>196</v>
      </c>
      <c r="Z3300" s="5"/>
      <c r="AA3300" s="5" t="s">
        <v>1717</v>
      </c>
      <c r="AB3300" s="5"/>
      <c r="AC3300" s="8" t="str">
        <f>HYPERLINK("https://drive.google.com/file/d/1H_QkINEYms-41rP0xv5lE1vt5pZCcpZB/view?usp=drivesdk", "Abrir_Factura")</f>
        <v>Abrir_Factura</v>
      </c>
      <c r="AD3300" s="9">
        <v>46090.657858796294</v>
      </c>
    </row>
    <row r="3301" spans="1:30" ht="12.5">
      <c r="A3301" s="4">
        <v>46090.654087395829</v>
      </c>
      <c r="B3301" s="5">
        <v>93041</v>
      </c>
      <c r="C3301" s="5">
        <v>1001914635</v>
      </c>
      <c r="D3301" s="5" t="s">
        <v>14412</v>
      </c>
      <c r="F3301" s="5"/>
      <c r="H3301" s="5">
        <v>573003454454</v>
      </c>
      <c r="J3301" s="5" t="s">
        <v>14412</v>
      </c>
      <c r="K3301" s="5" t="s">
        <v>33</v>
      </c>
      <c r="L3301" s="5" t="s">
        <v>14375</v>
      </c>
      <c r="M3301" s="5">
        <v>573003454454</v>
      </c>
      <c r="N3301" s="6">
        <v>46090</v>
      </c>
      <c r="O3301" s="7">
        <v>0</v>
      </c>
      <c r="P3301" s="5">
        <v>1</v>
      </c>
      <c r="Q3301" s="5" t="s">
        <v>42</v>
      </c>
      <c r="R3301" s="5">
        <v>12000</v>
      </c>
      <c r="S3301" s="5">
        <v>0</v>
      </c>
      <c r="T3301" s="5">
        <v>0</v>
      </c>
      <c r="U3301" s="5">
        <v>12000</v>
      </c>
      <c r="V3301" s="5" t="s">
        <v>12325</v>
      </c>
      <c r="W3301" s="5" t="s">
        <v>36</v>
      </c>
      <c r="X3301" s="5" t="s">
        <v>196</v>
      </c>
      <c r="Z3301" s="5"/>
      <c r="AA3301" s="5" t="s">
        <v>1717</v>
      </c>
      <c r="AB3301" s="5" t="s">
        <v>1286</v>
      </c>
      <c r="AC3301" s="8" t="str">
        <f>HYPERLINK("https://drive.google.com/file/d/1E_xVKNZQaLCLZRafRChr0hRdP1eCLJuU/view?usp=drivesdk", "Abrir_Factura")</f>
        <v>Abrir_Factura</v>
      </c>
      <c r="AD3301" s="9">
        <v>46090.654583333337</v>
      </c>
    </row>
    <row r="3302" spans="1:30" ht="12.5">
      <c r="A3302" s="4">
        <v>46090.659489999998</v>
      </c>
      <c r="B3302" s="5">
        <v>93044</v>
      </c>
      <c r="C3302" s="5">
        <v>1034283762</v>
      </c>
      <c r="D3302" s="5" t="s">
        <v>14413</v>
      </c>
      <c r="F3302" s="5"/>
      <c r="H3302" s="5">
        <v>573014184815</v>
      </c>
      <c r="J3302" s="5" t="s">
        <v>14414</v>
      </c>
      <c r="K3302" s="5" t="s">
        <v>63</v>
      </c>
      <c r="L3302" s="5" t="s">
        <v>14415</v>
      </c>
      <c r="M3302" s="5">
        <v>573205337978</v>
      </c>
      <c r="N3302" s="6">
        <v>46091</v>
      </c>
      <c r="O3302" s="7">
        <v>0.70833333333333337</v>
      </c>
      <c r="P3302" s="5">
        <v>1</v>
      </c>
      <c r="Q3302" s="5" t="s">
        <v>918</v>
      </c>
      <c r="R3302" s="5">
        <v>250000</v>
      </c>
      <c r="S3302" s="5">
        <v>0</v>
      </c>
      <c r="T3302" s="5">
        <v>17000</v>
      </c>
      <c r="U3302" s="5">
        <v>267000</v>
      </c>
      <c r="V3302" s="5" t="s">
        <v>14416</v>
      </c>
      <c r="W3302" s="5" t="s">
        <v>36</v>
      </c>
      <c r="X3302" s="5" t="s">
        <v>12646</v>
      </c>
      <c r="Z3302" s="5" t="s">
        <v>14417</v>
      </c>
      <c r="AA3302" s="5" t="s">
        <v>44</v>
      </c>
      <c r="AB3302" s="5"/>
      <c r="AC3302" s="8" t="str">
        <f>HYPERLINK("https://drive.google.com/file/d/1LYvA-lr2MEEgpmRxyz8xarzbmsGRIl4N/view?usp=drivesdk", "Abrir_Factura")</f>
        <v>Abrir_Factura</v>
      </c>
      <c r="AD3302" s="9">
        <v>46090.669282407405</v>
      </c>
    </row>
    <row r="3303" spans="1:30" ht="12.5">
      <c r="A3303" s="4">
        <v>46090.673520763885</v>
      </c>
      <c r="B3303" s="5">
        <v>93049</v>
      </c>
      <c r="C3303" s="5">
        <v>1137977283</v>
      </c>
      <c r="D3303" s="5" t="s">
        <v>14418</v>
      </c>
      <c r="F3303" s="5"/>
      <c r="H3303" s="5">
        <v>573043613071</v>
      </c>
      <c r="J3303" s="5" t="s">
        <v>14419</v>
      </c>
      <c r="K3303" s="5" t="s">
        <v>249</v>
      </c>
      <c r="L3303" s="5" t="s">
        <v>14420</v>
      </c>
      <c r="M3303" s="5">
        <v>573209830972</v>
      </c>
      <c r="N3303" s="6">
        <v>46090</v>
      </c>
      <c r="O3303" s="7">
        <v>0.72916666666666663</v>
      </c>
      <c r="P3303" s="5">
        <v>1</v>
      </c>
      <c r="Q3303" s="5" t="s">
        <v>375</v>
      </c>
      <c r="R3303" s="5">
        <v>80000</v>
      </c>
      <c r="S3303" s="5">
        <v>0</v>
      </c>
      <c r="T3303" s="5">
        <v>10000</v>
      </c>
      <c r="U3303" s="5">
        <v>90000</v>
      </c>
      <c r="V3303" s="5" t="s">
        <v>14421</v>
      </c>
      <c r="W3303" s="5" t="s">
        <v>36</v>
      </c>
      <c r="X3303" s="5" t="s">
        <v>12646</v>
      </c>
      <c r="Z3303" s="5" t="s">
        <v>14422</v>
      </c>
      <c r="AA3303" s="5" t="s">
        <v>44</v>
      </c>
      <c r="AB3303" s="5"/>
      <c r="AC3303" s="8" t="str">
        <f>HYPERLINK("https://drive.google.com/file/d/1Eth4SUixqnfIInsP-udGcQAhPzTNACGO/view?usp=drivesdk", "Abrir_Factura")</f>
        <v>Abrir_Factura</v>
      </c>
      <c r="AD3303" s="9">
        <v>46090.71534722222</v>
      </c>
    </row>
    <row r="3304" spans="1:30" ht="12.5">
      <c r="A3304" s="4">
        <v>46090.676278680556</v>
      </c>
      <c r="B3304" s="5">
        <v>93045</v>
      </c>
      <c r="C3304" s="5">
        <v>1124000815</v>
      </c>
      <c r="D3304" s="5" t="s">
        <v>14423</v>
      </c>
      <c r="F3304" s="5"/>
      <c r="H3304" s="5">
        <v>570531683838</v>
      </c>
      <c r="J3304" s="5" t="s">
        <v>14424</v>
      </c>
      <c r="K3304" s="5" t="s">
        <v>103</v>
      </c>
      <c r="L3304" s="5" t="s">
        <v>14425</v>
      </c>
      <c r="M3304" s="5">
        <v>573505316838</v>
      </c>
      <c r="N3304" s="6">
        <v>46090</v>
      </c>
      <c r="O3304" s="7">
        <v>0.70833333333333337</v>
      </c>
      <c r="P3304" s="5">
        <v>1</v>
      </c>
      <c r="Q3304" s="5" t="s">
        <v>14426</v>
      </c>
      <c r="R3304" s="5">
        <v>179000</v>
      </c>
      <c r="S3304" s="5">
        <v>0</v>
      </c>
      <c r="T3304" s="5">
        <v>10000</v>
      </c>
      <c r="U3304" s="5">
        <v>189000</v>
      </c>
      <c r="V3304" s="5" t="s">
        <v>14427</v>
      </c>
      <c r="W3304" s="5" t="s">
        <v>36</v>
      </c>
      <c r="X3304" s="5" t="s">
        <v>12646</v>
      </c>
      <c r="Z3304" s="5"/>
      <c r="AA3304" s="5" t="s">
        <v>44</v>
      </c>
      <c r="AB3304" s="5"/>
      <c r="AC3304" s="8" t="str">
        <f>HYPERLINK("https://drive.google.com/file/d/1ksbpikIbMBdEZFwH6dFK5fw_ZUk86z4V/view?usp=drivesdk", "Abrir_Factura")</f>
        <v>Abrir_Factura</v>
      </c>
      <c r="AD3304" s="9">
        <v>46090.676886574074</v>
      </c>
    </row>
    <row r="3305" spans="1:30" ht="12.5">
      <c r="A3305" s="4">
        <v>46090.692504027778</v>
      </c>
      <c r="B3305" s="5">
        <v>93046</v>
      </c>
      <c r="C3305" s="5">
        <v>900475076</v>
      </c>
      <c r="D3305" s="5" t="s">
        <v>14428</v>
      </c>
      <c r="F3305" s="5"/>
      <c r="H3305" s="5">
        <v>573106857965</v>
      </c>
      <c r="J3305" s="5" t="s">
        <v>14429</v>
      </c>
      <c r="K3305" s="5" t="s">
        <v>161</v>
      </c>
      <c r="L3305" s="5" t="s">
        <v>14430</v>
      </c>
      <c r="M3305" s="5">
        <v>573105431366</v>
      </c>
      <c r="N3305" s="6">
        <v>46090</v>
      </c>
      <c r="O3305" s="7">
        <v>0.16666666666666666</v>
      </c>
      <c r="P3305" s="5">
        <v>1</v>
      </c>
      <c r="Q3305" s="5" t="s">
        <v>309</v>
      </c>
      <c r="R3305" s="5">
        <v>90000</v>
      </c>
      <c r="S3305" s="5">
        <v>17100</v>
      </c>
      <c r="T3305" s="5">
        <v>8000</v>
      </c>
      <c r="U3305" s="5">
        <v>115100</v>
      </c>
      <c r="V3305" s="5" t="s">
        <v>14431</v>
      </c>
      <c r="W3305" s="5" t="s">
        <v>36</v>
      </c>
      <c r="X3305" s="5" t="s">
        <v>67</v>
      </c>
      <c r="Z3305" s="5" t="s">
        <v>3330</v>
      </c>
      <c r="AA3305" s="5" t="s">
        <v>1717</v>
      </c>
      <c r="AB3305" s="5" t="s">
        <v>14432</v>
      </c>
      <c r="AC3305" s="8" t="str">
        <f>HYPERLINK("https://drive.google.com/file/d/1LAn6lbKnrDansII4zg5xQ6qBaOeqGFR8/view?usp=drivesdk", "Abrir_Factura")</f>
        <v>Abrir_Factura</v>
      </c>
      <c r="AD3305" s="9">
        <v>46090.694016203706</v>
      </c>
    </row>
    <row r="3306" spans="1:30" ht="12.5">
      <c r="A3306" s="4">
        <v>46090.70002142361</v>
      </c>
      <c r="B3306" s="5">
        <v>93047</v>
      </c>
      <c r="C3306" s="5">
        <v>1007236510</v>
      </c>
      <c r="D3306" s="5" t="s">
        <v>14433</v>
      </c>
      <c r="F3306" s="5"/>
      <c r="H3306" s="5">
        <v>573044819783</v>
      </c>
      <c r="J3306" s="5" t="s">
        <v>14433</v>
      </c>
      <c r="K3306" s="5" t="s">
        <v>33</v>
      </c>
      <c r="L3306" s="5" t="s">
        <v>14375</v>
      </c>
      <c r="M3306" s="5">
        <v>573044819783</v>
      </c>
      <c r="N3306" s="6">
        <v>46090</v>
      </c>
      <c r="O3306" s="7">
        <v>0.70833333333333337</v>
      </c>
      <c r="P3306" s="5">
        <v>1</v>
      </c>
      <c r="Q3306" s="5" t="s">
        <v>14265</v>
      </c>
      <c r="R3306" s="5">
        <v>80000</v>
      </c>
      <c r="S3306" s="5">
        <v>0</v>
      </c>
      <c r="T3306" s="5">
        <v>0</v>
      </c>
      <c r="U3306" s="5">
        <v>80000</v>
      </c>
      <c r="V3306" s="5" t="s">
        <v>1117</v>
      </c>
      <c r="W3306" s="5" t="s">
        <v>36</v>
      </c>
      <c r="X3306" s="5" t="s">
        <v>12646</v>
      </c>
      <c r="Z3306" s="5"/>
      <c r="AA3306" s="5" t="s">
        <v>1717</v>
      </c>
      <c r="AB3306" s="5"/>
      <c r="AC3306" s="8" t="str">
        <f>HYPERLINK("https://drive.google.com/file/d/144lXsKEStgHr7Zcn1rXn2MdHVWTfl3m1/view?usp=drivesdk", "Abrir_Factura")</f>
        <v>Abrir_Factura</v>
      </c>
      <c r="AD3306" s="9">
        <v>46090.701655092591</v>
      </c>
    </row>
    <row r="3307" spans="1:30" ht="12.5">
      <c r="A3307" s="4">
        <v>46090.71223636574</v>
      </c>
      <c r="B3307" s="5">
        <v>93048</v>
      </c>
      <c r="C3307" s="5">
        <v>1047345725</v>
      </c>
      <c r="D3307" s="5" t="s">
        <v>14434</v>
      </c>
      <c r="F3307" s="5"/>
      <c r="H3307" s="5">
        <v>573004234025</v>
      </c>
      <c r="J3307" s="5" t="s">
        <v>14435</v>
      </c>
      <c r="K3307" s="5" t="s">
        <v>2880</v>
      </c>
      <c r="L3307" s="5" t="s">
        <v>14436</v>
      </c>
      <c r="M3307" s="5">
        <v>573004234025</v>
      </c>
      <c r="N3307" s="6">
        <v>46091</v>
      </c>
      <c r="O3307" s="7">
        <v>0.33333333333333331</v>
      </c>
      <c r="P3307" s="5">
        <v>1</v>
      </c>
      <c r="Q3307" s="5" t="s">
        <v>42</v>
      </c>
      <c r="R3307" s="5">
        <v>225000</v>
      </c>
      <c r="S3307" s="5">
        <v>0</v>
      </c>
      <c r="T3307" s="5">
        <v>25000</v>
      </c>
      <c r="U3307" s="5">
        <v>250000</v>
      </c>
      <c r="V3307" s="5" t="s">
        <v>1117</v>
      </c>
      <c r="W3307" s="5" t="s">
        <v>36</v>
      </c>
      <c r="X3307" s="5" t="s">
        <v>180</v>
      </c>
      <c r="Z3307" s="5"/>
      <c r="AA3307" s="5" t="s">
        <v>1717</v>
      </c>
      <c r="AB3307" s="5" t="s">
        <v>14437</v>
      </c>
      <c r="AC3307" s="8" t="str">
        <f>HYPERLINK("https://drive.google.com/file/d/1ckhSAOeNJDtPHhFiaYrNJbotjLcs8BQ8/view?usp=drivesdk", "Abrir_Factura")</f>
        <v>Abrir_Factura</v>
      </c>
      <c r="AD3307" s="9">
        <v>46091.399398148147</v>
      </c>
    </row>
    <row r="3308" spans="1:30" ht="12.5">
      <c r="A3308" s="4">
        <v>46090.713593171298</v>
      </c>
      <c r="B3308" s="5">
        <v>93053</v>
      </c>
      <c r="C3308" s="5">
        <v>1042849572</v>
      </c>
      <c r="D3308" s="5" t="s">
        <v>14438</v>
      </c>
      <c r="F3308" s="5"/>
      <c r="H3308" s="5">
        <v>573226090059</v>
      </c>
      <c r="J3308" s="5" t="s">
        <v>14438</v>
      </c>
      <c r="K3308" s="5" t="s">
        <v>12657</v>
      </c>
      <c r="L3308" s="5" t="s">
        <v>12657</v>
      </c>
      <c r="M3308" s="5">
        <v>573226090059</v>
      </c>
      <c r="N3308" s="6">
        <v>46091</v>
      </c>
      <c r="O3308" s="7">
        <v>0.33333333333333331</v>
      </c>
      <c r="P3308" s="5">
        <v>1</v>
      </c>
      <c r="Q3308" s="5" t="s">
        <v>133</v>
      </c>
      <c r="R3308" s="5">
        <v>150000</v>
      </c>
      <c r="S3308" s="5">
        <v>0</v>
      </c>
      <c r="T3308" s="5"/>
      <c r="U3308" s="5">
        <v>150000</v>
      </c>
      <c r="V3308" s="5" t="s">
        <v>14439</v>
      </c>
      <c r="W3308" s="5" t="s">
        <v>36</v>
      </c>
      <c r="X3308" s="5" t="s">
        <v>2438</v>
      </c>
      <c r="Z3308" s="5" t="s">
        <v>10137</v>
      </c>
      <c r="AA3308" s="5" t="s">
        <v>44</v>
      </c>
      <c r="AB3308" s="5"/>
      <c r="AC3308" s="8" t="str">
        <f>HYPERLINK("https://drive.google.com/file/d/1QnOjigD5WGqts1gt72ER1EnKIVNb0Sml/view?usp=drivesdk", "Abrir_Factura")</f>
        <v>Abrir_Factura</v>
      </c>
      <c r="AD3308" s="9">
        <v>46090.760381944441</v>
      </c>
    </row>
    <row r="3309" spans="1:30" ht="12.5">
      <c r="A3309" s="4">
        <v>46090.725095231479</v>
      </c>
      <c r="B3309" s="5">
        <v>93052</v>
      </c>
      <c r="C3309" s="5">
        <v>1002213165</v>
      </c>
      <c r="D3309" s="5" t="s">
        <v>9361</v>
      </c>
      <c r="F3309" s="5"/>
      <c r="H3309" s="5">
        <v>573244055115</v>
      </c>
      <c r="J3309" s="5" t="s">
        <v>14440</v>
      </c>
      <c r="K3309" s="5" t="s">
        <v>33</v>
      </c>
      <c r="L3309" s="5" t="s">
        <v>14375</v>
      </c>
      <c r="M3309" s="5">
        <v>573244055115</v>
      </c>
      <c r="N3309" s="6">
        <v>46090</v>
      </c>
      <c r="O3309" s="7">
        <v>0</v>
      </c>
      <c r="P3309" s="5">
        <v>1</v>
      </c>
      <c r="Q3309" s="5" t="s">
        <v>42</v>
      </c>
      <c r="R3309" s="5">
        <v>40000</v>
      </c>
      <c r="S3309" s="5">
        <v>0</v>
      </c>
      <c r="T3309" s="5">
        <v>0</v>
      </c>
      <c r="U3309" s="5">
        <v>40000</v>
      </c>
      <c r="V3309" s="5" t="s">
        <v>1117</v>
      </c>
      <c r="W3309" s="5" t="s">
        <v>36</v>
      </c>
      <c r="X3309" s="5" t="s">
        <v>12646</v>
      </c>
      <c r="Z3309" s="5"/>
      <c r="AA3309" s="5" t="s">
        <v>44</v>
      </c>
      <c r="AB3309" s="5" t="s">
        <v>14441</v>
      </c>
      <c r="AC3309" s="8" t="str">
        <f>HYPERLINK("https://drive.google.com/file/d/1skW_VxHADgd0vXq6H6dYa4wbApm9WxEg/view?usp=drivesdk", "Abrir_Factura")</f>
        <v>Abrir_Factura</v>
      </c>
      <c r="AD3309" s="9">
        <v>46090.739884259259</v>
      </c>
    </row>
    <row r="3310" spans="1:30" ht="12.5">
      <c r="A3310" s="4">
        <v>46090.732808171291</v>
      </c>
      <c r="B3310" s="5">
        <v>93050</v>
      </c>
      <c r="C3310" s="5">
        <v>1042848205</v>
      </c>
      <c r="D3310" s="5" t="s">
        <v>14402</v>
      </c>
      <c r="F3310" s="5"/>
      <c r="H3310" s="5">
        <v>573207326329</v>
      </c>
      <c r="J3310" s="5" t="s">
        <v>14402</v>
      </c>
      <c r="K3310" s="5" t="s">
        <v>33</v>
      </c>
      <c r="L3310" s="5" t="s">
        <v>14375</v>
      </c>
      <c r="M3310" s="5">
        <v>573207326329</v>
      </c>
      <c r="N3310" s="6">
        <v>46090</v>
      </c>
      <c r="O3310" s="7">
        <v>0</v>
      </c>
      <c r="P3310" s="5">
        <v>1</v>
      </c>
      <c r="Q3310" s="5" t="s">
        <v>14265</v>
      </c>
      <c r="R3310" s="5">
        <v>80000</v>
      </c>
      <c r="S3310" s="5">
        <v>0</v>
      </c>
      <c r="T3310" s="5">
        <v>0</v>
      </c>
      <c r="U3310" s="5">
        <v>80000</v>
      </c>
      <c r="V3310" s="5" t="s">
        <v>1117</v>
      </c>
      <c r="W3310" s="5" t="s">
        <v>36</v>
      </c>
      <c r="X3310" s="5" t="s">
        <v>1705</v>
      </c>
      <c r="Z3310" s="5"/>
      <c r="AA3310" s="5" t="s">
        <v>1717</v>
      </c>
      <c r="AB3310" s="5"/>
      <c r="AC3310" s="8" t="str">
        <f>HYPERLINK("https://drive.google.com/file/d/19ghT_0tnxqo3Cxv5itHJ3lwPu7_NDBRO/view?usp=drivesdk", "Abrir_Factura")</f>
        <v>Abrir_Factura</v>
      </c>
      <c r="AD3310" s="9">
        <v>46090.734930555554</v>
      </c>
    </row>
    <row r="3311" spans="1:30" ht="12.5">
      <c r="A3311" s="4">
        <v>46090.737844490737</v>
      </c>
      <c r="B3311" s="5">
        <v>93051</v>
      </c>
      <c r="C3311" s="5">
        <v>8572847</v>
      </c>
      <c r="D3311" s="5" t="s">
        <v>14442</v>
      </c>
      <c r="F3311" s="5"/>
      <c r="H3311" s="5">
        <v>573104397397</v>
      </c>
      <c r="J3311" s="5" t="s">
        <v>14442</v>
      </c>
      <c r="K3311" s="5" t="s">
        <v>33</v>
      </c>
      <c r="L3311" s="5" t="s">
        <v>14375</v>
      </c>
      <c r="M3311" s="5">
        <v>573104397397</v>
      </c>
      <c r="N3311" s="6">
        <v>46090</v>
      </c>
      <c r="O3311" s="7">
        <v>0</v>
      </c>
      <c r="P3311" s="5">
        <v>1</v>
      </c>
      <c r="Q3311" s="5" t="s">
        <v>42</v>
      </c>
      <c r="R3311" s="5">
        <v>15000</v>
      </c>
      <c r="S3311" s="5">
        <v>0</v>
      </c>
      <c r="T3311" s="5">
        <v>0</v>
      </c>
      <c r="U3311" s="5">
        <v>15000</v>
      </c>
      <c r="V3311" s="5" t="s">
        <v>1117</v>
      </c>
      <c r="W3311" s="5" t="s">
        <v>36</v>
      </c>
      <c r="X3311" s="5" t="s">
        <v>1705</v>
      </c>
      <c r="Z3311" s="5"/>
      <c r="AA3311" s="5" t="s">
        <v>1717</v>
      </c>
      <c r="AB3311" s="5" t="s">
        <v>120</v>
      </c>
      <c r="AC3311" s="8" t="str">
        <f>HYPERLINK("https://drive.google.com/file/d/1p7EFWI5Dh1Dqge9_U3HwMUscy5xF_Ct-/view?usp=drivesdk", "Abrir_Factura")</f>
        <v>Abrir_Factura</v>
      </c>
      <c r="AD3311" s="9">
        <v>46090.738483796296</v>
      </c>
    </row>
    <row r="3312" spans="1:30" ht="12.5">
      <c r="A3312" s="4">
        <v>46091.291867106484</v>
      </c>
      <c r="B3312" s="5">
        <v>93054</v>
      </c>
      <c r="C3312" s="5">
        <v>0</v>
      </c>
      <c r="D3312" s="5" t="s">
        <v>14443</v>
      </c>
      <c r="F3312" s="5"/>
      <c r="H3312" s="5">
        <v>573000000002</v>
      </c>
      <c r="J3312" s="5" t="s">
        <v>14444</v>
      </c>
      <c r="K3312" s="5"/>
      <c r="L3312" s="5" t="s">
        <v>14445</v>
      </c>
      <c r="M3312" s="5"/>
      <c r="N3312" s="6">
        <v>46091</v>
      </c>
      <c r="O3312" s="7">
        <v>0.375</v>
      </c>
      <c r="P3312" s="5">
        <v>1</v>
      </c>
      <c r="Q3312" s="5" t="s">
        <v>133</v>
      </c>
      <c r="R3312" s="5">
        <v>150000</v>
      </c>
      <c r="S3312" s="5">
        <v>0</v>
      </c>
      <c r="T3312" s="5"/>
      <c r="U3312" s="5">
        <v>150000</v>
      </c>
      <c r="V3312" s="5" t="s">
        <v>14446</v>
      </c>
      <c r="W3312" s="5" t="s">
        <v>36</v>
      </c>
      <c r="X3312" s="5" t="s">
        <v>43</v>
      </c>
      <c r="Z3312" s="5"/>
      <c r="AA3312" s="5" t="s">
        <v>332</v>
      </c>
      <c r="AB3312" s="5"/>
      <c r="AC3312" s="8" t="str">
        <f>HYPERLINK("https://drive.google.com/file/d/1tDwdxsd8lfq90V-xRQalvXdbOEn6TZ6i/view?usp=drivesdk", "Abrir_Factura")</f>
        <v>Abrir_Factura</v>
      </c>
      <c r="AD3312" s="9">
        <v>46091.292488425926</v>
      </c>
    </row>
    <row r="3313" spans="1:30" ht="12.5">
      <c r="A3313" s="4">
        <v>46091.29993212963</v>
      </c>
      <c r="B3313" s="5">
        <v>93056</v>
      </c>
      <c r="C3313" s="5">
        <v>32775013</v>
      </c>
      <c r="D3313" s="5" t="s">
        <v>14447</v>
      </c>
      <c r="F3313" s="5"/>
      <c r="H3313" s="5">
        <v>57312864078064</v>
      </c>
      <c r="J3313" s="5" t="s">
        <v>14448</v>
      </c>
      <c r="K3313" s="5" t="s">
        <v>14449</v>
      </c>
      <c r="L3313" s="5" t="s">
        <v>14450</v>
      </c>
      <c r="M3313" s="5">
        <v>573128640780</v>
      </c>
      <c r="N3313" s="6">
        <v>46091</v>
      </c>
      <c r="O3313" s="7">
        <v>0.41666666666666669</v>
      </c>
      <c r="P3313" s="5">
        <v>1</v>
      </c>
      <c r="Q3313" s="5" t="s">
        <v>14451</v>
      </c>
      <c r="R3313" s="5">
        <v>350000</v>
      </c>
      <c r="S3313" s="5">
        <v>0</v>
      </c>
      <c r="T3313" s="5">
        <v>16000</v>
      </c>
      <c r="U3313" s="5">
        <v>366000</v>
      </c>
      <c r="V3313" s="5" t="s">
        <v>14452</v>
      </c>
      <c r="W3313" s="5" t="s">
        <v>36</v>
      </c>
      <c r="X3313" s="5" t="s">
        <v>180</v>
      </c>
      <c r="Z3313" s="5" t="s">
        <v>14453</v>
      </c>
      <c r="AA3313" s="5" t="s">
        <v>44</v>
      </c>
      <c r="AB3313" s="5"/>
      <c r="AC3313" s="8" t="str">
        <f>HYPERLINK("https://drive.google.com/file/d/1-B9BDyYugAlBQg02A0HnglQW9SDAGp1-/view?usp=drivesdk", "Abrir_Factura")</f>
        <v>Abrir_Factura</v>
      </c>
      <c r="AD3313" s="9">
        <v>46091.313125000001</v>
      </c>
    </row>
    <row r="3314" spans="1:30" ht="12.5">
      <c r="A3314" s="4">
        <v>46091.301776504624</v>
      </c>
      <c r="B3314" s="5">
        <v>93055</v>
      </c>
      <c r="C3314" s="5">
        <v>45607418</v>
      </c>
      <c r="D3314" s="5" t="s">
        <v>14454</v>
      </c>
      <c r="F3314" s="5"/>
      <c r="H3314" s="5">
        <v>573019085103</v>
      </c>
      <c r="J3314" s="5" t="s">
        <v>14454</v>
      </c>
      <c r="K3314" s="5" t="s">
        <v>307</v>
      </c>
      <c r="L3314" s="5" t="s">
        <v>14455</v>
      </c>
      <c r="M3314" s="5">
        <v>573019085103</v>
      </c>
      <c r="N3314" s="6">
        <v>46091</v>
      </c>
      <c r="O3314" s="7">
        <v>0.41666666666666669</v>
      </c>
      <c r="P3314" s="5">
        <v>1</v>
      </c>
      <c r="Q3314" s="5" t="s">
        <v>42</v>
      </c>
      <c r="R3314" s="5">
        <v>60000</v>
      </c>
      <c r="S3314" s="5">
        <v>0</v>
      </c>
      <c r="T3314" s="5">
        <v>10000</v>
      </c>
      <c r="U3314" s="5">
        <v>70000</v>
      </c>
      <c r="V3314" s="5"/>
      <c r="W3314" s="5" t="s">
        <v>36</v>
      </c>
      <c r="X3314" s="5" t="s">
        <v>12646</v>
      </c>
      <c r="Z3314" s="5"/>
      <c r="AA3314" s="5" t="s">
        <v>44</v>
      </c>
      <c r="AB3314" s="5" t="s">
        <v>14456</v>
      </c>
      <c r="AC3314" s="8" t="str">
        <f>HYPERLINK("https://drive.google.com/file/d/1UD_K_ud8oUNhTiCrBepf0smPJGOnGHVl/view?usp=drivesdk", "Abrir_Factura")</f>
        <v>Abrir_Factura</v>
      </c>
      <c r="AD3314" s="9">
        <v>46091.303206018521</v>
      </c>
    </row>
    <row r="3315" spans="1:30" ht="12.5">
      <c r="A3315" s="4">
        <v>46091.322883946763</v>
      </c>
      <c r="B3315" s="5">
        <v>93057</v>
      </c>
      <c r="C3315" s="5">
        <v>1044215210</v>
      </c>
      <c r="D3315" s="5" t="s">
        <v>14457</v>
      </c>
      <c r="F3315" s="5"/>
      <c r="H3315" s="5">
        <v>573007660285</v>
      </c>
      <c r="J3315" s="5" t="s">
        <v>14457</v>
      </c>
      <c r="K3315" s="5" t="s">
        <v>12657</v>
      </c>
      <c r="L3315" s="5" t="s">
        <v>12657</v>
      </c>
      <c r="M3315" s="5">
        <v>573007660285</v>
      </c>
      <c r="N3315" s="6">
        <v>46091</v>
      </c>
      <c r="O3315" s="7">
        <v>0</v>
      </c>
      <c r="P3315" s="5">
        <v>1</v>
      </c>
      <c r="Q3315" s="5" t="s">
        <v>14458</v>
      </c>
      <c r="R3315" s="5">
        <v>200000</v>
      </c>
      <c r="S3315" s="5">
        <v>0</v>
      </c>
      <c r="T3315" s="5"/>
      <c r="U3315" s="5">
        <v>200000</v>
      </c>
      <c r="V3315" s="5"/>
      <c r="W3315" s="5" t="s">
        <v>36</v>
      </c>
      <c r="X3315" s="5" t="s">
        <v>1705</v>
      </c>
      <c r="Z3315" s="5"/>
      <c r="AA3315" s="5" t="s">
        <v>1717</v>
      </c>
      <c r="AB3315" s="5"/>
      <c r="AC3315" s="8" t="str">
        <f>HYPERLINK("https://drive.google.com/file/d/1HW3QephLjLcxU96uIMLeuXhFc_7rdRWk/view?usp=drivesdk", "Abrir_Factura")</f>
        <v>Abrir_Factura</v>
      </c>
      <c r="AD3315" s="9">
        <v>46091.328125</v>
      </c>
    </row>
    <row r="3316" spans="1:30" ht="12.5">
      <c r="A3316" s="4">
        <v>46091.327696886576</v>
      </c>
      <c r="B3316" s="5">
        <v>93058</v>
      </c>
      <c r="C3316" s="5">
        <v>1044215210</v>
      </c>
      <c r="D3316" s="5" t="s">
        <v>14457</v>
      </c>
      <c r="F3316" s="5"/>
      <c r="H3316" s="5">
        <v>573007660285</v>
      </c>
      <c r="J3316" s="5" t="s">
        <v>14457</v>
      </c>
      <c r="K3316" s="5" t="s">
        <v>12657</v>
      </c>
      <c r="L3316" s="5" t="s">
        <v>12657</v>
      </c>
      <c r="M3316" s="5">
        <v>573007660285</v>
      </c>
      <c r="N3316" s="6">
        <v>46091</v>
      </c>
      <c r="O3316" s="7">
        <v>0</v>
      </c>
      <c r="P3316" s="5">
        <v>1</v>
      </c>
      <c r="Q3316" s="5" t="s">
        <v>14459</v>
      </c>
      <c r="R3316" s="5">
        <v>70000</v>
      </c>
      <c r="S3316" s="5">
        <v>0</v>
      </c>
      <c r="T3316" s="5"/>
      <c r="U3316" s="5">
        <v>70000</v>
      </c>
      <c r="V3316" s="5"/>
      <c r="W3316" s="5" t="s">
        <v>36</v>
      </c>
      <c r="X3316" s="5" t="s">
        <v>1705</v>
      </c>
      <c r="Z3316" s="5"/>
      <c r="AA3316" s="5" t="s">
        <v>1717</v>
      </c>
      <c r="AB3316" s="5"/>
      <c r="AC3316" s="8" t="str">
        <f>HYPERLINK("https://drive.google.com/file/d/1-8lav9Y4AY6O99tTq8tITB8Ocn31VOnQ/view?usp=drivesdk", "Abrir_Factura")</f>
        <v>Abrir_Factura</v>
      </c>
      <c r="AD3316" s="9">
        <v>46091.328715277778</v>
      </c>
    </row>
    <row r="3317" spans="1:30" ht="12.5">
      <c r="A3317" s="4">
        <v>46091.345722916667</v>
      </c>
      <c r="B3317" s="5">
        <v>93060</v>
      </c>
      <c r="C3317" s="5">
        <v>1005280742</v>
      </c>
      <c r="D3317" s="5" t="s">
        <v>13666</v>
      </c>
      <c r="F3317" s="5"/>
      <c r="H3317" s="5">
        <v>573123838194</v>
      </c>
      <c r="J3317" s="5" t="s">
        <v>13666</v>
      </c>
      <c r="K3317" s="5" t="s">
        <v>12657</v>
      </c>
      <c r="L3317" s="5" t="s">
        <v>12657</v>
      </c>
      <c r="M3317" s="5">
        <v>573123838194</v>
      </c>
      <c r="N3317" s="6">
        <v>46091</v>
      </c>
      <c r="O3317" s="7">
        <v>0.40833333333333333</v>
      </c>
      <c r="P3317" s="5">
        <v>1</v>
      </c>
      <c r="Q3317" s="5" t="s">
        <v>42</v>
      </c>
      <c r="R3317" s="5">
        <v>50000</v>
      </c>
      <c r="S3317" s="5">
        <v>0</v>
      </c>
      <c r="T3317" s="5"/>
      <c r="U3317" s="5">
        <v>50000</v>
      </c>
      <c r="V3317" s="5" t="s">
        <v>14460</v>
      </c>
      <c r="W3317" s="5" t="s">
        <v>36</v>
      </c>
      <c r="X3317" s="5" t="s">
        <v>1937</v>
      </c>
      <c r="Z3317" s="5" t="s">
        <v>13776</v>
      </c>
      <c r="AA3317" s="5" t="s">
        <v>44</v>
      </c>
      <c r="AB3317" s="5" t="s">
        <v>14461</v>
      </c>
      <c r="AC3317" s="8" t="str">
        <f>HYPERLINK("https://drive.google.com/file/d/1OQ_KDX4fj4XeXnDx4xtW17v5sd4elKJ7/view?usp=drivesdk", "Abrir_Factura")</f>
        <v>Abrir_Factura</v>
      </c>
      <c r="AD3317" s="9">
        <v>46091.381006944444</v>
      </c>
    </row>
    <row r="3318" spans="1:30" ht="12.5">
      <c r="A3318" s="4">
        <v>46091.3486677662</v>
      </c>
      <c r="B3318" s="5">
        <v>93059</v>
      </c>
      <c r="C3318" s="5">
        <v>1140884833</v>
      </c>
      <c r="D3318" s="5" t="s">
        <v>9613</v>
      </c>
      <c r="F3318" s="5"/>
      <c r="H3318" s="5">
        <v>573008307176</v>
      </c>
      <c r="J3318" s="5" t="s">
        <v>14462</v>
      </c>
      <c r="K3318" s="5" t="s">
        <v>185</v>
      </c>
      <c r="L3318" s="5" t="s">
        <v>14463</v>
      </c>
      <c r="M3318" s="5">
        <v>573008307176</v>
      </c>
      <c r="N3318" s="6">
        <v>46091</v>
      </c>
      <c r="O3318" s="7">
        <v>0.375</v>
      </c>
      <c r="P3318" s="5">
        <v>1</v>
      </c>
      <c r="Q3318" s="5" t="s">
        <v>12924</v>
      </c>
      <c r="R3318" s="5">
        <v>200000</v>
      </c>
      <c r="S3318" s="5">
        <v>0</v>
      </c>
      <c r="T3318" s="5">
        <v>8000</v>
      </c>
      <c r="U3318" s="5">
        <v>208000</v>
      </c>
      <c r="V3318" s="5" t="s">
        <v>14464</v>
      </c>
      <c r="W3318" s="5" t="s">
        <v>36</v>
      </c>
      <c r="X3318" s="5" t="s">
        <v>67</v>
      </c>
      <c r="Z3318" s="5" t="s">
        <v>14465</v>
      </c>
      <c r="AA3318" s="5" t="s">
        <v>44</v>
      </c>
      <c r="AB3318" s="5" t="s">
        <v>14466</v>
      </c>
      <c r="AC3318" s="8" t="str">
        <f>HYPERLINK("https://drive.google.com/file/d/14bbEqc728KvgY69f0J5s1S6IK_UAjZCV/view?usp=drivesdk", "Abrir_Factura")</f>
        <v>Abrir_Factura</v>
      </c>
      <c r="AD3318" s="9">
        <v>46091.356585648151</v>
      </c>
    </row>
    <row r="3319" spans="1:30" ht="12.5">
      <c r="A3319" s="4">
        <v>46091.351232777779</v>
      </c>
      <c r="B3319" s="5">
        <v>93061</v>
      </c>
      <c r="C3319" s="5">
        <v>6227790</v>
      </c>
      <c r="D3319" s="5" t="s">
        <v>14467</v>
      </c>
      <c r="F3319" s="5"/>
      <c r="H3319" s="5">
        <v>5719396251269</v>
      </c>
      <c r="J3319" s="5" t="s">
        <v>14468</v>
      </c>
      <c r="K3319" s="5" t="s">
        <v>103</v>
      </c>
      <c r="L3319" s="5" t="s">
        <v>14469</v>
      </c>
      <c r="M3319" s="5">
        <v>573105079636</v>
      </c>
      <c r="N3319" s="6">
        <v>46091</v>
      </c>
      <c r="O3319" s="7">
        <v>0.375</v>
      </c>
      <c r="P3319" s="5">
        <v>1</v>
      </c>
      <c r="Q3319" s="5" t="s">
        <v>14470</v>
      </c>
      <c r="R3319" s="5">
        <v>190000</v>
      </c>
      <c r="S3319" s="5">
        <v>0</v>
      </c>
      <c r="T3319" s="5">
        <v>10000</v>
      </c>
      <c r="U3319" s="5">
        <v>200000</v>
      </c>
      <c r="V3319" s="5" t="s">
        <v>14471</v>
      </c>
      <c r="W3319" s="5" t="s">
        <v>36</v>
      </c>
      <c r="X3319" s="5" t="s">
        <v>1937</v>
      </c>
      <c r="Z3319" s="5" t="s">
        <v>14472</v>
      </c>
      <c r="AA3319" s="5" t="s">
        <v>44</v>
      </c>
      <c r="AB3319" s="5"/>
      <c r="AC3319" s="8" t="str">
        <f>HYPERLINK("https://drive.google.com/file/d/1q42drYnR9chYM7Vt9OZoymc3wGqK-m9B/view?usp=drivesdk", "Abrir_Factura")</f>
        <v>Abrir_Factura</v>
      </c>
      <c r="AD3319" s="9">
        <v>46091.364259259259</v>
      </c>
    </row>
    <row r="3320" spans="1:30" ht="12.5">
      <c r="A3320" s="4">
        <v>46091.359922916672</v>
      </c>
      <c r="B3320" s="5">
        <v>93063</v>
      </c>
      <c r="C3320" s="5">
        <v>8815483</v>
      </c>
      <c r="D3320" s="5" t="s">
        <v>14473</v>
      </c>
      <c r="F3320" s="5"/>
      <c r="H3320" s="5">
        <v>578293545629</v>
      </c>
      <c r="J3320" s="5" t="s">
        <v>14474</v>
      </c>
      <c r="K3320" s="5" t="s">
        <v>124</v>
      </c>
      <c r="L3320" s="5" t="s">
        <v>14475</v>
      </c>
      <c r="M3320" s="5">
        <v>573017405738</v>
      </c>
      <c r="N3320" s="6">
        <v>46091</v>
      </c>
      <c r="O3320" s="7">
        <v>0.45833333333333331</v>
      </c>
      <c r="P3320" s="5">
        <v>1</v>
      </c>
      <c r="Q3320" s="5" t="s">
        <v>14476</v>
      </c>
      <c r="R3320" s="5">
        <v>160000</v>
      </c>
      <c r="S3320" s="5">
        <v>0</v>
      </c>
      <c r="T3320" s="5">
        <v>12000</v>
      </c>
      <c r="U3320" s="5">
        <v>172000</v>
      </c>
      <c r="V3320" s="5" t="s">
        <v>14477</v>
      </c>
      <c r="W3320" s="5" t="s">
        <v>36</v>
      </c>
      <c r="X3320" s="5" t="s">
        <v>1937</v>
      </c>
      <c r="Z3320" s="5" t="s">
        <v>6304</v>
      </c>
      <c r="AA3320" s="5" t="s">
        <v>44</v>
      </c>
      <c r="AB3320" s="5"/>
      <c r="AC3320" s="8" t="str">
        <f>HYPERLINK("https://drive.google.com/file/d/1YF6Z5O8QZvqhkJGg3BcXBvXmQ8aw-vqG/view?usp=drivesdk", "Abrir_Factura")</f>
        <v>Abrir_Factura</v>
      </c>
      <c r="AD3320" s="9">
        <v>46091.385393518518</v>
      </c>
    </row>
    <row r="3321" spans="1:30" ht="12.5">
      <c r="A3321" s="4">
        <v>46091.370815289352</v>
      </c>
      <c r="B3321" s="5">
        <v>93064</v>
      </c>
      <c r="C3321" s="5">
        <v>1098743738</v>
      </c>
      <c r="D3321" s="5" t="s">
        <v>14478</v>
      </c>
      <c r="F3321" s="5"/>
      <c r="H3321" s="5">
        <v>573168798455</v>
      </c>
      <c r="J3321" s="5" t="s">
        <v>14479</v>
      </c>
      <c r="K3321" s="5" t="s">
        <v>7476</v>
      </c>
      <c r="L3321" s="5" t="s">
        <v>14480</v>
      </c>
      <c r="M3321" s="5">
        <v>573002509412</v>
      </c>
      <c r="N3321" s="6">
        <v>46091</v>
      </c>
      <c r="O3321" s="7">
        <v>0.45833333333333331</v>
      </c>
      <c r="P3321" s="5">
        <v>1</v>
      </c>
      <c r="Q3321" s="5" t="s">
        <v>375</v>
      </c>
      <c r="R3321" s="5">
        <v>80000</v>
      </c>
      <c r="S3321" s="5">
        <v>0</v>
      </c>
      <c r="T3321" s="5">
        <v>17000</v>
      </c>
      <c r="U3321" s="5">
        <v>97000</v>
      </c>
      <c r="V3321" s="5" t="s">
        <v>14481</v>
      </c>
      <c r="W3321" s="5" t="s">
        <v>36</v>
      </c>
      <c r="X3321" s="5" t="s">
        <v>67</v>
      </c>
      <c r="Z3321" s="5" t="s">
        <v>14482</v>
      </c>
      <c r="AA3321" s="5" t="s">
        <v>44</v>
      </c>
      <c r="AB3321" s="5"/>
      <c r="AC3321" s="8" t="str">
        <f>HYPERLINK("https://drive.google.com/file/d/1_Pbaru0rcw8D3Yk0xb46tVzAePqzxe1T/view?usp=drivesdk", "Abrir_Factura")</f>
        <v>Abrir_Factura</v>
      </c>
      <c r="AD3321" s="9">
        <v>46091.387129629627</v>
      </c>
    </row>
    <row r="3322" spans="1:30" ht="12.5">
      <c r="A3322" s="4">
        <v>46091.378176180559</v>
      </c>
      <c r="B3322" s="5">
        <v>93062</v>
      </c>
      <c r="C3322" s="5">
        <v>32545474</v>
      </c>
      <c r="D3322" s="5" t="s">
        <v>14483</v>
      </c>
      <c r="F3322" s="5"/>
      <c r="H3322" s="5">
        <v>573000000000</v>
      </c>
      <c r="J3322" s="5" t="s">
        <v>14484</v>
      </c>
      <c r="K3322" s="5" t="s">
        <v>103</v>
      </c>
      <c r="L3322" s="5" t="s">
        <v>14485</v>
      </c>
      <c r="M3322" s="5">
        <v>573000000000</v>
      </c>
      <c r="N3322" s="6">
        <v>46091</v>
      </c>
      <c r="O3322" s="7">
        <v>0.45833333333333331</v>
      </c>
      <c r="P3322" s="5">
        <v>1</v>
      </c>
      <c r="Q3322" s="5" t="s">
        <v>14470</v>
      </c>
      <c r="R3322" s="5">
        <v>190000</v>
      </c>
      <c r="S3322" s="5">
        <v>0</v>
      </c>
      <c r="T3322" s="5">
        <v>10000</v>
      </c>
      <c r="U3322" s="5">
        <v>200000</v>
      </c>
      <c r="V3322" s="5" t="s">
        <v>14486</v>
      </c>
      <c r="W3322" s="5" t="s">
        <v>36</v>
      </c>
      <c r="X3322" s="5" t="s">
        <v>196</v>
      </c>
      <c r="Z3322" s="5"/>
      <c r="AA3322" s="5" t="s">
        <v>1717</v>
      </c>
      <c r="AB3322" s="5"/>
      <c r="AC3322" s="8" t="str">
        <f>HYPERLINK("https://drive.google.com/file/d/1H_bNOMo-u0o0olmqtLGwQCMCMISlizQv/view?usp=drivesdk", "Abrir_Factura")</f>
        <v>Abrir_Factura</v>
      </c>
      <c r="AD3322" s="9">
        <v>46091.379756944443</v>
      </c>
    </row>
    <row r="3323" spans="1:30" ht="12.5">
      <c r="A3323" s="4">
        <v>46091.414524722219</v>
      </c>
      <c r="B3323" s="5">
        <v>93068</v>
      </c>
      <c r="C3323" s="5">
        <v>441135</v>
      </c>
      <c r="D3323" s="5" t="s">
        <v>14487</v>
      </c>
      <c r="F3323" s="5"/>
      <c r="H3323" s="5">
        <v>41424142358683</v>
      </c>
      <c r="J3323" s="5" t="s">
        <v>2489</v>
      </c>
      <c r="K3323" s="5" t="s">
        <v>563</v>
      </c>
      <c r="L3323" s="5" t="s">
        <v>14488</v>
      </c>
      <c r="M3323" s="5"/>
      <c r="N3323" s="6">
        <v>46091</v>
      </c>
      <c r="O3323" s="7">
        <v>0.52083333333333337</v>
      </c>
      <c r="P3323" s="5">
        <v>1</v>
      </c>
      <c r="Q3323" s="5" t="s">
        <v>14489</v>
      </c>
      <c r="R3323" s="5">
        <v>240000</v>
      </c>
      <c r="S3323" s="5">
        <v>0</v>
      </c>
      <c r="T3323" s="5">
        <v>15000</v>
      </c>
      <c r="U3323" s="5">
        <v>255000</v>
      </c>
      <c r="V3323" s="5" t="s">
        <v>14490</v>
      </c>
      <c r="W3323" s="5" t="s">
        <v>36</v>
      </c>
      <c r="X3323" s="5" t="s">
        <v>67</v>
      </c>
      <c r="Z3323" s="5" t="s">
        <v>14491</v>
      </c>
      <c r="AA3323" s="5" t="s">
        <v>44</v>
      </c>
      <c r="AB3323" s="5"/>
      <c r="AC3323" s="8" t="str">
        <f>HYPERLINK("https://drive.google.com/file/d/12QoK4ib7Hq5F07E8D0O585Zi-SWFmQfI/view?usp=drivesdk", "Abrir_Factura")</f>
        <v>Abrir_Factura</v>
      </c>
      <c r="AD3323" s="9">
        <v>46091.471967592595</v>
      </c>
    </row>
    <row r="3324" spans="1:30" ht="12.5">
      <c r="A3324" s="4">
        <v>46091.442593425927</v>
      </c>
      <c r="B3324" s="5">
        <v>93065</v>
      </c>
      <c r="C3324" s="5">
        <v>1041893290</v>
      </c>
      <c r="D3324" s="5" t="s">
        <v>14492</v>
      </c>
      <c r="F3324" s="5"/>
      <c r="H3324" s="5">
        <v>573226436691</v>
      </c>
      <c r="J3324" s="5" t="s">
        <v>14493</v>
      </c>
      <c r="K3324" s="5" t="s">
        <v>2381</v>
      </c>
      <c r="L3324" s="5" t="s">
        <v>14494</v>
      </c>
      <c r="M3324" s="5">
        <v>573205803522</v>
      </c>
      <c r="N3324" s="6">
        <v>46091</v>
      </c>
      <c r="O3324" s="7">
        <v>0.5</v>
      </c>
      <c r="P3324" s="5">
        <v>1</v>
      </c>
      <c r="Q3324" s="5" t="s">
        <v>335</v>
      </c>
      <c r="R3324" s="5">
        <v>120000</v>
      </c>
      <c r="S3324" s="5">
        <v>0</v>
      </c>
      <c r="T3324" s="5">
        <v>18000</v>
      </c>
      <c r="U3324" s="5">
        <v>138000</v>
      </c>
      <c r="V3324" s="5" t="s">
        <v>14495</v>
      </c>
      <c r="W3324" s="5" t="s">
        <v>36</v>
      </c>
      <c r="X3324" s="5" t="s">
        <v>204</v>
      </c>
      <c r="Z3324" s="5" t="s">
        <v>14496</v>
      </c>
      <c r="AA3324" s="5" t="s">
        <v>44</v>
      </c>
      <c r="AB3324" s="5" t="s">
        <v>14497</v>
      </c>
      <c r="AC3324" s="8" t="str">
        <f>HYPERLINK("https://drive.google.com/file/d/1opUcK_zxycYoxT4MWsXxqGkDuB0qHpp0/view?usp=drivesdk", "Abrir_Factura")</f>
        <v>Abrir_Factura</v>
      </c>
      <c r="AD3324" s="9">
        <v>46091.456828703704</v>
      </c>
    </row>
    <row r="3325" spans="1:30" ht="12.5">
      <c r="A3325" s="4">
        <v>46091.44629605324</v>
      </c>
      <c r="B3325" s="5">
        <v>93067</v>
      </c>
      <c r="C3325" s="5">
        <v>1234098362</v>
      </c>
      <c r="D3325" s="5" t="s">
        <v>14498</v>
      </c>
      <c r="F3325" s="5"/>
      <c r="H3325" s="5">
        <v>573243907466</v>
      </c>
      <c r="J3325" s="5" t="s">
        <v>14499</v>
      </c>
      <c r="K3325" s="5" t="s">
        <v>73</v>
      </c>
      <c r="L3325" s="5" t="s">
        <v>14500</v>
      </c>
      <c r="M3325" s="5">
        <v>573002257529</v>
      </c>
      <c r="N3325" s="6">
        <v>46095</v>
      </c>
      <c r="O3325" s="7">
        <v>0.52083333333333337</v>
      </c>
      <c r="P3325" s="5">
        <v>1</v>
      </c>
      <c r="Q3325" s="5" t="s">
        <v>210</v>
      </c>
      <c r="R3325" s="5">
        <v>170000</v>
      </c>
      <c r="S3325" s="5">
        <v>0</v>
      </c>
      <c r="T3325" s="5">
        <v>8000</v>
      </c>
      <c r="U3325" s="5">
        <v>178000</v>
      </c>
      <c r="V3325" s="5" t="s">
        <v>14501</v>
      </c>
      <c r="W3325" s="5" t="s">
        <v>36</v>
      </c>
      <c r="X3325" s="5" t="s">
        <v>67</v>
      </c>
      <c r="Z3325" s="5"/>
      <c r="AA3325" s="5" t="s">
        <v>44</v>
      </c>
      <c r="AB3325" s="5" t="s">
        <v>14502</v>
      </c>
      <c r="AC3325" s="8" t="str">
        <f>HYPERLINK("https://drive.google.com/file/d/1SprBMEYtbSanTLtTUZH-sml0fhjAN6dc/view?usp=drivesdk", "Abrir_Factura")</f>
        <v>Abrir_Factura</v>
      </c>
      <c r="AD3325" s="9">
        <v>46091.465810185182</v>
      </c>
    </row>
    <row r="3326" spans="1:30" ht="12.5">
      <c r="A3326" s="4">
        <v>46091.450294085647</v>
      </c>
      <c r="B3326" s="5">
        <v>93066</v>
      </c>
      <c r="C3326" s="5">
        <v>1045713643</v>
      </c>
      <c r="D3326" s="5" t="s">
        <v>14503</v>
      </c>
      <c r="F3326" s="5"/>
      <c r="H3326" s="5">
        <v>573002524546</v>
      </c>
      <c r="J3326" s="5" t="s">
        <v>14504</v>
      </c>
      <c r="K3326" s="5" t="s">
        <v>265</v>
      </c>
      <c r="L3326" s="5" t="s">
        <v>14505</v>
      </c>
      <c r="M3326" s="5">
        <v>573002524546</v>
      </c>
      <c r="N3326" s="6">
        <v>46092</v>
      </c>
      <c r="O3326" s="7">
        <v>0.54166666666666663</v>
      </c>
      <c r="P3326" s="5">
        <v>1</v>
      </c>
      <c r="Q3326" s="5" t="s">
        <v>14314</v>
      </c>
      <c r="R3326" s="5">
        <v>220000</v>
      </c>
      <c r="S3326" s="5">
        <v>0</v>
      </c>
      <c r="T3326" s="5">
        <v>17000</v>
      </c>
      <c r="U3326" s="5">
        <v>237000</v>
      </c>
      <c r="V3326" s="5" t="s">
        <v>14506</v>
      </c>
      <c r="W3326" s="5" t="s">
        <v>36</v>
      </c>
      <c r="X3326" s="5" t="s">
        <v>1481</v>
      </c>
      <c r="Z3326" s="5" t="s">
        <v>14507</v>
      </c>
      <c r="AA3326" s="5" t="s">
        <v>44</v>
      </c>
      <c r="AB3326" s="5" t="s">
        <v>14508</v>
      </c>
      <c r="AC3326" s="8" t="str">
        <f>HYPERLINK("https://drive.google.com/file/d/16kaZ5I0gQLWgnEmYMd55eGr3c7Ksy0pS/view?usp=drivesdk", "Abrir_Factura")</f>
        <v>Abrir_Factura</v>
      </c>
      <c r="AD3326" s="9">
        <v>46091.464444444442</v>
      </c>
    </row>
    <row r="3327" spans="1:30" ht="12.5">
      <c r="A3327" s="4">
        <v>46091.454334537033</v>
      </c>
      <c r="B3327" s="5">
        <v>93070</v>
      </c>
      <c r="C3327" s="5">
        <v>1193502533</v>
      </c>
      <c r="D3327" s="5" t="s">
        <v>14509</v>
      </c>
      <c r="F3327" s="5"/>
      <c r="H3327" s="5">
        <v>573046484291</v>
      </c>
      <c r="J3327" s="5" t="s">
        <v>14510</v>
      </c>
      <c r="K3327" s="5" t="s">
        <v>892</v>
      </c>
      <c r="L3327" s="5" t="s">
        <v>14511</v>
      </c>
      <c r="M3327" s="5">
        <v>573004840859</v>
      </c>
      <c r="N3327" s="6">
        <v>46091</v>
      </c>
      <c r="O3327" s="7">
        <v>0.75</v>
      </c>
      <c r="P3327" s="5">
        <v>1</v>
      </c>
      <c r="Q3327" s="5" t="s">
        <v>309</v>
      </c>
      <c r="R3327" s="5">
        <v>90000</v>
      </c>
      <c r="S3327" s="5">
        <v>0</v>
      </c>
      <c r="T3327" s="5">
        <v>10000</v>
      </c>
      <c r="U3327" s="5">
        <v>100000</v>
      </c>
      <c r="V3327" s="5" t="s">
        <v>14512</v>
      </c>
      <c r="W3327" s="5" t="s">
        <v>36</v>
      </c>
      <c r="X3327" s="5" t="s">
        <v>67</v>
      </c>
      <c r="Z3327" s="5" t="s">
        <v>14513</v>
      </c>
      <c r="AA3327" s="5" t="s">
        <v>44</v>
      </c>
      <c r="AB3327" s="5" t="s">
        <v>14514</v>
      </c>
      <c r="AC3327" s="8" t="str">
        <f>HYPERLINK("https://drive.google.com/file/d/14nlN8ntz0ORIrayTtCMO5HsOZ0mMmV6G/view?usp=drivesdk", "Abrir_Factura")</f>
        <v>Abrir_Factura</v>
      </c>
      <c r="AD3327" s="9">
        <v>46091.49690972222</v>
      </c>
    </row>
    <row r="3328" spans="1:30" ht="12.5">
      <c r="A3328" s="4">
        <v>46091.455836435183</v>
      </c>
      <c r="B3328" s="5"/>
      <c r="C3328" s="5">
        <v>1143469484</v>
      </c>
      <c r="D3328" s="5" t="s">
        <v>14515</v>
      </c>
      <c r="F3328" s="5"/>
      <c r="H3328" s="5">
        <v>573004871210</v>
      </c>
      <c r="J3328" s="5" t="s">
        <v>14516</v>
      </c>
      <c r="K3328" s="5" t="s">
        <v>563</v>
      </c>
      <c r="L3328" s="5" t="s">
        <v>14517</v>
      </c>
      <c r="M3328" s="5">
        <v>573004871210</v>
      </c>
      <c r="N3328" s="6">
        <v>46094</v>
      </c>
      <c r="O3328" s="7">
        <v>0</v>
      </c>
      <c r="P3328" s="5">
        <v>1</v>
      </c>
      <c r="Q3328" s="5" t="s">
        <v>42</v>
      </c>
      <c r="R3328" s="5">
        <v>0</v>
      </c>
      <c r="S3328" s="5">
        <v>0</v>
      </c>
      <c r="T3328" s="5">
        <v>15000</v>
      </c>
      <c r="U3328" s="5">
        <v>15000</v>
      </c>
      <c r="V3328" s="5" t="s">
        <v>14518</v>
      </c>
      <c r="W3328" s="5" t="s">
        <v>6139</v>
      </c>
      <c r="X3328" s="5"/>
      <c r="Z3328" s="5"/>
      <c r="AA3328" s="5"/>
      <c r="AB3328" s="5" t="s">
        <v>14519</v>
      </c>
      <c r="AD3328" s="9"/>
    </row>
    <row r="3329" spans="1:30" ht="12.5">
      <c r="A3329" s="4">
        <v>46091.467185729169</v>
      </c>
      <c r="B3329" s="5"/>
      <c r="C3329" s="5">
        <v>1055918601</v>
      </c>
      <c r="D3329" s="5" t="s">
        <v>14520</v>
      </c>
      <c r="F3329" s="5"/>
      <c r="H3329" s="5">
        <v>573008606738</v>
      </c>
      <c r="J3329" s="5" t="s">
        <v>14520</v>
      </c>
      <c r="K3329" s="5" t="s">
        <v>12657</v>
      </c>
      <c r="L3329" s="5" t="s">
        <v>12657</v>
      </c>
      <c r="M3329" s="5">
        <v>573008606738</v>
      </c>
      <c r="N3329" s="6">
        <v>46091</v>
      </c>
      <c r="O3329" s="7">
        <v>0</v>
      </c>
      <c r="P3329" s="5">
        <v>1</v>
      </c>
      <c r="Q3329" s="5" t="s">
        <v>2796</v>
      </c>
      <c r="R3329" s="5">
        <v>380000</v>
      </c>
      <c r="S3329" s="5">
        <v>0</v>
      </c>
      <c r="T3329" s="5">
        <v>0</v>
      </c>
      <c r="U3329" s="5">
        <v>380000</v>
      </c>
      <c r="V3329" s="5" t="s">
        <v>14521</v>
      </c>
      <c r="W3329" s="5" t="s">
        <v>6139</v>
      </c>
      <c r="X3329" s="5"/>
      <c r="Z3329" s="5" t="s">
        <v>3903</v>
      </c>
      <c r="AA3329" s="5"/>
      <c r="AB3329" s="5" t="s">
        <v>14522</v>
      </c>
      <c r="AD3329" s="9"/>
    </row>
    <row r="3330" spans="1:30" ht="12.5">
      <c r="A3330" s="4">
        <v>46091.482766539353</v>
      </c>
      <c r="B3330" s="5">
        <v>93072</v>
      </c>
      <c r="C3330" s="5">
        <v>1044430728</v>
      </c>
      <c r="D3330" s="5" t="s">
        <v>14523</v>
      </c>
      <c r="F3330" s="5"/>
      <c r="H3330" s="5">
        <v>573214439414</v>
      </c>
      <c r="J3330" s="5" t="s">
        <v>14524</v>
      </c>
      <c r="K3330" s="5" t="s">
        <v>516</v>
      </c>
      <c r="L3330" s="5" t="s">
        <v>14525</v>
      </c>
      <c r="M3330" s="5">
        <v>573124653367</v>
      </c>
      <c r="N3330" s="6">
        <v>46091</v>
      </c>
      <c r="O3330" s="7">
        <v>0.58333333333333337</v>
      </c>
      <c r="P3330" s="5">
        <v>1</v>
      </c>
      <c r="Q3330" s="5" t="s">
        <v>14526</v>
      </c>
      <c r="R3330" s="5">
        <v>250000</v>
      </c>
      <c r="S3330" s="5">
        <v>0</v>
      </c>
      <c r="T3330" s="5">
        <v>10000</v>
      </c>
      <c r="U3330" s="5">
        <v>260000</v>
      </c>
      <c r="V3330" s="5" t="s">
        <v>14527</v>
      </c>
      <c r="W3330" s="5" t="s">
        <v>36</v>
      </c>
      <c r="X3330" s="5" t="s">
        <v>67</v>
      </c>
      <c r="Z3330" s="5" t="s">
        <v>14528</v>
      </c>
      <c r="AA3330" s="5" t="s">
        <v>44</v>
      </c>
      <c r="AB3330" s="5"/>
      <c r="AC3330" s="8" t="str">
        <f>HYPERLINK("https://drive.google.com/file/d/1gJHQRgtEASwVrHSu-PDmE55Wdi0flxhd/view?usp=drivesdk", "Abrir_Factura")</f>
        <v>Abrir_Factura</v>
      </c>
      <c r="AD3330" s="9">
        <v>46091.526585648149</v>
      </c>
    </row>
    <row r="3331" spans="1:30" ht="12.5">
      <c r="A3331" s="4">
        <v>46091.492127835649</v>
      </c>
      <c r="B3331" s="5"/>
      <c r="C3331" s="5">
        <v>1002157808</v>
      </c>
      <c r="D3331" s="5" t="s">
        <v>14529</v>
      </c>
      <c r="F3331" s="5"/>
      <c r="H3331" s="5">
        <v>573014741914</v>
      </c>
      <c r="J3331" s="5" t="s">
        <v>14530</v>
      </c>
      <c r="K3331" s="5" t="s">
        <v>63</v>
      </c>
      <c r="L3331" s="5" t="s">
        <v>14531</v>
      </c>
      <c r="M3331" s="5">
        <v>573106300516</v>
      </c>
      <c r="N3331" s="6">
        <v>46091</v>
      </c>
      <c r="O3331" s="7">
        <v>0</v>
      </c>
      <c r="P3331" s="5">
        <v>1</v>
      </c>
      <c r="Q3331" s="5" t="s">
        <v>335</v>
      </c>
      <c r="R3331" s="5">
        <v>120000</v>
      </c>
      <c r="S3331" s="5">
        <v>0</v>
      </c>
      <c r="T3331" s="5">
        <v>17000</v>
      </c>
      <c r="U3331" s="5">
        <v>137000</v>
      </c>
      <c r="V3331" s="5" t="s">
        <v>14532</v>
      </c>
      <c r="W3331" s="5" t="s">
        <v>6139</v>
      </c>
      <c r="X3331" s="5"/>
      <c r="Z3331" s="5" t="s">
        <v>14533</v>
      </c>
      <c r="AA3331" s="5"/>
      <c r="AB3331" s="5"/>
      <c r="AD3331" s="9"/>
    </row>
    <row r="3332" spans="1:30" ht="12.5">
      <c r="A3332" s="4">
        <v>46091.494116064816</v>
      </c>
      <c r="B3332" s="5">
        <v>93069</v>
      </c>
      <c r="C3332" s="5">
        <v>1140875798</v>
      </c>
      <c r="D3332" s="5" t="s">
        <v>14534</v>
      </c>
      <c r="F3332" s="5"/>
      <c r="H3332" s="5">
        <v>573238143135</v>
      </c>
      <c r="J3332" s="5" t="s">
        <v>14534</v>
      </c>
      <c r="K3332" s="5" t="s">
        <v>33</v>
      </c>
      <c r="L3332" s="5" t="s">
        <v>12983</v>
      </c>
      <c r="M3332" s="5">
        <v>573238143135</v>
      </c>
      <c r="N3332" s="6">
        <v>46091</v>
      </c>
      <c r="O3332" s="7">
        <v>0.625</v>
      </c>
      <c r="P3332" s="5">
        <v>1</v>
      </c>
      <c r="Q3332" s="5" t="s">
        <v>42</v>
      </c>
      <c r="R3332" s="5">
        <v>36000</v>
      </c>
      <c r="S3332" s="5">
        <v>0</v>
      </c>
      <c r="T3332" s="5">
        <v>0</v>
      </c>
      <c r="U3332" s="5">
        <v>36000</v>
      </c>
      <c r="V3332" s="5" t="s">
        <v>1117</v>
      </c>
      <c r="W3332" s="5" t="s">
        <v>36</v>
      </c>
      <c r="X3332" s="5" t="s">
        <v>67</v>
      </c>
      <c r="Z3332" s="5"/>
      <c r="AA3332" s="5" t="s">
        <v>44</v>
      </c>
      <c r="AB3332" s="5" t="s">
        <v>14535</v>
      </c>
      <c r="AC3332" s="8" t="str">
        <f>HYPERLINK("https://drive.google.com/file/d/1RrGU3Rk12_yDzCOMzms1q7AXQQ2fcoJO/view?usp=drivesdk", "Abrir_Factura")</f>
        <v>Abrir_Factura</v>
      </c>
      <c r="AD3332" s="9">
        <v>46091.495104166665</v>
      </c>
    </row>
    <row r="3333" spans="1:30" ht="12.5">
      <c r="A3333" s="4">
        <v>46091.507255104167</v>
      </c>
      <c r="B3333" s="5">
        <v>93071</v>
      </c>
      <c r="C3333" s="5">
        <v>1140824252</v>
      </c>
      <c r="D3333" s="5" t="s">
        <v>14536</v>
      </c>
      <c r="F3333" s="5"/>
      <c r="H3333" s="5">
        <v>5713059685691</v>
      </c>
      <c r="J3333" s="5" t="s">
        <v>9172</v>
      </c>
      <c r="K3333" s="5" t="s">
        <v>110</v>
      </c>
      <c r="L3333" s="5" t="s">
        <v>14537</v>
      </c>
      <c r="M3333" s="5">
        <v>573116823754</v>
      </c>
      <c r="N3333" s="6">
        <v>46091</v>
      </c>
      <c r="O3333" s="7">
        <v>0.58333333333333337</v>
      </c>
      <c r="P3333" s="5">
        <v>1</v>
      </c>
      <c r="Q3333" s="5" t="s">
        <v>14538</v>
      </c>
      <c r="R3333" s="5">
        <v>80000</v>
      </c>
      <c r="S3333" s="5">
        <v>0</v>
      </c>
      <c r="T3333" s="5">
        <v>6000</v>
      </c>
      <c r="U3333" s="5">
        <v>86000</v>
      </c>
      <c r="V3333" s="5" t="s">
        <v>14539</v>
      </c>
      <c r="W3333" s="5" t="s">
        <v>36</v>
      </c>
      <c r="X3333" s="5" t="s">
        <v>67</v>
      </c>
      <c r="Z3333" s="5"/>
      <c r="AA3333" s="5" t="s">
        <v>44</v>
      </c>
      <c r="AB3333" s="5"/>
      <c r="AC3333" s="8" t="str">
        <f>HYPERLINK("https://drive.google.com/file/d/1f9ko7-xPwTsufI0BdKAJbaHs9g4yNfhQ/view?usp=drivesdk", "Abrir_Factura")</f>
        <v>Abrir_Factura</v>
      </c>
      <c r="AD3333" s="9">
        <v>46091.507905092592</v>
      </c>
    </row>
    <row r="3334" spans="1:30" ht="12.5">
      <c r="A3334" s="4">
        <v>46091.522198819446</v>
      </c>
      <c r="B3334" s="5"/>
      <c r="C3334" s="5">
        <v>1095819547</v>
      </c>
      <c r="D3334" s="5" t="s">
        <v>14540</v>
      </c>
      <c r="F3334" s="5"/>
      <c r="H3334" s="5">
        <v>573135381489</v>
      </c>
      <c r="J3334" s="5" t="s">
        <v>14541</v>
      </c>
      <c r="K3334" s="5" t="s">
        <v>154</v>
      </c>
      <c r="L3334" s="5" t="s">
        <v>14542</v>
      </c>
      <c r="M3334" s="5">
        <v>573243092790</v>
      </c>
      <c r="N3334" s="6">
        <v>46091</v>
      </c>
      <c r="O3334" s="7">
        <v>0</v>
      </c>
      <c r="P3334" s="5">
        <v>1</v>
      </c>
      <c r="Q3334" s="5" t="s">
        <v>14265</v>
      </c>
      <c r="R3334" s="5">
        <v>80000</v>
      </c>
      <c r="S3334" s="5">
        <v>0</v>
      </c>
      <c r="T3334" s="5">
        <v>8000</v>
      </c>
      <c r="U3334" s="5">
        <v>88000</v>
      </c>
      <c r="V3334" s="5" t="s">
        <v>14543</v>
      </c>
      <c r="W3334" s="5" t="s">
        <v>6139</v>
      </c>
      <c r="X3334" s="5"/>
      <c r="Z3334" s="5"/>
      <c r="AA3334" s="5"/>
      <c r="AB3334" s="5"/>
      <c r="AD3334" s="9"/>
    </row>
    <row r="3335" spans="1:30" ht="12.5">
      <c r="A3335" s="4">
        <v>46091.523115752316</v>
      </c>
      <c r="B3335" s="5"/>
      <c r="C3335" s="5">
        <v>1002157808</v>
      </c>
      <c r="D3335" s="5" t="s">
        <v>14529</v>
      </c>
      <c r="F3335" s="5"/>
      <c r="H3335" s="5">
        <v>573014741914</v>
      </c>
      <c r="J3335" s="5" t="s">
        <v>14544</v>
      </c>
      <c r="K3335" s="5" t="s">
        <v>63</v>
      </c>
      <c r="L3335" s="5" t="s">
        <v>14531</v>
      </c>
      <c r="M3335" s="5">
        <v>573106300516</v>
      </c>
      <c r="N3335" s="6">
        <v>46091</v>
      </c>
      <c r="O3335" s="7">
        <v>0</v>
      </c>
      <c r="P3335" s="5">
        <v>1</v>
      </c>
      <c r="Q3335" s="5" t="s">
        <v>14545</v>
      </c>
      <c r="R3335" s="5">
        <v>100000</v>
      </c>
      <c r="S3335" s="5">
        <v>0</v>
      </c>
      <c r="T3335" s="5">
        <v>17000</v>
      </c>
      <c r="U3335" s="5">
        <v>117000</v>
      </c>
      <c r="V3335" s="5" t="s">
        <v>14546</v>
      </c>
      <c r="W3335" s="5" t="s">
        <v>6139</v>
      </c>
      <c r="X3335" s="5"/>
      <c r="Z3335" s="5" t="s">
        <v>11314</v>
      </c>
      <c r="AA3335" s="5"/>
      <c r="AB3335" s="5"/>
      <c r="AD3335" s="9"/>
    </row>
    <row r="3336" spans="1:30" ht="12.5">
      <c r="A3336" s="4">
        <v>46091.52743913194</v>
      </c>
      <c r="B3336" s="5"/>
      <c r="C3336" s="5">
        <v>1102577614</v>
      </c>
      <c r="D3336" s="5" t="s">
        <v>14547</v>
      </c>
      <c r="F3336" s="5"/>
      <c r="H3336" s="5">
        <v>573145688504</v>
      </c>
      <c r="J3336" s="5" t="s">
        <v>14548</v>
      </c>
      <c r="K3336" s="5" t="s">
        <v>1047</v>
      </c>
      <c r="L3336" s="5" t="s">
        <v>14549</v>
      </c>
      <c r="M3336" s="5">
        <v>573145730861</v>
      </c>
      <c r="N3336" s="6">
        <v>46091</v>
      </c>
      <c r="O3336" s="7">
        <v>0</v>
      </c>
      <c r="P3336" s="5">
        <v>1</v>
      </c>
      <c r="Q3336" s="5" t="s">
        <v>65</v>
      </c>
      <c r="R3336" s="5">
        <v>80000</v>
      </c>
      <c r="S3336" s="5">
        <v>0</v>
      </c>
      <c r="T3336" s="5">
        <v>15000</v>
      </c>
      <c r="U3336" s="5">
        <v>95000</v>
      </c>
      <c r="V3336" s="5" t="s">
        <v>14550</v>
      </c>
      <c r="W3336" s="5" t="s">
        <v>6139</v>
      </c>
      <c r="X3336" s="5"/>
      <c r="Z3336" s="5" t="s">
        <v>14551</v>
      </c>
      <c r="AA3336" s="5"/>
      <c r="AB3336" s="5" t="s">
        <v>14552</v>
      </c>
      <c r="AD3336" s="9"/>
    </row>
    <row r="3337" spans="1:30" ht="12.5">
      <c r="A3337" s="4">
        <v>46091.532838819447</v>
      </c>
      <c r="B3337" s="5">
        <v>93073</v>
      </c>
      <c r="C3337" s="5">
        <v>1143243886</v>
      </c>
      <c r="D3337" s="5" t="s">
        <v>14553</v>
      </c>
      <c r="F3337" s="5"/>
      <c r="H3337" s="5">
        <v>573003640809</v>
      </c>
      <c r="J3337" s="5" t="s">
        <v>14554</v>
      </c>
      <c r="K3337" s="5" t="s">
        <v>33</v>
      </c>
      <c r="L3337" s="5" t="s">
        <v>12983</v>
      </c>
      <c r="M3337" s="5">
        <v>573003640809</v>
      </c>
      <c r="N3337" s="6">
        <v>46091</v>
      </c>
      <c r="O3337" s="7">
        <v>0</v>
      </c>
      <c r="P3337" s="5">
        <v>1</v>
      </c>
      <c r="Q3337" s="5" t="s">
        <v>14268</v>
      </c>
      <c r="R3337" s="5">
        <v>110000</v>
      </c>
      <c r="S3337" s="5">
        <v>0</v>
      </c>
      <c r="T3337" s="5">
        <v>0</v>
      </c>
      <c r="U3337" s="5">
        <v>110000</v>
      </c>
      <c r="V3337" s="5" t="s">
        <v>13008</v>
      </c>
      <c r="W3337" s="5" t="s">
        <v>36</v>
      </c>
      <c r="X3337" s="5" t="s">
        <v>67</v>
      </c>
      <c r="Z3337" s="5"/>
      <c r="AA3337" s="5" t="s">
        <v>1717</v>
      </c>
      <c r="AB3337" s="5"/>
      <c r="AC3337" s="8" t="str">
        <f>HYPERLINK("https://drive.google.com/file/d/12iog3xAP9HmaPEfW7XFuJ2egtItai_iF/view?usp=drivesdk", "Abrir_Factura")</f>
        <v>Abrir_Factura</v>
      </c>
      <c r="AD3337" s="9">
        <v>46091.53875</v>
      </c>
    </row>
    <row r="3338" spans="1:30" ht="12.5">
      <c r="A3338" s="4"/>
      <c r="B3338" s="5"/>
      <c r="C3338" s="5"/>
      <c r="D3338" s="5"/>
      <c r="F3338" s="5"/>
      <c r="J3338" s="5"/>
      <c r="K3338" s="5"/>
      <c r="L3338" s="5"/>
      <c r="M3338" s="5"/>
      <c r="N3338" s="6"/>
      <c r="O3338" s="7"/>
      <c r="P3338" s="5"/>
      <c r="Q3338" s="5"/>
      <c r="R3338" s="5"/>
      <c r="S3338" s="5"/>
      <c r="T3338" s="5"/>
      <c r="U3338" s="5"/>
      <c r="V3338" s="5"/>
      <c r="W3338" s="5"/>
      <c r="X3338" s="5"/>
      <c r="Z3338" s="5"/>
      <c r="AA3338" s="5"/>
      <c r="AB3338" s="5"/>
      <c r="AD3338" s="9"/>
    </row>
    <row r="3339" spans="1:30" ht="12.5">
      <c r="A3339" s="4"/>
      <c r="B3339" s="5"/>
      <c r="C3339" s="5"/>
      <c r="D3339" s="5"/>
      <c r="F3339" s="5"/>
      <c r="J3339" s="5"/>
      <c r="K3339" s="5"/>
      <c r="L3339" s="5"/>
      <c r="M3339" s="5"/>
      <c r="N3339" s="6"/>
      <c r="O3339" s="7"/>
      <c r="P3339" s="5"/>
      <c r="Q3339" s="5"/>
      <c r="R3339" s="5"/>
      <c r="S3339" s="5"/>
      <c r="T3339" s="5"/>
      <c r="U3339" s="5"/>
      <c r="V3339" s="5"/>
      <c r="W3339" s="5"/>
      <c r="X3339" s="5"/>
      <c r="Z3339" s="5"/>
      <c r="AA3339" s="5"/>
      <c r="AB3339" s="5"/>
      <c r="AD3339" s="9"/>
    </row>
    <row r="3340" spans="1:30" ht="12.5">
      <c r="A3340" s="4"/>
      <c r="B3340" s="5"/>
      <c r="C3340" s="5"/>
      <c r="D3340" s="5"/>
      <c r="F3340" s="5"/>
      <c r="J3340" s="5"/>
      <c r="K3340" s="5"/>
      <c r="L3340" s="5"/>
      <c r="M3340" s="5"/>
      <c r="N3340" s="6"/>
      <c r="O3340" s="7"/>
      <c r="P3340" s="5"/>
      <c r="Q3340" s="5"/>
      <c r="R3340" s="5"/>
      <c r="S3340" s="5"/>
      <c r="T3340" s="5"/>
      <c r="U3340" s="5"/>
      <c r="V3340" s="5"/>
      <c r="W3340" s="5"/>
      <c r="X3340" s="5"/>
      <c r="Z3340" s="5"/>
      <c r="AA3340" s="5"/>
      <c r="AB3340" s="5"/>
      <c r="AD3340" s="9"/>
    </row>
    <row r="3341" spans="1:30" ht="12.5">
      <c r="A3341" s="4"/>
      <c r="B3341" s="5"/>
      <c r="C3341" s="5"/>
      <c r="D3341" s="5"/>
      <c r="F3341" s="5"/>
      <c r="J3341" s="5"/>
      <c r="K3341" s="5"/>
      <c r="L3341" s="5"/>
      <c r="M3341" s="5"/>
      <c r="N3341" s="6"/>
      <c r="O3341" s="7"/>
      <c r="P3341" s="5"/>
      <c r="Q3341" s="5"/>
      <c r="R3341" s="5"/>
      <c r="S3341" s="5"/>
      <c r="T3341" s="5"/>
      <c r="U3341" s="5"/>
      <c r="V3341" s="5"/>
      <c r="W3341" s="5"/>
      <c r="X3341" s="5"/>
      <c r="Z3341" s="5"/>
      <c r="AA3341" s="5"/>
      <c r="AB3341" s="5"/>
      <c r="AD3341" s="9"/>
    </row>
    <row r="3342" spans="1:30" ht="12.5">
      <c r="A3342" s="4"/>
      <c r="B3342" s="5"/>
      <c r="C3342" s="5"/>
      <c r="D3342" s="5"/>
      <c r="F3342" s="5"/>
      <c r="J3342" s="5"/>
      <c r="K3342" s="5"/>
      <c r="L3342" s="5"/>
      <c r="M3342" s="5"/>
      <c r="N3342" s="6"/>
      <c r="O3342" s="7"/>
      <c r="P3342" s="5"/>
      <c r="Q3342" s="5"/>
      <c r="R3342" s="5"/>
      <c r="S3342" s="5"/>
      <c r="T3342" s="5"/>
      <c r="U3342" s="5"/>
      <c r="V3342" s="5"/>
      <c r="W3342" s="5"/>
      <c r="X3342" s="5"/>
      <c r="Z3342" s="5"/>
      <c r="AA3342" s="5"/>
      <c r="AB3342" s="5"/>
      <c r="AD3342" s="9"/>
    </row>
    <row r="3343" spans="1:30" ht="12.5">
      <c r="A3343" s="4"/>
      <c r="B3343" s="5"/>
      <c r="C3343" s="5"/>
      <c r="D3343" s="5"/>
      <c r="F3343" s="5"/>
      <c r="J3343" s="5"/>
      <c r="K3343" s="5"/>
      <c r="L3343" s="5"/>
      <c r="M3343" s="5"/>
      <c r="N3343" s="6"/>
      <c r="O3343" s="7"/>
      <c r="P3343" s="5"/>
      <c r="Q3343" s="5"/>
      <c r="R3343" s="5"/>
      <c r="S3343" s="5"/>
      <c r="T3343" s="5"/>
      <c r="U3343" s="5"/>
      <c r="V3343" s="5"/>
      <c r="W3343" s="5"/>
      <c r="X3343" s="5"/>
      <c r="Z3343" s="5"/>
      <c r="AA3343" s="5"/>
      <c r="AB3343" s="5"/>
      <c r="AD3343" s="9"/>
    </row>
    <row r="3344" spans="1:30" ht="12.5">
      <c r="A3344" s="4"/>
      <c r="B3344" s="5"/>
      <c r="C3344" s="5"/>
      <c r="D3344" s="5"/>
      <c r="F3344" s="5"/>
      <c r="J3344" s="5"/>
      <c r="K3344" s="5"/>
      <c r="L3344" s="5"/>
      <c r="M3344" s="5"/>
      <c r="N3344" s="6"/>
      <c r="O3344" s="7"/>
      <c r="P3344" s="5"/>
      <c r="Q3344" s="5"/>
      <c r="R3344" s="5"/>
      <c r="S3344" s="5"/>
      <c r="T3344" s="5"/>
      <c r="U3344" s="5"/>
      <c r="V3344" s="5"/>
      <c r="W3344" s="5"/>
      <c r="X3344" s="5"/>
      <c r="Z3344" s="5"/>
      <c r="AA3344" s="5"/>
      <c r="AB3344" s="5"/>
      <c r="AD3344" s="9"/>
    </row>
    <row r="3345" spans="1:30" ht="12.5">
      <c r="A3345" s="4"/>
      <c r="B3345" s="5"/>
      <c r="C3345" s="5"/>
      <c r="D3345" s="5"/>
      <c r="F3345" s="5"/>
      <c r="J3345" s="5"/>
      <c r="K3345" s="5"/>
      <c r="L3345" s="5"/>
      <c r="M3345" s="5"/>
      <c r="N3345" s="6"/>
      <c r="O3345" s="7"/>
      <c r="P3345" s="5"/>
      <c r="Q3345" s="5"/>
      <c r="R3345" s="5"/>
      <c r="S3345" s="5"/>
      <c r="T3345" s="5"/>
      <c r="U3345" s="5"/>
      <c r="V3345" s="5"/>
      <c r="W3345" s="5"/>
      <c r="X3345" s="5"/>
      <c r="Z3345" s="5"/>
      <c r="AA3345" s="5"/>
      <c r="AB3345" s="5"/>
      <c r="AD3345" s="9"/>
    </row>
    <row r="3346" spans="1:30" ht="12.5">
      <c r="A3346" s="4"/>
      <c r="B3346" s="5"/>
      <c r="C3346" s="5"/>
      <c r="D3346" s="5"/>
      <c r="F3346" s="5"/>
      <c r="J3346" s="5"/>
      <c r="K3346" s="5"/>
      <c r="L3346" s="5"/>
      <c r="M3346" s="5"/>
      <c r="N3346" s="6"/>
      <c r="O3346" s="7"/>
      <c r="P3346" s="5"/>
      <c r="Q3346" s="5"/>
      <c r="R3346" s="5"/>
      <c r="S3346" s="5"/>
      <c r="T3346" s="5"/>
      <c r="U3346" s="5"/>
      <c r="V3346" s="5"/>
      <c r="W3346" s="5"/>
      <c r="X3346" s="5"/>
      <c r="Z3346" s="5"/>
      <c r="AA3346" s="5"/>
      <c r="AB3346" s="5"/>
      <c r="AD3346" s="9"/>
    </row>
    <row r="3347" spans="1:30" ht="12.5">
      <c r="A3347" s="4"/>
      <c r="B3347" s="5"/>
      <c r="C3347" s="5"/>
      <c r="D3347" s="5"/>
      <c r="F3347" s="5"/>
      <c r="J3347" s="5"/>
      <c r="K3347" s="5"/>
      <c r="L3347" s="5"/>
      <c r="M3347" s="5"/>
      <c r="N3347" s="6"/>
      <c r="O3347" s="7"/>
      <c r="P3347" s="5"/>
      <c r="Q3347" s="5"/>
      <c r="R3347" s="5"/>
      <c r="S3347" s="5"/>
      <c r="T3347" s="5"/>
      <c r="U3347" s="5"/>
      <c r="V3347" s="5"/>
      <c r="W3347" s="5"/>
      <c r="X3347" s="5"/>
      <c r="Z3347" s="5"/>
      <c r="AA3347" s="5"/>
      <c r="AB3347" s="5"/>
      <c r="AD3347" s="9"/>
    </row>
    <row r="3348" spans="1:30" ht="12.5">
      <c r="A3348" s="4"/>
      <c r="B3348" s="5"/>
      <c r="C3348" s="5"/>
      <c r="D3348" s="5"/>
      <c r="F3348" s="5"/>
      <c r="J3348" s="5"/>
      <c r="K3348" s="5"/>
      <c r="L3348" s="5"/>
      <c r="M3348" s="5"/>
      <c r="N3348" s="6"/>
      <c r="O3348" s="7"/>
      <c r="P3348" s="5"/>
      <c r="Q3348" s="5"/>
      <c r="R3348" s="5"/>
      <c r="S3348" s="5"/>
      <c r="T3348" s="5"/>
      <c r="U3348" s="5"/>
      <c r="V3348" s="5"/>
      <c r="W3348" s="5"/>
      <c r="X3348" s="5"/>
      <c r="Z3348" s="5"/>
      <c r="AA3348" s="5"/>
      <c r="AB3348" s="5"/>
      <c r="AD3348" s="9"/>
    </row>
    <row r="3349" spans="1:30" ht="12.5">
      <c r="A3349" s="4"/>
      <c r="B3349" s="5"/>
      <c r="C3349" s="5"/>
      <c r="D3349" s="5"/>
      <c r="F3349" s="5"/>
      <c r="J3349" s="5"/>
      <c r="K3349" s="5"/>
      <c r="L3349" s="5"/>
      <c r="M3349" s="5"/>
      <c r="N3349" s="6"/>
      <c r="O3349" s="7"/>
      <c r="P3349" s="5"/>
      <c r="Q3349" s="5"/>
      <c r="R3349" s="5"/>
      <c r="S3349" s="5"/>
      <c r="T3349" s="5"/>
      <c r="U3349" s="5"/>
      <c r="V3349" s="5"/>
      <c r="W3349" s="5"/>
      <c r="X3349" s="5"/>
      <c r="Z3349" s="5"/>
      <c r="AA3349" s="5"/>
      <c r="AB3349" s="5"/>
      <c r="AD3349" s="9"/>
    </row>
    <row r="3350" spans="1:30" ht="12.5">
      <c r="A3350" s="4"/>
      <c r="B3350" s="5"/>
      <c r="C3350" s="5"/>
      <c r="D3350" s="5"/>
      <c r="F3350" s="5"/>
      <c r="J3350" s="5"/>
      <c r="K3350" s="5"/>
      <c r="L3350" s="5"/>
      <c r="M3350" s="5"/>
      <c r="N3350" s="6"/>
      <c r="O3350" s="7"/>
      <c r="P3350" s="5"/>
      <c r="Q3350" s="5"/>
      <c r="R3350" s="5"/>
      <c r="S3350" s="5"/>
      <c r="T3350" s="5"/>
      <c r="U3350" s="5"/>
      <c r="V3350" s="5"/>
      <c r="W3350" s="5"/>
      <c r="X3350" s="5"/>
      <c r="Z3350" s="5"/>
      <c r="AA3350" s="5"/>
      <c r="AB3350" s="5"/>
      <c r="AD3350" s="9"/>
    </row>
    <row r="3351" spans="1:30" ht="12.5">
      <c r="A3351" s="4"/>
      <c r="B3351" s="5"/>
      <c r="C3351" s="5"/>
      <c r="D3351" s="5"/>
      <c r="F3351" s="5"/>
      <c r="J3351" s="5"/>
      <c r="K3351" s="5"/>
      <c r="L3351" s="5"/>
      <c r="M3351" s="5"/>
      <c r="N3351" s="6"/>
      <c r="O3351" s="7"/>
      <c r="P3351" s="5"/>
      <c r="Q3351" s="5"/>
      <c r="R3351" s="5"/>
      <c r="S3351" s="5"/>
      <c r="T3351" s="5"/>
      <c r="U3351" s="5"/>
      <c r="V3351" s="5"/>
      <c r="W3351" s="5"/>
      <c r="X3351" s="5"/>
      <c r="Z3351" s="5"/>
      <c r="AA3351" s="5"/>
      <c r="AB3351" s="5"/>
      <c r="AD3351" s="9"/>
    </row>
    <row r="3352" spans="1:30" ht="12.5">
      <c r="A3352" s="4"/>
      <c r="B3352" s="5"/>
      <c r="C3352" s="5"/>
      <c r="D3352" s="5"/>
      <c r="F3352" s="5"/>
      <c r="J3352" s="5"/>
      <c r="K3352" s="5"/>
      <c r="L3352" s="5"/>
      <c r="M3352" s="5"/>
      <c r="N3352" s="6"/>
      <c r="O3352" s="7"/>
      <c r="P3352" s="5"/>
      <c r="Q3352" s="5"/>
      <c r="R3352" s="5"/>
      <c r="S3352" s="5"/>
      <c r="T3352" s="5"/>
      <c r="U3352" s="5"/>
      <c r="V3352" s="5"/>
      <c r="W3352" s="5"/>
      <c r="X3352" s="5"/>
      <c r="Z3352" s="5"/>
      <c r="AA3352" s="5"/>
      <c r="AB3352" s="5"/>
      <c r="AD3352" s="9"/>
    </row>
    <row r="3353" spans="1:30" ht="12.5">
      <c r="A3353" s="4"/>
      <c r="B3353" s="5"/>
      <c r="C3353" s="5"/>
      <c r="D3353" s="5"/>
      <c r="F3353" s="5"/>
      <c r="J3353" s="5"/>
      <c r="K3353" s="5"/>
      <c r="L3353" s="5"/>
      <c r="M3353" s="5"/>
      <c r="N3353" s="6"/>
      <c r="O3353" s="7"/>
      <c r="P3353" s="5"/>
      <c r="Q3353" s="5"/>
      <c r="R3353" s="5"/>
      <c r="S3353" s="5"/>
      <c r="T3353" s="5"/>
      <c r="U3353" s="5"/>
      <c r="V3353" s="5"/>
      <c r="W3353" s="5"/>
      <c r="X3353" s="5"/>
      <c r="Z3353" s="5"/>
      <c r="AA3353" s="5"/>
      <c r="AB3353" s="5"/>
      <c r="AD3353" s="9"/>
    </row>
    <row r="3354" spans="1:30" ht="12.5">
      <c r="A3354" s="4"/>
      <c r="B3354" s="5"/>
      <c r="C3354" s="5"/>
      <c r="D3354" s="5"/>
      <c r="F3354" s="5"/>
      <c r="J3354" s="5"/>
      <c r="K3354" s="5"/>
      <c r="L3354" s="5"/>
      <c r="M3354" s="5"/>
      <c r="N3354" s="6"/>
      <c r="O3354" s="7"/>
      <c r="P3354" s="5"/>
      <c r="Q3354" s="5"/>
      <c r="R3354" s="5"/>
      <c r="S3354" s="5"/>
      <c r="T3354" s="5"/>
      <c r="U3354" s="5"/>
      <c r="V3354" s="5"/>
      <c r="W3354" s="5"/>
      <c r="X3354" s="5"/>
      <c r="Z3354" s="5"/>
      <c r="AA3354" s="5"/>
      <c r="AB3354" s="5"/>
      <c r="AD3354" s="9"/>
    </row>
    <row r="3355" spans="1:30" ht="12.5">
      <c r="A3355" s="4"/>
      <c r="B3355" s="5"/>
      <c r="C3355" s="5"/>
      <c r="D3355" s="5"/>
      <c r="F3355" s="5"/>
      <c r="J3355" s="5"/>
      <c r="K3355" s="5"/>
      <c r="L3355" s="5"/>
      <c r="M3355" s="5"/>
      <c r="N3355" s="6"/>
      <c r="O3355" s="7"/>
      <c r="P3355" s="5"/>
      <c r="Q3355" s="5"/>
      <c r="R3355" s="5"/>
      <c r="S3355" s="5"/>
      <c r="T3355" s="5"/>
      <c r="U3355" s="5"/>
      <c r="V3355" s="5"/>
      <c r="W3355" s="5"/>
      <c r="X3355" s="5"/>
      <c r="Z3355" s="5"/>
      <c r="AA3355" s="5"/>
      <c r="AB3355" s="5"/>
      <c r="AD3355" s="9"/>
    </row>
    <row r="3356" spans="1:30" ht="12.5">
      <c r="A3356" s="4"/>
      <c r="B3356" s="5"/>
      <c r="C3356" s="5"/>
      <c r="D3356" s="5"/>
      <c r="F3356" s="5"/>
      <c r="J3356" s="5"/>
      <c r="K3356" s="5"/>
      <c r="L3356" s="5"/>
      <c r="M3356" s="5"/>
      <c r="N3356" s="6"/>
      <c r="O3356" s="7"/>
      <c r="P3356" s="5"/>
      <c r="Q3356" s="5"/>
      <c r="R3356" s="5"/>
      <c r="S3356" s="5"/>
      <c r="T3356" s="5"/>
      <c r="U3356" s="5"/>
      <c r="V3356" s="5"/>
      <c r="W3356" s="5"/>
      <c r="X3356" s="5"/>
      <c r="Z3356" s="5"/>
      <c r="AA3356" s="5"/>
      <c r="AB3356" s="5"/>
      <c r="AD3356" s="9"/>
    </row>
    <row r="3357" spans="1:30" ht="12.5">
      <c r="A3357" s="4"/>
      <c r="B3357" s="5"/>
      <c r="C3357" s="5"/>
      <c r="D3357" s="5"/>
      <c r="F3357" s="5"/>
      <c r="J3357" s="5"/>
      <c r="K3357" s="5"/>
      <c r="L3357" s="5"/>
      <c r="M3357" s="5"/>
      <c r="N3357" s="6"/>
      <c r="O3357" s="7"/>
      <c r="P3357" s="5"/>
      <c r="Q3357" s="5"/>
      <c r="R3357" s="5"/>
      <c r="S3357" s="5"/>
      <c r="T3357" s="5"/>
      <c r="U3357" s="5"/>
      <c r="V3357" s="5"/>
      <c r="W3357" s="5"/>
      <c r="X3357" s="5"/>
      <c r="Z3357" s="5"/>
      <c r="AA3357" s="5"/>
      <c r="AB3357" s="5"/>
      <c r="AD3357" s="9"/>
    </row>
    <row r="3358" spans="1:30" ht="12.5">
      <c r="A3358" s="4"/>
      <c r="B3358" s="5"/>
      <c r="C3358" s="5"/>
      <c r="D3358" s="5"/>
      <c r="F3358" s="5"/>
      <c r="J3358" s="5"/>
      <c r="K3358" s="5"/>
      <c r="L3358" s="5"/>
      <c r="M3358" s="5"/>
      <c r="N3358" s="6"/>
      <c r="O3358" s="7"/>
      <c r="P3358" s="5"/>
      <c r="Q3358" s="5"/>
      <c r="R3358" s="5"/>
      <c r="S3358" s="5"/>
      <c r="T3358" s="5"/>
      <c r="U3358" s="5"/>
      <c r="V3358" s="5"/>
      <c r="W3358" s="5"/>
      <c r="X3358" s="5"/>
      <c r="Z3358" s="5"/>
      <c r="AA3358" s="5"/>
      <c r="AB3358" s="5"/>
      <c r="AD3358" s="9"/>
    </row>
    <row r="3359" spans="1:30" ht="12.5">
      <c r="A3359" s="4"/>
      <c r="B3359" s="5"/>
      <c r="C3359" s="5"/>
      <c r="D3359" s="5"/>
      <c r="F3359" s="5"/>
      <c r="J3359" s="5"/>
      <c r="K3359" s="5"/>
      <c r="L3359" s="5"/>
      <c r="M3359" s="5"/>
      <c r="N3359" s="6"/>
      <c r="O3359" s="7"/>
      <c r="P3359" s="5"/>
      <c r="Q3359" s="5"/>
      <c r="R3359" s="5"/>
      <c r="S3359" s="5"/>
      <c r="T3359" s="5"/>
      <c r="U3359" s="5"/>
      <c r="V3359" s="5"/>
      <c r="W3359" s="5"/>
      <c r="X3359" s="5"/>
      <c r="Z3359" s="5"/>
      <c r="AA3359" s="5"/>
      <c r="AB3359" s="5"/>
      <c r="AD3359" s="9"/>
    </row>
    <row r="3360" spans="1:30" ht="12.5">
      <c r="A3360" s="4"/>
      <c r="B3360" s="5"/>
      <c r="C3360" s="5"/>
      <c r="D3360" s="5"/>
      <c r="F3360" s="5"/>
      <c r="J3360" s="5"/>
      <c r="K3360" s="5"/>
      <c r="L3360" s="5"/>
      <c r="M3360" s="5"/>
      <c r="N3360" s="6"/>
      <c r="O3360" s="7"/>
      <c r="P3360" s="5"/>
      <c r="Q3360" s="5"/>
      <c r="R3360" s="5"/>
      <c r="S3360" s="5"/>
      <c r="T3360" s="5"/>
      <c r="U3360" s="5"/>
      <c r="V3360" s="5"/>
      <c r="W3360" s="5"/>
      <c r="X3360" s="5"/>
      <c r="Z3360" s="5"/>
      <c r="AA3360" s="5"/>
      <c r="AB3360" s="5"/>
      <c r="AD3360" s="9"/>
    </row>
    <row r="3361" spans="1:30" ht="12.5">
      <c r="A3361" s="4"/>
      <c r="B3361" s="5"/>
      <c r="C3361" s="5"/>
      <c r="D3361" s="5"/>
      <c r="F3361" s="5"/>
      <c r="J3361" s="5"/>
      <c r="K3361" s="5"/>
      <c r="L3361" s="5"/>
      <c r="M3361" s="5"/>
      <c r="N3361" s="6"/>
      <c r="O3361" s="7"/>
      <c r="P3361" s="5"/>
      <c r="Q3361" s="5"/>
      <c r="R3361" s="5"/>
      <c r="S3361" s="5"/>
      <c r="T3361" s="5"/>
      <c r="U3361" s="5"/>
      <c r="V3361" s="5"/>
      <c r="W3361" s="5"/>
      <c r="X3361" s="5"/>
      <c r="Z3361" s="5"/>
      <c r="AA3361" s="5"/>
      <c r="AB3361" s="5"/>
      <c r="AD3361" s="9"/>
    </row>
    <row r="3362" spans="1:30" ht="12.5">
      <c r="A3362" s="4"/>
      <c r="B3362" s="5"/>
      <c r="C3362" s="5"/>
      <c r="D3362" s="5"/>
      <c r="F3362" s="5"/>
      <c r="J3362" s="5"/>
      <c r="K3362" s="5"/>
      <c r="L3362" s="5"/>
      <c r="M3362" s="5"/>
      <c r="N3362" s="6"/>
      <c r="O3362" s="7"/>
      <c r="P3362" s="5"/>
      <c r="Q3362" s="5"/>
      <c r="R3362" s="5"/>
      <c r="S3362" s="5"/>
      <c r="T3362" s="5"/>
      <c r="U3362" s="5"/>
      <c r="V3362" s="5"/>
      <c r="W3362" s="5"/>
      <c r="X3362" s="5"/>
      <c r="Z3362" s="5"/>
      <c r="AA3362" s="5"/>
      <c r="AB3362" s="5"/>
      <c r="AD3362" s="9"/>
    </row>
    <row r="3363" spans="1:30" ht="12.5">
      <c r="A3363" s="4"/>
      <c r="B3363" s="5"/>
      <c r="C3363" s="5"/>
      <c r="D3363" s="5"/>
      <c r="F3363" s="5"/>
      <c r="J3363" s="5"/>
      <c r="K3363" s="5"/>
      <c r="L3363" s="5"/>
      <c r="M3363" s="5"/>
      <c r="N3363" s="6"/>
      <c r="O3363" s="7"/>
      <c r="P3363" s="5"/>
      <c r="Q3363" s="5"/>
      <c r="R3363" s="5"/>
      <c r="S3363" s="5"/>
      <c r="T3363" s="5"/>
      <c r="U3363" s="5"/>
      <c r="V3363" s="5"/>
      <c r="W3363" s="5"/>
      <c r="X3363" s="5"/>
      <c r="Z3363" s="5"/>
      <c r="AA3363" s="5"/>
      <c r="AB3363" s="5"/>
      <c r="AD3363" s="9"/>
    </row>
    <row r="3364" spans="1:30" ht="12.5">
      <c r="A3364" s="4"/>
      <c r="B3364" s="5"/>
      <c r="C3364" s="5"/>
      <c r="D3364" s="5"/>
      <c r="F3364" s="5"/>
      <c r="J3364" s="5"/>
      <c r="K3364" s="5"/>
      <c r="L3364" s="5"/>
      <c r="M3364" s="5"/>
      <c r="N3364" s="6"/>
      <c r="O3364" s="7"/>
      <c r="P3364" s="5"/>
      <c r="Q3364" s="5"/>
      <c r="R3364" s="5"/>
      <c r="S3364" s="5"/>
      <c r="T3364" s="5"/>
      <c r="U3364" s="5"/>
      <c r="V3364" s="5"/>
      <c r="W3364" s="5"/>
      <c r="X3364" s="5"/>
      <c r="Z3364" s="5"/>
      <c r="AA3364" s="5"/>
      <c r="AB3364" s="5"/>
      <c r="AD3364" s="9"/>
    </row>
    <row r="3365" spans="1:30" ht="12.5">
      <c r="A3365" s="4"/>
      <c r="B3365" s="5"/>
      <c r="C3365" s="5"/>
      <c r="D3365" s="5"/>
      <c r="F3365" s="5"/>
      <c r="J3365" s="5"/>
      <c r="K3365" s="5"/>
      <c r="L3365" s="5"/>
      <c r="M3365" s="5"/>
      <c r="N3365" s="6"/>
      <c r="O3365" s="7"/>
      <c r="P3365" s="5"/>
      <c r="Q3365" s="5"/>
      <c r="R3365" s="5"/>
      <c r="S3365" s="5"/>
      <c r="T3365" s="5"/>
      <c r="U3365" s="5"/>
      <c r="V3365" s="5"/>
      <c r="W3365" s="5"/>
      <c r="X3365" s="5"/>
      <c r="Z3365" s="5"/>
      <c r="AA3365" s="5"/>
      <c r="AB3365" s="5"/>
      <c r="AD3365" s="9"/>
    </row>
    <row r="3366" spans="1:30" ht="12.5">
      <c r="A3366" s="4"/>
      <c r="B3366" s="5"/>
      <c r="C3366" s="5"/>
      <c r="D3366" s="5"/>
      <c r="F3366" s="5"/>
      <c r="J3366" s="5"/>
      <c r="K3366" s="5"/>
      <c r="L3366" s="5"/>
      <c r="M3366" s="5"/>
      <c r="N3366" s="6"/>
      <c r="O3366" s="7"/>
      <c r="P3366" s="5"/>
      <c r="Q3366" s="5"/>
      <c r="R3366" s="5"/>
      <c r="S3366" s="5"/>
      <c r="T3366" s="5"/>
      <c r="U3366" s="5"/>
      <c r="V3366" s="5"/>
      <c r="W3366" s="5"/>
      <c r="X3366" s="5"/>
      <c r="Z3366" s="5"/>
      <c r="AA3366" s="5"/>
      <c r="AB3366" s="5"/>
      <c r="AD3366" s="9"/>
    </row>
    <row r="3367" spans="1:30" ht="12.5">
      <c r="A3367" s="4"/>
      <c r="B3367" s="5"/>
      <c r="C3367" s="5"/>
      <c r="D3367" s="5"/>
      <c r="F3367" s="5"/>
      <c r="J3367" s="5"/>
      <c r="K3367" s="5"/>
      <c r="L3367" s="5"/>
      <c r="M3367" s="5"/>
      <c r="N3367" s="6"/>
      <c r="O3367" s="7"/>
      <c r="P3367" s="5"/>
      <c r="Q3367" s="5"/>
      <c r="R3367" s="5"/>
      <c r="S3367" s="5"/>
      <c r="T3367" s="5"/>
      <c r="U3367" s="5"/>
      <c r="V3367" s="5"/>
      <c r="W3367" s="5"/>
      <c r="X3367" s="5"/>
      <c r="Z3367" s="5"/>
      <c r="AA3367" s="5"/>
      <c r="AB3367" s="5"/>
      <c r="AD3367" s="9"/>
    </row>
    <row r="3368" spans="1:30" ht="12.5">
      <c r="A3368" s="4"/>
      <c r="B3368" s="5"/>
      <c r="C3368" s="5"/>
      <c r="D3368" s="5"/>
      <c r="F3368" s="5"/>
      <c r="J3368" s="5"/>
      <c r="K3368" s="5"/>
      <c r="L3368" s="5"/>
      <c r="M3368" s="5"/>
      <c r="N3368" s="6"/>
      <c r="O3368" s="7"/>
      <c r="P3368" s="5"/>
      <c r="Q3368" s="5"/>
      <c r="R3368" s="5"/>
      <c r="S3368" s="5"/>
      <c r="T3368" s="5"/>
      <c r="U3368" s="5"/>
      <c r="V3368" s="5"/>
      <c r="W3368" s="5"/>
      <c r="X3368" s="5"/>
      <c r="Z3368" s="5"/>
      <c r="AA3368" s="5"/>
      <c r="AB3368" s="5"/>
      <c r="AD3368" s="9"/>
    </row>
    <row r="3369" spans="1:30" ht="12.5">
      <c r="A3369" s="4"/>
      <c r="B3369" s="5"/>
      <c r="C3369" s="5"/>
      <c r="D3369" s="5"/>
      <c r="F3369" s="5"/>
      <c r="J3369" s="5"/>
      <c r="K3369" s="5"/>
      <c r="L3369" s="5"/>
      <c r="M3369" s="5"/>
      <c r="N3369" s="6"/>
      <c r="O3369" s="7"/>
      <c r="P3369" s="5"/>
      <c r="Q3369" s="5"/>
      <c r="R3369" s="5"/>
      <c r="S3369" s="5"/>
      <c r="T3369" s="5"/>
      <c r="U3369" s="5"/>
      <c r="V3369" s="5"/>
      <c r="W3369" s="5"/>
      <c r="X3369" s="5"/>
      <c r="Z3369" s="5"/>
      <c r="AA3369" s="5"/>
      <c r="AB3369" s="5"/>
      <c r="AD3369" s="9"/>
    </row>
    <row r="3370" spans="1:30" ht="12.5">
      <c r="A3370" s="4"/>
      <c r="B3370" s="5"/>
      <c r="C3370" s="5"/>
      <c r="D3370" s="5"/>
      <c r="F3370" s="5"/>
      <c r="J3370" s="5"/>
      <c r="K3370" s="5"/>
      <c r="L3370" s="5"/>
      <c r="M3370" s="5"/>
      <c r="N3370" s="6"/>
      <c r="O3370" s="7"/>
      <c r="P3370" s="5"/>
      <c r="Q3370" s="5"/>
      <c r="R3370" s="5"/>
      <c r="S3370" s="5"/>
      <c r="T3370" s="5"/>
      <c r="U3370" s="5"/>
      <c r="V3370" s="5"/>
      <c r="W3370" s="5"/>
      <c r="X3370" s="5"/>
      <c r="Z3370" s="5"/>
      <c r="AA3370" s="5"/>
      <c r="AB3370" s="5"/>
      <c r="AD3370" s="9"/>
    </row>
    <row r="3371" spans="1:30" ht="12.5">
      <c r="A3371" s="4"/>
      <c r="B3371" s="5"/>
      <c r="C3371" s="5"/>
      <c r="D3371" s="5"/>
      <c r="F3371" s="5"/>
      <c r="J3371" s="5"/>
      <c r="K3371" s="5"/>
      <c r="L3371" s="5"/>
      <c r="M3371" s="5"/>
      <c r="N3371" s="6"/>
      <c r="O3371" s="7"/>
      <c r="P3371" s="5"/>
      <c r="Q3371" s="5"/>
      <c r="R3371" s="5"/>
      <c r="S3371" s="5"/>
      <c r="T3371" s="5"/>
      <c r="U3371" s="5"/>
      <c r="V3371" s="5"/>
      <c r="W3371" s="5"/>
      <c r="X3371" s="5"/>
      <c r="Z3371" s="5"/>
      <c r="AA3371" s="5"/>
      <c r="AB3371" s="5"/>
      <c r="AD3371" s="9"/>
    </row>
    <row r="3372" spans="1:30" ht="12.5">
      <c r="A3372" s="4"/>
      <c r="B3372" s="5"/>
      <c r="C3372" s="5"/>
      <c r="D3372" s="5"/>
      <c r="F3372" s="5"/>
      <c r="J3372" s="5"/>
      <c r="K3372" s="5"/>
      <c r="L3372" s="5"/>
      <c r="M3372" s="5"/>
      <c r="N3372" s="6"/>
      <c r="O3372" s="7"/>
      <c r="P3372" s="5"/>
      <c r="Q3372" s="5"/>
      <c r="R3372" s="5"/>
      <c r="S3372" s="5"/>
      <c r="T3372" s="5"/>
      <c r="U3372" s="5"/>
      <c r="V3372" s="5"/>
      <c r="W3372" s="5"/>
      <c r="X3372" s="5"/>
      <c r="Z3372" s="5"/>
      <c r="AA3372" s="5"/>
      <c r="AB3372" s="5"/>
      <c r="AD3372" s="9"/>
    </row>
    <row r="3373" spans="1:30" ht="12.5">
      <c r="A3373" s="4"/>
      <c r="B3373" s="5"/>
      <c r="C3373" s="5"/>
      <c r="D3373" s="5"/>
      <c r="F3373" s="5"/>
      <c r="J3373" s="5"/>
      <c r="K3373" s="5"/>
      <c r="L3373" s="5"/>
      <c r="M3373" s="5"/>
      <c r="N3373" s="6"/>
      <c r="O3373" s="7"/>
      <c r="P3373" s="5"/>
      <c r="Q3373" s="5"/>
      <c r="R3373" s="5"/>
      <c r="S3373" s="5"/>
      <c r="T3373" s="5"/>
      <c r="U3373" s="5"/>
      <c r="V3373" s="5"/>
      <c r="W3373" s="5"/>
      <c r="X3373" s="5"/>
      <c r="Z3373" s="5"/>
      <c r="AA3373" s="5"/>
      <c r="AB3373" s="5"/>
      <c r="AD3373" s="9"/>
    </row>
    <row r="3374" spans="1:30" ht="12.5">
      <c r="A3374" s="4"/>
      <c r="B3374" s="5"/>
      <c r="C3374" s="5"/>
      <c r="D3374" s="5"/>
      <c r="F3374" s="5"/>
      <c r="J3374" s="5"/>
      <c r="K3374" s="5"/>
      <c r="L3374" s="5"/>
      <c r="M3374" s="5"/>
      <c r="N3374" s="6"/>
      <c r="O3374" s="7"/>
      <c r="P3374" s="5"/>
      <c r="Q3374" s="5"/>
      <c r="R3374" s="5"/>
      <c r="S3374" s="5"/>
      <c r="T3374" s="5"/>
      <c r="U3374" s="5"/>
      <c r="V3374" s="5"/>
      <c r="W3374" s="5"/>
      <c r="X3374" s="5"/>
      <c r="Z3374" s="5"/>
      <c r="AA3374" s="5"/>
      <c r="AB3374" s="5"/>
      <c r="AD3374" s="9"/>
    </row>
    <row r="3375" spans="1:30" ht="12.5">
      <c r="A3375" s="4"/>
      <c r="B3375" s="5"/>
      <c r="C3375" s="5"/>
      <c r="D3375" s="5"/>
      <c r="F3375" s="5"/>
      <c r="J3375" s="5"/>
      <c r="K3375" s="5"/>
      <c r="L3375" s="5"/>
      <c r="M3375" s="5"/>
      <c r="N3375" s="6"/>
      <c r="O3375" s="7"/>
      <c r="P3375" s="5"/>
      <c r="Q3375" s="5"/>
      <c r="R3375" s="5"/>
      <c r="S3375" s="5"/>
      <c r="T3375" s="5"/>
      <c r="U3375" s="5"/>
      <c r="V3375" s="5"/>
      <c r="W3375" s="5"/>
      <c r="X3375" s="5"/>
      <c r="Z3375" s="5"/>
      <c r="AA3375" s="5"/>
      <c r="AB3375" s="5"/>
      <c r="AD3375" s="9"/>
    </row>
    <row r="3376" spans="1:30" ht="12.5">
      <c r="A3376" s="4"/>
      <c r="B3376" s="5"/>
      <c r="C3376" s="5"/>
      <c r="D3376" s="5"/>
      <c r="F3376" s="5"/>
      <c r="J3376" s="5"/>
      <c r="K3376" s="5"/>
      <c r="L3376" s="5"/>
      <c r="M3376" s="5"/>
      <c r="N3376" s="6"/>
      <c r="O3376" s="7"/>
      <c r="P3376" s="5"/>
      <c r="Q3376" s="5"/>
      <c r="R3376" s="5"/>
      <c r="S3376" s="5"/>
      <c r="T3376" s="5"/>
      <c r="U3376" s="5"/>
      <c r="V3376" s="5"/>
      <c r="W3376" s="5"/>
      <c r="X3376" s="5"/>
      <c r="Z3376" s="5"/>
      <c r="AA3376" s="5"/>
      <c r="AB3376" s="5"/>
      <c r="AD3376" s="9"/>
    </row>
    <row r="3377" spans="1:30" ht="12.5">
      <c r="A3377" s="4"/>
      <c r="B3377" s="5"/>
      <c r="C3377" s="5"/>
      <c r="D3377" s="5"/>
      <c r="F3377" s="5"/>
      <c r="J3377" s="5"/>
      <c r="K3377" s="5"/>
      <c r="L3377" s="5"/>
      <c r="M3377" s="5"/>
      <c r="N3377" s="6"/>
      <c r="O3377" s="7"/>
      <c r="P3377" s="5"/>
      <c r="Q3377" s="5"/>
      <c r="R3377" s="5"/>
      <c r="S3377" s="5"/>
      <c r="T3377" s="5"/>
      <c r="U3377" s="5"/>
      <c r="V3377" s="5"/>
      <c r="W3377" s="5"/>
      <c r="X3377" s="5"/>
      <c r="Z3377" s="5"/>
      <c r="AA3377" s="5"/>
      <c r="AB3377" s="5"/>
      <c r="AD3377" s="9"/>
    </row>
    <row r="3378" spans="1:30" ht="12.5">
      <c r="A3378" s="4"/>
      <c r="B3378" s="5"/>
      <c r="C3378" s="5"/>
      <c r="D3378" s="5"/>
      <c r="F3378" s="5"/>
      <c r="J3378" s="5"/>
      <c r="K3378" s="5"/>
      <c r="L3378" s="5"/>
      <c r="M3378" s="5"/>
      <c r="N3378" s="6"/>
      <c r="O3378" s="7"/>
      <c r="P3378" s="5"/>
      <c r="Q3378" s="5"/>
      <c r="R3378" s="5"/>
      <c r="S3378" s="5"/>
      <c r="T3378" s="5"/>
      <c r="U3378" s="5"/>
      <c r="V3378" s="5"/>
      <c r="W3378" s="5"/>
      <c r="X3378" s="5"/>
      <c r="Z3378" s="5"/>
      <c r="AA3378" s="5"/>
      <c r="AB3378" s="5"/>
      <c r="AD3378" s="9"/>
    </row>
    <row r="3379" spans="1:30" ht="12.5">
      <c r="A3379" s="4"/>
      <c r="B3379" s="5"/>
      <c r="C3379" s="5"/>
      <c r="D3379" s="5"/>
      <c r="F3379" s="5"/>
      <c r="J3379" s="5"/>
      <c r="K3379" s="5"/>
      <c r="L3379" s="5"/>
      <c r="M3379" s="5"/>
      <c r="N3379" s="6"/>
      <c r="O3379" s="7"/>
      <c r="P3379" s="5"/>
      <c r="Q3379" s="5"/>
      <c r="R3379" s="5"/>
      <c r="S3379" s="5"/>
      <c r="T3379" s="5"/>
      <c r="U3379" s="5"/>
      <c r="V3379" s="5"/>
      <c r="W3379" s="5"/>
      <c r="X3379" s="5"/>
      <c r="Z3379" s="5"/>
      <c r="AA3379" s="5"/>
      <c r="AB3379" s="5"/>
      <c r="AD3379" s="9"/>
    </row>
    <row r="3380" spans="1:30" ht="12.5">
      <c r="A3380" s="4"/>
      <c r="B3380" s="5"/>
      <c r="C3380" s="5"/>
      <c r="D3380" s="5"/>
      <c r="F3380" s="5"/>
      <c r="J3380" s="5"/>
      <c r="K3380" s="5"/>
      <c r="L3380" s="5"/>
      <c r="M3380" s="5"/>
      <c r="N3380" s="6"/>
      <c r="O3380" s="7"/>
      <c r="P3380" s="5"/>
      <c r="Q3380" s="5"/>
      <c r="R3380" s="5"/>
      <c r="S3380" s="5"/>
      <c r="T3380" s="5"/>
      <c r="U3380" s="5"/>
      <c r="V3380" s="5"/>
      <c r="W3380" s="5"/>
      <c r="X3380" s="5"/>
      <c r="Z3380" s="5"/>
      <c r="AA3380" s="5"/>
      <c r="AB3380" s="5"/>
      <c r="AD3380" s="9"/>
    </row>
    <row r="3381" spans="1:30" ht="12.5">
      <c r="A3381" s="4"/>
      <c r="B3381" s="5"/>
      <c r="C3381" s="5"/>
      <c r="D3381" s="5"/>
      <c r="F3381" s="5"/>
      <c r="J3381" s="5"/>
      <c r="K3381" s="5"/>
      <c r="L3381" s="5"/>
      <c r="M3381" s="5"/>
      <c r="N3381" s="6"/>
      <c r="O3381" s="7"/>
      <c r="P3381" s="5"/>
      <c r="Q3381" s="5"/>
      <c r="R3381" s="5"/>
      <c r="S3381" s="5"/>
      <c r="T3381" s="5"/>
      <c r="U3381" s="5"/>
      <c r="V3381" s="5"/>
      <c r="W3381" s="5"/>
      <c r="X3381" s="5"/>
      <c r="Z3381" s="5"/>
      <c r="AA3381" s="5"/>
      <c r="AB3381" s="5"/>
      <c r="AD3381" s="9"/>
    </row>
    <row r="3382" spans="1:30" ht="12.5">
      <c r="A3382" s="4"/>
      <c r="B3382" s="5"/>
      <c r="C3382" s="5"/>
      <c r="D3382" s="5"/>
      <c r="F3382" s="5"/>
      <c r="J3382" s="5"/>
      <c r="K3382" s="5"/>
      <c r="L3382" s="5"/>
      <c r="M3382" s="5"/>
      <c r="N3382" s="6"/>
      <c r="O3382" s="7"/>
      <c r="P3382" s="5"/>
      <c r="Q3382" s="5"/>
      <c r="R3382" s="5"/>
      <c r="S3382" s="5"/>
      <c r="T3382" s="5"/>
      <c r="U3382" s="5"/>
      <c r="V3382" s="5"/>
      <c r="W3382" s="5"/>
      <c r="X3382" s="5"/>
      <c r="Z3382" s="5"/>
      <c r="AA3382" s="5"/>
      <c r="AB3382" s="5"/>
      <c r="AD3382" s="9"/>
    </row>
    <row r="3383" spans="1:30" ht="12.5">
      <c r="A3383" s="4"/>
      <c r="B3383" s="5"/>
      <c r="C3383" s="5"/>
      <c r="D3383" s="5"/>
      <c r="F3383" s="5"/>
      <c r="J3383" s="5"/>
      <c r="K3383" s="5"/>
      <c r="L3383" s="5"/>
      <c r="M3383" s="5"/>
      <c r="N3383" s="6"/>
      <c r="O3383" s="7"/>
      <c r="P3383" s="5"/>
      <c r="Q3383" s="5"/>
      <c r="R3383" s="5"/>
      <c r="S3383" s="5"/>
      <c r="T3383" s="5"/>
      <c r="U3383" s="5"/>
      <c r="V3383" s="5"/>
      <c r="W3383" s="5"/>
      <c r="X3383" s="5"/>
      <c r="Z3383" s="5"/>
      <c r="AA3383" s="5"/>
      <c r="AB3383" s="5"/>
      <c r="AD3383" s="9"/>
    </row>
    <row r="3384" spans="1:30" ht="12.5">
      <c r="A3384" s="4"/>
      <c r="B3384" s="5"/>
      <c r="C3384" s="5"/>
      <c r="D3384" s="5"/>
      <c r="F3384" s="5"/>
      <c r="J3384" s="5"/>
      <c r="K3384" s="5"/>
      <c r="L3384" s="5"/>
      <c r="M3384" s="5"/>
      <c r="N3384" s="6"/>
      <c r="O3384" s="7"/>
      <c r="P3384" s="5"/>
      <c r="Q3384" s="5"/>
      <c r="R3384" s="5"/>
      <c r="S3384" s="5"/>
      <c r="T3384" s="5"/>
      <c r="U3384" s="5"/>
      <c r="V3384" s="5"/>
      <c r="W3384" s="5"/>
      <c r="X3384" s="5"/>
      <c r="Z3384" s="5"/>
      <c r="AA3384" s="5"/>
      <c r="AB3384" s="5"/>
      <c r="AD3384" s="9"/>
    </row>
    <row r="3385" spans="1:30" ht="12.5">
      <c r="A3385" s="4"/>
      <c r="B3385" s="5"/>
      <c r="C3385" s="5"/>
      <c r="D3385" s="5"/>
      <c r="F3385" s="5"/>
      <c r="J3385" s="5"/>
      <c r="K3385" s="5"/>
      <c r="L3385" s="5"/>
      <c r="M3385" s="5"/>
      <c r="N3385" s="6"/>
      <c r="O3385" s="7"/>
      <c r="P3385" s="5"/>
      <c r="Q3385" s="5"/>
      <c r="R3385" s="5"/>
      <c r="S3385" s="5"/>
      <c r="T3385" s="5"/>
      <c r="U3385" s="5"/>
      <c r="V3385" s="5"/>
      <c r="W3385" s="5"/>
      <c r="X3385" s="5"/>
      <c r="Z3385" s="5"/>
      <c r="AA3385" s="5"/>
      <c r="AB3385" s="5"/>
      <c r="AD3385" s="9"/>
    </row>
    <row r="3386" spans="1:30" ht="12.5">
      <c r="A3386" s="4"/>
      <c r="B3386" s="5"/>
      <c r="C3386" s="5"/>
      <c r="D3386" s="5"/>
      <c r="F3386" s="5"/>
      <c r="J3386" s="5"/>
      <c r="K3386" s="5"/>
      <c r="L3386" s="5"/>
      <c r="M3386" s="5"/>
      <c r="N3386" s="6"/>
      <c r="O3386" s="7"/>
      <c r="P3386" s="5"/>
      <c r="Q3386" s="5"/>
      <c r="R3386" s="5"/>
      <c r="S3386" s="5"/>
      <c r="T3386" s="5"/>
      <c r="U3386" s="5"/>
      <c r="V3386" s="5"/>
      <c r="W3386" s="5"/>
      <c r="X3386" s="5"/>
      <c r="Z3386" s="5"/>
      <c r="AA3386" s="5"/>
      <c r="AB3386" s="5"/>
      <c r="AD3386" s="9"/>
    </row>
    <row r="3387" spans="1:30" ht="12.5">
      <c r="A3387" s="4"/>
      <c r="B3387" s="5"/>
      <c r="C3387" s="5"/>
      <c r="D3387" s="5"/>
      <c r="F3387" s="5"/>
      <c r="J3387" s="5"/>
      <c r="K3387" s="5"/>
      <c r="L3387" s="5"/>
      <c r="M3387" s="5"/>
      <c r="N3387" s="6"/>
      <c r="O3387" s="7"/>
      <c r="P3387" s="5"/>
      <c r="Q3387" s="5"/>
      <c r="R3387" s="5"/>
      <c r="S3387" s="5"/>
      <c r="T3387" s="5"/>
      <c r="U3387" s="5"/>
      <c r="V3387" s="5"/>
      <c r="W3387" s="5"/>
      <c r="X3387" s="5"/>
      <c r="Z3387" s="5"/>
      <c r="AA3387" s="5"/>
      <c r="AB3387" s="5"/>
      <c r="AD3387" s="9"/>
    </row>
    <row r="3388" spans="1:30" ht="12.5">
      <c r="A3388" s="4"/>
      <c r="B3388" s="5"/>
      <c r="C3388" s="5"/>
      <c r="D3388" s="5"/>
      <c r="F3388" s="5"/>
      <c r="J3388" s="5"/>
      <c r="K3388" s="5"/>
      <c r="L3388" s="5"/>
      <c r="M3388" s="5"/>
      <c r="N3388" s="6"/>
      <c r="O3388" s="7"/>
      <c r="P3388" s="5"/>
      <c r="Q3388" s="5"/>
      <c r="R3388" s="5"/>
      <c r="S3388" s="5"/>
      <c r="T3388" s="5"/>
      <c r="U3388" s="5"/>
      <c r="V3388" s="5"/>
      <c r="W3388" s="5"/>
      <c r="X3388" s="5"/>
      <c r="Z3388" s="5"/>
      <c r="AA3388" s="5"/>
      <c r="AB3388" s="5"/>
      <c r="AD3388" s="9"/>
    </row>
    <row r="3389" spans="1:30" ht="12.5">
      <c r="A3389" s="4"/>
      <c r="B3389" s="5"/>
      <c r="C3389" s="5"/>
      <c r="D3389" s="5"/>
      <c r="F3389" s="5"/>
      <c r="J3389" s="5"/>
      <c r="K3389" s="5"/>
      <c r="L3389" s="5"/>
      <c r="M3389" s="5"/>
      <c r="N3389" s="6"/>
      <c r="O3389" s="7"/>
      <c r="P3389" s="5"/>
      <c r="Q3389" s="5"/>
      <c r="R3389" s="5"/>
      <c r="S3389" s="5"/>
      <c r="T3389" s="5"/>
      <c r="U3389" s="5"/>
      <c r="V3389" s="5"/>
      <c r="W3389" s="5"/>
      <c r="X3389" s="5"/>
      <c r="Z3389" s="5"/>
      <c r="AA3389" s="5"/>
      <c r="AB3389" s="5"/>
      <c r="AD3389" s="9"/>
    </row>
    <row r="3390" spans="1:30" ht="12.5">
      <c r="A3390" s="4"/>
      <c r="B3390" s="5"/>
      <c r="C3390" s="5"/>
      <c r="D3390" s="5"/>
      <c r="F3390" s="5"/>
      <c r="J3390" s="5"/>
      <c r="K3390" s="5"/>
      <c r="L3390" s="5"/>
      <c r="M3390" s="5"/>
      <c r="N3390" s="6"/>
      <c r="O3390" s="7"/>
      <c r="P3390" s="5"/>
      <c r="Q3390" s="5"/>
      <c r="R3390" s="5"/>
      <c r="S3390" s="5"/>
      <c r="T3390" s="5"/>
      <c r="U3390" s="5"/>
      <c r="V3390" s="5"/>
      <c r="W3390" s="5"/>
      <c r="X3390" s="5"/>
      <c r="Z3390" s="5"/>
      <c r="AA3390" s="5"/>
      <c r="AB3390" s="5"/>
      <c r="AD3390" s="9"/>
    </row>
    <row r="3391" spans="1:30" ht="12.5">
      <c r="A3391" s="4"/>
      <c r="B3391" s="5"/>
      <c r="C3391" s="5"/>
      <c r="D3391" s="5"/>
      <c r="F3391" s="5"/>
      <c r="J3391" s="5"/>
      <c r="K3391" s="5"/>
      <c r="L3391" s="5"/>
      <c r="M3391" s="5"/>
      <c r="N3391" s="6"/>
      <c r="O3391" s="7"/>
      <c r="P3391" s="5"/>
      <c r="Q3391" s="5"/>
      <c r="R3391" s="5"/>
      <c r="S3391" s="5"/>
      <c r="T3391" s="5"/>
      <c r="U3391" s="5"/>
      <c r="V3391" s="5"/>
      <c r="W3391" s="5"/>
      <c r="X3391" s="5"/>
      <c r="Z3391" s="5"/>
      <c r="AA3391" s="5"/>
      <c r="AB3391" s="5"/>
      <c r="AD3391" s="9"/>
    </row>
    <row r="3392" spans="1:30" ht="12.5">
      <c r="A3392" s="4"/>
      <c r="B3392" s="5"/>
      <c r="C3392" s="5"/>
      <c r="D3392" s="5"/>
      <c r="F3392" s="5"/>
      <c r="J3392" s="5"/>
      <c r="K3392" s="5"/>
      <c r="L3392" s="5"/>
      <c r="M3392" s="5"/>
      <c r="N3392" s="6"/>
      <c r="O3392" s="7"/>
      <c r="P3392" s="5"/>
      <c r="Q3392" s="5"/>
      <c r="R3392" s="5"/>
      <c r="S3392" s="5"/>
      <c r="T3392" s="5"/>
      <c r="U3392" s="5"/>
      <c r="V3392" s="5"/>
      <c r="W3392" s="5"/>
      <c r="X3392" s="5"/>
      <c r="Z3392" s="5"/>
      <c r="AA3392" s="5"/>
      <c r="AB3392" s="5"/>
      <c r="AD3392" s="9"/>
    </row>
    <row r="3393" spans="1:30" ht="12.5">
      <c r="A3393" s="4"/>
      <c r="B3393" s="5"/>
      <c r="C3393" s="5"/>
      <c r="D3393" s="5"/>
      <c r="F3393" s="5"/>
      <c r="J3393" s="5"/>
      <c r="K3393" s="5"/>
      <c r="L3393" s="5"/>
      <c r="M3393" s="5"/>
      <c r="N3393" s="6"/>
      <c r="O3393" s="7"/>
      <c r="P3393" s="5"/>
      <c r="Q3393" s="5"/>
      <c r="R3393" s="5"/>
      <c r="S3393" s="5"/>
      <c r="T3393" s="5"/>
      <c r="U3393" s="5"/>
      <c r="V3393" s="5"/>
      <c r="W3393" s="5"/>
      <c r="X3393" s="5"/>
      <c r="Z3393" s="5"/>
      <c r="AA3393" s="5"/>
      <c r="AB3393" s="5"/>
      <c r="AD3393" s="9"/>
    </row>
    <row r="3394" spans="1:30" ht="12.5">
      <c r="A3394" s="4"/>
      <c r="B3394" s="5"/>
      <c r="C3394" s="5"/>
      <c r="D3394" s="5"/>
      <c r="F3394" s="5"/>
      <c r="J3394" s="5"/>
      <c r="K3394" s="5"/>
      <c r="L3394" s="5"/>
      <c r="M3394" s="5"/>
      <c r="N3394" s="6"/>
      <c r="O3394" s="7"/>
      <c r="P3394" s="5"/>
      <c r="Q3394" s="5"/>
      <c r="R3394" s="5"/>
      <c r="S3394" s="5"/>
      <c r="T3394" s="5"/>
      <c r="U3394" s="5"/>
      <c r="V3394" s="5"/>
      <c r="W3394" s="5"/>
      <c r="X3394" s="5"/>
      <c r="Z3394" s="5"/>
      <c r="AA3394" s="5"/>
      <c r="AB3394" s="5"/>
      <c r="AD3394" s="9"/>
    </row>
    <row r="3395" spans="1:30" ht="12.5">
      <c r="A3395" s="4"/>
      <c r="B3395" s="5"/>
      <c r="C3395" s="5"/>
      <c r="D3395" s="5"/>
      <c r="F3395" s="5"/>
      <c r="J3395" s="5"/>
      <c r="K3395" s="5"/>
      <c r="L3395" s="5"/>
      <c r="M3395" s="5"/>
      <c r="N3395" s="6"/>
      <c r="O3395" s="7"/>
      <c r="P3395" s="5"/>
      <c r="Q3395" s="5"/>
      <c r="R3395" s="5"/>
      <c r="S3395" s="5"/>
      <c r="T3395" s="5"/>
      <c r="U3395" s="5"/>
      <c r="V3395" s="5"/>
      <c r="W3395" s="5"/>
      <c r="X3395" s="5"/>
      <c r="Z3395" s="5"/>
      <c r="AA3395" s="5"/>
      <c r="AB3395" s="5"/>
      <c r="AD3395" s="9"/>
    </row>
    <row r="3396" spans="1:30" ht="12.5">
      <c r="A3396" s="4"/>
      <c r="B3396" s="5"/>
      <c r="C3396" s="5"/>
      <c r="D3396" s="5"/>
      <c r="F3396" s="5"/>
      <c r="J3396" s="5"/>
      <c r="K3396" s="5"/>
      <c r="L3396" s="5"/>
      <c r="M3396" s="5"/>
      <c r="N3396" s="6"/>
      <c r="O3396" s="7"/>
      <c r="P3396" s="5"/>
      <c r="Q3396" s="5"/>
      <c r="R3396" s="5"/>
      <c r="S3396" s="5"/>
      <c r="T3396" s="5"/>
      <c r="U3396" s="5"/>
      <c r="V3396" s="5"/>
      <c r="W3396" s="5"/>
      <c r="X3396" s="5"/>
      <c r="Z3396" s="5"/>
      <c r="AA3396" s="5"/>
      <c r="AB3396" s="5"/>
      <c r="AD3396" s="9"/>
    </row>
    <row r="3397" spans="1:30" ht="12.5">
      <c r="A3397" s="4"/>
      <c r="B3397" s="5"/>
      <c r="C3397" s="5"/>
      <c r="D3397" s="5"/>
      <c r="F3397" s="5"/>
      <c r="J3397" s="5"/>
      <c r="K3397" s="5"/>
      <c r="L3397" s="5"/>
      <c r="M3397" s="5"/>
      <c r="N3397" s="6"/>
      <c r="O3397" s="7"/>
      <c r="P3397" s="5"/>
      <c r="Q3397" s="5"/>
      <c r="R3397" s="5"/>
      <c r="S3397" s="5"/>
      <c r="T3397" s="5"/>
      <c r="U3397" s="5"/>
      <c r="V3397" s="5"/>
      <c r="W3397" s="5"/>
      <c r="X3397" s="5"/>
      <c r="Z3397" s="5"/>
      <c r="AA3397" s="5"/>
      <c r="AB3397" s="5"/>
      <c r="AD3397" s="9"/>
    </row>
    <row r="3398" spans="1:30" ht="12.5">
      <c r="A3398" s="4"/>
      <c r="B3398" s="5"/>
      <c r="C3398" s="5"/>
      <c r="D3398" s="5"/>
      <c r="F3398" s="5"/>
      <c r="J3398" s="5"/>
      <c r="K3398" s="5"/>
      <c r="L3398" s="5"/>
      <c r="M3398" s="5"/>
      <c r="N3398" s="6"/>
      <c r="O3398" s="7"/>
      <c r="P3398" s="5"/>
      <c r="Q3398" s="5"/>
      <c r="R3398" s="5"/>
      <c r="S3398" s="5"/>
      <c r="T3398" s="5"/>
      <c r="U3398" s="5"/>
      <c r="V3398" s="5"/>
      <c r="W3398" s="5"/>
      <c r="X3398" s="5"/>
      <c r="Z3398" s="5"/>
      <c r="AA3398" s="5"/>
      <c r="AB3398" s="5"/>
      <c r="AD3398" s="9"/>
    </row>
    <row r="3399" spans="1:30" ht="12.5">
      <c r="A3399" s="4"/>
      <c r="B3399" s="5"/>
      <c r="C3399" s="5"/>
      <c r="D3399" s="5"/>
      <c r="F3399" s="5"/>
      <c r="J3399" s="5"/>
      <c r="K3399" s="5"/>
      <c r="L3399" s="5"/>
      <c r="M3399" s="5"/>
      <c r="N3399" s="6"/>
      <c r="O3399" s="7"/>
      <c r="P3399" s="5"/>
      <c r="Q3399" s="5"/>
      <c r="R3399" s="5"/>
      <c r="S3399" s="5"/>
      <c r="T3399" s="5"/>
      <c r="U3399" s="5"/>
      <c r="V3399" s="5"/>
      <c r="W3399" s="5"/>
      <c r="X3399" s="5"/>
      <c r="Z3399" s="5"/>
      <c r="AA3399" s="5"/>
      <c r="AB3399" s="5"/>
      <c r="AD3399" s="9"/>
    </row>
    <row r="3400" spans="1:30" ht="12.5">
      <c r="A3400" s="4"/>
      <c r="B3400" s="5"/>
      <c r="C3400" s="5"/>
      <c r="D3400" s="5"/>
      <c r="F3400" s="5"/>
      <c r="J3400" s="5"/>
      <c r="K3400" s="5"/>
      <c r="L3400" s="5"/>
      <c r="M3400" s="5"/>
      <c r="N3400" s="6"/>
      <c r="O3400" s="7"/>
      <c r="P3400" s="5"/>
      <c r="Q3400" s="5"/>
      <c r="R3400" s="5"/>
      <c r="S3400" s="5"/>
      <c r="T3400" s="5"/>
      <c r="U3400" s="5"/>
      <c r="V3400" s="5"/>
      <c r="W3400" s="5"/>
      <c r="X3400" s="5"/>
      <c r="Z3400" s="5"/>
      <c r="AA3400" s="5"/>
      <c r="AB3400" s="5"/>
      <c r="AD3400" s="9"/>
    </row>
    <row r="3401" spans="1:30" ht="12.5">
      <c r="A3401" s="4"/>
      <c r="B3401" s="5"/>
      <c r="C3401" s="5"/>
      <c r="D3401" s="5"/>
      <c r="F3401" s="5"/>
      <c r="J3401" s="5"/>
      <c r="K3401" s="5"/>
      <c r="L3401" s="5"/>
      <c r="M3401" s="5"/>
      <c r="N3401" s="6"/>
      <c r="O3401" s="7"/>
      <c r="P3401" s="5"/>
      <c r="Q3401" s="5"/>
      <c r="R3401" s="5"/>
      <c r="S3401" s="5"/>
      <c r="T3401" s="5"/>
      <c r="U3401" s="5"/>
      <c r="V3401" s="5"/>
      <c r="W3401" s="5"/>
      <c r="X3401" s="5"/>
      <c r="Z3401" s="5"/>
      <c r="AA3401" s="5"/>
      <c r="AB3401" s="5"/>
      <c r="AD3401" s="9"/>
    </row>
    <row r="3402" spans="1:30" ht="12.5">
      <c r="A3402" s="4"/>
      <c r="B3402" s="5"/>
      <c r="C3402" s="5"/>
      <c r="D3402" s="5"/>
      <c r="F3402" s="5"/>
      <c r="J3402" s="5"/>
      <c r="K3402" s="5"/>
      <c r="L3402" s="5"/>
      <c r="M3402" s="5"/>
      <c r="N3402" s="6"/>
      <c r="O3402" s="7"/>
      <c r="P3402" s="5"/>
      <c r="Q3402" s="5"/>
      <c r="R3402" s="5"/>
      <c r="S3402" s="5"/>
      <c r="T3402" s="5"/>
      <c r="U3402" s="5"/>
      <c r="V3402" s="5"/>
      <c r="W3402" s="5"/>
      <c r="X3402" s="5"/>
      <c r="Z3402" s="5"/>
      <c r="AA3402" s="5"/>
      <c r="AB3402" s="5"/>
      <c r="AD3402" s="9"/>
    </row>
    <row r="3403" spans="1:30" ht="12.5">
      <c r="A3403" s="4"/>
      <c r="B3403" s="5"/>
      <c r="C3403" s="5"/>
      <c r="D3403" s="5"/>
      <c r="F3403" s="5"/>
      <c r="J3403" s="5"/>
      <c r="K3403" s="5"/>
      <c r="L3403" s="5"/>
      <c r="M3403" s="5"/>
      <c r="N3403" s="6"/>
      <c r="O3403" s="7"/>
      <c r="P3403" s="5"/>
      <c r="Q3403" s="5"/>
      <c r="R3403" s="5"/>
      <c r="S3403" s="5"/>
      <c r="T3403" s="5"/>
      <c r="U3403" s="5"/>
      <c r="V3403" s="5"/>
      <c r="W3403" s="5"/>
      <c r="X3403" s="5"/>
      <c r="Z3403" s="5"/>
      <c r="AA3403" s="5"/>
      <c r="AB3403" s="5"/>
      <c r="AD3403" s="9"/>
    </row>
    <row r="3404" spans="1:30" ht="12.5">
      <c r="A3404" s="4"/>
      <c r="B3404" s="5"/>
      <c r="C3404" s="5"/>
      <c r="D3404" s="5"/>
      <c r="F3404" s="5"/>
      <c r="J3404" s="5"/>
      <c r="K3404" s="5"/>
      <c r="L3404" s="5"/>
      <c r="M3404" s="5"/>
      <c r="N3404" s="6"/>
      <c r="O3404" s="7"/>
      <c r="P3404" s="5"/>
      <c r="Q3404" s="5"/>
      <c r="R3404" s="5"/>
      <c r="S3404" s="5"/>
      <c r="T3404" s="5"/>
      <c r="U3404" s="5"/>
      <c r="V3404" s="5"/>
      <c r="W3404" s="5"/>
      <c r="X3404" s="5"/>
      <c r="Z3404" s="5"/>
      <c r="AA3404" s="5"/>
      <c r="AB3404" s="5"/>
      <c r="AD3404" s="9"/>
    </row>
    <row r="3405" spans="1:30" ht="12.5">
      <c r="A3405" s="4"/>
      <c r="B3405" s="5"/>
      <c r="C3405" s="5"/>
      <c r="D3405" s="5"/>
      <c r="F3405" s="5"/>
      <c r="J3405" s="5"/>
      <c r="K3405" s="5"/>
      <c r="L3405" s="5"/>
      <c r="M3405" s="5"/>
      <c r="N3405" s="6"/>
      <c r="O3405" s="7"/>
      <c r="P3405" s="5"/>
      <c r="Q3405" s="5"/>
      <c r="R3405" s="5"/>
      <c r="S3405" s="5"/>
      <c r="T3405" s="5"/>
      <c r="U3405" s="5"/>
      <c r="V3405" s="5"/>
      <c r="W3405" s="5"/>
      <c r="X3405" s="5"/>
      <c r="Z3405" s="5"/>
      <c r="AA3405" s="5"/>
      <c r="AB3405" s="5"/>
      <c r="AD3405" s="9"/>
    </row>
    <row r="3406" spans="1:30" ht="12.5">
      <c r="A3406" s="4"/>
      <c r="B3406" s="5"/>
      <c r="C3406" s="5"/>
      <c r="D3406" s="5"/>
      <c r="F3406" s="5"/>
      <c r="J3406" s="5"/>
      <c r="K3406" s="5"/>
      <c r="L3406" s="5"/>
      <c r="M3406" s="5"/>
      <c r="N3406" s="6"/>
      <c r="O3406" s="7"/>
      <c r="P3406" s="5"/>
      <c r="Q3406" s="5"/>
      <c r="R3406" s="5"/>
      <c r="S3406" s="5"/>
      <c r="T3406" s="5"/>
      <c r="U3406" s="5"/>
      <c r="V3406" s="5"/>
      <c r="W3406" s="5"/>
      <c r="X3406" s="5"/>
      <c r="Z3406" s="5"/>
      <c r="AA3406" s="5"/>
      <c r="AB3406" s="5"/>
      <c r="AD3406" s="9"/>
    </row>
    <row r="3407" spans="1:30" ht="12.5">
      <c r="A3407" s="4"/>
      <c r="B3407" s="5"/>
      <c r="C3407" s="5"/>
      <c r="D3407" s="5"/>
      <c r="F3407" s="5"/>
      <c r="J3407" s="5"/>
      <c r="K3407" s="5"/>
      <c r="L3407" s="5"/>
      <c r="M3407" s="5"/>
      <c r="N3407" s="6"/>
      <c r="O3407" s="7"/>
      <c r="P3407" s="5"/>
      <c r="Q3407" s="5"/>
      <c r="R3407" s="5"/>
      <c r="S3407" s="5"/>
      <c r="T3407" s="5"/>
      <c r="U3407" s="5"/>
      <c r="V3407" s="5"/>
      <c r="W3407" s="5"/>
      <c r="X3407" s="5"/>
      <c r="Z3407" s="5"/>
      <c r="AA3407" s="5"/>
      <c r="AB3407" s="5"/>
      <c r="AD3407" s="9"/>
    </row>
    <row r="3408" spans="1:30" ht="12.5">
      <c r="A3408" s="4"/>
      <c r="B3408" s="5"/>
      <c r="C3408" s="5"/>
      <c r="D3408" s="5"/>
      <c r="F3408" s="5"/>
      <c r="J3408" s="5"/>
      <c r="K3408" s="5"/>
      <c r="L3408" s="5"/>
      <c r="M3408" s="5"/>
      <c r="N3408" s="6"/>
      <c r="O3408" s="7"/>
      <c r="P3408" s="5"/>
      <c r="Q3408" s="5"/>
      <c r="R3408" s="5"/>
      <c r="S3408" s="5"/>
      <c r="T3408" s="5"/>
      <c r="U3408" s="5"/>
      <c r="V3408" s="5"/>
      <c r="W3408" s="5"/>
      <c r="X3408" s="5"/>
      <c r="Z3408" s="5"/>
      <c r="AA3408" s="5"/>
      <c r="AB3408" s="5"/>
      <c r="AD3408" s="9"/>
    </row>
    <row r="3409" spans="1:30" ht="12.5">
      <c r="A3409" s="4"/>
      <c r="B3409" s="5"/>
      <c r="C3409" s="5"/>
      <c r="D3409" s="5"/>
      <c r="F3409" s="5"/>
      <c r="J3409" s="5"/>
      <c r="K3409" s="5"/>
      <c r="L3409" s="5"/>
      <c r="M3409" s="5"/>
      <c r="N3409" s="6"/>
      <c r="O3409" s="7"/>
      <c r="P3409" s="5"/>
      <c r="Q3409" s="5"/>
      <c r="R3409" s="5"/>
      <c r="S3409" s="5"/>
      <c r="T3409" s="5"/>
      <c r="U3409" s="5"/>
      <c r="V3409" s="5"/>
      <c r="W3409" s="5"/>
      <c r="X3409" s="5"/>
      <c r="Z3409" s="5"/>
      <c r="AA3409" s="5"/>
      <c r="AB3409" s="5"/>
      <c r="AD3409" s="9"/>
    </row>
    <row r="3410" spans="1:30" ht="12.5">
      <c r="A3410" s="4"/>
      <c r="B3410" s="5"/>
      <c r="C3410" s="5"/>
      <c r="D3410" s="5"/>
      <c r="F3410" s="5"/>
      <c r="J3410" s="5"/>
      <c r="K3410" s="5"/>
      <c r="L3410" s="5"/>
      <c r="M3410" s="5"/>
      <c r="N3410" s="6"/>
      <c r="O3410" s="7"/>
      <c r="P3410" s="5"/>
      <c r="Q3410" s="5"/>
      <c r="R3410" s="5"/>
      <c r="S3410" s="5"/>
      <c r="T3410" s="5"/>
      <c r="U3410" s="5"/>
      <c r="V3410" s="5"/>
      <c r="W3410" s="5"/>
      <c r="X3410" s="5"/>
      <c r="Z3410" s="5"/>
      <c r="AA3410" s="5"/>
      <c r="AB3410" s="5"/>
      <c r="AD3410" s="9"/>
    </row>
    <row r="3411" spans="1:30" ht="12.5">
      <c r="A3411" s="4"/>
      <c r="B3411" s="5"/>
      <c r="C3411" s="5"/>
      <c r="D3411" s="5"/>
      <c r="F3411" s="5"/>
      <c r="J3411" s="5"/>
      <c r="K3411" s="5"/>
      <c r="L3411" s="5"/>
      <c r="M3411" s="5"/>
      <c r="N3411" s="6"/>
      <c r="O3411" s="7"/>
      <c r="P3411" s="5"/>
      <c r="Q3411" s="5"/>
      <c r="R3411" s="5"/>
      <c r="S3411" s="5"/>
      <c r="T3411" s="5"/>
      <c r="U3411" s="5"/>
      <c r="V3411" s="5"/>
      <c r="W3411" s="5"/>
      <c r="X3411" s="5"/>
      <c r="Z3411" s="5"/>
      <c r="AA3411" s="5"/>
      <c r="AB3411" s="5"/>
      <c r="AD3411" s="9"/>
    </row>
    <row r="3412" spans="1:30" ht="12.5">
      <c r="A3412" s="4"/>
      <c r="B3412" s="5"/>
      <c r="C3412" s="5"/>
      <c r="D3412" s="5"/>
      <c r="F3412" s="5"/>
      <c r="J3412" s="5"/>
      <c r="K3412" s="5"/>
      <c r="L3412" s="5"/>
      <c r="M3412" s="5"/>
      <c r="N3412" s="6"/>
      <c r="O3412" s="7"/>
      <c r="P3412" s="5"/>
      <c r="Q3412" s="5"/>
      <c r="R3412" s="5"/>
      <c r="S3412" s="5"/>
      <c r="T3412" s="5"/>
      <c r="U3412" s="5"/>
      <c r="V3412" s="5"/>
      <c r="W3412" s="5"/>
      <c r="X3412" s="5"/>
      <c r="Z3412" s="5"/>
      <c r="AA3412" s="5"/>
      <c r="AB3412" s="5"/>
      <c r="AD3412" s="9"/>
    </row>
    <row r="3413" spans="1:30" ht="12.5">
      <c r="A3413" s="4"/>
      <c r="B3413" s="5"/>
      <c r="C3413" s="5"/>
      <c r="D3413" s="5"/>
      <c r="F3413" s="5"/>
      <c r="J3413" s="5"/>
      <c r="K3413" s="5"/>
      <c r="L3413" s="5"/>
      <c r="M3413" s="5"/>
      <c r="N3413" s="6"/>
      <c r="O3413" s="7"/>
      <c r="P3413" s="5"/>
      <c r="Q3413" s="5"/>
      <c r="R3413" s="5"/>
      <c r="S3413" s="5"/>
      <c r="T3413" s="5"/>
      <c r="U3413" s="5"/>
      <c r="V3413" s="5"/>
      <c r="W3413" s="5"/>
      <c r="X3413" s="5"/>
      <c r="Z3413" s="5"/>
      <c r="AA3413" s="5"/>
      <c r="AB3413" s="5"/>
      <c r="AD3413" s="9"/>
    </row>
    <row r="3414" spans="1:30" ht="12.5">
      <c r="A3414" s="4"/>
      <c r="B3414" s="5"/>
      <c r="C3414" s="5"/>
      <c r="D3414" s="5"/>
      <c r="F3414" s="5"/>
      <c r="J3414" s="5"/>
      <c r="K3414" s="5"/>
      <c r="L3414" s="5"/>
      <c r="M3414" s="5"/>
      <c r="N3414" s="6"/>
      <c r="O3414" s="7"/>
      <c r="P3414" s="5"/>
      <c r="Q3414" s="5"/>
      <c r="R3414" s="5"/>
      <c r="S3414" s="5"/>
      <c r="T3414" s="5"/>
      <c r="U3414" s="5"/>
      <c r="V3414" s="5"/>
      <c r="W3414" s="5"/>
      <c r="X3414" s="5"/>
      <c r="Z3414" s="5"/>
      <c r="AA3414" s="5"/>
      <c r="AB3414" s="5"/>
      <c r="AD3414" s="9"/>
    </row>
    <row r="3415" spans="1:30" ht="12.5">
      <c r="A3415" s="4"/>
      <c r="B3415" s="5"/>
      <c r="C3415" s="5"/>
      <c r="D3415" s="5"/>
      <c r="F3415" s="5"/>
      <c r="J3415" s="5"/>
      <c r="K3415" s="5"/>
      <c r="L3415" s="5"/>
      <c r="M3415" s="5"/>
      <c r="N3415" s="6"/>
      <c r="O3415" s="7"/>
      <c r="P3415" s="5"/>
      <c r="Q3415" s="5"/>
      <c r="R3415" s="5"/>
      <c r="S3415" s="5"/>
      <c r="T3415" s="5"/>
      <c r="U3415" s="5"/>
      <c r="V3415" s="5"/>
      <c r="W3415" s="5"/>
      <c r="X3415" s="5"/>
      <c r="Z3415" s="5"/>
      <c r="AA3415" s="5"/>
      <c r="AB3415" s="5"/>
      <c r="AD3415" s="9"/>
    </row>
    <row r="3416" spans="1:30" ht="12.5">
      <c r="A3416" s="4"/>
      <c r="B3416" s="5"/>
      <c r="C3416" s="5"/>
      <c r="D3416" s="5"/>
      <c r="F3416" s="5"/>
      <c r="J3416" s="5"/>
      <c r="K3416" s="5"/>
      <c r="L3416" s="5"/>
      <c r="M3416" s="5"/>
      <c r="N3416" s="6"/>
      <c r="O3416" s="7"/>
      <c r="P3416" s="5"/>
      <c r="Q3416" s="5"/>
      <c r="R3416" s="5"/>
      <c r="S3416" s="5"/>
      <c r="T3416" s="5"/>
      <c r="U3416" s="5"/>
      <c r="V3416" s="5"/>
      <c r="W3416" s="5"/>
      <c r="X3416" s="5"/>
      <c r="Z3416" s="5"/>
      <c r="AA3416" s="5"/>
      <c r="AB3416" s="5"/>
      <c r="AD3416" s="9"/>
    </row>
    <row r="3417" spans="1:30" ht="12.5">
      <c r="A3417" s="4"/>
      <c r="B3417" s="5"/>
      <c r="C3417" s="5"/>
      <c r="D3417" s="5"/>
      <c r="F3417" s="5"/>
      <c r="J3417" s="5"/>
      <c r="K3417" s="5"/>
      <c r="L3417" s="5"/>
      <c r="M3417" s="5"/>
      <c r="N3417" s="6"/>
      <c r="O3417" s="7"/>
      <c r="P3417" s="5"/>
      <c r="Q3417" s="5"/>
      <c r="R3417" s="5"/>
      <c r="S3417" s="5"/>
      <c r="T3417" s="5"/>
      <c r="U3417" s="5"/>
      <c r="V3417" s="5"/>
      <c r="W3417" s="5"/>
      <c r="X3417" s="5"/>
      <c r="Z3417" s="5"/>
      <c r="AA3417" s="5"/>
      <c r="AB3417" s="5"/>
      <c r="AD3417" s="9"/>
    </row>
    <row r="3418" spans="1:30" ht="12.5">
      <c r="A3418" s="4"/>
      <c r="B3418" s="5"/>
      <c r="C3418" s="5"/>
      <c r="D3418" s="5"/>
      <c r="F3418" s="5"/>
      <c r="J3418" s="5"/>
      <c r="K3418" s="5"/>
      <c r="L3418" s="5"/>
      <c r="M3418" s="5"/>
      <c r="N3418" s="6"/>
      <c r="O3418" s="7"/>
      <c r="P3418" s="5"/>
      <c r="Q3418" s="5"/>
      <c r="R3418" s="5"/>
      <c r="S3418" s="5"/>
      <c r="T3418" s="5"/>
      <c r="U3418" s="5"/>
      <c r="V3418" s="5"/>
      <c r="W3418" s="5"/>
      <c r="X3418" s="5"/>
      <c r="Z3418" s="5"/>
      <c r="AA3418" s="5"/>
      <c r="AB3418" s="5"/>
      <c r="AD3418" s="9"/>
    </row>
    <row r="3419" spans="1:30" ht="12.5">
      <c r="A3419" s="4"/>
      <c r="B3419" s="5"/>
      <c r="C3419" s="5"/>
      <c r="D3419" s="5"/>
      <c r="F3419" s="5"/>
      <c r="J3419" s="5"/>
      <c r="K3419" s="5"/>
      <c r="L3419" s="5"/>
      <c r="M3419" s="5"/>
      <c r="N3419" s="6"/>
      <c r="O3419" s="7"/>
      <c r="P3419" s="5"/>
      <c r="Q3419" s="5"/>
      <c r="R3419" s="5"/>
      <c r="S3419" s="5"/>
      <c r="T3419" s="5"/>
      <c r="U3419" s="5"/>
      <c r="V3419" s="5"/>
      <c r="W3419" s="5"/>
      <c r="X3419" s="5"/>
      <c r="Z3419" s="5"/>
      <c r="AA3419" s="5"/>
      <c r="AB3419" s="5"/>
      <c r="AD3419" s="9"/>
    </row>
    <row r="3420" spans="1:30" ht="12.5">
      <c r="A3420" s="4"/>
      <c r="B3420" s="5"/>
      <c r="C3420" s="5"/>
      <c r="D3420" s="5"/>
      <c r="F3420" s="5"/>
      <c r="J3420" s="5"/>
      <c r="K3420" s="5"/>
      <c r="L3420" s="5"/>
      <c r="M3420" s="5"/>
      <c r="N3420" s="6"/>
      <c r="O3420" s="7"/>
      <c r="P3420" s="5"/>
      <c r="Q3420" s="5"/>
      <c r="R3420" s="5"/>
      <c r="S3420" s="5"/>
      <c r="T3420" s="5"/>
      <c r="U3420" s="5"/>
      <c r="V3420" s="5"/>
      <c r="W3420" s="5"/>
      <c r="X3420" s="5"/>
      <c r="Z3420" s="5"/>
      <c r="AA3420" s="5"/>
      <c r="AB3420" s="5"/>
      <c r="AD3420" s="9"/>
    </row>
    <row r="3421" spans="1:30" ht="12.5">
      <c r="A3421" s="4"/>
      <c r="B3421" s="5"/>
      <c r="C3421" s="5"/>
      <c r="D3421" s="5"/>
      <c r="F3421" s="5"/>
      <c r="J3421" s="5"/>
      <c r="K3421" s="5"/>
      <c r="L3421" s="5"/>
      <c r="M3421" s="5"/>
      <c r="N3421" s="6"/>
      <c r="O3421" s="7"/>
      <c r="P3421" s="5"/>
      <c r="Q3421" s="5"/>
      <c r="R3421" s="5"/>
      <c r="S3421" s="5"/>
      <c r="T3421" s="5"/>
      <c r="U3421" s="5"/>
      <c r="V3421" s="5"/>
      <c r="W3421" s="5"/>
      <c r="X3421" s="5"/>
      <c r="Z3421" s="5"/>
      <c r="AA3421" s="5"/>
      <c r="AB3421" s="5"/>
      <c r="AD3421" s="9"/>
    </row>
    <row r="3422" spans="1:30" ht="12.5">
      <c r="A3422" s="4"/>
      <c r="B3422" s="5"/>
      <c r="C3422" s="5"/>
      <c r="D3422" s="5"/>
      <c r="F3422" s="5"/>
      <c r="J3422" s="5"/>
      <c r="K3422" s="5"/>
      <c r="L3422" s="5"/>
      <c r="M3422" s="5"/>
      <c r="N3422" s="6"/>
      <c r="O3422" s="7"/>
      <c r="P3422" s="5"/>
      <c r="Q3422" s="5"/>
      <c r="R3422" s="5"/>
      <c r="S3422" s="5"/>
      <c r="T3422" s="5"/>
      <c r="U3422" s="5"/>
      <c r="V3422" s="5"/>
      <c r="W3422" s="5"/>
      <c r="X3422" s="5"/>
      <c r="Z3422" s="5"/>
      <c r="AA3422" s="5"/>
      <c r="AB3422" s="5"/>
      <c r="AD3422" s="9"/>
    </row>
    <row r="3423" spans="1:30" ht="12.5">
      <c r="A3423" s="4"/>
      <c r="B3423" s="5"/>
      <c r="C3423" s="5"/>
      <c r="D3423" s="5"/>
      <c r="F3423" s="5"/>
      <c r="J3423" s="5"/>
      <c r="K3423" s="5"/>
      <c r="L3423" s="5"/>
      <c r="M3423" s="5"/>
      <c r="N3423" s="6"/>
      <c r="O3423" s="7"/>
      <c r="P3423" s="5"/>
      <c r="Q3423" s="5"/>
      <c r="R3423" s="5"/>
      <c r="S3423" s="5"/>
      <c r="T3423" s="5"/>
      <c r="U3423" s="5"/>
      <c r="V3423" s="5"/>
      <c r="W3423" s="5"/>
      <c r="X3423" s="5"/>
      <c r="Z3423" s="5"/>
      <c r="AA3423" s="5"/>
      <c r="AB3423" s="5"/>
      <c r="AD3423" s="9"/>
    </row>
    <row r="3424" spans="1:30" ht="12.5">
      <c r="A3424" s="4"/>
      <c r="B3424" s="5"/>
      <c r="C3424" s="5"/>
      <c r="D3424" s="5"/>
      <c r="F3424" s="5"/>
      <c r="J3424" s="5"/>
      <c r="K3424" s="5"/>
      <c r="L3424" s="5"/>
      <c r="M3424" s="5"/>
      <c r="N3424" s="6"/>
      <c r="O3424" s="7"/>
      <c r="P3424" s="5"/>
      <c r="Q3424" s="5"/>
      <c r="R3424" s="5"/>
      <c r="S3424" s="5"/>
      <c r="T3424" s="5"/>
      <c r="U3424" s="5"/>
      <c r="V3424" s="5"/>
      <c r="W3424" s="5"/>
      <c r="X3424" s="5"/>
      <c r="Z3424" s="5"/>
      <c r="AA3424" s="5"/>
      <c r="AB3424" s="5"/>
      <c r="AD3424" s="9"/>
    </row>
    <row r="3425" spans="1:30" ht="12.5">
      <c r="A3425" s="4"/>
      <c r="B3425" s="5"/>
      <c r="C3425" s="5"/>
      <c r="D3425" s="5"/>
      <c r="F3425" s="5"/>
      <c r="J3425" s="5"/>
      <c r="K3425" s="5"/>
      <c r="L3425" s="5"/>
      <c r="M3425" s="5"/>
      <c r="N3425" s="6"/>
      <c r="O3425" s="7"/>
      <c r="P3425" s="5"/>
      <c r="Q3425" s="5"/>
      <c r="R3425" s="5"/>
      <c r="S3425" s="5"/>
      <c r="T3425" s="5"/>
      <c r="U3425" s="5"/>
      <c r="V3425" s="5"/>
      <c r="W3425" s="5"/>
      <c r="X3425" s="5"/>
      <c r="Z3425" s="5"/>
      <c r="AA3425" s="5"/>
      <c r="AB3425" s="5"/>
      <c r="AD3425" s="9"/>
    </row>
    <row r="3426" spans="1:30" ht="12.5">
      <c r="A3426" s="4"/>
      <c r="B3426" s="5"/>
      <c r="C3426" s="5"/>
      <c r="D3426" s="5"/>
      <c r="F3426" s="5"/>
      <c r="J3426" s="5"/>
      <c r="K3426" s="5"/>
      <c r="L3426" s="5"/>
      <c r="M3426" s="5"/>
      <c r="N3426" s="6"/>
      <c r="O3426" s="7"/>
      <c r="P3426" s="5"/>
      <c r="Q3426" s="5"/>
      <c r="R3426" s="5"/>
      <c r="S3426" s="5"/>
      <c r="T3426" s="5"/>
      <c r="U3426" s="5"/>
      <c r="V3426" s="5"/>
      <c r="W3426" s="5"/>
      <c r="X3426" s="5"/>
      <c r="Z3426" s="5"/>
      <c r="AA3426" s="5"/>
      <c r="AB3426" s="5"/>
      <c r="AD3426" s="9"/>
    </row>
    <row r="3427" spans="1:30" ht="12.5">
      <c r="A3427" s="4"/>
      <c r="B3427" s="5"/>
      <c r="C3427" s="5"/>
      <c r="D3427" s="5"/>
      <c r="F3427" s="5"/>
      <c r="J3427" s="5"/>
      <c r="K3427" s="5"/>
      <c r="L3427" s="5"/>
      <c r="M3427" s="5"/>
      <c r="N3427" s="6"/>
      <c r="O3427" s="7"/>
      <c r="P3427" s="5"/>
      <c r="Q3427" s="5"/>
      <c r="R3427" s="5"/>
      <c r="S3427" s="5"/>
      <c r="T3427" s="5"/>
      <c r="U3427" s="5"/>
      <c r="V3427" s="5"/>
      <c r="W3427" s="5"/>
      <c r="X3427" s="5"/>
      <c r="Z3427" s="5"/>
      <c r="AA3427" s="5"/>
      <c r="AB3427" s="5"/>
      <c r="AD3427" s="9"/>
    </row>
    <row r="3428" spans="1:30" ht="12.5">
      <c r="A3428" s="4"/>
      <c r="B3428" s="5"/>
      <c r="C3428" s="5"/>
      <c r="D3428" s="5"/>
      <c r="F3428" s="5"/>
      <c r="J3428" s="5"/>
      <c r="K3428" s="5"/>
      <c r="L3428" s="5"/>
      <c r="M3428" s="5"/>
      <c r="N3428" s="6"/>
      <c r="O3428" s="7"/>
      <c r="P3428" s="5"/>
      <c r="Q3428" s="5"/>
      <c r="R3428" s="5"/>
      <c r="S3428" s="5"/>
      <c r="T3428" s="5"/>
      <c r="U3428" s="5"/>
      <c r="V3428" s="5"/>
      <c r="W3428" s="5"/>
      <c r="X3428" s="5"/>
      <c r="Z3428" s="5"/>
      <c r="AA3428" s="5"/>
      <c r="AB3428" s="5"/>
      <c r="AD3428" s="9"/>
    </row>
    <row r="3429" spans="1:30" ht="12.5">
      <c r="A3429" s="4"/>
      <c r="B3429" s="5"/>
      <c r="C3429" s="5"/>
      <c r="D3429" s="5"/>
      <c r="F3429" s="5"/>
      <c r="J3429" s="5"/>
      <c r="K3429" s="5"/>
      <c r="L3429" s="5"/>
      <c r="M3429" s="5"/>
      <c r="N3429" s="6"/>
      <c r="O3429" s="7"/>
      <c r="P3429" s="5"/>
      <c r="Q3429" s="5"/>
      <c r="R3429" s="5"/>
      <c r="S3429" s="5"/>
      <c r="T3429" s="5"/>
      <c r="U3429" s="5"/>
      <c r="V3429" s="5"/>
      <c r="W3429" s="5"/>
      <c r="X3429" s="5"/>
      <c r="Z3429" s="5"/>
      <c r="AA3429" s="5"/>
      <c r="AB3429" s="5"/>
      <c r="AD3429" s="9"/>
    </row>
    <row r="3430" spans="1:30" ht="12.5">
      <c r="A3430" s="4"/>
      <c r="B3430" s="5"/>
      <c r="C3430" s="5"/>
      <c r="D3430" s="5"/>
      <c r="F3430" s="5"/>
      <c r="J3430" s="5"/>
      <c r="K3430" s="5"/>
      <c r="L3430" s="5"/>
      <c r="M3430" s="5"/>
      <c r="N3430" s="6"/>
      <c r="O3430" s="7"/>
      <c r="P3430" s="5"/>
      <c r="Q3430" s="5"/>
      <c r="R3430" s="5"/>
      <c r="S3430" s="5"/>
      <c r="T3430" s="5"/>
      <c r="U3430" s="5"/>
      <c r="V3430" s="5"/>
      <c r="W3430" s="5"/>
      <c r="X3430" s="5"/>
      <c r="Z3430" s="5"/>
      <c r="AA3430" s="5"/>
      <c r="AB3430" s="5"/>
      <c r="AD3430" s="9"/>
    </row>
    <row r="3431" spans="1:30" ht="12.5">
      <c r="A3431" s="4"/>
      <c r="B3431" s="5"/>
      <c r="C3431" s="5"/>
      <c r="D3431" s="5"/>
      <c r="F3431" s="5"/>
      <c r="J3431" s="5"/>
      <c r="K3431" s="5"/>
      <c r="L3431" s="5"/>
      <c r="M3431" s="5"/>
      <c r="N3431" s="6"/>
      <c r="O3431" s="7"/>
      <c r="P3431" s="5"/>
      <c r="Q3431" s="5"/>
      <c r="R3431" s="5"/>
      <c r="S3431" s="5"/>
      <c r="T3431" s="5"/>
      <c r="U3431" s="5"/>
      <c r="V3431" s="5"/>
      <c r="W3431" s="5"/>
      <c r="X3431" s="5"/>
      <c r="Z3431" s="5"/>
      <c r="AA3431" s="5"/>
      <c r="AB3431" s="5"/>
      <c r="AD3431" s="9"/>
    </row>
    <row r="3432" spans="1:30" ht="12.5">
      <c r="A3432" s="4"/>
      <c r="B3432" s="5"/>
      <c r="C3432" s="5"/>
      <c r="D3432" s="5"/>
      <c r="F3432" s="5"/>
      <c r="J3432" s="5"/>
      <c r="K3432" s="5"/>
      <c r="L3432" s="5"/>
      <c r="M3432" s="5"/>
      <c r="N3432" s="6"/>
      <c r="O3432" s="7"/>
      <c r="P3432" s="5"/>
      <c r="Q3432" s="5"/>
      <c r="R3432" s="5"/>
      <c r="S3432" s="5"/>
      <c r="T3432" s="5"/>
      <c r="U3432" s="5"/>
      <c r="V3432" s="5"/>
      <c r="W3432" s="5"/>
      <c r="X3432" s="5"/>
      <c r="Z3432" s="5"/>
      <c r="AA3432" s="5"/>
      <c r="AB3432" s="5"/>
      <c r="AD3432" s="9"/>
    </row>
    <row r="3433" spans="1:30" ht="12.5">
      <c r="A3433" s="4"/>
      <c r="B3433" s="5"/>
      <c r="C3433" s="5"/>
      <c r="D3433" s="5"/>
      <c r="F3433" s="5"/>
      <c r="J3433" s="5"/>
      <c r="K3433" s="5"/>
      <c r="L3433" s="5"/>
      <c r="M3433" s="5"/>
      <c r="N3433" s="6"/>
      <c r="O3433" s="7"/>
      <c r="P3433" s="5"/>
      <c r="Q3433" s="5"/>
      <c r="R3433" s="5"/>
      <c r="S3433" s="5"/>
      <c r="T3433" s="5"/>
      <c r="U3433" s="5"/>
      <c r="V3433" s="5"/>
      <c r="W3433" s="5"/>
      <c r="X3433" s="5"/>
      <c r="Z3433" s="5"/>
      <c r="AA3433" s="5"/>
      <c r="AB3433" s="5"/>
      <c r="AD3433" s="9"/>
    </row>
    <row r="3434" spans="1:30" ht="12.5">
      <c r="A3434" s="4"/>
      <c r="B3434" s="5"/>
      <c r="C3434" s="5"/>
      <c r="D3434" s="5"/>
      <c r="F3434" s="5"/>
      <c r="J3434" s="5"/>
      <c r="K3434" s="5"/>
      <c r="L3434" s="5"/>
      <c r="M3434" s="5"/>
      <c r="N3434" s="6"/>
      <c r="O3434" s="7"/>
      <c r="P3434" s="5"/>
      <c r="Q3434" s="5"/>
      <c r="R3434" s="5"/>
      <c r="S3434" s="5"/>
      <c r="T3434" s="5"/>
      <c r="U3434" s="5"/>
      <c r="V3434" s="5"/>
      <c r="W3434" s="5"/>
      <c r="X3434" s="5"/>
      <c r="Z3434" s="5"/>
      <c r="AA3434" s="5"/>
      <c r="AB3434" s="5"/>
      <c r="AD3434" s="9"/>
    </row>
    <row r="3435" spans="1:30" ht="12.5">
      <c r="A3435" s="4"/>
      <c r="B3435" s="5"/>
      <c r="C3435" s="5"/>
      <c r="D3435" s="5"/>
      <c r="F3435" s="5"/>
      <c r="J3435" s="5"/>
      <c r="K3435" s="5"/>
      <c r="L3435" s="5"/>
      <c r="M3435" s="5"/>
      <c r="N3435" s="6"/>
      <c r="O3435" s="7"/>
      <c r="P3435" s="5"/>
      <c r="Q3435" s="5"/>
      <c r="R3435" s="5"/>
      <c r="S3435" s="5"/>
      <c r="T3435" s="5"/>
      <c r="U3435" s="5"/>
      <c r="V3435" s="5"/>
      <c r="W3435" s="5"/>
      <c r="X3435" s="5"/>
      <c r="Z3435" s="5"/>
      <c r="AA3435" s="5"/>
      <c r="AB3435" s="5"/>
      <c r="AD3435" s="9"/>
    </row>
    <row r="3436" spans="1:30" ht="12.5">
      <c r="A3436" s="4"/>
      <c r="B3436" s="5"/>
      <c r="C3436" s="5"/>
      <c r="D3436" s="5"/>
      <c r="F3436" s="5"/>
      <c r="J3436" s="5"/>
      <c r="K3436" s="5"/>
      <c r="L3436" s="5"/>
      <c r="M3436" s="5"/>
      <c r="N3436" s="6"/>
      <c r="O3436" s="7"/>
      <c r="P3436" s="5"/>
      <c r="Q3436" s="5"/>
      <c r="R3436" s="5"/>
      <c r="S3436" s="5"/>
      <c r="T3436" s="5"/>
      <c r="U3436" s="5"/>
      <c r="V3436" s="5"/>
      <c r="W3436" s="5"/>
      <c r="X3436" s="5"/>
      <c r="Z3436" s="5"/>
      <c r="AA3436" s="5"/>
      <c r="AB3436" s="5"/>
      <c r="AD3436" s="9"/>
    </row>
    <row r="3437" spans="1:30" ht="12.5">
      <c r="A3437" s="4"/>
      <c r="B3437" s="5"/>
      <c r="C3437" s="5"/>
      <c r="D3437" s="5"/>
      <c r="F3437" s="5"/>
      <c r="J3437" s="5"/>
      <c r="K3437" s="5"/>
      <c r="L3437" s="5"/>
      <c r="M3437" s="5"/>
      <c r="N3437" s="6"/>
      <c r="O3437" s="7"/>
      <c r="P3437" s="5"/>
      <c r="Q3437" s="5"/>
      <c r="R3437" s="5"/>
      <c r="S3437" s="5"/>
      <c r="T3437" s="5"/>
      <c r="U3437" s="5"/>
      <c r="V3437" s="5"/>
      <c r="W3437" s="5"/>
      <c r="X3437" s="5"/>
      <c r="Z3437" s="5"/>
      <c r="AA3437" s="5"/>
      <c r="AB3437" s="5"/>
      <c r="AD3437" s="9"/>
    </row>
    <row r="3438" spans="1:30" ht="12.5">
      <c r="A3438" s="4"/>
      <c r="B3438" s="5"/>
      <c r="C3438" s="5"/>
      <c r="D3438" s="5"/>
      <c r="F3438" s="5"/>
      <c r="J3438" s="5"/>
      <c r="K3438" s="5"/>
      <c r="L3438" s="5"/>
      <c r="M3438" s="5"/>
      <c r="N3438" s="6"/>
      <c r="O3438" s="7"/>
      <c r="P3438" s="5"/>
      <c r="Q3438" s="5"/>
      <c r="R3438" s="5"/>
      <c r="S3438" s="5"/>
      <c r="T3438" s="5"/>
      <c r="U3438" s="5"/>
      <c r="V3438" s="5"/>
      <c r="W3438" s="5"/>
      <c r="X3438" s="5"/>
      <c r="Z3438" s="5"/>
      <c r="AA3438" s="5"/>
      <c r="AB3438" s="5"/>
      <c r="AD3438" s="9"/>
    </row>
    <row r="3439" spans="1:30" ht="12.5">
      <c r="A3439" s="4"/>
      <c r="B3439" s="5"/>
      <c r="C3439" s="5"/>
      <c r="D3439" s="5"/>
      <c r="F3439" s="5"/>
      <c r="J3439" s="5"/>
      <c r="K3439" s="5"/>
      <c r="L3439" s="5"/>
      <c r="M3439" s="5"/>
      <c r="N3439" s="6"/>
      <c r="O3439" s="7"/>
      <c r="P3439" s="5"/>
      <c r="Q3439" s="5"/>
      <c r="R3439" s="5"/>
      <c r="S3439" s="5"/>
      <c r="T3439" s="5"/>
      <c r="U3439" s="5"/>
      <c r="V3439" s="5"/>
      <c r="W3439" s="5"/>
      <c r="X3439" s="5"/>
      <c r="Z3439" s="5"/>
      <c r="AA3439" s="5"/>
      <c r="AB3439" s="5"/>
      <c r="AD3439" s="9"/>
    </row>
    <row r="3440" spans="1:30" ht="12.5">
      <c r="A3440" s="4"/>
      <c r="B3440" s="5"/>
      <c r="C3440" s="5"/>
      <c r="D3440" s="5"/>
      <c r="F3440" s="5"/>
      <c r="J3440" s="5"/>
      <c r="K3440" s="5"/>
      <c r="L3440" s="5"/>
      <c r="M3440" s="5"/>
      <c r="N3440" s="6"/>
      <c r="O3440" s="7"/>
      <c r="P3440" s="5"/>
      <c r="Q3440" s="5"/>
      <c r="R3440" s="5"/>
      <c r="S3440" s="5"/>
      <c r="T3440" s="5"/>
      <c r="U3440" s="5"/>
      <c r="V3440" s="5"/>
      <c r="W3440" s="5"/>
      <c r="X3440" s="5"/>
      <c r="Z3440" s="5"/>
      <c r="AA3440" s="5"/>
      <c r="AB3440" s="5"/>
      <c r="AD3440" s="9"/>
    </row>
    <row r="3441" spans="1:30" ht="12.5">
      <c r="A3441" s="4"/>
      <c r="B3441" s="5"/>
      <c r="C3441" s="5"/>
      <c r="D3441" s="5"/>
      <c r="F3441" s="5"/>
      <c r="J3441" s="5"/>
      <c r="K3441" s="5"/>
      <c r="L3441" s="5"/>
      <c r="M3441" s="5"/>
      <c r="N3441" s="6"/>
      <c r="O3441" s="7"/>
      <c r="P3441" s="5"/>
      <c r="Q3441" s="5"/>
      <c r="R3441" s="5"/>
      <c r="S3441" s="5"/>
      <c r="T3441" s="5"/>
      <c r="U3441" s="5"/>
      <c r="V3441" s="5"/>
      <c r="W3441" s="5"/>
      <c r="X3441" s="5"/>
      <c r="Z3441" s="5"/>
      <c r="AA3441" s="5"/>
      <c r="AB3441" s="5"/>
      <c r="AD3441" s="9"/>
    </row>
    <row r="3442" spans="1:30" ht="12.5">
      <c r="A3442" s="4"/>
      <c r="B3442" s="5"/>
      <c r="C3442" s="5"/>
      <c r="D3442" s="5"/>
      <c r="F3442" s="5"/>
      <c r="J3442" s="5"/>
      <c r="K3442" s="5"/>
      <c r="L3442" s="5"/>
      <c r="M3442" s="5"/>
      <c r="N3442" s="6"/>
      <c r="O3442" s="7"/>
      <c r="P3442" s="5"/>
      <c r="Q3442" s="5"/>
      <c r="R3442" s="5"/>
      <c r="S3442" s="5"/>
      <c r="T3442" s="5"/>
      <c r="U3442" s="5"/>
      <c r="V3442" s="5"/>
      <c r="W3442" s="5"/>
      <c r="X3442" s="5"/>
      <c r="Z3442" s="5"/>
      <c r="AA3442" s="5"/>
      <c r="AB3442" s="5"/>
      <c r="AD3442" s="9"/>
    </row>
    <row r="3443" spans="1:30" ht="12.5">
      <c r="A3443" s="4"/>
      <c r="B3443" s="5"/>
      <c r="C3443" s="5"/>
      <c r="D3443" s="5"/>
      <c r="F3443" s="5"/>
      <c r="J3443" s="5"/>
      <c r="K3443" s="5"/>
      <c r="L3443" s="5"/>
      <c r="M3443" s="5"/>
      <c r="N3443" s="6"/>
      <c r="O3443" s="7"/>
      <c r="P3443" s="5"/>
      <c r="Q3443" s="5"/>
      <c r="R3443" s="5"/>
      <c r="S3443" s="5"/>
      <c r="T3443" s="5"/>
      <c r="U3443" s="5"/>
      <c r="V3443" s="5"/>
      <c r="W3443" s="5"/>
      <c r="X3443" s="5"/>
      <c r="Z3443" s="5"/>
      <c r="AA3443" s="5"/>
      <c r="AB3443" s="5"/>
      <c r="AD3443" s="9"/>
    </row>
    <row r="3444" spans="1:30" ht="12.5">
      <c r="A3444" s="4"/>
      <c r="B3444" s="5"/>
      <c r="C3444" s="5"/>
      <c r="D3444" s="5"/>
      <c r="F3444" s="5"/>
      <c r="J3444" s="5"/>
      <c r="K3444" s="5"/>
      <c r="L3444" s="5"/>
      <c r="M3444" s="5"/>
      <c r="N3444" s="6"/>
      <c r="O3444" s="7"/>
      <c r="P3444" s="5"/>
      <c r="Q3444" s="5"/>
      <c r="R3444" s="5"/>
      <c r="S3444" s="5"/>
      <c r="T3444" s="5"/>
      <c r="U3444" s="5"/>
      <c r="V3444" s="5"/>
      <c r="W3444" s="5"/>
      <c r="X3444" s="5"/>
      <c r="Z3444" s="5"/>
      <c r="AA3444" s="5"/>
      <c r="AB3444" s="5"/>
      <c r="AD3444" s="9"/>
    </row>
    <row r="3445" spans="1:30" ht="12.5">
      <c r="A3445" s="4"/>
      <c r="B3445" s="5"/>
      <c r="C3445" s="5"/>
      <c r="D3445" s="5"/>
      <c r="F3445" s="5"/>
      <c r="J3445" s="5"/>
      <c r="K3445" s="5"/>
      <c r="L3445" s="5"/>
      <c r="M3445" s="5"/>
      <c r="N3445" s="6"/>
      <c r="O3445" s="7"/>
      <c r="P3445" s="5"/>
      <c r="Q3445" s="5"/>
      <c r="R3445" s="5"/>
      <c r="S3445" s="5"/>
      <c r="T3445" s="5"/>
      <c r="U3445" s="5"/>
      <c r="V3445" s="5"/>
      <c r="W3445" s="5"/>
      <c r="X3445" s="5"/>
      <c r="Z3445" s="5"/>
      <c r="AA3445" s="5"/>
      <c r="AB3445" s="5"/>
      <c r="AD3445" s="9"/>
    </row>
    <row r="3446" spans="1:30" ht="12.5">
      <c r="A3446" s="4"/>
      <c r="B3446" s="5"/>
      <c r="C3446" s="5"/>
      <c r="D3446" s="5"/>
      <c r="F3446" s="5"/>
      <c r="J3446" s="5"/>
      <c r="K3446" s="5"/>
      <c r="L3446" s="5"/>
      <c r="M3446" s="5"/>
      <c r="N3446" s="6"/>
      <c r="O3446" s="7"/>
      <c r="P3446" s="5"/>
      <c r="Q3446" s="5"/>
      <c r="R3446" s="5"/>
      <c r="S3446" s="5"/>
      <c r="T3446" s="5"/>
      <c r="U3446" s="5"/>
      <c r="V3446" s="5"/>
      <c r="W3446" s="5"/>
      <c r="X3446" s="5"/>
      <c r="Z3446" s="5"/>
      <c r="AA3446" s="5"/>
      <c r="AB3446" s="5"/>
      <c r="AD3446" s="9"/>
    </row>
    <row r="3447" spans="1:30" ht="12.5">
      <c r="A3447" s="4"/>
      <c r="B3447" s="5"/>
      <c r="C3447" s="5"/>
      <c r="D3447" s="5"/>
      <c r="F3447" s="5"/>
      <c r="J3447" s="5"/>
      <c r="K3447" s="5"/>
      <c r="L3447" s="5"/>
      <c r="M3447" s="5"/>
      <c r="N3447" s="6"/>
      <c r="O3447" s="7"/>
      <c r="P3447" s="5"/>
      <c r="Q3447" s="5"/>
      <c r="R3447" s="5"/>
      <c r="S3447" s="5"/>
      <c r="T3447" s="5"/>
      <c r="U3447" s="5"/>
      <c r="V3447" s="5"/>
      <c r="W3447" s="5"/>
      <c r="X3447" s="5"/>
      <c r="Z3447" s="5"/>
      <c r="AA3447" s="5"/>
      <c r="AB3447" s="5"/>
      <c r="AD3447" s="9"/>
    </row>
    <row r="3448" spans="1:30" ht="12.5">
      <c r="A3448" s="4"/>
      <c r="B3448" s="5"/>
      <c r="C3448" s="5"/>
      <c r="D3448" s="5"/>
      <c r="F3448" s="5"/>
      <c r="J3448" s="5"/>
      <c r="K3448" s="5"/>
      <c r="L3448" s="5"/>
      <c r="M3448" s="5"/>
      <c r="N3448" s="6"/>
      <c r="O3448" s="7"/>
      <c r="P3448" s="5"/>
      <c r="Q3448" s="5"/>
      <c r="R3448" s="5"/>
      <c r="S3448" s="5"/>
      <c r="T3448" s="5"/>
      <c r="U3448" s="5"/>
      <c r="V3448" s="5"/>
      <c r="W3448" s="5"/>
      <c r="X3448" s="5"/>
      <c r="Z3448" s="5"/>
      <c r="AA3448" s="5"/>
      <c r="AB3448" s="5"/>
      <c r="AD3448" s="9"/>
    </row>
    <row r="3449" spans="1:30" ht="12.5">
      <c r="A3449" s="4"/>
      <c r="B3449" s="5"/>
      <c r="C3449" s="5"/>
      <c r="D3449" s="5"/>
      <c r="F3449" s="5"/>
      <c r="J3449" s="5"/>
      <c r="K3449" s="5"/>
      <c r="L3449" s="5"/>
      <c r="M3449" s="5"/>
      <c r="N3449" s="6"/>
      <c r="O3449" s="7"/>
      <c r="P3449" s="5"/>
      <c r="Q3449" s="5"/>
      <c r="R3449" s="5"/>
      <c r="S3449" s="5"/>
      <c r="T3449" s="5"/>
      <c r="U3449" s="5"/>
      <c r="V3449" s="5"/>
      <c r="W3449" s="5"/>
      <c r="X3449" s="5"/>
      <c r="Z3449" s="5"/>
      <c r="AA3449" s="5"/>
      <c r="AB3449" s="5"/>
      <c r="AD3449" s="9"/>
    </row>
    <row r="3450" spans="1:30" ht="12.5">
      <c r="A3450" s="4"/>
      <c r="B3450" s="5"/>
      <c r="C3450" s="5"/>
      <c r="D3450" s="5"/>
      <c r="F3450" s="5"/>
      <c r="J3450" s="5"/>
      <c r="K3450" s="5"/>
      <c r="L3450" s="5"/>
      <c r="M3450" s="5"/>
      <c r="N3450" s="6"/>
      <c r="O3450" s="7"/>
      <c r="P3450" s="5"/>
      <c r="Q3450" s="5"/>
      <c r="R3450" s="5"/>
      <c r="S3450" s="5"/>
      <c r="T3450" s="5"/>
      <c r="U3450" s="5"/>
      <c r="V3450" s="5"/>
      <c r="W3450" s="5"/>
      <c r="X3450" s="5"/>
      <c r="Z3450" s="5"/>
      <c r="AA3450" s="5"/>
      <c r="AB3450" s="5"/>
      <c r="AD3450" s="9"/>
    </row>
    <row r="3451" spans="1:30" ht="12.5">
      <c r="A3451" s="4"/>
      <c r="B3451" s="5"/>
      <c r="C3451" s="5"/>
      <c r="D3451" s="5"/>
      <c r="F3451" s="5"/>
      <c r="J3451" s="5"/>
      <c r="K3451" s="5"/>
      <c r="L3451" s="5"/>
      <c r="M3451" s="5"/>
      <c r="N3451" s="6"/>
      <c r="O3451" s="7"/>
      <c r="P3451" s="5"/>
      <c r="Q3451" s="5"/>
      <c r="R3451" s="5"/>
      <c r="S3451" s="5"/>
      <c r="T3451" s="5"/>
      <c r="U3451" s="5"/>
      <c r="V3451" s="5"/>
      <c r="W3451" s="5"/>
      <c r="X3451" s="5"/>
      <c r="Z3451" s="5"/>
      <c r="AA3451" s="5"/>
      <c r="AB3451" s="5"/>
      <c r="AD3451" s="9"/>
    </row>
    <row r="3452" spans="1:30" ht="12.5">
      <c r="A3452" s="4"/>
      <c r="B3452" s="5"/>
      <c r="C3452" s="5"/>
      <c r="D3452" s="5"/>
      <c r="F3452" s="5"/>
      <c r="J3452" s="5"/>
      <c r="K3452" s="5"/>
      <c r="L3452" s="5"/>
      <c r="M3452" s="5"/>
      <c r="N3452" s="6"/>
      <c r="O3452" s="7"/>
      <c r="P3452" s="5"/>
      <c r="Q3452" s="5"/>
      <c r="R3452" s="5"/>
      <c r="S3452" s="5"/>
      <c r="T3452" s="5"/>
      <c r="U3452" s="5"/>
      <c r="V3452" s="5"/>
      <c r="W3452" s="5"/>
      <c r="X3452" s="5"/>
      <c r="Z3452" s="5"/>
      <c r="AA3452" s="5"/>
      <c r="AB3452" s="5"/>
      <c r="AD3452" s="9"/>
    </row>
    <row r="3453" spans="1:30" ht="12.5">
      <c r="A3453" s="4"/>
      <c r="B3453" s="5"/>
      <c r="C3453" s="5"/>
      <c r="D3453" s="5"/>
      <c r="F3453" s="5"/>
      <c r="J3453" s="5"/>
      <c r="K3453" s="5"/>
      <c r="L3453" s="5"/>
      <c r="M3453" s="5"/>
      <c r="N3453" s="6"/>
      <c r="O3453" s="7"/>
      <c r="P3453" s="5"/>
      <c r="Q3453" s="5"/>
      <c r="R3453" s="5"/>
      <c r="S3453" s="5"/>
      <c r="T3453" s="5"/>
      <c r="U3453" s="5"/>
      <c r="V3453" s="5"/>
      <c r="W3453" s="5"/>
      <c r="X3453" s="5"/>
      <c r="Z3453" s="5"/>
      <c r="AA3453" s="5"/>
      <c r="AB3453" s="5"/>
      <c r="AD3453" s="9"/>
    </row>
    <row r="3454" spans="1:30" ht="12.5">
      <c r="A3454" s="4"/>
      <c r="B3454" s="5"/>
      <c r="C3454" s="5"/>
      <c r="D3454" s="5"/>
      <c r="F3454" s="5"/>
      <c r="J3454" s="5"/>
      <c r="K3454" s="5"/>
      <c r="L3454" s="5"/>
      <c r="M3454" s="5"/>
      <c r="N3454" s="6"/>
      <c r="O3454" s="7"/>
      <c r="P3454" s="5"/>
      <c r="Q3454" s="5"/>
      <c r="R3454" s="5"/>
      <c r="S3454" s="5"/>
      <c r="T3454" s="5"/>
      <c r="U3454" s="5"/>
      <c r="V3454" s="5"/>
      <c r="W3454" s="5"/>
      <c r="X3454" s="5"/>
      <c r="Z3454" s="5"/>
      <c r="AA3454" s="5"/>
      <c r="AB3454" s="5"/>
      <c r="AD3454" s="9"/>
    </row>
    <row r="3455" spans="1:30" ht="12.5">
      <c r="A3455" s="4"/>
      <c r="B3455" s="5"/>
      <c r="C3455" s="5"/>
      <c r="D3455" s="5"/>
      <c r="F3455" s="5"/>
      <c r="J3455" s="5"/>
      <c r="K3455" s="5"/>
      <c r="L3455" s="5"/>
      <c r="M3455" s="5"/>
      <c r="N3455" s="6"/>
      <c r="O3455" s="7"/>
      <c r="P3455" s="5"/>
      <c r="Q3455" s="5"/>
      <c r="R3455" s="5"/>
      <c r="S3455" s="5"/>
      <c r="T3455" s="5"/>
      <c r="U3455" s="5"/>
      <c r="V3455" s="5"/>
      <c r="W3455" s="5"/>
      <c r="X3455" s="5"/>
      <c r="Z3455" s="5"/>
      <c r="AA3455" s="5"/>
      <c r="AB3455" s="5"/>
      <c r="AD3455" s="9"/>
    </row>
    <row r="3456" spans="1:30" ht="12.5">
      <c r="A3456" s="4"/>
      <c r="B3456" s="5"/>
      <c r="C3456" s="5"/>
      <c r="D3456" s="5"/>
      <c r="F3456" s="5"/>
      <c r="J3456" s="5"/>
      <c r="K3456" s="5"/>
      <c r="L3456" s="5"/>
      <c r="M3456" s="5"/>
      <c r="N3456" s="6"/>
      <c r="O3456" s="7"/>
      <c r="P3456" s="5"/>
      <c r="Q3456" s="5"/>
      <c r="R3456" s="5"/>
      <c r="S3456" s="5"/>
      <c r="T3456" s="5"/>
      <c r="U3456" s="5"/>
      <c r="V3456" s="5"/>
      <c r="W3456" s="5"/>
      <c r="X3456" s="5"/>
      <c r="Z3456" s="5"/>
      <c r="AA3456" s="5"/>
      <c r="AB3456" s="5"/>
      <c r="AD3456" s="9"/>
    </row>
    <row r="3457" spans="1:30" ht="12.5">
      <c r="A3457" s="4"/>
      <c r="B3457" s="5"/>
      <c r="C3457" s="5"/>
      <c r="D3457" s="5"/>
      <c r="F3457" s="5"/>
      <c r="J3457" s="5"/>
      <c r="K3457" s="5"/>
      <c r="L3457" s="5"/>
      <c r="M3457" s="5"/>
      <c r="N3457" s="6"/>
      <c r="O3457" s="7"/>
      <c r="P3457" s="5"/>
      <c r="Q3457" s="5"/>
      <c r="R3457" s="5"/>
      <c r="S3457" s="5"/>
      <c r="T3457" s="5"/>
      <c r="U3457" s="5"/>
      <c r="V3457" s="5"/>
      <c r="W3457" s="5"/>
      <c r="X3457" s="5"/>
      <c r="Z3457" s="5"/>
      <c r="AA3457" s="5"/>
      <c r="AB3457" s="5"/>
      <c r="AD3457" s="9"/>
    </row>
    <row r="3458" spans="1:30" ht="12.5">
      <c r="A3458" s="4"/>
      <c r="B3458" s="5"/>
      <c r="C3458" s="5"/>
      <c r="D3458" s="5"/>
      <c r="F3458" s="5"/>
      <c r="J3458" s="5"/>
      <c r="K3458" s="5"/>
      <c r="L3458" s="5"/>
      <c r="M3458" s="5"/>
      <c r="N3458" s="6"/>
      <c r="O3458" s="7"/>
      <c r="P3458" s="5"/>
      <c r="Q3458" s="5"/>
      <c r="R3458" s="5"/>
      <c r="S3458" s="5"/>
      <c r="T3458" s="5"/>
      <c r="U3458" s="5"/>
      <c r="V3458" s="5"/>
      <c r="W3458" s="5"/>
      <c r="X3458" s="5"/>
      <c r="Z3458" s="5"/>
      <c r="AA3458" s="5"/>
      <c r="AB3458" s="5"/>
      <c r="AD3458" s="9"/>
    </row>
    <row r="3459" spans="1:30" ht="12.5">
      <c r="A3459" s="4"/>
      <c r="B3459" s="5"/>
      <c r="C3459" s="5"/>
      <c r="D3459" s="5"/>
      <c r="F3459" s="5"/>
      <c r="J3459" s="5"/>
      <c r="K3459" s="5"/>
      <c r="L3459" s="5"/>
      <c r="M3459" s="5"/>
      <c r="N3459" s="6"/>
      <c r="O3459" s="7"/>
      <c r="P3459" s="5"/>
      <c r="Q3459" s="5"/>
      <c r="R3459" s="5"/>
      <c r="S3459" s="5"/>
      <c r="T3459" s="5"/>
      <c r="U3459" s="5"/>
      <c r="V3459" s="5"/>
      <c r="W3459" s="5"/>
      <c r="X3459" s="5"/>
      <c r="Z3459" s="5"/>
      <c r="AA3459" s="5"/>
      <c r="AB3459" s="5"/>
      <c r="AD3459" s="9"/>
    </row>
    <row r="3460" spans="1:30" ht="12.5">
      <c r="A3460" s="4"/>
      <c r="B3460" s="5"/>
      <c r="C3460" s="5"/>
      <c r="D3460" s="5"/>
      <c r="F3460" s="5"/>
      <c r="J3460" s="5"/>
      <c r="K3460" s="5"/>
      <c r="L3460" s="5"/>
      <c r="M3460" s="5"/>
      <c r="N3460" s="6"/>
      <c r="O3460" s="7"/>
      <c r="P3460" s="5"/>
      <c r="Q3460" s="5"/>
      <c r="R3460" s="5"/>
      <c r="S3460" s="5"/>
      <c r="T3460" s="5"/>
      <c r="U3460" s="5"/>
      <c r="V3460" s="5"/>
      <c r="W3460" s="5"/>
      <c r="X3460" s="5"/>
      <c r="Z3460" s="5"/>
      <c r="AA3460" s="5"/>
      <c r="AB3460" s="5"/>
      <c r="AD3460" s="9"/>
    </row>
    <row r="3461" spans="1:30" ht="12.5">
      <c r="A3461" s="4"/>
      <c r="B3461" s="5"/>
      <c r="C3461" s="5"/>
      <c r="D3461" s="5"/>
      <c r="F3461" s="5"/>
      <c r="J3461" s="5"/>
      <c r="K3461" s="5"/>
      <c r="L3461" s="5"/>
      <c r="M3461" s="5"/>
      <c r="N3461" s="6"/>
      <c r="O3461" s="7"/>
      <c r="P3461" s="5"/>
      <c r="Q3461" s="5"/>
      <c r="R3461" s="5"/>
      <c r="S3461" s="5"/>
      <c r="T3461" s="5"/>
      <c r="U3461" s="5"/>
      <c r="V3461" s="5"/>
      <c r="W3461" s="5"/>
      <c r="X3461" s="5"/>
      <c r="Z3461" s="5"/>
      <c r="AA3461" s="5"/>
      <c r="AB3461" s="5"/>
      <c r="AD3461" s="9"/>
    </row>
    <row r="3462" spans="1:30" ht="12.5">
      <c r="A3462" s="4"/>
      <c r="B3462" s="5"/>
      <c r="C3462" s="5"/>
      <c r="D3462" s="5"/>
      <c r="F3462" s="5"/>
      <c r="J3462" s="5"/>
      <c r="K3462" s="5"/>
      <c r="L3462" s="5"/>
      <c r="M3462" s="5"/>
      <c r="N3462" s="6"/>
      <c r="O3462" s="7"/>
      <c r="P3462" s="5"/>
      <c r="Q3462" s="5"/>
      <c r="R3462" s="5"/>
      <c r="S3462" s="5"/>
      <c r="T3462" s="5"/>
      <c r="U3462" s="5"/>
      <c r="V3462" s="5"/>
      <c r="W3462" s="5"/>
      <c r="X3462" s="5"/>
      <c r="Z3462" s="5"/>
      <c r="AA3462" s="5"/>
      <c r="AB3462" s="5"/>
      <c r="AD3462" s="9"/>
    </row>
    <row r="3463" spans="1:30" ht="12.5">
      <c r="A3463" s="4"/>
      <c r="B3463" s="5"/>
      <c r="C3463" s="5"/>
      <c r="D3463" s="5"/>
      <c r="F3463" s="5"/>
      <c r="J3463" s="5"/>
      <c r="K3463" s="5"/>
      <c r="L3463" s="5"/>
      <c r="M3463" s="5"/>
      <c r="N3463" s="6"/>
      <c r="O3463" s="7"/>
      <c r="P3463" s="5"/>
      <c r="Q3463" s="5"/>
      <c r="R3463" s="5"/>
      <c r="S3463" s="5"/>
      <c r="T3463" s="5"/>
      <c r="U3463" s="5"/>
      <c r="V3463" s="5"/>
      <c r="W3463" s="5"/>
      <c r="X3463" s="5"/>
      <c r="Z3463" s="5"/>
      <c r="AA3463" s="5"/>
      <c r="AB3463" s="5"/>
      <c r="AD3463" s="9"/>
    </row>
    <row r="3464" spans="1:30" ht="12.5">
      <c r="A3464" s="4"/>
      <c r="B3464" s="5"/>
      <c r="C3464" s="5"/>
      <c r="D3464" s="5"/>
      <c r="F3464" s="5"/>
      <c r="J3464" s="5"/>
      <c r="K3464" s="5"/>
      <c r="L3464" s="5"/>
      <c r="M3464" s="5"/>
      <c r="N3464" s="6"/>
      <c r="O3464" s="7"/>
      <c r="P3464" s="5"/>
      <c r="Q3464" s="5"/>
      <c r="R3464" s="5"/>
      <c r="S3464" s="5"/>
      <c r="T3464" s="5"/>
      <c r="U3464" s="5"/>
      <c r="V3464" s="5"/>
      <c r="W3464" s="5"/>
      <c r="X3464" s="5"/>
      <c r="Z3464" s="5"/>
      <c r="AA3464" s="5"/>
      <c r="AB3464" s="5"/>
      <c r="AD3464" s="9"/>
    </row>
    <row r="3465" spans="1:30" ht="12.5">
      <c r="A3465" s="4"/>
      <c r="B3465" s="5"/>
      <c r="C3465" s="5"/>
      <c r="D3465" s="5"/>
      <c r="F3465" s="5"/>
      <c r="J3465" s="5"/>
      <c r="K3465" s="5"/>
      <c r="L3465" s="5"/>
      <c r="M3465" s="5"/>
      <c r="N3465" s="6"/>
      <c r="O3465" s="7"/>
      <c r="P3465" s="5"/>
      <c r="Q3465" s="5"/>
      <c r="R3465" s="5"/>
      <c r="S3465" s="5"/>
      <c r="T3465" s="5"/>
      <c r="U3465" s="5"/>
      <c r="V3465" s="5"/>
      <c r="W3465" s="5"/>
      <c r="X3465" s="5"/>
      <c r="Z3465" s="5"/>
      <c r="AA3465" s="5"/>
      <c r="AB3465" s="5"/>
      <c r="AD3465" s="9"/>
    </row>
    <row r="3466" spans="1:30" ht="12.5">
      <c r="A3466" s="4"/>
      <c r="B3466" s="5"/>
      <c r="C3466" s="5"/>
      <c r="D3466" s="5"/>
      <c r="F3466" s="5"/>
      <c r="J3466" s="5"/>
      <c r="K3466" s="5"/>
      <c r="L3466" s="5"/>
      <c r="M3466" s="5"/>
      <c r="N3466" s="6"/>
      <c r="O3466" s="7"/>
      <c r="P3466" s="5"/>
      <c r="Q3466" s="5"/>
      <c r="R3466" s="5"/>
      <c r="S3466" s="5"/>
      <c r="T3466" s="5"/>
      <c r="U3466" s="5"/>
      <c r="V3466" s="5"/>
      <c r="W3466" s="5"/>
      <c r="X3466" s="5"/>
      <c r="Z3466" s="5"/>
      <c r="AA3466" s="5"/>
      <c r="AB3466" s="5"/>
      <c r="AD3466" s="9"/>
    </row>
    <row r="3467" spans="1:30" ht="12.5">
      <c r="A3467" s="4"/>
      <c r="B3467" s="5"/>
      <c r="C3467" s="5"/>
      <c r="D3467" s="5"/>
      <c r="F3467" s="5"/>
      <c r="J3467" s="5"/>
      <c r="K3467" s="5"/>
      <c r="L3467" s="5"/>
      <c r="M3467" s="5"/>
      <c r="N3467" s="6"/>
      <c r="O3467" s="7"/>
      <c r="P3467" s="5"/>
      <c r="Q3467" s="5"/>
      <c r="R3467" s="5"/>
      <c r="S3467" s="5"/>
      <c r="T3467" s="5"/>
      <c r="U3467" s="5"/>
      <c r="V3467" s="5"/>
      <c r="W3467" s="5"/>
      <c r="X3467" s="5"/>
      <c r="Z3467" s="5"/>
      <c r="AA3467" s="5"/>
      <c r="AB3467" s="5"/>
      <c r="AD3467" s="9"/>
    </row>
    <row r="3468" spans="1:30" ht="12.5">
      <c r="A3468" s="4"/>
      <c r="B3468" s="5"/>
      <c r="C3468" s="5"/>
      <c r="D3468" s="5"/>
      <c r="F3468" s="5"/>
      <c r="J3468" s="5"/>
      <c r="K3468" s="5"/>
      <c r="L3468" s="5"/>
      <c r="M3468" s="5"/>
      <c r="N3468" s="6"/>
      <c r="O3468" s="7"/>
      <c r="P3468" s="5"/>
      <c r="Q3468" s="5"/>
      <c r="R3468" s="5"/>
      <c r="S3468" s="5"/>
      <c r="T3468" s="5"/>
      <c r="U3468" s="5"/>
      <c r="V3468" s="5"/>
      <c r="W3468" s="5"/>
      <c r="X3468" s="5"/>
      <c r="Z3468" s="5"/>
      <c r="AA3468" s="5"/>
      <c r="AB3468" s="5"/>
      <c r="AD3468" s="9"/>
    </row>
    <row r="3469" spans="1:30" ht="12.5">
      <c r="A3469" s="4"/>
      <c r="B3469" s="5"/>
      <c r="C3469" s="5"/>
      <c r="D3469" s="5"/>
      <c r="F3469" s="5"/>
      <c r="J3469" s="5"/>
      <c r="K3469" s="5"/>
      <c r="L3469" s="5"/>
      <c r="M3469" s="5"/>
      <c r="N3469" s="6"/>
      <c r="O3469" s="7"/>
      <c r="P3469" s="5"/>
      <c r="Q3469" s="5"/>
      <c r="R3469" s="5"/>
      <c r="S3469" s="5"/>
      <c r="T3469" s="5"/>
      <c r="U3469" s="5"/>
      <c r="V3469" s="5"/>
      <c r="W3469" s="5"/>
      <c r="X3469" s="5"/>
      <c r="Z3469" s="5"/>
      <c r="AA3469" s="5"/>
      <c r="AB3469" s="5"/>
      <c r="AD3469" s="9"/>
    </row>
    <row r="3470" spans="1:30" ht="12.5">
      <c r="A3470" s="4"/>
      <c r="B3470" s="5"/>
      <c r="C3470" s="5"/>
      <c r="D3470" s="5"/>
      <c r="F3470" s="5"/>
      <c r="J3470" s="5"/>
      <c r="K3470" s="5"/>
      <c r="L3470" s="5"/>
      <c r="M3470" s="5"/>
      <c r="N3470" s="6"/>
      <c r="O3470" s="7"/>
      <c r="P3470" s="5"/>
      <c r="Q3470" s="5"/>
      <c r="R3470" s="5"/>
      <c r="S3470" s="5"/>
      <c r="T3470" s="5"/>
      <c r="U3470" s="5"/>
      <c r="V3470" s="5"/>
      <c r="W3470" s="5"/>
      <c r="X3470" s="5"/>
      <c r="Z3470" s="5"/>
      <c r="AA3470" s="5"/>
      <c r="AB3470" s="5"/>
      <c r="AD3470" s="9"/>
    </row>
    <row r="3471" spans="1:30" ht="12.5">
      <c r="A3471" s="4"/>
      <c r="B3471" s="5"/>
      <c r="C3471" s="5"/>
      <c r="D3471" s="5"/>
      <c r="F3471" s="5"/>
      <c r="J3471" s="5"/>
      <c r="K3471" s="5"/>
      <c r="L3471" s="5"/>
      <c r="M3471" s="5"/>
      <c r="N3471" s="6"/>
      <c r="O3471" s="7"/>
      <c r="P3471" s="5"/>
      <c r="Q3471" s="5"/>
      <c r="R3471" s="5"/>
      <c r="S3471" s="5"/>
      <c r="T3471" s="5"/>
      <c r="U3471" s="5"/>
      <c r="V3471" s="5"/>
      <c r="W3471" s="5"/>
      <c r="X3471" s="5"/>
      <c r="Z3471" s="5"/>
      <c r="AA3471" s="5"/>
      <c r="AB3471" s="5"/>
      <c r="AD3471" s="9"/>
    </row>
    <row r="3472" spans="1:30" ht="12.5">
      <c r="A3472" s="4"/>
      <c r="B3472" s="5"/>
      <c r="C3472" s="5"/>
      <c r="D3472" s="5"/>
      <c r="F3472" s="5"/>
      <c r="J3472" s="5"/>
      <c r="K3472" s="5"/>
      <c r="L3472" s="5"/>
      <c r="M3472" s="5"/>
      <c r="N3472" s="6"/>
      <c r="O3472" s="7"/>
      <c r="P3472" s="5"/>
      <c r="Q3472" s="5"/>
      <c r="R3472" s="5"/>
      <c r="S3472" s="5"/>
      <c r="T3472" s="5"/>
      <c r="U3472" s="5"/>
      <c r="V3472" s="5"/>
      <c r="W3472" s="5"/>
      <c r="X3472" s="5"/>
      <c r="Z3472" s="5"/>
      <c r="AA3472" s="5"/>
      <c r="AB3472" s="5"/>
      <c r="AD3472" s="9"/>
    </row>
    <row r="3473" spans="1:30" ht="12.5">
      <c r="A3473" s="4"/>
      <c r="B3473" s="5"/>
      <c r="C3473" s="5"/>
      <c r="D3473" s="5"/>
      <c r="F3473" s="5"/>
      <c r="J3473" s="5"/>
      <c r="K3473" s="5"/>
      <c r="L3473" s="5"/>
      <c r="M3473" s="5"/>
      <c r="N3473" s="6"/>
      <c r="O3473" s="7"/>
      <c r="P3473" s="5"/>
      <c r="Q3473" s="5"/>
      <c r="R3473" s="5"/>
      <c r="S3473" s="5"/>
      <c r="T3473" s="5"/>
      <c r="U3473" s="5"/>
      <c r="V3473" s="5"/>
      <c r="W3473" s="5"/>
      <c r="X3473" s="5"/>
      <c r="Z3473" s="5"/>
      <c r="AA3473" s="5"/>
      <c r="AB3473" s="5"/>
      <c r="AD3473" s="9"/>
    </row>
    <row r="3474" spans="1:30" ht="12.5">
      <c r="A3474" s="4"/>
      <c r="B3474" s="5"/>
      <c r="C3474" s="5"/>
      <c r="D3474" s="5"/>
      <c r="F3474" s="5"/>
      <c r="J3474" s="5"/>
      <c r="K3474" s="5"/>
      <c r="L3474" s="5"/>
      <c r="M3474" s="5"/>
      <c r="N3474" s="6"/>
      <c r="O3474" s="7"/>
      <c r="P3474" s="5"/>
      <c r="Q3474" s="5"/>
      <c r="R3474" s="5"/>
      <c r="S3474" s="5"/>
      <c r="T3474" s="5"/>
      <c r="U3474" s="5"/>
      <c r="V3474" s="5"/>
      <c r="W3474" s="5"/>
      <c r="X3474" s="5"/>
      <c r="Z3474" s="5"/>
      <c r="AA3474" s="5"/>
      <c r="AB3474" s="5"/>
      <c r="AD3474" s="9"/>
    </row>
    <row r="3475" spans="1:30" ht="12.5">
      <c r="A3475" s="4"/>
      <c r="B3475" s="5"/>
      <c r="C3475" s="5"/>
      <c r="D3475" s="5"/>
      <c r="F3475" s="5"/>
      <c r="J3475" s="5"/>
      <c r="K3475" s="5"/>
      <c r="L3475" s="5"/>
      <c r="M3475" s="5"/>
      <c r="N3475" s="6"/>
      <c r="O3475" s="7"/>
      <c r="P3475" s="5"/>
      <c r="Q3475" s="5"/>
      <c r="R3475" s="5"/>
      <c r="S3475" s="5"/>
      <c r="T3475" s="5"/>
      <c r="U3475" s="5"/>
      <c r="V3475" s="5"/>
      <c r="W3475" s="5"/>
      <c r="X3475" s="5"/>
      <c r="Z3475" s="5"/>
      <c r="AA3475" s="5"/>
      <c r="AB3475" s="5"/>
      <c r="AD3475" s="9"/>
    </row>
    <row r="3476" spans="1:30" ht="12.5">
      <c r="A3476" s="4"/>
      <c r="B3476" s="5"/>
      <c r="C3476" s="5"/>
      <c r="D3476" s="5"/>
      <c r="F3476" s="5"/>
      <c r="J3476" s="5"/>
      <c r="K3476" s="5"/>
      <c r="L3476" s="5"/>
      <c r="M3476" s="5"/>
      <c r="N3476" s="6"/>
      <c r="O3476" s="7"/>
      <c r="P3476" s="5"/>
      <c r="Q3476" s="5"/>
      <c r="R3476" s="5"/>
      <c r="S3476" s="5"/>
      <c r="T3476" s="5"/>
      <c r="U3476" s="5"/>
      <c r="V3476" s="5"/>
      <c r="W3476" s="5"/>
      <c r="X3476" s="5"/>
      <c r="Z3476" s="5"/>
      <c r="AA3476" s="5"/>
      <c r="AB3476" s="5"/>
      <c r="AD3476" s="9"/>
    </row>
    <row r="3477" spans="1:30" ht="12.5">
      <c r="A3477" s="4"/>
      <c r="B3477" s="5"/>
      <c r="C3477" s="5"/>
      <c r="D3477" s="5"/>
      <c r="F3477" s="5"/>
      <c r="J3477" s="5"/>
      <c r="K3477" s="5"/>
      <c r="L3477" s="5"/>
      <c r="M3477" s="5"/>
      <c r="N3477" s="6"/>
      <c r="O3477" s="7"/>
      <c r="P3477" s="5"/>
      <c r="Q3477" s="5"/>
      <c r="R3477" s="5"/>
      <c r="S3477" s="5"/>
      <c r="T3477" s="5"/>
      <c r="U3477" s="5"/>
      <c r="V3477" s="5"/>
      <c r="W3477" s="5"/>
      <c r="X3477" s="5"/>
      <c r="Z3477" s="5"/>
      <c r="AA3477" s="5"/>
      <c r="AB3477" s="5"/>
      <c r="AD3477" s="9"/>
    </row>
    <row r="3478" spans="1:30" ht="12.5">
      <c r="A3478" s="4"/>
      <c r="B3478" s="5"/>
      <c r="C3478" s="5"/>
      <c r="D3478" s="5"/>
      <c r="F3478" s="5"/>
      <c r="J3478" s="5"/>
      <c r="K3478" s="5"/>
      <c r="L3478" s="5"/>
      <c r="M3478" s="5"/>
      <c r="N3478" s="6"/>
      <c r="O3478" s="7"/>
      <c r="P3478" s="5"/>
      <c r="Q3478" s="5"/>
      <c r="R3478" s="5"/>
      <c r="S3478" s="5"/>
      <c r="T3478" s="5"/>
      <c r="U3478" s="5"/>
      <c r="V3478" s="5"/>
      <c r="W3478" s="5"/>
      <c r="X3478" s="5"/>
      <c r="Z3478" s="5"/>
      <c r="AA3478" s="5"/>
      <c r="AB3478" s="5"/>
      <c r="AD3478" s="9"/>
    </row>
    <row r="3479" spans="1:30" ht="12.5">
      <c r="A3479" s="4"/>
      <c r="B3479" s="5"/>
      <c r="C3479" s="5"/>
      <c r="D3479" s="5"/>
      <c r="F3479" s="5"/>
      <c r="J3479" s="5"/>
      <c r="K3479" s="5"/>
      <c r="L3479" s="5"/>
      <c r="M3479" s="5"/>
      <c r="N3479" s="6"/>
      <c r="O3479" s="7"/>
      <c r="P3479" s="5"/>
      <c r="Q3479" s="5"/>
      <c r="R3479" s="5"/>
      <c r="S3479" s="5"/>
      <c r="T3479" s="5"/>
      <c r="U3479" s="5"/>
      <c r="V3479" s="5"/>
      <c r="W3479" s="5"/>
      <c r="X3479" s="5"/>
      <c r="Z3479" s="5"/>
      <c r="AA3479" s="5"/>
      <c r="AB3479" s="5"/>
      <c r="AD3479" s="9"/>
    </row>
    <row r="3480" spans="1:30" ht="12.5">
      <c r="A3480" s="4"/>
      <c r="B3480" s="5"/>
      <c r="C3480" s="5"/>
      <c r="D3480" s="5"/>
      <c r="F3480" s="5"/>
      <c r="J3480" s="5"/>
      <c r="K3480" s="5"/>
      <c r="L3480" s="5"/>
      <c r="M3480" s="5"/>
      <c r="N3480" s="6"/>
      <c r="O3480" s="7"/>
      <c r="P3480" s="5"/>
      <c r="Q3480" s="5"/>
      <c r="R3480" s="5"/>
      <c r="S3480" s="5"/>
      <c r="T3480" s="5"/>
      <c r="U3480" s="5"/>
      <c r="V3480" s="5"/>
      <c r="W3480" s="5"/>
      <c r="X3480" s="5"/>
      <c r="Z3480" s="5"/>
      <c r="AA3480" s="5"/>
      <c r="AB3480" s="5"/>
      <c r="AD3480" s="9"/>
    </row>
    <row r="3481" spans="1:30" ht="12.5">
      <c r="A3481" s="4"/>
      <c r="B3481" s="5"/>
      <c r="C3481" s="5"/>
      <c r="D3481" s="5"/>
      <c r="F3481" s="5"/>
      <c r="J3481" s="5"/>
      <c r="K3481" s="5"/>
      <c r="L3481" s="5"/>
      <c r="M3481" s="5"/>
      <c r="N3481" s="6"/>
      <c r="O3481" s="7"/>
      <c r="P3481" s="5"/>
      <c r="Q3481" s="5"/>
      <c r="R3481" s="5"/>
      <c r="S3481" s="5"/>
      <c r="T3481" s="5"/>
      <c r="U3481" s="5"/>
      <c r="V3481" s="5"/>
      <c r="W3481" s="5"/>
      <c r="X3481" s="5"/>
      <c r="Z3481" s="5"/>
      <c r="AA3481" s="5"/>
      <c r="AB3481" s="5"/>
      <c r="AD3481" s="9"/>
    </row>
    <row r="3482" spans="1:30" ht="12.5">
      <c r="A3482" s="4"/>
      <c r="B3482" s="5"/>
      <c r="C3482" s="5"/>
      <c r="D3482" s="5"/>
      <c r="F3482" s="5"/>
      <c r="J3482" s="5"/>
      <c r="K3482" s="5"/>
      <c r="L3482" s="5"/>
      <c r="M3482" s="5"/>
      <c r="N3482" s="6"/>
      <c r="O3482" s="7"/>
      <c r="P3482" s="5"/>
      <c r="Q3482" s="5"/>
      <c r="R3482" s="5"/>
      <c r="S3482" s="5"/>
      <c r="T3482" s="5"/>
      <c r="U3482" s="5"/>
      <c r="V3482" s="5"/>
      <c r="W3482" s="5"/>
      <c r="X3482" s="5"/>
      <c r="Z3482" s="5"/>
      <c r="AA3482" s="5"/>
      <c r="AB3482" s="5"/>
      <c r="AD3482" s="9"/>
    </row>
    <row r="3483" spans="1:30" ht="12.5">
      <c r="A3483" s="4"/>
      <c r="B3483" s="5"/>
      <c r="C3483" s="5"/>
      <c r="D3483" s="5"/>
      <c r="F3483" s="5"/>
      <c r="J3483" s="5"/>
      <c r="K3483" s="5"/>
      <c r="L3483" s="5"/>
      <c r="M3483" s="5"/>
      <c r="N3483" s="6"/>
      <c r="O3483" s="7"/>
      <c r="P3483" s="5"/>
      <c r="Q3483" s="5"/>
      <c r="R3483" s="5"/>
      <c r="S3483" s="5"/>
      <c r="T3483" s="5"/>
      <c r="U3483" s="5"/>
      <c r="V3483" s="5"/>
      <c r="W3483" s="5"/>
      <c r="X3483" s="5"/>
      <c r="Z3483" s="5"/>
      <c r="AA3483" s="5"/>
      <c r="AB3483" s="5"/>
      <c r="AD3483" s="9"/>
    </row>
    <row r="3484" spans="1:30" ht="12.5">
      <c r="A3484" s="4"/>
      <c r="B3484" s="5"/>
      <c r="C3484" s="5"/>
      <c r="D3484" s="5"/>
      <c r="F3484" s="5"/>
      <c r="J3484" s="5"/>
      <c r="K3484" s="5"/>
      <c r="L3484" s="5"/>
      <c r="M3484" s="5"/>
      <c r="N3484" s="6"/>
      <c r="O3484" s="7"/>
      <c r="P3484" s="5"/>
      <c r="Q3484" s="5"/>
      <c r="R3484" s="5"/>
      <c r="S3484" s="5"/>
      <c r="T3484" s="5"/>
      <c r="U3484" s="5"/>
      <c r="V3484" s="5"/>
      <c r="W3484" s="5"/>
      <c r="X3484" s="5"/>
      <c r="Z3484" s="5"/>
      <c r="AA3484" s="5"/>
      <c r="AB3484" s="5"/>
      <c r="AD3484" s="9"/>
    </row>
    <row r="3485" spans="1:30" ht="12.5">
      <c r="A3485" s="4"/>
      <c r="B3485" s="5"/>
      <c r="C3485" s="5"/>
      <c r="D3485" s="5"/>
      <c r="F3485" s="5"/>
      <c r="J3485" s="5"/>
      <c r="K3485" s="5"/>
      <c r="L3485" s="5"/>
      <c r="M3485" s="5"/>
      <c r="N3485" s="6"/>
      <c r="O3485" s="7"/>
      <c r="P3485" s="5"/>
      <c r="Q3485" s="5"/>
      <c r="R3485" s="5"/>
      <c r="S3485" s="5"/>
      <c r="T3485" s="5"/>
      <c r="U3485" s="5"/>
      <c r="V3485" s="5"/>
      <c r="W3485" s="5"/>
      <c r="X3485" s="5"/>
      <c r="Z3485" s="5"/>
      <c r="AA3485" s="5"/>
      <c r="AB3485" s="5"/>
      <c r="AD3485" s="9"/>
    </row>
    <row r="3486" spans="1:30" ht="12.5">
      <c r="A3486" s="4"/>
      <c r="B3486" s="5"/>
      <c r="C3486" s="5"/>
      <c r="D3486" s="5"/>
      <c r="F3486" s="5"/>
      <c r="J3486" s="5"/>
      <c r="K3486" s="5"/>
      <c r="L3486" s="5"/>
      <c r="M3486" s="5"/>
      <c r="N3486" s="6"/>
      <c r="O3486" s="7"/>
      <c r="P3486" s="5"/>
      <c r="Q3486" s="5"/>
      <c r="R3486" s="5"/>
      <c r="S3486" s="5"/>
      <c r="T3486" s="5"/>
      <c r="U3486" s="5"/>
      <c r="V3486" s="5"/>
      <c r="W3486" s="5"/>
      <c r="X3486" s="5"/>
      <c r="Z3486" s="5"/>
      <c r="AA3486" s="5"/>
      <c r="AB3486" s="5"/>
      <c r="AD3486" s="9"/>
    </row>
    <row r="3487" spans="1:30" ht="12.5">
      <c r="A3487" s="4"/>
      <c r="B3487" s="5"/>
      <c r="C3487" s="5"/>
      <c r="D3487" s="5"/>
      <c r="F3487" s="5"/>
      <c r="J3487" s="5"/>
      <c r="K3487" s="5"/>
      <c r="L3487" s="5"/>
      <c r="M3487" s="5"/>
      <c r="N3487" s="6"/>
      <c r="O3487" s="7"/>
      <c r="P3487" s="5"/>
      <c r="Q3487" s="5"/>
      <c r="R3487" s="5"/>
      <c r="S3487" s="5"/>
      <c r="T3487" s="5"/>
      <c r="U3487" s="5"/>
      <c r="V3487" s="5"/>
      <c r="W3487" s="5"/>
      <c r="X3487" s="5"/>
      <c r="Z3487" s="5"/>
      <c r="AA3487" s="5"/>
      <c r="AB3487" s="5"/>
      <c r="AD3487" s="9"/>
    </row>
    <row r="3488" spans="1:30" ht="12.5">
      <c r="A3488" s="4"/>
      <c r="B3488" s="5"/>
      <c r="C3488" s="5"/>
      <c r="D3488" s="5"/>
      <c r="F3488" s="5"/>
      <c r="J3488" s="5"/>
      <c r="K3488" s="5"/>
      <c r="L3488" s="5"/>
      <c r="M3488" s="5"/>
      <c r="N3488" s="6"/>
      <c r="O3488" s="7"/>
      <c r="P3488" s="5"/>
      <c r="Q3488" s="5"/>
      <c r="R3488" s="5"/>
      <c r="S3488" s="5"/>
      <c r="T3488" s="5"/>
      <c r="U3488" s="5"/>
      <c r="V3488" s="5"/>
      <c r="W3488" s="5"/>
      <c r="X3488" s="5"/>
      <c r="Z3488" s="5"/>
      <c r="AA3488" s="5"/>
      <c r="AB3488" s="5"/>
      <c r="AD3488" s="9"/>
    </row>
    <row r="3489" spans="1:30" ht="12.5">
      <c r="A3489" s="4"/>
      <c r="B3489" s="5"/>
      <c r="C3489" s="5"/>
      <c r="D3489" s="5"/>
      <c r="F3489" s="5"/>
      <c r="J3489" s="5"/>
      <c r="K3489" s="5"/>
      <c r="L3489" s="5"/>
      <c r="M3489" s="5"/>
      <c r="N3489" s="6"/>
      <c r="O3489" s="7"/>
      <c r="P3489" s="5"/>
      <c r="Q3489" s="5"/>
      <c r="R3489" s="5"/>
      <c r="S3489" s="5"/>
      <c r="T3489" s="5"/>
      <c r="U3489" s="5"/>
      <c r="V3489" s="5"/>
      <c r="W3489" s="5"/>
      <c r="X3489" s="5"/>
      <c r="Z3489" s="5"/>
      <c r="AA3489" s="5"/>
      <c r="AB3489" s="5"/>
      <c r="AD3489" s="9"/>
    </row>
    <row r="3490" spans="1:30" ht="12.5">
      <c r="A3490" s="4"/>
      <c r="B3490" s="5"/>
      <c r="C3490" s="5"/>
      <c r="D3490" s="5"/>
      <c r="F3490" s="5"/>
      <c r="J3490" s="5"/>
      <c r="K3490" s="5"/>
      <c r="L3490" s="5"/>
      <c r="M3490" s="5"/>
      <c r="N3490" s="6"/>
      <c r="O3490" s="7"/>
      <c r="P3490" s="5"/>
      <c r="Q3490" s="5"/>
      <c r="R3490" s="5"/>
      <c r="S3490" s="5"/>
      <c r="T3490" s="5"/>
      <c r="U3490" s="5"/>
      <c r="V3490" s="5"/>
      <c r="W3490" s="5"/>
      <c r="X3490" s="5"/>
      <c r="Z3490" s="5"/>
      <c r="AA3490" s="5"/>
      <c r="AB3490" s="5"/>
      <c r="AD3490" s="9"/>
    </row>
    <row r="3491" spans="1:30" ht="12.5">
      <c r="A3491" s="4"/>
      <c r="B3491" s="5"/>
      <c r="C3491" s="5"/>
      <c r="D3491" s="5"/>
      <c r="F3491" s="5"/>
      <c r="J3491" s="5"/>
      <c r="K3491" s="5"/>
      <c r="L3491" s="5"/>
      <c r="M3491" s="5"/>
      <c r="N3491" s="6"/>
      <c r="O3491" s="7"/>
      <c r="P3491" s="5"/>
      <c r="Q3491" s="5"/>
      <c r="R3491" s="5"/>
      <c r="S3491" s="5"/>
      <c r="T3491" s="5"/>
      <c r="U3491" s="5"/>
      <c r="V3491" s="5"/>
      <c r="W3491" s="5"/>
      <c r="X3491" s="5"/>
      <c r="Z3491" s="5"/>
      <c r="AA3491" s="5"/>
      <c r="AB3491" s="5"/>
      <c r="AD3491" s="9"/>
    </row>
    <row r="3492" spans="1:30" ht="12.5">
      <c r="A3492" s="4"/>
      <c r="B3492" s="5"/>
      <c r="C3492" s="5"/>
      <c r="D3492" s="5"/>
      <c r="F3492" s="5"/>
      <c r="J3492" s="5"/>
      <c r="K3492" s="5"/>
      <c r="L3492" s="5"/>
      <c r="M3492" s="5"/>
      <c r="N3492" s="6"/>
      <c r="O3492" s="7"/>
      <c r="P3492" s="5"/>
      <c r="Q3492" s="5"/>
      <c r="R3492" s="5"/>
      <c r="S3492" s="5"/>
      <c r="T3492" s="5"/>
      <c r="U3492" s="5"/>
      <c r="V3492" s="5"/>
      <c r="W3492" s="5"/>
      <c r="X3492" s="5"/>
      <c r="Z3492" s="5"/>
      <c r="AA3492" s="5"/>
      <c r="AB3492" s="5"/>
      <c r="AD3492" s="9"/>
    </row>
    <row r="3493" spans="1:30" ht="12.5">
      <c r="A3493" s="4"/>
      <c r="B3493" s="5"/>
      <c r="C3493" s="5"/>
      <c r="D3493" s="5"/>
      <c r="F3493" s="5"/>
      <c r="J3493" s="5"/>
      <c r="K3493" s="5"/>
      <c r="L3493" s="5"/>
      <c r="M3493" s="5"/>
      <c r="N3493" s="6"/>
      <c r="O3493" s="7"/>
      <c r="P3493" s="5"/>
      <c r="Q3493" s="5"/>
      <c r="R3493" s="5"/>
      <c r="S3493" s="5"/>
      <c r="T3493" s="5"/>
      <c r="U3493" s="5"/>
      <c r="V3493" s="5"/>
      <c r="W3493" s="5"/>
      <c r="X3493" s="5"/>
      <c r="Z3493" s="5"/>
      <c r="AA3493" s="5"/>
      <c r="AB3493" s="5"/>
      <c r="AD3493" s="9"/>
    </row>
    <row r="3494" spans="1:30" ht="12.5">
      <c r="A3494" s="4"/>
      <c r="B3494" s="5"/>
      <c r="C3494" s="5"/>
      <c r="D3494" s="5"/>
      <c r="F3494" s="5"/>
      <c r="J3494" s="5"/>
      <c r="K3494" s="5"/>
      <c r="L3494" s="5"/>
      <c r="M3494" s="5"/>
      <c r="N3494" s="6"/>
      <c r="O3494" s="7"/>
      <c r="P3494" s="5"/>
      <c r="Q3494" s="5"/>
      <c r="R3494" s="5"/>
      <c r="S3494" s="5"/>
      <c r="T3494" s="5"/>
      <c r="U3494" s="5"/>
      <c r="V3494" s="5"/>
      <c r="W3494" s="5"/>
      <c r="X3494" s="5"/>
      <c r="Z3494" s="5"/>
      <c r="AA3494" s="5"/>
      <c r="AB3494" s="5"/>
      <c r="AD3494" s="9"/>
    </row>
    <row r="3495" spans="1:30" ht="12.5">
      <c r="A3495" s="4"/>
      <c r="B3495" s="5"/>
      <c r="C3495" s="5"/>
      <c r="D3495" s="5"/>
      <c r="F3495" s="5"/>
      <c r="J3495" s="5"/>
      <c r="K3495" s="5"/>
      <c r="L3495" s="5"/>
      <c r="M3495" s="5"/>
      <c r="N3495" s="6"/>
      <c r="O3495" s="7"/>
      <c r="P3495" s="5"/>
      <c r="Q3495" s="5"/>
      <c r="R3495" s="5"/>
      <c r="S3495" s="5"/>
      <c r="T3495" s="5"/>
      <c r="U3495" s="5"/>
      <c r="V3495" s="5"/>
      <c r="W3495" s="5"/>
      <c r="X3495" s="5"/>
      <c r="Z3495" s="5"/>
      <c r="AA3495" s="5"/>
      <c r="AB3495" s="5"/>
      <c r="AD3495" s="9"/>
    </row>
    <row r="3496" spans="1:30" ht="12.5">
      <c r="A3496" s="4"/>
      <c r="B3496" s="5"/>
      <c r="C3496" s="5"/>
      <c r="D3496" s="5"/>
      <c r="F3496" s="5"/>
      <c r="J3496" s="5"/>
      <c r="K3496" s="5"/>
      <c r="L3496" s="5"/>
      <c r="M3496" s="5"/>
      <c r="N3496" s="6"/>
      <c r="O3496" s="7"/>
      <c r="P3496" s="5"/>
      <c r="Q3496" s="5"/>
      <c r="R3496" s="5"/>
      <c r="S3496" s="5"/>
      <c r="T3496" s="5"/>
      <c r="U3496" s="5"/>
      <c r="V3496" s="5"/>
      <c r="W3496" s="5"/>
      <c r="X3496" s="5"/>
      <c r="Z3496" s="5"/>
      <c r="AA3496" s="5"/>
      <c r="AB3496" s="5"/>
      <c r="AD3496" s="9"/>
    </row>
    <row r="3497" spans="1:30" ht="12.5">
      <c r="A3497" s="4"/>
      <c r="B3497" s="5"/>
      <c r="C3497" s="5"/>
      <c r="D3497" s="5"/>
      <c r="F3497" s="5"/>
      <c r="J3497" s="5"/>
      <c r="K3497" s="5"/>
      <c r="L3497" s="5"/>
      <c r="M3497" s="5"/>
      <c r="N3497" s="6"/>
      <c r="O3497" s="7"/>
      <c r="P3497" s="5"/>
      <c r="Q3497" s="5"/>
      <c r="R3497" s="5"/>
      <c r="S3497" s="5"/>
      <c r="T3497" s="5"/>
      <c r="U3497" s="5"/>
      <c r="V3497" s="5"/>
      <c r="W3497" s="5"/>
      <c r="X3497" s="5"/>
      <c r="Z3497" s="5"/>
      <c r="AA3497" s="5"/>
      <c r="AB3497" s="5"/>
      <c r="AD3497" s="9"/>
    </row>
    <row r="3498" spans="1:30" ht="12.5">
      <c r="A3498" s="4"/>
      <c r="B3498" s="5"/>
      <c r="C3498" s="5"/>
      <c r="D3498" s="5"/>
      <c r="F3498" s="5"/>
      <c r="J3498" s="5"/>
      <c r="K3498" s="5"/>
      <c r="L3498" s="5"/>
      <c r="M3498" s="5"/>
      <c r="N3498" s="6"/>
      <c r="O3498" s="7"/>
      <c r="P3498" s="5"/>
      <c r="Q3498" s="5"/>
      <c r="R3498" s="5"/>
      <c r="S3498" s="5"/>
      <c r="T3498" s="5"/>
      <c r="U3498" s="5"/>
      <c r="V3498" s="5"/>
      <c r="W3498" s="5"/>
      <c r="X3498" s="5"/>
      <c r="Z3498" s="5"/>
      <c r="AA3498" s="5"/>
      <c r="AB3498" s="5"/>
      <c r="AD3498" s="9"/>
    </row>
    <row r="3499" spans="1:30" ht="12.5">
      <c r="A3499" s="4"/>
      <c r="B3499" s="5"/>
      <c r="C3499" s="5"/>
      <c r="D3499" s="5"/>
      <c r="F3499" s="5"/>
      <c r="J3499" s="5"/>
      <c r="K3499" s="5"/>
      <c r="L3499" s="5"/>
      <c r="M3499" s="5"/>
      <c r="N3499" s="6"/>
      <c r="O3499" s="7"/>
      <c r="P3499" s="5"/>
      <c r="Q3499" s="5"/>
      <c r="R3499" s="5"/>
      <c r="S3499" s="5"/>
      <c r="T3499" s="5"/>
      <c r="U3499" s="5"/>
      <c r="V3499" s="5"/>
      <c r="W3499" s="5"/>
      <c r="X3499" s="5"/>
      <c r="Z3499" s="5"/>
      <c r="AA3499" s="5"/>
      <c r="AB3499" s="5"/>
      <c r="AD3499" s="9"/>
    </row>
    <row r="3500" spans="1:30" ht="12.5">
      <c r="A3500" s="4"/>
      <c r="B3500" s="5"/>
      <c r="C3500" s="5"/>
      <c r="D3500" s="5"/>
      <c r="F3500" s="5"/>
      <c r="J3500" s="5"/>
      <c r="K3500" s="5"/>
      <c r="L3500" s="5"/>
      <c r="M3500" s="5"/>
      <c r="N3500" s="6"/>
      <c r="O3500" s="7"/>
      <c r="P3500" s="5"/>
      <c r="Q3500" s="5"/>
      <c r="R3500" s="5"/>
      <c r="S3500" s="5"/>
      <c r="T3500" s="5"/>
      <c r="U3500" s="5"/>
      <c r="V3500" s="5"/>
      <c r="W3500" s="5"/>
      <c r="X3500" s="5"/>
      <c r="Z3500" s="5"/>
      <c r="AA3500" s="5"/>
      <c r="AB3500" s="5"/>
      <c r="AD3500" s="9"/>
    </row>
    <row r="3501" spans="1:30" ht="12.5">
      <c r="A3501" s="4"/>
      <c r="B3501" s="5"/>
      <c r="C3501" s="5"/>
      <c r="D3501" s="5"/>
      <c r="F3501" s="5"/>
      <c r="J3501" s="5"/>
      <c r="K3501" s="5"/>
      <c r="L3501" s="5"/>
      <c r="M3501" s="5"/>
      <c r="N3501" s="6"/>
      <c r="O3501" s="7"/>
      <c r="P3501" s="5"/>
      <c r="Q3501" s="5"/>
      <c r="R3501" s="5"/>
      <c r="S3501" s="5"/>
      <c r="T3501" s="5"/>
      <c r="U3501" s="5"/>
      <c r="V3501" s="5"/>
      <c r="W3501" s="5"/>
      <c r="X3501" s="5"/>
      <c r="Z3501" s="5"/>
      <c r="AA3501" s="5"/>
      <c r="AB3501" s="5"/>
      <c r="AD3501" s="9"/>
    </row>
    <row r="3502" spans="1:30" ht="12.5">
      <c r="A3502" s="4"/>
      <c r="B3502" s="5"/>
      <c r="C3502" s="5"/>
      <c r="D3502" s="5"/>
      <c r="F3502" s="5"/>
      <c r="J3502" s="5"/>
      <c r="K3502" s="5"/>
      <c r="L3502" s="5"/>
      <c r="M3502" s="5"/>
      <c r="N3502" s="6"/>
      <c r="O3502" s="7"/>
      <c r="P3502" s="5"/>
      <c r="Q3502" s="5"/>
      <c r="R3502" s="5"/>
      <c r="S3502" s="5"/>
      <c r="T3502" s="5"/>
      <c r="U3502" s="5"/>
      <c r="V3502" s="5"/>
      <c r="W3502" s="5"/>
      <c r="X3502" s="5"/>
      <c r="Z3502" s="5"/>
      <c r="AA3502" s="5"/>
      <c r="AB3502" s="5"/>
      <c r="AD3502" s="9"/>
    </row>
    <row r="3503" spans="1:30" ht="12.5">
      <c r="A3503" s="4"/>
      <c r="B3503" s="5"/>
      <c r="C3503" s="5"/>
      <c r="D3503" s="5"/>
      <c r="F3503" s="5"/>
      <c r="J3503" s="5"/>
      <c r="K3503" s="5"/>
      <c r="L3503" s="5"/>
      <c r="M3503" s="5"/>
      <c r="N3503" s="6"/>
      <c r="O3503" s="7"/>
      <c r="P3503" s="5"/>
      <c r="Q3503" s="5"/>
      <c r="R3503" s="5"/>
      <c r="S3503" s="5"/>
      <c r="T3503" s="5"/>
      <c r="U3503" s="5"/>
      <c r="V3503" s="5"/>
      <c r="W3503" s="5"/>
      <c r="X3503" s="5"/>
      <c r="Z3503" s="5"/>
      <c r="AA3503" s="5"/>
      <c r="AB3503" s="5"/>
      <c r="AD3503" s="9"/>
    </row>
    <row r="3504" spans="1:30" ht="12.5">
      <c r="A3504" s="4"/>
      <c r="B3504" s="5"/>
      <c r="C3504" s="5"/>
      <c r="D3504" s="5"/>
      <c r="F3504" s="5"/>
      <c r="J3504" s="5"/>
      <c r="K3504" s="5"/>
      <c r="L3504" s="5"/>
      <c r="M3504" s="5"/>
      <c r="N3504" s="6"/>
      <c r="O3504" s="7"/>
      <c r="P3504" s="5"/>
      <c r="Q3504" s="5"/>
      <c r="R3504" s="5"/>
      <c r="S3504" s="5"/>
      <c r="T3504" s="5"/>
      <c r="U3504" s="5"/>
      <c r="V3504" s="5"/>
      <c r="W3504" s="5"/>
      <c r="X3504" s="5"/>
      <c r="Z3504" s="5"/>
      <c r="AA3504" s="5"/>
      <c r="AB3504" s="5"/>
      <c r="AD3504" s="9"/>
    </row>
    <row r="3505" spans="1:30" ht="12.5">
      <c r="A3505" s="4"/>
      <c r="B3505" s="5"/>
      <c r="C3505" s="5"/>
      <c r="D3505" s="5"/>
      <c r="F3505" s="5"/>
      <c r="J3505" s="5"/>
      <c r="K3505" s="5"/>
      <c r="L3505" s="5"/>
      <c r="M3505" s="5"/>
      <c r="N3505" s="6"/>
      <c r="O3505" s="7"/>
      <c r="P3505" s="5"/>
      <c r="Q3505" s="5"/>
      <c r="R3505" s="5"/>
      <c r="S3505" s="5"/>
      <c r="T3505" s="5"/>
      <c r="U3505" s="5"/>
      <c r="V3505" s="5"/>
      <c r="W3505" s="5"/>
      <c r="X3505" s="5"/>
      <c r="Z3505" s="5"/>
      <c r="AA3505" s="5"/>
      <c r="AB3505" s="5"/>
      <c r="AD3505" s="9"/>
    </row>
    <row r="3506" spans="1:30" ht="12.5">
      <c r="A3506" s="4"/>
      <c r="B3506" s="5"/>
      <c r="C3506" s="5"/>
      <c r="D3506" s="5"/>
      <c r="F3506" s="5"/>
      <c r="J3506" s="5"/>
      <c r="K3506" s="5"/>
      <c r="L3506" s="5"/>
      <c r="M3506" s="5"/>
      <c r="N3506" s="6"/>
      <c r="O3506" s="7"/>
      <c r="P3506" s="5"/>
      <c r="Q3506" s="5"/>
      <c r="R3506" s="5"/>
      <c r="S3506" s="5"/>
      <c r="T3506" s="5"/>
      <c r="U3506" s="5"/>
      <c r="V3506" s="5"/>
      <c r="W3506" s="5"/>
      <c r="X3506" s="5"/>
      <c r="Z3506" s="5"/>
      <c r="AA3506" s="5"/>
      <c r="AB3506" s="5"/>
      <c r="AD3506" s="9"/>
    </row>
    <row r="3507" spans="1:30" ht="12.5">
      <c r="A3507" s="4"/>
      <c r="B3507" s="5"/>
      <c r="C3507" s="5"/>
      <c r="D3507" s="5"/>
      <c r="F3507" s="5"/>
      <c r="J3507" s="5"/>
      <c r="K3507" s="5"/>
      <c r="L3507" s="5"/>
      <c r="M3507" s="5"/>
      <c r="N3507" s="6"/>
      <c r="O3507" s="7"/>
      <c r="P3507" s="5"/>
      <c r="Q3507" s="5"/>
      <c r="R3507" s="5"/>
      <c r="S3507" s="5"/>
      <c r="T3507" s="5"/>
      <c r="U3507" s="5"/>
      <c r="V3507" s="5"/>
      <c r="W3507" s="5"/>
      <c r="X3507" s="5"/>
      <c r="Z3507" s="5"/>
      <c r="AA3507" s="5"/>
      <c r="AB3507" s="5"/>
      <c r="AD3507" s="9"/>
    </row>
    <row r="3508" spans="1:30" ht="12.5">
      <c r="A3508" s="4"/>
      <c r="B3508" s="5"/>
      <c r="C3508" s="5"/>
      <c r="D3508" s="5"/>
      <c r="F3508" s="5"/>
      <c r="J3508" s="5"/>
      <c r="K3508" s="5"/>
      <c r="L3508" s="5"/>
      <c r="M3508" s="5"/>
      <c r="N3508" s="6"/>
      <c r="O3508" s="7"/>
      <c r="P3508" s="5"/>
      <c r="Q3508" s="5"/>
      <c r="R3508" s="5"/>
      <c r="S3508" s="5"/>
      <c r="T3508" s="5"/>
      <c r="U3508" s="5"/>
      <c r="V3508" s="5"/>
      <c r="W3508" s="5"/>
      <c r="X3508" s="5"/>
      <c r="Z3508" s="5"/>
      <c r="AA3508" s="5"/>
      <c r="AB3508" s="5"/>
      <c r="AD3508" s="9"/>
    </row>
    <row r="3509" spans="1:30" ht="12.5">
      <c r="A3509" s="4"/>
      <c r="B3509" s="5"/>
      <c r="C3509" s="5"/>
      <c r="D3509" s="5"/>
      <c r="F3509" s="5"/>
      <c r="J3509" s="5"/>
      <c r="K3509" s="5"/>
      <c r="L3509" s="5"/>
      <c r="M3509" s="5"/>
      <c r="N3509" s="6"/>
      <c r="O3509" s="7"/>
      <c r="P3509" s="5"/>
      <c r="Q3509" s="5"/>
      <c r="R3509" s="5"/>
      <c r="S3509" s="5"/>
      <c r="T3509" s="5"/>
      <c r="U3509" s="5"/>
      <c r="V3509" s="5"/>
      <c r="W3509" s="5"/>
      <c r="X3509" s="5"/>
      <c r="Z3509" s="5"/>
      <c r="AA3509" s="5"/>
      <c r="AB3509" s="5"/>
      <c r="AD3509" s="9"/>
    </row>
    <row r="3510" spans="1:30" ht="12.5">
      <c r="A3510" s="4"/>
      <c r="B3510" s="5"/>
      <c r="C3510" s="5"/>
      <c r="D3510" s="5"/>
      <c r="F3510" s="5"/>
      <c r="J3510" s="5"/>
      <c r="K3510" s="5"/>
      <c r="L3510" s="5"/>
      <c r="M3510" s="5"/>
      <c r="N3510" s="6"/>
      <c r="O3510" s="7"/>
      <c r="P3510" s="5"/>
      <c r="Q3510" s="5"/>
      <c r="R3510" s="5"/>
      <c r="S3510" s="5"/>
      <c r="T3510" s="5"/>
      <c r="U3510" s="5"/>
      <c r="V3510" s="5"/>
      <c r="W3510" s="5"/>
      <c r="X3510" s="5"/>
      <c r="Z3510" s="5"/>
      <c r="AA3510" s="5"/>
      <c r="AB3510" s="5"/>
      <c r="AD3510" s="9"/>
    </row>
    <row r="3511" spans="1:30" ht="12.5">
      <c r="A3511" s="4"/>
      <c r="B3511" s="5"/>
      <c r="C3511" s="5"/>
      <c r="D3511" s="5"/>
      <c r="F3511" s="5"/>
      <c r="J3511" s="5"/>
      <c r="K3511" s="5"/>
      <c r="L3511" s="5"/>
      <c r="M3511" s="5"/>
      <c r="N3511" s="6"/>
      <c r="O3511" s="7"/>
      <c r="P3511" s="5"/>
      <c r="Q3511" s="5"/>
      <c r="R3511" s="5"/>
      <c r="S3511" s="5"/>
      <c r="T3511" s="5"/>
      <c r="U3511" s="5"/>
      <c r="V3511" s="5"/>
      <c r="W3511" s="5"/>
      <c r="X3511" s="5"/>
      <c r="Z3511" s="5"/>
      <c r="AA3511" s="5"/>
      <c r="AB3511" s="5"/>
      <c r="AD3511" s="9"/>
    </row>
    <row r="3512" spans="1:30" ht="12.5">
      <c r="A3512" s="4"/>
      <c r="B3512" s="5"/>
      <c r="C3512" s="5"/>
      <c r="D3512" s="5"/>
      <c r="F3512" s="5"/>
      <c r="J3512" s="5"/>
      <c r="K3512" s="5"/>
      <c r="L3512" s="5"/>
      <c r="M3512" s="5"/>
      <c r="N3512" s="6"/>
      <c r="O3512" s="7"/>
      <c r="P3512" s="5"/>
      <c r="Q3512" s="5"/>
      <c r="R3512" s="5"/>
      <c r="S3512" s="5"/>
      <c r="T3512" s="5"/>
      <c r="U3512" s="5"/>
      <c r="V3512" s="5"/>
      <c r="W3512" s="5"/>
      <c r="X3512" s="5"/>
      <c r="Z3512" s="5"/>
      <c r="AA3512" s="5"/>
      <c r="AB3512" s="5"/>
      <c r="AD3512" s="9"/>
    </row>
    <row r="3513" spans="1:30" ht="12.5">
      <c r="A3513" s="4"/>
      <c r="B3513" s="5"/>
      <c r="C3513" s="5"/>
      <c r="D3513" s="5"/>
      <c r="F3513" s="5"/>
      <c r="J3513" s="5"/>
      <c r="K3513" s="5"/>
      <c r="L3513" s="5"/>
      <c r="M3513" s="5"/>
      <c r="N3513" s="6"/>
      <c r="O3513" s="7"/>
      <c r="P3513" s="5"/>
      <c r="Q3513" s="5"/>
      <c r="R3513" s="5"/>
      <c r="S3513" s="5"/>
      <c r="T3513" s="5"/>
      <c r="U3513" s="5"/>
      <c r="V3513" s="5"/>
      <c r="W3513" s="5"/>
      <c r="X3513" s="5"/>
      <c r="Z3513" s="5"/>
      <c r="AA3513" s="5"/>
      <c r="AB3513" s="5"/>
      <c r="AD3513" s="9"/>
    </row>
    <row r="3514" spans="1:30" ht="12.5">
      <c r="A3514" s="4"/>
      <c r="B3514" s="5"/>
      <c r="C3514" s="5"/>
      <c r="D3514" s="5"/>
      <c r="F3514" s="5"/>
      <c r="J3514" s="5"/>
      <c r="K3514" s="5"/>
      <c r="L3514" s="5"/>
      <c r="M3514" s="5"/>
      <c r="N3514" s="6"/>
      <c r="O3514" s="7"/>
      <c r="P3514" s="5"/>
      <c r="Q3514" s="5"/>
      <c r="R3514" s="5"/>
      <c r="S3514" s="5"/>
      <c r="T3514" s="5"/>
      <c r="U3514" s="5"/>
      <c r="V3514" s="5"/>
      <c r="W3514" s="5"/>
      <c r="X3514" s="5"/>
      <c r="Z3514" s="5"/>
      <c r="AA3514" s="5"/>
      <c r="AB3514" s="5"/>
      <c r="AD3514" s="9"/>
    </row>
    <row r="3515" spans="1:30" ht="12.5">
      <c r="A3515" s="4"/>
      <c r="B3515" s="5"/>
      <c r="C3515" s="5"/>
      <c r="D3515" s="5"/>
      <c r="F3515" s="5"/>
      <c r="J3515" s="5"/>
      <c r="K3515" s="5"/>
      <c r="L3515" s="5"/>
      <c r="M3515" s="5"/>
      <c r="N3515" s="6"/>
      <c r="O3515" s="7"/>
      <c r="P3515" s="5"/>
      <c r="Q3515" s="5"/>
      <c r="R3515" s="5"/>
      <c r="S3515" s="5"/>
      <c r="T3515" s="5"/>
      <c r="U3515" s="5"/>
      <c r="V3515" s="5"/>
      <c r="W3515" s="5"/>
      <c r="X3515" s="5"/>
      <c r="Z3515" s="5"/>
      <c r="AA3515" s="5"/>
      <c r="AB3515" s="5"/>
      <c r="AD3515" s="9"/>
    </row>
    <row r="3516" spans="1:30" ht="12.5">
      <c r="A3516" s="4"/>
      <c r="B3516" s="5"/>
      <c r="C3516" s="5"/>
      <c r="D3516" s="5"/>
      <c r="F3516" s="5"/>
      <c r="J3516" s="5"/>
      <c r="K3516" s="5"/>
      <c r="L3516" s="5"/>
      <c r="M3516" s="5"/>
      <c r="N3516" s="6"/>
      <c r="O3516" s="7"/>
      <c r="P3516" s="5"/>
      <c r="Q3516" s="5"/>
      <c r="R3516" s="5"/>
      <c r="S3516" s="5"/>
      <c r="T3516" s="5"/>
      <c r="U3516" s="5"/>
      <c r="V3516" s="5"/>
      <c r="W3516" s="5"/>
      <c r="X3516" s="5"/>
      <c r="Z3516" s="5"/>
      <c r="AA3516" s="5"/>
      <c r="AB3516" s="5"/>
      <c r="AD3516" s="9"/>
    </row>
    <row r="3517" spans="1:30" ht="12.5">
      <c r="A3517" s="4"/>
      <c r="B3517" s="5"/>
      <c r="C3517" s="5"/>
      <c r="D3517" s="5"/>
      <c r="F3517" s="5"/>
      <c r="J3517" s="5"/>
      <c r="K3517" s="5"/>
      <c r="L3517" s="5"/>
      <c r="M3517" s="5"/>
      <c r="N3517" s="6"/>
      <c r="O3517" s="7"/>
      <c r="P3517" s="5"/>
      <c r="Q3517" s="5"/>
      <c r="R3517" s="5"/>
      <c r="S3517" s="5"/>
      <c r="T3517" s="5"/>
      <c r="U3517" s="5"/>
      <c r="V3517" s="5"/>
      <c r="W3517" s="5"/>
      <c r="X3517" s="5"/>
      <c r="Z3517" s="5"/>
      <c r="AA3517" s="5"/>
      <c r="AB3517" s="5"/>
      <c r="AD3517" s="9"/>
    </row>
    <row r="3518" spans="1:30" ht="12.5">
      <c r="A3518" s="4"/>
      <c r="B3518" s="5"/>
      <c r="C3518" s="5"/>
      <c r="D3518" s="5"/>
      <c r="F3518" s="5"/>
      <c r="J3518" s="5"/>
      <c r="K3518" s="5"/>
      <c r="L3518" s="5"/>
      <c r="M3518" s="5"/>
      <c r="N3518" s="6"/>
      <c r="O3518" s="7"/>
      <c r="P3518" s="5"/>
      <c r="Q3518" s="5"/>
      <c r="R3518" s="5"/>
      <c r="S3518" s="5"/>
      <c r="T3518" s="5"/>
      <c r="U3518" s="5"/>
      <c r="V3518" s="5"/>
      <c r="W3518" s="5"/>
      <c r="X3518" s="5"/>
      <c r="Z3518" s="5"/>
      <c r="AA3518" s="5"/>
      <c r="AB3518" s="5"/>
      <c r="AD3518" s="9"/>
    </row>
    <row r="3519" spans="1:30" ht="12.5">
      <c r="A3519" s="4"/>
      <c r="B3519" s="5"/>
      <c r="C3519" s="5"/>
      <c r="D3519" s="5"/>
      <c r="F3519" s="5"/>
      <c r="J3519" s="5"/>
      <c r="K3519" s="5"/>
      <c r="L3519" s="5"/>
      <c r="M3519" s="5"/>
      <c r="N3519" s="6"/>
      <c r="O3519" s="7"/>
      <c r="P3519" s="5"/>
      <c r="Q3519" s="5"/>
      <c r="R3519" s="5"/>
      <c r="S3519" s="5"/>
      <c r="T3519" s="5"/>
      <c r="U3519" s="5"/>
      <c r="V3519" s="5"/>
      <c r="W3519" s="5"/>
      <c r="X3519" s="5"/>
      <c r="Z3519" s="5"/>
      <c r="AA3519" s="5"/>
      <c r="AB3519" s="5"/>
      <c r="AD3519" s="9"/>
    </row>
    <row r="3520" spans="1:30" ht="12.5">
      <c r="A3520" s="4"/>
      <c r="B3520" s="5"/>
      <c r="C3520" s="5"/>
      <c r="D3520" s="5"/>
      <c r="F3520" s="5"/>
      <c r="J3520" s="5"/>
      <c r="K3520" s="5"/>
      <c r="L3520" s="5"/>
      <c r="M3520" s="5"/>
      <c r="N3520" s="6"/>
      <c r="O3520" s="7"/>
      <c r="P3520" s="5"/>
      <c r="Q3520" s="5"/>
      <c r="R3520" s="5"/>
      <c r="S3520" s="5"/>
      <c r="T3520" s="5"/>
      <c r="U3520" s="5"/>
      <c r="V3520" s="5"/>
      <c r="W3520" s="5"/>
      <c r="X3520" s="5"/>
      <c r="Z3520" s="5"/>
      <c r="AA3520" s="5"/>
      <c r="AB3520" s="5"/>
      <c r="AD3520" s="9"/>
    </row>
    <row r="3521" spans="1:30" ht="12.5">
      <c r="A3521" s="4"/>
      <c r="B3521" s="5"/>
      <c r="C3521" s="5"/>
      <c r="D3521" s="5"/>
      <c r="F3521" s="5"/>
      <c r="J3521" s="5"/>
      <c r="K3521" s="5"/>
      <c r="L3521" s="5"/>
      <c r="M3521" s="5"/>
      <c r="N3521" s="6"/>
      <c r="O3521" s="7"/>
      <c r="P3521" s="5"/>
      <c r="Q3521" s="5"/>
      <c r="R3521" s="5"/>
      <c r="S3521" s="5"/>
      <c r="T3521" s="5"/>
      <c r="U3521" s="5"/>
      <c r="V3521" s="5"/>
      <c r="W3521" s="5"/>
      <c r="X3521" s="5"/>
      <c r="Z3521" s="5"/>
      <c r="AA3521" s="5"/>
      <c r="AB3521" s="5"/>
      <c r="AD3521" s="9"/>
    </row>
    <row r="3522" spans="1:30" ht="12.5">
      <c r="A3522" s="4"/>
      <c r="B3522" s="5"/>
      <c r="C3522" s="5"/>
      <c r="D3522" s="5"/>
      <c r="F3522" s="5"/>
      <c r="J3522" s="5"/>
      <c r="K3522" s="5"/>
      <c r="L3522" s="5"/>
      <c r="M3522" s="5"/>
      <c r="N3522" s="6"/>
      <c r="O3522" s="7"/>
      <c r="P3522" s="5"/>
      <c r="Q3522" s="5"/>
      <c r="R3522" s="5"/>
      <c r="S3522" s="5"/>
      <c r="T3522" s="5"/>
      <c r="U3522" s="5"/>
      <c r="V3522" s="5"/>
      <c r="W3522" s="5"/>
      <c r="X3522" s="5"/>
      <c r="Z3522" s="5"/>
      <c r="AA3522" s="5"/>
      <c r="AB3522" s="5"/>
      <c r="AD3522" s="9"/>
    </row>
    <row r="3523" spans="1:30" ht="12.5">
      <c r="A3523" s="4"/>
      <c r="B3523" s="5"/>
      <c r="C3523" s="5"/>
      <c r="D3523" s="5"/>
      <c r="F3523" s="5"/>
      <c r="J3523" s="5"/>
      <c r="K3523" s="5"/>
      <c r="L3523" s="5"/>
      <c r="M3523" s="5"/>
      <c r="N3523" s="6"/>
      <c r="O3523" s="7"/>
      <c r="P3523" s="5"/>
      <c r="Q3523" s="5"/>
      <c r="R3523" s="5"/>
      <c r="S3523" s="5"/>
      <c r="T3523" s="5"/>
      <c r="U3523" s="5"/>
      <c r="V3523" s="5"/>
      <c r="W3523" s="5"/>
      <c r="X3523" s="5"/>
      <c r="Z3523" s="5"/>
      <c r="AA3523" s="5"/>
      <c r="AB3523" s="5"/>
      <c r="AD3523" s="9"/>
    </row>
    <row r="3524" spans="1:30" ht="12.5">
      <c r="A3524" s="4"/>
      <c r="B3524" s="5"/>
      <c r="C3524" s="5"/>
      <c r="D3524" s="5"/>
      <c r="F3524" s="5"/>
      <c r="J3524" s="5"/>
      <c r="K3524" s="5"/>
      <c r="L3524" s="5"/>
      <c r="M3524" s="5"/>
      <c r="N3524" s="6"/>
      <c r="O3524" s="7"/>
      <c r="P3524" s="5"/>
      <c r="Q3524" s="5"/>
      <c r="R3524" s="5"/>
      <c r="S3524" s="5"/>
      <c r="T3524" s="5"/>
      <c r="U3524" s="5"/>
      <c r="V3524" s="5"/>
      <c r="W3524" s="5"/>
      <c r="X3524" s="5"/>
      <c r="Z3524" s="5"/>
      <c r="AA3524" s="5"/>
      <c r="AB3524" s="5"/>
      <c r="AD3524" s="9"/>
    </row>
    <row r="3525" spans="1:30" ht="12.5">
      <c r="A3525" s="4"/>
      <c r="B3525" s="5"/>
      <c r="C3525" s="5"/>
      <c r="D3525" s="5"/>
      <c r="F3525" s="5"/>
      <c r="J3525" s="5"/>
      <c r="K3525" s="5"/>
      <c r="L3525" s="5"/>
      <c r="M3525" s="5"/>
      <c r="N3525" s="6"/>
      <c r="O3525" s="7"/>
      <c r="P3525" s="5"/>
      <c r="Q3525" s="5"/>
      <c r="R3525" s="5"/>
      <c r="S3525" s="5"/>
      <c r="T3525" s="5"/>
      <c r="U3525" s="5"/>
      <c r="V3525" s="5"/>
      <c r="W3525" s="5"/>
      <c r="X3525" s="5"/>
      <c r="Z3525" s="5"/>
      <c r="AA3525" s="5"/>
      <c r="AB3525" s="5"/>
      <c r="AD3525" s="9"/>
    </row>
    <row r="3526" spans="1:30" ht="12.5">
      <c r="A3526" s="4"/>
      <c r="B3526" s="5"/>
      <c r="C3526" s="5"/>
      <c r="D3526" s="5"/>
      <c r="F3526" s="5"/>
      <c r="J3526" s="5"/>
      <c r="K3526" s="5"/>
      <c r="L3526" s="5"/>
      <c r="M3526" s="5"/>
      <c r="N3526" s="6"/>
      <c r="O3526" s="7"/>
      <c r="P3526" s="5"/>
      <c r="Q3526" s="5"/>
      <c r="R3526" s="5"/>
      <c r="S3526" s="5"/>
      <c r="T3526" s="5"/>
      <c r="U3526" s="5"/>
      <c r="V3526" s="5"/>
      <c r="W3526" s="5"/>
      <c r="X3526" s="5"/>
      <c r="Z3526" s="5"/>
      <c r="AA3526" s="5"/>
      <c r="AB3526" s="5"/>
      <c r="AD3526" s="9"/>
    </row>
    <row r="3527" spans="1:30" ht="12.5">
      <c r="A3527" s="4"/>
      <c r="B3527" s="5"/>
      <c r="C3527" s="5"/>
      <c r="D3527" s="5"/>
      <c r="F3527" s="5"/>
      <c r="J3527" s="5"/>
      <c r="K3527" s="5"/>
      <c r="L3527" s="5"/>
      <c r="M3527" s="5"/>
      <c r="N3527" s="6"/>
      <c r="O3527" s="7"/>
      <c r="P3527" s="5"/>
      <c r="Q3527" s="5"/>
      <c r="R3527" s="5"/>
      <c r="S3527" s="5"/>
      <c r="T3527" s="5"/>
      <c r="U3527" s="5"/>
      <c r="V3527" s="5"/>
      <c r="W3527" s="5"/>
      <c r="X3527" s="5"/>
      <c r="Z3527" s="5"/>
      <c r="AA3527" s="5"/>
      <c r="AB3527" s="5"/>
      <c r="AD3527" s="9"/>
    </row>
    <row r="3528" spans="1:30" ht="12.5">
      <c r="A3528" s="4"/>
      <c r="B3528" s="5"/>
      <c r="C3528" s="5"/>
      <c r="D3528" s="5"/>
      <c r="F3528" s="5"/>
      <c r="J3528" s="5"/>
      <c r="K3528" s="5"/>
      <c r="L3528" s="5"/>
      <c r="M3528" s="5"/>
      <c r="N3528" s="6"/>
      <c r="O3528" s="7"/>
      <c r="P3528" s="5"/>
      <c r="Q3528" s="5"/>
      <c r="R3528" s="5"/>
      <c r="S3528" s="5"/>
      <c r="T3528" s="5"/>
      <c r="U3528" s="5"/>
      <c r="V3528" s="5"/>
      <c r="W3528" s="5"/>
      <c r="X3528" s="5"/>
      <c r="Z3528" s="5"/>
      <c r="AA3528" s="5"/>
      <c r="AB3528" s="5"/>
      <c r="AD3528" s="9"/>
    </row>
    <row r="3529" spans="1:30" ht="12.5">
      <c r="A3529" s="4"/>
      <c r="B3529" s="5"/>
      <c r="C3529" s="5"/>
      <c r="D3529" s="5"/>
      <c r="F3529" s="5"/>
      <c r="J3529" s="5"/>
      <c r="K3529" s="5"/>
      <c r="L3529" s="5"/>
      <c r="M3529" s="5"/>
      <c r="N3529" s="6"/>
      <c r="O3529" s="7"/>
      <c r="P3529" s="5"/>
      <c r="Q3529" s="5"/>
      <c r="R3529" s="5"/>
      <c r="S3529" s="5"/>
      <c r="T3529" s="5"/>
      <c r="U3529" s="5"/>
      <c r="V3529" s="5"/>
      <c r="W3529" s="5"/>
      <c r="X3529" s="5"/>
      <c r="Z3529" s="5"/>
      <c r="AA3529" s="5"/>
      <c r="AB3529" s="5"/>
      <c r="AD3529" s="9"/>
    </row>
    <row r="3530" spans="1:30" ht="12.5">
      <c r="A3530" s="4"/>
      <c r="B3530" s="5"/>
      <c r="C3530" s="5"/>
      <c r="D3530" s="5"/>
      <c r="F3530" s="5"/>
      <c r="J3530" s="5"/>
      <c r="K3530" s="5"/>
      <c r="L3530" s="5"/>
      <c r="M3530" s="5"/>
      <c r="N3530" s="6"/>
      <c r="O3530" s="7"/>
      <c r="P3530" s="5"/>
      <c r="Q3530" s="5"/>
      <c r="R3530" s="5"/>
      <c r="S3530" s="5"/>
      <c r="T3530" s="5"/>
      <c r="U3530" s="5"/>
      <c r="V3530" s="5"/>
      <c r="W3530" s="5"/>
      <c r="X3530" s="5"/>
      <c r="Z3530" s="5"/>
      <c r="AA3530" s="5"/>
      <c r="AB3530" s="5"/>
      <c r="AD3530" s="9"/>
    </row>
    <row r="3531" spans="1:30" ht="12.5">
      <c r="A3531" s="4"/>
      <c r="B3531" s="5"/>
      <c r="C3531" s="5"/>
      <c r="D3531" s="5"/>
      <c r="F3531" s="5"/>
      <c r="J3531" s="5"/>
      <c r="K3531" s="5"/>
      <c r="L3531" s="5"/>
      <c r="M3531" s="5"/>
      <c r="N3531" s="6"/>
      <c r="O3531" s="7"/>
      <c r="P3531" s="5"/>
      <c r="Q3531" s="5"/>
      <c r="R3531" s="5"/>
      <c r="S3531" s="5"/>
      <c r="T3531" s="5"/>
      <c r="U3531" s="5"/>
      <c r="V3531" s="5"/>
      <c r="W3531" s="5"/>
      <c r="X3531" s="5"/>
      <c r="Z3531" s="5"/>
      <c r="AA3531" s="5"/>
      <c r="AB3531" s="5"/>
      <c r="AD3531" s="9"/>
    </row>
    <row r="3532" spans="1:30" ht="12.5">
      <c r="A3532" s="4"/>
      <c r="B3532" s="5"/>
      <c r="C3532" s="5"/>
      <c r="D3532" s="5"/>
      <c r="F3532" s="5"/>
      <c r="J3532" s="5"/>
      <c r="K3532" s="5"/>
      <c r="L3532" s="5"/>
      <c r="M3532" s="5"/>
      <c r="N3532" s="6"/>
      <c r="O3532" s="7"/>
      <c r="P3532" s="5"/>
      <c r="Q3532" s="5"/>
      <c r="R3532" s="5"/>
      <c r="S3532" s="5"/>
      <c r="T3532" s="5"/>
      <c r="U3532" s="5"/>
      <c r="V3532" s="5"/>
      <c r="W3532" s="5"/>
      <c r="X3532" s="5"/>
      <c r="Z3532" s="5"/>
      <c r="AA3532" s="5"/>
      <c r="AB3532" s="5"/>
      <c r="AD3532" s="9"/>
    </row>
    <row r="3533" spans="1:30" ht="12.5">
      <c r="A3533" s="4"/>
      <c r="B3533" s="5"/>
      <c r="C3533" s="5"/>
      <c r="D3533" s="5"/>
      <c r="F3533" s="5"/>
      <c r="J3533" s="5"/>
      <c r="K3533" s="5"/>
      <c r="L3533" s="5"/>
      <c r="M3533" s="5"/>
      <c r="N3533" s="6"/>
      <c r="O3533" s="7"/>
      <c r="P3533" s="5"/>
      <c r="Q3533" s="5"/>
      <c r="R3533" s="5"/>
      <c r="S3533" s="5"/>
      <c r="T3533" s="5"/>
      <c r="U3533" s="5"/>
      <c r="V3533" s="5"/>
      <c r="W3533" s="5"/>
      <c r="X3533" s="5"/>
      <c r="Z3533" s="5"/>
      <c r="AA3533" s="5"/>
      <c r="AB3533" s="5"/>
      <c r="AD3533" s="9"/>
    </row>
    <row r="3534" spans="1:30" ht="12.5">
      <c r="A3534" s="4"/>
      <c r="B3534" s="5"/>
      <c r="C3534" s="5"/>
      <c r="D3534" s="5"/>
      <c r="F3534" s="5"/>
      <c r="J3534" s="5"/>
      <c r="K3534" s="5"/>
      <c r="L3534" s="5"/>
      <c r="M3534" s="5"/>
      <c r="N3534" s="6"/>
      <c r="O3534" s="7"/>
      <c r="P3534" s="5"/>
      <c r="Q3534" s="5"/>
      <c r="R3534" s="5"/>
      <c r="S3534" s="5"/>
      <c r="T3534" s="5"/>
      <c r="U3534" s="5"/>
      <c r="V3534" s="5"/>
      <c r="W3534" s="5"/>
      <c r="X3534" s="5"/>
      <c r="Z3534" s="5"/>
      <c r="AA3534" s="5"/>
      <c r="AB3534" s="5"/>
      <c r="AD3534" s="9"/>
    </row>
    <row r="3535" spans="1:30" ht="12.5">
      <c r="A3535" s="4"/>
      <c r="B3535" s="5"/>
      <c r="C3535" s="5"/>
      <c r="D3535" s="5"/>
      <c r="F3535" s="5"/>
      <c r="J3535" s="5"/>
      <c r="K3535" s="5"/>
      <c r="L3535" s="5"/>
      <c r="M3535" s="5"/>
      <c r="N3535" s="6"/>
      <c r="O3535" s="7"/>
      <c r="P3535" s="5"/>
      <c r="Q3535" s="5"/>
      <c r="R3535" s="5"/>
      <c r="S3535" s="5"/>
      <c r="T3535" s="5"/>
      <c r="U3535" s="5"/>
      <c r="V3535" s="5"/>
      <c r="W3535" s="5"/>
      <c r="X3535" s="5"/>
      <c r="Z3535" s="5"/>
      <c r="AA3535" s="5"/>
      <c r="AB3535" s="5"/>
      <c r="AD3535" s="9"/>
    </row>
    <row r="3536" spans="1:30" ht="12.5">
      <c r="A3536" s="4"/>
      <c r="B3536" s="5"/>
      <c r="C3536" s="5"/>
      <c r="D3536" s="5"/>
      <c r="F3536" s="5"/>
      <c r="J3536" s="5"/>
      <c r="K3536" s="5"/>
      <c r="L3536" s="5"/>
      <c r="M3536" s="5"/>
      <c r="N3536" s="6"/>
      <c r="O3536" s="7"/>
      <c r="P3536" s="5"/>
      <c r="Q3536" s="5"/>
      <c r="R3536" s="5"/>
      <c r="S3536" s="5"/>
      <c r="T3536" s="5"/>
      <c r="U3536" s="5"/>
      <c r="V3536" s="5"/>
      <c r="W3536" s="5"/>
      <c r="X3536" s="5"/>
      <c r="Z3536" s="5"/>
      <c r="AA3536" s="5"/>
      <c r="AB3536" s="5"/>
      <c r="AD3536" s="9"/>
    </row>
    <row r="3537" spans="1:30" ht="12.5">
      <c r="A3537" s="4"/>
      <c r="B3537" s="5"/>
      <c r="C3537" s="5"/>
      <c r="D3537" s="5"/>
      <c r="F3537" s="5"/>
      <c r="J3537" s="5"/>
      <c r="K3537" s="5"/>
      <c r="L3537" s="5"/>
      <c r="M3537" s="5"/>
      <c r="N3537" s="6"/>
      <c r="O3537" s="7"/>
      <c r="P3537" s="5"/>
      <c r="Q3537" s="5"/>
      <c r="R3537" s="5"/>
      <c r="S3537" s="5"/>
      <c r="T3537" s="5"/>
      <c r="U3537" s="5"/>
      <c r="V3537" s="5"/>
      <c r="W3537" s="5"/>
      <c r="X3537" s="5"/>
      <c r="Z3537" s="5"/>
      <c r="AA3537" s="5"/>
      <c r="AB3537" s="5"/>
      <c r="AD3537" s="9"/>
    </row>
    <row r="3538" spans="1:30" ht="12.5">
      <c r="A3538" s="4"/>
      <c r="B3538" s="5"/>
      <c r="C3538" s="5"/>
      <c r="D3538" s="5"/>
      <c r="F3538" s="5"/>
      <c r="J3538" s="5"/>
      <c r="K3538" s="5"/>
      <c r="L3538" s="5"/>
      <c r="M3538" s="5"/>
      <c r="N3538" s="6"/>
      <c r="O3538" s="7"/>
      <c r="P3538" s="5"/>
      <c r="Q3538" s="5"/>
      <c r="R3538" s="5"/>
      <c r="S3538" s="5"/>
      <c r="T3538" s="5"/>
      <c r="U3538" s="5"/>
      <c r="V3538" s="5"/>
      <c r="W3538" s="5"/>
      <c r="X3538" s="5"/>
      <c r="Z3538" s="5"/>
      <c r="AA3538" s="5"/>
      <c r="AB3538" s="5"/>
      <c r="AD3538" s="9"/>
    </row>
    <row r="3539" spans="1:30" ht="12.5">
      <c r="A3539" s="4"/>
      <c r="B3539" s="5"/>
      <c r="C3539" s="5"/>
      <c r="D3539" s="5"/>
      <c r="F3539" s="5"/>
      <c r="J3539" s="5"/>
      <c r="K3539" s="5"/>
      <c r="L3539" s="5"/>
      <c r="M3539" s="5"/>
      <c r="N3539" s="6"/>
      <c r="O3539" s="7"/>
      <c r="P3539" s="5"/>
      <c r="Q3539" s="5"/>
      <c r="R3539" s="5"/>
      <c r="S3539" s="5"/>
      <c r="T3539" s="5"/>
      <c r="U3539" s="5"/>
      <c r="V3539" s="5"/>
      <c r="W3539" s="5"/>
      <c r="X3539" s="5"/>
      <c r="Z3539" s="5"/>
      <c r="AA3539" s="5"/>
      <c r="AB3539" s="5"/>
      <c r="AD3539" s="9"/>
    </row>
    <row r="3540" spans="1:30" ht="12.5">
      <c r="A3540" s="4"/>
      <c r="B3540" s="5"/>
      <c r="C3540" s="5"/>
      <c r="D3540" s="5"/>
      <c r="F3540" s="5"/>
      <c r="J3540" s="5"/>
      <c r="K3540" s="5"/>
      <c r="L3540" s="5"/>
      <c r="M3540" s="5"/>
      <c r="N3540" s="6"/>
      <c r="O3540" s="7"/>
      <c r="P3540" s="5"/>
      <c r="Q3540" s="5"/>
      <c r="R3540" s="5"/>
      <c r="S3540" s="5"/>
      <c r="T3540" s="5"/>
      <c r="U3540" s="5"/>
      <c r="V3540" s="5"/>
      <c r="W3540" s="5"/>
      <c r="X3540" s="5"/>
      <c r="Z3540" s="5"/>
      <c r="AA3540" s="5"/>
      <c r="AB3540" s="5"/>
      <c r="AD3540" s="9"/>
    </row>
    <row r="3541" spans="1:30" ht="12.5">
      <c r="A3541" s="4"/>
      <c r="B3541" s="5"/>
      <c r="C3541" s="5"/>
      <c r="D3541" s="5"/>
      <c r="F3541" s="5"/>
      <c r="J3541" s="5"/>
      <c r="K3541" s="5"/>
      <c r="L3541" s="5"/>
      <c r="M3541" s="5"/>
      <c r="N3541" s="6"/>
      <c r="O3541" s="7"/>
      <c r="P3541" s="5"/>
      <c r="Q3541" s="5"/>
      <c r="R3541" s="5"/>
      <c r="S3541" s="5"/>
      <c r="T3541" s="5"/>
      <c r="U3541" s="5"/>
      <c r="V3541" s="5"/>
      <c r="W3541" s="5"/>
      <c r="X3541" s="5"/>
      <c r="Z3541" s="5"/>
      <c r="AA3541" s="5"/>
      <c r="AB3541" s="5"/>
      <c r="AD3541" s="9"/>
    </row>
    <row r="3542" spans="1:30" ht="12.5">
      <c r="A3542" s="4"/>
      <c r="B3542" s="5"/>
      <c r="C3542" s="5"/>
      <c r="D3542" s="5"/>
      <c r="F3542" s="5"/>
      <c r="J3542" s="5"/>
      <c r="K3542" s="5"/>
      <c r="L3542" s="5"/>
      <c r="M3542" s="5"/>
      <c r="N3542" s="6"/>
      <c r="O3542" s="7"/>
      <c r="P3542" s="5"/>
      <c r="Q3542" s="5"/>
      <c r="R3542" s="5"/>
      <c r="S3542" s="5"/>
      <c r="T3542" s="5"/>
      <c r="U3542" s="5"/>
      <c r="V3542" s="5"/>
      <c r="W3542" s="5"/>
      <c r="X3542" s="5"/>
      <c r="Z3542" s="5"/>
      <c r="AA3542" s="5"/>
      <c r="AB3542" s="5"/>
      <c r="AD3542" s="9"/>
    </row>
    <row r="3543" spans="1:30" ht="12.5">
      <c r="A3543" s="4"/>
      <c r="B3543" s="5"/>
      <c r="C3543" s="5"/>
      <c r="D3543" s="5"/>
      <c r="F3543" s="5"/>
      <c r="J3543" s="5"/>
      <c r="K3543" s="5"/>
      <c r="L3543" s="5"/>
      <c r="M3543" s="5"/>
      <c r="N3543" s="6"/>
      <c r="O3543" s="7"/>
      <c r="P3543" s="5"/>
      <c r="Q3543" s="5"/>
      <c r="R3543" s="5"/>
      <c r="S3543" s="5"/>
      <c r="T3543" s="5"/>
      <c r="U3543" s="5"/>
      <c r="V3543" s="5"/>
      <c r="W3543" s="5"/>
      <c r="X3543" s="5"/>
      <c r="Z3543" s="5"/>
      <c r="AA3543" s="5"/>
      <c r="AB3543" s="5"/>
      <c r="AD3543" s="9"/>
    </row>
    <row r="3544" spans="1:30" ht="12.5">
      <c r="A3544" s="4"/>
      <c r="B3544" s="5"/>
      <c r="C3544" s="5"/>
      <c r="D3544" s="5"/>
      <c r="F3544" s="5"/>
      <c r="J3544" s="5"/>
      <c r="K3544" s="5"/>
      <c r="L3544" s="5"/>
      <c r="M3544" s="5"/>
      <c r="N3544" s="6"/>
      <c r="O3544" s="7"/>
      <c r="P3544" s="5"/>
      <c r="Q3544" s="5"/>
      <c r="R3544" s="5"/>
      <c r="S3544" s="5"/>
      <c r="T3544" s="5"/>
      <c r="U3544" s="5"/>
      <c r="V3544" s="5"/>
      <c r="W3544" s="5"/>
      <c r="X3544" s="5"/>
      <c r="Z3544" s="5"/>
      <c r="AA3544" s="5"/>
      <c r="AB3544" s="5"/>
      <c r="AD3544" s="9"/>
    </row>
    <row r="3545" spans="1:30" ht="12.5">
      <c r="A3545" s="4"/>
      <c r="B3545" s="5"/>
      <c r="C3545" s="5"/>
      <c r="D3545" s="5"/>
      <c r="F3545" s="5"/>
      <c r="J3545" s="5"/>
      <c r="K3545" s="5"/>
      <c r="L3545" s="5"/>
      <c r="M3545" s="5"/>
      <c r="N3545" s="6"/>
      <c r="O3545" s="7"/>
      <c r="P3545" s="5"/>
      <c r="Q3545" s="5"/>
      <c r="R3545" s="5"/>
      <c r="S3545" s="5"/>
      <c r="T3545" s="5"/>
      <c r="U3545" s="5"/>
      <c r="V3545" s="5"/>
      <c r="W3545" s="5"/>
      <c r="X3545" s="5"/>
      <c r="Z3545" s="5"/>
      <c r="AA3545" s="5"/>
      <c r="AB3545" s="5"/>
      <c r="AD3545" s="9"/>
    </row>
    <row r="3546" spans="1:30" ht="12.5">
      <c r="A3546" s="4"/>
      <c r="B3546" s="5"/>
      <c r="C3546" s="5"/>
      <c r="D3546" s="5"/>
      <c r="F3546" s="5"/>
      <c r="J3546" s="5"/>
      <c r="K3546" s="5"/>
      <c r="L3546" s="5"/>
      <c r="M3546" s="5"/>
      <c r="N3546" s="6"/>
      <c r="O3546" s="7"/>
      <c r="P3546" s="5"/>
      <c r="Q3546" s="5"/>
      <c r="R3546" s="5"/>
      <c r="S3546" s="5"/>
      <c r="T3546" s="5"/>
      <c r="U3546" s="5"/>
      <c r="V3546" s="5"/>
      <c r="W3546" s="5"/>
      <c r="X3546" s="5"/>
      <c r="Z3546" s="5"/>
      <c r="AA3546" s="5"/>
      <c r="AB3546" s="5"/>
      <c r="AD3546" s="9"/>
    </row>
    <row r="3547" spans="1:30" ht="12.5">
      <c r="A3547" s="4"/>
      <c r="B3547" s="5"/>
      <c r="C3547" s="5"/>
      <c r="D3547" s="5"/>
      <c r="F3547" s="5"/>
      <c r="J3547" s="5"/>
      <c r="K3547" s="5"/>
      <c r="L3547" s="5"/>
      <c r="M3547" s="5"/>
      <c r="N3547" s="6"/>
      <c r="O3547" s="7"/>
      <c r="P3547" s="5"/>
      <c r="Q3547" s="5"/>
      <c r="R3547" s="5"/>
      <c r="S3547" s="5"/>
      <c r="T3547" s="5"/>
      <c r="U3547" s="5"/>
      <c r="V3547" s="5"/>
      <c r="W3547" s="5"/>
      <c r="X3547" s="5"/>
      <c r="Z3547" s="5"/>
      <c r="AA3547" s="5"/>
      <c r="AB3547" s="5"/>
      <c r="AD3547" s="9"/>
    </row>
    <row r="3548" spans="1:30" ht="12.5">
      <c r="A3548" s="4"/>
      <c r="B3548" s="5"/>
      <c r="C3548" s="5"/>
      <c r="D3548" s="5"/>
      <c r="F3548" s="5"/>
      <c r="J3548" s="5"/>
      <c r="K3548" s="5"/>
      <c r="L3548" s="5"/>
      <c r="M3548" s="5"/>
      <c r="N3548" s="6"/>
      <c r="O3548" s="7"/>
      <c r="P3548" s="5"/>
      <c r="Q3548" s="5"/>
      <c r="R3548" s="5"/>
      <c r="S3548" s="5"/>
      <c r="T3548" s="5"/>
      <c r="U3548" s="5"/>
      <c r="V3548" s="5"/>
      <c r="W3548" s="5"/>
      <c r="X3548" s="5"/>
      <c r="Z3548" s="5"/>
      <c r="AA3548" s="5"/>
      <c r="AB3548" s="5"/>
      <c r="AD3548" s="9"/>
    </row>
    <row r="3549" spans="1:30" ht="12.5">
      <c r="A3549" s="4"/>
      <c r="B3549" s="5"/>
      <c r="C3549" s="5"/>
      <c r="D3549" s="5"/>
      <c r="F3549" s="5"/>
      <c r="J3549" s="5"/>
      <c r="K3549" s="5"/>
      <c r="L3549" s="5"/>
      <c r="M3549" s="5"/>
      <c r="N3549" s="6"/>
      <c r="O3549" s="7"/>
      <c r="P3549" s="5"/>
      <c r="Q3549" s="5"/>
      <c r="R3549" s="5"/>
      <c r="S3549" s="5"/>
      <c r="T3549" s="5"/>
      <c r="U3549" s="5"/>
      <c r="V3549" s="5"/>
      <c r="W3549" s="5"/>
      <c r="X3549" s="5"/>
      <c r="Z3549" s="5"/>
      <c r="AA3549" s="5"/>
      <c r="AB3549" s="5"/>
      <c r="AD3549" s="9"/>
    </row>
    <row r="3550" spans="1:30" ht="12.5">
      <c r="A3550" s="4"/>
      <c r="B3550" s="5"/>
      <c r="C3550" s="5"/>
      <c r="D3550" s="5"/>
      <c r="F3550" s="5"/>
      <c r="J3550" s="5"/>
      <c r="K3550" s="5"/>
      <c r="L3550" s="5"/>
      <c r="M3550" s="5"/>
      <c r="N3550" s="6"/>
      <c r="O3550" s="7"/>
      <c r="P3550" s="5"/>
      <c r="Q3550" s="5"/>
      <c r="R3550" s="5"/>
      <c r="S3550" s="5"/>
      <c r="T3550" s="5"/>
      <c r="U3550" s="5"/>
      <c r="V3550" s="5"/>
      <c r="W3550" s="5"/>
      <c r="X3550" s="5"/>
      <c r="Z3550" s="5"/>
      <c r="AA3550" s="5"/>
      <c r="AB3550" s="5"/>
      <c r="AD3550" s="9"/>
    </row>
    <row r="3551" spans="1:30" ht="12.5">
      <c r="A3551" s="4"/>
      <c r="B3551" s="5"/>
      <c r="C3551" s="5"/>
      <c r="D3551" s="5"/>
      <c r="F3551" s="5"/>
      <c r="J3551" s="5"/>
      <c r="K3551" s="5"/>
      <c r="L3551" s="5"/>
      <c r="M3551" s="5"/>
      <c r="N3551" s="6"/>
      <c r="O3551" s="7"/>
      <c r="P3551" s="5"/>
      <c r="Q3551" s="5"/>
      <c r="R3551" s="5"/>
      <c r="S3551" s="5"/>
      <c r="T3551" s="5"/>
      <c r="U3551" s="5"/>
      <c r="V3551" s="5"/>
      <c r="W3551" s="5"/>
      <c r="X3551" s="5"/>
      <c r="Z3551" s="5"/>
      <c r="AA3551" s="5"/>
      <c r="AB3551" s="5"/>
      <c r="AD3551" s="9"/>
    </row>
    <row r="3552" spans="1:30" ht="12.5">
      <c r="A3552" s="4"/>
      <c r="B3552" s="5"/>
      <c r="C3552" s="5"/>
      <c r="D3552" s="5"/>
      <c r="F3552" s="5"/>
      <c r="J3552" s="5"/>
      <c r="K3552" s="5"/>
      <c r="L3552" s="5"/>
      <c r="M3552" s="5"/>
      <c r="N3552" s="6"/>
      <c r="O3552" s="7"/>
      <c r="P3552" s="5"/>
      <c r="Q3552" s="5"/>
      <c r="R3552" s="5"/>
      <c r="S3552" s="5"/>
      <c r="T3552" s="5"/>
      <c r="U3552" s="5"/>
      <c r="V3552" s="5"/>
      <c r="W3552" s="5"/>
      <c r="X3552" s="5"/>
      <c r="Z3552" s="5"/>
      <c r="AA3552" s="5"/>
      <c r="AB3552" s="5"/>
      <c r="AD3552" s="9"/>
    </row>
    <row r="3553" spans="1:30" ht="12.5">
      <c r="A3553" s="4"/>
      <c r="B3553" s="5"/>
      <c r="C3553" s="5"/>
      <c r="D3553" s="5"/>
      <c r="F3553" s="5"/>
      <c r="J3553" s="5"/>
      <c r="K3553" s="5"/>
      <c r="L3553" s="5"/>
      <c r="M3553" s="5"/>
      <c r="N3553" s="6"/>
      <c r="O3553" s="7"/>
      <c r="P3553" s="5"/>
      <c r="Q3553" s="5"/>
      <c r="R3553" s="5"/>
      <c r="S3553" s="5"/>
      <c r="T3553" s="5"/>
      <c r="U3553" s="5"/>
      <c r="V3553" s="5"/>
      <c r="W3553" s="5"/>
      <c r="X3553" s="5"/>
      <c r="Z3553" s="5"/>
      <c r="AA3553" s="5"/>
      <c r="AB3553" s="5"/>
      <c r="AD3553" s="9"/>
    </row>
    <row r="3554" spans="1:30" ht="12.5">
      <c r="A3554" s="4"/>
      <c r="B3554" s="5"/>
      <c r="C3554" s="5"/>
      <c r="D3554" s="5"/>
      <c r="F3554" s="5"/>
      <c r="J3554" s="5"/>
      <c r="K3554" s="5"/>
      <c r="L3554" s="5"/>
      <c r="M3554" s="5"/>
      <c r="N3554" s="6"/>
      <c r="O3554" s="7"/>
      <c r="P3554" s="5"/>
      <c r="Q3554" s="5"/>
      <c r="R3554" s="5"/>
      <c r="S3554" s="5"/>
      <c r="T3554" s="5"/>
      <c r="U3554" s="5"/>
      <c r="V3554" s="5"/>
      <c r="W3554" s="5"/>
      <c r="X3554" s="5"/>
      <c r="Z3554" s="5"/>
      <c r="AA3554" s="5"/>
      <c r="AB3554" s="5"/>
      <c r="AD3554" s="9"/>
    </row>
    <row r="3555" spans="1:30" ht="12.5">
      <c r="A3555" s="4"/>
      <c r="B3555" s="5"/>
      <c r="C3555" s="5"/>
      <c r="D3555" s="5"/>
      <c r="F3555" s="5"/>
      <c r="J3555" s="5"/>
      <c r="K3555" s="5"/>
      <c r="L3555" s="5"/>
      <c r="M3555" s="5"/>
      <c r="N3555" s="6"/>
      <c r="O3555" s="7"/>
      <c r="P3555" s="5"/>
      <c r="Q3555" s="5"/>
      <c r="R3555" s="5"/>
      <c r="S3555" s="5"/>
      <c r="T3555" s="5"/>
      <c r="U3555" s="5"/>
      <c r="V3555" s="5"/>
      <c r="W3555" s="5"/>
      <c r="X3555" s="5"/>
      <c r="Z3555" s="5"/>
      <c r="AA3555" s="5"/>
      <c r="AB3555" s="5"/>
      <c r="AD3555" s="9"/>
    </row>
    <row r="3556" spans="1:30" ht="12.5">
      <c r="A3556" s="4"/>
      <c r="B3556" s="5"/>
      <c r="C3556" s="5"/>
      <c r="D3556" s="5"/>
      <c r="F3556" s="5"/>
      <c r="J3556" s="5"/>
      <c r="K3556" s="5"/>
      <c r="L3556" s="5"/>
      <c r="M3556" s="5"/>
      <c r="N3556" s="6"/>
      <c r="O3556" s="7"/>
      <c r="P3556" s="5"/>
      <c r="Q3556" s="5"/>
      <c r="R3556" s="5"/>
      <c r="S3556" s="5"/>
      <c r="T3556" s="5"/>
      <c r="U3556" s="5"/>
      <c r="V3556" s="5"/>
      <c r="W3556" s="5"/>
      <c r="X3556" s="5"/>
      <c r="Z3556" s="5"/>
      <c r="AA3556" s="5"/>
      <c r="AB3556" s="5"/>
      <c r="AD3556" s="9"/>
    </row>
    <row r="3557" spans="1:30" ht="12.5">
      <c r="A3557" s="4"/>
      <c r="B3557" s="5"/>
      <c r="C3557" s="5"/>
      <c r="D3557" s="5"/>
      <c r="F3557" s="5"/>
      <c r="J3557" s="5"/>
      <c r="K3557" s="5"/>
      <c r="L3557" s="5"/>
      <c r="M3557" s="5"/>
      <c r="N3557" s="6"/>
      <c r="O3557" s="7"/>
      <c r="P3557" s="5"/>
      <c r="Q3557" s="5"/>
      <c r="R3557" s="5"/>
      <c r="S3557" s="5"/>
      <c r="T3557" s="5"/>
      <c r="U3557" s="5"/>
      <c r="V3557" s="5"/>
      <c r="W3557" s="5"/>
      <c r="X3557" s="5"/>
      <c r="Z3557" s="5"/>
      <c r="AA3557" s="5"/>
      <c r="AB3557" s="5"/>
      <c r="AD3557" s="9"/>
    </row>
    <row r="3558" spans="1:30" ht="12.5">
      <c r="A3558" s="4"/>
      <c r="B3558" s="5"/>
      <c r="C3558" s="5"/>
      <c r="D3558" s="5"/>
      <c r="F3558" s="5"/>
      <c r="J3558" s="5"/>
      <c r="K3558" s="5"/>
      <c r="L3558" s="5"/>
      <c r="M3558" s="5"/>
      <c r="N3558" s="6"/>
      <c r="O3558" s="7"/>
      <c r="P3558" s="5"/>
      <c r="Q3558" s="5"/>
      <c r="R3558" s="5"/>
      <c r="S3558" s="5"/>
      <c r="T3558" s="5"/>
      <c r="U3558" s="5"/>
      <c r="V3558" s="5"/>
      <c r="W3558" s="5"/>
      <c r="X3558" s="5"/>
      <c r="Z3558" s="5"/>
      <c r="AA3558" s="5"/>
      <c r="AB3558" s="5"/>
      <c r="AD3558" s="9"/>
    </row>
    <row r="3559" spans="1:30" ht="12.5">
      <c r="A3559" s="4"/>
      <c r="B3559" s="5"/>
      <c r="C3559" s="5"/>
      <c r="D3559" s="5"/>
      <c r="F3559" s="5"/>
      <c r="J3559" s="5"/>
      <c r="K3559" s="5"/>
      <c r="L3559" s="5"/>
      <c r="M3559" s="5"/>
      <c r="N3559" s="6"/>
      <c r="O3559" s="7"/>
      <c r="P3559" s="5"/>
      <c r="Q3559" s="5"/>
      <c r="R3559" s="5"/>
      <c r="S3559" s="5"/>
      <c r="T3559" s="5"/>
      <c r="U3559" s="5"/>
      <c r="V3559" s="5"/>
      <c r="W3559" s="5"/>
      <c r="X3559" s="5"/>
      <c r="Z3559" s="5"/>
      <c r="AA3559" s="5"/>
      <c r="AB3559" s="5"/>
      <c r="AD3559" s="9"/>
    </row>
    <row r="3560" spans="1:30" ht="12.5">
      <c r="A3560" s="4"/>
      <c r="B3560" s="5"/>
      <c r="C3560" s="5"/>
      <c r="D3560" s="5"/>
      <c r="F3560" s="5"/>
      <c r="J3560" s="5"/>
      <c r="K3560" s="5"/>
      <c r="L3560" s="5"/>
      <c r="M3560" s="5"/>
      <c r="N3560" s="6"/>
      <c r="O3560" s="7"/>
      <c r="P3560" s="5"/>
      <c r="Q3560" s="5"/>
      <c r="R3560" s="5"/>
      <c r="S3560" s="5"/>
      <c r="T3560" s="5"/>
      <c r="U3560" s="5"/>
      <c r="V3560" s="5"/>
      <c r="W3560" s="5"/>
      <c r="X3560" s="5"/>
      <c r="Z3560" s="5"/>
      <c r="AA3560" s="5"/>
      <c r="AB3560" s="5"/>
      <c r="AD3560" s="9"/>
    </row>
    <row r="3561" spans="1:30" ht="12.5">
      <c r="A3561" s="4"/>
      <c r="B3561" s="5"/>
      <c r="C3561" s="5"/>
      <c r="D3561" s="5"/>
      <c r="F3561" s="5"/>
      <c r="J3561" s="5"/>
      <c r="K3561" s="5"/>
      <c r="L3561" s="5"/>
      <c r="M3561" s="5"/>
      <c r="N3561" s="6"/>
      <c r="O3561" s="7"/>
      <c r="P3561" s="5"/>
      <c r="Q3561" s="5"/>
      <c r="R3561" s="5"/>
      <c r="S3561" s="5"/>
      <c r="T3561" s="5"/>
      <c r="U3561" s="5"/>
      <c r="V3561" s="5"/>
      <c r="W3561" s="5"/>
      <c r="X3561" s="5"/>
      <c r="Z3561" s="5"/>
      <c r="AA3561" s="5"/>
      <c r="AB3561" s="5"/>
      <c r="AD3561" s="9"/>
    </row>
    <row r="3562" spans="1:30" ht="12.5">
      <c r="A3562" s="4"/>
      <c r="B3562" s="5"/>
      <c r="C3562" s="5"/>
      <c r="D3562" s="5"/>
      <c r="F3562" s="5"/>
      <c r="J3562" s="5"/>
      <c r="K3562" s="5"/>
      <c r="L3562" s="5"/>
      <c r="M3562" s="5"/>
      <c r="N3562" s="6"/>
      <c r="O3562" s="7"/>
      <c r="P3562" s="5"/>
      <c r="Q3562" s="5"/>
      <c r="R3562" s="5"/>
      <c r="S3562" s="5"/>
      <c r="T3562" s="5"/>
      <c r="U3562" s="5"/>
      <c r="V3562" s="5"/>
      <c r="W3562" s="5"/>
      <c r="X3562" s="5"/>
      <c r="Z3562" s="5"/>
      <c r="AA3562" s="5"/>
      <c r="AB3562" s="5"/>
      <c r="AD3562" s="9"/>
    </row>
    <row r="3563" spans="1:30" ht="12.5">
      <c r="A3563" s="4"/>
      <c r="B3563" s="5"/>
      <c r="C3563" s="5"/>
      <c r="D3563" s="5"/>
      <c r="F3563" s="5"/>
      <c r="J3563" s="5"/>
      <c r="K3563" s="5"/>
      <c r="L3563" s="5"/>
      <c r="M3563" s="5"/>
      <c r="N3563" s="6"/>
      <c r="O3563" s="7"/>
      <c r="P3563" s="5"/>
      <c r="Q3563" s="5"/>
      <c r="R3563" s="5"/>
      <c r="S3563" s="5"/>
      <c r="T3563" s="5"/>
      <c r="U3563" s="5"/>
      <c r="V3563" s="5"/>
      <c r="W3563" s="5"/>
      <c r="X3563" s="5"/>
      <c r="Z3563" s="5"/>
      <c r="AA3563" s="5"/>
      <c r="AB3563" s="5"/>
      <c r="AD3563" s="9"/>
    </row>
    <row r="3564" spans="1:30" ht="12.5">
      <c r="A3564" s="4"/>
      <c r="B3564" s="5"/>
      <c r="C3564" s="5"/>
      <c r="D3564" s="5"/>
      <c r="F3564" s="5"/>
      <c r="J3564" s="5"/>
      <c r="K3564" s="5"/>
      <c r="L3564" s="5"/>
      <c r="M3564" s="5"/>
      <c r="N3564" s="6"/>
      <c r="O3564" s="7"/>
      <c r="P3564" s="5"/>
      <c r="Q3564" s="5"/>
      <c r="R3564" s="5"/>
      <c r="S3564" s="5"/>
      <c r="T3564" s="5"/>
      <c r="U3564" s="5"/>
      <c r="V3564" s="5"/>
      <c r="W3564" s="5"/>
      <c r="X3564" s="5"/>
      <c r="Z3564" s="5"/>
      <c r="AA3564" s="5"/>
      <c r="AB3564" s="5"/>
      <c r="AD3564" s="9"/>
    </row>
    <row r="3565" spans="1:30" ht="12.5">
      <c r="A3565" s="4"/>
      <c r="B3565" s="5"/>
      <c r="C3565" s="5"/>
      <c r="D3565" s="5"/>
      <c r="F3565" s="5"/>
      <c r="J3565" s="5"/>
      <c r="K3565" s="5"/>
      <c r="L3565" s="5"/>
      <c r="M3565" s="5"/>
      <c r="N3565" s="6"/>
      <c r="O3565" s="7"/>
      <c r="P3565" s="5"/>
      <c r="Q3565" s="5"/>
      <c r="R3565" s="5"/>
      <c r="S3565" s="5"/>
      <c r="T3565" s="5"/>
      <c r="U3565" s="5"/>
      <c r="V3565" s="5"/>
      <c r="W3565" s="5"/>
      <c r="X3565" s="5"/>
      <c r="Z3565" s="5"/>
      <c r="AA3565" s="5"/>
      <c r="AB3565" s="5"/>
      <c r="AD3565" s="9"/>
    </row>
    <row r="3566" spans="1:30" ht="12.5">
      <c r="A3566" s="4"/>
      <c r="B3566" s="5"/>
      <c r="C3566" s="5"/>
      <c r="D3566" s="5"/>
      <c r="F3566" s="5"/>
      <c r="J3566" s="5"/>
      <c r="K3566" s="5"/>
      <c r="L3566" s="5"/>
      <c r="M3566" s="5"/>
      <c r="N3566" s="6"/>
      <c r="O3566" s="7"/>
      <c r="P3566" s="5"/>
      <c r="Q3566" s="5"/>
      <c r="R3566" s="5"/>
      <c r="S3566" s="5"/>
      <c r="T3566" s="5"/>
      <c r="U3566" s="5"/>
      <c r="V3566" s="5"/>
      <c r="W3566" s="5"/>
      <c r="X3566" s="5"/>
      <c r="Z3566" s="5"/>
      <c r="AA3566" s="5"/>
      <c r="AB3566" s="5"/>
      <c r="AD3566" s="9"/>
    </row>
    <row r="3567" spans="1:30" ht="12.5">
      <c r="A3567" s="4"/>
      <c r="B3567" s="5"/>
      <c r="C3567" s="5"/>
      <c r="D3567" s="5"/>
      <c r="F3567" s="5"/>
      <c r="J3567" s="5"/>
      <c r="K3567" s="5"/>
      <c r="L3567" s="5"/>
      <c r="M3567" s="5"/>
      <c r="N3567" s="6"/>
      <c r="O3567" s="7"/>
      <c r="P3567" s="5"/>
      <c r="Q3567" s="5"/>
      <c r="R3567" s="5"/>
      <c r="S3567" s="5"/>
      <c r="T3567" s="5"/>
      <c r="U3567" s="5"/>
      <c r="V3567" s="5"/>
      <c r="W3567" s="5"/>
      <c r="X3567" s="5"/>
      <c r="Z3567" s="5"/>
      <c r="AA3567" s="5"/>
      <c r="AB3567" s="5"/>
      <c r="AD3567" s="9"/>
    </row>
    <row r="3568" spans="1:30" ht="12.5">
      <c r="A3568" s="4"/>
      <c r="B3568" s="5"/>
      <c r="C3568" s="5"/>
      <c r="D3568" s="5"/>
      <c r="F3568" s="5"/>
      <c r="J3568" s="5"/>
      <c r="K3568" s="5"/>
      <c r="L3568" s="5"/>
      <c r="M3568" s="5"/>
      <c r="N3568" s="6"/>
      <c r="O3568" s="7"/>
      <c r="P3568" s="5"/>
      <c r="Q3568" s="5"/>
      <c r="R3568" s="5"/>
      <c r="S3568" s="5"/>
      <c r="T3568" s="5"/>
      <c r="U3568" s="5"/>
      <c r="V3568" s="5"/>
      <c r="W3568" s="5"/>
      <c r="X3568" s="5"/>
      <c r="Z3568" s="5"/>
      <c r="AA3568" s="5"/>
      <c r="AB3568" s="5"/>
      <c r="AD3568" s="9"/>
    </row>
    <row r="3569" spans="1:30" ht="12.5">
      <c r="A3569" s="4"/>
      <c r="B3569" s="5"/>
      <c r="C3569" s="5"/>
      <c r="D3569" s="5"/>
      <c r="F3569" s="5"/>
      <c r="J3569" s="5"/>
      <c r="K3569" s="5"/>
      <c r="L3569" s="5"/>
      <c r="M3569" s="5"/>
      <c r="N3569" s="6"/>
      <c r="O3569" s="7"/>
      <c r="P3569" s="5"/>
      <c r="Q3569" s="5"/>
      <c r="R3569" s="5"/>
      <c r="S3569" s="5"/>
      <c r="T3569" s="5"/>
      <c r="U3569" s="5"/>
      <c r="V3569" s="5"/>
      <c r="W3569" s="5"/>
      <c r="X3569" s="5"/>
      <c r="Z3569" s="5"/>
      <c r="AA3569" s="5"/>
      <c r="AB3569" s="5"/>
      <c r="AD3569" s="9"/>
    </row>
    <row r="3570" spans="1:30" ht="12.5">
      <c r="A3570" s="4"/>
      <c r="B3570" s="5"/>
      <c r="C3570" s="5"/>
      <c r="D3570" s="5"/>
      <c r="F3570" s="5"/>
      <c r="J3570" s="5"/>
      <c r="K3570" s="5"/>
      <c r="L3570" s="5"/>
      <c r="M3570" s="5"/>
      <c r="N3570" s="6"/>
      <c r="O3570" s="7"/>
      <c r="P3570" s="5"/>
      <c r="Q3570" s="5"/>
      <c r="R3570" s="5"/>
      <c r="S3570" s="5"/>
      <c r="T3570" s="5"/>
      <c r="U3570" s="5"/>
      <c r="V3570" s="5"/>
      <c r="W3570" s="5"/>
      <c r="X3570" s="5"/>
      <c r="Z3570" s="5"/>
      <c r="AA3570" s="5"/>
      <c r="AB3570" s="5"/>
      <c r="AD3570" s="9"/>
    </row>
    <row r="3571" spans="1:30" ht="12.5">
      <c r="A3571" s="4"/>
      <c r="B3571" s="5"/>
      <c r="C3571" s="5"/>
      <c r="D3571" s="5"/>
      <c r="F3571" s="5"/>
      <c r="J3571" s="5"/>
      <c r="K3571" s="5"/>
      <c r="L3571" s="5"/>
      <c r="M3571" s="5"/>
      <c r="N3571" s="6"/>
      <c r="O3571" s="7"/>
      <c r="P3571" s="5"/>
      <c r="Q3571" s="5"/>
      <c r="R3571" s="5"/>
      <c r="S3571" s="5"/>
      <c r="T3571" s="5"/>
      <c r="U3571" s="5"/>
      <c r="V3571" s="5"/>
      <c r="W3571" s="5"/>
      <c r="X3571" s="5"/>
      <c r="Z3571" s="5"/>
      <c r="AA3571" s="5"/>
      <c r="AB3571" s="5"/>
      <c r="AD3571" s="9"/>
    </row>
    <row r="3572" spans="1:30" ht="12.5">
      <c r="A3572" s="4"/>
      <c r="B3572" s="5"/>
      <c r="C3572" s="5"/>
      <c r="D3572" s="5"/>
      <c r="F3572" s="5"/>
      <c r="J3572" s="5"/>
      <c r="K3572" s="5"/>
      <c r="L3572" s="5"/>
      <c r="M3572" s="5"/>
      <c r="N3572" s="6"/>
      <c r="O3572" s="7"/>
      <c r="P3572" s="5"/>
      <c r="Q3572" s="5"/>
      <c r="R3572" s="5"/>
      <c r="S3572" s="5"/>
      <c r="T3572" s="5"/>
      <c r="U3572" s="5"/>
      <c r="V3572" s="5"/>
      <c r="W3572" s="5"/>
      <c r="X3572" s="5"/>
      <c r="Z3572" s="5"/>
      <c r="AA3572" s="5"/>
      <c r="AB3572" s="5"/>
      <c r="AD3572" s="9"/>
    </row>
    <row r="3573" spans="1:30" ht="12.5">
      <c r="A3573" s="4"/>
      <c r="B3573" s="5"/>
      <c r="C3573" s="5"/>
      <c r="D3573" s="5"/>
      <c r="F3573" s="5"/>
      <c r="J3573" s="5"/>
      <c r="K3573" s="5"/>
      <c r="L3573" s="5"/>
      <c r="M3573" s="5"/>
      <c r="N3573" s="6"/>
      <c r="O3573" s="7"/>
      <c r="P3573" s="5"/>
      <c r="Q3573" s="5"/>
      <c r="R3573" s="5"/>
      <c r="S3573" s="5"/>
      <c r="T3573" s="5"/>
      <c r="U3573" s="5"/>
      <c r="V3573" s="5"/>
      <c r="W3573" s="5"/>
      <c r="X3573" s="5"/>
      <c r="Z3573" s="5"/>
      <c r="AA3573" s="5"/>
      <c r="AB3573" s="5"/>
      <c r="AD3573" s="9"/>
    </row>
    <row r="3574" spans="1:30" ht="12.5">
      <c r="A3574" s="4"/>
      <c r="B3574" s="5"/>
      <c r="C3574" s="5"/>
      <c r="D3574" s="5"/>
      <c r="F3574" s="5"/>
      <c r="J3574" s="5"/>
      <c r="K3574" s="5"/>
      <c r="L3574" s="5"/>
      <c r="M3574" s="5"/>
      <c r="N3574" s="6"/>
      <c r="O3574" s="7"/>
      <c r="P3574" s="5"/>
      <c r="Q3574" s="5"/>
      <c r="R3574" s="5"/>
      <c r="S3574" s="5"/>
      <c r="T3574" s="5"/>
      <c r="U3574" s="5"/>
      <c r="V3574" s="5"/>
      <c r="W3574" s="5"/>
      <c r="X3574" s="5"/>
      <c r="Z3574" s="5"/>
      <c r="AA3574" s="5"/>
      <c r="AB3574" s="5"/>
      <c r="AD3574" s="9"/>
    </row>
    <row r="3575" spans="1:30" ht="12.5">
      <c r="A3575" s="4"/>
      <c r="B3575" s="5"/>
      <c r="C3575" s="5"/>
      <c r="D3575" s="5"/>
      <c r="F3575" s="5"/>
      <c r="J3575" s="5"/>
      <c r="K3575" s="5"/>
      <c r="L3575" s="5"/>
      <c r="M3575" s="5"/>
      <c r="N3575" s="6"/>
      <c r="O3575" s="7"/>
      <c r="P3575" s="5"/>
      <c r="Q3575" s="5"/>
      <c r="R3575" s="5"/>
      <c r="S3575" s="5"/>
      <c r="T3575" s="5"/>
      <c r="U3575" s="5"/>
      <c r="V3575" s="5"/>
      <c r="W3575" s="5"/>
      <c r="X3575" s="5"/>
      <c r="Z3575" s="5"/>
      <c r="AA3575" s="5"/>
      <c r="AB3575" s="5"/>
      <c r="AD3575" s="9"/>
    </row>
    <row r="3576" spans="1:30" ht="12.5">
      <c r="A3576" s="4"/>
      <c r="B3576" s="5"/>
      <c r="C3576" s="5"/>
      <c r="D3576" s="5"/>
      <c r="F3576" s="5"/>
      <c r="J3576" s="5"/>
      <c r="K3576" s="5"/>
      <c r="L3576" s="5"/>
      <c r="M3576" s="5"/>
      <c r="N3576" s="6"/>
      <c r="O3576" s="7"/>
      <c r="P3576" s="5"/>
      <c r="Q3576" s="5"/>
      <c r="R3576" s="5"/>
      <c r="S3576" s="5"/>
      <c r="T3576" s="5"/>
      <c r="U3576" s="5"/>
      <c r="V3576" s="5"/>
      <c r="W3576" s="5"/>
      <c r="X3576" s="5"/>
      <c r="Z3576" s="5"/>
      <c r="AA3576" s="5"/>
      <c r="AB3576" s="5"/>
      <c r="AD3576" s="9"/>
    </row>
    <row r="3577" spans="1:30" ht="12.5">
      <c r="A3577" s="4"/>
      <c r="B3577" s="5"/>
      <c r="C3577" s="5"/>
      <c r="D3577" s="5"/>
      <c r="F3577" s="5"/>
      <c r="J3577" s="5"/>
      <c r="K3577" s="5"/>
      <c r="L3577" s="5"/>
      <c r="M3577" s="5"/>
      <c r="N3577" s="6"/>
      <c r="O3577" s="7"/>
      <c r="P3577" s="5"/>
      <c r="Q3577" s="5"/>
      <c r="R3577" s="5"/>
      <c r="S3577" s="5"/>
      <c r="T3577" s="5"/>
      <c r="U3577" s="5"/>
      <c r="V3577" s="5"/>
      <c r="W3577" s="5"/>
      <c r="X3577" s="5"/>
      <c r="Z3577" s="5"/>
      <c r="AA3577" s="5"/>
      <c r="AB3577" s="5"/>
      <c r="AD3577" s="9"/>
    </row>
    <row r="3578" spans="1:30" ht="12.5">
      <c r="A3578" s="4"/>
      <c r="B3578" s="5"/>
      <c r="C3578" s="5"/>
      <c r="D3578" s="5"/>
      <c r="F3578" s="5"/>
      <c r="J3578" s="5"/>
      <c r="K3578" s="5"/>
      <c r="L3578" s="5"/>
      <c r="M3578" s="5"/>
      <c r="N3578" s="6"/>
      <c r="O3578" s="7"/>
      <c r="P3578" s="5"/>
      <c r="Q3578" s="5"/>
      <c r="R3578" s="5"/>
      <c r="S3578" s="5"/>
      <c r="T3578" s="5"/>
      <c r="U3578" s="5"/>
      <c r="V3578" s="5"/>
      <c r="W3578" s="5"/>
      <c r="X3578" s="5"/>
      <c r="Z3578" s="5"/>
      <c r="AA3578" s="5"/>
      <c r="AB3578" s="5"/>
      <c r="AD3578" s="9"/>
    </row>
    <row r="3579" spans="1:30" ht="12.5">
      <c r="A3579" s="4"/>
      <c r="B3579" s="5"/>
      <c r="C3579" s="5"/>
      <c r="D3579" s="5"/>
      <c r="F3579" s="5"/>
      <c r="J3579" s="5"/>
      <c r="K3579" s="5"/>
      <c r="L3579" s="5"/>
      <c r="M3579" s="5"/>
      <c r="N3579" s="6"/>
      <c r="O3579" s="7"/>
      <c r="P3579" s="5"/>
      <c r="Q3579" s="5"/>
      <c r="R3579" s="5"/>
      <c r="S3579" s="5"/>
      <c r="T3579" s="5"/>
      <c r="U3579" s="5"/>
      <c r="V3579" s="5"/>
      <c r="W3579" s="5"/>
      <c r="X3579" s="5"/>
      <c r="Z3579" s="5"/>
      <c r="AA3579" s="5"/>
      <c r="AB3579" s="5"/>
      <c r="AD3579" s="9"/>
    </row>
    <row r="3580" spans="1:30" ht="12.5">
      <c r="A3580" s="4"/>
      <c r="B3580" s="5"/>
      <c r="C3580" s="5"/>
      <c r="D3580" s="5"/>
      <c r="F3580" s="5"/>
      <c r="J3580" s="5"/>
      <c r="K3580" s="5"/>
      <c r="L3580" s="5"/>
      <c r="M3580" s="5"/>
      <c r="N3580" s="6"/>
      <c r="O3580" s="7"/>
      <c r="P3580" s="5"/>
      <c r="Q3580" s="5"/>
      <c r="R3580" s="5"/>
      <c r="S3580" s="5"/>
      <c r="T3580" s="5"/>
      <c r="U3580" s="5"/>
      <c r="V3580" s="5"/>
      <c r="W3580" s="5"/>
      <c r="X3580" s="5"/>
      <c r="Z3580" s="5"/>
      <c r="AA3580" s="5"/>
      <c r="AB3580" s="5"/>
      <c r="AD3580" s="9"/>
    </row>
    <row r="3581" spans="1:30" ht="12.5">
      <c r="A3581" s="4"/>
      <c r="B3581" s="5"/>
      <c r="C3581" s="5"/>
      <c r="D3581" s="5"/>
      <c r="F3581" s="5"/>
      <c r="J3581" s="5"/>
      <c r="K3581" s="5"/>
      <c r="L3581" s="5"/>
      <c r="M3581" s="5"/>
      <c r="N3581" s="6"/>
      <c r="O3581" s="7"/>
      <c r="P3581" s="5"/>
      <c r="Q3581" s="5"/>
      <c r="R3581" s="5"/>
      <c r="S3581" s="5"/>
      <c r="T3581" s="5"/>
      <c r="U3581" s="5"/>
      <c r="V3581" s="5"/>
      <c r="W3581" s="5"/>
      <c r="X3581" s="5"/>
      <c r="Z3581" s="5"/>
      <c r="AA3581" s="5"/>
      <c r="AB3581" s="5"/>
      <c r="AD3581" s="9"/>
    </row>
    <row r="3582" spans="1:30" ht="12.5">
      <c r="A3582" s="4"/>
      <c r="B3582" s="5"/>
      <c r="C3582" s="5"/>
      <c r="D3582" s="5"/>
      <c r="F3582" s="5"/>
      <c r="J3582" s="5"/>
      <c r="K3582" s="5"/>
      <c r="L3582" s="5"/>
      <c r="M3582" s="5"/>
      <c r="N3582" s="6"/>
      <c r="O3582" s="7"/>
      <c r="P3582" s="5"/>
      <c r="Q3582" s="5"/>
      <c r="R3582" s="5"/>
      <c r="S3582" s="5"/>
      <c r="T3582" s="5"/>
      <c r="U3582" s="5"/>
      <c r="V3582" s="5"/>
      <c r="W3582" s="5"/>
      <c r="X3582" s="5"/>
      <c r="Z3582" s="5"/>
      <c r="AA3582" s="5"/>
      <c r="AB3582" s="5"/>
      <c r="AD3582" s="9"/>
    </row>
    <row r="3583" spans="1:30" ht="12.5">
      <c r="A3583" s="4"/>
      <c r="B3583" s="5"/>
      <c r="C3583" s="5"/>
      <c r="D3583" s="5"/>
      <c r="F3583" s="5"/>
      <c r="J3583" s="5"/>
      <c r="K3583" s="5"/>
      <c r="L3583" s="5"/>
      <c r="M3583" s="5"/>
      <c r="N3583" s="6"/>
      <c r="O3583" s="7"/>
      <c r="P3583" s="5"/>
      <c r="Q3583" s="5"/>
      <c r="R3583" s="5"/>
      <c r="S3583" s="5"/>
      <c r="T3583" s="5"/>
      <c r="U3583" s="5"/>
      <c r="V3583" s="5"/>
      <c r="W3583" s="5"/>
      <c r="X3583" s="5"/>
      <c r="Z3583" s="5"/>
      <c r="AA3583" s="5"/>
      <c r="AB3583" s="5"/>
      <c r="AD3583" s="9"/>
    </row>
    <row r="3584" spans="1:30" ht="12.5">
      <c r="A3584" s="4"/>
      <c r="B3584" s="5"/>
      <c r="C3584" s="5"/>
      <c r="D3584" s="5"/>
      <c r="F3584" s="5"/>
      <c r="J3584" s="5"/>
      <c r="K3584" s="5"/>
      <c r="L3584" s="5"/>
      <c r="M3584" s="5"/>
      <c r="N3584" s="6"/>
      <c r="O3584" s="7"/>
      <c r="P3584" s="5"/>
      <c r="Q3584" s="5"/>
      <c r="R3584" s="5"/>
      <c r="S3584" s="5"/>
      <c r="T3584" s="5"/>
      <c r="U3584" s="5"/>
      <c r="V3584" s="5"/>
      <c r="W3584" s="5"/>
      <c r="X3584" s="5"/>
      <c r="Z3584" s="5"/>
      <c r="AA3584" s="5"/>
      <c r="AB3584" s="5"/>
      <c r="AD3584" s="9"/>
    </row>
    <row r="3585" spans="1:30" ht="12.5">
      <c r="A3585" s="4"/>
      <c r="B3585" s="5"/>
      <c r="C3585" s="5"/>
      <c r="D3585" s="5"/>
      <c r="F3585" s="5"/>
      <c r="J3585" s="5"/>
      <c r="K3585" s="5"/>
      <c r="L3585" s="5"/>
      <c r="M3585" s="5"/>
      <c r="N3585" s="6"/>
      <c r="O3585" s="7"/>
      <c r="P3585" s="5"/>
      <c r="Q3585" s="5"/>
      <c r="R3585" s="5"/>
      <c r="S3585" s="5"/>
      <c r="T3585" s="5"/>
      <c r="U3585" s="5"/>
      <c r="V3585" s="5"/>
      <c r="W3585" s="5"/>
      <c r="X3585" s="5"/>
      <c r="Z3585" s="5"/>
      <c r="AA3585" s="5"/>
      <c r="AB3585" s="5"/>
      <c r="AD3585" s="9"/>
    </row>
    <row r="3586" spans="1:30" ht="12.5">
      <c r="A3586" s="4"/>
      <c r="B3586" s="5"/>
      <c r="C3586" s="5"/>
      <c r="D3586" s="5"/>
      <c r="F3586" s="5"/>
      <c r="J3586" s="5"/>
      <c r="K3586" s="5"/>
      <c r="L3586" s="5"/>
      <c r="M3586" s="5"/>
      <c r="N3586" s="6"/>
      <c r="O3586" s="7"/>
      <c r="P3586" s="5"/>
      <c r="Q3586" s="5"/>
      <c r="R3586" s="5"/>
      <c r="S3586" s="5"/>
      <c r="T3586" s="5"/>
      <c r="U3586" s="5"/>
      <c r="V3586" s="5"/>
      <c r="W3586" s="5"/>
      <c r="X3586" s="5"/>
      <c r="Z3586" s="5"/>
      <c r="AA3586" s="5"/>
      <c r="AB3586" s="5"/>
      <c r="AD3586" s="9"/>
    </row>
    <row r="3587" spans="1:30" ht="12.5">
      <c r="A3587" s="4"/>
      <c r="B3587" s="5"/>
      <c r="C3587" s="5"/>
      <c r="D3587" s="5"/>
      <c r="F3587" s="5"/>
      <c r="J3587" s="5"/>
      <c r="K3587" s="5"/>
      <c r="L3587" s="5"/>
      <c r="M3587" s="5"/>
      <c r="N3587" s="6"/>
      <c r="O3587" s="7"/>
      <c r="P3587" s="5"/>
      <c r="Q3587" s="5"/>
      <c r="R3587" s="5"/>
      <c r="S3587" s="5"/>
      <c r="T3587" s="5"/>
      <c r="U3587" s="5"/>
      <c r="V3587" s="5"/>
      <c r="W3587" s="5"/>
      <c r="X3587" s="5"/>
      <c r="Z3587" s="5"/>
      <c r="AA3587" s="5"/>
      <c r="AB3587" s="5"/>
      <c r="AD3587" s="9"/>
    </row>
    <row r="3588" spans="1:30" ht="12.5">
      <c r="A3588" s="4"/>
      <c r="B3588" s="5"/>
      <c r="C3588" s="5"/>
      <c r="D3588" s="5"/>
      <c r="F3588" s="5"/>
      <c r="J3588" s="5"/>
      <c r="K3588" s="5"/>
      <c r="L3588" s="5"/>
      <c r="M3588" s="5"/>
      <c r="N3588" s="6"/>
      <c r="O3588" s="7"/>
      <c r="P3588" s="5"/>
      <c r="Q3588" s="5"/>
      <c r="R3588" s="5"/>
      <c r="S3588" s="5"/>
      <c r="T3588" s="5"/>
      <c r="U3588" s="5"/>
      <c r="V3588" s="5"/>
      <c r="W3588" s="5"/>
      <c r="X3588" s="5"/>
      <c r="Z3588" s="5"/>
      <c r="AA3588" s="5"/>
      <c r="AB3588" s="5"/>
      <c r="AD3588" s="9"/>
    </row>
    <row r="3589" spans="1:30" ht="12.5">
      <c r="A3589" s="4"/>
      <c r="B3589" s="5"/>
      <c r="C3589" s="5"/>
      <c r="D3589" s="5"/>
      <c r="F3589" s="5"/>
      <c r="J3589" s="5"/>
      <c r="K3589" s="5"/>
      <c r="L3589" s="5"/>
      <c r="M3589" s="5"/>
      <c r="N3589" s="6"/>
      <c r="O3589" s="7"/>
      <c r="P3589" s="5"/>
      <c r="Q3589" s="5"/>
      <c r="R3589" s="5"/>
      <c r="S3589" s="5"/>
      <c r="T3589" s="5"/>
      <c r="U3589" s="5"/>
      <c r="V3589" s="5"/>
      <c r="W3589" s="5"/>
      <c r="X3589" s="5"/>
      <c r="Z3589" s="5"/>
      <c r="AA3589" s="5"/>
      <c r="AB3589" s="5"/>
      <c r="AD3589" s="9"/>
    </row>
    <row r="3590" spans="1:30" ht="12.5">
      <c r="A3590" s="4"/>
      <c r="B3590" s="5"/>
      <c r="C3590" s="5"/>
      <c r="D3590" s="5"/>
      <c r="F3590" s="5"/>
      <c r="J3590" s="5"/>
      <c r="K3590" s="5"/>
      <c r="L3590" s="5"/>
      <c r="M3590" s="5"/>
      <c r="N3590" s="6"/>
      <c r="O3590" s="7"/>
      <c r="P3590" s="5"/>
      <c r="Q3590" s="5"/>
      <c r="R3590" s="5"/>
      <c r="S3590" s="5"/>
      <c r="T3590" s="5"/>
      <c r="U3590" s="5"/>
      <c r="V3590" s="5"/>
      <c r="W3590" s="5"/>
      <c r="X3590" s="5"/>
      <c r="Z3590" s="5"/>
      <c r="AA3590" s="5"/>
      <c r="AB3590" s="5"/>
      <c r="AD3590" s="9"/>
    </row>
    <row r="3591" spans="1:30" ht="12.5">
      <c r="A3591" s="4"/>
      <c r="B3591" s="5"/>
      <c r="C3591" s="5"/>
      <c r="D3591" s="5"/>
      <c r="F3591" s="5"/>
      <c r="J3591" s="5"/>
      <c r="K3591" s="5"/>
      <c r="L3591" s="5"/>
      <c r="M3591" s="5"/>
      <c r="N3591" s="6"/>
      <c r="O3591" s="7"/>
      <c r="P3591" s="5"/>
      <c r="Q3591" s="5"/>
      <c r="R3591" s="5"/>
      <c r="S3591" s="5"/>
      <c r="T3591" s="5"/>
      <c r="U3591" s="5"/>
      <c r="V3591" s="5"/>
      <c r="W3591" s="5"/>
      <c r="X3591" s="5"/>
      <c r="Z3591" s="5"/>
      <c r="AA3591" s="5"/>
      <c r="AB3591" s="5"/>
      <c r="AD3591" s="9"/>
    </row>
    <row r="3592" spans="1:30" ht="12.5">
      <c r="A3592" s="4"/>
      <c r="B3592" s="5"/>
      <c r="C3592" s="5"/>
      <c r="D3592" s="5"/>
      <c r="F3592" s="5"/>
      <c r="J3592" s="5"/>
      <c r="K3592" s="5"/>
      <c r="L3592" s="5"/>
      <c r="M3592" s="5"/>
      <c r="N3592" s="6"/>
      <c r="O3592" s="7"/>
      <c r="P3592" s="5"/>
      <c r="Q3592" s="5"/>
      <c r="R3592" s="5"/>
      <c r="S3592" s="5"/>
      <c r="T3592" s="5"/>
      <c r="U3592" s="5"/>
      <c r="V3592" s="5"/>
      <c r="W3592" s="5"/>
      <c r="X3592" s="5"/>
      <c r="Z3592" s="5"/>
      <c r="AA3592" s="5"/>
      <c r="AB3592" s="5"/>
      <c r="AD3592" s="9"/>
    </row>
    <row r="3593" spans="1:30" ht="12.5">
      <c r="A3593" s="4"/>
      <c r="B3593" s="5"/>
      <c r="C3593" s="5"/>
      <c r="D3593" s="5"/>
      <c r="F3593" s="5"/>
      <c r="J3593" s="5"/>
      <c r="K3593" s="5"/>
      <c r="L3593" s="5"/>
      <c r="M3593" s="5"/>
      <c r="N3593" s="6"/>
      <c r="O3593" s="7"/>
      <c r="P3593" s="5"/>
      <c r="Q3593" s="5"/>
      <c r="R3593" s="5"/>
      <c r="S3593" s="5"/>
      <c r="T3593" s="5"/>
      <c r="U3593" s="5"/>
      <c r="V3593" s="5"/>
      <c r="W3593" s="5"/>
      <c r="X3593" s="5"/>
      <c r="Z3593" s="5"/>
      <c r="AA3593" s="5"/>
      <c r="AB3593" s="5"/>
      <c r="AD3593" s="9"/>
    </row>
    <row r="3594" spans="1:30" ht="12.5">
      <c r="A3594" s="4"/>
      <c r="B3594" s="5"/>
      <c r="C3594" s="5"/>
      <c r="D3594" s="5"/>
      <c r="F3594" s="5"/>
      <c r="J3594" s="5"/>
      <c r="K3594" s="5"/>
      <c r="L3594" s="5"/>
      <c r="M3594" s="5"/>
      <c r="N3594" s="6"/>
      <c r="O3594" s="7"/>
      <c r="P3594" s="5"/>
      <c r="Q3594" s="5"/>
      <c r="R3594" s="5"/>
      <c r="S3594" s="5"/>
      <c r="T3594" s="5"/>
      <c r="U3594" s="5"/>
      <c r="V3594" s="5"/>
      <c r="W3594" s="5"/>
      <c r="X3594" s="5"/>
      <c r="Z3594" s="5"/>
      <c r="AA3594" s="5"/>
      <c r="AB3594" s="5"/>
      <c r="AD3594" s="9"/>
    </row>
    <row r="3595" spans="1:30" ht="12.5">
      <c r="A3595" s="4"/>
      <c r="B3595" s="5"/>
      <c r="C3595" s="5"/>
      <c r="D3595" s="5"/>
      <c r="F3595" s="5"/>
      <c r="J3595" s="5"/>
      <c r="K3595" s="5"/>
      <c r="L3595" s="5"/>
      <c r="M3595" s="5"/>
      <c r="N3595" s="6"/>
      <c r="O3595" s="7"/>
      <c r="P3595" s="5"/>
      <c r="Q3595" s="5"/>
      <c r="R3595" s="5"/>
      <c r="S3595" s="5"/>
      <c r="T3595" s="5"/>
      <c r="U3595" s="5"/>
      <c r="V3595" s="5"/>
      <c r="W3595" s="5"/>
      <c r="X3595" s="5"/>
      <c r="Z3595" s="5"/>
      <c r="AA3595" s="5"/>
      <c r="AB3595" s="5"/>
      <c r="AD3595" s="9"/>
    </row>
    <row r="3596" spans="1:30" ht="12.5">
      <c r="A3596" s="4"/>
      <c r="B3596" s="5"/>
      <c r="C3596" s="5"/>
      <c r="D3596" s="5"/>
      <c r="F3596" s="5"/>
      <c r="J3596" s="5"/>
      <c r="K3596" s="5"/>
      <c r="L3596" s="5"/>
      <c r="M3596" s="5"/>
      <c r="N3596" s="6"/>
      <c r="O3596" s="7"/>
      <c r="P3596" s="5"/>
      <c r="Q3596" s="5"/>
      <c r="R3596" s="5"/>
      <c r="S3596" s="5"/>
      <c r="T3596" s="5"/>
      <c r="U3596" s="5"/>
      <c r="V3596" s="5"/>
      <c r="W3596" s="5"/>
      <c r="X3596" s="5"/>
      <c r="Z3596" s="5"/>
      <c r="AA3596" s="5"/>
      <c r="AB3596" s="5"/>
      <c r="AD3596" s="9"/>
    </row>
    <row r="3597" spans="1:30" ht="12.5">
      <c r="A3597" s="4"/>
      <c r="B3597" s="5"/>
      <c r="C3597" s="5"/>
      <c r="D3597" s="5"/>
      <c r="F3597" s="5"/>
      <c r="J3597" s="5"/>
      <c r="K3597" s="5"/>
      <c r="L3597" s="5"/>
      <c r="M3597" s="5"/>
      <c r="N3597" s="6"/>
      <c r="O3597" s="7"/>
      <c r="P3597" s="5"/>
      <c r="Q3597" s="5"/>
      <c r="R3597" s="5"/>
      <c r="S3597" s="5"/>
      <c r="T3597" s="5"/>
      <c r="U3597" s="5"/>
      <c r="V3597" s="5"/>
      <c r="W3597" s="5"/>
      <c r="X3597" s="5"/>
      <c r="Z3597" s="5"/>
      <c r="AA3597" s="5"/>
      <c r="AB3597" s="5"/>
      <c r="AD3597" s="9"/>
    </row>
    <row r="3598" spans="1:30" ht="12.5">
      <c r="A3598" s="4"/>
      <c r="B3598" s="5"/>
      <c r="C3598" s="5"/>
      <c r="D3598" s="5"/>
      <c r="F3598" s="5"/>
      <c r="J3598" s="5"/>
      <c r="K3598" s="5"/>
      <c r="L3598" s="5"/>
      <c r="M3598" s="5"/>
      <c r="N3598" s="6"/>
      <c r="O3598" s="7"/>
      <c r="P3598" s="5"/>
      <c r="Q3598" s="5"/>
      <c r="R3598" s="5"/>
      <c r="S3598" s="5"/>
      <c r="T3598" s="5"/>
      <c r="U3598" s="5"/>
      <c r="V3598" s="5"/>
      <c r="W3598" s="5"/>
      <c r="X3598" s="5"/>
      <c r="Z3598" s="5"/>
      <c r="AA3598" s="5"/>
      <c r="AB3598" s="5"/>
      <c r="AD3598" s="9"/>
    </row>
    <row r="3599" spans="1:30" ht="12.5">
      <c r="A3599" s="4"/>
      <c r="B3599" s="5"/>
      <c r="C3599" s="5"/>
      <c r="D3599" s="5"/>
      <c r="F3599" s="5"/>
      <c r="J3599" s="5"/>
      <c r="K3599" s="5"/>
      <c r="L3599" s="5"/>
      <c r="M3599" s="5"/>
      <c r="N3599" s="6"/>
      <c r="O3599" s="7"/>
      <c r="P3599" s="5"/>
      <c r="Q3599" s="5"/>
      <c r="R3599" s="5"/>
      <c r="S3599" s="5"/>
      <c r="T3599" s="5"/>
      <c r="U3599" s="5"/>
      <c r="V3599" s="5"/>
      <c r="W3599" s="5"/>
      <c r="X3599" s="5"/>
      <c r="Z3599" s="5"/>
      <c r="AA3599" s="5"/>
      <c r="AB3599" s="5"/>
      <c r="AD3599" s="9"/>
    </row>
    <row r="3600" spans="1:30" ht="12.5">
      <c r="A3600" s="4"/>
      <c r="B3600" s="5"/>
      <c r="C3600" s="5"/>
      <c r="D3600" s="5"/>
      <c r="F3600" s="5"/>
      <c r="J3600" s="5"/>
      <c r="K3600" s="5"/>
      <c r="L3600" s="5"/>
      <c r="M3600" s="5"/>
      <c r="N3600" s="6"/>
      <c r="O3600" s="7"/>
      <c r="P3600" s="5"/>
      <c r="Q3600" s="5"/>
      <c r="R3600" s="5"/>
      <c r="S3600" s="5"/>
      <c r="T3600" s="5"/>
      <c r="U3600" s="5"/>
      <c r="V3600" s="5"/>
      <c r="W3600" s="5"/>
      <c r="X3600" s="5"/>
      <c r="Z3600" s="5"/>
      <c r="AA3600" s="5"/>
      <c r="AB3600" s="5"/>
      <c r="AD3600" s="9"/>
    </row>
    <row r="3601" spans="1:30" ht="12.5">
      <c r="A3601" s="4"/>
      <c r="B3601" s="5"/>
      <c r="C3601" s="5"/>
      <c r="D3601" s="5"/>
      <c r="F3601" s="5"/>
      <c r="J3601" s="5"/>
      <c r="K3601" s="5"/>
      <c r="L3601" s="5"/>
      <c r="M3601" s="5"/>
      <c r="N3601" s="6"/>
      <c r="O3601" s="7"/>
      <c r="P3601" s="5"/>
      <c r="Q3601" s="5"/>
      <c r="R3601" s="5"/>
      <c r="S3601" s="5"/>
      <c r="T3601" s="5"/>
      <c r="U3601" s="5"/>
      <c r="V3601" s="5"/>
      <c r="W3601" s="5"/>
      <c r="X3601" s="5"/>
      <c r="Z3601" s="5"/>
      <c r="AA3601" s="5"/>
      <c r="AB3601" s="5"/>
      <c r="AD3601" s="9"/>
    </row>
    <row r="3602" spans="1:30" ht="12.5">
      <c r="A3602" s="4"/>
      <c r="B3602" s="5"/>
      <c r="C3602" s="5"/>
      <c r="D3602" s="5"/>
      <c r="F3602" s="5"/>
      <c r="J3602" s="5"/>
      <c r="K3602" s="5"/>
      <c r="L3602" s="5"/>
      <c r="M3602" s="5"/>
      <c r="N3602" s="6"/>
      <c r="O3602" s="7"/>
      <c r="P3602" s="5"/>
      <c r="Q3602" s="5"/>
      <c r="R3602" s="5"/>
      <c r="S3602" s="5"/>
      <c r="T3602" s="5"/>
      <c r="U3602" s="5"/>
      <c r="V3602" s="5"/>
      <c r="W3602" s="5"/>
      <c r="X3602" s="5"/>
      <c r="Z3602" s="5"/>
      <c r="AA3602" s="5"/>
      <c r="AB3602" s="5"/>
      <c r="AD3602" s="9"/>
    </row>
    <row r="3603" spans="1:30" ht="12.5">
      <c r="A3603" s="4"/>
      <c r="B3603" s="5"/>
      <c r="C3603" s="5"/>
      <c r="D3603" s="5"/>
      <c r="F3603" s="5"/>
      <c r="J3603" s="5"/>
      <c r="K3603" s="5"/>
      <c r="L3603" s="5"/>
      <c r="M3603" s="5"/>
      <c r="N3603" s="6"/>
      <c r="O3603" s="7"/>
      <c r="P3603" s="5"/>
      <c r="Q3603" s="5"/>
      <c r="R3603" s="5"/>
      <c r="S3603" s="5"/>
      <c r="T3603" s="5"/>
      <c r="U3603" s="5"/>
      <c r="V3603" s="5"/>
      <c r="W3603" s="5"/>
      <c r="X3603" s="5"/>
      <c r="Z3603" s="5"/>
      <c r="AA3603" s="5"/>
      <c r="AB3603" s="5"/>
      <c r="AD3603" s="9"/>
    </row>
    <row r="3604" spans="1:30" ht="12.5">
      <c r="A3604" s="4"/>
      <c r="B3604" s="5"/>
      <c r="C3604" s="5"/>
      <c r="D3604" s="5"/>
      <c r="F3604" s="5"/>
      <c r="J3604" s="5"/>
      <c r="K3604" s="5"/>
      <c r="L3604" s="5"/>
      <c r="M3604" s="5"/>
      <c r="N3604" s="6"/>
      <c r="O3604" s="7"/>
      <c r="P3604" s="5"/>
      <c r="Q3604" s="5"/>
      <c r="R3604" s="5"/>
      <c r="S3604" s="5"/>
      <c r="T3604" s="5"/>
      <c r="U3604" s="5"/>
      <c r="V3604" s="5"/>
      <c r="W3604" s="5"/>
      <c r="X3604" s="5"/>
      <c r="Z3604" s="5"/>
      <c r="AA3604" s="5"/>
      <c r="AB3604" s="5"/>
      <c r="AD3604" s="9"/>
    </row>
    <row r="3605" spans="1:30" ht="12.5">
      <c r="A3605" s="4"/>
      <c r="B3605" s="5"/>
      <c r="C3605" s="5"/>
      <c r="D3605" s="5"/>
      <c r="F3605" s="5"/>
      <c r="J3605" s="5"/>
      <c r="K3605" s="5"/>
      <c r="L3605" s="5"/>
      <c r="M3605" s="5"/>
      <c r="N3605" s="6"/>
      <c r="O3605" s="7"/>
      <c r="P3605" s="5"/>
      <c r="Q3605" s="5"/>
      <c r="R3605" s="5"/>
      <c r="S3605" s="5"/>
      <c r="T3605" s="5"/>
      <c r="U3605" s="5"/>
      <c r="V3605" s="5"/>
      <c r="W3605" s="5"/>
      <c r="X3605" s="5"/>
      <c r="Z3605" s="5"/>
      <c r="AA3605" s="5"/>
      <c r="AB3605" s="5"/>
      <c r="AD3605" s="9"/>
    </row>
    <row r="3606" spans="1:30" ht="12.5">
      <c r="A3606" s="4"/>
      <c r="B3606" s="5"/>
      <c r="C3606" s="5"/>
      <c r="D3606" s="5"/>
      <c r="F3606" s="5"/>
      <c r="J3606" s="5"/>
      <c r="K3606" s="5"/>
      <c r="L3606" s="5"/>
      <c r="M3606" s="5"/>
      <c r="N3606" s="6"/>
      <c r="O3606" s="7"/>
      <c r="P3606" s="5"/>
      <c r="Q3606" s="5"/>
      <c r="R3606" s="5"/>
      <c r="S3606" s="5"/>
      <c r="T3606" s="5"/>
      <c r="U3606" s="5"/>
      <c r="V3606" s="5"/>
      <c r="W3606" s="5"/>
      <c r="X3606" s="5"/>
      <c r="Z3606" s="5"/>
      <c r="AA3606" s="5"/>
      <c r="AB3606" s="5"/>
      <c r="AD3606" s="9"/>
    </row>
    <row r="3607" spans="1:30" ht="12.5">
      <c r="A3607" s="4"/>
      <c r="B3607" s="5"/>
      <c r="C3607" s="5"/>
      <c r="D3607" s="5"/>
      <c r="F3607" s="5"/>
      <c r="J3607" s="5"/>
      <c r="K3607" s="5"/>
      <c r="L3607" s="5"/>
      <c r="M3607" s="5"/>
      <c r="N3607" s="6"/>
      <c r="O3607" s="7"/>
      <c r="P3607" s="5"/>
      <c r="Q3607" s="5"/>
      <c r="R3607" s="5"/>
      <c r="S3607" s="5"/>
      <c r="T3607" s="5"/>
      <c r="U3607" s="5"/>
      <c r="V3607" s="5"/>
      <c r="W3607" s="5"/>
      <c r="X3607" s="5"/>
      <c r="Z3607" s="5"/>
      <c r="AA3607" s="5"/>
      <c r="AB3607" s="5"/>
      <c r="AD3607" s="9"/>
    </row>
    <row r="3608" spans="1:30" ht="12.5">
      <c r="A3608" s="4"/>
      <c r="B3608" s="5"/>
      <c r="C3608" s="5"/>
      <c r="D3608" s="5"/>
      <c r="F3608" s="5"/>
      <c r="J3608" s="5"/>
      <c r="K3608" s="5"/>
      <c r="L3608" s="5"/>
      <c r="M3608" s="5"/>
      <c r="N3608" s="6"/>
      <c r="O3608" s="7"/>
      <c r="P3608" s="5"/>
      <c r="Q3608" s="5"/>
      <c r="R3608" s="5"/>
      <c r="S3608" s="5"/>
      <c r="T3608" s="5"/>
      <c r="U3608" s="5"/>
      <c r="V3608" s="5"/>
      <c r="W3608" s="5"/>
      <c r="X3608" s="5"/>
      <c r="Z3608" s="5"/>
      <c r="AA3608" s="5"/>
      <c r="AB3608" s="5"/>
      <c r="AD3608" s="9"/>
    </row>
    <row r="3609" spans="1:30" ht="12.5">
      <c r="A3609" s="4"/>
      <c r="B3609" s="5"/>
      <c r="C3609" s="5"/>
      <c r="D3609" s="5"/>
      <c r="F3609" s="5"/>
      <c r="J3609" s="5"/>
      <c r="K3609" s="5"/>
      <c r="L3609" s="5"/>
      <c r="M3609" s="5"/>
      <c r="N3609" s="6"/>
      <c r="O3609" s="7"/>
      <c r="P3609" s="5"/>
      <c r="Q3609" s="5"/>
      <c r="R3609" s="5"/>
      <c r="S3609" s="5"/>
      <c r="T3609" s="5"/>
      <c r="U3609" s="5"/>
      <c r="V3609" s="5"/>
      <c r="W3609" s="5"/>
      <c r="X3609" s="5"/>
      <c r="Z3609" s="5"/>
      <c r="AA3609" s="5"/>
      <c r="AB3609" s="5"/>
      <c r="AD3609" s="9"/>
    </row>
    <row r="3610" spans="1:30" ht="12.5">
      <c r="A3610" s="4"/>
      <c r="B3610" s="5"/>
      <c r="C3610" s="5"/>
      <c r="D3610" s="5"/>
      <c r="F3610" s="5"/>
      <c r="J3610" s="5"/>
      <c r="K3610" s="5"/>
      <c r="L3610" s="5"/>
      <c r="M3610" s="5"/>
      <c r="N3610" s="6"/>
      <c r="O3610" s="7"/>
      <c r="P3610" s="5"/>
      <c r="Q3610" s="5"/>
      <c r="R3610" s="5"/>
      <c r="S3610" s="5"/>
      <c r="T3610" s="5"/>
      <c r="U3610" s="5"/>
      <c r="V3610" s="5"/>
      <c r="W3610" s="5"/>
      <c r="X3610" s="5"/>
      <c r="Z3610" s="5"/>
      <c r="AA3610" s="5"/>
      <c r="AB3610" s="5"/>
      <c r="AD3610" s="9"/>
    </row>
    <row r="3611" spans="1:30" ht="12.5">
      <c r="A3611" s="4"/>
      <c r="B3611" s="5"/>
      <c r="C3611" s="5"/>
      <c r="D3611" s="5"/>
      <c r="F3611" s="5"/>
      <c r="J3611" s="5"/>
      <c r="K3611" s="5"/>
      <c r="L3611" s="5"/>
      <c r="M3611" s="5"/>
      <c r="N3611" s="6"/>
      <c r="O3611" s="7"/>
      <c r="P3611" s="5"/>
      <c r="Q3611" s="5"/>
      <c r="R3611" s="5"/>
      <c r="S3611" s="5"/>
      <c r="T3611" s="5"/>
      <c r="U3611" s="5"/>
      <c r="V3611" s="5"/>
      <c r="W3611" s="5"/>
      <c r="X3611" s="5"/>
      <c r="Z3611" s="5"/>
      <c r="AA3611" s="5"/>
      <c r="AB3611" s="5"/>
      <c r="AD3611" s="9"/>
    </row>
    <row r="3612" spans="1:30" ht="12.5">
      <c r="A3612" s="4"/>
      <c r="B3612" s="5"/>
      <c r="C3612" s="5"/>
      <c r="D3612" s="5"/>
      <c r="F3612" s="5"/>
      <c r="J3612" s="5"/>
      <c r="K3612" s="5"/>
      <c r="L3612" s="5"/>
      <c r="M3612" s="5"/>
      <c r="N3612" s="6"/>
      <c r="O3612" s="7"/>
      <c r="P3612" s="5"/>
      <c r="Q3612" s="5"/>
      <c r="R3612" s="5"/>
      <c r="S3612" s="5"/>
      <c r="T3612" s="5"/>
      <c r="U3612" s="5"/>
      <c r="V3612" s="5"/>
      <c r="W3612" s="5"/>
      <c r="X3612" s="5"/>
      <c r="Z3612" s="5"/>
      <c r="AA3612" s="5"/>
      <c r="AB3612" s="5"/>
      <c r="AD3612" s="9"/>
    </row>
    <row r="3613" spans="1:30" ht="12.5">
      <c r="A3613" s="4"/>
      <c r="B3613" s="5"/>
      <c r="C3613" s="5"/>
      <c r="D3613" s="5"/>
      <c r="F3613" s="5"/>
      <c r="J3613" s="5"/>
      <c r="K3613" s="5"/>
      <c r="L3613" s="5"/>
      <c r="M3613" s="5"/>
      <c r="N3613" s="6"/>
      <c r="O3613" s="7"/>
      <c r="P3613" s="5"/>
      <c r="Q3613" s="5"/>
      <c r="R3613" s="5"/>
      <c r="S3613" s="5"/>
      <c r="T3613" s="5"/>
      <c r="U3613" s="5"/>
      <c r="V3613" s="5"/>
      <c r="W3613" s="5"/>
      <c r="X3613" s="5"/>
      <c r="Z3613" s="5"/>
      <c r="AA3613" s="5"/>
      <c r="AB3613" s="5"/>
      <c r="AD3613" s="9"/>
    </row>
    <row r="3614" spans="1:30" ht="12.5">
      <c r="A3614" s="4"/>
      <c r="B3614" s="5"/>
      <c r="C3614" s="5"/>
      <c r="D3614" s="5"/>
      <c r="F3614" s="5"/>
      <c r="J3614" s="5"/>
      <c r="K3614" s="5"/>
      <c r="L3614" s="5"/>
      <c r="M3614" s="5"/>
      <c r="N3614" s="6"/>
      <c r="O3614" s="7"/>
      <c r="P3614" s="5"/>
      <c r="Q3614" s="5"/>
      <c r="R3614" s="5"/>
      <c r="S3614" s="5"/>
      <c r="T3614" s="5"/>
      <c r="U3614" s="5"/>
      <c r="V3614" s="5"/>
      <c r="W3614" s="5"/>
      <c r="X3614" s="5"/>
      <c r="Z3614" s="5"/>
      <c r="AA3614" s="5"/>
      <c r="AB3614" s="5"/>
      <c r="AD3614" s="9"/>
    </row>
    <row r="3615" spans="1:30" ht="12.5">
      <c r="A3615" s="4"/>
      <c r="B3615" s="5"/>
      <c r="C3615" s="5"/>
      <c r="D3615" s="5"/>
      <c r="F3615" s="5"/>
      <c r="J3615" s="5"/>
      <c r="K3615" s="5"/>
      <c r="L3615" s="5"/>
      <c r="M3615" s="5"/>
      <c r="N3615" s="6"/>
      <c r="O3615" s="7"/>
      <c r="P3615" s="5"/>
      <c r="Q3615" s="5"/>
      <c r="R3615" s="5"/>
      <c r="S3615" s="5"/>
      <c r="T3615" s="5"/>
      <c r="U3615" s="5"/>
      <c r="V3615" s="5"/>
      <c r="W3615" s="5"/>
      <c r="X3615" s="5"/>
      <c r="Z3615" s="5"/>
      <c r="AA3615" s="5"/>
      <c r="AB3615" s="5"/>
      <c r="AD3615" s="9"/>
    </row>
    <row r="3616" spans="1:30" ht="12.5">
      <c r="A3616" s="4"/>
      <c r="B3616" s="5"/>
      <c r="C3616" s="5"/>
      <c r="D3616" s="5"/>
      <c r="F3616" s="5"/>
      <c r="J3616" s="5"/>
      <c r="K3616" s="5"/>
      <c r="L3616" s="5"/>
      <c r="M3616" s="5"/>
      <c r="N3616" s="6"/>
      <c r="O3616" s="7"/>
      <c r="P3616" s="5"/>
      <c r="Q3616" s="5"/>
      <c r="R3616" s="5"/>
      <c r="S3616" s="5"/>
      <c r="T3616" s="5"/>
      <c r="U3616" s="5"/>
      <c r="V3616" s="5"/>
      <c r="W3616" s="5"/>
      <c r="X3616" s="5"/>
      <c r="Z3616" s="5"/>
      <c r="AA3616" s="5"/>
      <c r="AB3616" s="5"/>
      <c r="AD3616" s="9"/>
    </row>
    <row r="3617" spans="1:30" ht="12.5">
      <c r="A3617" s="4"/>
      <c r="B3617" s="5"/>
      <c r="C3617" s="5"/>
      <c r="D3617" s="5"/>
      <c r="F3617" s="5"/>
      <c r="J3617" s="5"/>
      <c r="K3617" s="5"/>
      <c r="L3617" s="5"/>
      <c r="M3617" s="5"/>
      <c r="N3617" s="6"/>
      <c r="O3617" s="7"/>
      <c r="P3617" s="5"/>
      <c r="Q3617" s="5"/>
      <c r="R3617" s="5"/>
      <c r="S3617" s="5"/>
      <c r="T3617" s="5"/>
      <c r="U3617" s="5"/>
      <c r="V3617" s="5"/>
      <c r="W3617" s="5"/>
      <c r="X3617" s="5"/>
      <c r="Z3617" s="5"/>
      <c r="AA3617" s="5"/>
      <c r="AB3617" s="5"/>
      <c r="AD3617" s="9"/>
    </row>
    <row r="3618" spans="1:30" ht="12.5">
      <c r="A3618" s="4"/>
      <c r="B3618" s="5"/>
      <c r="C3618" s="5"/>
      <c r="D3618" s="5"/>
      <c r="F3618" s="5"/>
      <c r="J3618" s="5"/>
      <c r="K3618" s="5"/>
      <c r="L3618" s="5"/>
      <c r="M3618" s="5"/>
      <c r="N3618" s="6"/>
      <c r="O3618" s="7"/>
      <c r="P3618" s="5"/>
      <c r="Q3618" s="5"/>
      <c r="R3618" s="5"/>
      <c r="S3618" s="5"/>
      <c r="T3618" s="5"/>
      <c r="U3618" s="5"/>
      <c r="V3618" s="5"/>
      <c r="W3618" s="5"/>
      <c r="X3618" s="5"/>
      <c r="Z3618" s="5"/>
      <c r="AA3618" s="5"/>
      <c r="AB3618" s="5"/>
      <c r="AD3618" s="9"/>
    </row>
    <row r="3619" spans="1:30" ht="12.5">
      <c r="A3619" s="4"/>
      <c r="B3619" s="5"/>
      <c r="C3619" s="5"/>
      <c r="D3619" s="5"/>
      <c r="F3619" s="5"/>
      <c r="J3619" s="5"/>
      <c r="K3619" s="5"/>
      <c r="L3619" s="5"/>
      <c r="M3619" s="5"/>
      <c r="N3619" s="6"/>
      <c r="O3619" s="7"/>
      <c r="P3619" s="5"/>
      <c r="Q3619" s="5"/>
      <c r="R3619" s="5"/>
      <c r="S3619" s="5"/>
      <c r="T3619" s="5"/>
      <c r="U3619" s="5"/>
      <c r="V3619" s="5"/>
      <c r="W3619" s="5"/>
      <c r="X3619" s="5"/>
      <c r="Z3619" s="5"/>
      <c r="AA3619" s="5"/>
      <c r="AB3619" s="5"/>
      <c r="AD3619" s="9"/>
    </row>
    <row r="3620" spans="1:30" ht="12.5">
      <c r="A3620" s="4"/>
      <c r="B3620" s="5"/>
      <c r="C3620" s="5"/>
      <c r="D3620" s="5"/>
      <c r="F3620" s="5"/>
      <c r="J3620" s="5"/>
      <c r="K3620" s="5"/>
      <c r="L3620" s="5"/>
      <c r="M3620" s="5"/>
      <c r="N3620" s="6"/>
      <c r="O3620" s="7"/>
      <c r="P3620" s="5"/>
      <c r="Q3620" s="5"/>
      <c r="R3620" s="5"/>
      <c r="S3620" s="5"/>
      <c r="T3620" s="5"/>
      <c r="U3620" s="5"/>
      <c r="V3620" s="5"/>
      <c r="W3620" s="5"/>
      <c r="X3620" s="5"/>
      <c r="Z3620" s="5"/>
      <c r="AA3620" s="5"/>
      <c r="AB3620" s="5"/>
      <c r="AD3620" s="9"/>
    </row>
    <row r="3621" spans="1:30" ht="12.5">
      <c r="A3621" s="4"/>
      <c r="B3621" s="5"/>
      <c r="C3621" s="5"/>
      <c r="D3621" s="5"/>
      <c r="F3621" s="5"/>
      <c r="J3621" s="5"/>
      <c r="K3621" s="5"/>
      <c r="L3621" s="5"/>
      <c r="M3621" s="5"/>
      <c r="N3621" s="6"/>
      <c r="O3621" s="7"/>
      <c r="P3621" s="5"/>
      <c r="Q3621" s="5"/>
      <c r="R3621" s="5"/>
      <c r="S3621" s="5"/>
      <c r="T3621" s="5"/>
      <c r="U3621" s="5"/>
      <c r="V3621" s="5"/>
      <c r="W3621" s="5"/>
      <c r="X3621" s="5"/>
      <c r="Z3621" s="5"/>
      <c r="AA3621" s="5"/>
      <c r="AB3621" s="5"/>
      <c r="AD3621" s="9"/>
    </row>
    <row r="3622" spans="1:30" ht="12.5">
      <c r="A3622" s="4"/>
      <c r="B3622" s="5"/>
      <c r="C3622" s="5"/>
      <c r="D3622" s="5"/>
      <c r="F3622" s="5"/>
      <c r="J3622" s="5"/>
      <c r="K3622" s="5"/>
      <c r="L3622" s="5"/>
      <c r="M3622" s="5"/>
      <c r="N3622" s="6"/>
      <c r="O3622" s="7"/>
      <c r="P3622" s="5"/>
      <c r="Q3622" s="5"/>
      <c r="R3622" s="5"/>
      <c r="S3622" s="5"/>
      <c r="T3622" s="5"/>
      <c r="U3622" s="5"/>
      <c r="V3622" s="5"/>
      <c r="W3622" s="5"/>
      <c r="X3622" s="5"/>
      <c r="Z3622" s="5"/>
      <c r="AA3622" s="5"/>
      <c r="AB3622" s="5"/>
      <c r="AD3622" s="9"/>
    </row>
    <row r="3623" spans="1:30" ht="12.5">
      <c r="A3623" s="4"/>
      <c r="B3623" s="5"/>
      <c r="C3623" s="5"/>
      <c r="D3623" s="5"/>
      <c r="F3623" s="5"/>
      <c r="J3623" s="5"/>
      <c r="K3623" s="5"/>
      <c r="L3623" s="5"/>
      <c r="M3623" s="5"/>
      <c r="N3623" s="6"/>
      <c r="O3623" s="7"/>
      <c r="P3623" s="5"/>
      <c r="Q3623" s="5"/>
      <c r="R3623" s="5"/>
      <c r="S3623" s="5"/>
      <c r="T3623" s="5"/>
      <c r="U3623" s="5"/>
      <c r="V3623" s="5"/>
      <c r="W3623" s="5"/>
      <c r="X3623" s="5"/>
      <c r="Z3623" s="5"/>
      <c r="AA3623" s="5"/>
      <c r="AB3623" s="5"/>
      <c r="AD3623" s="9"/>
    </row>
    <row r="3624" spans="1:30" ht="12.5">
      <c r="A3624" s="4"/>
      <c r="B3624" s="5"/>
      <c r="C3624" s="5"/>
      <c r="D3624" s="5"/>
      <c r="F3624" s="5"/>
      <c r="J3624" s="5"/>
      <c r="K3624" s="5"/>
      <c r="L3624" s="5"/>
      <c r="M3624" s="5"/>
      <c r="N3624" s="6"/>
      <c r="O3624" s="7"/>
      <c r="P3624" s="5"/>
      <c r="Q3624" s="5"/>
      <c r="R3624" s="5"/>
      <c r="S3624" s="5"/>
      <c r="T3624" s="5"/>
      <c r="U3624" s="5"/>
      <c r="V3624" s="5"/>
      <c r="W3624" s="5"/>
      <c r="X3624" s="5"/>
      <c r="Z3624" s="5"/>
      <c r="AA3624" s="5"/>
      <c r="AB3624" s="5"/>
      <c r="AD3624" s="9"/>
    </row>
    <row r="3625" spans="1:30" ht="12.5">
      <c r="A3625" s="4"/>
      <c r="B3625" s="5"/>
      <c r="C3625" s="5"/>
      <c r="D3625" s="5"/>
      <c r="F3625" s="5"/>
      <c r="J3625" s="5"/>
      <c r="K3625" s="5"/>
      <c r="L3625" s="5"/>
      <c r="M3625" s="5"/>
      <c r="N3625" s="6"/>
      <c r="O3625" s="7"/>
      <c r="P3625" s="5"/>
      <c r="Q3625" s="5"/>
      <c r="R3625" s="5"/>
      <c r="S3625" s="5"/>
      <c r="T3625" s="5"/>
      <c r="U3625" s="5"/>
      <c r="V3625" s="5"/>
      <c r="W3625" s="5"/>
      <c r="X3625" s="5"/>
      <c r="Z3625" s="5"/>
      <c r="AA3625" s="5"/>
      <c r="AB3625" s="5"/>
      <c r="AD3625" s="9"/>
    </row>
    <row r="3626" spans="1:30" ht="12.5">
      <c r="A3626" s="4"/>
      <c r="B3626" s="5"/>
      <c r="C3626" s="5"/>
      <c r="D3626" s="5"/>
      <c r="F3626" s="5"/>
      <c r="J3626" s="5"/>
      <c r="K3626" s="5"/>
      <c r="L3626" s="5"/>
      <c r="M3626" s="5"/>
      <c r="N3626" s="6"/>
      <c r="O3626" s="7"/>
      <c r="P3626" s="5"/>
      <c r="Q3626" s="5"/>
      <c r="R3626" s="5"/>
      <c r="S3626" s="5"/>
      <c r="T3626" s="5"/>
      <c r="U3626" s="5"/>
      <c r="V3626" s="5"/>
      <c r="W3626" s="5"/>
      <c r="X3626" s="5"/>
      <c r="Z3626" s="5"/>
      <c r="AA3626" s="5"/>
      <c r="AB3626" s="5"/>
      <c r="AD3626" s="9"/>
    </row>
    <row r="3627" spans="1:30" ht="12.5">
      <c r="A3627" s="4"/>
      <c r="B3627" s="5"/>
      <c r="C3627" s="5"/>
      <c r="D3627" s="5"/>
      <c r="F3627" s="5"/>
      <c r="J3627" s="5"/>
      <c r="K3627" s="5"/>
      <c r="L3627" s="5"/>
      <c r="M3627" s="5"/>
      <c r="N3627" s="6"/>
      <c r="O3627" s="7"/>
      <c r="P3627" s="5"/>
      <c r="Q3627" s="5"/>
      <c r="R3627" s="5"/>
      <c r="S3627" s="5"/>
      <c r="T3627" s="5"/>
      <c r="U3627" s="5"/>
      <c r="V3627" s="5"/>
      <c r="W3627" s="5"/>
      <c r="X3627" s="5"/>
      <c r="Z3627" s="5"/>
      <c r="AA3627" s="5"/>
      <c r="AB3627" s="5"/>
      <c r="AD3627" s="9"/>
    </row>
    <row r="3628" spans="1:30" ht="12.5">
      <c r="A3628" s="4"/>
      <c r="B3628" s="5"/>
      <c r="C3628" s="5"/>
      <c r="D3628" s="5"/>
      <c r="F3628" s="5"/>
      <c r="J3628" s="5"/>
      <c r="K3628" s="5"/>
      <c r="L3628" s="5"/>
      <c r="M3628" s="5"/>
      <c r="N3628" s="6"/>
      <c r="O3628" s="7"/>
      <c r="P3628" s="5"/>
      <c r="Q3628" s="5"/>
      <c r="R3628" s="5"/>
      <c r="S3628" s="5"/>
      <c r="T3628" s="5"/>
      <c r="U3628" s="5"/>
      <c r="V3628" s="5"/>
      <c r="W3628" s="5"/>
      <c r="X3628" s="5"/>
      <c r="Z3628" s="5"/>
      <c r="AA3628" s="5"/>
      <c r="AB3628" s="5"/>
      <c r="AD3628" s="9"/>
    </row>
    <row r="3629" spans="1:30" ht="12.5">
      <c r="A3629" s="4"/>
      <c r="B3629" s="5"/>
      <c r="C3629" s="5"/>
      <c r="D3629" s="5"/>
      <c r="F3629" s="5"/>
      <c r="J3629" s="5"/>
      <c r="K3629" s="5"/>
      <c r="L3629" s="5"/>
      <c r="M3629" s="5"/>
      <c r="N3629" s="6"/>
      <c r="O3629" s="7"/>
      <c r="P3629" s="5"/>
      <c r="Q3629" s="5"/>
      <c r="R3629" s="5"/>
      <c r="S3629" s="5"/>
      <c r="T3629" s="5"/>
      <c r="U3629" s="5"/>
      <c r="V3629" s="5"/>
      <c r="W3629" s="5"/>
      <c r="X3629" s="5"/>
      <c r="Z3629" s="5"/>
      <c r="AA3629" s="5"/>
      <c r="AB3629" s="5"/>
      <c r="AD3629" s="9"/>
    </row>
    <row r="3630" spans="1:30" ht="12.5">
      <c r="A3630" s="4"/>
      <c r="B3630" s="5"/>
      <c r="C3630" s="5"/>
      <c r="D3630" s="5"/>
      <c r="F3630" s="5"/>
      <c r="J3630" s="5"/>
      <c r="K3630" s="5"/>
      <c r="L3630" s="5"/>
      <c r="M3630" s="5"/>
      <c r="N3630" s="6"/>
      <c r="O3630" s="7"/>
      <c r="P3630" s="5"/>
      <c r="Q3630" s="5"/>
      <c r="R3630" s="5"/>
      <c r="S3630" s="5"/>
      <c r="T3630" s="5"/>
      <c r="U3630" s="5"/>
      <c r="V3630" s="5"/>
      <c r="W3630" s="5"/>
      <c r="X3630" s="5"/>
      <c r="Z3630" s="5"/>
      <c r="AA3630" s="5"/>
      <c r="AB3630" s="5"/>
      <c r="AD3630" s="9"/>
    </row>
    <row r="3631" spans="1:30" ht="12.5">
      <c r="A3631" s="4"/>
      <c r="B3631" s="5"/>
      <c r="C3631" s="5"/>
      <c r="D3631" s="5"/>
      <c r="F3631" s="5"/>
      <c r="J3631" s="5"/>
      <c r="K3631" s="5"/>
      <c r="L3631" s="5"/>
      <c r="M3631" s="5"/>
      <c r="N3631" s="6"/>
      <c r="O3631" s="7"/>
      <c r="P3631" s="5"/>
      <c r="Q3631" s="5"/>
      <c r="R3631" s="5"/>
      <c r="S3631" s="5"/>
      <c r="T3631" s="5"/>
      <c r="U3631" s="5"/>
      <c r="V3631" s="5"/>
      <c r="W3631" s="5"/>
      <c r="X3631" s="5"/>
      <c r="Z3631" s="5"/>
      <c r="AA3631" s="5"/>
      <c r="AB3631" s="5"/>
      <c r="AD3631" s="9"/>
    </row>
    <row r="3632" spans="1:30" ht="12.5">
      <c r="A3632" s="4"/>
      <c r="B3632" s="5"/>
      <c r="C3632" s="5"/>
      <c r="D3632" s="5"/>
      <c r="F3632" s="5"/>
      <c r="J3632" s="5"/>
      <c r="K3632" s="5"/>
      <c r="L3632" s="5"/>
      <c r="M3632" s="5"/>
      <c r="N3632" s="6"/>
      <c r="O3632" s="7"/>
      <c r="P3632" s="5"/>
      <c r="Q3632" s="5"/>
      <c r="R3632" s="5"/>
      <c r="S3632" s="5"/>
      <c r="T3632" s="5"/>
      <c r="U3632" s="5"/>
      <c r="V3632" s="5"/>
      <c r="W3632" s="5"/>
      <c r="X3632" s="5"/>
      <c r="Z3632" s="5"/>
      <c r="AA3632" s="5"/>
      <c r="AB3632" s="5"/>
      <c r="AD3632" s="9"/>
    </row>
    <row r="3633" spans="1:30" ht="12.5">
      <c r="A3633" s="4"/>
      <c r="B3633" s="5"/>
      <c r="C3633" s="5"/>
      <c r="D3633" s="5"/>
      <c r="F3633" s="5"/>
      <c r="J3633" s="5"/>
      <c r="K3633" s="5"/>
      <c r="L3633" s="5"/>
      <c r="M3633" s="5"/>
      <c r="N3633" s="6"/>
      <c r="O3633" s="7"/>
      <c r="P3633" s="5"/>
      <c r="Q3633" s="5"/>
      <c r="R3633" s="5"/>
      <c r="S3633" s="5"/>
      <c r="T3633" s="5"/>
      <c r="U3633" s="5"/>
      <c r="V3633" s="5"/>
      <c r="W3633" s="5"/>
      <c r="X3633" s="5"/>
      <c r="Z3633" s="5"/>
      <c r="AA3633" s="5"/>
      <c r="AB3633" s="5"/>
      <c r="AD3633" s="9"/>
    </row>
    <row r="3634" spans="1:30" ht="12.5">
      <c r="A3634" s="4"/>
      <c r="B3634" s="5"/>
      <c r="C3634" s="5"/>
      <c r="D3634" s="5"/>
      <c r="F3634" s="5"/>
      <c r="J3634" s="5"/>
      <c r="K3634" s="5"/>
      <c r="L3634" s="5"/>
      <c r="M3634" s="5"/>
      <c r="N3634" s="6"/>
      <c r="O3634" s="7"/>
      <c r="P3634" s="5"/>
      <c r="Q3634" s="5"/>
      <c r="R3634" s="5"/>
      <c r="S3634" s="5"/>
      <c r="T3634" s="5"/>
      <c r="U3634" s="5"/>
      <c r="V3634" s="5"/>
      <c r="W3634" s="5"/>
      <c r="X3634" s="5"/>
      <c r="Z3634" s="5"/>
      <c r="AA3634" s="5"/>
      <c r="AB3634" s="5"/>
      <c r="AD3634" s="9"/>
    </row>
    <row r="3635" spans="1:30" ht="12.5">
      <c r="A3635" s="4"/>
      <c r="B3635" s="5"/>
      <c r="C3635" s="5"/>
      <c r="D3635" s="5"/>
      <c r="F3635" s="5"/>
      <c r="J3635" s="5"/>
      <c r="K3635" s="5"/>
      <c r="L3635" s="5"/>
      <c r="M3635" s="5"/>
      <c r="N3635" s="6"/>
      <c r="O3635" s="7"/>
      <c r="P3635" s="5"/>
      <c r="Q3635" s="5"/>
      <c r="R3635" s="5"/>
      <c r="S3635" s="5"/>
      <c r="T3635" s="5"/>
      <c r="U3635" s="5"/>
      <c r="V3635" s="5"/>
      <c r="W3635" s="5"/>
      <c r="X3635" s="5"/>
      <c r="Z3635" s="5"/>
      <c r="AA3635" s="5"/>
      <c r="AB3635" s="5"/>
      <c r="AD3635" s="9"/>
    </row>
    <row r="3636" spans="1:30" ht="12.5">
      <c r="A3636" s="4"/>
      <c r="B3636" s="5"/>
      <c r="C3636" s="5"/>
      <c r="D3636" s="5"/>
      <c r="F3636" s="5"/>
      <c r="J3636" s="5"/>
      <c r="K3636" s="5"/>
      <c r="L3636" s="5"/>
      <c r="M3636" s="5"/>
      <c r="N3636" s="6"/>
      <c r="O3636" s="7"/>
      <c r="P3636" s="5"/>
      <c r="Q3636" s="5"/>
      <c r="R3636" s="5"/>
      <c r="S3636" s="5"/>
      <c r="T3636" s="5"/>
      <c r="U3636" s="5"/>
      <c r="V3636" s="5"/>
      <c r="W3636" s="5"/>
      <c r="X3636" s="5"/>
      <c r="Z3636" s="5"/>
      <c r="AA3636" s="5"/>
      <c r="AB3636" s="5"/>
      <c r="AD3636" s="9"/>
    </row>
    <row r="3637" spans="1:30" ht="12.5">
      <c r="A3637" s="4"/>
      <c r="B3637" s="5"/>
      <c r="C3637" s="5"/>
      <c r="D3637" s="5"/>
      <c r="F3637" s="5"/>
      <c r="J3637" s="5"/>
      <c r="K3637" s="5"/>
      <c r="L3637" s="5"/>
      <c r="M3637" s="5"/>
      <c r="N3637" s="6"/>
      <c r="O3637" s="7"/>
      <c r="P3637" s="5"/>
      <c r="Q3637" s="5"/>
      <c r="R3637" s="5"/>
      <c r="S3637" s="5"/>
      <c r="T3637" s="5"/>
      <c r="U3637" s="5"/>
      <c r="V3637" s="5"/>
      <c r="W3637" s="5"/>
      <c r="X3637" s="5"/>
      <c r="Z3637" s="5"/>
      <c r="AA3637" s="5"/>
      <c r="AB3637" s="5"/>
      <c r="AD3637" s="9"/>
    </row>
    <row r="3638" spans="1:30" ht="12.5">
      <c r="A3638" s="4"/>
      <c r="B3638" s="5"/>
      <c r="C3638" s="5"/>
      <c r="D3638" s="5"/>
      <c r="F3638" s="5"/>
      <c r="J3638" s="5"/>
      <c r="K3638" s="5"/>
      <c r="L3638" s="5"/>
      <c r="M3638" s="5"/>
      <c r="N3638" s="6"/>
      <c r="O3638" s="7"/>
      <c r="P3638" s="5"/>
      <c r="Q3638" s="5"/>
      <c r="R3638" s="5"/>
      <c r="S3638" s="5"/>
      <c r="T3638" s="5"/>
      <c r="U3638" s="5"/>
      <c r="V3638" s="5"/>
      <c r="W3638" s="5"/>
      <c r="X3638" s="5"/>
      <c r="Z3638" s="5"/>
      <c r="AA3638" s="5"/>
      <c r="AB3638" s="5"/>
      <c r="AD3638" s="9"/>
    </row>
    <row r="3639" spans="1:30" ht="12.5">
      <c r="A3639" s="4"/>
      <c r="B3639" s="5"/>
      <c r="C3639" s="5"/>
      <c r="D3639" s="5"/>
      <c r="F3639" s="5"/>
      <c r="J3639" s="5"/>
      <c r="K3639" s="5"/>
      <c r="L3639" s="5"/>
      <c r="M3639" s="5"/>
      <c r="N3639" s="6"/>
      <c r="O3639" s="7"/>
      <c r="P3639" s="5"/>
      <c r="Q3639" s="5"/>
      <c r="R3639" s="5"/>
      <c r="S3639" s="5"/>
      <c r="T3639" s="5"/>
      <c r="U3639" s="5"/>
      <c r="V3639" s="5"/>
      <c r="W3639" s="5"/>
      <c r="X3639" s="5"/>
      <c r="Z3639" s="5"/>
      <c r="AA3639" s="5"/>
      <c r="AB3639" s="5"/>
      <c r="AD3639" s="9"/>
    </row>
    <row r="3640" spans="1:30" ht="12.5">
      <c r="A3640" s="4"/>
      <c r="B3640" s="5"/>
      <c r="C3640" s="5"/>
      <c r="D3640" s="5"/>
      <c r="F3640" s="5"/>
      <c r="J3640" s="5"/>
      <c r="K3640" s="5"/>
      <c r="L3640" s="5"/>
      <c r="M3640" s="5"/>
      <c r="N3640" s="6"/>
      <c r="O3640" s="7"/>
      <c r="P3640" s="5"/>
      <c r="Q3640" s="5"/>
      <c r="R3640" s="5"/>
      <c r="S3640" s="5"/>
      <c r="T3640" s="5"/>
      <c r="U3640" s="5"/>
      <c r="V3640" s="5"/>
      <c r="W3640" s="5"/>
      <c r="X3640" s="5"/>
      <c r="Z3640" s="5"/>
      <c r="AA3640" s="5"/>
      <c r="AB3640" s="5"/>
      <c r="AD3640" s="9"/>
    </row>
    <row r="3641" spans="1:30" ht="12.5">
      <c r="A3641" s="4"/>
      <c r="B3641" s="5"/>
      <c r="C3641" s="5"/>
      <c r="D3641" s="5"/>
      <c r="F3641" s="5"/>
      <c r="J3641" s="5"/>
      <c r="K3641" s="5"/>
      <c r="L3641" s="5"/>
      <c r="M3641" s="5"/>
      <c r="N3641" s="6"/>
      <c r="O3641" s="7"/>
      <c r="P3641" s="5"/>
      <c r="Q3641" s="5"/>
      <c r="R3641" s="5"/>
      <c r="S3641" s="5"/>
      <c r="T3641" s="5"/>
      <c r="U3641" s="5"/>
      <c r="V3641" s="5"/>
      <c r="W3641" s="5"/>
      <c r="X3641" s="5"/>
      <c r="Z3641" s="5"/>
      <c r="AA3641" s="5"/>
      <c r="AB3641" s="5"/>
      <c r="AD3641" s="9"/>
    </row>
    <row r="3642" spans="1:30" ht="12.5">
      <c r="A3642" s="4"/>
      <c r="B3642" s="5"/>
      <c r="C3642" s="5"/>
      <c r="D3642" s="5"/>
      <c r="F3642" s="5"/>
      <c r="J3642" s="5"/>
      <c r="K3642" s="5"/>
      <c r="L3642" s="5"/>
      <c r="M3642" s="5"/>
      <c r="N3642" s="6"/>
      <c r="O3642" s="7"/>
      <c r="P3642" s="5"/>
      <c r="Q3642" s="5"/>
      <c r="R3642" s="5"/>
      <c r="S3642" s="5"/>
      <c r="T3642" s="5"/>
      <c r="U3642" s="5"/>
      <c r="V3642" s="5"/>
      <c r="W3642" s="5"/>
      <c r="X3642" s="5"/>
      <c r="Z3642" s="5"/>
      <c r="AA3642" s="5"/>
      <c r="AB3642" s="5"/>
      <c r="AD3642" s="9"/>
    </row>
    <row r="3643" spans="1:30" ht="12.5">
      <c r="A3643" s="4"/>
      <c r="B3643" s="5"/>
      <c r="C3643" s="5"/>
      <c r="D3643" s="5"/>
      <c r="F3643" s="5"/>
      <c r="J3643" s="5"/>
      <c r="K3643" s="5"/>
      <c r="L3643" s="5"/>
      <c r="M3643" s="5"/>
      <c r="N3643" s="6"/>
      <c r="O3643" s="7"/>
      <c r="P3643" s="5"/>
      <c r="Q3643" s="5"/>
      <c r="R3643" s="5"/>
      <c r="S3643" s="5"/>
      <c r="T3643" s="5"/>
      <c r="U3643" s="5"/>
      <c r="V3643" s="5"/>
      <c r="W3643" s="5"/>
      <c r="X3643" s="5"/>
      <c r="Z3643" s="5"/>
      <c r="AA3643" s="5"/>
      <c r="AB3643" s="5"/>
      <c r="AD3643" s="9"/>
    </row>
    <row r="3644" spans="1:30" ht="12.5">
      <c r="A3644" s="4"/>
      <c r="B3644" s="5"/>
      <c r="C3644" s="5"/>
      <c r="D3644" s="5"/>
      <c r="F3644" s="5"/>
      <c r="J3644" s="5"/>
      <c r="K3644" s="5"/>
      <c r="L3644" s="5"/>
      <c r="M3644" s="5"/>
      <c r="N3644" s="6"/>
      <c r="O3644" s="7"/>
      <c r="P3644" s="5"/>
      <c r="Q3644" s="5"/>
      <c r="R3644" s="5"/>
      <c r="S3644" s="5"/>
      <c r="T3644" s="5"/>
      <c r="U3644" s="5"/>
      <c r="V3644" s="5"/>
      <c r="W3644" s="5"/>
      <c r="X3644" s="5"/>
      <c r="Z3644" s="5"/>
      <c r="AA3644" s="5"/>
      <c r="AB3644" s="5"/>
      <c r="AD3644" s="9"/>
    </row>
    <row r="3645" spans="1:30" ht="12.5">
      <c r="A3645" s="4"/>
      <c r="B3645" s="5"/>
      <c r="C3645" s="5"/>
      <c r="D3645" s="5"/>
      <c r="F3645" s="5"/>
      <c r="J3645" s="5"/>
      <c r="K3645" s="5"/>
      <c r="L3645" s="5"/>
      <c r="M3645" s="5"/>
      <c r="N3645" s="6"/>
      <c r="O3645" s="7"/>
      <c r="P3645" s="5"/>
      <c r="Q3645" s="5"/>
      <c r="R3645" s="5"/>
      <c r="S3645" s="5"/>
      <c r="T3645" s="5"/>
      <c r="U3645" s="5"/>
      <c r="V3645" s="5"/>
      <c r="W3645" s="5"/>
      <c r="X3645" s="5"/>
      <c r="Z3645" s="5"/>
      <c r="AA3645" s="5"/>
      <c r="AB3645" s="5"/>
      <c r="AD3645" s="9"/>
    </row>
    <row r="3646" spans="1:30" ht="12.5">
      <c r="A3646" s="4"/>
      <c r="B3646" s="5"/>
      <c r="C3646" s="5"/>
      <c r="D3646" s="5"/>
      <c r="F3646" s="5"/>
      <c r="J3646" s="5"/>
      <c r="K3646" s="5"/>
      <c r="L3646" s="5"/>
      <c r="M3646" s="5"/>
      <c r="N3646" s="6"/>
      <c r="O3646" s="7"/>
      <c r="P3646" s="5"/>
      <c r="Q3646" s="5"/>
      <c r="R3646" s="5"/>
      <c r="S3646" s="5"/>
      <c r="T3646" s="5"/>
      <c r="U3646" s="5"/>
      <c r="V3646" s="5"/>
      <c r="W3646" s="5"/>
      <c r="X3646" s="5"/>
      <c r="Z3646" s="5"/>
      <c r="AA3646" s="5"/>
      <c r="AB3646" s="5"/>
      <c r="AD3646" s="9"/>
    </row>
    <row r="3647" spans="1:30" ht="12.5">
      <c r="A3647" s="4"/>
      <c r="B3647" s="5"/>
      <c r="C3647" s="5"/>
      <c r="D3647" s="5"/>
      <c r="F3647" s="5"/>
      <c r="J3647" s="5"/>
      <c r="K3647" s="5"/>
      <c r="L3647" s="5"/>
      <c r="M3647" s="5"/>
      <c r="N3647" s="6"/>
      <c r="O3647" s="7"/>
      <c r="P3647" s="5"/>
      <c r="Q3647" s="5"/>
      <c r="R3647" s="5"/>
      <c r="S3647" s="5"/>
      <c r="T3647" s="5"/>
      <c r="U3647" s="5"/>
      <c r="V3647" s="5"/>
      <c r="W3647" s="5"/>
      <c r="X3647" s="5"/>
      <c r="Z3647" s="5"/>
      <c r="AA3647" s="5"/>
      <c r="AB3647" s="5"/>
      <c r="AD3647" s="9"/>
    </row>
    <row r="3648" spans="1:30" ht="12.5">
      <c r="A3648" s="4"/>
      <c r="B3648" s="5"/>
      <c r="C3648" s="5"/>
      <c r="D3648" s="5"/>
      <c r="F3648" s="5"/>
      <c r="J3648" s="5"/>
      <c r="K3648" s="5"/>
      <c r="L3648" s="5"/>
      <c r="M3648" s="5"/>
      <c r="N3648" s="6"/>
      <c r="O3648" s="7"/>
      <c r="P3648" s="5"/>
      <c r="Q3648" s="5"/>
      <c r="R3648" s="5"/>
      <c r="S3648" s="5"/>
      <c r="T3648" s="5"/>
      <c r="U3648" s="5"/>
      <c r="V3648" s="5"/>
      <c r="W3648" s="5"/>
      <c r="X3648" s="5"/>
      <c r="Z3648" s="5"/>
      <c r="AA3648" s="5"/>
      <c r="AB3648" s="5"/>
      <c r="AD3648" s="9"/>
    </row>
    <row r="3649" spans="1:30" ht="12.5">
      <c r="A3649" s="4"/>
      <c r="B3649" s="5"/>
      <c r="C3649" s="5"/>
      <c r="D3649" s="5"/>
      <c r="F3649" s="5"/>
      <c r="J3649" s="5"/>
      <c r="K3649" s="5"/>
      <c r="L3649" s="5"/>
      <c r="M3649" s="5"/>
      <c r="N3649" s="6"/>
      <c r="O3649" s="7"/>
      <c r="P3649" s="5"/>
      <c r="Q3649" s="5"/>
      <c r="R3649" s="5"/>
      <c r="S3649" s="5"/>
      <c r="T3649" s="5"/>
      <c r="U3649" s="5"/>
      <c r="V3649" s="5"/>
      <c r="W3649" s="5"/>
      <c r="X3649" s="5"/>
      <c r="Z3649" s="5"/>
      <c r="AA3649" s="5"/>
      <c r="AB3649" s="5"/>
      <c r="AD3649" s="9"/>
    </row>
    <row r="3650" spans="1:30" ht="12.5">
      <c r="A3650" s="4"/>
      <c r="B3650" s="5"/>
      <c r="C3650" s="5"/>
      <c r="D3650" s="5"/>
      <c r="F3650" s="5"/>
      <c r="J3650" s="5"/>
      <c r="K3650" s="5"/>
      <c r="L3650" s="5"/>
      <c r="M3650" s="5"/>
      <c r="N3650" s="6"/>
      <c r="O3650" s="7"/>
      <c r="P3650" s="5"/>
      <c r="Q3650" s="5"/>
      <c r="R3650" s="5"/>
      <c r="S3650" s="5"/>
      <c r="T3650" s="5"/>
      <c r="U3650" s="5"/>
      <c r="V3650" s="5"/>
      <c r="W3650" s="5"/>
      <c r="X3650" s="5"/>
      <c r="Z3650" s="5"/>
      <c r="AA3650" s="5"/>
      <c r="AB3650" s="5"/>
      <c r="AD3650" s="9"/>
    </row>
    <row r="3651" spans="1:30" ht="12.5">
      <c r="A3651" s="4"/>
      <c r="B3651" s="5"/>
      <c r="C3651" s="5"/>
      <c r="D3651" s="5"/>
      <c r="F3651" s="5"/>
      <c r="J3651" s="5"/>
      <c r="K3651" s="5"/>
      <c r="L3651" s="5"/>
      <c r="M3651" s="5"/>
      <c r="N3651" s="6"/>
      <c r="O3651" s="7"/>
      <c r="P3651" s="5"/>
      <c r="Q3651" s="5"/>
      <c r="R3651" s="5"/>
      <c r="S3651" s="5"/>
      <c r="T3651" s="5"/>
      <c r="U3651" s="5"/>
      <c r="V3651" s="5"/>
      <c r="W3651" s="5"/>
      <c r="X3651" s="5"/>
      <c r="Z3651" s="5"/>
      <c r="AA3651" s="5"/>
      <c r="AB3651" s="5"/>
      <c r="AD3651" s="9"/>
    </row>
    <row r="3652" spans="1:30" ht="12.5">
      <c r="A3652" s="4"/>
      <c r="B3652" s="5"/>
      <c r="C3652" s="5"/>
      <c r="D3652" s="5"/>
      <c r="F3652" s="5"/>
      <c r="J3652" s="5"/>
      <c r="K3652" s="5"/>
      <c r="L3652" s="5"/>
      <c r="M3652" s="5"/>
      <c r="N3652" s="6"/>
      <c r="O3652" s="7"/>
      <c r="P3652" s="5"/>
      <c r="Q3652" s="5"/>
      <c r="R3652" s="5"/>
      <c r="S3652" s="5"/>
      <c r="T3652" s="5"/>
      <c r="U3652" s="5"/>
      <c r="V3652" s="5"/>
      <c r="W3652" s="5"/>
      <c r="X3652" s="5"/>
      <c r="Z3652" s="5"/>
      <c r="AA3652" s="5"/>
      <c r="AB3652" s="5"/>
      <c r="AD3652" s="9"/>
    </row>
    <row r="3653" spans="1:30" ht="12.5">
      <c r="A3653" s="4"/>
      <c r="B3653" s="5"/>
      <c r="C3653" s="5"/>
      <c r="D3653" s="5"/>
      <c r="F3653" s="5"/>
      <c r="J3653" s="5"/>
      <c r="K3653" s="5"/>
      <c r="L3653" s="5"/>
      <c r="M3653" s="5"/>
      <c r="N3653" s="6"/>
      <c r="O3653" s="7"/>
      <c r="P3653" s="5"/>
      <c r="Q3653" s="5"/>
      <c r="R3653" s="5"/>
      <c r="S3653" s="5"/>
      <c r="T3653" s="5"/>
      <c r="U3653" s="5"/>
      <c r="V3653" s="5"/>
      <c r="W3653" s="5"/>
      <c r="X3653" s="5"/>
      <c r="Z3653" s="5"/>
      <c r="AA3653" s="5"/>
      <c r="AB3653" s="5"/>
      <c r="AD3653" s="9"/>
    </row>
    <row r="3654" spans="1:30" ht="12.5">
      <c r="A3654" s="4"/>
      <c r="B3654" s="5"/>
      <c r="C3654" s="5"/>
      <c r="D3654" s="5"/>
      <c r="F3654" s="5"/>
      <c r="J3654" s="5"/>
      <c r="K3654" s="5"/>
      <c r="L3654" s="5"/>
      <c r="M3654" s="5"/>
      <c r="N3654" s="6"/>
      <c r="O3654" s="7"/>
      <c r="P3654" s="5"/>
      <c r="Q3654" s="5"/>
      <c r="R3654" s="5"/>
      <c r="S3654" s="5"/>
      <c r="T3654" s="5"/>
      <c r="U3654" s="5"/>
      <c r="V3654" s="5"/>
      <c r="W3654" s="5"/>
      <c r="X3654" s="5"/>
      <c r="Z3654" s="5"/>
      <c r="AA3654" s="5"/>
      <c r="AB3654" s="5"/>
      <c r="AD3654" s="9"/>
    </row>
    <row r="3655" spans="1:30" ht="12.5">
      <c r="A3655" s="4"/>
      <c r="B3655" s="5"/>
      <c r="C3655" s="5"/>
      <c r="D3655" s="5"/>
      <c r="F3655" s="5"/>
      <c r="J3655" s="5"/>
      <c r="K3655" s="5"/>
      <c r="L3655" s="5"/>
      <c r="M3655" s="5"/>
      <c r="N3655" s="6"/>
      <c r="O3655" s="7"/>
      <c r="P3655" s="5"/>
      <c r="Q3655" s="5"/>
      <c r="R3655" s="5"/>
      <c r="S3655" s="5"/>
      <c r="T3655" s="5"/>
      <c r="U3655" s="5"/>
      <c r="V3655" s="5"/>
      <c r="W3655" s="5"/>
      <c r="X3655" s="5"/>
      <c r="Z3655" s="5"/>
      <c r="AA3655" s="5"/>
      <c r="AB3655" s="5"/>
      <c r="AD3655" s="9"/>
    </row>
    <row r="3656" spans="1:30" ht="12.5">
      <c r="A3656" s="4"/>
      <c r="B3656" s="5"/>
      <c r="C3656" s="5"/>
      <c r="D3656" s="5"/>
      <c r="F3656" s="5"/>
      <c r="J3656" s="5"/>
      <c r="K3656" s="5"/>
      <c r="L3656" s="5"/>
      <c r="M3656" s="5"/>
      <c r="N3656" s="6"/>
      <c r="O3656" s="7"/>
      <c r="P3656" s="5"/>
      <c r="Q3656" s="5"/>
      <c r="R3656" s="5"/>
      <c r="S3656" s="5"/>
      <c r="T3656" s="5"/>
      <c r="U3656" s="5"/>
      <c r="V3656" s="5"/>
      <c r="W3656" s="5"/>
      <c r="X3656" s="5"/>
      <c r="Z3656" s="5"/>
      <c r="AA3656" s="5"/>
      <c r="AB3656" s="5"/>
      <c r="AD3656" s="9"/>
    </row>
    <row r="3657" spans="1:30" ht="12.5">
      <c r="A3657" s="4"/>
      <c r="B3657" s="5"/>
      <c r="C3657" s="5"/>
      <c r="D3657" s="5"/>
      <c r="F3657" s="5"/>
      <c r="J3657" s="5"/>
      <c r="K3657" s="5"/>
      <c r="L3657" s="5"/>
      <c r="M3657" s="5"/>
      <c r="N3657" s="6"/>
      <c r="O3657" s="7"/>
      <c r="P3657" s="5"/>
      <c r="Q3657" s="5"/>
      <c r="R3657" s="5"/>
      <c r="S3657" s="5"/>
      <c r="T3657" s="5"/>
      <c r="U3657" s="5"/>
      <c r="V3657" s="5"/>
      <c r="W3657" s="5"/>
      <c r="X3657" s="5"/>
      <c r="Z3657" s="5"/>
      <c r="AA3657" s="5"/>
      <c r="AB3657" s="5"/>
      <c r="AD3657" s="9"/>
    </row>
    <row r="3658" spans="1:30" ht="12.5">
      <c r="A3658" s="4"/>
      <c r="B3658" s="5"/>
      <c r="C3658" s="5"/>
      <c r="D3658" s="5"/>
      <c r="F3658" s="5"/>
      <c r="J3658" s="5"/>
      <c r="K3658" s="5"/>
      <c r="L3658" s="5"/>
      <c r="M3658" s="5"/>
      <c r="N3658" s="6"/>
      <c r="O3658" s="7"/>
      <c r="P3658" s="5"/>
      <c r="Q3658" s="5"/>
      <c r="R3658" s="5"/>
      <c r="S3658" s="5"/>
      <c r="T3658" s="5"/>
      <c r="U3658" s="5"/>
      <c r="V3658" s="5"/>
      <c r="W3658" s="5"/>
      <c r="X3658" s="5"/>
      <c r="Z3658" s="5"/>
      <c r="AA3658" s="5"/>
      <c r="AB3658" s="5"/>
      <c r="AD3658" s="9"/>
    </row>
    <row r="3659" spans="1:30" ht="12.5">
      <c r="A3659" s="4"/>
      <c r="B3659" s="5"/>
      <c r="C3659" s="5"/>
      <c r="D3659" s="5"/>
      <c r="F3659" s="5"/>
      <c r="J3659" s="5"/>
      <c r="K3659" s="5"/>
      <c r="L3659" s="5"/>
      <c r="M3659" s="5"/>
      <c r="N3659" s="6"/>
      <c r="O3659" s="7"/>
      <c r="P3659" s="5"/>
      <c r="Q3659" s="5"/>
      <c r="R3659" s="5"/>
      <c r="S3659" s="5"/>
      <c r="T3659" s="5"/>
      <c r="U3659" s="5"/>
      <c r="V3659" s="5"/>
      <c r="W3659" s="5"/>
      <c r="X3659" s="5"/>
      <c r="Z3659" s="5"/>
      <c r="AA3659" s="5"/>
      <c r="AB3659" s="5"/>
      <c r="AD3659" s="9"/>
    </row>
    <row r="3660" spans="1:30" ht="12.5">
      <c r="A3660" s="4"/>
      <c r="B3660" s="5"/>
      <c r="C3660" s="5"/>
      <c r="D3660" s="5"/>
      <c r="F3660" s="5"/>
      <c r="J3660" s="5"/>
      <c r="K3660" s="5"/>
      <c r="L3660" s="5"/>
      <c r="M3660" s="5"/>
      <c r="N3660" s="6"/>
      <c r="O3660" s="7"/>
      <c r="P3660" s="5"/>
      <c r="Q3660" s="5"/>
      <c r="R3660" s="5"/>
      <c r="S3660" s="5"/>
      <c r="T3660" s="5"/>
      <c r="U3660" s="5"/>
      <c r="V3660" s="5"/>
      <c r="W3660" s="5"/>
      <c r="X3660" s="5"/>
      <c r="Z3660" s="5"/>
      <c r="AA3660" s="5"/>
      <c r="AB3660" s="5"/>
      <c r="AD3660" s="9"/>
    </row>
    <row r="3661" spans="1:30" ht="12.5">
      <c r="A3661" s="4"/>
      <c r="B3661" s="5"/>
      <c r="C3661" s="5"/>
      <c r="D3661" s="5"/>
      <c r="F3661" s="5"/>
      <c r="J3661" s="5"/>
      <c r="K3661" s="5"/>
      <c r="L3661" s="5"/>
      <c r="M3661" s="5"/>
      <c r="N3661" s="6"/>
      <c r="O3661" s="7"/>
      <c r="P3661" s="5"/>
      <c r="Q3661" s="5"/>
      <c r="R3661" s="5"/>
      <c r="S3661" s="5"/>
      <c r="T3661" s="5"/>
      <c r="U3661" s="5"/>
      <c r="V3661" s="5"/>
      <c r="W3661" s="5"/>
      <c r="X3661" s="5"/>
      <c r="Z3661" s="5"/>
      <c r="AA3661" s="5"/>
      <c r="AB3661" s="5"/>
      <c r="AD3661" s="9"/>
    </row>
    <row r="3662" spans="1:30" ht="12.5">
      <c r="A3662" s="4"/>
      <c r="B3662" s="5"/>
      <c r="C3662" s="5"/>
      <c r="D3662" s="5"/>
      <c r="F3662" s="5"/>
      <c r="J3662" s="5"/>
      <c r="K3662" s="5"/>
      <c r="L3662" s="5"/>
      <c r="M3662" s="5"/>
      <c r="N3662" s="6"/>
      <c r="O3662" s="7"/>
      <c r="P3662" s="5"/>
      <c r="Q3662" s="5"/>
      <c r="R3662" s="5"/>
      <c r="S3662" s="5"/>
      <c r="T3662" s="5"/>
      <c r="U3662" s="5"/>
      <c r="V3662" s="5"/>
      <c r="W3662" s="5"/>
      <c r="X3662" s="5"/>
      <c r="Z3662" s="5"/>
      <c r="AA3662" s="5"/>
      <c r="AB3662" s="5"/>
      <c r="AD3662" s="9"/>
    </row>
    <row r="3663" spans="1:30" ht="12.5">
      <c r="A3663" s="4"/>
      <c r="B3663" s="5"/>
      <c r="C3663" s="5"/>
      <c r="D3663" s="5"/>
      <c r="F3663" s="5"/>
      <c r="J3663" s="5"/>
      <c r="K3663" s="5"/>
      <c r="L3663" s="5"/>
      <c r="M3663" s="5"/>
      <c r="N3663" s="6"/>
      <c r="O3663" s="7"/>
      <c r="P3663" s="5"/>
      <c r="Q3663" s="5"/>
      <c r="R3663" s="5"/>
      <c r="S3663" s="5"/>
      <c r="T3663" s="5"/>
      <c r="U3663" s="5"/>
      <c r="V3663" s="5"/>
      <c r="W3663" s="5"/>
      <c r="X3663" s="5"/>
      <c r="Z3663" s="5"/>
      <c r="AA3663" s="5"/>
      <c r="AB3663" s="5"/>
      <c r="AD3663" s="9"/>
    </row>
    <row r="3664" spans="1:30" ht="12.5">
      <c r="A3664" s="4"/>
      <c r="B3664" s="5"/>
      <c r="C3664" s="5"/>
      <c r="D3664" s="5"/>
      <c r="F3664" s="5"/>
      <c r="J3664" s="5"/>
      <c r="K3664" s="5"/>
      <c r="L3664" s="5"/>
      <c r="M3664" s="5"/>
      <c r="N3664" s="6"/>
      <c r="O3664" s="7"/>
      <c r="P3664" s="5"/>
      <c r="Q3664" s="5"/>
      <c r="R3664" s="5"/>
      <c r="S3664" s="5"/>
      <c r="T3664" s="5"/>
      <c r="U3664" s="5"/>
      <c r="V3664" s="5"/>
      <c r="W3664" s="5"/>
      <c r="X3664" s="5"/>
      <c r="Z3664" s="5"/>
      <c r="AA3664" s="5"/>
      <c r="AB3664" s="5"/>
      <c r="AD3664" s="9"/>
    </row>
    <row r="3665" spans="1:30" ht="12.5">
      <c r="A3665" s="4"/>
      <c r="B3665" s="5"/>
      <c r="C3665" s="5"/>
      <c r="D3665" s="5"/>
      <c r="F3665" s="5"/>
      <c r="J3665" s="5"/>
      <c r="K3665" s="5"/>
      <c r="L3665" s="5"/>
      <c r="M3665" s="5"/>
      <c r="N3665" s="6"/>
      <c r="O3665" s="7"/>
      <c r="P3665" s="5"/>
      <c r="Q3665" s="5"/>
      <c r="R3665" s="5"/>
      <c r="S3665" s="5"/>
      <c r="T3665" s="5"/>
      <c r="U3665" s="5"/>
      <c r="V3665" s="5"/>
      <c r="W3665" s="5"/>
      <c r="X3665" s="5"/>
      <c r="Z3665" s="5"/>
      <c r="AA3665" s="5"/>
      <c r="AB3665" s="5"/>
      <c r="AD3665" s="9"/>
    </row>
    <row r="3666" spans="1:30" ht="12.5">
      <c r="A3666" s="4"/>
      <c r="B3666" s="5"/>
      <c r="C3666" s="5"/>
      <c r="D3666" s="5"/>
      <c r="F3666" s="5"/>
      <c r="J3666" s="5"/>
      <c r="K3666" s="5"/>
      <c r="L3666" s="5"/>
      <c r="M3666" s="5"/>
      <c r="N3666" s="6"/>
      <c r="O3666" s="7"/>
      <c r="P3666" s="5"/>
      <c r="Q3666" s="5"/>
      <c r="R3666" s="5"/>
      <c r="S3666" s="5"/>
      <c r="T3666" s="5"/>
      <c r="U3666" s="5"/>
      <c r="V3666" s="5"/>
      <c r="W3666" s="5"/>
      <c r="X3666" s="5"/>
      <c r="Z3666" s="5"/>
      <c r="AA3666" s="5"/>
      <c r="AB3666" s="5"/>
      <c r="AD3666" s="9"/>
    </row>
    <row r="3667" spans="1:30" ht="12.5">
      <c r="A3667" s="4"/>
      <c r="B3667" s="5"/>
      <c r="C3667" s="5"/>
      <c r="D3667" s="5"/>
      <c r="F3667" s="5"/>
      <c r="J3667" s="5"/>
      <c r="K3667" s="5"/>
      <c r="L3667" s="5"/>
      <c r="M3667" s="5"/>
      <c r="N3667" s="6"/>
      <c r="O3667" s="7"/>
      <c r="P3667" s="5"/>
      <c r="Q3667" s="5"/>
      <c r="R3667" s="5"/>
      <c r="S3667" s="5"/>
      <c r="T3667" s="5"/>
      <c r="U3667" s="5"/>
      <c r="V3667" s="5"/>
      <c r="W3667" s="5"/>
      <c r="X3667" s="5"/>
      <c r="Z3667" s="5"/>
      <c r="AA3667" s="5"/>
      <c r="AB3667" s="5"/>
      <c r="AD3667" s="9"/>
    </row>
    <row r="3668" spans="1:30" ht="12.5">
      <c r="A3668" s="4"/>
      <c r="B3668" s="5"/>
      <c r="C3668" s="5"/>
      <c r="D3668" s="5"/>
      <c r="F3668" s="5"/>
      <c r="J3668" s="5"/>
      <c r="K3668" s="5"/>
      <c r="L3668" s="5"/>
      <c r="M3668" s="5"/>
      <c r="N3668" s="6"/>
      <c r="O3668" s="7"/>
      <c r="P3668" s="5"/>
      <c r="Q3668" s="5"/>
      <c r="R3668" s="5"/>
      <c r="S3668" s="5"/>
      <c r="T3668" s="5"/>
      <c r="U3668" s="5"/>
      <c r="V3668" s="5"/>
      <c r="W3668" s="5"/>
      <c r="X3668" s="5"/>
      <c r="Z3668" s="5"/>
      <c r="AA3668" s="5"/>
      <c r="AB3668" s="5"/>
      <c r="AD3668" s="9"/>
    </row>
    <row r="3669" spans="1:30" ht="12.5">
      <c r="A3669" s="4"/>
      <c r="B3669" s="5"/>
      <c r="C3669" s="5"/>
      <c r="D3669" s="5"/>
      <c r="F3669" s="5"/>
      <c r="J3669" s="5"/>
      <c r="K3669" s="5"/>
      <c r="L3669" s="5"/>
      <c r="M3669" s="5"/>
      <c r="N3669" s="6"/>
      <c r="O3669" s="7"/>
      <c r="P3669" s="5"/>
      <c r="Q3669" s="5"/>
      <c r="R3669" s="5"/>
      <c r="S3669" s="5"/>
      <c r="T3669" s="5"/>
      <c r="U3669" s="5"/>
      <c r="V3669" s="5"/>
      <c r="W3669" s="5"/>
      <c r="X3669" s="5"/>
      <c r="Z3669" s="5"/>
      <c r="AA3669" s="5"/>
      <c r="AB3669" s="5"/>
      <c r="AD3669" s="9"/>
    </row>
    <row r="3670" spans="1:30" ht="12.5">
      <c r="A3670" s="4"/>
      <c r="B3670" s="5"/>
      <c r="C3670" s="5"/>
      <c r="D3670" s="5"/>
      <c r="F3670" s="5"/>
      <c r="J3670" s="5"/>
      <c r="K3670" s="5"/>
      <c r="L3670" s="5"/>
      <c r="M3670" s="5"/>
      <c r="N3670" s="6"/>
      <c r="O3670" s="7"/>
      <c r="P3670" s="5"/>
      <c r="Q3670" s="5"/>
      <c r="R3670" s="5"/>
      <c r="S3670" s="5"/>
      <c r="T3670" s="5"/>
      <c r="U3670" s="5"/>
      <c r="V3670" s="5"/>
      <c r="W3670" s="5"/>
      <c r="X3670" s="5"/>
      <c r="Z3670" s="5"/>
      <c r="AA3670" s="5"/>
      <c r="AB3670" s="5"/>
      <c r="AD3670" s="9"/>
    </row>
    <row r="3671" spans="1:30" ht="12.5">
      <c r="A3671" s="4"/>
      <c r="B3671" s="5"/>
      <c r="C3671" s="5"/>
      <c r="D3671" s="5"/>
      <c r="F3671" s="5"/>
      <c r="J3671" s="5"/>
      <c r="K3671" s="5"/>
      <c r="L3671" s="5"/>
      <c r="M3671" s="5"/>
      <c r="N3671" s="6"/>
      <c r="O3671" s="7"/>
      <c r="P3671" s="5"/>
      <c r="Q3671" s="5"/>
      <c r="R3671" s="5"/>
      <c r="S3671" s="5"/>
      <c r="T3671" s="5"/>
      <c r="U3671" s="5"/>
      <c r="V3671" s="5"/>
      <c r="W3671" s="5"/>
      <c r="X3671" s="5"/>
      <c r="Z3671" s="5"/>
      <c r="AA3671" s="5"/>
      <c r="AB3671" s="5"/>
      <c r="AD3671" s="9"/>
    </row>
    <row r="3672" spans="1:30" ht="12.5">
      <c r="A3672" s="4"/>
      <c r="B3672" s="5"/>
      <c r="C3672" s="5"/>
      <c r="D3672" s="5"/>
      <c r="F3672" s="5"/>
      <c r="J3672" s="5"/>
      <c r="K3672" s="5"/>
      <c r="L3672" s="5"/>
      <c r="M3672" s="5"/>
      <c r="N3672" s="6"/>
      <c r="O3672" s="7"/>
      <c r="P3672" s="5"/>
      <c r="Q3672" s="5"/>
      <c r="R3672" s="5"/>
      <c r="S3672" s="5"/>
      <c r="T3672" s="5"/>
      <c r="U3672" s="5"/>
      <c r="V3672" s="5"/>
      <c r="W3672" s="5"/>
      <c r="X3672" s="5"/>
      <c r="Z3672" s="5"/>
      <c r="AA3672" s="5"/>
      <c r="AB3672" s="5"/>
      <c r="AD3672" s="9"/>
    </row>
    <row r="3673" spans="1:30" ht="12.5">
      <c r="A3673" s="4"/>
      <c r="B3673" s="5"/>
      <c r="C3673" s="5"/>
      <c r="D3673" s="5"/>
      <c r="F3673" s="5"/>
      <c r="J3673" s="5"/>
      <c r="K3673" s="5"/>
      <c r="L3673" s="5"/>
      <c r="M3673" s="5"/>
      <c r="N3673" s="6"/>
      <c r="O3673" s="7"/>
      <c r="P3673" s="5"/>
      <c r="Q3673" s="5"/>
      <c r="R3673" s="5"/>
      <c r="S3673" s="5"/>
      <c r="T3673" s="5"/>
      <c r="U3673" s="5"/>
      <c r="V3673" s="5"/>
      <c r="W3673" s="5"/>
      <c r="X3673" s="5"/>
      <c r="Z3673" s="5"/>
      <c r="AA3673" s="5"/>
      <c r="AB3673" s="5"/>
      <c r="AD3673" s="9"/>
    </row>
    <row r="3674" spans="1:30" ht="12.5">
      <c r="A3674" s="4"/>
      <c r="B3674" s="5"/>
      <c r="C3674" s="5"/>
      <c r="D3674" s="5"/>
      <c r="F3674" s="5"/>
      <c r="J3674" s="5"/>
      <c r="K3674" s="5"/>
      <c r="L3674" s="5"/>
      <c r="M3674" s="5"/>
      <c r="N3674" s="6"/>
      <c r="O3674" s="7"/>
      <c r="P3674" s="5"/>
      <c r="Q3674" s="5"/>
      <c r="R3674" s="5"/>
      <c r="S3674" s="5"/>
      <c r="T3674" s="5"/>
      <c r="U3674" s="5"/>
      <c r="V3674" s="5"/>
      <c r="W3674" s="5"/>
      <c r="X3674" s="5"/>
      <c r="Z3674" s="5"/>
      <c r="AA3674" s="5"/>
      <c r="AB3674" s="5"/>
      <c r="AD3674" s="9"/>
    </row>
    <row r="3675" spans="1:30" ht="12.5">
      <c r="A3675" s="4"/>
      <c r="B3675" s="5"/>
      <c r="C3675" s="5"/>
      <c r="D3675" s="5"/>
      <c r="F3675" s="5"/>
      <c r="J3675" s="5"/>
      <c r="K3675" s="5"/>
      <c r="L3675" s="5"/>
      <c r="M3675" s="5"/>
      <c r="N3675" s="6"/>
      <c r="O3675" s="7"/>
      <c r="P3675" s="5"/>
      <c r="Q3675" s="5"/>
      <c r="R3675" s="5"/>
      <c r="S3675" s="5"/>
      <c r="T3675" s="5"/>
      <c r="U3675" s="5"/>
      <c r="V3675" s="5"/>
      <c r="W3675" s="5"/>
      <c r="X3675" s="5"/>
      <c r="Z3675" s="5"/>
      <c r="AA3675" s="5"/>
      <c r="AB3675" s="5"/>
      <c r="AD3675" s="9"/>
    </row>
    <row r="3676" spans="1:30" ht="12.5">
      <c r="A3676" s="4"/>
      <c r="B3676" s="5"/>
      <c r="C3676" s="5"/>
      <c r="D3676" s="5"/>
      <c r="F3676" s="5"/>
      <c r="J3676" s="5"/>
      <c r="K3676" s="5"/>
      <c r="L3676" s="5"/>
      <c r="M3676" s="5"/>
      <c r="N3676" s="6"/>
      <c r="O3676" s="7"/>
      <c r="P3676" s="5"/>
      <c r="Q3676" s="5"/>
      <c r="R3676" s="5"/>
      <c r="S3676" s="5"/>
      <c r="T3676" s="5"/>
      <c r="U3676" s="5"/>
      <c r="V3676" s="5"/>
      <c r="W3676" s="5"/>
      <c r="X3676" s="5"/>
      <c r="Z3676" s="5"/>
      <c r="AA3676" s="5"/>
      <c r="AB3676" s="5"/>
      <c r="AD3676" s="9"/>
    </row>
    <row r="3677" spans="1:30" ht="12.5">
      <c r="A3677" s="4"/>
      <c r="B3677" s="5"/>
      <c r="C3677" s="5"/>
      <c r="D3677" s="5"/>
      <c r="F3677" s="5"/>
      <c r="J3677" s="5"/>
      <c r="K3677" s="5"/>
      <c r="L3677" s="5"/>
      <c r="M3677" s="5"/>
      <c r="N3677" s="6"/>
      <c r="O3677" s="7"/>
      <c r="P3677" s="5"/>
      <c r="Q3677" s="5"/>
      <c r="R3677" s="5"/>
      <c r="S3677" s="5"/>
      <c r="T3677" s="5"/>
      <c r="U3677" s="5"/>
      <c r="V3677" s="5"/>
      <c r="W3677" s="5"/>
      <c r="X3677" s="5"/>
      <c r="Z3677" s="5"/>
      <c r="AA3677" s="5"/>
      <c r="AB3677" s="5"/>
      <c r="AD3677" s="9"/>
    </row>
    <row r="3678" spans="1:30" ht="12.5">
      <c r="A3678" s="4"/>
      <c r="B3678" s="5"/>
      <c r="C3678" s="5"/>
      <c r="D3678" s="5"/>
      <c r="F3678" s="5"/>
      <c r="J3678" s="5"/>
      <c r="K3678" s="5"/>
      <c r="L3678" s="5"/>
      <c r="M3678" s="5"/>
      <c r="N3678" s="6"/>
      <c r="O3678" s="7"/>
      <c r="P3678" s="5"/>
      <c r="Q3678" s="5"/>
      <c r="R3678" s="5"/>
      <c r="S3678" s="5"/>
      <c r="T3678" s="5"/>
      <c r="U3678" s="5"/>
      <c r="V3678" s="5"/>
      <c r="W3678" s="5"/>
      <c r="X3678" s="5"/>
      <c r="Z3678" s="5"/>
      <c r="AA3678" s="5"/>
      <c r="AB3678" s="5"/>
      <c r="AD3678" s="9"/>
    </row>
    <row r="3679" spans="1:30" ht="12.5">
      <c r="A3679" s="4"/>
      <c r="B3679" s="5"/>
      <c r="C3679" s="5"/>
      <c r="D3679" s="5"/>
      <c r="F3679" s="5"/>
      <c r="J3679" s="5"/>
      <c r="K3679" s="5"/>
      <c r="L3679" s="5"/>
      <c r="M3679" s="5"/>
      <c r="N3679" s="6"/>
      <c r="O3679" s="7"/>
      <c r="P3679" s="5"/>
      <c r="Q3679" s="5"/>
      <c r="R3679" s="5"/>
      <c r="S3679" s="5"/>
      <c r="T3679" s="5"/>
      <c r="U3679" s="5"/>
      <c r="V3679" s="5"/>
      <c r="W3679" s="5"/>
      <c r="X3679" s="5"/>
      <c r="Z3679" s="5"/>
      <c r="AA3679" s="5"/>
      <c r="AB3679" s="5"/>
      <c r="AD3679" s="9"/>
    </row>
    <row r="3680" spans="1:30" ht="12.5">
      <c r="A3680" s="4"/>
      <c r="B3680" s="5"/>
      <c r="C3680" s="5"/>
      <c r="D3680" s="5"/>
      <c r="F3680" s="5"/>
      <c r="J3680" s="5"/>
      <c r="K3680" s="5"/>
      <c r="L3680" s="5"/>
      <c r="M3680" s="5"/>
      <c r="N3680" s="6"/>
      <c r="O3680" s="7"/>
      <c r="P3680" s="5"/>
      <c r="Q3680" s="5"/>
      <c r="R3680" s="5"/>
      <c r="S3680" s="5"/>
      <c r="T3680" s="5"/>
      <c r="U3680" s="5"/>
      <c r="V3680" s="5"/>
      <c r="W3680" s="5"/>
      <c r="X3680" s="5"/>
      <c r="Z3680" s="5"/>
      <c r="AA3680" s="5"/>
      <c r="AB3680" s="5"/>
      <c r="AD3680" s="9"/>
    </row>
    <row r="3681" spans="1:30" ht="12.5">
      <c r="A3681" s="4"/>
      <c r="B3681" s="5"/>
      <c r="C3681" s="5"/>
      <c r="D3681" s="5"/>
      <c r="F3681" s="5"/>
      <c r="J3681" s="5"/>
      <c r="K3681" s="5"/>
      <c r="L3681" s="5"/>
      <c r="M3681" s="5"/>
      <c r="N3681" s="6"/>
      <c r="O3681" s="7"/>
      <c r="P3681" s="5"/>
      <c r="Q3681" s="5"/>
      <c r="R3681" s="5"/>
      <c r="S3681" s="5"/>
      <c r="T3681" s="5"/>
      <c r="U3681" s="5"/>
      <c r="V3681" s="5"/>
      <c r="W3681" s="5"/>
      <c r="X3681" s="5"/>
      <c r="Z3681" s="5"/>
      <c r="AA3681" s="5"/>
      <c r="AB3681" s="5"/>
      <c r="AD3681" s="9"/>
    </row>
    <row r="3682" spans="1:30" ht="12.5">
      <c r="A3682" s="4"/>
      <c r="B3682" s="5"/>
      <c r="C3682" s="5"/>
      <c r="D3682" s="5"/>
      <c r="F3682" s="5"/>
      <c r="J3682" s="5"/>
      <c r="K3682" s="5"/>
      <c r="L3682" s="5"/>
      <c r="M3682" s="5"/>
      <c r="N3682" s="6"/>
      <c r="O3682" s="7"/>
      <c r="P3682" s="5"/>
      <c r="Q3682" s="5"/>
      <c r="R3682" s="5"/>
      <c r="S3682" s="5"/>
      <c r="T3682" s="5"/>
      <c r="U3682" s="5"/>
      <c r="V3682" s="5"/>
      <c r="W3682" s="5"/>
      <c r="X3682" s="5"/>
      <c r="Z3682" s="5"/>
      <c r="AA3682" s="5"/>
      <c r="AB3682" s="5"/>
      <c r="AD3682" s="9"/>
    </row>
    <row r="3683" spans="1:30" ht="12.5">
      <c r="A3683" s="4"/>
      <c r="B3683" s="5"/>
      <c r="C3683" s="5"/>
      <c r="D3683" s="5"/>
      <c r="F3683" s="5"/>
      <c r="J3683" s="5"/>
      <c r="K3683" s="5"/>
      <c r="L3683" s="5"/>
      <c r="M3683" s="5"/>
      <c r="N3683" s="6"/>
      <c r="O3683" s="7"/>
      <c r="P3683" s="5"/>
      <c r="Q3683" s="5"/>
      <c r="R3683" s="5"/>
      <c r="S3683" s="5"/>
      <c r="T3683" s="5"/>
      <c r="U3683" s="5"/>
      <c r="V3683" s="5"/>
      <c r="W3683" s="5"/>
      <c r="X3683" s="5"/>
      <c r="Z3683" s="5"/>
      <c r="AA3683" s="5"/>
      <c r="AB3683" s="5"/>
      <c r="AD3683" s="9"/>
    </row>
    <row r="3684" spans="1:30" ht="12.5">
      <c r="A3684" s="4"/>
      <c r="B3684" s="5"/>
      <c r="C3684" s="5"/>
      <c r="D3684" s="5"/>
      <c r="F3684" s="5"/>
      <c r="J3684" s="5"/>
      <c r="K3684" s="5"/>
      <c r="L3684" s="5"/>
      <c r="M3684" s="5"/>
      <c r="N3684" s="6"/>
      <c r="O3684" s="7"/>
      <c r="P3684" s="5"/>
      <c r="Q3684" s="5"/>
      <c r="R3684" s="5"/>
      <c r="S3684" s="5"/>
      <c r="T3684" s="5"/>
      <c r="U3684" s="5"/>
      <c r="V3684" s="5"/>
      <c r="W3684" s="5"/>
      <c r="X3684" s="5"/>
      <c r="Z3684" s="5"/>
      <c r="AA3684" s="5"/>
      <c r="AB3684" s="5"/>
      <c r="AD3684" s="9"/>
    </row>
    <row r="3685" spans="1:30" ht="12.5">
      <c r="A3685" s="4"/>
      <c r="B3685" s="5"/>
      <c r="C3685" s="5"/>
      <c r="D3685" s="5"/>
      <c r="F3685" s="5"/>
      <c r="J3685" s="5"/>
      <c r="K3685" s="5"/>
      <c r="L3685" s="5"/>
      <c r="M3685" s="5"/>
      <c r="N3685" s="6"/>
      <c r="O3685" s="7"/>
      <c r="P3685" s="5"/>
      <c r="Q3685" s="5"/>
      <c r="R3685" s="5"/>
      <c r="S3685" s="5"/>
      <c r="T3685" s="5"/>
      <c r="U3685" s="5"/>
      <c r="V3685" s="5"/>
      <c r="W3685" s="5"/>
      <c r="X3685" s="5"/>
      <c r="Z3685" s="5"/>
      <c r="AA3685" s="5"/>
      <c r="AB3685" s="5"/>
      <c r="AD3685" s="9"/>
    </row>
    <row r="3686" spans="1:30" ht="12.5">
      <c r="A3686" s="4"/>
      <c r="B3686" s="5"/>
      <c r="C3686" s="5"/>
      <c r="D3686" s="5"/>
      <c r="F3686" s="5"/>
      <c r="J3686" s="5"/>
      <c r="K3686" s="5"/>
      <c r="L3686" s="5"/>
      <c r="M3686" s="5"/>
      <c r="N3686" s="6"/>
      <c r="O3686" s="7"/>
      <c r="P3686" s="5"/>
      <c r="Q3686" s="5"/>
      <c r="R3686" s="5"/>
      <c r="S3686" s="5"/>
      <c r="T3686" s="5"/>
      <c r="U3686" s="5"/>
      <c r="V3686" s="5"/>
      <c r="W3686" s="5"/>
      <c r="X3686" s="5"/>
      <c r="Z3686" s="5"/>
      <c r="AA3686" s="5"/>
      <c r="AB3686" s="5"/>
      <c r="AD3686" s="9"/>
    </row>
    <row r="3687" spans="1:30" ht="12.5">
      <c r="A3687" s="4"/>
      <c r="B3687" s="5"/>
      <c r="C3687" s="5"/>
      <c r="D3687" s="5"/>
      <c r="F3687" s="5"/>
      <c r="J3687" s="5"/>
      <c r="K3687" s="5"/>
      <c r="L3687" s="5"/>
      <c r="M3687" s="5"/>
      <c r="N3687" s="6"/>
      <c r="O3687" s="7"/>
      <c r="P3687" s="5"/>
      <c r="Q3687" s="5"/>
      <c r="R3687" s="5"/>
      <c r="S3687" s="5"/>
      <c r="T3687" s="5"/>
      <c r="U3687" s="5"/>
      <c r="V3687" s="5"/>
      <c r="W3687" s="5"/>
      <c r="X3687" s="5"/>
      <c r="Z3687" s="5"/>
      <c r="AA3687" s="5"/>
      <c r="AB3687" s="5"/>
      <c r="AD3687" s="9"/>
    </row>
    <row r="3688" spans="1:30" ht="12.5">
      <c r="A3688" s="4"/>
      <c r="B3688" s="5"/>
      <c r="C3688" s="5"/>
      <c r="D3688" s="5"/>
      <c r="F3688" s="5"/>
      <c r="J3688" s="5"/>
      <c r="K3688" s="5"/>
      <c r="L3688" s="5"/>
      <c r="M3688" s="5"/>
      <c r="N3688" s="6"/>
      <c r="O3688" s="7"/>
      <c r="P3688" s="5"/>
      <c r="Q3688" s="5"/>
      <c r="R3688" s="5"/>
      <c r="S3688" s="5"/>
      <c r="T3688" s="5"/>
      <c r="U3688" s="5"/>
      <c r="V3688" s="5"/>
      <c r="W3688" s="5"/>
      <c r="X3688" s="5"/>
      <c r="Z3688" s="5"/>
      <c r="AA3688" s="5"/>
      <c r="AB3688" s="5"/>
      <c r="AD3688" s="9"/>
    </row>
    <row r="3689" spans="1:30" ht="12.5">
      <c r="A3689" s="4"/>
      <c r="B3689" s="5"/>
      <c r="C3689" s="5"/>
      <c r="D3689" s="5"/>
      <c r="F3689" s="5"/>
      <c r="J3689" s="5"/>
      <c r="K3689" s="5"/>
      <c r="L3689" s="5"/>
      <c r="M3689" s="5"/>
      <c r="N3689" s="6"/>
      <c r="O3689" s="7"/>
      <c r="P3689" s="5"/>
      <c r="Q3689" s="5"/>
      <c r="R3689" s="5"/>
      <c r="S3689" s="5"/>
      <c r="T3689" s="5"/>
      <c r="U3689" s="5"/>
      <c r="V3689" s="5"/>
      <c r="W3689" s="5"/>
      <c r="X3689" s="5"/>
      <c r="Z3689" s="5"/>
      <c r="AA3689" s="5"/>
      <c r="AB3689" s="5"/>
      <c r="AD3689" s="9"/>
    </row>
    <row r="3690" spans="1:30" ht="12.5">
      <c r="A3690" s="4"/>
      <c r="B3690" s="5"/>
      <c r="C3690" s="5"/>
      <c r="D3690" s="5"/>
      <c r="F3690" s="5"/>
      <c r="J3690" s="5"/>
      <c r="K3690" s="5"/>
      <c r="L3690" s="5"/>
      <c r="M3690" s="5"/>
      <c r="N3690" s="6"/>
      <c r="O3690" s="7"/>
      <c r="P3690" s="5"/>
      <c r="Q3690" s="5"/>
      <c r="R3690" s="5"/>
      <c r="S3690" s="5"/>
      <c r="T3690" s="5"/>
      <c r="U3690" s="5"/>
      <c r="V3690" s="5"/>
      <c r="W3690" s="5"/>
      <c r="X3690" s="5"/>
      <c r="Z3690" s="5"/>
      <c r="AA3690" s="5"/>
      <c r="AB3690" s="5"/>
      <c r="AD3690" s="9"/>
    </row>
    <row r="3691" spans="1:30" ht="12.5">
      <c r="A3691" s="4"/>
      <c r="B3691" s="5"/>
      <c r="C3691" s="5"/>
      <c r="D3691" s="5"/>
      <c r="F3691" s="5"/>
      <c r="J3691" s="5"/>
      <c r="K3691" s="5"/>
      <c r="L3691" s="5"/>
      <c r="M3691" s="5"/>
      <c r="N3691" s="6"/>
      <c r="O3691" s="7"/>
      <c r="P3691" s="5"/>
      <c r="Q3691" s="5"/>
      <c r="R3691" s="5"/>
      <c r="S3691" s="5"/>
      <c r="T3691" s="5"/>
      <c r="U3691" s="5"/>
      <c r="V3691" s="5"/>
      <c r="W3691" s="5"/>
      <c r="X3691" s="5"/>
      <c r="Z3691" s="5"/>
      <c r="AA3691" s="5"/>
      <c r="AB3691" s="5"/>
      <c r="AD3691" s="9"/>
    </row>
    <row r="3692" spans="1:30" ht="12.5">
      <c r="A3692" s="4"/>
      <c r="B3692" s="5"/>
      <c r="C3692" s="5"/>
      <c r="D3692" s="5"/>
      <c r="F3692" s="5"/>
      <c r="J3692" s="5"/>
      <c r="K3692" s="5"/>
      <c r="L3692" s="5"/>
      <c r="M3692" s="5"/>
      <c r="N3692" s="6"/>
      <c r="O3692" s="7"/>
      <c r="P3692" s="5"/>
      <c r="Q3692" s="5"/>
      <c r="R3692" s="5"/>
      <c r="S3692" s="5"/>
      <c r="T3692" s="5"/>
      <c r="U3692" s="5"/>
      <c r="V3692" s="5"/>
      <c r="W3692" s="5"/>
      <c r="X3692" s="5"/>
      <c r="Z3692" s="5"/>
      <c r="AA3692" s="5"/>
      <c r="AB3692" s="5"/>
      <c r="AD3692" s="9"/>
    </row>
    <row r="3693" spans="1:30" ht="12.5">
      <c r="A3693" s="4"/>
      <c r="B3693" s="5"/>
      <c r="C3693" s="5"/>
      <c r="D3693" s="5"/>
      <c r="F3693" s="5"/>
      <c r="J3693" s="5"/>
      <c r="K3693" s="5"/>
      <c r="L3693" s="5"/>
      <c r="M3693" s="5"/>
      <c r="N3693" s="6"/>
      <c r="O3693" s="7"/>
      <c r="P3693" s="5"/>
      <c r="Q3693" s="5"/>
      <c r="R3693" s="5"/>
      <c r="S3693" s="5"/>
      <c r="T3693" s="5"/>
      <c r="U3693" s="5"/>
      <c r="V3693" s="5"/>
      <c r="W3693" s="5"/>
      <c r="X3693" s="5"/>
      <c r="Z3693" s="5"/>
      <c r="AA3693" s="5"/>
      <c r="AB3693" s="5"/>
      <c r="AD3693" s="9"/>
    </row>
    <row r="3694" spans="1:30" ht="12.5">
      <c r="A3694" s="4"/>
      <c r="B3694" s="5"/>
      <c r="C3694" s="5"/>
      <c r="D3694" s="5"/>
      <c r="F3694" s="5"/>
      <c r="J3694" s="5"/>
      <c r="K3694" s="5"/>
      <c r="L3694" s="5"/>
      <c r="M3694" s="5"/>
      <c r="N3694" s="6"/>
      <c r="O3694" s="7"/>
      <c r="P3694" s="5"/>
      <c r="Q3694" s="5"/>
      <c r="R3694" s="5"/>
      <c r="S3694" s="5"/>
      <c r="T3694" s="5"/>
      <c r="U3694" s="5"/>
      <c r="V3694" s="5"/>
      <c r="W3694" s="5"/>
      <c r="X3694" s="5"/>
      <c r="Z3694" s="5"/>
      <c r="AA3694" s="5"/>
      <c r="AB3694" s="5"/>
      <c r="AD3694" s="9"/>
    </row>
    <row r="3695" spans="1:30" ht="12.5">
      <c r="A3695" s="4"/>
      <c r="B3695" s="5"/>
      <c r="C3695" s="5"/>
      <c r="D3695" s="5"/>
      <c r="F3695" s="5"/>
      <c r="J3695" s="5"/>
      <c r="K3695" s="5"/>
      <c r="L3695" s="5"/>
      <c r="M3695" s="5"/>
      <c r="N3695" s="6"/>
      <c r="O3695" s="7"/>
      <c r="P3695" s="5"/>
      <c r="Q3695" s="5"/>
      <c r="R3695" s="5"/>
      <c r="S3695" s="5"/>
      <c r="T3695" s="5"/>
      <c r="U3695" s="5"/>
      <c r="V3695" s="5"/>
      <c r="W3695" s="5"/>
      <c r="X3695" s="5"/>
      <c r="Z3695" s="5"/>
      <c r="AA3695" s="5"/>
      <c r="AB3695" s="5"/>
      <c r="AD3695" s="9"/>
    </row>
    <row r="3696" spans="1:30" ht="12.5">
      <c r="A3696" s="4"/>
      <c r="B3696" s="5"/>
      <c r="C3696" s="5"/>
      <c r="D3696" s="5"/>
      <c r="F3696" s="5"/>
      <c r="J3696" s="5"/>
      <c r="K3696" s="5"/>
      <c r="L3696" s="5"/>
      <c r="M3696" s="5"/>
      <c r="N3696" s="6"/>
      <c r="O3696" s="7"/>
      <c r="P3696" s="5"/>
      <c r="Q3696" s="5"/>
      <c r="R3696" s="5"/>
      <c r="S3696" s="5"/>
      <c r="T3696" s="5"/>
      <c r="U3696" s="5"/>
      <c r="V3696" s="5"/>
      <c r="W3696" s="5"/>
      <c r="X3696" s="5"/>
      <c r="Z3696" s="5"/>
      <c r="AA3696" s="5"/>
      <c r="AB3696" s="5"/>
      <c r="AD3696" s="9"/>
    </row>
    <row r="3697" spans="1:30" ht="12.5">
      <c r="A3697" s="4"/>
      <c r="B3697" s="5"/>
      <c r="C3697" s="5"/>
      <c r="D3697" s="5"/>
      <c r="F3697" s="5"/>
      <c r="J3697" s="5"/>
      <c r="K3697" s="5"/>
      <c r="L3697" s="5"/>
      <c r="M3697" s="5"/>
      <c r="N3697" s="6"/>
      <c r="O3697" s="7"/>
      <c r="P3697" s="5"/>
      <c r="Q3697" s="5"/>
      <c r="R3697" s="5"/>
      <c r="S3697" s="5"/>
      <c r="T3697" s="5"/>
      <c r="U3697" s="5"/>
      <c r="V3697" s="5"/>
      <c r="W3697" s="5"/>
      <c r="X3697" s="5"/>
      <c r="Z3697" s="5"/>
      <c r="AA3697" s="5"/>
      <c r="AB3697" s="5"/>
      <c r="AD3697" s="9"/>
    </row>
    <row r="3698" spans="1:30" ht="12.5">
      <c r="A3698" s="4"/>
      <c r="B3698" s="5"/>
      <c r="C3698" s="5"/>
      <c r="D3698" s="5"/>
      <c r="F3698" s="5"/>
      <c r="J3698" s="5"/>
      <c r="K3698" s="5"/>
      <c r="L3698" s="5"/>
      <c r="M3698" s="5"/>
      <c r="N3698" s="6"/>
      <c r="O3698" s="7"/>
      <c r="P3698" s="5"/>
      <c r="Q3698" s="5"/>
      <c r="R3698" s="5"/>
      <c r="S3698" s="5"/>
      <c r="T3698" s="5"/>
      <c r="U3698" s="5"/>
      <c r="V3698" s="5"/>
      <c r="W3698" s="5"/>
      <c r="X3698" s="5"/>
      <c r="Z3698" s="5"/>
      <c r="AA3698" s="5"/>
      <c r="AB3698" s="5"/>
      <c r="AD3698" s="9"/>
    </row>
    <row r="3699" spans="1:30" ht="12.5">
      <c r="A3699" s="4"/>
      <c r="B3699" s="5"/>
      <c r="C3699" s="5"/>
      <c r="D3699" s="5"/>
      <c r="F3699" s="5"/>
      <c r="J3699" s="5"/>
      <c r="K3699" s="5"/>
      <c r="L3699" s="5"/>
      <c r="M3699" s="5"/>
      <c r="N3699" s="6"/>
      <c r="O3699" s="7"/>
      <c r="P3699" s="5"/>
      <c r="Q3699" s="5"/>
      <c r="R3699" s="5"/>
      <c r="S3699" s="5"/>
      <c r="T3699" s="5"/>
      <c r="U3699" s="5"/>
      <c r="V3699" s="5"/>
      <c r="W3699" s="5"/>
      <c r="X3699" s="5"/>
      <c r="Z3699" s="5"/>
      <c r="AA3699" s="5"/>
      <c r="AB3699" s="5"/>
      <c r="AD3699" s="9"/>
    </row>
    <row r="3700" spans="1:30" ht="12.5">
      <c r="A3700" s="4"/>
      <c r="B3700" s="5"/>
      <c r="C3700" s="5"/>
      <c r="D3700" s="5"/>
      <c r="F3700" s="5"/>
      <c r="J3700" s="5"/>
      <c r="K3700" s="5"/>
      <c r="L3700" s="5"/>
      <c r="M3700" s="5"/>
      <c r="N3700" s="6"/>
      <c r="O3700" s="7"/>
      <c r="P3700" s="5"/>
      <c r="Q3700" s="5"/>
      <c r="R3700" s="5"/>
      <c r="S3700" s="5"/>
      <c r="T3700" s="5"/>
      <c r="U3700" s="5"/>
      <c r="V3700" s="5"/>
      <c r="W3700" s="5"/>
      <c r="X3700" s="5"/>
      <c r="Z3700" s="5"/>
      <c r="AA3700" s="5"/>
      <c r="AB3700" s="5"/>
      <c r="AD3700" s="9"/>
    </row>
    <row r="3701" spans="1:30" ht="12.5">
      <c r="A3701" s="4"/>
      <c r="B3701" s="5"/>
      <c r="C3701" s="5"/>
      <c r="D3701" s="5"/>
      <c r="F3701" s="5"/>
      <c r="J3701" s="5"/>
      <c r="K3701" s="5"/>
      <c r="L3701" s="5"/>
      <c r="M3701" s="5"/>
      <c r="N3701" s="6"/>
      <c r="O3701" s="7"/>
      <c r="P3701" s="5"/>
      <c r="Q3701" s="5"/>
      <c r="R3701" s="5"/>
      <c r="S3701" s="5"/>
      <c r="T3701" s="5"/>
      <c r="U3701" s="5"/>
      <c r="V3701" s="5"/>
      <c r="W3701" s="5"/>
      <c r="X3701" s="5"/>
      <c r="Z3701" s="5"/>
      <c r="AA3701" s="5"/>
      <c r="AB3701" s="5"/>
      <c r="AD3701" s="9"/>
    </row>
    <row r="3702" spans="1:30" ht="12.5">
      <c r="A3702" s="4"/>
      <c r="B3702" s="5"/>
      <c r="C3702" s="5"/>
      <c r="D3702" s="5"/>
      <c r="F3702" s="5"/>
      <c r="J3702" s="5"/>
      <c r="K3702" s="5"/>
      <c r="L3702" s="5"/>
      <c r="M3702" s="5"/>
      <c r="N3702" s="6"/>
      <c r="O3702" s="7"/>
      <c r="P3702" s="5"/>
      <c r="Q3702" s="5"/>
      <c r="R3702" s="5"/>
      <c r="S3702" s="5"/>
      <c r="T3702" s="5"/>
      <c r="U3702" s="5"/>
      <c r="V3702" s="5"/>
      <c r="W3702" s="5"/>
      <c r="X3702" s="5"/>
      <c r="Z3702" s="5"/>
      <c r="AA3702" s="5"/>
      <c r="AB3702" s="5"/>
      <c r="AD3702" s="9"/>
    </row>
    <row r="3703" spans="1:30" ht="12.5">
      <c r="A3703" s="4"/>
      <c r="B3703" s="5"/>
      <c r="C3703" s="5"/>
      <c r="D3703" s="5"/>
      <c r="F3703" s="5"/>
      <c r="J3703" s="5"/>
      <c r="K3703" s="5"/>
      <c r="L3703" s="5"/>
      <c r="M3703" s="5"/>
      <c r="N3703" s="6"/>
      <c r="O3703" s="7"/>
      <c r="P3703" s="5"/>
      <c r="Q3703" s="5"/>
      <c r="R3703" s="5"/>
      <c r="S3703" s="5"/>
      <c r="T3703" s="5"/>
      <c r="U3703" s="5"/>
      <c r="V3703" s="5"/>
      <c r="W3703" s="5"/>
      <c r="X3703" s="5"/>
      <c r="Z3703" s="5"/>
      <c r="AA3703" s="5"/>
      <c r="AB3703" s="5"/>
      <c r="AD3703" s="9"/>
    </row>
    <row r="3704" spans="1:30" ht="12.5">
      <c r="A3704" s="4"/>
      <c r="B3704" s="5"/>
      <c r="C3704" s="5"/>
      <c r="D3704" s="5"/>
      <c r="F3704" s="5"/>
      <c r="J3704" s="5"/>
      <c r="K3704" s="5"/>
      <c r="L3704" s="5"/>
      <c r="M3704" s="5"/>
      <c r="N3704" s="6"/>
      <c r="O3704" s="7"/>
      <c r="P3704" s="5"/>
      <c r="Q3704" s="5"/>
      <c r="R3704" s="5"/>
      <c r="S3704" s="5"/>
      <c r="T3704" s="5"/>
      <c r="U3704" s="5"/>
      <c r="V3704" s="5"/>
      <c r="W3704" s="5"/>
      <c r="X3704" s="5"/>
      <c r="Z3704" s="5"/>
      <c r="AA3704" s="5"/>
      <c r="AB3704" s="5"/>
      <c r="AD3704" s="9"/>
    </row>
    <row r="3705" spans="1:30" ht="12.5">
      <c r="A3705" s="4"/>
      <c r="B3705" s="5"/>
      <c r="C3705" s="5"/>
      <c r="D3705" s="5"/>
      <c r="F3705" s="5"/>
      <c r="J3705" s="5"/>
      <c r="K3705" s="5"/>
      <c r="L3705" s="5"/>
      <c r="M3705" s="5"/>
      <c r="N3705" s="6"/>
      <c r="O3705" s="7"/>
      <c r="P3705" s="5"/>
      <c r="Q3705" s="5"/>
      <c r="R3705" s="5"/>
      <c r="S3705" s="5"/>
      <c r="T3705" s="5"/>
      <c r="U3705" s="5"/>
      <c r="V3705" s="5"/>
      <c r="W3705" s="5"/>
      <c r="X3705" s="5"/>
      <c r="Z3705" s="5"/>
      <c r="AA3705" s="5"/>
      <c r="AB3705" s="5"/>
      <c r="AD3705" s="9"/>
    </row>
    <row r="3706" spans="1:30" ht="12.5">
      <c r="A3706" s="4"/>
      <c r="B3706" s="5"/>
      <c r="C3706" s="5"/>
      <c r="D3706" s="5"/>
      <c r="F3706" s="5"/>
      <c r="J3706" s="5"/>
      <c r="K3706" s="5"/>
      <c r="L3706" s="5"/>
      <c r="M3706" s="5"/>
      <c r="N3706" s="6"/>
      <c r="O3706" s="7"/>
      <c r="P3706" s="5"/>
      <c r="Q3706" s="5"/>
      <c r="R3706" s="5"/>
      <c r="S3706" s="5"/>
      <c r="T3706" s="5"/>
      <c r="U3706" s="5"/>
      <c r="V3706" s="5"/>
      <c r="W3706" s="5"/>
      <c r="X3706" s="5"/>
      <c r="Z3706" s="5"/>
      <c r="AA3706" s="5"/>
      <c r="AB3706" s="5"/>
      <c r="AD3706" s="9"/>
    </row>
    <row r="3707" spans="1:30" ht="12.5">
      <c r="A3707" s="4"/>
      <c r="B3707" s="5"/>
      <c r="C3707" s="5"/>
      <c r="D3707" s="5"/>
      <c r="F3707" s="5"/>
      <c r="J3707" s="5"/>
      <c r="K3707" s="5"/>
      <c r="L3707" s="5"/>
      <c r="M3707" s="5"/>
      <c r="N3707" s="6"/>
      <c r="O3707" s="7"/>
      <c r="P3707" s="5"/>
      <c r="Q3707" s="5"/>
      <c r="R3707" s="5"/>
      <c r="S3707" s="5"/>
      <c r="T3707" s="5"/>
      <c r="U3707" s="5"/>
      <c r="V3707" s="5"/>
      <c r="W3707" s="5"/>
      <c r="X3707" s="5"/>
      <c r="Z3707" s="5"/>
      <c r="AA3707" s="5"/>
      <c r="AB3707" s="5"/>
      <c r="AD3707" s="9"/>
    </row>
    <row r="3708" spans="1:30" ht="12.5">
      <c r="A3708" s="4"/>
      <c r="B3708" s="5"/>
      <c r="C3708" s="5"/>
      <c r="D3708" s="5"/>
      <c r="F3708" s="5"/>
      <c r="J3708" s="5"/>
      <c r="K3708" s="5"/>
      <c r="L3708" s="5"/>
      <c r="M3708" s="5"/>
      <c r="N3708" s="6"/>
      <c r="O3708" s="7"/>
      <c r="P3708" s="5"/>
      <c r="Q3708" s="5"/>
      <c r="R3708" s="5"/>
      <c r="S3708" s="5"/>
      <c r="T3708" s="5"/>
      <c r="U3708" s="5"/>
      <c r="V3708" s="5"/>
      <c r="W3708" s="5"/>
      <c r="X3708" s="5"/>
      <c r="Z3708" s="5"/>
      <c r="AA3708" s="5"/>
      <c r="AB3708" s="5"/>
      <c r="AD3708" s="9"/>
    </row>
    <row r="3709" spans="1:30" ht="12.5">
      <c r="A3709" s="4"/>
      <c r="B3709" s="5"/>
      <c r="C3709" s="5"/>
      <c r="D3709" s="5"/>
      <c r="F3709" s="5"/>
      <c r="J3709" s="5"/>
      <c r="K3709" s="5"/>
      <c r="L3709" s="5"/>
      <c r="M3709" s="5"/>
      <c r="N3709" s="6"/>
      <c r="O3709" s="7"/>
      <c r="P3709" s="5"/>
      <c r="Q3709" s="5"/>
      <c r="R3709" s="5"/>
      <c r="S3709" s="5"/>
      <c r="T3709" s="5"/>
      <c r="U3709" s="5"/>
      <c r="V3709" s="5"/>
      <c r="W3709" s="5"/>
      <c r="X3709" s="5"/>
      <c r="Z3709" s="5"/>
      <c r="AA3709" s="5"/>
      <c r="AB3709" s="5"/>
      <c r="AD3709" s="9"/>
    </row>
    <row r="3710" spans="1:30" ht="12.5">
      <c r="A3710" s="4"/>
      <c r="B3710" s="5"/>
      <c r="C3710" s="5"/>
      <c r="D3710" s="5"/>
      <c r="F3710" s="5"/>
      <c r="J3710" s="5"/>
      <c r="K3710" s="5"/>
      <c r="L3710" s="5"/>
      <c r="M3710" s="5"/>
      <c r="N3710" s="6"/>
      <c r="O3710" s="7"/>
      <c r="P3710" s="5"/>
      <c r="Q3710" s="5"/>
      <c r="R3710" s="5"/>
      <c r="S3710" s="5"/>
      <c r="T3710" s="5"/>
      <c r="U3710" s="5"/>
      <c r="V3710" s="5"/>
      <c r="W3710" s="5"/>
      <c r="X3710" s="5"/>
      <c r="Z3710" s="5"/>
      <c r="AA3710" s="5"/>
      <c r="AB3710" s="5"/>
      <c r="AD3710" s="9"/>
    </row>
    <row r="3711" spans="1:30" ht="12.5">
      <c r="A3711" s="4"/>
      <c r="B3711" s="5"/>
      <c r="C3711" s="5"/>
      <c r="D3711" s="5"/>
      <c r="F3711" s="5"/>
      <c r="J3711" s="5"/>
      <c r="K3711" s="5"/>
      <c r="L3711" s="5"/>
      <c r="M3711" s="5"/>
      <c r="N3711" s="6"/>
      <c r="O3711" s="7"/>
      <c r="P3711" s="5"/>
      <c r="Q3711" s="5"/>
      <c r="R3711" s="5"/>
      <c r="S3711" s="5"/>
      <c r="T3711" s="5"/>
      <c r="U3711" s="5"/>
      <c r="V3711" s="5"/>
      <c r="W3711" s="5"/>
      <c r="X3711" s="5"/>
      <c r="Z3711" s="5"/>
      <c r="AA3711" s="5"/>
      <c r="AB3711" s="5"/>
      <c r="AD3711" s="9"/>
    </row>
    <row r="3712" spans="1:30" ht="12.5">
      <c r="A3712" s="4"/>
      <c r="B3712" s="5"/>
      <c r="C3712" s="5"/>
      <c r="D3712" s="5"/>
      <c r="F3712" s="5"/>
      <c r="J3712" s="5"/>
      <c r="K3712" s="5"/>
      <c r="L3712" s="5"/>
      <c r="M3712" s="5"/>
      <c r="N3712" s="6"/>
      <c r="O3712" s="7"/>
      <c r="P3712" s="5"/>
      <c r="Q3712" s="5"/>
      <c r="R3712" s="5"/>
      <c r="S3712" s="5"/>
      <c r="T3712" s="5"/>
      <c r="U3712" s="5"/>
      <c r="V3712" s="5"/>
      <c r="W3712" s="5"/>
      <c r="X3712" s="5"/>
      <c r="Z3712" s="5"/>
      <c r="AA3712" s="5"/>
      <c r="AB3712" s="5"/>
      <c r="AD3712" s="9"/>
    </row>
    <row r="3713" spans="1:30" ht="12.5">
      <c r="A3713" s="4"/>
      <c r="B3713" s="5"/>
      <c r="C3713" s="5"/>
      <c r="D3713" s="5"/>
      <c r="F3713" s="5"/>
      <c r="J3713" s="5"/>
      <c r="K3713" s="5"/>
      <c r="L3713" s="5"/>
      <c r="M3713" s="5"/>
      <c r="N3713" s="6"/>
      <c r="O3713" s="7"/>
      <c r="P3713" s="5"/>
      <c r="Q3713" s="5"/>
      <c r="R3713" s="5"/>
      <c r="S3713" s="5"/>
      <c r="T3713" s="5"/>
      <c r="U3713" s="5"/>
      <c r="V3713" s="5"/>
      <c r="W3713" s="5"/>
      <c r="X3713" s="5"/>
      <c r="Z3713" s="5"/>
      <c r="AA3713" s="5"/>
      <c r="AB3713" s="5"/>
      <c r="AD3713" s="9"/>
    </row>
    <row r="3714" spans="1:30" ht="12.5">
      <c r="A3714" s="4"/>
      <c r="B3714" s="5"/>
      <c r="C3714" s="5"/>
      <c r="D3714" s="5"/>
      <c r="F3714" s="5"/>
      <c r="J3714" s="5"/>
      <c r="K3714" s="5"/>
      <c r="L3714" s="5"/>
      <c r="M3714" s="5"/>
      <c r="N3714" s="6"/>
      <c r="O3714" s="7"/>
      <c r="P3714" s="5"/>
      <c r="Q3714" s="5"/>
      <c r="R3714" s="5"/>
      <c r="S3714" s="5"/>
      <c r="T3714" s="5"/>
      <c r="U3714" s="5"/>
      <c r="V3714" s="5"/>
      <c r="W3714" s="5"/>
      <c r="X3714" s="5"/>
      <c r="Z3714" s="5"/>
      <c r="AA3714" s="5"/>
      <c r="AB3714" s="5"/>
      <c r="AD3714" s="9"/>
    </row>
    <row r="3715" spans="1:30" ht="12.5">
      <c r="A3715" s="4"/>
      <c r="B3715" s="5"/>
      <c r="C3715" s="5"/>
      <c r="D3715" s="5"/>
      <c r="F3715" s="5"/>
      <c r="J3715" s="5"/>
      <c r="K3715" s="5"/>
      <c r="L3715" s="5"/>
      <c r="M3715" s="5"/>
      <c r="N3715" s="6"/>
      <c r="O3715" s="7"/>
      <c r="P3715" s="5"/>
      <c r="Q3715" s="5"/>
      <c r="R3715" s="5"/>
      <c r="S3715" s="5"/>
      <c r="T3715" s="5"/>
      <c r="U3715" s="5"/>
      <c r="V3715" s="5"/>
      <c r="W3715" s="5"/>
      <c r="X3715" s="5"/>
      <c r="Z3715" s="5"/>
      <c r="AA3715" s="5"/>
      <c r="AB3715" s="5"/>
      <c r="AD3715" s="9"/>
    </row>
    <row r="3716" spans="1:30" ht="12.5">
      <c r="A3716" s="4"/>
      <c r="B3716" s="5"/>
      <c r="C3716" s="5"/>
      <c r="D3716" s="5"/>
      <c r="F3716" s="5"/>
      <c r="J3716" s="5"/>
      <c r="K3716" s="5"/>
      <c r="L3716" s="5"/>
      <c r="M3716" s="5"/>
      <c r="N3716" s="6"/>
      <c r="O3716" s="7"/>
      <c r="P3716" s="5"/>
      <c r="Q3716" s="5"/>
      <c r="R3716" s="5"/>
      <c r="S3716" s="5"/>
      <c r="T3716" s="5"/>
      <c r="U3716" s="5"/>
      <c r="V3716" s="5"/>
      <c r="W3716" s="5"/>
      <c r="X3716" s="5"/>
      <c r="Z3716" s="5"/>
      <c r="AA3716" s="5"/>
      <c r="AB3716" s="5"/>
      <c r="AD3716" s="9"/>
    </row>
    <row r="3717" spans="1:30" ht="12.5">
      <c r="A3717" s="4"/>
      <c r="B3717" s="5"/>
      <c r="C3717" s="5"/>
      <c r="D3717" s="5"/>
      <c r="F3717" s="5"/>
      <c r="J3717" s="5"/>
      <c r="K3717" s="5"/>
      <c r="L3717" s="5"/>
      <c r="M3717" s="5"/>
      <c r="N3717" s="6"/>
      <c r="O3717" s="7"/>
      <c r="P3717" s="5"/>
      <c r="Q3717" s="5"/>
      <c r="R3717" s="5"/>
      <c r="S3717" s="5"/>
      <c r="T3717" s="5"/>
      <c r="U3717" s="5"/>
      <c r="V3717" s="5"/>
      <c r="W3717" s="5"/>
      <c r="X3717" s="5"/>
      <c r="Z3717" s="5"/>
      <c r="AA3717" s="5"/>
      <c r="AB3717" s="5"/>
      <c r="AD3717" s="9"/>
    </row>
    <row r="3718" spans="1:30" ht="12.5">
      <c r="A3718" s="4"/>
      <c r="B3718" s="5"/>
      <c r="C3718" s="5"/>
      <c r="D3718" s="5"/>
      <c r="F3718" s="5"/>
      <c r="J3718" s="5"/>
      <c r="K3718" s="5"/>
      <c r="L3718" s="5"/>
      <c r="M3718" s="5"/>
      <c r="N3718" s="6"/>
      <c r="O3718" s="7"/>
      <c r="P3718" s="5"/>
      <c r="Q3718" s="5"/>
      <c r="R3718" s="5"/>
      <c r="S3718" s="5"/>
      <c r="T3718" s="5"/>
      <c r="U3718" s="5"/>
      <c r="V3718" s="5"/>
      <c r="W3718" s="5"/>
      <c r="X3718" s="5"/>
      <c r="Z3718" s="5"/>
      <c r="AA3718" s="5"/>
      <c r="AB3718" s="5"/>
      <c r="AD3718" s="9"/>
    </row>
    <row r="3719" spans="1:30" ht="12.5">
      <c r="A3719" s="4"/>
      <c r="B3719" s="5"/>
      <c r="C3719" s="5"/>
      <c r="D3719" s="5"/>
      <c r="F3719" s="5"/>
      <c r="J3719" s="5"/>
      <c r="K3719" s="5"/>
      <c r="L3719" s="5"/>
      <c r="M3719" s="5"/>
      <c r="N3719" s="6"/>
      <c r="O3719" s="7"/>
      <c r="P3719" s="5"/>
      <c r="Q3719" s="5"/>
      <c r="R3719" s="5"/>
      <c r="S3719" s="5"/>
      <c r="T3719" s="5"/>
      <c r="U3719" s="5"/>
      <c r="V3719" s="5"/>
      <c r="W3719" s="5"/>
      <c r="X3719" s="5"/>
      <c r="Z3719" s="5"/>
      <c r="AA3719" s="5"/>
      <c r="AB3719" s="5"/>
      <c r="AD3719" s="9"/>
    </row>
    <row r="3720" spans="1:30" ht="12.5">
      <c r="A3720" s="4"/>
      <c r="B3720" s="5"/>
      <c r="C3720" s="5"/>
      <c r="D3720" s="5"/>
      <c r="F3720" s="5"/>
      <c r="J3720" s="5"/>
      <c r="K3720" s="5"/>
      <c r="L3720" s="5"/>
      <c r="M3720" s="5"/>
      <c r="N3720" s="6"/>
      <c r="O3720" s="7"/>
      <c r="P3720" s="5"/>
      <c r="Q3720" s="5"/>
      <c r="R3720" s="5"/>
      <c r="S3720" s="5"/>
      <c r="T3720" s="5"/>
      <c r="U3720" s="5"/>
      <c r="V3720" s="5"/>
      <c r="W3720" s="5"/>
      <c r="X3720" s="5"/>
      <c r="Z3720" s="5"/>
      <c r="AA3720" s="5"/>
      <c r="AB3720" s="5"/>
      <c r="AD3720" s="9"/>
    </row>
    <row r="3721" spans="1:30" ht="12.5">
      <c r="A3721" s="4"/>
      <c r="B3721" s="5"/>
      <c r="C3721" s="5"/>
      <c r="D3721" s="5"/>
      <c r="F3721" s="5"/>
      <c r="J3721" s="5"/>
      <c r="K3721" s="5"/>
      <c r="L3721" s="5"/>
      <c r="M3721" s="5"/>
      <c r="N3721" s="6"/>
      <c r="O3721" s="7"/>
      <c r="P3721" s="5"/>
      <c r="Q3721" s="5"/>
      <c r="R3721" s="5"/>
      <c r="S3721" s="5"/>
      <c r="T3721" s="5"/>
      <c r="U3721" s="5"/>
      <c r="V3721" s="5"/>
      <c r="W3721" s="5"/>
      <c r="X3721" s="5"/>
      <c r="Z3721" s="5"/>
      <c r="AA3721" s="5"/>
      <c r="AB3721" s="5"/>
      <c r="AD3721" s="9"/>
    </row>
    <row r="3722" spans="1:30" ht="12.5">
      <c r="A3722" s="4"/>
      <c r="B3722" s="5"/>
      <c r="C3722" s="5"/>
      <c r="D3722" s="5"/>
      <c r="F3722" s="5"/>
      <c r="J3722" s="5"/>
      <c r="K3722" s="5"/>
      <c r="L3722" s="5"/>
      <c r="M3722" s="5"/>
      <c r="N3722" s="6"/>
      <c r="O3722" s="7"/>
      <c r="P3722" s="5"/>
      <c r="Q3722" s="5"/>
      <c r="R3722" s="5"/>
      <c r="S3722" s="5"/>
      <c r="T3722" s="5"/>
      <c r="U3722" s="5"/>
      <c r="V3722" s="5"/>
      <c r="W3722" s="5"/>
      <c r="X3722" s="5"/>
      <c r="Z3722" s="5"/>
      <c r="AA3722" s="5"/>
      <c r="AB3722" s="5"/>
      <c r="AD3722" s="9"/>
    </row>
    <row r="3723" spans="1:30" ht="12.5">
      <c r="A3723" s="4"/>
      <c r="B3723" s="5"/>
      <c r="C3723" s="5"/>
      <c r="D3723" s="5"/>
      <c r="F3723" s="5"/>
      <c r="J3723" s="5"/>
      <c r="K3723" s="5"/>
      <c r="L3723" s="5"/>
      <c r="M3723" s="5"/>
      <c r="N3723" s="6"/>
      <c r="O3723" s="7"/>
      <c r="P3723" s="5"/>
      <c r="Q3723" s="5"/>
      <c r="R3723" s="5"/>
      <c r="S3723" s="5"/>
      <c r="T3723" s="5"/>
      <c r="U3723" s="5"/>
      <c r="V3723" s="5"/>
      <c r="W3723" s="5"/>
      <c r="X3723" s="5"/>
      <c r="Z3723" s="5"/>
      <c r="AA3723" s="5"/>
      <c r="AB3723" s="5"/>
      <c r="AD3723" s="9"/>
    </row>
    <row r="3724" spans="1:30" ht="12.5">
      <c r="A3724" s="4"/>
      <c r="B3724" s="5"/>
      <c r="C3724" s="5"/>
      <c r="D3724" s="5"/>
      <c r="F3724" s="5"/>
      <c r="J3724" s="5"/>
      <c r="K3724" s="5"/>
      <c r="L3724" s="5"/>
      <c r="M3724" s="5"/>
      <c r="N3724" s="6"/>
      <c r="O3724" s="7"/>
      <c r="P3724" s="5"/>
      <c r="Q3724" s="5"/>
      <c r="R3724" s="5"/>
      <c r="S3724" s="5"/>
      <c r="T3724" s="5"/>
      <c r="U3724" s="5"/>
      <c r="V3724" s="5"/>
      <c r="W3724" s="5"/>
      <c r="X3724" s="5"/>
      <c r="Z3724" s="5"/>
      <c r="AA3724" s="5"/>
      <c r="AB3724" s="5"/>
      <c r="AD3724" s="9"/>
    </row>
    <row r="3725" spans="1:30" ht="12.5">
      <c r="A3725" s="4"/>
      <c r="B3725" s="5"/>
      <c r="C3725" s="5"/>
      <c r="D3725" s="5"/>
      <c r="F3725" s="5"/>
      <c r="J3725" s="5"/>
      <c r="K3725" s="5"/>
      <c r="L3725" s="5"/>
      <c r="M3725" s="5"/>
      <c r="N3725" s="6"/>
      <c r="O3725" s="7"/>
      <c r="P3725" s="5"/>
      <c r="Q3725" s="5"/>
      <c r="R3725" s="5"/>
      <c r="S3725" s="5"/>
      <c r="T3725" s="5"/>
      <c r="U3725" s="5"/>
      <c r="V3725" s="5"/>
      <c r="W3725" s="5"/>
      <c r="X3725" s="5"/>
      <c r="Z3725" s="5"/>
      <c r="AA3725" s="5"/>
      <c r="AB3725" s="5"/>
      <c r="AD3725" s="9"/>
    </row>
    <row r="3726" spans="1:30" ht="12.5">
      <c r="A3726" s="4"/>
      <c r="B3726" s="5"/>
      <c r="C3726" s="5"/>
      <c r="D3726" s="5"/>
      <c r="F3726" s="5"/>
      <c r="J3726" s="5"/>
      <c r="K3726" s="5"/>
      <c r="L3726" s="5"/>
      <c r="M3726" s="5"/>
      <c r="N3726" s="6"/>
      <c r="O3726" s="7"/>
      <c r="P3726" s="5"/>
      <c r="Q3726" s="5"/>
      <c r="R3726" s="5"/>
      <c r="S3726" s="5"/>
      <c r="T3726" s="5"/>
      <c r="U3726" s="5"/>
      <c r="V3726" s="5"/>
      <c r="W3726" s="5"/>
      <c r="X3726" s="5"/>
      <c r="Z3726" s="5"/>
      <c r="AA3726" s="5"/>
      <c r="AB3726" s="5"/>
      <c r="AD3726" s="9"/>
    </row>
    <row r="3727" spans="1:30" ht="12.5">
      <c r="A3727" s="4"/>
      <c r="B3727" s="5"/>
      <c r="C3727" s="5"/>
      <c r="D3727" s="5"/>
      <c r="F3727" s="5"/>
      <c r="J3727" s="5"/>
      <c r="K3727" s="5"/>
      <c r="L3727" s="5"/>
      <c r="M3727" s="5"/>
      <c r="N3727" s="6"/>
      <c r="O3727" s="7"/>
      <c r="P3727" s="5"/>
      <c r="Q3727" s="5"/>
      <c r="R3727" s="5"/>
      <c r="S3727" s="5"/>
      <c r="T3727" s="5"/>
      <c r="U3727" s="5"/>
      <c r="V3727" s="5"/>
      <c r="W3727" s="5"/>
      <c r="X3727" s="5"/>
      <c r="Z3727" s="5"/>
      <c r="AA3727" s="5"/>
      <c r="AB3727" s="5"/>
      <c r="AD3727" s="9"/>
    </row>
    <row r="3728" spans="1:30" ht="12.5">
      <c r="A3728" s="4"/>
      <c r="B3728" s="5"/>
      <c r="C3728" s="5"/>
      <c r="D3728" s="5"/>
      <c r="F3728" s="5"/>
      <c r="J3728" s="5"/>
      <c r="K3728" s="5"/>
      <c r="L3728" s="5"/>
      <c r="M3728" s="5"/>
      <c r="N3728" s="6"/>
      <c r="O3728" s="7"/>
      <c r="P3728" s="5"/>
      <c r="Q3728" s="5"/>
      <c r="R3728" s="5"/>
      <c r="S3728" s="5"/>
      <c r="T3728" s="5"/>
      <c r="U3728" s="5"/>
      <c r="V3728" s="5"/>
      <c r="W3728" s="5"/>
      <c r="X3728" s="5"/>
      <c r="Z3728" s="5"/>
      <c r="AA3728" s="5"/>
      <c r="AB3728" s="5"/>
      <c r="AD3728" s="9"/>
    </row>
    <row r="3729" spans="1:30" ht="12.5">
      <c r="A3729" s="4"/>
      <c r="B3729" s="5"/>
      <c r="C3729" s="5"/>
      <c r="D3729" s="5"/>
      <c r="F3729" s="5"/>
      <c r="J3729" s="5"/>
      <c r="K3729" s="5"/>
      <c r="L3729" s="5"/>
      <c r="M3729" s="5"/>
      <c r="N3729" s="6"/>
      <c r="O3729" s="7"/>
      <c r="P3729" s="5"/>
      <c r="Q3729" s="5"/>
      <c r="R3729" s="5"/>
      <c r="S3729" s="5"/>
      <c r="T3729" s="5"/>
      <c r="U3729" s="5"/>
      <c r="V3729" s="5"/>
      <c r="W3729" s="5"/>
      <c r="X3729" s="5"/>
      <c r="Z3729" s="5"/>
      <c r="AA3729" s="5"/>
      <c r="AB3729" s="5"/>
      <c r="AD3729" s="9"/>
    </row>
    <row r="3730" spans="1:30" ht="12.5">
      <c r="A3730" s="4"/>
      <c r="B3730" s="5"/>
      <c r="C3730" s="5"/>
      <c r="D3730" s="5"/>
      <c r="F3730" s="5"/>
      <c r="J3730" s="5"/>
      <c r="K3730" s="5"/>
      <c r="L3730" s="5"/>
      <c r="M3730" s="5"/>
      <c r="N3730" s="6"/>
      <c r="O3730" s="7"/>
      <c r="P3730" s="5"/>
      <c r="Q3730" s="5"/>
      <c r="R3730" s="5"/>
      <c r="S3730" s="5"/>
      <c r="T3730" s="5"/>
      <c r="U3730" s="5"/>
      <c r="V3730" s="5"/>
      <c r="W3730" s="5"/>
      <c r="X3730" s="5"/>
      <c r="Z3730" s="5"/>
      <c r="AA3730" s="5"/>
      <c r="AB3730" s="5"/>
      <c r="AD3730" s="9"/>
    </row>
    <row r="3731" spans="1:30" ht="12.5">
      <c r="A3731" s="4"/>
      <c r="B3731" s="5"/>
      <c r="C3731" s="5"/>
      <c r="D3731" s="5"/>
      <c r="F3731" s="5"/>
      <c r="J3731" s="5"/>
      <c r="K3731" s="5"/>
      <c r="L3731" s="5"/>
      <c r="M3731" s="5"/>
      <c r="N3731" s="6"/>
      <c r="O3731" s="7"/>
      <c r="P3731" s="5"/>
      <c r="Q3731" s="5"/>
      <c r="R3731" s="5"/>
      <c r="S3731" s="5"/>
      <c r="T3731" s="5"/>
      <c r="U3731" s="5"/>
      <c r="V3731" s="5"/>
      <c r="W3731" s="5"/>
      <c r="X3731" s="5"/>
      <c r="Z3731" s="5"/>
      <c r="AA3731" s="5"/>
      <c r="AB3731" s="5"/>
      <c r="AD3731" s="9"/>
    </row>
    <row r="3732" spans="1:30" ht="12.5">
      <c r="A3732" s="4"/>
      <c r="B3732" s="5"/>
      <c r="C3732" s="5"/>
      <c r="D3732" s="5"/>
      <c r="F3732" s="5"/>
      <c r="J3732" s="5"/>
      <c r="K3732" s="5"/>
      <c r="L3732" s="5"/>
      <c r="M3732" s="5"/>
      <c r="N3732" s="6"/>
      <c r="O3732" s="7"/>
      <c r="P3732" s="5"/>
      <c r="Q3732" s="5"/>
      <c r="R3732" s="5"/>
      <c r="S3732" s="5"/>
      <c r="T3732" s="5"/>
      <c r="U3732" s="5"/>
      <c r="V3732" s="5"/>
      <c r="W3732" s="5"/>
      <c r="X3732" s="5"/>
      <c r="Z3732" s="5"/>
      <c r="AA3732" s="5"/>
      <c r="AB3732" s="5"/>
      <c r="AD3732" s="9"/>
    </row>
    <row r="3733" spans="1:30" ht="12.5">
      <c r="A3733" s="4"/>
      <c r="B3733" s="5"/>
      <c r="C3733" s="5"/>
      <c r="D3733" s="5"/>
      <c r="F3733" s="5"/>
      <c r="J3733" s="5"/>
      <c r="K3733" s="5"/>
      <c r="L3733" s="5"/>
      <c r="M3733" s="5"/>
      <c r="N3733" s="6"/>
      <c r="O3733" s="7"/>
      <c r="P3733" s="5"/>
      <c r="Q3733" s="5"/>
      <c r="R3733" s="5"/>
      <c r="S3733" s="5"/>
      <c r="T3733" s="5"/>
      <c r="U3733" s="5"/>
      <c r="V3733" s="5"/>
      <c r="W3733" s="5"/>
      <c r="X3733" s="5"/>
      <c r="Z3733" s="5"/>
      <c r="AA3733" s="5"/>
      <c r="AB3733" s="5"/>
      <c r="AD3733" s="9"/>
    </row>
    <row r="3734" spans="1:30" ht="12.5">
      <c r="A3734" s="4"/>
      <c r="B3734" s="5"/>
      <c r="C3734" s="5"/>
      <c r="D3734" s="5"/>
      <c r="F3734" s="5"/>
      <c r="J3734" s="5"/>
      <c r="K3734" s="5"/>
      <c r="L3734" s="5"/>
      <c r="M3734" s="5"/>
      <c r="N3734" s="6"/>
      <c r="O3734" s="7"/>
      <c r="P3734" s="5"/>
      <c r="Q3734" s="5"/>
      <c r="R3734" s="5"/>
      <c r="S3734" s="5"/>
      <c r="T3734" s="5"/>
      <c r="U3734" s="5"/>
      <c r="V3734" s="5"/>
      <c r="W3734" s="5"/>
      <c r="X3734" s="5"/>
      <c r="Z3734" s="5"/>
      <c r="AA3734" s="5"/>
      <c r="AB3734" s="5"/>
      <c r="AD3734" s="9"/>
    </row>
    <row r="3735" spans="1:30" ht="12.5">
      <c r="A3735" s="4"/>
      <c r="B3735" s="5"/>
      <c r="C3735" s="5"/>
      <c r="D3735" s="5"/>
      <c r="F3735" s="5"/>
      <c r="J3735" s="5"/>
      <c r="K3735" s="5"/>
      <c r="L3735" s="5"/>
      <c r="M3735" s="5"/>
      <c r="N3735" s="6"/>
      <c r="O3735" s="7"/>
      <c r="P3735" s="5"/>
      <c r="Q3735" s="5"/>
      <c r="R3735" s="5"/>
      <c r="S3735" s="5"/>
      <c r="T3735" s="5"/>
      <c r="U3735" s="5"/>
      <c r="V3735" s="5"/>
      <c r="W3735" s="5"/>
      <c r="X3735" s="5"/>
      <c r="Z3735" s="5"/>
      <c r="AA3735" s="5"/>
      <c r="AB3735" s="5"/>
      <c r="AD3735" s="9"/>
    </row>
    <row r="3736" spans="1:30" ht="12.5">
      <c r="A3736" s="4"/>
      <c r="B3736" s="5"/>
      <c r="C3736" s="5"/>
      <c r="D3736" s="5"/>
      <c r="F3736" s="5"/>
      <c r="J3736" s="5"/>
      <c r="K3736" s="5"/>
      <c r="L3736" s="5"/>
      <c r="M3736" s="5"/>
      <c r="N3736" s="6"/>
      <c r="O3736" s="7"/>
      <c r="P3736" s="5"/>
      <c r="Q3736" s="5"/>
      <c r="R3736" s="5"/>
      <c r="S3736" s="5"/>
      <c r="T3736" s="5"/>
      <c r="U3736" s="5"/>
      <c r="V3736" s="5"/>
      <c r="W3736" s="5"/>
      <c r="X3736" s="5"/>
      <c r="Z3736" s="5"/>
      <c r="AA3736" s="5"/>
      <c r="AB3736" s="5"/>
      <c r="AD3736" s="9"/>
    </row>
    <row r="3737" spans="1:30" ht="12.5">
      <c r="A3737" s="4"/>
      <c r="B3737" s="5"/>
      <c r="C3737" s="5"/>
      <c r="D3737" s="5"/>
      <c r="F3737" s="5"/>
      <c r="J3737" s="5"/>
      <c r="K3737" s="5"/>
      <c r="L3737" s="5"/>
      <c r="M3737" s="5"/>
      <c r="N3737" s="6"/>
      <c r="O3737" s="7"/>
      <c r="P3737" s="5"/>
      <c r="Q3737" s="5"/>
      <c r="R3737" s="5"/>
      <c r="S3737" s="5"/>
      <c r="T3737" s="5"/>
      <c r="U3737" s="5"/>
      <c r="V3737" s="5"/>
      <c r="W3737" s="5"/>
      <c r="X3737" s="5"/>
      <c r="Z3737" s="5"/>
      <c r="AA3737" s="5"/>
      <c r="AB3737" s="5"/>
      <c r="AD3737" s="9"/>
    </row>
    <row r="3738" spans="1:30" ht="12.5">
      <c r="A3738" s="4"/>
      <c r="B3738" s="5"/>
      <c r="C3738" s="5"/>
      <c r="D3738" s="5"/>
      <c r="F3738" s="5"/>
      <c r="J3738" s="5"/>
      <c r="K3738" s="5"/>
      <c r="L3738" s="5"/>
      <c r="M3738" s="5"/>
      <c r="N3738" s="6"/>
      <c r="O3738" s="7"/>
      <c r="P3738" s="5"/>
      <c r="Q3738" s="5"/>
      <c r="R3738" s="5"/>
      <c r="S3738" s="5"/>
      <c r="T3738" s="5"/>
      <c r="U3738" s="5"/>
      <c r="V3738" s="5"/>
      <c r="W3738" s="5"/>
      <c r="X3738" s="5"/>
      <c r="Z3738" s="5"/>
      <c r="AA3738" s="5"/>
      <c r="AB3738" s="5"/>
      <c r="AD3738" s="9"/>
    </row>
    <row r="3739" spans="1:30" ht="12.5">
      <c r="A3739" s="4"/>
      <c r="B3739" s="5"/>
      <c r="C3739" s="5"/>
      <c r="D3739" s="5"/>
      <c r="F3739" s="5"/>
      <c r="J3739" s="5"/>
      <c r="K3739" s="5"/>
      <c r="L3739" s="5"/>
      <c r="M3739" s="5"/>
      <c r="N3739" s="6"/>
      <c r="O3739" s="7"/>
      <c r="P3739" s="5"/>
      <c r="Q3739" s="5"/>
      <c r="R3739" s="5"/>
      <c r="S3739" s="5"/>
      <c r="T3739" s="5"/>
      <c r="U3739" s="5"/>
      <c r="V3739" s="5"/>
      <c r="W3739" s="5"/>
      <c r="X3739" s="5"/>
      <c r="Z3739" s="5"/>
      <c r="AA3739" s="5"/>
      <c r="AB3739" s="5"/>
      <c r="AD3739" s="9"/>
    </row>
    <row r="3740" spans="1:30" ht="12.5">
      <c r="A3740" s="4"/>
      <c r="B3740" s="5"/>
      <c r="C3740" s="5"/>
      <c r="D3740" s="5"/>
      <c r="F3740" s="5"/>
      <c r="J3740" s="5"/>
      <c r="K3740" s="5"/>
      <c r="L3740" s="5"/>
      <c r="M3740" s="5"/>
      <c r="N3740" s="6"/>
      <c r="O3740" s="7"/>
      <c r="P3740" s="5"/>
      <c r="Q3740" s="5"/>
      <c r="R3740" s="5"/>
      <c r="S3740" s="5"/>
      <c r="T3740" s="5"/>
      <c r="U3740" s="5"/>
      <c r="V3740" s="5"/>
      <c r="W3740" s="5"/>
      <c r="X3740" s="5"/>
      <c r="Z3740" s="5"/>
      <c r="AA3740" s="5"/>
      <c r="AB3740" s="5"/>
      <c r="AD3740" s="9"/>
    </row>
    <row r="3741" spans="1:30" ht="12.5">
      <c r="A3741" s="4"/>
      <c r="B3741" s="5"/>
      <c r="C3741" s="5"/>
      <c r="D3741" s="5"/>
      <c r="F3741" s="5"/>
      <c r="J3741" s="5"/>
      <c r="K3741" s="5"/>
      <c r="L3741" s="5"/>
      <c r="M3741" s="5"/>
      <c r="N3741" s="6"/>
      <c r="O3741" s="7"/>
      <c r="P3741" s="5"/>
      <c r="Q3741" s="5"/>
      <c r="R3741" s="5"/>
      <c r="S3741" s="5"/>
      <c r="T3741" s="5"/>
      <c r="U3741" s="5"/>
      <c r="V3741" s="5"/>
      <c r="W3741" s="5"/>
      <c r="X3741" s="5"/>
      <c r="Z3741" s="5"/>
      <c r="AA3741" s="5"/>
      <c r="AB3741" s="5"/>
      <c r="AD3741" s="9"/>
    </row>
    <row r="3742" spans="1:30" ht="12.5">
      <c r="A3742" s="4"/>
      <c r="B3742" s="5"/>
      <c r="C3742" s="5"/>
      <c r="D3742" s="5"/>
      <c r="F3742" s="5"/>
      <c r="J3742" s="5"/>
      <c r="K3742" s="5"/>
      <c r="L3742" s="5"/>
      <c r="M3742" s="5"/>
      <c r="N3742" s="6"/>
      <c r="O3742" s="7"/>
      <c r="P3742" s="5"/>
      <c r="Q3742" s="5"/>
      <c r="R3742" s="5"/>
      <c r="S3742" s="5"/>
      <c r="T3742" s="5"/>
      <c r="U3742" s="5"/>
      <c r="V3742" s="5"/>
      <c r="W3742" s="5"/>
      <c r="X3742" s="5"/>
      <c r="Z3742" s="5"/>
      <c r="AA3742" s="5"/>
      <c r="AB3742" s="5"/>
      <c r="AD3742" s="9"/>
    </row>
    <row r="3743" spans="1:30" ht="12.5">
      <c r="A3743" s="4"/>
      <c r="B3743" s="5"/>
      <c r="C3743" s="5"/>
      <c r="D3743" s="5"/>
      <c r="F3743" s="5"/>
      <c r="J3743" s="5"/>
      <c r="K3743" s="5"/>
      <c r="L3743" s="5"/>
      <c r="M3743" s="5"/>
      <c r="N3743" s="6"/>
      <c r="O3743" s="7"/>
      <c r="P3743" s="5"/>
      <c r="Q3743" s="5"/>
      <c r="R3743" s="5"/>
      <c r="S3743" s="5"/>
      <c r="T3743" s="5"/>
      <c r="U3743" s="5"/>
      <c r="V3743" s="5"/>
      <c r="W3743" s="5"/>
      <c r="X3743" s="5"/>
      <c r="Z3743" s="5"/>
      <c r="AA3743" s="5"/>
      <c r="AB3743" s="5"/>
      <c r="AD3743" s="9"/>
    </row>
    <row r="3744" spans="1:30" ht="12.5">
      <c r="A3744" s="4"/>
      <c r="B3744" s="5"/>
      <c r="C3744" s="5"/>
      <c r="D3744" s="5"/>
      <c r="F3744" s="5"/>
      <c r="J3744" s="5"/>
      <c r="K3744" s="5"/>
      <c r="L3744" s="5"/>
      <c r="M3744" s="5"/>
      <c r="N3744" s="6"/>
      <c r="O3744" s="7"/>
      <c r="P3744" s="5"/>
      <c r="Q3744" s="5"/>
      <c r="R3744" s="5"/>
      <c r="S3744" s="5"/>
      <c r="T3744" s="5"/>
      <c r="U3744" s="5"/>
      <c r="V3744" s="5"/>
      <c r="W3744" s="5"/>
      <c r="X3744" s="5"/>
      <c r="Z3744" s="5"/>
      <c r="AA3744" s="5"/>
      <c r="AB3744" s="5"/>
      <c r="AD3744" s="9"/>
    </row>
    <row r="3745" spans="1:30" ht="12.5">
      <c r="A3745" s="4"/>
      <c r="B3745" s="5"/>
      <c r="C3745" s="5"/>
      <c r="D3745" s="5"/>
      <c r="F3745" s="5"/>
      <c r="J3745" s="5"/>
      <c r="K3745" s="5"/>
      <c r="L3745" s="5"/>
      <c r="M3745" s="5"/>
      <c r="N3745" s="6"/>
      <c r="O3745" s="7"/>
      <c r="P3745" s="5"/>
      <c r="Q3745" s="5"/>
      <c r="R3745" s="5"/>
      <c r="S3745" s="5"/>
      <c r="T3745" s="5"/>
      <c r="U3745" s="5"/>
      <c r="V3745" s="5"/>
      <c r="W3745" s="5"/>
      <c r="X3745" s="5"/>
      <c r="Z3745" s="5"/>
      <c r="AA3745" s="5"/>
      <c r="AB3745" s="5"/>
      <c r="AD3745" s="9"/>
    </row>
    <row r="3746" spans="1:30" ht="12.5">
      <c r="A3746" s="4"/>
      <c r="B3746" s="5"/>
      <c r="C3746" s="5"/>
      <c r="D3746" s="5"/>
      <c r="F3746" s="5"/>
      <c r="J3746" s="5"/>
      <c r="K3746" s="5"/>
      <c r="L3746" s="5"/>
      <c r="M3746" s="5"/>
      <c r="N3746" s="6"/>
      <c r="O3746" s="7"/>
      <c r="P3746" s="5"/>
      <c r="Q3746" s="5"/>
      <c r="R3746" s="5"/>
      <c r="S3746" s="5"/>
      <c r="T3746" s="5"/>
      <c r="U3746" s="5"/>
      <c r="V3746" s="5"/>
      <c r="W3746" s="5"/>
      <c r="X3746" s="5"/>
      <c r="Z3746" s="5"/>
      <c r="AA3746" s="5"/>
      <c r="AB3746" s="5"/>
      <c r="AD3746" s="9"/>
    </row>
    <row r="3747" spans="1:30" ht="12.5">
      <c r="A3747" s="4"/>
      <c r="B3747" s="5"/>
      <c r="C3747" s="5"/>
      <c r="D3747" s="5"/>
      <c r="F3747" s="5"/>
      <c r="J3747" s="5"/>
      <c r="K3747" s="5"/>
      <c r="L3747" s="5"/>
      <c r="M3747" s="5"/>
      <c r="N3747" s="6"/>
      <c r="O3747" s="7"/>
      <c r="P3747" s="5"/>
      <c r="Q3747" s="5"/>
      <c r="R3747" s="5"/>
      <c r="S3747" s="5"/>
      <c r="T3747" s="5"/>
      <c r="U3747" s="5"/>
      <c r="V3747" s="5"/>
      <c r="W3747" s="5"/>
      <c r="X3747" s="5"/>
      <c r="Z3747" s="5"/>
      <c r="AA3747" s="5"/>
      <c r="AB3747" s="5"/>
      <c r="AD3747" s="9"/>
    </row>
    <row r="3748" spans="1:30" ht="12.5">
      <c r="A3748" s="4"/>
      <c r="B3748" s="5"/>
      <c r="C3748" s="5"/>
      <c r="D3748" s="5"/>
      <c r="F3748" s="5"/>
      <c r="J3748" s="5"/>
      <c r="K3748" s="5"/>
      <c r="L3748" s="5"/>
      <c r="M3748" s="5"/>
      <c r="N3748" s="6"/>
      <c r="O3748" s="7"/>
      <c r="P3748" s="5"/>
      <c r="Q3748" s="5"/>
      <c r="R3748" s="5"/>
      <c r="S3748" s="5"/>
      <c r="T3748" s="5"/>
      <c r="U3748" s="5"/>
      <c r="V3748" s="5"/>
      <c r="W3748" s="5"/>
      <c r="X3748" s="5"/>
      <c r="Z3748" s="5"/>
      <c r="AA3748" s="5"/>
      <c r="AB3748" s="5"/>
      <c r="AD3748" s="9"/>
    </row>
    <row r="3749" spans="1:30" ht="12.5">
      <c r="A3749" s="4"/>
      <c r="B3749" s="5"/>
      <c r="C3749" s="5"/>
      <c r="D3749" s="5"/>
      <c r="F3749" s="5"/>
      <c r="J3749" s="5"/>
      <c r="K3749" s="5"/>
      <c r="L3749" s="5"/>
      <c r="M3749" s="5"/>
      <c r="N3749" s="6"/>
      <c r="O3749" s="7"/>
      <c r="P3749" s="5"/>
      <c r="Q3749" s="5"/>
      <c r="R3749" s="5"/>
      <c r="S3749" s="5"/>
      <c r="T3749" s="5"/>
      <c r="U3749" s="5"/>
      <c r="V3749" s="5"/>
      <c r="W3749" s="5"/>
      <c r="X3749" s="5"/>
      <c r="Z3749" s="5"/>
      <c r="AA3749" s="5"/>
      <c r="AB3749" s="5"/>
      <c r="AD3749" s="9"/>
    </row>
    <row r="3750" spans="1:30" ht="12.5">
      <c r="A3750" s="4"/>
      <c r="B3750" s="5"/>
      <c r="C3750" s="5"/>
      <c r="D3750" s="5"/>
      <c r="F3750" s="5"/>
      <c r="J3750" s="5"/>
      <c r="K3750" s="5"/>
      <c r="L3750" s="5"/>
      <c r="M3750" s="5"/>
      <c r="N3750" s="6"/>
      <c r="O3750" s="7"/>
      <c r="P3750" s="5"/>
      <c r="Q3750" s="5"/>
      <c r="R3750" s="5"/>
      <c r="S3750" s="5"/>
      <c r="T3750" s="5"/>
      <c r="U3750" s="5"/>
      <c r="V3750" s="5"/>
      <c r="W3750" s="5"/>
      <c r="X3750" s="5"/>
      <c r="Z3750" s="5"/>
      <c r="AA3750" s="5"/>
      <c r="AB3750" s="5"/>
      <c r="AD3750" s="9"/>
    </row>
    <row r="3751" spans="1:30" ht="12.5">
      <c r="A3751" s="4"/>
      <c r="B3751" s="5"/>
      <c r="C3751" s="5"/>
      <c r="D3751" s="5"/>
      <c r="F3751" s="5"/>
      <c r="J3751" s="5"/>
      <c r="K3751" s="5"/>
      <c r="L3751" s="5"/>
      <c r="M3751" s="5"/>
      <c r="N3751" s="6"/>
      <c r="O3751" s="7"/>
      <c r="P3751" s="5"/>
      <c r="Q3751" s="5"/>
      <c r="R3751" s="5"/>
      <c r="S3751" s="5"/>
      <c r="T3751" s="5"/>
      <c r="U3751" s="5"/>
      <c r="V3751" s="5"/>
      <c r="W3751" s="5"/>
      <c r="X3751" s="5"/>
      <c r="Z3751" s="5"/>
      <c r="AA3751" s="5"/>
      <c r="AB3751" s="5"/>
      <c r="AD3751" s="9"/>
    </row>
    <row r="3752" spans="1:30" ht="12.5">
      <c r="A3752" s="4"/>
      <c r="B3752" s="5"/>
      <c r="C3752" s="5"/>
      <c r="D3752" s="5"/>
      <c r="F3752" s="5"/>
      <c r="J3752" s="5"/>
      <c r="K3752" s="5"/>
      <c r="L3752" s="5"/>
      <c r="M3752" s="5"/>
      <c r="N3752" s="6"/>
      <c r="O3752" s="7"/>
      <c r="P3752" s="5"/>
      <c r="Q3752" s="5"/>
      <c r="R3752" s="5"/>
      <c r="S3752" s="5"/>
      <c r="T3752" s="5"/>
      <c r="U3752" s="5"/>
      <c r="V3752" s="5"/>
      <c r="W3752" s="5"/>
      <c r="X3752" s="5"/>
      <c r="Z3752" s="5"/>
      <c r="AA3752" s="5"/>
      <c r="AB3752" s="5"/>
      <c r="AD3752" s="9"/>
    </row>
    <row r="3753" spans="1:30" ht="12.5">
      <c r="A3753" s="4"/>
      <c r="B3753" s="5"/>
      <c r="C3753" s="5"/>
      <c r="D3753" s="5"/>
      <c r="F3753" s="5"/>
      <c r="J3753" s="5"/>
      <c r="K3753" s="5"/>
      <c r="L3753" s="5"/>
      <c r="M3753" s="5"/>
      <c r="N3753" s="6"/>
      <c r="O3753" s="7"/>
      <c r="P3753" s="5"/>
      <c r="Q3753" s="5"/>
      <c r="R3753" s="5"/>
      <c r="S3753" s="5"/>
      <c r="T3753" s="5"/>
      <c r="U3753" s="5"/>
      <c r="V3753" s="5"/>
      <c r="W3753" s="5"/>
      <c r="X3753" s="5"/>
      <c r="Z3753" s="5"/>
      <c r="AA3753" s="5"/>
      <c r="AB3753" s="5"/>
      <c r="AD3753" s="9"/>
    </row>
    <row r="3754" spans="1:30" ht="12.5">
      <c r="A3754" s="4"/>
      <c r="B3754" s="5"/>
      <c r="C3754" s="5"/>
      <c r="D3754" s="5"/>
      <c r="F3754" s="5"/>
      <c r="J3754" s="5"/>
      <c r="K3754" s="5"/>
      <c r="L3754" s="5"/>
      <c r="M3754" s="5"/>
      <c r="N3754" s="6"/>
      <c r="O3754" s="7"/>
      <c r="P3754" s="5"/>
      <c r="Q3754" s="5"/>
      <c r="R3754" s="5"/>
      <c r="S3754" s="5"/>
      <c r="T3754" s="5"/>
      <c r="U3754" s="5"/>
      <c r="V3754" s="5"/>
      <c r="W3754" s="5"/>
      <c r="X3754" s="5"/>
      <c r="Z3754" s="5"/>
      <c r="AA3754" s="5"/>
      <c r="AB3754" s="5"/>
      <c r="AD3754" s="9"/>
    </row>
    <row r="3755" spans="1:30" ht="12.5">
      <c r="A3755" s="4"/>
      <c r="B3755" s="5"/>
      <c r="C3755" s="5"/>
      <c r="D3755" s="5"/>
      <c r="F3755" s="5"/>
      <c r="J3755" s="5"/>
      <c r="K3755" s="5"/>
      <c r="L3755" s="5"/>
      <c r="M3755" s="5"/>
      <c r="N3755" s="6"/>
      <c r="O3755" s="7"/>
      <c r="P3755" s="5"/>
      <c r="Q3755" s="5"/>
      <c r="R3755" s="5"/>
      <c r="S3755" s="5"/>
      <c r="T3755" s="5"/>
      <c r="U3755" s="5"/>
      <c r="V3755" s="5"/>
      <c r="W3755" s="5"/>
      <c r="X3755" s="5"/>
      <c r="Z3755" s="5"/>
      <c r="AA3755" s="5"/>
      <c r="AB3755" s="5"/>
      <c r="AD3755" s="9"/>
    </row>
    <row r="3756" spans="1:30" ht="12.5">
      <c r="A3756" s="4"/>
      <c r="B3756" s="5"/>
      <c r="C3756" s="5"/>
      <c r="D3756" s="5"/>
      <c r="F3756" s="5"/>
      <c r="J3756" s="5"/>
      <c r="K3756" s="5"/>
      <c r="L3756" s="5"/>
      <c r="M3756" s="5"/>
      <c r="N3756" s="6"/>
      <c r="O3756" s="7"/>
      <c r="P3756" s="5"/>
      <c r="Q3756" s="5"/>
      <c r="R3756" s="5"/>
      <c r="S3756" s="5"/>
      <c r="T3756" s="5"/>
      <c r="U3756" s="5"/>
      <c r="V3756" s="5"/>
      <c r="W3756" s="5"/>
      <c r="X3756" s="5"/>
      <c r="Z3756" s="5"/>
      <c r="AA3756" s="5"/>
      <c r="AB3756" s="5"/>
      <c r="AD3756" s="9"/>
    </row>
    <row r="3757" spans="1:30" ht="12.5">
      <c r="A3757" s="4"/>
      <c r="B3757" s="5"/>
      <c r="C3757" s="5"/>
      <c r="D3757" s="5"/>
      <c r="F3757" s="5"/>
      <c r="J3757" s="5"/>
      <c r="K3757" s="5"/>
      <c r="L3757" s="5"/>
      <c r="M3757" s="5"/>
      <c r="N3757" s="6"/>
      <c r="O3757" s="7"/>
      <c r="P3757" s="5"/>
      <c r="Q3757" s="5"/>
      <c r="R3757" s="5"/>
      <c r="S3757" s="5"/>
      <c r="T3757" s="5"/>
      <c r="U3757" s="5"/>
      <c r="V3757" s="5"/>
      <c r="W3757" s="5"/>
      <c r="X3757" s="5"/>
      <c r="Z3757" s="5"/>
      <c r="AA3757" s="5"/>
      <c r="AB3757" s="5"/>
      <c r="AD3757" s="9"/>
    </row>
    <row r="3758" spans="1:30" ht="12.5">
      <c r="A3758" s="4"/>
      <c r="B3758" s="5"/>
      <c r="C3758" s="5"/>
      <c r="D3758" s="5"/>
      <c r="F3758" s="5"/>
      <c r="J3758" s="5"/>
      <c r="K3758" s="5"/>
      <c r="L3758" s="5"/>
      <c r="M3758" s="5"/>
      <c r="N3758" s="6"/>
      <c r="O3758" s="7"/>
      <c r="P3758" s="5"/>
      <c r="Q3758" s="5"/>
      <c r="R3758" s="5"/>
      <c r="S3758" s="5"/>
      <c r="T3758" s="5"/>
      <c r="U3758" s="5"/>
      <c r="V3758" s="5"/>
      <c r="W3758" s="5"/>
      <c r="X3758" s="5"/>
      <c r="Z3758" s="5"/>
      <c r="AA3758" s="5"/>
      <c r="AB3758" s="5"/>
      <c r="AD3758" s="9"/>
    </row>
    <row r="3759" spans="1:30" ht="12.5">
      <c r="A3759" s="4"/>
      <c r="B3759" s="5"/>
      <c r="C3759" s="5"/>
      <c r="D3759" s="5"/>
      <c r="F3759" s="5"/>
      <c r="J3759" s="5"/>
      <c r="K3759" s="5"/>
      <c r="L3759" s="5"/>
      <c r="M3759" s="5"/>
      <c r="N3759" s="6"/>
      <c r="O3759" s="7"/>
      <c r="P3759" s="5"/>
      <c r="Q3759" s="5"/>
      <c r="R3759" s="5"/>
      <c r="S3759" s="5"/>
      <c r="T3759" s="5"/>
      <c r="U3759" s="5"/>
      <c r="V3759" s="5"/>
      <c r="W3759" s="5"/>
      <c r="X3759" s="5"/>
      <c r="Z3759" s="5"/>
      <c r="AA3759" s="5"/>
      <c r="AB3759" s="5"/>
      <c r="AD3759" s="9"/>
    </row>
    <row r="3760" spans="1:30" ht="12.5">
      <c r="A3760" s="4"/>
      <c r="B3760" s="5"/>
      <c r="C3760" s="5"/>
      <c r="D3760" s="5"/>
      <c r="F3760" s="5"/>
      <c r="J3760" s="5"/>
      <c r="K3760" s="5"/>
      <c r="L3760" s="5"/>
      <c r="M3760" s="5"/>
      <c r="N3760" s="6"/>
      <c r="O3760" s="7"/>
      <c r="P3760" s="5"/>
      <c r="Q3760" s="5"/>
      <c r="R3760" s="5"/>
      <c r="S3760" s="5"/>
      <c r="T3760" s="5"/>
      <c r="U3760" s="5"/>
      <c r="V3760" s="5"/>
      <c r="W3760" s="5"/>
      <c r="X3760" s="5"/>
      <c r="Z3760" s="5"/>
      <c r="AA3760" s="5"/>
      <c r="AB3760" s="5"/>
      <c r="AD3760" s="9"/>
    </row>
    <row r="3761" spans="1:30" ht="12.5">
      <c r="A3761" s="4"/>
      <c r="B3761" s="5"/>
      <c r="C3761" s="5"/>
      <c r="D3761" s="5"/>
      <c r="F3761" s="5"/>
      <c r="J3761" s="5"/>
      <c r="K3761" s="5"/>
      <c r="L3761" s="5"/>
      <c r="M3761" s="5"/>
      <c r="N3761" s="6"/>
      <c r="O3761" s="7"/>
      <c r="P3761" s="5"/>
      <c r="Q3761" s="5"/>
      <c r="R3761" s="5"/>
      <c r="S3761" s="5"/>
      <c r="T3761" s="5"/>
      <c r="U3761" s="5"/>
      <c r="V3761" s="5"/>
      <c r="W3761" s="5"/>
      <c r="X3761" s="5"/>
      <c r="Z3761" s="5"/>
      <c r="AA3761" s="5"/>
      <c r="AB3761" s="5"/>
      <c r="AD3761" s="9"/>
    </row>
    <row r="3762" spans="1:30" ht="12.5">
      <c r="A3762" s="4"/>
      <c r="B3762" s="5"/>
      <c r="C3762" s="5"/>
      <c r="D3762" s="5"/>
      <c r="F3762" s="5"/>
      <c r="J3762" s="5"/>
      <c r="K3762" s="5"/>
      <c r="L3762" s="5"/>
      <c r="M3762" s="5"/>
      <c r="N3762" s="6"/>
      <c r="O3762" s="7"/>
      <c r="P3762" s="5"/>
      <c r="Q3762" s="5"/>
      <c r="R3762" s="5"/>
      <c r="S3762" s="5"/>
      <c r="T3762" s="5"/>
      <c r="U3762" s="5"/>
      <c r="V3762" s="5"/>
      <c r="W3762" s="5"/>
      <c r="X3762" s="5"/>
      <c r="Z3762" s="5"/>
      <c r="AA3762" s="5"/>
      <c r="AB3762" s="5"/>
      <c r="AD3762" s="9"/>
    </row>
    <row r="3763" spans="1:30" ht="12.5">
      <c r="A3763" s="4"/>
      <c r="B3763" s="5"/>
      <c r="C3763" s="5"/>
      <c r="D3763" s="5"/>
      <c r="F3763" s="5"/>
      <c r="J3763" s="5"/>
      <c r="K3763" s="5"/>
      <c r="L3763" s="5"/>
      <c r="M3763" s="5"/>
      <c r="N3763" s="6"/>
      <c r="O3763" s="7"/>
      <c r="P3763" s="5"/>
      <c r="Q3763" s="5"/>
      <c r="R3763" s="5"/>
      <c r="S3763" s="5"/>
      <c r="T3763" s="5"/>
      <c r="U3763" s="5"/>
      <c r="V3763" s="5"/>
      <c r="W3763" s="5"/>
      <c r="X3763" s="5"/>
      <c r="Z3763" s="5"/>
      <c r="AA3763" s="5"/>
      <c r="AB3763" s="5"/>
      <c r="AD3763" s="9"/>
    </row>
    <row r="3764" spans="1:30" ht="12.5">
      <c r="A3764" s="4"/>
      <c r="B3764" s="5"/>
      <c r="C3764" s="5"/>
      <c r="D3764" s="5"/>
      <c r="F3764" s="5"/>
      <c r="J3764" s="5"/>
      <c r="K3764" s="5"/>
      <c r="L3764" s="5"/>
      <c r="M3764" s="5"/>
      <c r="N3764" s="6"/>
      <c r="O3764" s="7"/>
      <c r="P3764" s="5"/>
      <c r="Q3764" s="5"/>
      <c r="R3764" s="5"/>
      <c r="S3764" s="5"/>
      <c r="T3764" s="5"/>
      <c r="U3764" s="5"/>
      <c r="V3764" s="5"/>
      <c r="W3764" s="5"/>
      <c r="X3764" s="5"/>
      <c r="Z3764" s="5"/>
      <c r="AA3764" s="5"/>
      <c r="AB3764" s="5"/>
      <c r="AD3764" s="9"/>
    </row>
    <row r="3765" spans="1:30" ht="12.5">
      <c r="A3765" s="4"/>
      <c r="B3765" s="5"/>
      <c r="C3765" s="5"/>
      <c r="D3765" s="5"/>
      <c r="F3765" s="5"/>
      <c r="J3765" s="5"/>
      <c r="K3765" s="5"/>
      <c r="L3765" s="5"/>
      <c r="M3765" s="5"/>
      <c r="N3765" s="6"/>
      <c r="O3765" s="7"/>
      <c r="P3765" s="5"/>
      <c r="Q3765" s="5"/>
      <c r="R3765" s="5"/>
      <c r="S3765" s="5"/>
      <c r="T3765" s="5"/>
      <c r="U3765" s="5"/>
      <c r="V3765" s="5"/>
      <c r="W3765" s="5"/>
      <c r="X3765" s="5"/>
      <c r="Z3765" s="5"/>
      <c r="AA3765" s="5"/>
      <c r="AB3765" s="5"/>
      <c r="AD3765" s="9"/>
    </row>
    <row r="3766" spans="1:30" ht="12.5">
      <c r="A3766" s="4"/>
      <c r="B3766" s="5"/>
      <c r="C3766" s="5"/>
      <c r="D3766" s="5"/>
      <c r="F3766" s="5"/>
      <c r="J3766" s="5"/>
      <c r="K3766" s="5"/>
      <c r="L3766" s="5"/>
      <c r="M3766" s="5"/>
      <c r="N3766" s="6"/>
      <c r="O3766" s="7"/>
      <c r="P3766" s="5"/>
      <c r="Q3766" s="5"/>
      <c r="R3766" s="5"/>
      <c r="S3766" s="5"/>
      <c r="T3766" s="5"/>
      <c r="U3766" s="5"/>
      <c r="V3766" s="5"/>
      <c r="W3766" s="5"/>
      <c r="X3766" s="5"/>
      <c r="Z3766" s="5"/>
      <c r="AA3766" s="5"/>
      <c r="AB3766" s="5"/>
      <c r="AD3766" s="9"/>
    </row>
    <row r="3767" spans="1:30" ht="12.5">
      <c r="A3767" s="4"/>
      <c r="B3767" s="5"/>
      <c r="C3767" s="5"/>
      <c r="D3767" s="5"/>
      <c r="F3767" s="5"/>
      <c r="J3767" s="5"/>
      <c r="K3767" s="5"/>
      <c r="L3767" s="5"/>
      <c r="M3767" s="5"/>
      <c r="N3767" s="6"/>
      <c r="O3767" s="7"/>
      <c r="P3767" s="5"/>
      <c r="Q3767" s="5"/>
      <c r="R3767" s="5"/>
      <c r="S3767" s="5"/>
      <c r="T3767" s="5"/>
      <c r="U3767" s="5"/>
      <c r="V3767" s="5"/>
      <c r="W3767" s="5"/>
      <c r="X3767" s="5"/>
      <c r="Z3767" s="5"/>
      <c r="AA3767" s="5"/>
      <c r="AB3767" s="5"/>
      <c r="AD3767" s="9"/>
    </row>
    <row r="3768" spans="1:30" ht="12.5">
      <c r="A3768" s="4"/>
      <c r="B3768" s="5"/>
      <c r="C3768" s="5"/>
      <c r="D3768" s="5"/>
      <c r="F3768" s="5"/>
      <c r="J3768" s="5"/>
      <c r="K3768" s="5"/>
      <c r="L3768" s="5"/>
      <c r="M3768" s="5"/>
      <c r="N3768" s="6"/>
      <c r="O3768" s="7"/>
      <c r="P3768" s="5"/>
      <c r="Q3768" s="5"/>
      <c r="R3768" s="5"/>
      <c r="S3768" s="5"/>
      <c r="T3768" s="5"/>
      <c r="U3768" s="5"/>
      <c r="V3768" s="5"/>
      <c r="W3768" s="5"/>
      <c r="X3768" s="5"/>
      <c r="Z3768" s="5"/>
      <c r="AA3768" s="5"/>
      <c r="AB3768" s="5"/>
      <c r="AD3768" s="9"/>
    </row>
    <row r="3769" spans="1:30" ht="12.5">
      <c r="A3769" s="4"/>
      <c r="B3769" s="5"/>
      <c r="C3769" s="5"/>
      <c r="D3769" s="5"/>
      <c r="F3769" s="5"/>
      <c r="J3769" s="5"/>
      <c r="K3769" s="5"/>
      <c r="L3769" s="5"/>
      <c r="M3769" s="5"/>
      <c r="N3769" s="6"/>
      <c r="O3769" s="7"/>
      <c r="P3769" s="5"/>
      <c r="Q3769" s="5"/>
      <c r="R3769" s="5"/>
      <c r="S3769" s="5"/>
      <c r="T3769" s="5"/>
      <c r="U3769" s="5"/>
      <c r="V3769" s="5"/>
      <c r="W3769" s="5"/>
      <c r="X3769" s="5"/>
      <c r="Z3769" s="5"/>
      <c r="AA3769" s="5"/>
      <c r="AB3769" s="5"/>
      <c r="AD3769" s="9"/>
    </row>
    <row r="3770" spans="1:30" ht="12.5">
      <c r="A3770" s="4"/>
      <c r="B3770" s="5"/>
      <c r="C3770" s="5"/>
      <c r="D3770" s="5"/>
      <c r="F3770" s="5"/>
      <c r="J3770" s="5"/>
      <c r="K3770" s="5"/>
      <c r="L3770" s="5"/>
      <c r="M3770" s="5"/>
      <c r="N3770" s="6"/>
      <c r="O3770" s="7"/>
      <c r="P3770" s="5"/>
      <c r="Q3770" s="5"/>
      <c r="R3770" s="5"/>
      <c r="S3770" s="5"/>
      <c r="T3770" s="5"/>
      <c r="U3770" s="5"/>
      <c r="V3770" s="5"/>
      <c r="W3770" s="5"/>
      <c r="X3770" s="5"/>
      <c r="Z3770" s="5"/>
      <c r="AA3770" s="5"/>
      <c r="AB3770" s="5"/>
      <c r="AD3770" s="9"/>
    </row>
    <row r="3771" spans="1:30" ht="12.5">
      <c r="A3771" s="4"/>
      <c r="B3771" s="5"/>
      <c r="C3771" s="5"/>
      <c r="D3771" s="5"/>
      <c r="F3771" s="5"/>
      <c r="J3771" s="5"/>
      <c r="K3771" s="5"/>
      <c r="L3771" s="5"/>
      <c r="M3771" s="5"/>
      <c r="N3771" s="6"/>
      <c r="O3771" s="7"/>
      <c r="P3771" s="5"/>
      <c r="Q3771" s="5"/>
      <c r="R3771" s="5"/>
      <c r="S3771" s="5"/>
      <c r="T3771" s="5"/>
      <c r="U3771" s="5"/>
      <c r="V3771" s="5"/>
      <c r="W3771" s="5"/>
      <c r="X3771" s="5"/>
      <c r="Z3771" s="5"/>
      <c r="AA3771" s="5"/>
      <c r="AB3771" s="5"/>
      <c r="AD3771" s="9"/>
    </row>
    <row r="3772" spans="1:30" ht="12.5">
      <c r="A3772" s="4"/>
      <c r="B3772" s="5"/>
      <c r="C3772" s="5"/>
      <c r="D3772" s="5"/>
      <c r="F3772" s="5"/>
      <c r="J3772" s="5"/>
      <c r="K3772" s="5"/>
      <c r="L3772" s="5"/>
      <c r="M3772" s="5"/>
      <c r="N3772" s="6"/>
      <c r="O3772" s="7"/>
      <c r="P3772" s="5"/>
      <c r="Q3772" s="5"/>
      <c r="R3772" s="5"/>
      <c r="S3772" s="5"/>
      <c r="T3772" s="5"/>
      <c r="U3772" s="5"/>
      <c r="V3772" s="5"/>
      <c r="W3772" s="5"/>
      <c r="X3772" s="5"/>
      <c r="Z3772" s="5"/>
      <c r="AA3772" s="5"/>
      <c r="AB3772" s="5"/>
      <c r="AD3772" s="9"/>
    </row>
    <row r="3773" spans="1:30" ht="12.5">
      <c r="A3773" s="4"/>
      <c r="B3773" s="5"/>
      <c r="C3773" s="5"/>
      <c r="D3773" s="5"/>
      <c r="F3773" s="5"/>
      <c r="J3773" s="5"/>
      <c r="K3773" s="5"/>
      <c r="L3773" s="5"/>
      <c r="M3773" s="5"/>
      <c r="N3773" s="6"/>
      <c r="O3773" s="7"/>
      <c r="P3773" s="5"/>
      <c r="Q3773" s="5"/>
      <c r="R3773" s="5"/>
      <c r="S3773" s="5"/>
      <c r="T3773" s="5"/>
      <c r="U3773" s="5"/>
      <c r="V3773" s="5"/>
      <c r="W3773" s="5"/>
      <c r="X3773" s="5"/>
      <c r="Z3773" s="5"/>
      <c r="AA3773" s="5"/>
      <c r="AB3773" s="5"/>
      <c r="AD3773" s="9"/>
    </row>
    <row r="3774" spans="1:30" ht="12.5">
      <c r="A3774" s="4"/>
      <c r="B3774" s="5"/>
      <c r="C3774" s="5"/>
      <c r="D3774" s="5"/>
      <c r="F3774" s="5"/>
      <c r="J3774" s="5"/>
      <c r="K3774" s="5"/>
      <c r="L3774" s="5"/>
      <c r="M3774" s="5"/>
      <c r="N3774" s="6"/>
      <c r="O3774" s="7"/>
      <c r="P3774" s="5"/>
      <c r="Q3774" s="5"/>
      <c r="R3774" s="5"/>
      <c r="S3774" s="5"/>
      <c r="T3774" s="5"/>
      <c r="U3774" s="5"/>
      <c r="V3774" s="5"/>
      <c r="W3774" s="5"/>
      <c r="X3774" s="5"/>
      <c r="Z3774" s="5"/>
      <c r="AA3774" s="5"/>
      <c r="AB3774" s="5"/>
      <c r="AD3774" s="9"/>
    </row>
    <row r="3775" spans="1:30" ht="12.5">
      <c r="A3775" s="4"/>
      <c r="B3775" s="5"/>
      <c r="C3775" s="5"/>
      <c r="D3775" s="5"/>
      <c r="F3775" s="5"/>
      <c r="J3775" s="5"/>
      <c r="K3775" s="5"/>
      <c r="L3775" s="5"/>
      <c r="M3775" s="5"/>
      <c r="N3775" s="6"/>
      <c r="O3775" s="7"/>
      <c r="P3775" s="5"/>
      <c r="Q3775" s="5"/>
      <c r="R3775" s="5"/>
      <c r="S3775" s="5"/>
      <c r="T3775" s="5"/>
      <c r="U3775" s="5"/>
      <c r="V3775" s="5"/>
      <c r="W3775" s="5"/>
      <c r="X3775" s="5"/>
      <c r="Z3775" s="5"/>
      <c r="AA3775" s="5"/>
      <c r="AB3775" s="5"/>
      <c r="AD3775" s="9"/>
    </row>
    <row r="3776" spans="1:30" ht="12.5">
      <c r="A3776" s="4"/>
      <c r="B3776" s="5"/>
      <c r="C3776" s="5"/>
      <c r="D3776" s="5"/>
      <c r="F3776" s="5"/>
      <c r="J3776" s="5"/>
      <c r="K3776" s="5"/>
      <c r="L3776" s="5"/>
      <c r="M3776" s="5"/>
      <c r="N3776" s="6"/>
      <c r="O3776" s="7"/>
      <c r="P3776" s="5"/>
      <c r="Q3776" s="5"/>
      <c r="R3776" s="5"/>
      <c r="S3776" s="5"/>
      <c r="T3776" s="5"/>
      <c r="U3776" s="5"/>
      <c r="V3776" s="5"/>
      <c r="W3776" s="5"/>
      <c r="X3776" s="5"/>
      <c r="Z3776" s="5"/>
      <c r="AA3776" s="5"/>
      <c r="AB3776" s="5"/>
      <c r="AD3776" s="9"/>
    </row>
    <row r="3777" spans="1:30" ht="12.5">
      <c r="A3777" s="4"/>
      <c r="B3777" s="5"/>
      <c r="C3777" s="5"/>
      <c r="D3777" s="5"/>
      <c r="F3777" s="5"/>
      <c r="J3777" s="5"/>
      <c r="K3777" s="5"/>
      <c r="L3777" s="5"/>
      <c r="M3777" s="5"/>
      <c r="N3777" s="6"/>
      <c r="O3777" s="7"/>
      <c r="P3777" s="5"/>
      <c r="Q3777" s="5"/>
      <c r="R3777" s="5"/>
      <c r="S3777" s="5"/>
      <c r="T3777" s="5"/>
      <c r="U3777" s="5"/>
      <c r="V3777" s="5"/>
      <c r="W3777" s="5"/>
      <c r="X3777" s="5"/>
      <c r="Z3777" s="5"/>
      <c r="AA3777" s="5"/>
      <c r="AB3777" s="5"/>
      <c r="AD3777" s="9"/>
    </row>
    <row r="3778" spans="1:30" ht="12.5">
      <c r="A3778" s="4"/>
      <c r="B3778" s="5"/>
      <c r="C3778" s="5"/>
      <c r="D3778" s="5"/>
      <c r="F3778" s="5"/>
      <c r="J3778" s="5"/>
      <c r="K3778" s="5"/>
      <c r="L3778" s="5"/>
      <c r="M3778" s="5"/>
      <c r="N3778" s="6"/>
      <c r="O3778" s="7"/>
      <c r="P3778" s="5"/>
      <c r="Q3778" s="5"/>
      <c r="R3778" s="5"/>
      <c r="S3778" s="5"/>
      <c r="T3778" s="5"/>
      <c r="U3778" s="5"/>
      <c r="V3778" s="5"/>
      <c r="W3778" s="5"/>
      <c r="X3778" s="5"/>
      <c r="Z3778" s="5"/>
      <c r="AA3778" s="5"/>
      <c r="AB3778" s="5"/>
      <c r="AD3778" s="9"/>
    </row>
    <row r="3779" spans="1:30" ht="12.5">
      <c r="A3779" s="4"/>
      <c r="B3779" s="5"/>
      <c r="C3779" s="5"/>
      <c r="D3779" s="5"/>
      <c r="F3779" s="5"/>
      <c r="J3779" s="5"/>
      <c r="K3779" s="5"/>
      <c r="L3779" s="5"/>
      <c r="M3779" s="5"/>
      <c r="N3779" s="6"/>
      <c r="O3779" s="7"/>
      <c r="P3779" s="5"/>
      <c r="Q3779" s="5"/>
      <c r="R3779" s="5"/>
      <c r="S3779" s="5"/>
      <c r="T3779" s="5"/>
      <c r="U3779" s="5"/>
      <c r="V3779" s="5"/>
      <c r="W3779" s="5"/>
      <c r="X3779" s="5"/>
      <c r="Z3779" s="5"/>
      <c r="AA3779" s="5"/>
      <c r="AB3779" s="5"/>
      <c r="AD3779" s="9"/>
    </row>
    <row r="3780" spans="1:30" ht="12.5">
      <c r="A3780" s="4"/>
      <c r="B3780" s="5"/>
      <c r="C3780" s="5"/>
      <c r="D3780" s="5"/>
      <c r="F3780" s="5"/>
      <c r="J3780" s="5"/>
      <c r="K3780" s="5"/>
      <c r="L3780" s="5"/>
      <c r="M3780" s="5"/>
      <c r="N3780" s="6"/>
      <c r="O3780" s="7"/>
      <c r="P3780" s="5"/>
      <c r="Q3780" s="5"/>
      <c r="R3780" s="5"/>
      <c r="S3780" s="5"/>
      <c r="T3780" s="5"/>
      <c r="U3780" s="5"/>
      <c r="V3780" s="5"/>
      <c r="W3780" s="5"/>
      <c r="X3780" s="5"/>
      <c r="Z3780" s="5"/>
      <c r="AA3780" s="5"/>
      <c r="AB3780" s="5"/>
      <c r="AD3780" s="9"/>
    </row>
    <row r="3781" spans="1:30" ht="12.5">
      <c r="A3781" s="4"/>
      <c r="B3781" s="5"/>
      <c r="C3781" s="5"/>
      <c r="D3781" s="5"/>
      <c r="F3781" s="5"/>
      <c r="J3781" s="5"/>
      <c r="K3781" s="5"/>
      <c r="L3781" s="5"/>
      <c r="M3781" s="5"/>
      <c r="N3781" s="6"/>
      <c r="O3781" s="7"/>
      <c r="P3781" s="5"/>
      <c r="Q3781" s="5"/>
      <c r="R3781" s="5"/>
      <c r="S3781" s="5"/>
      <c r="T3781" s="5"/>
      <c r="U3781" s="5"/>
      <c r="V3781" s="5"/>
      <c r="W3781" s="5"/>
      <c r="X3781" s="5"/>
      <c r="Z3781" s="5"/>
      <c r="AA3781" s="5"/>
      <c r="AB3781" s="5"/>
      <c r="AD3781" s="9"/>
    </row>
    <row r="3782" spans="1:30" ht="12.5">
      <c r="A3782" s="4"/>
      <c r="B3782" s="5"/>
      <c r="C3782" s="5"/>
      <c r="D3782" s="5"/>
      <c r="F3782" s="5"/>
      <c r="J3782" s="5"/>
      <c r="K3782" s="5"/>
      <c r="L3782" s="5"/>
      <c r="M3782" s="5"/>
      <c r="N3782" s="6"/>
      <c r="O3782" s="7"/>
      <c r="P3782" s="5"/>
      <c r="Q3782" s="5"/>
      <c r="R3782" s="5"/>
      <c r="S3782" s="5"/>
      <c r="T3782" s="5"/>
      <c r="U3782" s="5"/>
      <c r="V3782" s="5"/>
      <c r="W3782" s="5"/>
      <c r="X3782" s="5"/>
      <c r="Z3782" s="5"/>
      <c r="AA3782" s="5"/>
      <c r="AB3782" s="5"/>
      <c r="AD3782" s="9"/>
    </row>
    <row r="3783" spans="1:30" ht="12.5">
      <c r="A3783" s="4"/>
      <c r="B3783" s="5"/>
      <c r="C3783" s="5"/>
      <c r="D3783" s="5"/>
      <c r="F3783" s="5"/>
      <c r="J3783" s="5"/>
      <c r="K3783" s="5"/>
      <c r="L3783" s="5"/>
      <c r="M3783" s="5"/>
      <c r="N3783" s="6"/>
      <c r="O3783" s="7"/>
      <c r="P3783" s="5"/>
      <c r="Q3783" s="5"/>
      <c r="R3783" s="5"/>
      <c r="S3783" s="5"/>
      <c r="T3783" s="5"/>
      <c r="U3783" s="5"/>
      <c r="V3783" s="5"/>
      <c r="W3783" s="5"/>
      <c r="X3783" s="5"/>
      <c r="Z3783" s="5"/>
      <c r="AA3783" s="5"/>
      <c r="AB3783" s="5"/>
      <c r="AD3783" s="9"/>
    </row>
    <row r="3784" spans="1:30" ht="12.5">
      <c r="A3784" s="4"/>
      <c r="B3784" s="5"/>
      <c r="C3784" s="5"/>
      <c r="D3784" s="5"/>
      <c r="F3784" s="5"/>
      <c r="J3784" s="5"/>
      <c r="K3784" s="5"/>
      <c r="L3784" s="5"/>
      <c r="M3784" s="5"/>
      <c r="N3784" s="6"/>
      <c r="O3784" s="7"/>
      <c r="P3784" s="5"/>
      <c r="Q3784" s="5"/>
      <c r="R3784" s="5"/>
      <c r="S3784" s="5"/>
      <c r="T3784" s="5"/>
      <c r="U3784" s="5"/>
      <c r="V3784" s="5"/>
      <c r="W3784" s="5"/>
      <c r="X3784" s="5"/>
      <c r="Z3784" s="5"/>
      <c r="AA3784" s="5"/>
      <c r="AB3784" s="5"/>
      <c r="AD3784" s="9"/>
    </row>
    <row r="3785" spans="1:30" ht="12.5">
      <c r="A3785" s="4"/>
      <c r="B3785" s="5"/>
      <c r="C3785" s="5"/>
      <c r="D3785" s="5"/>
      <c r="F3785" s="5"/>
      <c r="J3785" s="5"/>
      <c r="K3785" s="5"/>
      <c r="L3785" s="5"/>
      <c r="M3785" s="5"/>
      <c r="N3785" s="6"/>
      <c r="O3785" s="7"/>
      <c r="P3785" s="5"/>
      <c r="Q3785" s="5"/>
      <c r="R3785" s="5"/>
      <c r="S3785" s="5"/>
      <c r="T3785" s="5"/>
      <c r="U3785" s="5"/>
      <c r="V3785" s="5"/>
      <c r="W3785" s="5"/>
      <c r="X3785" s="5"/>
      <c r="Z3785" s="5"/>
      <c r="AA3785" s="5"/>
      <c r="AB3785" s="5"/>
      <c r="AD3785" s="9"/>
    </row>
    <row r="3786" spans="1:30" ht="12.5">
      <c r="A3786" s="4"/>
      <c r="B3786" s="5"/>
      <c r="C3786" s="5"/>
      <c r="D3786" s="5"/>
      <c r="F3786" s="5"/>
      <c r="J3786" s="5"/>
      <c r="K3786" s="5"/>
      <c r="L3786" s="5"/>
      <c r="M3786" s="5"/>
      <c r="N3786" s="6"/>
      <c r="O3786" s="7"/>
      <c r="P3786" s="5"/>
      <c r="Q3786" s="5"/>
      <c r="R3786" s="5"/>
      <c r="S3786" s="5"/>
      <c r="T3786" s="5"/>
      <c r="U3786" s="5"/>
      <c r="V3786" s="5"/>
      <c r="W3786" s="5"/>
      <c r="X3786" s="5"/>
      <c r="Z3786" s="5"/>
      <c r="AA3786" s="5"/>
      <c r="AB3786" s="5"/>
      <c r="AD3786" s="9"/>
    </row>
    <row r="3787" spans="1:30" ht="12.5">
      <c r="A3787" s="4"/>
      <c r="B3787" s="5"/>
      <c r="C3787" s="5"/>
      <c r="D3787" s="5"/>
      <c r="F3787" s="5"/>
      <c r="J3787" s="5"/>
      <c r="K3787" s="5"/>
      <c r="L3787" s="5"/>
      <c r="M3787" s="5"/>
      <c r="N3787" s="6"/>
      <c r="O3787" s="7"/>
      <c r="P3787" s="5"/>
      <c r="Q3787" s="5"/>
      <c r="R3787" s="5"/>
      <c r="S3787" s="5"/>
      <c r="T3787" s="5"/>
      <c r="U3787" s="5"/>
      <c r="V3787" s="5"/>
      <c r="W3787" s="5"/>
      <c r="X3787" s="5"/>
      <c r="Z3787" s="5"/>
      <c r="AA3787" s="5"/>
      <c r="AB3787" s="5"/>
      <c r="AD3787" s="9"/>
    </row>
    <row r="3788" spans="1:30" ht="12.5">
      <c r="A3788" s="4"/>
      <c r="B3788" s="5"/>
      <c r="C3788" s="5"/>
      <c r="D3788" s="5"/>
      <c r="F3788" s="5"/>
      <c r="J3788" s="5"/>
      <c r="K3788" s="5"/>
      <c r="L3788" s="5"/>
      <c r="M3788" s="5"/>
      <c r="N3788" s="6"/>
      <c r="O3788" s="7"/>
      <c r="P3788" s="5"/>
      <c r="Q3788" s="5"/>
      <c r="R3788" s="5"/>
      <c r="S3788" s="5"/>
      <c r="T3788" s="5"/>
      <c r="U3788" s="5"/>
      <c r="V3788" s="5"/>
      <c r="W3788" s="5"/>
      <c r="X3788" s="5"/>
      <c r="Z3788" s="5"/>
      <c r="AA3788" s="5"/>
      <c r="AB3788" s="5"/>
      <c r="AD3788" s="9"/>
    </row>
    <row r="3789" spans="1:30" ht="12.5">
      <c r="A3789" s="4"/>
      <c r="B3789" s="5"/>
      <c r="C3789" s="5"/>
      <c r="D3789" s="5"/>
      <c r="F3789" s="5"/>
      <c r="J3789" s="5"/>
      <c r="K3789" s="5"/>
      <c r="L3789" s="5"/>
      <c r="M3789" s="5"/>
      <c r="N3789" s="6"/>
      <c r="O3789" s="7"/>
      <c r="P3789" s="5"/>
      <c r="Q3789" s="5"/>
      <c r="R3789" s="5"/>
      <c r="S3789" s="5"/>
      <c r="T3789" s="5"/>
      <c r="U3789" s="5"/>
      <c r="V3789" s="5"/>
      <c r="W3789" s="5"/>
      <c r="X3789" s="5"/>
      <c r="Z3789" s="5"/>
      <c r="AA3789" s="5"/>
      <c r="AB3789" s="5"/>
      <c r="AD3789" s="9"/>
    </row>
    <row r="3790" spans="1:30" ht="12.5">
      <c r="A3790" s="4"/>
      <c r="B3790" s="5"/>
      <c r="C3790" s="5"/>
      <c r="D3790" s="5"/>
      <c r="F3790" s="5"/>
      <c r="J3790" s="5"/>
      <c r="K3790" s="5"/>
      <c r="L3790" s="5"/>
      <c r="M3790" s="5"/>
      <c r="N3790" s="6"/>
      <c r="O3790" s="7"/>
      <c r="P3790" s="5"/>
      <c r="Q3790" s="5"/>
      <c r="R3790" s="5"/>
      <c r="S3790" s="5"/>
      <c r="T3790" s="5"/>
      <c r="U3790" s="5"/>
      <c r="V3790" s="5"/>
      <c r="W3790" s="5"/>
      <c r="X3790" s="5"/>
      <c r="Z3790" s="5"/>
      <c r="AA3790" s="5"/>
      <c r="AB3790" s="5"/>
      <c r="AD3790" s="9"/>
    </row>
    <row r="3791" spans="1:30" ht="12.5">
      <c r="A3791" s="4"/>
      <c r="B3791" s="5"/>
      <c r="C3791" s="5"/>
      <c r="D3791" s="5"/>
      <c r="F3791" s="5"/>
      <c r="J3791" s="5"/>
      <c r="K3791" s="5"/>
      <c r="L3791" s="5"/>
      <c r="M3791" s="5"/>
      <c r="N3791" s="6"/>
      <c r="O3791" s="7"/>
      <c r="P3791" s="5"/>
      <c r="Q3791" s="5"/>
      <c r="R3791" s="5"/>
      <c r="S3791" s="5"/>
      <c r="T3791" s="5"/>
      <c r="U3791" s="5"/>
      <c r="V3791" s="5"/>
      <c r="W3791" s="5"/>
      <c r="X3791" s="5"/>
      <c r="Z3791" s="5"/>
      <c r="AA3791" s="5"/>
      <c r="AB3791" s="5"/>
      <c r="AD3791" s="9"/>
    </row>
    <row r="3792" spans="1:30" ht="12.5">
      <c r="A3792" s="4"/>
      <c r="B3792" s="5"/>
      <c r="C3792" s="5"/>
      <c r="D3792" s="5"/>
      <c r="F3792" s="5"/>
      <c r="J3792" s="5"/>
      <c r="K3792" s="5"/>
      <c r="L3792" s="5"/>
      <c r="M3792" s="5"/>
      <c r="N3792" s="6"/>
      <c r="O3792" s="7"/>
      <c r="P3792" s="5"/>
      <c r="Q3792" s="5"/>
      <c r="R3792" s="5"/>
      <c r="S3792" s="5"/>
      <c r="T3792" s="5"/>
      <c r="U3792" s="5"/>
      <c r="V3792" s="5"/>
      <c r="W3792" s="5"/>
      <c r="X3792" s="5"/>
      <c r="Z3792" s="5"/>
      <c r="AA3792" s="5"/>
      <c r="AB3792" s="5"/>
      <c r="AD3792" s="9"/>
    </row>
    <row r="3793" spans="1:30" ht="12.5">
      <c r="A3793" s="4"/>
      <c r="B3793" s="5"/>
      <c r="C3793" s="5"/>
      <c r="D3793" s="5"/>
      <c r="F3793" s="5"/>
      <c r="J3793" s="5"/>
      <c r="K3793" s="5"/>
      <c r="L3793" s="5"/>
      <c r="M3793" s="5"/>
      <c r="N3793" s="6"/>
      <c r="O3793" s="7"/>
      <c r="P3793" s="5"/>
      <c r="Q3793" s="5"/>
      <c r="R3793" s="5"/>
      <c r="S3793" s="5"/>
      <c r="T3793" s="5"/>
      <c r="U3793" s="5"/>
      <c r="V3793" s="5"/>
      <c r="W3793" s="5"/>
      <c r="X3793" s="5"/>
      <c r="Z3793" s="5"/>
      <c r="AA3793" s="5"/>
      <c r="AB3793" s="5"/>
      <c r="AD3793" s="9"/>
    </row>
    <row r="3794" spans="1:30" ht="12.5">
      <c r="A3794" s="4"/>
      <c r="B3794" s="5"/>
      <c r="C3794" s="5"/>
      <c r="D3794" s="5"/>
      <c r="F3794" s="5"/>
      <c r="J3794" s="5"/>
      <c r="K3794" s="5"/>
      <c r="L3794" s="5"/>
      <c r="M3794" s="5"/>
      <c r="N3794" s="6"/>
      <c r="O3794" s="7"/>
      <c r="P3794" s="5"/>
      <c r="Q3794" s="5"/>
      <c r="R3794" s="5"/>
      <c r="S3794" s="5"/>
      <c r="T3794" s="5"/>
      <c r="U3794" s="5"/>
      <c r="V3794" s="5"/>
      <c r="W3794" s="5"/>
      <c r="X3794" s="5"/>
      <c r="Z3794" s="5"/>
      <c r="AA3794" s="5"/>
      <c r="AB3794" s="5"/>
      <c r="AD3794" s="9"/>
    </row>
    <row r="3795" spans="1:30" ht="12.5">
      <c r="A3795" s="4"/>
      <c r="B3795" s="5"/>
      <c r="C3795" s="5"/>
      <c r="D3795" s="5"/>
      <c r="F3795" s="5"/>
      <c r="J3795" s="5"/>
      <c r="K3795" s="5"/>
      <c r="L3795" s="5"/>
      <c r="M3795" s="5"/>
      <c r="N3795" s="6"/>
      <c r="O3795" s="7"/>
      <c r="P3795" s="5"/>
      <c r="Q3795" s="5"/>
      <c r="R3795" s="5"/>
      <c r="S3795" s="5"/>
      <c r="T3795" s="5"/>
      <c r="U3795" s="5"/>
      <c r="V3795" s="5"/>
      <c r="W3795" s="5"/>
      <c r="X3795" s="5"/>
      <c r="Z3795" s="5"/>
      <c r="AA3795" s="5"/>
      <c r="AB3795" s="5"/>
      <c r="AD3795" s="9"/>
    </row>
    <row r="3796" spans="1:30" ht="12.5">
      <c r="A3796" s="4"/>
      <c r="B3796" s="5"/>
      <c r="C3796" s="5"/>
      <c r="D3796" s="5"/>
      <c r="F3796" s="5"/>
      <c r="J3796" s="5"/>
      <c r="K3796" s="5"/>
      <c r="L3796" s="5"/>
      <c r="M3796" s="5"/>
      <c r="N3796" s="6"/>
      <c r="O3796" s="7"/>
      <c r="P3796" s="5"/>
      <c r="Q3796" s="5"/>
      <c r="R3796" s="5"/>
      <c r="S3796" s="5"/>
      <c r="T3796" s="5"/>
      <c r="U3796" s="5"/>
      <c r="V3796" s="5"/>
      <c r="W3796" s="5"/>
      <c r="X3796" s="5"/>
      <c r="Z3796" s="5"/>
      <c r="AA3796" s="5"/>
      <c r="AB3796" s="5"/>
      <c r="AD3796" s="9"/>
    </row>
    <row r="3797" spans="1:30" ht="12.5">
      <c r="A3797" s="4"/>
      <c r="B3797" s="5"/>
      <c r="C3797" s="5"/>
      <c r="D3797" s="5"/>
      <c r="F3797" s="5"/>
      <c r="J3797" s="5"/>
      <c r="K3797" s="5"/>
      <c r="L3797" s="5"/>
      <c r="M3797" s="5"/>
      <c r="N3797" s="6"/>
      <c r="O3797" s="7"/>
      <c r="P3797" s="5"/>
      <c r="Q3797" s="5"/>
      <c r="R3797" s="5"/>
      <c r="S3797" s="5"/>
      <c r="T3797" s="5"/>
      <c r="U3797" s="5"/>
      <c r="V3797" s="5"/>
      <c r="W3797" s="5"/>
      <c r="X3797" s="5"/>
      <c r="Z3797" s="5"/>
      <c r="AA3797" s="5"/>
      <c r="AB3797" s="5"/>
      <c r="AD3797" s="9"/>
    </row>
    <row r="3798" spans="1:30" ht="12.5">
      <c r="A3798" s="4"/>
      <c r="B3798" s="5"/>
      <c r="C3798" s="5"/>
      <c r="D3798" s="5"/>
      <c r="F3798" s="5"/>
      <c r="J3798" s="5"/>
      <c r="K3798" s="5"/>
      <c r="L3798" s="5"/>
      <c r="M3798" s="5"/>
      <c r="N3798" s="6"/>
      <c r="O3798" s="7"/>
      <c r="P3798" s="5"/>
      <c r="Q3798" s="5"/>
      <c r="R3798" s="5"/>
      <c r="S3798" s="5"/>
      <c r="T3798" s="5"/>
      <c r="U3798" s="5"/>
      <c r="V3798" s="5"/>
      <c r="W3798" s="5"/>
      <c r="X3798" s="5"/>
      <c r="Z3798" s="5"/>
      <c r="AA3798" s="5"/>
      <c r="AB3798" s="5"/>
      <c r="AD3798" s="9"/>
    </row>
    <row r="3799" spans="1:30" ht="12.5">
      <c r="A3799" s="4"/>
      <c r="B3799" s="5"/>
      <c r="C3799" s="5"/>
      <c r="D3799" s="5"/>
      <c r="F3799" s="5"/>
      <c r="J3799" s="5"/>
      <c r="K3799" s="5"/>
      <c r="L3799" s="5"/>
      <c r="M3799" s="5"/>
      <c r="N3799" s="6"/>
      <c r="O3799" s="7"/>
      <c r="P3799" s="5"/>
      <c r="Q3799" s="5"/>
      <c r="R3799" s="5"/>
      <c r="S3799" s="5"/>
      <c r="T3799" s="5"/>
      <c r="U3799" s="5"/>
      <c r="V3799" s="5"/>
      <c r="W3799" s="5"/>
      <c r="X3799" s="5"/>
      <c r="Z3799" s="5"/>
      <c r="AA3799" s="5"/>
      <c r="AB3799" s="5"/>
      <c r="AD3799" s="9"/>
    </row>
    <row r="3800" spans="1:30" ht="12.5">
      <c r="A3800" s="4"/>
      <c r="B3800" s="5"/>
      <c r="C3800" s="5"/>
      <c r="D3800" s="5"/>
      <c r="F3800" s="5"/>
      <c r="J3800" s="5"/>
      <c r="K3800" s="5"/>
      <c r="L3800" s="5"/>
      <c r="M3800" s="5"/>
      <c r="N3800" s="6"/>
      <c r="O3800" s="7"/>
      <c r="P3800" s="5"/>
      <c r="Q3800" s="5"/>
      <c r="R3800" s="5"/>
      <c r="S3800" s="5"/>
      <c r="T3800" s="5"/>
      <c r="U3800" s="5"/>
      <c r="V3800" s="5"/>
      <c r="W3800" s="5"/>
      <c r="X3800" s="5"/>
      <c r="Z3800" s="5"/>
      <c r="AA3800" s="5"/>
      <c r="AB3800" s="5"/>
      <c r="AD3800" s="9"/>
    </row>
    <row r="3801" spans="1:30" ht="12.5">
      <c r="A3801" s="4"/>
      <c r="B3801" s="5"/>
      <c r="C3801" s="5"/>
      <c r="D3801" s="5"/>
      <c r="F3801" s="5"/>
      <c r="J3801" s="5"/>
      <c r="K3801" s="5"/>
      <c r="L3801" s="5"/>
      <c r="M3801" s="5"/>
      <c r="N3801" s="6"/>
      <c r="O3801" s="7"/>
      <c r="P3801" s="5"/>
      <c r="Q3801" s="5"/>
      <c r="R3801" s="5"/>
      <c r="S3801" s="5"/>
      <c r="T3801" s="5"/>
      <c r="U3801" s="5"/>
      <c r="V3801" s="5"/>
      <c r="W3801" s="5"/>
      <c r="X3801" s="5"/>
      <c r="Z3801" s="5"/>
      <c r="AA3801" s="5"/>
      <c r="AB3801" s="5"/>
      <c r="AD3801" s="9"/>
    </row>
    <row r="3802" spans="1:30" ht="12.5">
      <c r="A3802" s="4"/>
      <c r="B3802" s="5"/>
      <c r="C3802" s="5"/>
      <c r="D3802" s="5"/>
      <c r="F3802" s="5"/>
      <c r="J3802" s="5"/>
      <c r="K3802" s="5"/>
      <c r="L3802" s="5"/>
      <c r="M3802" s="5"/>
      <c r="N3802" s="6"/>
      <c r="O3802" s="7"/>
      <c r="P3802" s="5"/>
      <c r="Q3802" s="5"/>
      <c r="R3802" s="5"/>
      <c r="S3802" s="5"/>
      <c r="T3802" s="5"/>
      <c r="U3802" s="5"/>
      <c r="V3802" s="5"/>
      <c r="W3802" s="5"/>
      <c r="X3802" s="5"/>
      <c r="Z3802" s="5"/>
      <c r="AA3802" s="5"/>
      <c r="AB3802" s="5"/>
      <c r="AD3802" s="9"/>
    </row>
    <row r="3803" spans="1:30" ht="12.5">
      <c r="A3803" s="4"/>
      <c r="B3803" s="5"/>
      <c r="C3803" s="5"/>
      <c r="D3803" s="5"/>
      <c r="F3803" s="5"/>
      <c r="J3803" s="5"/>
      <c r="K3803" s="5"/>
      <c r="L3803" s="5"/>
      <c r="M3803" s="5"/>
      <c r="N3803" s="6"/>
      <c r="O3803" s="7"/>
      <c r="P3803" s="5"/>
      <c r="Q3803" s="5"/>
      <c r="R3803" s="5"/>
      <c r="S3803" s="5"/>
      <c r="T3803" s="5"/>
      <c r="U3803" s="5"/>
      <c r="V3803" s="5"/>
      <c r="W3803" s="5"/>
      <c r="X3803" s="5"/>
      <c r="Z3803" s="5"/>
      <c r="AA3803" s="5"/>
      <c r="AB3803" s="5"/>
      <c r="AD3803" s="9"/>
    </row>
    <row r="3804" spans="1:30" ht="12.5">
      <c r="A3804" s="4"/>
      <c r="B3804" s="5"/>
      <c r="C3804" s="5"/>
      <c r="D3804" s="5"/>
      <c r="F3804" s="5"/>
      <c r="J3804" s="5"/>
      <c r="K3804" s="5"/>
      <c r="L3804" s="5"/>
      <c r="M3804" s="5"/>
      <c r="N3804" s="6"/>
      <c r="O3804" s="7"/>
      <c r="P3804" s="5"/>
      <c r="Q3804" s="5"/>
      <c r="R3804" s="5"/>
      <c r="S3804" s="5"/>
      <c r="T3804" s="5"/>
      <c r="U3804" s="5"/>
      <c r="V3804" s="5"/>
      <c r="W3804" s="5"/>
      <c r="X3804" s="5"/>
      <c r="Z3804" s="5"/>
      <c r="AA3804" s="5"/>
      <c r="AB3804" s="5"/>
      <c r="AD3804" s="9"/>
    </row>
    <row r="3805" spans="1:30" ht="12.5">
      <c r="A3805" s="4"/>
      <c r="B3805" s="5"/>
      <c r="C3805" s="5"/>
      <c r="D3805" s="5"/>
      <c r="F3805" s="5"/>
      <c r="J3805" s="5"/>
      <c r="K3805" s="5"/>
      <c r="L3805" s="5"/>
      <c r="M3805" s="5"/>
      <c r="N3805" s="6"/>
      <c r="O3805" s="7"/>
      <c r="P3805" s="5"/>
      <c r="Q3805" s="5"/>
      <c r="R3805" s="5"/>
      <c r="S3805" s="5"/>
      <c r="T3805" s="5"/>
      <c r="U3805" s="5"/>
      <c r="V3805" s="5"/>
      <c r="W3805" s="5"/>
      <c r="X3805" s="5"/>
      <c r="Z3805" s="5"/>
      <c r="AA3805" s="5"/>
      <c r="AB3805" s="5"/>
      <c r="AD3805" s="9"/>
    </row>
    <row r="3806" spans="1:30" ht="12.5">
      <c r="A3806" s="4"/>
      <c r="B3806" s="5"/>
      <c r="C3806" s="5"/>
      <c r="D3806" s="5"/>
      <c r="F3806" s="5"/>
      <c r="J3806" s="5"/>
      <c r="K3806" s="5"/>
      <c r="L3806" s="5"/>
      <c r="M3806" s="5"/>
      <c r="N3806" s="6"/>
      <c r="O3806" s="7"/>
      <c r="P3806" s="5"/>
      <c r="Q3806" s="5"/>
      <c r="R3806" s="5"/>
      <c r="S3806" s="5"/>
      <c r="T3806" s="5"/>
      <c r="U3806" s="5"/>
      <c r="V3806" s="5"/>
      <c r="W3806" s="5"/>
      <c r="X3806" s="5"/>
      <c r="Z3806" s="5"/>
      <c r="AA3806" s="5"/>
      <c r="AB3806" s="5"/>
      <c r="AD3806" s="9"/>
    </row>
    <row r="3807" spans="1:30" ht="12.5">
      <c r="A3807" s="4"/>
      <c r="B3807" s="5"/>
      <c r="C3807" s="5"/>
      <c r="D3807" s="5"/>
      <c r="F3807" s="5"/>
      <c r="J3807" s="5"/>
      <c r="K3807" s="5"/>
      <c r="L3807" s="5"/>
      <c r="M3807" s="5"/>
      <c r="N3807" s="6"/>
      <c r="O3807" s="7"/>
      <c r="P3807" s="5"/>
      <c r="Q3807" s="5"/>
      <c r="R3807" s="5"/>
      <c r="S3807" s="5"/>
      <c r="T3807" s="5"/>
      <c r="U3807" s="5"/>
      <c r="V3807" s="5"/>
      <c r="W3807" s="5"/>
      <c r="X3807" s="5"/>
      <c r="Z3807" s="5"/>
      <c r="AA3807" s="5"/>
      <c r="AB3807" s="5"/>
      <c r="AD3807" s="9"/>
    </row>
    <row r="3808" spans="1:30" ht="12.5">
      <c r="A3808" s="4"/>
      <c r="B3808" s="5"/>
      <c r="C3808" s="5"/>
      <c r="D3808" s="5"/>
      <c r="F3808" s="5"/>
      <c r="J3808" s="5"/>
      <c r="K3808" s="5"/>
      <c r="L3808" s="5"/>
      <c r="M3808" s="5"/>
      <c r="N3808" s="6"/>
      <c r="O3808" s="7"/>
      <c r="P3808" s="5"/>
      <c r="Q3808" s="5"/>
      <c r="R3808" s="5"/>
      <c r="S3808" s="5"/>
      <c r="T3808" s="5"/>
      <c r="U3808" s="5"/>
      <c r="V3808" s="5"/>
      <c r="W3808" s="5"/>
      <c r="X3808" s="5"/>
      <c r="Z3808" s="5"/>
      <c r="AA3808" s="5"/>
      <c r="AB3808" s="5"/>
      <c r="AD3808" s="9"/>
    </row>
    <row r="3809" spans="1:30" ht="12.5">
      <c r="A3809" s="4"/>
      <c r="B3809" s="5"/>
      <c r="C3809" s="5"/>
      <c r="D3809" s="5"/>
      <c r="F3809" s="5"/>
      <c r="J3809" s="5"/>
      <c r="K3809" s="5"/>
      <c r="L3809" s="5"/>
      <c r="M3809" s="5"/>
      <c r="N3809" s="6"/>
      <c r="O3809" s="7"/>
      <c r="P3809" s="5"/>
      <c r="Q3809" s="5"/>
      <c r="R3809" s="5"/>
      <c r="S3809" s="5"/>
      <c r="T3809" s="5"/>
      <c r="U3809" s="5"/>
      <c r="V3809" s="5"/>
      <c r="W3809" s="5"/>
      <c r="X3809" s="5"/>
      <c r="Z3809" s="5"/>
      <c r="AA3809" s="5"/>
      <c r="AB3809" s="5"/>
      <c r="AD3809" s="9"/>
    </row>
    <row r="3810" spans="1:30" ht="12.5">
      <c r="A3810" s="4"/>
      <c r="B3810" s="5"/>
      <c r="C3810" s="5"/>
      <c r="D3810" s="5"/>
      <c r="F3810" s="5"/>
      <c r="J3810" s="5"/>
      <c r="K3810" s="5"/>
      <c r="L3810" s="5"/>
      <c r="M3810" s="5"/>
      <c r="N3810" s="6"/>
      <c r="O3810" s="7"/>
      <c r="P3810" s="5"/>
      <c r="Q3810" s="5"/>
      <c r="R3810" s="5"/>
      <c r="S3810" s="5"/>
      <c r="T3810" s="5"/>
      <c r="U3810" s="5"/>
      <c r="V3810" s="5"/>
      <c r="W3810" s="5"/>
      <c r="X3810" s="5"/>
      <c r="Z3810" s="5"/>
      <c r="AA3810" s="5"/>
      <c r="AB3810" s="5"/>
      <c r="AD3810" s="9"/>
    </row>
    <row r="3811" spans="1:30" ht="12.5">
      <c r="A3811" s="4"/>
      <c r="B3811" s="5"/>
      <c r="C3811" s="5"/>
      <c r="D3811" s="5"/>
      <c r="F3811" s="5"/>
      <c r="J3811" s="5"/>
      <c r="K3811" s="5"/>
      <c r="L3811" s="5"/>
      <c r="M3811" s="5"/>
      <c r="N3811" s="6"/>
      <c r="O3811" s="7"/>
      <c r="P3811" s="5"/>
      <c r="Q3811" s="5"/>
      <c r="R3811" s="5"/>
      <c r="S3811" s="5"/>
      <c r="T3811" s="5"/>
      <c r="U3811" s="5"/>
      <c r="V3811" s="5"/>
      <c r="W3811" s="5"/>
      <c r="X3811" s="5"/>
      <c r="Z3811" s="5"/>
      <c r="AA3811" s="5"/>
      <c r="AB3811" s="5"/>
      <c r="AD3811" s="9"/>
    </row>
    <row r="3812" spans="1:30" ht="12.5">
      <c r="A3812" s="4"/>
      <c r="B3812" s="5"/>
      <c r="C3812" s="5"/>
      <c r="D3812" s="5"/>
      <c r="F3812" s="5"/>
      <c r="J3812" s="5"/>
      <c r="K3812" s="5"/>
      <c r="L3812" s="5"/>
      <c r="M3812" s="5"/>
      <c r="N3812" s="6"/>
      <c r="O3812" s="7"/>
      <c r="P3812" s="5"/>
      <c r="Q3812" s="5"/>
      <c r="R3812" s="5"/>
      <c r="S3812" s="5"/>
      <c r="T3812" s="5"/>
      <c r="U3812" s="5"/>
      <c r="V3812" s="5"/>
      <c r="W3812" s="5"/>
      <c r="X3812" s="5"/>
      <c r="Z3812" s="5"/>
      <c r="AA3812" s="5"/>
      <c r="AB3812" s="5"/>
      <c r="AD3812" s="9"/>
    </row>
    <row r="3813" spans="1:30" ht="12.5">
      <c r="A3813" s="4"/>
      <c r="B3813" s="5"/>
      <c r="C3813" s="5"/>
      <c r="D3813" s="5"/>
      <c r="F3813" s="5"/>
      <c r="J3813" s="5"/>
      <c r="K3813" s="5"/>
      <c r="L3813" s="5"/>
      <c r="M3813" s="5"/>
      <c r="N3813" s="6"/>
      <c r="O3813" s="7"/>
      <c r="P3813" s="5"/>
      <c r="Q3813" s="5"/>
      <c r="R3813" s="5"/>
      <c r="S3813" s="5"/>
      <c r="T3813" s="5"/>
      <c r="U3813" s="5"/>
      <c r="V3813" s="5"/>
      <c r="W3813" s="5"/>
      <c r="X3813" s="5"/>
      <c r="Z3813" s="5"/>
      <c r="AA3813" s="5"/>
      <c r="AB3813" s="5"/>
      <c r="AD3813" s="9"/>
    </row>
    <row r="3814" spans="1:30" ht="12.5">
      <c r="A3814" s="4"/>
      <c r="B3814" s="5"/>
      <c r="C3814" s="5"/>
      <c r="D3814" s="5"/>
      <c r="F3814" s="5"/>
      <c r="J3814" s="5"/>
      <c r="K3814" s="5"/>
      <c r="L3814" s="5"/>
      <c r="M3814" s="5"/>
      <c r="N3814" s="6"/>
      <c r="O3814" s="7"/>
      <c r="P3814" s="5"/>
      <c r="Q3814" s="5"/>
      <c r="R3814" s="5"/>
      <c r="S3814" s="5"/>
      <c r="T3814" s="5"/>
      <c r="U3814" s="5"/>
      <c r="V3814" s="5"/>
      <c r="W3814" s="5"/>
      <c r="X3814" s="5"/>
      <c r="Z3814" s="5"/>
      <c r="AA3814" s="5"/>
      <c r="AB3814" s="5"/>
      <c r="AD3814" s="9"/>
    </row>
    <row r="3815" spans="1:30" ht="12.5">
      <c r="A3815" s="4"/>
      <c r="B3815" s="5"/>
      <c r="C3815" s="5"/>
      <c r="D3815" s="5"/>
      <c r="F3815" s="5"/>
      <c r="J3815" s="5"/>
      <c r="K3815" s="5"/>
      <c r="L3815" s="5"/>
      <c r="M3815" s="5"/>
      <c r="N3815" s="6"/>
      <c r="O3815" s="7"/>
      <c r="P3815" s="5"/>
      <c r="Q3815" s="5"/>
      <c r="R3815" s="5"/>
      <c r="S3815" s="5"/>
      <c r="T3815" s="5"/>
      <c r="U3815" s="5"/>
      <c r="V3815" s="5"/>
      <c r="W3815" s="5"/>
      <c r="X3815" s="5"/>
      <c r="Z3815" s="5"/>
      <c r="AA3815" s="5"/>
      <c r="AB3815" s="5"/>
      <c r="AD3815" s="9"/>
    </row>
    <row r="3816" spans="1:30" ht="12.5">
      <c r="A3816" s="4"/>
      <c r="B3816" s="5"/>
      <c r="C3816" s="5"/>
      <c r="D3816" s="5"/>
      <c r="F3816" s="5"/>
      <c r="J3816" s="5"/>
      <c r="K3816" s="5"/>
      <c r="L3816" s="5"/>
      <c r="M3816" s="5"/>
      <c r="N3816" s="6"/>
      <c r="O3816" s="7"/>
      <c r="P3816" s="5"/>
      <c r="Q3816" s="5"/>
      <c r="R3816" s="5"/>
      <c r="S3816" s="5"/>
      <c r="T3816" s="5"/>
      <c r="U3816" s="5"/>
      <c r="V3816" s="5"/>
      <c r="W3816" s="5"/>
      <c r="X3816" s="5"/>
      <c r="Z3816" s="5"/>
      <c r="AA3816" s="5"/>
      <c r="AB3816" s="5"/>
      <c r="AD3816" s="9"/>
    </row>
    <row r="3817" spans="1:30" ht="12.5">
      <c r="A3817" s="4"/>
      <c r="B3817" s="5"/>
      <c r="C3817" s="5"/>
      <c r="D3817" s="5"/>
      <c r="F3817" s="5"/>
      <c r="J3817" s="5"/>
      <c r="K3817" s="5"/>
      <c r="L3817" s="5"/>
      <c r="M3817" s="5"/>
      <c r="N3817" s="6"/>
      <c r="O3817" s="7"/>
      <c r="P3817" s="5"/>
      <c r="Q3817" s="5"/>
      <c r="R3817" s="5"/>
      <c r="S3817" s="5"/>
      <c r="T3817" s="5"/>
      <c r="U3817" s="5"/>
      <c r="V3817" s="5"/>
      <c r="W3817" s="5"/>
      <c r="X3817" s="5"/>
      <c r="Z3817" s="5"/>
      <c r="AA3817" s="5"/>
      <c r="AB3817" s="5"/>
      <c r="AD3817" s="9"/>
    </row>
    <row r="3818" spans="1:30" ht="12.5">
      <c r="A3818" s="4"/>
      <c r="B3818" s="5"/>
      <c r="C3818" s="5"/>
      <c r="D3818" s="5"/>
      <c r="F3818" s="5"/>
      <c r="J3818" s="5"/>
      <c r="K3818" s="5"/>
      <c r="L3818" s="5"/>
      <c r="M3818" s="5"/>
      <c r="N3818" s="6"/>
      <c r="O3818" s="7"/>
      <c r="P3818" s="5"/>
      <c r="Q3818" s="5"/>
      <c r="R3818" s="5"/>
      <c r="S3818" s="5"/>
      <c r="T3818" s="5"/>
      <c r="U3818" s="5"/>
      <c r="V3818" s="5"/>
      <c r="W3818" s="5"/>
      <c r="X3818" s="5"/>
      <c r="Z3818" s="5"/>
      <c r="AA3818" s="5"/>
      <c r="AB3818" s="5"/>
      <c r="AD3818" s="9"/>
    </row>
    <row r="3819" spans="1:30" ht="12.5">
      <c r="A3819" s="4"/>
      <c r="B3819" s="5"/>
      <c r="C3819" s="5"/>
      <c r="D3819" s="5"/>
      <c r="F3819" s="5"/>
      <c r="J3819" s="5"/>
      <c r="K3819" s="5"/>
      <c r="L3819" s="5"/>
      <c r="M3819" s="5"/>
      <c r="N3819" s="6"/>
      <c r="O3819" s="7"/>
      <c r="P3819" s="5"/>
      <c r="Q3819" s="5"/>
      <c r="R3819" s="5"/>
      <c r="S3819" s="5"/>
      <c r="T3819" s="5"/>
      <c r="U3819" s="5"/>
      <c r="V3819" s="5"/>
      <c r="W3819" s="5"/>
      <c r="X3819" s="5"/>
      <c r="Z3819" s="5"/>
      <c r="AA3819" s="5"/>
      <c r="AB3819" s="5"/>
      <c r="AD3819" s="9"/>
    </row>
    <row r="3820" spans="1:30" ht="12.5">
      <c r="A3820" s="4"/>
      <c r="B3820" s="5"/>
      <c r="C3820" s="5"/>
      <c r="D3820" s="5"/>
      <c r="F3820" s="5"/>
      <c r="J3820" s="5"/>
      <c r="K3820" s="5"/>
      <c r="L3820" s="5"/>
      <c r="M3820" s="5"/>
      <c r="N3820" s="6"/>
      <c r="O3820" s="7"/>
      <c r="P3820" s="5"/>
      <c r="Q3820" s="5"/>
      <c r="R3820" s="5"/>
      <c r="S3820" s="5"/>
      <c r="T3820" s="5"/>
      <c r="U3820" s="5"/>
      <c r="V3820" s="5"/>
      <c r="W3820" s="5"/>
      <c r="X3820" s="5"/>
      <c r="Z3820" s="5"/>
      <c r="AA3820" s="5"/>
      <c r="AB3820" s="5"/>
      <c r="AD3820" s="9"/>
    </row>
    <row r="3821" spans="1:30" ht="12.5">
      <c r="A3821" s="4"/>
      <c r="B3821" s="5"/>
      <c r="C3821" s="5"/>
      <c r="D3821" s="5"/>
      <c r="F3821" s="5"/>
      <c r="J3821" s="5"/>
      <c r="K3821" s="5"/>
      <c r="L3821" s="5"/>
      <c r="M3821" s="5"/>
      <c r="N3821" s="6"/>
      <c r="O3821" s="7"/>
      <c r="P3821" s="5"/>
      <c r="Q3821" s="5"/>
      <c r="R3821" s="5"/>
      <c r="S3821" s="5"/>
      <c r="T3821" s="5"/>
      <c r="U3821" s="5"/>
      <c r="V3821" s="5"/>
      <c r="W3821" s="5"/>
      <c r="X3821" s="5"/>
      <c r="Z3821" s="5"/>
      <c r="AA3821" s="5"/>
      <c r="AB3821" s="5"/>
      <c r="AD3821" s="9"/>
    </row>
    <row r="3822" spans="1:30" ht="12.5">
      <c r="A3822" s="4"/>
      <c r="B3822" s="5"/>
      <c r="C3822" s="5"/>
      <c r="D3822" s="5"/>
      <c r="F3822" s="5"/>
      <c r="J3822" s="5"/>
      <c r="K3822" s="5"/>
      <c r="L3822" s="5"/>
      <c r="M3822" s="5"/>
      <c r="N3822" s="6"/>
      <c r="O3822" s="7"/>
      <c r="P3822" s="5"/>
      <c r="Q3822" s="5"/>
      <c r="R3822" s="5"/>
      <c r="S3822" s="5"/>
      <c r="T3822" s="5"/>
      <c r="U3822" s="5"/>
      <c r="V3822" s="5"/>
      <c r="W3822" s="5"/>
      <c r="X3822" s="5"/>
      <c r="Z3822" s="5"/>
      <c r="AA3822" s="5"/>
      <c r="AB3822" s="5"/>
      <c r="AD3822" s="9"/>
    </row>
    <row r="3823" spans="1:30" ht="12.5">
      <c r="A3823" s="4"/>
      <c r="B3823" s="5"/>
      <c r="C3823" s="5"/>
      <c r="D3823" s="5"/>
      <c r="F3823" s="5"/>
      <c r="J3823" s="5"/>
      <c r="K3823" s="5"/>
      <c r="L3823" s="5"/>
      <c r="M3823" s="5"/>
      <c r="N3823" s="6"/>
      <c r="O3823" s="7"/>
      <c r="P3823" s="5"/>
      <c r="Q3823" s="5"/>
      <c r="R3823" s="5"/>
      <c r="S3823" s="5"/>
      <c r="T3823" s="5"/>
      <c r="U3823" s="5"/>
      <c r="V3823" s="5"/>
      <c r="W3823" s="5"/>
      <c r="X3823" s="5"/>
      <c r="Z3823" s="5"/>
      <c r="AA3823" s="5"/>
      <c r="AB3823" s="5"/>
      <c r="AD3823" s="9"/>
    </row>
    <row r="3824" spans="1:30" ht="12.5">
      <c r="A3824" s="4"/>
      <c r="B3824" s="5"/>
      <c r="C3824" s="5"/>
      <c r="D3824" s="5"/>
      <c r="F3824" s="5"/>
      <c r="J3824" s="5"/>
      <c r="K3824" s="5"/>
      <c r="L3824" s="5"/>
      <c r="M3824" s="5"/>
      <c r="N3824" s="6"/>
      <c r="O3824" s="7"/>
      <c r="P3824" s="5"/>
      <c r="Q3824" s="5"/>
      <c r="R3824" s="5"/>
      <c r="S3824" s="5"/>
      <c r="T3824" s="5"/>
      <c r="U3824" s="5"/>
      <c r="V3824" s="5"/>
      <c r="W3824" s="5"/>
      <c r="X3824" s="5"/>
      <c r="Z3824" s="5"/>
      <c r="AA3824" s="5"/>
      <c r="AB3824" s="5"/>
      <c r="AD3824" s="9"/>
    </row>
    <row r="3825" spans="1:30" ht="12.5">
      <c r="A3825" s="4"/>
      <c r="B3825" s="5"/>
      <c r="C3825" s="5"/>
      <c r="D3825" s="5"/>
      <c r="F3825" s="5"/>
      <c r="J3825" s="5"/>
      <c r="K3825" s="5"/>
      <c r="L3825" s="5"/>
      <c r="M3825" s="5"/>
      <c r="N3825" s="6"/>
      <c r="O3825" s="7"/>
      <c r="P3825" s="5"/>
      <c r="Q3825" s="5"/>
      <c r="R3825" s="5"/>
      <c r="S3825" s="5"/>
      <c r="T3825" s="5"/>
      <c r="U3825" s="5"/>
      <c r="V3825" s="5"/>
      <c r="W3825" s="5"/>
      <c r="X3825" s="5"/>
      <c r="Z3825" s="5"/>
      <c r="AA3825" s="5"/>
      <c r="AB3825" s="5"/>
      <c r="AD3825" s="9"/>
    </row>
    <row r="3826" spans="1:30" ht="12.5">
      <c r="A3826" s="4"/>
      <c r="B3826" s="5"/>
      <c r="C3826" s="5"/>
      <c r="D3826" s="5"/>
      <c r="F3826" s="5"/>
      <c r="J3826" s="5"/>
      <c r="K3826" s="5"/>
      <c r="L3826" s="5"/>
      <c r="M3826" s="5"/>
      <c r="N3826" s="6"/>
      <c r="O3826" s="7"/>
      <c r="P3826" s="5"/>
      <c r="Q3826" s="5"/>
      <c r="R3826" s="5"/>
      <c r="S3826" s="5"/>
      <c r="T3826" s="5"/>
      <c r="U3826" s="5"/>
      <c r="V3826" s="5"/>
      <c r="W3826" s="5"/>
      <c r="X3826" s="5"/>
      <c r="Z3826" s="5"/>
      <c r="AA3826" s="5"/>
      <c r="AB3826" s="5"/>
      <c r="AD3826" s="9"/>
    </row>
    <row r="3827" spans="1:30" ht="12.5">
      <c r="A3827" s="4"/>
      <c r="B3827" s="5"/>
      <c r="C3827" s="5"/>
      <c r="D3827" s="5"/>
      <c r="F3827" s="5"/>
      <c r="J3827" s="5"/>
      <c r="K3827" s="5"/>
      <c r="L3827" s="5"/>
      <c r="M3827" s="5"/>
      <c r="N3827" s="6"/>
      <c r="O3827" s="7"/>
      <c r="P3827" s="5"/>
      <c r="Q3827" s="5"/>
      <c r="R3827" s="5"/>
      <c r="S3827" s="5"/>
      <c r="T3827" s="5"/>
      <c r="U3827" s="5"/>
      <c r="V3827" s="5"/>
      <c r="W3827" s="5"/>
      <c r="X3827" s="5"/>
      <c r="Z3827" s="5"/>
      <c r="AA3827" s="5"/>
      <c r="AB3827" s="5"/>
      <c r="AD3827" s="9"/>
    </row>
    <row r="3828" spans="1:30" ht="12.5">
      <c r="A3828" s="4"/>
      <c r="B3828" s="5"/>
      <c r="C3828" s="5"/>
      <c r="D3828" s="5"/>
      <c r="F3828" s="5"/>
      <c r="J3828" s="5"/>
      <c r="K3828" s="5"/>
      <c r="L3828" s="5"/>
      <c r="M3828" s="5"/>
      <c r="N3828" s="6"/>
      <c r="O3828" s="7"/>
      <c r="P3828" s="5"/>
      <c r="Q3828" s="5"/>
      <c r="R3828" s="5"/>
      <c r="S3828" s="5"/>
      <c r="T3828" s="5"/>
      <c r="U3828" s="5"/>
      <c r="V3828" s="5"/>
      <c r="W3828" s="5"/>
      <c r="X3828" s="5"/>
      <c r="Z3828" s="5"/>
      <c r="AA3828" s="5"/>
      <c r="AB3828" s="5"/>
      <c r="AD3828" s="9"/>
    </row>
    <row r="3829" spans="1:30" ht="12.5">
      <c r="A3829" s="4"/>
      <c r="B3829" s="5"/>
      <c r="C3829" s="5"/>
      <c r="D3829" s="5"/>
      <c r="F3829" s="5"/>
      <c r="J3829" s="5"/>
      <c r="K3829" s="5"/>
      <c r="L3829" s="5"/>
      <c r="M3829" s="5"/>
      <c r="N3829" s="6"/>
      <c r="O3829" s="7"/>
      <c r="P3829" s="5"/>
      <c r="Q3829" s="5"/>
      <c r="R3829" s="5"/>
      <c r="S3829" s="5"/>
      <c r="T3829" s="5"/>
      <c r="U3829" s="5"/>
      <c r="V3829" s="5"/>
      <c r="W3829" s="5"/>
      <c r="X3829" s="5"/>
      <c r="Z3829" s="5"/>
      <c r="AA3829" s="5"/>
      <c r="AB3829" s="5"/>
      <c r="AD3829" s="9"/>
    </row>
    <row r="3830" spans="1:30" ht="12.5">
      <c r="A3830" s="4"/>
      <c r="B3830" s="5"/>
      <c r="C3830" s="5"/>
      <c r="D3830" s="5"/>
      <c r="F3830" s="5"/>
      <c r="J3830" s="5"/>
      <c r="K3830" s="5"/>
      <c r="L3830" s="5"/>
      <c r="M3830" s="5"/>
      <c r="N3830" s="6"/>
      <c r="O3830" s="7"/>
      <c r="P3830" s="5"/>
      <c r="Q3830" s="5"/>
      <c r="R3830" s="5"/>
      <c r="S3830" s="5"/>
      <c r="T3830" s="5"/>
      <c r="U3830" s="5"/>
      <c r="V3830" s="5"/>
      <c r="W3830" s="5"/>
      <c r="X3830" s="5"/>
      <c r="Z3830" s="5"/>
      <c r="AA3830" s="5"/>
      <c r="AB3830" s="5"/>
      <c r="AD3830" s="9"/>
    </row>
    <row r="3831" spans="1:30" ht="12.5">
      <c r="A3831" s="4"/>
      <c r="B3831" s="5"/>
      <c r="C3831" s="5"/>
      <c r="D3831" s="5"/>
      <c r="F3831" s="5"/>
      <c r="J3831" s="5"/>
      <c r="K3831" s="5"/>
      <c r="L3831" s="5"/>
      <c r="M3831" s="5"/>
      <c r="N3831" s="6"/>
      <c r="O3831" s="7"/>
      <c r="P3831" s="5"/>
      <c r="Q3831" s="5"/>
      <c r="R3831" s="5"/>
      <c r="S3831" s="5"/>
      <c r="T3831" s="5"/>
      <c r="U3831" s="5"/>
      <c r="V3831" s="5"/>
      <c r="W3831" s="5"/>
      <c r="X3831" s="5"/>
      <c r="Z3831" s="5"/>
      <c r="AA3831" s="5"/>
      <c r="AB3831" s="5"/>
      <c r="AD3831" s="9"/>
    </row>
    <row r="3832" spans="1:30" ht="12.5">
      <c r="A3832" s="4"/>
      <c r="B3832" s="5"/>
      <c r="C3832" s="5"/>
      <c r="D3832" s="5"/>
      <c r="F3832" s="5"/>
      <c r="J3832" s="5"/>
      <c r="K3832" s="5"/>
      <c r="L3832" s="5"/>
      <c r="M3832" s="5"/>
      <c r="N3832" s="6"/>
      <c r="O3832" s="7"/>
      <c r="P3832" s="5"/>
      <c r="Q3832" s="5"/>
      <c r="R3832" s="5"/>
      <c r="S3832" s="5"/>
      <c r="T3832" s="5"/>
      <c r="U3832" s="5"/>
      <c r="V3832" s="5"/>
      <c r="W3832" s="5"/>
      <c r="X3832" s="5"/>
      <c r="Z3832" s="5"/>
      <c r="AA3832" s="5"/>
      <c r="AB3832" s="5"/>
      <c r="AD3832" s="9"/>
    </row>
    <row r="3833" spans="1:30" ht="12.5">
      <c r="A3833" s="4"/>
      <c r="B3833" s="5"/>
      <c r="C3833" s="5"/>
      <c r="D3833" s="5"/>
      <c r="F3833" s="5"/>
      <c r="J3833" s="5"/>
      <c r="K3833" s="5"/>
      <c r="L3833" s="5"/>
      <c r="M3833" s="5"/>
      <c r="N3833" s="6"/>
      <c r="O3833" s="7"/>
      <c r="P3833" s="5"/>
      <c r="Q3833" s="5"/>
      <c r="R3833" s="5"/>
      <c r="S3833" s="5"/>
      <c r="T3833" s="5"/>
      <c r="U3833" s="5"/>
      <c r="V3833" s="5"/>
      <c r="W3833" s="5"/>
      <c r="X3833" s="5"/>
      <c r="Z3833" s="5"/>
      <c r="AA3833" s="5"/>
      <c r="AB3833" s="5"/>
      <c r="AD3833" s="9"/>
    </row>
    <row r="3834" spans="1:30" ht="12.5">
      <c r="A3834" s="4"/>
      <c r="B3834" s="5"/>
      <c r="C3834" s="5"/>
      <c r="D3834" s="5"/>
      <c r="F3834" s="5"/>
      <c r="J3834" s="5"/>
      <c r="K3834" s="5"/>
      <c r="L3834" s="5"/>
      <c r="M3834" s="5"/>
      <c r="N3834" s="6"/>
      <c r="O3834" s="7"/>
      <c r="P3834" s="5"/>
      <c r="Q3834" s="5"/>
      <c r="R3834" s="5"/>
      <c r="S3834" s="5"/>
      <c r="T3834" s="5"/>
      <c r="U3834" s="5"/>
      <c r="V3834" s="5"/>
      <c r="W3834" s="5"/>
      <c r="X3834" s="5"/>
      <c r="Z3834" s="5"/>
      <c r="AA3834" s="5"/>
      <c r="AB3834" s="5"/>
      <c r="AD3834" s="9"/>
    </row>
    <row r="3835" spans="1:30" ht="12.5">
      <c r="A3835" s="4"/>
      <c r="B3835" s="5"/>
      <c r="C3835" s="5"/>
      <c r="D3835" s="5"/>
      <c r="F3835" s="5"/>
      <c r="J3835" s="5"/>
      <c r="K3835" s="5"/>
      <c r="L3835" s="5"/>
      <c r="M3835" s="5"/>
      <c r="N3835" s="6"/>
      <c r="O3835" s="7"/>
      <c r="P3835" s="5"/>
      <c r="Q3835" s="5"/>
      <c r="R3835" s="5"/>
      <c r="S3835" s="5"/>
      <c r="T3835" s="5"/>
      <c r="U3835" s="5"/>
      <c r="V3835" s="5"/>
      <c r="W3835" s="5"/>
      <c r="X3835" s="5"/>
      <c r="Z3835" s="5"/>
      <c r="AA3835" s="5"/>
      <c r="AB3835" s="5"/>
      <c r="AD3835" s="9"/>
    </row>
    <row r="3836" spans="1:30" ht="12.5">
      <c r="A3836" s="4"/>
      <c r="B3836" s="5"/>
      <c r="C3836" s="5"/>
      <c r="D3836" s="5"/>
      <c r="F3836" s="5"/>
      <c r="J3836" s="5"/>
      <c r="K3836" s="5"/>
      <c r="L3836" s="5"/>
      <c r="M3836" s="5"/>
      <c r="N3836" s="6"/>
      <c r="O3836" s="7"/>
      <c r="P3836" s="5"/>
      <c r="Q3836" s="5"/>
      <c r="R3836" s="5"/>
      <c r="S3836" s="5"/>
      <c r="T3836" s="5"/>
      <c r="U3836" s="5"/>
      <c r="V3836" s="5"/>
      <c r="W3836" s="5"/>
      <c r="X3836" s="5"/>
      <c r="Z3836" s="5"/>
      <c r="AA3836" s="5"/>
      <c r="AB3836" s="5"/>
      <c r="AD3836" s="9"/>
    </row>
    <row r="3837" spans="1:30" ht="12.5">
      <c r="A3837" s="4"/>
      <c r="B3837" s="5"/>
      <c r="C3837" s="5"/>
      <c r="D3837" s="5"/>
      <c r="F3837" s="5"/>
      <c r="J3837" s="5"/>
      <c r="K3837" s="5"/>
      <c r="L3837" s="5"/>
      <c r="M3837" s="5"/>
      <c r="N3837" s="6"/>
      <c r="O3837" s="7"/>
      <c r="P3837" s="5"/>
      <c r="Q3837" s="5"/>
      <c r="R3837" s="5"/>
      <c r="S3837" s="5"/>
      <c r="T3837" s="5"/>
      <c r="U3837" s="5"/>
      <c r="V3837" s="5"/>
      <c r="W3837" s="5"/>
      <c r="X3837" s="5"/>
      <c r="Z3837" s="5"/>
      <c r="AA3837" s="5"/>
      <c r="AB3837" s="5"/>
      <c r="AD3837" s="9"/>
    </row>
    <row r="3838" spans="1:30" ht="12.5">
      <c r="A3838" s="4"/>
      <c r="B3838" s="5"/>
      <c r="C3838" s="5"/>
      <c r="D3838" s="5"/>
      <c r="F3838" s="5"/>
      <c r="J3838" s="5"/>
      <c r="K3838" s="5"/>
      <c r="L3838" s="5"/>
      <c r="M3838" s="5"/>
      <c r="N3838" s="6"/>
      <c r="O3838" s="7"/>
      <c r="P3838" s="5"/>
      <c r="Q3838" s="5"/>
      <c r="R3838" s="5"/>
      <c r="S3838" s="5"/>
      <c r="T3838" s="5"/>
      <c r="U3838" s="5"/>
      <c r="V3838" s="5"/>
      <c r="W3838" s="5"/>
      <c r="X3838" s="5"/>
      <c r="Z3838" s="5"/>
      <c r="AA3838" s="5"/>
      <c r="AB3838" s="5"/>
      <c r="AD3838" s="9"/>
    </row>
    <row r="3839" spans="1:30" ht="12.5">
      <c r="A3839" s="4"/>
      <c r="B3839" s="5"/>
      <c r="C3839" s="5"/>
      <c r="D3839" s="5"/>
      <c r="F3839" s="5"/>
      <c r="J3839" s="5"/>
      <c r="K3839" s="5"/>
      <c r="L3839" s="5"/>
      <c r="M3839" s="5"/>
      <c r="N3839" s="6"/>
      <c r="O3839" s="7"/>
      <c r="P3839" s="5"/>
      <c r="Q3839" s="5"/>
      <c r="R3839" s="5"/>
      <c r="S3839" s="5"/>
      <c r="T3839" s="5"/>
      <c r="U3839" s="5"/>
      <c r="V3839" s="5"/>
      <c r="W3839" s="5"/>
      <c r="X3839" s="5"/>
      <c r="Z3839" s="5"/>
      <c r="AA3839" s="5"/>
      <c r="AB3839" s="5"/>
      <c r="AD3839" s="9"/>
    </row>
    <row r="3840" spans="1:30" ht="12.5">
      <c r="A3840" s="4"/>
      <c r="B3840" s="5"/>
      <c r="C3840" s="5"/>
      <c r="D3840" s="5"/>
      <c r="F3840" s="5"/>
      <c r="J3840" s="5"/>
      <c r="K3840" s="5"/>
      <c r="L3840" s="5"/>
      <c r="M3840" s="5"/>
      <c r="N3840" s="6"/>
      <c r="O3840" s="7"/>
      <c r="P3840" s="5"/>
      <c r="Q3840" s="5"/>
      <c r="R3840" s="5"/>
      <c r="S3840" s="5"/>
      <c r="T3840" s="5"/>
      <c r="U3840" s="5"/>
      <c r="V3840" s="5"/>
      <c r="W3840" s="5"/>
      <c r="X3840" s="5"/>
      <c r="Z3840" s="5"/>
      <c r="AA3840" s="5"/>
      <c r="AB3840" s="5"/>
      <c r="AD3840" s="9"/>
    </row>
    <row r="3841" spans="1:30" ht="12.5">
      <c r="A3841" s="4"/>
      <c r="B3841" s="5"/>
      <c r="C3841" s="5"/>
      <c r="D3841" s="5"/>
      <c r="F3841" s="5"/>
      <c r="J3841" s="5"/>
      <c r="K3841" s="5"/>
      <c r="L3841" s="5"/>
      <c r="M3841" s="5"/>
      <c r="N3841" s="6"/>
      <c r="O3841" s="7"/>
      <c r="P3841" s="5"/>
      <c r="Q3841" s="5"/>
      <c r="R3841" s="5"/>
      <c r="S3841" s="5"/>
      <c r="T3841" s="5"/>
      <c r="U3841" s="5"/>
      <c r="V3841" s="5"/>
      <c r="W3841" s="5"/>
      <c r="X3841" s="5"/>
      <c r="Z3841" s="5"/>
      <c r="AA3841" s="5"/>
      <c r="AB3841" s="5"/>
      <c r="AD3841" s="9"/>
    </row>
    <row r="3842" spans="1:30" ht="12.5">
      <c r="A3842" s="4"/>
      <c r="B3842" s="5"/>
      <c r="C3842" s="5"/>
      <c r="D3842" s="5"/>
      <c r="F3842" s="5"/>
      <c r="J3842" s="5"/>
      <c r="K3842" s="5"/>
      <c r="L3842" s="5"/>
      <c r="M3842" s="5"/>
      <c r="N3842" s="6"/>
      <c r="O3842" s="7"/>
      <c r="P3842" s="5"/>
      <c r="Q3842" s="5"/>
      <c r="R3842" s="5"/>
      <c r="S3842" s="5"/>
      <c r="T3842" s="5"/>
      <c r="U3842" s="5"/>
      <c r="V3842" s="5"/>
      <c r="W3842" s="5"/>
      <c r="X3842" s="5"/>
      <c r="Z3842" s="5"/>
      <c r="AA3842" s="5"/>
      <c r="AB3842" s="5"/>
      <c r="AD3842" s="9"/>
    </row>
    <row r="3843" spans="1:30" ht="12.5">
      <c r="A3843" s="4"/>
      <c r="B3843" s="5"/>
      <c r="C3843" s="5"/>
      <c r="D3843" s="5"/>
      <c r="F3843" s="5"/>
      <c r="J3843" s="5"/>
      <c r="K3843" s="5"/>
      <c r="L3843" s="5"/>
      <c r="M3843" s="5"/>
      <c r="N3843" s="6"/>
      <c r="O3843" s="7"/>
      <c r="P3843" s="5"/>
      <c r="Q3843" s="5"/>
      <c r="R3843" s="5"/>
      <c r="S3843" s="5"/>
      <c r="T3843" s="5"/>
      <c r="U3843" s="5"/>
      <c r="V3843" s="5"/>
      <c r="W3843" s="5"/>
      <c r="X3843" s="5"/>
      <c r="Z3843" s="5"/>
      <c r="AA3843" s="5"/>
      <c r="AB3843" s="5"/>
      <c r="AD3843" s="9"/>
    </row>
    <row r="3844" spans="1:30" ht="12.5">
      <c r="A3844" s="4"/>
      <c r="B3844" s="5"/>
      <c r="C3844" s="5"/>
      <c r="D3844" s="5"/>
      <c r="F3844" s="5"/>
      <c r="J3844" s="5"/>
      <c r="K3844" s="5"/>
      <c r="L3844" s="5"/>
      <c r="M3844" s="5"/>
      <c r="N3844" s="6"/>
      <c r="O3844" s="7"/>
      <c r="P3844" s="5"/>
      <c r="Q3844" s="5"/>
      <c r="R3844" s="5"/>
      <c r="S3844" s="5"/>
      <c r="T3844" s="5"/>
      <c r="U3844" s="5"/>
      <c r="V3844" s="5"/>
      <c r="W3844" s="5"/>
      <c r="X3844" s="5"/>
      <c r="Z3844" s="5"/>
      <c r="AA3844" s="5"/>
      <c r="AB3844" s="5"/>
      <c r="AD3844" s="9"/>
    </row>
    <row r="3845" spans="1:30" ht="12.5">
      <c r="A3845" s="4"/>
      <c r="B3845" s="5"/>
      <c r="C3845" s="5"/>
      <c r="D3845" s="5"/>
      <c r="F3845" s="5"/>
      <c r="J3845" s="5"/>
      <c r="K3845" s="5"/>
      <c r="L3845" s="5"/>
      <c r="M3845" s="5"/>
      <c r="N3845" s="6"/>
      <c r="O3845" s="7"/>
      <c r="P3845" s="5"/>
      <c r="Q3845" s="5"/>
      <c r="R3845" s="5"/>
      <c r="S3845" s="5"/>
      <c r="T3845" s="5"/>
      <c r="U3845" s="5"/>
      <c r="V3845" s="5"/>
      <c r="W3845" s="5"/>
      <c r="X3845" s="5"/>
      <c r="Z3845" s="5"/>
      <c r="AA3845" s="5"/>
      <c r="AB3845" s="5"/>
      <c r="AD3845" s="9"/>
    </row>
    <row r="3846" spans="1:30" ht="12.5">
      <c r="A3846" s="4"/>
      <c r="B3846" s="5"/>
      <c r="C3846" s="5"/>
      <c r="D3846" s="5"/>
      <c r="F3846" s="5"/>
      <c r="J3846" s="5"/>
      <c r="K3846" s="5"/>
      <c r="L3846" s="5"/>
      <c r="M3846" s="5"/>
      <c r="N3846" s="6"/>
      <c r="O3846" s="7"/>
      <c r="P3846" s="5"/>
      <c r="Q3846" s="5"/>
      <c r="R3846" s="5"/>
      <c r="S3846" s="5"/>
      <c r="T3846" s="5"/>
      <c r="U3846" s="5"/>
      <c r="V3846" s="5"/>
      <c r="W3846" s="5"/>
      <c r="X3846" s="5"/>
      <c r="Z3846" s="5"/>
      <c r="AA3846" s="5"/>
      <c r="AB3846" s="5"/>
      <c r="AD3846" s="9"/>
    </row>
    <row r="3847" spans="1:30" ht="12.5">
      <c r="A3847" s="4"/>
      <c r="B3847" s="5"/>
      <c r="C3847" s="5"/>
      <c r="D3847" s="5"/>
      <c r="F3847" s="5"/>
      <c r="J3847" s="5"/>
      <c r="K3847" s="5"/>
      <c r="L3847" s="5"/>
      <c r="M3847" s="5"/>
      <c r="N3847" s="6"/>
      <c r="O3847" s="7"/>
      <c r="P3847" s="5"/>
      <c r="Q3847" s="5"/>
      <c r="R3847" s="5"/>
      <c r="S3847" s="5"/>
      <c r="T3847" s="5"/>
      <c r="U3847" s="5"/>
      <c r="V3847" s="5"/>
      <c r="W3847" s="5"/>
      <c r="X3847" s="5"/>
      <c r="Z3847" s="5"/>
      <c r="AA3847" s="5"/>
      <c r="AB3847" s="5"/>
      <c r="AD3847" s="9"/>
    </row>
    <row r="3848" spans="1:30" ht="12.5">
      <c r="A3848" s="4"/>
      <c r="B3848" s="5"/>
      <c r="C3848" s="5"/>
      <c r="D3848" s="5"/>
      <c r="F3848" s="5"/>
      <c r="J3848" s="5"/>
      <c r="K3848" s="5"/>
      <c r="L3848" s="5"/>
      <c r="M3848" s="5"/>
      <c r="N3848" s="6"/>
      <c r="O3848" s="7"/>
      <c r="P3848" s="5"/>
      <c r="Q3848" s="5"/>
      <c r="R3848" s="5"/>
      <c r="S3848" s="5"/>
      <c r="T3848" s="5"/>
      <c r="U3848" s="5"/>
      <c r="V3848" s="5"/>
      <c r="W3848" s="5"/>
      <c r="X3848" s="5"/>
      <c r="Z3848" s="5"/>
      <c r="AA3848" s="5"/>
      <c r="AB3848" s="5"/>
      <c r="AD3848" s="9"/>
    </row>
    <row r="3849" spans="1:30" ht="12.5">
      <c r="A3849" s="4"/>
      <c r="B3849" s="5"/>
      <c r="C3849" s="5"/>
      <c r="D3849" s="5"/>
      <c r="F3849" s="5"/>
      <c r="J3849" s="5"/>
      <c r="K3849" s="5"/>
      <c r="L3849" s="5"/>
      <c r="M3849" s="5"/>
      <c r="N3849" s="6"/>
      <c r="O3849" s="7"/>
      <c r="P3849" s="5"/>
      <c r="Q3849" s="5"/>
      <c r="R3849" s="5"/>
      <c r="S3849" s="5"/>
      <c r="T3849" s="5"/>
      <c r="U3849" s="5"/>
      <c r="V3849" s="5"/>
      <c r="W3849" s="5"/>
      <c r="X3849" s="5"/>
      <c r="Z3849" s="5"/>
      <c r="AA3849" s="5"/>
      <c r="AB3849" s="5"/>
      <c r="AD3849" s="9"/>
    </row>
    <row r="3850" spans="1:30" ht="12.5">
      <c r="A3850" s="4"/>
      <c r="B3850" s="5"/>
      <c r="C3850" s="5"/>
      <c r="D3850" s="5"/>
      <c r="F3850" s="5"/>
      <c r="J3850" s="5"/>
      <c r="K3850" s="5"/>
      <c r="L3850" s="5"/>
      <c r="M3850" s="5"/>
      <c r="N3850" s="6"/>
      <c r="O3850" s="7"/>
      <c r="P3850" s="5"/>
      <c r="Q3850" s="5"/>
      <c r="R3850" s="5"/>
      <c r="S3850" s="5"/>
      <c r="T3850" s="5"/>
      <c r="U3850" s="5"/>
      <c r="V3850" s="5"/>
      <c r="W3850" s="5"/>
      <c r="X3850" s="5"/>
      <c r="Z3850" s="5"/>
      <c r="AA3850" s="5"/>
      <c r="AB3850" s="5"/>
      <c r="AD3850" s="9"/>
    </row>
    <row r="3851" spans="1:30" ht="12.5">
      <c r="A3851" s="4"/>
      <c r="B3851" s="5"/>
      <c r="C3851" s="5"/>
      <c r="D3851" s="5"/>
      <c r="F3851" s="5"/>
      <c r="J3851" s="5"/>
      <c r="K3851" s="5"/>
      <c r="L3851" s="5"/>
      <c r="M3851" s="5"/>
      <c r="N3851" s="6"/>
      <c r="O3851" s="7"/>
      <c r="P3851" s="5"/>
      <c r="Q3851" s="5"/>
      <c r="R3851" s="5"/>
      <c r="S3851" s="5"/>
      <c r="T3851" s="5"/>
      <c r="U3851" s="5"/>
      <c r="V3851" s="5"/>
      <c r="W3851" s="5"/>
      <c r="X3851" s="5"/>
      <c r="Z3851" s="5"/>
      <c r="AA3851" s="5"/>
      <c r="AB3851" s="5"/>
      <c r="AD3851" s="9"/>
    </row>
    <row r="3852" spans="1:30" ht="12.5">
      <c r="A3852" s="4"/>
      <c r="B3852" s="5"/>
      <c r="C3852" s="5"/>
      <c r="D3852" s="5"/>
      <c r="F3852" s="5"/>
      <c r="J3852" s="5"/>
      <c r="K3852" s="5"/>
      <c r="L3852" s="5"/>
      <c r="M3852" s="5"/>
      <c r="N3852" s="6"/>
      <c r="O3852" s="7"/>
      <c r="P3852" s="5"/>
      <c r="Q3852" s="5"/>
      <c r="R3852" s="5"/>
      <c r="S3852" s="5"/>
      <c r="T3852" s="5"/>
      <c r="U3852" s="5"/>
      <c r="V3852" s="5"/>
      <c r="W3852" s="5"/>
      <c r="X3852" s="5"/>
      <c r="Z3852" s="5"/>
      <c r="AA3852" s="5"/>
      <c r="AB3852" s="5"/>
      <c r="AD3852" s="9"/>
    </row>
    <row r="3853" spans="1:30" ht="12.5">
      <c r="A3853" s="4"/>
      <c r="B3853" s="5"/>
      <c r="C3853" s="5"/>
      <c r="D3853" s="5"/>
      <c r="F3853" s="5"/>
      <c r="J3853" s="5"/>
      <c r="K3853" s="5"/>
      <c r="L3853" s="5"/>
      <c r="M3853" s="5"/>
      <c r="N3853" s="6"/>
      <c r="O3853" s="7"/>
      <c r="P3853" s="5"/>
      <c r="Q3853" s="5"/>
      <c r="R3853" s="5"/>
      <c r="S3853" s="5"/>
      <c r="T3853" s="5"/>
      <c r="U3853" s="5"/>
      <c r="V3853" s="5"/>
      <c r="W3853" s="5"/>
      <c r="X3853" s="5"/>
      <c r="Z3853" s="5"/>
      <c r="AA3853" s="5"/>
      <c r="AB3853" s="5"/>
      <c r="AD3853" s="9"/>
    </row>
    <row r="3854" spans="1:30" ht="12.5">
      <c r="A3854" s="4"/>
      <c r="B3854" s="5"/>
      <c r="C3854" s="5"/>
      <c r="D3854" s="5"/>
      <c r="F3854" s="5"/>
      <c r="J3854" s="5"/>
      <c r="K3854" s="5"/>
      <c r="L3854" s="5"/>
      <c r="M3854" s="5"/>
      <c r="N3854" s="6"/>
      <c r="O3854" s="7"/>
      <c r="P3854" s="5"/>
      <c r="Q3854" s="5"/>
      <c r="R3854" s="5"/>
      <c r="S3854" s="5"/>
      <c r="T3854" s="5"/>
      <c r="U3854" s="5"/>
      <c r="V3854" s="5"/>
      <c r="W3854" s="5"/>
      <c r="X3854" s="5"/>
      <c r="Z3854" s="5"/>
      <c r="AA3854" s="5"/>
      <c r="AB3854" s="5"/>
      <c r="AD3854" s="9"/>
    </row>
    <row r="3855" spans="1:30" ht="12.5">
      <c r="A3855" s="4"/>
      <c r="B3855" s="5"/>
      <c r="C3855" s="5"/>
      <c r="D3855" s="5"/>
      <c r="F3855" s="5"/>
      <c r="J3855" s="5"/>
      <c r="K3855" s="5"/>
      <c r="L3855" s="5"/>
      <c r="M3855" s="5"/>
      <c r="N3855" s="6"/>
      <c r="O3855" s="7"/>
      <c r="P3855" s="5"/>
      <c r="Q3855" s="5"/>
      <c r="R3855" s="5"/>
      <c r="S3855" s="5"/>
      <c r="T3855" s="5"/>
      <c r="U3855" s="5"/>
      <c r="V3855" s="5"/>
      <c r="W3855" s="5"/>
      <c r="X3855" s="5"/>
      <c r="Z3855" s="5"/>
      <c r="AA3855" s="5"/>
      <c r="AB3855" s="5"/>
      <c r="AD3855" s="9"/>
    </row>
    <row r="3856" spans="1:30" ht="12.5">
      <c r="A3856" s="4"/>
      <c r="B3856" s="5"/>
      <c r="C3856" s="5"/>
      <c r="D3856" s="5"/>
      <c r="F3856" s="5"/>
      <c r="J3856" s="5"/>
      <c r="K3856" s="5"/>
      <c r="L3856" s="5"/>
      <c r="M3856" s="5"/>
      <c r="N3856" s="6"/>
      <c r="O3856" s="7"/>
      <c r="P3856" s="5"/>
      <c r="Q3856" s="5"/>
      <c r="R3856" s="5"/>
      <c r="S3856" s="5"/>
      <c r="T3856" s="5"/>
      <c r="U3856" s="5"/>
      <c r="V3856" s="5"/>
      <c r="W3856" s="5"/>
      <c r="X3856" s="5"/>
      <c r="Z3856" s="5"/>
      <c r="AA3856" s="5"/>
      <c r="AB3856" s="5"/>
      <c r="AD3856" s="9"/>
    </row>
    <row r="3857" spans="1:30" ht="12.5">
      <c r="A3857" s="4"/>
      <c r="B3857" s="5"/>
      <c r="C3857" s="5"/>
      <c r="D3857" s="5"/>
      <c r="F3857" s="5"/>
      <c r="J3857" s="5"/>
      <c r="K3857" s="5"/>
      <c r="L3857" s="5"/>
      <c r="M3857" s="5"/>
      <c r="N3857" s="6"/>
      <c r="O3857" s="7"/>
      <c r="P3857" s="5"/>
      <c r="Q3857" s="5"/>
      <c r="R3857" s="5"/>
      <c r="S3857" s="5"/>
      <c r="T3857" s="5"/>
      <c r="U3857" s="5"/>
      <c r="V3857" s="5"/>
      <c r="W3857" s="5"/>
      <c r="X3857" s="5"/>
      <c r="Z3857" s="5"/>
      <c r="AA3857" s="5"/>
      <c r="AB3857" s="5"/>
      <c r="AD3857" s="9"/>
    </row>
    <row r="3858" spans="1:30" ht="12.5">
      <c r="A3858" s="4"/>
      <c r="B3858" s="5"/>
      <c r="C3858" s="5"/>
      <c r="D3858" s="5"/>
      <c r="F3858" s="5"/>
      <c r="J3858" s="5"/>
      <c r="K3858" s="5"/>
      <c r="L3858" s="5"/>
      <c r="M3858" s="5"/>
      <c r="N3858" s="6"/>
      <c r="O3858" s="7"/>
      <c r="P3858" s="5"/>
      <c r="Q3858" s="5"/>
      <c r="R3858" s="5"/>
      <c r="S3858" s="5"/>
      <c r="T3858" s="5"/>
      <c r="U3858" s="5"/>
      <c r="V3858" s="5"/>
      <c r="W3858" s="5"/>
      <c r="X3858" s="5"/>
      <c r="Z3858" s="5"/>
      <c r="AA3858" s="5"/>
      <c r="AB3858" s="5"/>
      <c r="AD3858" s="9"/>
    </row>
    <row r="3859" spans="1:30" ht="12.5">
      <c r="A3859" s="4"/>
      <c r="B3859" s="5"/>
      <c r="C3859" s="5"/>
      <c r="D3859" s="5"/>
      <c r="F3859" s="5"/>
      <c r="J3859" s="5"/>
      <c r="K3859" s="5"/>
      <c r="L3859" s="5"/>
      <c r="M3859" s="5"/>
      <c r="N3859" s="6"/>
      <c r="O3859" s="7"/>
      <c r="P3859" s="5"/>
      <c r="Q3859" s="5"/>
      <c r="R3859" s="5"/>
      <c r="S3859" s="5"/>
      <c r="T3859" s="5"/>
      <c r="U3859" s="5"/>
      <c r="V3859" s="5"/>
      <c r="W3859" s="5"/>
      <c r="X3859" s="5"/>
      <c r="Z3859" s="5"/>
      <c r="AA3859" s="5"/>
      <c r="AB3859" s="5"/>
      <c r="AD3859" s="9"/>
    </row>
    <row r="3860" spans="1:30" ht="12.5">
      <c r="A3860" s="4"/>
      <c r="B3860" s="5"/>
      <c r="C3860" s="5"/>
      <c r="D3860" s="5"/>
      <c r="F3860" s="5"/>
      <c r="J3860" s="5"/>
      <c r="K3860" s="5"/>
      <c r="L3860" s="5"/>
      <c r="M3860" s="5"/>
      <c r="N3860" s="6"/>
      <c r="O3860" s="7"/>
      <c r="P3860" s="5"/>
      <c r="Q3860" s="5"/>
      <c r="R3860" s="5"/>
      <c r="S3860" s="5"/>
      <c r="T3860" s="5"/>
      <c r="U3860" s="5"/>
      <c r="V3860" s="5"/>
      <c r="W3860" s="5"/>
      <c r="X3860" s="5"/>
      <c r="Z3860" s="5"/>
      <c r="AA3860" s="5"/>
      <c r="AB3860" s="5"/>
      <c r="AD3860" s="9"/>
    </row>
    <row r="3861" spans="1:30" ht="12.5">
      <c r="A3861" s="4"/>
      <c r="B3861" s="5"/>
      <c r="C3861" s="5"/>
      <c r="D3861" s="5"/>
      <c r="F3861" s="5"/>
      <c r="J3861" s="5"/>
      <c r="K3861" s="5"/>
      <c r="L3861" s="5"/>
      <c r="M3861" s="5"/>
      <c r="N3861" s="6"/>
      <c r="O3861" s="7"/>
      <c r="P3861" s="5"/>
      <c r="Q3861" s="5"/>
      <c r="R3861" s="5"/>
      <c r="S3861" s="5"/>
      <c r="T3861" s="5"/>
      <c r="U3861" s="5"/>
      <c r="V3861" s="5"/>
      <c r="W3861" s="5"/>
      <c r="X3861" s="5"/>
      <c r="Z3861" s="5"/>
      <c r="AA3861" s="5"/>
      <c r="AB3861" s="5"/>
      <c r="AD3861" s="9"/>
    </row>
    <row r="3862" spans="1:30" ht="12.5">
      <c r="A3862" s="4"/>
      <c r="B3862" s="5"/>
      <c r="C3862" s="5"/>
      <c r="D3862" s="5"/>
      <c r="F3862" s="5"/>
      <c r="J3862" s="5"/>
      <c r="K3862" s="5"/>
      <c r="L3862" s="5"/>
      <c r="M3862" s="5"/>
      <c r="N3862" s="6"/>
      <c r="O3862" s="7"/>
      <c r="P3862" s="5"/>
      <c r="Q3862" s="5"/>
      <c r="R3862" s="5"/>
      <c r="S3862" s="5"/>
      <c r="T3862" s="5"/>
      <c r="U3862" s="5"/>
      <c r="V3862" s="5"/>
      <c r="W3862" s="5"/>
      <c r="X3862" s="5"/>
      <c r="Z3862" s="5"/>
      <c r="AA3862" s="5"/>
      <c r="AB3862" s="5"/>
      <c r="AD3862" s="9"/>
    </row>
    <row r="3863" spans="1:30" ht="12.5">
      <c r="A3863" s="4"/>
      <c r="B3863" s="5"/>
      <c r="C3863" s="5"/>
      <c r="D3863" s="5"/>
      <c r="F3863" s="5"/>
      <c r="J3863" s="5"/>
      <c r="K3863" s="5"/>
      <c r="L3863" s="5"/>
      <c r="M3863" s="5"/>
      <c r="N3863" s="6"/>
      <c r="O3863" s="7"/>
      <c r="P3863" s="5"/>
      <c r="Q3863" s="5"/>
      <c r="R3863" s="5"/>
      <c r="S3863" s="5"/>
      <c r="T3863" s="5"/>
      <c r="U3863" s="5"/>
      <c r="V3863" s="5"/>
      <c r="W3863" s="5"/>
      <c r="X3863" s="5"/>
      <c r="Z3863" s="5"/>
      <c r="AA3863" s="5"/>
      <c r="AB3863" s="5"/>
      <c r="AD3863" s="9"/>
    </row>
    <row r="3864" spans="1:30" ht="12.5">
      <c r="A3864" s="4"/>
      <c r="B3864" s="5"/>
      <c r="C3864" s="5"/>
      <c r="D3864" s="5"/>
      <c r="F3864" s="5"/>
      <c r="J3864" s="5"/>
      <c r="K3864" s="5"/>
      <c r="L3864" s="5"/>
      <c r="M3864" s="5"/>
      <c r="N3864" s="6"/>
      <c r="O3864" s="7"/>
      <c r="P3864" s="5"/>
      <c r="Q3864" s="5"/>
      <c r="R3864" s="5"/>
      <c r="S3864" s="5"/>
      <c r="T3864" s="5"/>
      <c r="U3864" s="5"/>
      <c r="V3864" s="5"/>
      <c r="W3864" s="5"/>
      <c r="X3864" s="5"/>
      <c r="Z3864" s="5"/>
      <c r="AA3864" s="5"/>
      <c r="AB3864" s="5"/>
      <c r="AD3864" s="9"/>
    </row>
    <row r="3865" spans="1:30" ht="12.5">
      <c r="A3865" s="4"/>
      <c r="B3865" s="5"/>
      <c r="C3865" s="5"/>
      <c r="D3865" s="5"/>
      <c r="F3865" s="5"/>
      <c r="J3865" s="5"/>
      <c r="K3865" s="5"/>
      <c r="L3865" s="5"/>
      <c r="M3865" s="5"/>
      <c r="N3865" s="6"/>
      <c r="O3865" s="7"/>
      <c r="P3865" s="5"/>
      <c r="Q3865" s="5"/>
      <c r="R3865" s="5"/>
      <c r="S3865" s="5"/>
      <c r="T3865" s="5"/>
      <c r="U3865" s="5"/>
      <c r="V3865" s="5"/>
      <c r="W3865" s="5"/>
      <c r="X3865" s="5"/>
      <c r="Z3865" s="5"/>
      <c r="AA3865" s="5"/>
      <c r="AB3865" s="5"/>
      <c r="AD3865" s="9"/>
    </row>
    <row r="3866" spans="1:30" ht="12.5">
      <c r="A3866" s="4"/>
      <c r="B3866" s="5"/>
      <c r="C3866" s="5"/>
      <c r="D3866" s="5"/>
      <c r="F3866" s="5"/>
      <c r="J3866" s="5"/>
      <c r="K3866" s="5"/>
      <c r="L3866" s="5"/>
      <c r="M3866" s="5"/>
      <c r="N3866" s="6"/>
      <c r="O3866" s="7"/>
      <c r="P3866" s="5"/>
      <c r="Q3866" s="5"/>
      <c r="R3866" s="5"/>
      <c r="S3866" s="5"/>
      <c r="T3866" s="5"/>
      <c r="U3866" s="5"/>
      <c r="V3866" s="5"/>
      <c r="W3866" s="5"/>
      <c r="X3866" s="5"/>
      <c r="Z3866" s="5"/>
      <c r="AA3866" s="5"/>
      <c r="AB3866" s="5"/>
      <c r="AD3866" s="9"/>
    </row>
    <row r="3867" spans="1:30" ht="12.5">
      <c r="A3867" s="4"/>
      <c r="B3867" s="5"/>
      <c r="C3867" s="5"/>
      <c r="D3867" s="5"/>
      <c r="F3867" s="5"/>
      <c r="J3867" s="5"/>
      <c r="K3867" s="5"/>
      <c r="L3867" s="5"/>
      <c r="M3867" s="5"/>
      <c r="N3867" s="6"/>
      <c r="O3867" s="7"/>
      <c r="P3867" s="5"/>
      <c r="Q3867" s="5"/>
      <c r="R3867" s="5"/>
      <c r="S3867" s="5"/>
      <c r="T3867" s="5"/>
      <c r="U3867" s="5"/>
      <c r="V3867" s="5"/>
      <c r="W3867" s="5"/>
      <c r="X3867" s="5"/>
      <c r="Z3867" s="5"/>
      <c r="AA3867" s="5"/>
      <c r="AB3867" s="5"/>
      <c r="AD3867" s="9"/>
    </row>
    <row r="3868" spans="1:30" ht="12.5">
      <c r="A3868" s="4"/>
      <c r="B3868" s="5"/>
      <c r="C3868" s="5"/>
      <c r="D3868" s="5"/>
      <c r="F3868" s="5"/>
      <c r="J3868" s="5"/>
      <c r="K3868" s="5"/>
      <c r="L3868" s="5"/>
      <c r="M3868" s="5"/>
      <c r="N3868" s="6"/>
      <c r="O3868" s="7"/>
      <c r="P3868" s="5"/>
      <c r="Q3868" s="5"/>
      <c r="R3868" s="5"/>
      <c r="S3868" s="5"/>
      <c r="T3868" s="5"/>
      <c r="U3868" s="5"/>
      <c r="V3868" s="5"/>
      <c r="W3868" s="5"/>
      <c r="X3868" s="5"/>
      <c r="Z3868" s="5"/>
      <c r="AA3868" s="5"/>
      <c r="AB3868" s="5"/>
      <c r="AD3868" s="9"/>
    </row>
    <row r="3869" spans="1:30" ht="12.5">
      <c r="A3869" s="4"/>
      <c r="B3869" s="5"/>
      <c r="C3869" s="5"/>
      <c r="D3869" s="5"/>
      <c r="F3869" s="5"/>
      <c r="J3869" s="5"/>
      <c r="K3869" s="5"/>
      <c r="L3869" s="5"/>
      <c r="M3869" s="5"/>
      <c r="N3869" s="6"/>
      <c r="O3869" s="7"/>
      <c r="P3869" s="5"/>
      <c r="Q3869" s="5"/>
      <c r="R3869" s="5"/>
      <c r="S3869" s="5"/>
      <c r="T3869" s="5"/>
      <c r="U3869" s="5"/>
      <c r="V3869" s="5"/>
      <c r="W3869" s="5"/>
      <c r="X3869" s="5"/>
      <c r="Z3869" s="5"/>
      <c r="AA3869" s="5"/>
      <c r="AB3869" s="5"/>
      <c r="AD3869" s="9"/>
    </row>
    <row r="3870" spans="1:30" ht="12.5">
      <c r="A3870" s="4"/>
      <c r="B3870" s="5"/>
      <c r="C3870" s="5"/>
      <c r="D3870" s="5"/>
      <c r="F3870" s="5"/>
      <c r="J3870" s="5"/>
      <c r="K3870" s="5"/>
      <c r="L3870" s="5"/>
      <c r="M3870" s="5"/>
      <c r="N3870" s="6"/>
      <c r="O3870" s="7"/>
      <c r="P3870" s="5"/>
      <c r="Q3870" s="5"/>
      <c r="R3870" s="5"/>
      <c r="S3870" s="5"/>
      <c r="T3870" s="5"/>
      <c r="U3870" s="5"/>
      <c r="V3870" s="5"/>
      <c r="W3870" s="5"/>
      <c r="X3870" s="5"/>
      <c r="Z3870" s="5"/>
      <c r="AA3870" s="5"/>
      <c r="AB3870" s="5"/>
      <c r="AD3870" s="9"/>
    </row>
    <row r="3871" spans="1:30" ht="12.5">
      <c r="A3871" s="4"/>
      <c r="B3871" s="5"/>
      <c r="C3871" s="5"/>
      <c r="D3871" s="5"/>
      <c r="F3871" s="5"/>
      <c r="J3871" s="5"/>
      <c r="K3871" s="5"/>
      <c r="L3871" s="5"/>
      <c r="M3871" s="5"/>
      <c r="N3871" s="6"/>
      <c r="O3871" s="7"/>
      <c r="P3871" s="5"/>
      <c r="Q3871" s="5"/>
      <c r="R3871" s="5"/>
      <c r="S3871" s="5"/>
      <c r="T3871" s="5"/>
      <c r="U3871" s="5"/>
      <c r="V3871" s="5"/>
      <c r="W3871" s="5"/>
      <c r="X3871" s="5"/>
      <c r="Z3871" s="5"/>
      <c r="AA3871" s="5"/>
      <c r="AB3871" s="5"/>
      <c r="AD3871" s="9"/>
    </row>
    <row r="3872" spans="1:30" ht="12.5">
      <c r="A3872" s="4"/>
      <c r="B3872" s="5"/>
      <c r="C3872" s="5"/>
      <c r="D3872" s="5"/>
      <c r="F3872" s="5"/>
      <c r="J3872" s="5"/>
      <c r="K3872" s="5"/>
      <c r="L3872" s="5"/>
      <c r="M3872" s="5"/>
      <c r="N3872" s="6"/>
      <c r="O3872" s="7"/>
      <c r="P3872" s="5"/>
      <c r="Q3872" s="5"/>
      <c r="R3872" s="5"/>
      <c r="S3872" s="5"/>
      <c r="T3872" s="5"/>
      <c r="U3872" s="5"/>
      <c r="V3872" s="5"/>
      <c r="W3872" s="5"/>
      <c r="X3872" s="5"/>
      <c r="Z3872" s="5"/>
      <c r="AA3872" s="5"/>
      <c r="AB3872" s="5"/>
      <c r="AD3872" s="9"/>
    </row>
    <row r="3873" spans="1:30" ht="12.5">
      <c r="A3873" s="4"/>
      <c r="B3873" s="5"/>
      <c r="C3873" s="5"/>
      <c r="D3873" s="5"/>
      <c r="F3873" s="5"/>
      <c r="J3873" s="5"/>
      <c r="K3873" s="5"/>
      <c r="L3873" s="5"/>
      <c r="M3873" s="5"/>
      <c r="N3873" s="6"/>
      <c r="O3873" s="7"/>
      <c r="P3873" s="5"/>
      <c r="Q3873" s="5"/>
      <c r="R3873" s="5"/>
      <c r="S3873" s="5"/>
      <c r="T3873" s="5"/>
      <c r="U3873" s="5"/>
      <c r="V3873" s="5"/>
      <c r="W3873" s="5"/>
      <c r="X3873" s="5"/>
      <c r="Z3873" s="5"/>
      <c r="AA3873" s="5"/>
      <c r="AB3873" s="5"/>
      <c r="AD3873" s="9"/>
    </row>
    <row r="3874" spans="1:30" ht="12.5">
      <c r="A3874" s="4"/>
      <c r="B3874" s="5"/>
      <c r="C3874" s="5"/>
      <c r="D3874" s="5"/>
      <c r="F3874" s="5"/>
      <c r="J3874" s="5"/>
      <c r="K3874" s="5"/>
      <c r="L3874" s="5"/>
      <c r="M3874" s="5"/>
      <c r="N3874" s="6"/>
      <c r="O3874" s="7"/>
      <c r="P3874" s="5"/>
      <c r="Q3874" s="5"/>
      <c r="R3874" s="5"/>
      <c r="S3874" s="5"/>
      <c r="T3874" s="5"/>
      <c r="U3874" s="5"/>
      <c r="V3874" s="5"/>
      <c r="W3874" s="5"/>
      <c r="X3874" s="5"/>
      <c r="Z3874" s="5"/>
      <c r="AA3874" s="5"/>
      <c r="AB3874" s="5"/>
      <c r="AD3874" s="9"/>
    </row>
    <row r="3875" spans="1:30" ht="12.5">
      <c r="A3875" s="4"/>
      <c r="B3875" s="5"/>
      <c r="C3875" s="5"/>
      <c r="D3875" s="5"/>
      <c r="F3875" s="5"/>
      <c r="J3875" s="5"/>
      <c r="K3875" s="5"/>
      <c r="L3875" s="5"/>
      <c r="M3875" s="5"/>
      <c r="N3875" s="6"/>
      <c r="O3875" s="7"/>
      <c r="P3875" s="5"/>
      <c r="Q3875" s="5"/>
      <c r="R3875" s="5"/>
      <c r="S3875" s="5"/>
      <c r="T3875" s="5"/>
      <c r="U3875" s="5"/>
      <c r="V3875" s="5"/>
      <c r="W3875" s="5"/>
      <c r="X3875" s="5"/>
      <c r="Z3875" s="5"/>
      <c r="AA3875" s="5"/>
      <c r="AB3875" s="5"/>
      <c r="AD3875" s="9"/>
    </row>
    <row r="3876" spans="1:30" ht="12.5">
      <c r="A3876" s="4"/>
      <c r="B3876" s="5"/>
      <c r="C3876" s="5"/>
      <c r="D3876" s="5"/>
      <c r="F3876" s="5"/>
      <c r="J3876" s="5"/>
      <c r="K3876" s="5"/>
      <c r="L3876" s="5"/>
      <c r="M3876" s="5"/>
      <c r="N3876" s="6"/>
      <c r="O3876" s="7"/>
      <c r="P3876" s="5"/>
      <c r="Q3876" s="5"/>
      <c r="R3876" s="5"/>
      <c r="S3876" s="5"/>
      <c r="T3876" s="5"/>
      <c r="U3876" s="5"/>
      <c r="V3876" s="5"/>
      <c r="W3876" s="5"/>
      <c r="X3876" s="5"/>
      <c r="Z3876" s="5"/>
      <c r="AA3876" s="5"/>
      <c r="AB3876" s="5"/>
      <c r="AD3876" s="9"/>
    </row>
    <row r="3877" spans="1:30" ht="12.5">
      <c r="A3877" s="4"/>
      <c r="B3877" s="5"/>
      <c r="C3877" s="5"/>
      <c r="D3877" s="5"/>
      <c r="F3877" s="5"/>
      <c r="J3877" s="5"/>
      <c r="K3877" s="5"/>
      <c r="L3877" s="5"/>
      <c r="M3877" s="5"/>
      <c r="N3877" s="6"/>
      <c r="O3877" s="7"/>
      <c r="P3877" s="5"/>
      <c r="Q3877" s="5"/>
      <c r="R3877" s="5"/>
      <c r="S3877" s="5"/>
      <c r="T3877" s="5"/>
      <c r="U3877" s="5"/>
      <c r="V3877" s="5"/>
      <c r="W3877" s="5"/>
      <c r="X3877" s="5"/>
      <c r="Z3877" s="5"/>
      <c r="AA3877" s="5"/>
      <c r="AB3877" s="5"/>
      <c r="AD3877" s="9"/>
    </row>
    <row r="3878" spans="1:30" ht="12.5">
      <c r="A3878" s="4"/>
      <c r="B3878" s="5"/>
      <c r="C3878" s="5"/>
      <c r="D3878" s="5"/>
      <c r="F3878" s="5"/>
      <c r="J3878" s="5"/>
      <c r="K3878" s="5"/>
      <c r="L3878" s="5"/>
      <c r="M3878" s="5"/>
      <c r="N3878" s="6"/>
      <c r="O3878" s="7"/>
      <c r="P3878" s="5"/>
      <c r="Q3878" s="5"/>
      <c r="R3878" s="5"/>
      <c r="S3878" s="5"/>
      <c r="T3878" s="5"/>
      <c r="U3878" s="5"/>
      <c r="V3878" s="5"/>
      <c r="W3878" s="5"/>
      <c r="X3878" s="5"/>
      <c r="Z3878" s="5"/>
      <c r="AA3878" s="5"/>
      <c r="AB3878" s="5"/>
      <c r="AD3878" s="9"/>
    </row>
    <row r="3879" spans="1:30" ht="12.5">
      <c r="A3879" s="4"/>
      <c r="B3879" s="5"/>
      <c r="C3879" s="5"/>
      <c r="D3879" s="5"/>
      <c r="F3879" s="5"/>
      <c r="J3879" s="5"/>
      <c r="K3879" s="5"/>
      <c r="L3879" s="5"/>
      <c r="M3879" s="5"/>
      <c r="N3879" s="6"/>
      <c r="O3879" s="7"/>
      <c r="P3879" s="5"/>
      <c r="Q3879" s="5"/>
      <c r="R3879" s="5"/>
      <c r="S3879" s="5"/>
      <c r="T3879" s="5"/>
      <c r="U3879" s="5"/>
      <c r="V3879" s="5"/>
      <c r="W3879" s="5"/>
      <c r="X3879" s="5"/>
      <c r="Z3879" s="5"/>
      <c r="AA3879" s="5"/>
      <c r="AB3879" s="5"/>
      <c r="AD3879" s="9"/>
    </row>
  </sheetData>
  <autoFilter ref="A1:AD231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3402"/>
  <sheetViews>
    <sheetView workbookViewId="0">
      <pane ySplit="1" topLeftCell="A2" activePane="bottomLeft" state="frozen"/>
      <selection pane="bottomLeft" activeCell="B3" sqref="B3"/>
    </sheetView>
  </sheetViews>
  <sheetFormatPr baseColWidth="10" defaultColWidth="12.6328125" defaultRowHeight="15.75" customHeight="1"/>
  <cols>
    <col min="2" max="2" width="45.90625" customWidth="1"/>
    <col min="4" max="4" width="15.08984375" customWidth="1"/>
    <col min="5" max="5" width="58.6328125" customWidth="1"/>
    <col min="6" max="6" width="20.6328125" customWidth="1"/>
    <col min="7" max="7" width="25.08984375" customWidth="1"/>
    <col min="8" max="8" width="71.7265625" customWidth="1"/>
    <col min="12" max="12" width="19.36328125" customWidth="1"/>
    <col min="17" max="17" width="25.90625" customWidth="1"/>
    <col min="18" max="18" width="26.08984375" customWidth="1"/>
  </cols>
  <sheetData>
    <row r="1" spans="1:23" ht="13">
      <c r="A1" s="1" t="s">
        <v>14555</v>
      </c>
      <c r="B1" s="1" t="s">
        <v>14556</v>
      </c>
      <c r="C1" s="1" t="s">
        <v>7</v>
      </c>
      <c r="D1" s="1" t="s">
        <v>14557</v>
      </c>
      <c r="E1" s="1" t="s">
        <v>14558</v>
      </c>
      <c r="F1" s="24" t="s">
        <v>10</v>
      </c>
      <c r="G1" s="1" t="s">
        <v>9</v>
      </c>
      <c r="H1" s="1" t="s">
        <v>14559</v>
      </c>
      <c r="I1" s="1" t="s">
        <v>14560</v>
      </c>
      <c r="J1" s="1" t="s">
        <v>13</v>
      </c>
      <c r="K1" s="1" t="s">
        <v>14</v>
      </c>
      <c r="L1" s="1" t="s">
        <v>14561</v>
      </c>
      <c r="M1" s="1" t="s">
        <v>14562</v>
      </c>
      <c r="N1" s="1" t="s">
        <v>0</v>
      </c>
      <c r="O1" s="1" t="s">
        <v>14563</v>
      </c>
      <c r="P1" s="1" t="s">
        <v>14564</v>
      </c>
      <c r="Q1" s="1" t="s">
        <v>14565</v>
      </c>
      <c r="R1" s="1" t="s">
        <v>14566</v>
      </c>
      <c r="S1" s="1" t="s">
        <v>14567</v>
      </c>
      <c r="T1" s="3" t="s">
        <v>33</v>
      </c>
      <c r="U1" s="1" t="s">
        <v>14568</v>
      </c>
      <c r="V1" s="3" t="s">
        <v>23</v>
      </c>
      <c r="W1" s="3" t="s">
        <v>27</v>
      </c>
    </row>
    <row r="2" spans="1:23" ht="12.5">
      <c r="A2" s="5">
        <v>90797</v>
      </c>
      <c r="B2" s="5" t="s">
        <v>5053</v>
      </c>
      <c r="C2" s="5">
        <v>573204580008</v>
      </c>
      <c r="D2" s="5">
        <v>56</v>
      </c>
      <c r="E2" s="5" t="s">
        <v>1102</v>
      </c>
      <c r="F2" s="5" t="s">
        <v>33</v>
      </c>
      <c r="G2" s="5" t="s">
        <v>5053</v>
      </c>
      <c r="H2" s="5" t="s">
        <v>34</v>
      </c>
      <c r="I2" s="5">
        <v>3204580008</v>
      </c>
      <c r="J2" s="12">
        <v>46027</v>
      </c>
      <c r="K2" s="11">
        <v>0.41666666666787933</v>
      </c>
      <c r="M2" s="10" t="s">
        <v>14569</v>
      </c>
      <c r="N2" s="12">
        <v>46027.342375509259</v>
      </c>
      <c r="O2" s="10" t="s">
        <v>14570</v>
      </c>
      <c r="P2" s="5" t="s">
        <v>14571</v>
      </c>
      <c r="Q2" s="5" t="s">
        <v>14572</v>
      </c>
      <c r="R2" s="5" t="s">
        <v>14573</v>
      </c>
      <c r="T2" s="5" t="s">
        <v>14574</v>
      </c>
      <c r="U2" s="5" t="s">
        <v>33</v>
      </c>
      <c r="V2" s="5" t="s">
        <v>83</v>
      </c>
    </row>
    <row r="3" spans="1:23" ht="14.25" customHeight="1">
      <c r="A3" s="5">
        <v>90796</v>
      </c>
      <c r="B3" s="5" t="s">
        <v>14575</v>
      </c>
      <c r="C3" s="5">
        <v>573017850753</v>
      </c>
      <c r="D3" s="5">
        <v>63</v>
      </c>
      <c r="E3" s="5" t="s">
        <v>294</v>
      </c>
      <c r="F3" s="5" t="s">
        <v>185</v>
      </c>
      <c r="G3" s="5" t="s">
        <v>5047</v>
      </c>
      <c r="H3" s="5" t="s">
        <v>5048</v>
      </c>
      <c r="I3" s="5">
        <v>3106306140</v>
      </c>
      <c r="J3" s="12">
        <v>46039</v>
      </c>
      <c r="K3" s="11">
        <v>0.66666666666666663</v>
      </c>
      <c r="M3" s="10" t="s">
        <v>14576</v>
      </c>
      <c r="N3" s="12">
        <v>46025.823178622682</v>
      </c>
      <c r="O3" s="10" t="s">
        <v>14577</v>
      </c>
      <c r="P3" s="5" t="s">
        <v>14571</v>
      </c>
      <c r="Q3" s="5" t="s">
        <v>14578</v>
      </c>
      <c r="R3" s="5" t="s">
        <v>14579</v>
      </c>
      <c r="T3" s="5" t="s">
        <v>5994</v>
      </c>
      <c r="U3" s="5" t="s">
        <v>14580</v>
      </c>
      <c r="V3" s="5" t="s">
        <v>83</v>
      </c>
    </row>
    <row r="4" spans="1:23" ht="14.25" customHeight="1">
      <c r="A4" s="5">
        <v>90795</v>
      </c>
      <c r="B4" s="5" t="s">
        <v>14581</v>
      </c>
      <c r="C4" s="5">
        <v>5.70049E+16</v>
      </c>
      <c r="D4" s="5">
        <v>21</v>
      </c>
      <c r="E4" s="5" t="s">
        <v>330</v>
      </c>
      <c r="F4" s="5" t="s">
        <v>351</v>
      </c>
      <c r="G4" s="5" t="s">
        <v>5043</v>
      </c>
      <c r="H4" s="5" t="s">
        <v>5044</v>
      </c>
      <c r="I4" s="5">
        <v>3011656550</v>
      </c>
      <c r="J4" s="12">
        <v>46030</v>
      </c>
      <c r="K4" s="11">
        <v>0.375</v>
      </c>
      <c r="M4" s="10" t="s">
        <v>14582</v>
      </c>
      <c r="N4" s="12">
        <v>46027.335411898152</v>
      </c>
      <c r="O4" s="10" t="s">
        <v>14583</v>
      </c>
      <c r="P4" s="5" t="s">
        <v>14571</v>
      </c>
      <c r="Q4" s="5" t="s">
        <v>14572</v>
      </c>
      <c r="R4" s="5" t="s">
        <v>14584</v>
      </c>
      <c r="T4" s="5" t="s">
        <v>5994</v>
      </c>
      <c r="U4" s="5" t="s">
        <v>14580</v>
      </c>
      <c r="V4" s="5" t="s">
        <v>3754</v>
      </c>
    </row>
    <row r="5" spans="1:23" ht="14.25" customHeight="1">
      <c r="A5" s="5">
        <v>90794</v>
      </c>
      <c r="B5" s="5" t="s">
        <v>5037</v>
      </c>
      <c r="C5" s="5">
        <v>573187955699</v>
      </c>
      <c r="D5" s="5">
        <v>29</v>
      </c>
      <c r="E5" s="5" t="s">
        <v>309</v>
      </c>
      <c r="F5" s="5" t="s">
        <v>33</v>
      </c>
      <c r="G5" s="5" t="s">
        <v>5037</v>
      </c>
      <c r="H5" s="5" t="s">
        <v>34</v>
      </c>
      <c r="I5" s="5">
        <v>3187955699</v>
      </c>
      <c r="J5" s="12">
        <v>46027</v>
      </c>
      <c r="K5" s="11">
        <v>0</v>
      </c>
      <c r="M5" s="10" t="s">
        <v>14585</v>
      </c>
      <c r="N5" s="12">
        <v>46027.323188587965</v>
      </c>
      <c r="O5" s="10" t="s">
        <v>14586</v>
      </c>
      <c r="P5" s="5" t="s">
        <v>14571</v>
      </c>
      <c r="Q5" s="5" t="s">
        <v>14572</v>
      </c>
      <c r="R5" s="5" t="s">
        <v>14587</v>
      </c>
      <c r="T5" s="5" t="s">
        <v>14574</v>
      </c>
      <c r="U5" s="5" t="s">
        <v>33</v>
      </c>
      <c r="V5" s="5" t="s">
        <v>196</v>
      </c>
      <c r="W5" s="5" t="s">
        <v>5040</v>
      </c>
    </row>
    <row r="6" spans="1:23" ht="12.5">
      <c r="A6" s="5">
        <v>90793</v>
      </c>
      <c r="B6" s="5" t="s">
        <v>14588</v>
      </c>
      <c r="C6" s="5">
        <v>577748258571</v>
      </c>
      <c r="D6" s="5" t="s">
        <v>14589</v>
      </c>
      <c r="E6" s="5" t="s">
        <v>4765</v>
      </c>
      <c r="F6" s="5" t="s">
        <v>1272</v>
      </c>
      <c r="G6" s="5" t="s">
        <v>138</v>
      </c>
      <c r="H6" s="5" t="s">
        <v>5033</v>
      </c>
      <c r="I6" s="5">
        <v>3171346718</v>
      </c>
      <c r="J6" s="12">
        <v>46027</v>
      </c>
      <c r="K6" s="11">
        <v>0.375</v>
      </c>
      <c r="M6" s="10" t="s">
        <v>14590</v>
      </c>
      <c r="N6" s="12">
        <v>46027.307071041665</v>
      </c>
      <c r="O6" s="10" t="s">
        <v>14591</v>
      </c>
      <c r="P6" s="5" t="s">
        <v>14571</v>
      </c>
      <c r="Q6" s="5" t="s">
        <v>14572</v>
      </c>
      <c r="R6" s="5" t="s">
        <v>14592</v>
      </c>
      <c r="T6" s="5" t="s">
        <v>5994</v>
      </c>
      <c r="U6" s="5" t="s">
        <v>14593</v>
      </c>
      <c r="V6" s="5" t="s">
        <v>83</v>
      </c>
    </row>
    <row r="7" spans="1:23" ht="12.5">
      <c r="A7" s="5">
        <v>90792</v>
      </c>
      <c r="B7" s="5" t="s">
        <v>14594</v>
      </c>
      <c r="C7" s="5">
        <v>573015013641</v>
      </c>
      <c r="D7" s="5">
        <v>29</v>
      </c>
      <c r="E7" s="5" t="s">
        <v>309</v>
      </c>
      <c r="F7" s="5" t="s">
        <v>63</v>
      </c>
      <c r="G7" s="5" t="s">
        <v>5028</v>
      </c>
      <c r="H7" s="5" t="s">
        <v>5029</v>
      </c>
      <c r="I7" s="5">
        <v>3164703494</v>
      </c>
      <c r="J7" s="12">
        <v>46027</v>
      </c>
      <c r="K7" s="11">
        <v>0.375</v>
      </c>
      <c r="M7" s="10" t="s">
        <v>14595</v>
      </c>
      <c r="N7" s="12">
        <v>46027.299556354163</v>
      </c>
      <c r="O7" s="10" t="s">
        <v>14596</v>
      </c>
      <c r="P7" s="5" t="s">
        <v>14571</v>
      </c>
      <c r="Q7" s="5" t="s">
        <v>14572</v>
      </c>
      <c r="R7" s="5" t="s">
        <v>14597</v>
      </c>
      <c r="T7" s="5" t="s">
        <v>5994</v>
      </c>
      <c r="U7" s="5" t="s">
        <v>14598</v>
      </c>
      <c r="V7" s="5" t="s">
        <v>67</v>
      </c>
    </row>
    <row r="8" spans="1:23" ht="12.5">
      <c r="A8" s="5">
        <v>90791</v>
      </c>
      <c r="B8" s="5" t="s">
        <v>5025</v>
      </c>
      <c r="C8" s="5">
        <v>573008060384</v>
      </c>
      <c r="D8" s="5">
        <v>64</v>
      </c>
      <c r="E8" s="5" t="s">
        <v>133</v>
      </c>
      <c r="F8" s="5" t="s">
        <v>33</v>
      </c>
      <c r="G8" s="5" t="s">
        <v>5025</v>
      </c>
      <c r="H8" s="5" t="s">
        <v>34</v>
      </c>
      <c r="I8" s="5">
        <v>3008060384</v>
      </c>
      <c r="J8" s="12">
        <v>46027</v>
      </c>
      <c r="K8" s="11">
        <v>0.375</v>
      </c>
      <c r="M8" s="10" t="s">
        <v>14599</v>
      </c>
      <c r="N8" s="12">
        <v>46027.292621701388</v>
      </c>
      <c r="O8" s="10" t="s">
        <v>14600</v>
      </c>
      <c r="P8" s="5" t="s">
        <v>14571</v>
      </c>
      <c r="Q8" s="5" t="s">
        <v>14572</v>
      </c>
      <c r="R8" s="5" t="s">
        <v>14601</v>
      </c>
      <c r="T8" s="5" t="s">
        <v>14574</v>
      </c>
      <c r="U8" s="5" t="s">
        <v>33</v>
      </c>
      <c r="V8" s="5" t="s">
        <v>43</v>
      </c>
      <c r="W8" s="5" t="s">
        <v>225</v>
      </c>
    </row>
    <row r="9" spans="1:23" ht="12.5">
      <c r="A9" s="5">
        <v>90790</v>
      </c>
      <c r="B9" s="5" t="s">
        <v>5023</v>
      </c>
      <c r="C9" s="5">
        <v>573157264794</v>
      </c>
      <c r="D9" s="5">
        <v>95</v>
      </c>
      <c r="E9" s="5" t="s">
        <v>42</v>
      </c>
      <c r="F9" s="5" t="s">
        <v>33</v>
      </c>
      <c r="G9" s="5" t="s">
        <v>5023</v>
      </c>
      <c r="H9" s="5" t="s">
        <v>34</v>
      </c>
      <c r="I9" s="5"/>
      <c r="J9" s="12">
        <v>46022</v>
      </c>
      <c r="K9" s="11">
        <v>0</v>
      </c>
      <c r="M9" s="10" t="s">
        <v>14602</v>
      </c>
      <c r="N9" s="12">
        <v>46022.60903118056</v>
      </c>
      <c r="O9" s="10" t="s">
        <v>14603</v>
      </c>
      <c r="P9" s="5" t="s">
        <v>14571</v>
      </c>
      <c r="Q9" s="5" t="s">
        <v>14578</v>
      </c>
      <c r="R9" s="5" t="s">
        <v>14604</v>
      </c>
      <c r="T9" s="5" t="s">
        <v>14574</v>
      </c>
      <c r="U9" s="5" t="s">
        <v>33</v>
      </c>
      <c r="V9" s="5" t="s">
        <v>67</v>
      </c>
    </row>
    <row r="10" spans="1:23" ht="12.5">
      <c r="A10" s="5">
        <v>90789</v>
      </c>
      <c r="B10" s="5" t="s">
        <v>4109</v>
      </c>
      <c r="C10" s="10" t="s">
        <v>14605</v>
      </c>
      <c r="D10" s="5" t="s">
        <v>14589</v>
      </c>
      <c r="E10" s="5" t="s">
        <v>5019</v>
      </c>
      <c r="F10" s="5" t="s">
        <v>1187</v>
      </c>
      <c r="G10" s="5" t="s">
        <v>4356</v>
      </c>
      <c r="H10" s="5" t="s">
        <v>4357</v>
      </c>
      <c r="J10" s="12">
        <v>46022</v>
      </c>
      <c r="K10" s="11">
        <v>0</v>
      </c>
      <c r="M10" s="10" t="s">
        <v>14606</v>
      </c>
      <c r="N10" s="12">
        <v>46022</v>
      </c>
      <c r="O10" s="10" t="s">
        <v>14607</v>
      </c>
      <c r="P10" s="5" t="s">
        <v>14571</v>
      </c>
      <c r="Q10" s="5" t="s">
        <v>14572</v>
      </c>
      <c r="R10" s="5" t="s">
        <v>14608</v>
      </c>
      <c r="T10" s="5" t="s">
        <v>5994</v>
      </c>
      <c r="U10" s="5"/>
      <c r="V10" s="5" t="s">
        <v>83</v>
      </c>
      <c r="W10" s="5" t="s">
        <v>5020</v>
      </c>
    </row>
    <row r="11" spans="1:23" ht="12.5">
      <c r="A11" s="5">
        <v>90788</v>
      </c>
      <c r="B11" s="5" t="s">
        <v>14609</v>
      </c>
      <c r="C11" s="5">
        <v>13312434171</v>
      </c>
      <c r="D11" s="5">
        <v>95</v>
      </c>
      <c r="E11" s="5" t="s">
        <v>42</v>
      </c>
      <c r="F11" s="5" t="s">
        <v>1057</v>
      </c>
      <c r="G11" s="5" t="s">
        <v>5016</v>
      </c>
      <c r="H11" s="5" t="s">
        <v>5017</v>
      </c>
      <c r="J11" s="12">
        <v>46022</v>
      </c>
      <c r="K11" s="11">
        <v>0</v>
      </c>
      <c r="M11" s="10" t="s">
        <v>14610</v>
      </c>
      <c r="N11" s="12">
        <v>46022.591756423615</v>
      </c>
      <c r="O11" s="10" t="s">
        <v>14611</v>
      </c>
      <c r="P11" s="5" t="s">
        <v>14571</v>
      </c>
      <c r="Q11" s="5" t="s">
        <v>14612</v>
      </c>
      <c r="R11" s="5" t="s">
        <v>14613</v>
      </c>
      <c r="T11" s="5" t="s">
        <v>5994</v>
      </c>
      <c r="U11" s="5" t="s">
        <v>14580</v>
      </c>
      <c r="V11" s="5" t="s">
        <v>83</v>
      </c>
      <c r="W11" s="5" t="s">
        <v>5018</v>
      </c>
    </row>
    <row r="12" spans="1:23" ht="12.5">
      <c r="A12" s="5">
        <v>90787</v>
      </c>
      <c r="B12" s="5" t="s">
        <v>14614</v>
      </c>
      <c r="C12" s="5">
        <v>573004340336</v>
      </c>
      <c r="D12" s="5">
        <v>59</v>
      </c>
      <c r="E12" s="5" t="s">
        <v>148</v>
      </c>
      <c r="F12" s="5" t="s">
        <v>2631</v>
      </c>
      <c r="G12" s="5" t="s">
        <v>5010</v>
      </c>
      <c r="H12" s="5" t="s">
        <v>5011</v>
      </c>
      <c r="I12" s="5"/>
      <c r="J12" s="12">
        <v>46022</v>
      </c>
      <c r="K12" s="11">
        <v>0.58333333333212067</v>
      </c>
      <c r="M12" s="10" t="s">
        <v>14615</v>
      </c>
      <c r="N12" s="12">
        <v>46022.580095347221</v>
      </c>
      <c r="O12" s="10" t="s">
        <v>14616</v>
      </c>
      <c r="P12" s="5" t="s">
        <v>14571</v>
      </c>
      <c r="Q12" s="5" t="s">
        <v>14578</v>
      </c>
      <c r="R12" s="5" t="s">
        <v>14617</v>
      </c>
      <c r="T12" s="5" t="s">
        <v>5994</v>
      </c>
      <c r="U12" s="5" t="s">
        <v>14618</v>
      </c>
      <c r="V12" s="5" t="s">
        <v>180</v>
      </c>
    </row>
    <row r="13" spans="1:23" ht="12.5">
      <c r="A13" s="5">
        <v>90786</v>
      </c>
      <c r="B13" s="5" t="s">
        <v>5007</v>
      </c>
      <c r="C13" s="5">
        <v>573229447327</v>
      </c>
      <c r="D13" s="5">
        <v>95</v>
      </c>
      <c r="E13" s="5" t="s">
        <v>42</v>
      </c>
      <c r="F13" s="5" t="s">
        <v>33</v>
      </c>
      <c r="G13" s="5" t="s">
        <v>5007</v>
      </c>
      <c r="H13" s="5" t="s">
        <v>34</v>
      </c>
      <c r="I13" s="5">
        <v>3229447327</v>
      </c>
      <c r="J13" s="12">
        <v>46022</v>
      </c>
      <c r="K13" s="11">
        <v>0</v>
      </c>
      <c r="M13" s="10" t="s">
        <v>14619</v>
      </c>
      <c r="N13" s="12">
        <v>46022.573096516207</v>
      </c>
      <c r="O13" s="10" t="s">
        <v>14620</v>
      </c>
      <c r="P13" s="5" t="s">
        <v>14571</v>
      </c>
      <c r="Q13" s="5" t="s">
        <v>14572</v>
      </c>
      <c r="R13" s="5" t="s">
        <v>14621</v>
      </c>
      <c r="T13" s="5" t="s">
        <v>14574</v>
      </c>
      <c r="U13" s="5" t="s">
        <v>33</v>
      </c>
      <c r="V13" s="5" t="s">
        <v>1481</v>
      </c>
      <c r="W13" s="5" t="s">
        <v>5008</v>
      </c>
    </row>
    <row r="14" spans="1:23" ht="12.5">
      <c r="A14" s="5">
        <v>90785</v>
      </c>
      <c r="B14" s="5" t="s">
        <v>14622</v>
      </c>
      <c r="C14" s="5">
        <v>573015669546</v>
      </c>
      <c r="D14" s="5">
        <v>95</v>
      </c>
      <c r="E14" s="5" t="s">
        <v>42</v>
      </c>
      <c r="G14" s="5" t="s">
        <v>5004</v>
      </c>
      <c r="H14" s="5" t="s">
        <v>5005</v>
      </c>
      <c r="J14" s="12">
        <v>46022</v>
      </c>
      <c r="K14" s="11">
        <v>0</v>
      </c>
      <c r="M14" s="10" t="s">
        <v>14623</v>
      </c>
      <c r="N14" s="12">
        <v>46022.457059340275</v>
      </c>
      <c r="O14" s="10" t="s">
        <v>14624</v>
      </c>
      <c r="P14" s="5" t="s">
        <v>14571</v>
      </c>
      <c r="Q14" s="5" t="s">
        <v>14612</v>
      </c>
      <c r="R14" s="5" t="s">
        <v>14625</v>
      </c>
      <c r="T14" s="5" t="s">
        <v>5994</v>
      </c>
      <c r="V14" s="5" t="s">
        <v>43</v>
      </c>
      <c r="W14" s="5" t="s">
        <v>1286</v>
      </c>
    </row>
    <row r="15" spans="1:23" ht="12.5">
      <c r="A15" s="5">
        <v>90784</v>
      </c>
      <c r="B15" s="5" t="s">
        <v>14626</v>
      </c>
      <c r="C15" s="5">
        <v>57308162659</v>
      </c>
      <c r="D15" s="5" t="s">
        <v>14589</v>
      </c>
      <c r="E15" s="5" t="s">
        <v>5001</v>
      </c>
      <c r="F15" s="5" t="s">
        <v>103</v>
      </c>
      <c r="G15" s="5" t="s">
        <v>4999</v>
      </c>
      <c r="H15" s="5" t="s">
        <v>5000</v>
      </c>
      <c r="I15" s="5">
        <v>3208162659</v>
      </c>
      <c r="J15" s="12">
        <v>46022</v>
      </c>
      <c r="K15" s="11">
        <v>0.58333333333212067</v>
      </c>
      <c r="M15" s="10" t="s">
        <v>14627</v>
      </c>
      <c r="N15" s="12">
        <v>46022.53104696759</v>
      </c>
      <c r="O15" s="10" t="s">
        <v>14628</v>
      </c>
      <c r="P15" s="5" t="s">
        <v>14571</v>
      </c>
      <c r="Q15" s="5" t="s">
        <v>14572</v>
      </c>
      <c r="R15" s="5" t="s">
        <v>14629</v>
      </c>
      <c r="T15" s="5" t="s">
        <v>5994</v>
      </c>
      <c r="U15" s="5" t="s">
        <v>14593</v>
      </c>
      <c r="V15" s="5" t="s">
        <v>83</v>
      </c>
    </row>
    <row r="16" spans="1:23" ht="12.5">
      <c r="A16" s="5">
        <v>90783</v>
      </c>
      <c r="B16" s="5" t="s">
        <v>4216</v>
      </c>
      <c r="C16" s="5">
        <v>573106442346</v>
      </c>
      <c r="D16" s="5">
        <v>95</v>
      </c>
      <c r="E16" s="5" t="s">
        <v>42</v>
      </c>
      <c r="G16" s="5" t="s">
        <v>4997</v>
      </c>
      <c r="H16" s="5" t="s">
        <v>4998</v>
      </c>
      <c r="I16" s="5">
        <v>3106442346</v>
      </c>
      <c r="J16" s="12">
        <v>46022</v>
      </c>
      <c r="K16" s="11">
        <v>0.54166666666787933</v>
      </c>
      <c r="M16" s="10" t="s">
        <v>14630</v>
      </c>
      <c r="N16" s="12">
        <v>46022.445816342588</v>
      </c>
      <c r="O16" s="10" t="s">
        <v>14631</v>
      </c>
      <c r="P16" s="5" t="s">
        <v>14571</v>
      </c>
      <c r="Q16" s="5" t="s">
        <v>14612</v>
      </c>
      <c r="R16" s="5" t="s">
        <v>14632</v>
      </c>
      <c r="T16" s="5" t="s">
        <v>5994</v>
      </c>
      <c r="V16" s="5" t="s">
        <v>83</v>
      </c>
      <c r="W16" s="5" t="s">
        <v>1286</v>
      </c>
    </row>
    <row r="17" spans="1:23" ht="12.5">
      <c r="A17" s="5">
        <v>90782</v>
      </c>
      <c r="B17" s="5" t="s">
        <v>14633</v>
      </c>
      <c r="C17" s="10" t="s">
        <v>14634</v>
      </c>
      <c r="D17" s="5">
        <v>51</v>
      </c>
      <c r="E17" s="5" t="s">
        <v>384</v>
      </c>
      <c r="F17" s="5" t="s">
        <v>3781</v>
      </c>
      <c r="G17" s="5" t="s">
        <v>14635</v>
      </c>
      <c r="H17" s="5" t="s">
        <v>4994</v>
      </c>
      <c r="I17" s="5">
        <v>3014699503</v>
      </c>
      <c r="J17" s="12">
        <v>46022</v>
      </c>
      <c r="K17" s="11">
        <v>0.58333333333333337</v>
      </c>
      <c r="M17" s="10" t="s">
        <v>14636</v>
      </c>
      <c r="N17" s="12">
        <v>46022</v>
      </c>
      <c r="O17" s="10" t="s">
        <v>14637</v>
      </c>
      <c r="P17" s="5" t="s">
        <v>14571</v>
      </c>
      <c r="Q17" s="5" t="s">
        <v>14612</v>
      </c>
      <c r="R17" s="5" t="s">
        <v>14638</v>
      </c>
      <c r="T17" s="5" t="s">
        <v>5994</v>
      </c>
      <c r="U17" s="5" t="s">
        <v>14593</v>
      </c>
      <c r="V17" s="5" t="s">
        <v>83</v>
      </c>
    </row>
    <row r="18" spans="1:23" ht="12.5">
      <c r="A18" s="5">
        <v>90781</v>
      </c>
      <c r="B18" s="5" t="s">
        <v>4989</v>
      </c>
      <c r="C18" s="5">
        <v>573002068419</v>
      </c>
      <c r="D18" s="5">
        <v>32</v>
      </c>
      <c r="E18" s="5" t="s">
        <v>65</v>
      </c>
      <c r="F18" s="5" t="s">
        <v>185</v>
      </c>
      <c r="G18" s="5" t="s">
        <v>4989</v>
      </c>
      <c r="H18" s="5" t="s">
        <v>4990</v>
      </c>
      <c r="I18" s="5">
        <v>3005903655</v>
      </c>
      <c r="J18" s="12">
        <v>46022</v>
      </c>
      <c r="K18" s="11">
        <v>2.9166666667151731E-2</v>
      </c>
      <c r="M18" s="10" t="s">
        <v>14639</v>
      </c>
      <c r="N18" s="12">
        <v>46022.501656435183</v>
      </c>
      <c r="O18" s="10" t="s">
        <v>14640</v>
      </c>
      <c r="P18" s="5" t="s">
        <v>14571</v>
      </c>
      <c r="Q18" s="5" t="s">
        <v>14572</v>
      </c>
      <c r="R18" s="5" t="s">
        <v>14641</v>
      </c>
      <c r="T18" s="5" t="s">
        <v>5994</v>
      </c>
      <c r="U18" s="5" t="s">
        <v>14580</v>
      </c>
      <c r="V18" s="5" t="s">
        <v>83</v>
      </c>
    </row>
    <row r="19" spans="1:23" ht="12.5">
      <c r="A19" s="5">
        <v>90780</v>
      </c>
      <c r="B19" s="5" t="s">
        <v>14642</v>
      </c>
      <c r="C19" s="5">
        <v>573206349902</v>
      </c>
      <c r="D19" s="5">
        <v>95</v>
      </c>
      <c r="E19" s="5" t="s">
        <v>42</v>
      </c>
      <c r="F19" s="5" t="s">
        <v>1921</v>
      </c>
      <c r="G19" s="5" t="s">
        <v>4983</v>
      </c>
      <c r="H19" s="5" t="s">
        <v>4984</v>
      </c>
      <c r="I19" s="5"/>
      <c r="J19" s="12">
        <v>46022</v>
      </c>
      <c r="K19" s="11">
        <v>0.52847222222044365</v>
      </c>
      <c r="M19" s="10" t="s">
        <v>14643</v>
      </c>
      <c r="N19" s="12">
        <v>46022.487432187496</v>
      </c>
      <c r="O19" s="10" t="s">
        <v>14644</v>
      </c>
      <c r="P19" s="5" t="s">
        <v>14571</v>
      </c>
      <c r="Q19" s="5" t="s">
        <v>14578</v>
      </c>
      <c r="R19" s="5" t="s">
        <v>14645</v>
      </c>
      <c r="T19" s="5" t="s">
        <v>5994</v>
      </c>
      <c r="U19" s="5" t="s">
        <v>14580</v>
      </c>
      <c r="V19" s="5" t="s">
        <v>83</v>
      </c>
      <c r="W19" s="5" t="s">
        <v>4987</v>
      </c>
    </row>
    <row r="20" spans="1:23" ht="12.5">
      <c r="A20" s="5">
        <v>90779</v>
      </c>
      <c r="B20" s="5" t="s">
        <v>3023</v>
      </c>
      <c r="C20" s="5">
        <v>573219173591</v>
      </c>
      <c r="D20" s="5">
        <v>45</v>
      </c>
      <c r="E20" s="5" t="s">
        <v>210</v>
      </c>
      <c r="F20" s="5" t="s">
        <v>33</v>
      </c>
      <c r="G20" s="5" t="s">
        <v>4978</v>
      </c>
      <c r="H20" s="5" t="s">
        <v>34</v>
      </c>
      <c r="I20" s="5">
        <v>3219173591</v>
      </c>
      <c r="J20" s="12">
        <v>46022</v>
      </c>
      <c r="K20" s="11">
        <v>0</v>
      </c>
      <c r="M20" s="10" t="s">
        <v>14646</v>
      </c>
      <c r="N20" s="12">
        <v>46022.4634052662</v>
      </c>
      <c r="O20" s="10" t="s">
        <v>14647</v>
      </c>
      <c r="P20" s="5" t="s">
        <v>14571</v>
      </c>
      <c r="Q20" s="5" t="s">
        <v>14572</v>
      </c>
      <c r="R20" s="5" t="s">
        <v>14648</v>
      </c>
      <c r="T20" s="5" t="s">
        <v>14574</v>
      </c>
      <c r="U20" s="5" t="s">
        <v>33</v>
      </c>
      <c r="V20" s="5" t="s">
        <v>196</v>
      </c>
    </row>
    <row r="21" spans="1:23" ht="12.5">
      <c r="A21" s="5">
        <v>90778</v>
      </c>
      <c r="B21" s="5" t="s">
        <v>4974</v>
      </c>
      <c r="C21" s="5">
        <v>573012089960</v>
      </c>
      <c r="D21" s="5">
        <v>5</v>
      </c>
      <c r="E21" s="5" t="s">
        <v>4021</v>
      </c>
      <c r="F21" s="5" t="s">
        <v>79</v>
      </c>
      <c r="G21" s="5" t="s">
        <v>4974</v>
      </c>
      <c r="H21" s="5" t="s">
        <v>4975</v>
      </c>
      <c r="I21" s="5">
        <v>3012089960</v>
      </c>
      <c r="J21" s="12">
        <v>46022</v>
      </c>
      <c r="K21" s="11">
        <v>3.4722222226264421E-3</v>
      </c>
      <c r="M21" s="10" t="s">
        <v>14649</v>
      </c>
      <c r="N21" s="12">
        <v>46022.442010798608</v>
      </c>
      <c r="O21" s="10" t="s">
        <v>14650</v>
      </c>
      <c r="P21" s="5" t="s">
        <v>14571</v>
      </c>
      <c r="Q21" s="5" t="s">
        <v>14578</v>
      </c>
      <c r="R21" s="5" t="s">
        <v>14651</v>
      </c>
      <c r="T21" s="5" t="s">
        <v>5994</v>
      </c>
      <c r="U21" s="5" t="s">
        <v>14593</v>
      </c>
      <c r="V21" s="5" t="s">
        <v>1937</v>
      </c>
    </row>
    <row r="22" spans="1:23" ht="12.5">
      <c r="A22" s="5">
        <v>90777</v>
      </c>
      <c r="B22" s="5" t="s">
        <v>14652</v>
      </c>
      <c r="C22" s="5">
        <v>573059227701</v>
      </c>
      <c r="D22" s="5">
        <v>52</v>
      </c>
      <c r="E22" s="5" t="s">
        <v>178</v>
      </c>
      <c r="F22" s="5" t="s">
        <v>3764</v>
      </c>
      <c r="G22" s="5" t="s">
        <v>4969</v>
      </c>
      <c r="H22" s="5" t="s">
        <v>4970</v>
      </c>
      <c r="I22" s="5"/>
      <c r="J22" s="12">
        <v>46022</v>
      </c>
      <c r="K22" s="11">
        <v>0</v>
      </c>
      <c r="M22" s="10" t="s">
        <v>14653</v>
      </c>
      <c r="N22" s="12">
        <v>46022.440775648152</v>
      </c>
      <c r="O22" s="10" t="s">
        <v>14654</v>
      </c>
      <c r="P22" s="5" t="s">
        <v>14571</v>
      </c>
      <c r="Q22" s="5" t="s">
        <v>14572</v>
      </c>
      <c r="R22" s="5" t="s">
        <v>14655</v>
      </c>
      <c r="T22" s="5" t="s">
        <v>5994</v>
      </c>
      <c r="U22" s="5" t="s">
        <v>14618</v>
      </c>
      <c r="V22" s="5" t="s">
        <v>83</v>
      </c>
    </row>
    <row r="23" spans="1:23" ht="12.5">
      <c r="A23" s="5">
        <v>90776</v>
      </c>
      <c r="B23" s="5" t="s">
        <v>14656</v>
      </c>
      <c r="C23" s="5">
        <v>573107175874</v>
      </c>
      <c r="D23" s="5">
        <v>51</v>
      </c>
      <c r="E23" s="5" t="s">
        <v>384</v>
      </c>
      <c r="F23" s="5" t="s">
        <v>161</v>
      </c>
      <c r="G23" s="5" t="s">
        <v>789</v>
      </c>
      <c r="H23" s="5" t="s">
        <v>4967</v>
      </c>
      <c r="I23" s="5">
        <v>3182618317</v>
      </c>
      <c r="J23" s="12">
        <v>46022</v>
      </c>
      <c r="K23" s="11">
        <v>0.45833333333212067</v>
      </c>
      <c r="M23" s="10" t="s">
        <v>14657</v>
      </c>
      <c r="N23" s="12">
        <v>46022.433411817125</v>
      </c>
      <c r="O23" s="10" t="s">
        <v>14658</v>
      </c>
      <c r="P23" s="5" t="s">
        <v>14571</v>
      </c>
      <c r="Q23" s="5" t="s">
        <v>14572</v>
      </c>
      <c r="R23" s="5" t="s">
        <v>14659</v>
      </c>
      <c r="T23" s="5" t="s">
        <v>5994</v>
      </c>
      <c r="U23" s="5" t="s">
        <v>14593</v>
      </c>
      <c r="V23" s="5" t="s">
        <v>83</v>
      </c>
    </row>
    <row r="24" spans="1:23" ht="12.5">
      <c r="A24" s="5">
        <v>90775</v>
      </c>
      <c r="B24" s="5" t="s">
        <v>4963</v>
      </c>
      <c r="C24" s="5">
        <v>573156151131</v>
      </c>
      <c r="D24" s="5">
        <v>95</v>
      </c>
      <c r="E24" s="5" t="s">
        <v>42</v>
      </c>
      <c r="G24" s="5" t="s">
        <v>4963</v>
      </c>
      <c r="H24" s="5" t="s">
        <v>4964</v>
      </c>
      <c r="I24" s="5" t="s">
        <v>4965</v>
      </c>
      <c r="J24" s="12">
        <v>46022</v>
      </c>
      <c r="K24" s="11">
        <v>0</v>
      </c>
      <c r="M24" s="10" t="s">
        <v>14619</v>
      </c>
      <c r="N24" s="12">
        <v>46022.440227916668</v>
      </c>
      <c r="O24" s="10" t="s">
        <v>14660</v>
      </c>
      <c r="P24" s="5" t="s">
        <v>14571</v>
      </c>
      <c r="Q24" s="5" t="s">
        <v>14578</v>
      </c>
      <c r="R24" s="5" t="s">
        <v>14661</v>
      </c>
      <c r="T24" s="5" t="s">
        <v>5994</v>
      </c>
      <c r="V24" s="5" t="s">
        <v>2317</v>
      </c>
      <c r="W24" s="5" t="s">
        <v>4966</v>
      </c>
    </row>
    <row r="25" spans="1:23" ht="12.5">
      <c r="A25" s="5">
        <v>90774</v>
      </c>
      <c r="B25" s="5" t="s">
        <v>14662</v>
      </c>
      <c r="C25" s="5">
        <v>573135739800</v>
      </c>
      <c r="D25" s="5">
        <v>31</v>
      </c>
      <c r="E25" s="5" t="s">
        <v>375</v>
      </c>
      <c r="F25" s="5" t="s">
        <v>73</v>
      </c>
      <c r="G25" s="5" t="s">
        <v>4958</v>
      </c>
      <c r="H25" s="5" t="s">
        <v>4959</v>
      </c>
      <c r="I25" s="5">
        <v>3005903655</v>
      </c>
      <c r="J25" s="12">
        <v>46022</v>
      </c>
      <c r="K25" s="11">
        <v>0.45833333333212067</v>
      </c>
      <c r="M25" s="10" t="s">
        <v>14639</v>
      </c>
      <c r="N25" s="12">
        <v>46022.403057534721</v>
      </c>
      <c r="O25" s="10" t="s">
        <v>14663</v>
      </c>
      <c r="P25" s="5" t="s">
        <v>14571</v>
      </c>
      <c r="Q25" s="5" t="s">
        <v>14578</v>
      </c>
      <c r="R25" s="5" t="s">
        <v>14664</v>
      </c>
      <c r="T25" s="5" t="s">
        <v>5994</v>
      </c>
      <c r="U25" s="5" t="s">
        <v>14593</v>
      </c>
      <c r="V25" s="5" t="s">
        <v>180</v>
      </c>
    </row>
    <row r="26" spans="1:23" ht="12.5">
      <c r="A26" s="5">
        <v>90773</v>
      </c>
      <c r="B26" s="5" t="s">
        <v>13618</v>
      </c>
      <c r="C26" s="5">
        <v>573125118337</v>
      </c>
      <c r="D26" s="5">
        <v>24</v>
      </c>
      <c r="E26" s="5" t="s">
        <v>251</v>
      </c>
      <c r="F26" s="5" t="s">
        <v>146</v>
      </c>
      <c r="G26" s="5" t="s">
        <v>4952</v>
      </c>
      <c r="H26" s="5" t="s">
        <v>4953</v>
      </c>
      <c r="I26" s="5">
        <v>3226529301</v>
      </c>
      <c r="J26" s="12">
        <v>46022</v>
      </c>
      <c r="K26" s="11">
        <v>0</v>
      </c>
      <c r="M26" s="10" t="s">
        <v>14602</v>
      </c>
      <c r="N26" s="12">
        <v>46022.418847256944</v>
      </c>
      <c r="O26" s="10" t="s">
        <v>14665</v>
      </c>
      <c r="P26" s="5" t="s">
        <v>14571</v>
      </c>
      <c r="Q26" s="5" t="s">
        <v>14572</v>
      </c>
      <c r="R26" s="5" t="s">
        <v>14666</v>
      </c>
      <c r="T26" s="5" t="s">
        <v>5994</v>
      </c>
      <c r="U26" s="5" t="s">
        <v>14618</v>
      </c>
      <c r="V26" s="5" t="s">
        <v>83</v>
      </c>
    </row>
    <row r="27" spans="1:23" ht="12.5">
      <c r="A27" s="5">
        <v>90772</v>
      </c>
      <c r="B27" s="5" t="s">
        <v>14667</v>
      </c>
      <c r="C27" s="5">
        <v>573113889439</v>
      </c>
      <c r="D27" s="5" t="s">
        <v>14589</v>
      </c>
      <c r="E27" s="5" t="s">
        <v>4948</v>
      </c>
      <c r="F27" s="5" t="s">
        <v>726</v>
      </c>
      <c r="G27" s="5" t="s">
        <v>4946</v>
      </c>
      <c r="H27" s="5" t="s">
        <v>4947</v>
      </c>
      <c r="I27" s="5">
        <v>3113432540</v>
      </c>
      <c r="J27" s="12">
        <v>46022</v>
      </c>
      <c r="K27" s="11">
        <v>0.45833333333212067</v>
      </c>
      <c r="M27" s="10" t="s">
        <v>14668</v>
      </c>
      <c r="N27" s="12">
        <v>46022.395116145832</v>
      </c>
      <c r="O27" s="10" t="s">
        <v>14669</v>
      </c>
      <c r="P27" s="5" t="s">
        <v>14571</v>
      </c>
      <c r="Q27" s="5" t="s">
        <v>14578</v>
      </c>
      <c r="R27" s="5" t="s">
        <v>14670</v>
      </c>
      <c r="T27" s="5" t="s">
        <v>5994</v>
      </c>
      <c r="U27" s="5" t="s">
        <v>14618</v>
      </c>
      <c r="V27" s="5" t="s">
        <v>83</v>
      </c>
    </row>
    <row r="28" spans="1:23" ht="12.5">
      <c r="A28" s="5">
        <v>90771</v>
      </c>
      <c r="B28" s="5" t="s">
        <v>14671</v>
      </c>
      <c r="C28" s="5">
        <v>573186598255</v>
      </c>
      <c r="D28" s="5">
        <v>35</v>
      </c>
      <c r="E28" s="5" t="s">
        <v>3752</v>
      </c>
      <c r="F28" s="5" t="s">
        <v>73</v>
      </c>
      <c r="G28" s="5" t="s">
        <v>4940</v>
      </c>
      <c r="H28" s="5" t="s">
        <v>4941</v>
      </c>
      <c r="I28" s="5" t="s">
        <v>4942</v>
      </c>
      <c r="J28" s="12">
        <v>46022</v>
      </c>
      <c r="K28" s="11">
        <v>0.91666666666787933</v>
      </c>
      <c r="M28" s="10" t="s">
        <v>14672</v>
      </c>
      <c r="N28" s="12">
        <v>46022.371226967589</v>
      </c>
      <c r="O28" s="10" t="s">
        <v>14673</v>
      </c>
      <c r="P28" s="5" t="s">
        <v>14571</v>
      </c>
      <c r="Q28" s="5" t="s">
        <v>14612</v>
      </c>
      <c r="R28" s="5" t="s">
        <v>14674</v>
      </c>
      <c r="T28" s="5" t="s">
        <v>5994</v>
      </c>
      <c r="U28" s="5" t="s">
        <v>14593</v>
      </c>
      <c r="V28" s="5" t="s">
        <v>83</v>
      </c>
      <c r="W28" s="5" t="s">
        <v>4944</v>
      </c>
    </row>
    <row r="29" spans="1:23" ht="12.5">
      <c r="A29" s="5">
        <v>90770</v>
      </c>
      <c r="B29" s="5" t="s">
        <v>14675</v>
      </c>
      <c r="C29" s="5">
        <v>573238135245</v>
      </c>
      <c r="D29" s="5">
        <v>52</v>
      </c>
      <c r="E29" s="5" t="s">
        <v>178</v>
      </c>
      <c r="F29" s="5" t="s">
        <v>63</v>
      </c>
      <c r="G29" s="5" t="s">
        <v>4935</v>
      </c>
      <c r="H29" s="5" t="s">
        <v>4936</v>
      </c>
      <c r="I29" s="5">
        <v>3238135245</v>
      </c>
      <c r="J29" s="12">
        <v>46022</v>
      </c>
      <c r="K29" s="11">
        <v>0.45833333333212067</v>
      </c>
      <c r="M29" s="10" t="s">
        <v>14676</v>
      </c>
      <c r="N29" s="12">
        <v>46022.373080648147</v>
      </c>
      <c r="O29" s="10" t="s">
        <v>14677</v>
      </c>
      <c r="P29" s="5" t="s">
        <v>14571</v>
      </c>
      <c r="Q29" s="5" t="s">
        <v>14578</v>
      </c>
      <c r="R29" s="5" t="s">
        <v>14678</v>
      </c>
      <c r="T29" s="5" t="s">
        <v>5994</v>
      </c>
      <c r="U29" s="5" t="s">
        <v>14598</v>
      </c>
      <c r="V29" s="5" t="s">
        <v>83</v>
      </c>
    </row>
    <row r="30" spans="1:23" ht="12.5">
      <c r="A30" s="5">
        <v>90769</v>
      </c>
      <c r="B30" s="5" t="s">
        <v>4931</v>
      </c>
      <c r="C30" s="5">
        <v>573005631561</v>
      </c>
      <c r="D30" s="5">
        <v>95</v>
      </c>
      <c r="E30" s="5" t="s">
        <v>42</v>
      </c>
      <c r="F30" s="5" t="s">
        <v>33</v>
      </c>
      <c r="G30" s="5" t="s">
        <v>4931</v>
      </c>
      <c r="H30" s="5" t="s">
        <v>34</v>
      </c>
      <c r="I30" s="5" t="s">
        <v>4932</v>
      </c>
      <c r="J30" s="12">
        <v>46022</v>
      </c>
      <c r="K30" s="11">
        <v>0.41666666666787933</v>
      </c>
      <c r="M30" s="10" t="s">
        <v>14599</v>
      </c>
      <c r="N30" s="12">
        <v>46022.369947754632</v>
      </c>
      <c r="O30" s="10" t="s">
        <v>14679</v>
      </c>
      <c r="P30" s="5" t="s">
        <v>14571</v>
      </c>
      <c r="Q30" s="5" t="s">
        <v>14572</v>
      </c>
      <c r="R30" s="5" t="s">
        <v>14680</v>
      </c>
      <c r="T30" s="5" t="s">
        <v>14574</v>
      </c>
      <c r="U30" s="5" t="s">
        <v>33</v>
      </c>
      <c r="V30" s="5" t="s">
        <v>83</v>
      </c>
      <c r="W30" s="5" t="s">
        <v>4933</v>
      </c>
    </row>
    <row r="31" spans="1:23" ht="12.5">
      <c r="A31" s="5">
        <v>90768</v>
      </c>
      <c r="B31" s="5" t="s">
        <v>4926</v>
      </c>
      <c r="C31" s="5">
        <v>573052891232</v>
      </c>
      <c r="D31" s="5">
        <v>41</v>
      </c>
      <c r="E31" s="5" t="s">
        <v>89</v>
      </c>
      <c r="F31" s="5" t="s">
        <v>33</v>
      </c>
      <c r="G31" s="5" t="s">
        <v>4926</v>
      </c>
      <c r="H31" s="5" t="s">
        <v>34</v>
      </c>
      <c r="I31" s="5">
        <v>3052891232</v>
      </c>
      <c r="J31" s="12">
        <v>46022</v>
      </c>
      <c r="K31" s="11">
        <v>0.39652777777882875</v>
      </c>
      <c r="M31" s="10" t="s">
        <v>14646</v>
      </c>
      <c r="N31" s="12">
        <v>46022.31930693287</v>
      </c>
      <c r="O31" s="10" t="s">
        <v>14681</v>
      </c>
      <c r="P31" s="5" t="s">
        <v>14571</v>
      </c>
      <c r="Q31" s="5" t="s">
        <v>14578</v>
      </c>
      <c r="R31" s="5" t="s">
        <v>14682</v>
      </c>
      <c r="T31" s="5" t="s">
        <v>14574</v>
      </c>
      <c r="U31" s="5" t="s">
        <v>33</v>
      </c>
      <c r="V31" s="5" t="s">
        <v>83</v>
      </c>
    </row>
    <row r="32" spans="1:23" ht="12.5">
      <c r="A32" s="5">
        <v>90767</v>
      </c>
      <c r="B32" s="5" t="s">
        <v>14683</v>
      </c>
      <c r="C32" s="5">
        <v>573165316328</v>
      </c>
      <c r="D32" s="5">
        <v>3</v>
      </c>
      <c r="E32" s="5" t="s">
        <v>3248</v>
      </c>
      <c r="F32" s="5" t="s">
        <v>229</v>
      </c>
      <c r="G32" s="5" t="s">
        <v>4922</v>
      </c>
      <c r="H32" s="5" t="s">
        <v>4923</v>
      </c>
      <c r="I32" s="5"/>
      <c r="J32" s="12">
        <v>46022</v>
      </c>
      <c r="K32" s="11">
        <v>0.375</v>
      </c>
      <c r="M32" s="10" t="s">
        <v>14684</v>
      </c>
      <c r="N32" s="12">
        <v>46021.769456365742</v>
      </c>
      <c r="O32" s="10" t="s">
        <v>14685</v>
      </c>
      <c r="P32" s="5" t="s">
        <v>14571</v>
      </c>
      <c r="Q32" s="5" t="s">
        <v>14572</v>
      </c>
      <c r="R32" s="5" t="s">
        <v>14686</v>
      </c>
      <c r="T32" s="5" t="s">
        <v>5994</v>
      </c>
      <c r="U32" s="5"/>
      <c r="V32" s="5" t="s">
        <v>83</v>
      </c>
    </row>
    <row r="33" spans="1:23" ht="12.5">
      <c r="A33" s="5">
        <v>90766</v>
      </c>
      <c r="B33" s="5" t="s">
        <v>14687</v>
      </c>
      <c r="C33" s="10" t="s">
        <v>14688</v>
      </c>
      <c r="D33" s="5">
        <v>31</v>
      </c>
      <c r="E33" s="5" t="s">
        <v>375</v>
      </c>
      <c r="F33" s="5" t="s">
        <v>2880</v>
      </c>
      <c r="G33" s="5" t="s">
        <v>4917</v>
      </c>
      <c r="H33" s="5" t="s">
        <v>4918</v>
      </c>
      <c r="I33" s="5">
        <v>3044284127</v>
      </c>
      <c r="J33" s="12">
        <v>46022</v>
      </c>
      <c r="K33" s="11">
        <v>0</v>
      </c>
      <c r="M33" s="10" t="s">
        <v>14595</v>
      </c>
      <c r="N33" s="12">
        <v>46021</v>
      </c>
      <c r="O33" s="10" t="s">
        <v>14689</v>
      </c>
      <c r="P33" s="5" t="s">
        <v>14571</v>
      </c>
      <c r="Q33" s="5" t="s">
        <v>14578</v>
      </c>
      <c r="R33" s="5" t="s">
        <v>14690</v>
      </c>
      <c r="T33" s="5" t="s">
        <v>5994</v>
      </c>
      <c r="U33" s="5" t="s">
        <v>14691</v>
      </c>
      <c r="V33" s="5" t="s">
        <v>83</v>
      </c>
      <c r="W33" s="5" t="s">
        <v>4921</v>
      </c>
    </row>
    <row r="34" spans="1:23" ht="12.5">
      <c r="A34" s="5">
        <v>90765</v>
      </c>
      <c r="B34" s="5" t="s">
        <v>4914</v>
      </c>
      <c r="C34" s="10" t="s">
        <v>14692</v>
      </c>
      <c r="D34" s="5">
        <v>95</v>
      </c>
      <c r="E34" s="5" t="s">
        <v>42</v>
      </c>
      <c r="F34" s="5" t="s">
        <v>33</v>
      </c>
      <c r="G34" s="5" t="s">
        <v>4914</v>
      </c>
      <c r="H34" s="5" t="s">
        <v>34</v>
      </c>
      <c r="I34" s="5">
        <v>3013903481</v>
      </c>
      <c r="J34" s="12">
        <v>46021</v>
      </c>
      <c r="K34" s="11">
        <v>0</v>
      </c>
      <c r="M34" s="10" t="s">
        <v>14693</v>
      </c>
      <c r="N34" s="12">
        <v>46021</v>
      </c>
      <c r="O34" s="10" t="s">
        <v>14694</v>
      </c>
      <c r="P34" s="5" t="s">
        <v>14571</v>
      </c>
      <c r="Q34" s="5" t="s">
        <v>14572</v>
      </c>
      <c r="R34" s="5" t="s">
        <v>14695</v>
      </c>
      <c r="T34" s="5" t="s">
        <v>14574</v>
      </c>
      <c r="U34" s="5" t="s">
        <v>33</v>
      </c>
      <c r="V34" s="5" t="s">
        <v>2636</v>
      </c>
      <c r="W34" s="5" t="s">
        <v>525</v>
      </c>
    </row>
    <row r="35" spans="1:23" ht="12.5">
      <c r="A35" s="5">
        <v>90764</v>
      </c>
      <c r="B35" s="5" t="s">
        <v>8076</v>
      </c>
      <c r="C35" s="10" t="s">
        <v>14696</v>
      </c>
      <c r="D35" s="5">
        <v>95</v>
      </c>
      <c r="E35" s="5" t="s">
        <v>42</v>
      </c>
      <c r="F35" s="5" t="s">
        <v>73</v>
      </c>
      <c r="G35" s="5" t="s">
        <v>4910</v>
      </c>
      <c r="H35" s="5" t="s">
        <v>4911</v>
      </c>
      <c r="I35" s="5">
        <v>3205420119</v>
      </c>
      <c r="J35" s="12">
        <v>46022</v>
      </c>
      <c r="K35" s="11">
        <v>0.41666666666666669</v>
      </c>
      <c r="M35" s="10" t="s">
        <v>14697</v>
      </c>
      <c r="N35" s="12">
        <v>46021</v>
      </c>
      <c r="O35" s="10" t="s">
        <v>14698</v>
      </c>
      <c r="P35" s="5" t="s">
        <v>14571</v>
      </c>
      <c r="Q35" s="5" t="s">
        <v>14699</v>
      </c>
      <c r="R35" s="5" t="s">
        <v>14700</v>
      </c>
      <c r="T35" s="5" t="s">
        <v>5994</v>
      </c>
      <c r="U35" s="5" t="s">
        <v>14593</v>
      </c>
      <c r="V35" s="5" t="s">
        <v>43</v>
      </c>
      <c r="W35" s="5" t="s">
        <v>4912</v>
      </c>
    </row>
    <row r="36" spans="1:23" ht="12.5">
      <c r="A36" s="5">
        <v>90763</v>
      </c>
      <c r="B36" s="5" t="s">
        <v>4906</v>
      </c>
      <c r="C36" s="10" t="s">
        <v>14701</v>
      </c>
      <c r="D36" s="5">
        <v>95</v>
      </c>
      <c r="E36" s="5" t="s">
        <v>42</v>
      </c>
      <c r="F36" s="5" t="s">
        <v>33</v>
      </c>
      <c r="G36" s="5" t="s">
        <v>4906</v>
      </c>
      <c r="H36" s="5" t="s">
        <v>34</v>
      </c>
      <c r="I36" s="5"/>
      <c r="J36" s="12">
        <v>46021</v>
      </c>
      <c r="K36" s="11">
        <v>0</v>
      </c>
      <c r="M36" s="10" t="s">
        <v>14702</v>
      </c>
      <c r="N36" s="12">
        <v>46021</v>
      </c>
      <c r="O36" s="10" t="s">
        <v>14703</v>
      </c>
      <c r="P36" s="5" t="s">
        <v>14571</v>
      </c>
      <c r="Q36" s="5" t="s">
        <v>14572</v>
      </c>
      <c r="R36" s="5" t="s">
        <v>14704</v>
      </c>
      <c r="T36" s="5" t="s">
        <v>14574</v>
      </c>
      <c r="U36" s="5" t="s">
        <v>33</v>
      </c>
      <c r="V36" s="5" t="s">
        <v>2636</v>
      </c>
      <c r="W36" s="5" t="s">
        <v>4907</v>
      </c>
    </row>
    <row r="37" spans="1:23" ht="12.5">
      <c r="A37" s="5">
        <v>90762</v>
      </c>
      <c r="B37" s="5" t="s">
        <v>4902</v>
      </c>
      <c r="C37" s="5">
        <v>575667005</v>
      </c>
      <c r="D37" s="5">
        <v>52</v>
      </c>
      <c r="E37" s="5" t="s">
        <v>178</v>
      </c>
      <c r="F37" s="5" t="s">
        <v>1047</v>
      </c>
      <c r="G37" s="5" t="s">
        <v>4902</v>
      </c>
      <c r="H37" s="5" t="s">
        <v>34</v>
      </c>
      <c r="I37" s="5">
        <v>5667005</v>
      </c>
      <c r="J37" s="12">
        <v>46021</v>
      </c>
      <c r="K37" s="11">
        <v>0</v>
      </c>
      <c r="M37" s="10" t="s">
        <v>14705</v>
      </c>
      <c r="N37" s="12">
        <v>46021.706723819443</v>
      </c>
      <c r="O37" s="10" t="s">
        <v>14706</v>
      </c>
      <c r="P37" s="5" t="s">
        <v>14571</v>
      </c>
      <c r="Q37" s="5" t="s">
        <v>14572</v>
      </c>
      <c r="R37" s="5" t="s">
        <v>14707</v>
      </c>
      <c r="T37" s="5" t="s">
        <v>5994</v>
      </c>
      <c r="U37" s="5" t="s">
        <v>14580</v>
      </c>
      <c r="V37" s="5" t="s">
        <v>2636</v>
      </c>
    </row>
    <row r="38" spans="1:23" ht="12.5">
      <c r="A38" s="5">
        <v>90761</v>
      </c>
      <c r="B38" s="5" t="s">
        <v>4899</v>
      </c>
      <c r="C38" s="5">
        <v>573106242990</v>
      </c>
      <c r="D38" s="5">
        <v>95</v>
      </c>
      <c r="E38" s="5" t="s">
        <v>42</v>
      </c>
      <c r="F38" s="5" t="s">
        <v>146</v>
      </c>
      <c r="G38" s="5" t="s">
        <v>4899</v>
      </c>
      <c r="H38" s="5" t="s">
        <v>4900</v>
      </c>
      <c r="I38" s="5">
        <v>3106242990</v>
      </c>
      <c r="J38" s="12">
        <v>46022</v>
      </c>
      <c r="K38" s="11">
        <v>0.41666666666787933</v>
      </c>
      <c r="M38" s="10" t="s">
        <v>14708</v>
      </c>
      <c r="N38" s="12">
        <v>46021.686555069449</v>
      </c>
      <c r="O38" s="10" t="s">
        <v>14709</v>
      </c>
      <c r="P38" s="5" t="s">
        <v>14571</v>
      </c>
      <c r="Q38" s="5" t="s">
        <v>14699</v>
      </c>
      <c r="R38" s="5" t="s">
        <v>14710</v>
      </c>
      <c r="T38" s="5" t="s">
        <v>5994</v>
      </c>
      <c r="U38" s="5" t="s">
        <v>14618</v>
      </c>
      <c r="V38" s="5" t="s">
        <v>180</v>
      </c>
      <c r="W38" s="5" t="s">
        <v>4901</v>
      </c>
    </row>
    <row r="39" spans="1:23" ht="12.5">
      <c r="A39" s="5">
        <v>90760</v>
      </c>
      <c r="B39" s="5" t="s">
        <v>13909</v>
      </c>
      <c r="C39" s="5">
        <v>573046167890</v>
      </c>
      <c r="D39" s="5" t="s">
        <v>14711</v>
      </c>
      <c r="E39" s="5" t="s">
        <v>4894</v>
      </c>
      <c r="F39" s="5" t="s">
        <v>892</v>
      </c>
      <c r="G39" s="5" t="s">
        <v>4892</v>
      </c>
      <c r="H39" s="5" t="s">
        <v>4893</v>
      </c>
      <c r="I39" s="5">
        <v>3046167890</v>
      </c>
      <c r="J39" s="12">
        <v>46021</v>
      </c>
      <c r="K39" s="11">
        <v>0.70833333333212067</v>
      </c>
      <c r="M39" s="10" t="s">
        <v>14712</v>
      </c>
      <c r="N39" s="12">
        <v>46021.669017349537</v>
      </c>
      <c r="O39" s="10" t="s">
        <v>14713</v>
      </c>
      <c r="P39" s="5" t="s">
        <v>14571</v>
      </c>
      <c r="Q39" s="5" t="s">
        <v>14572</v>
      </c>
      <c r="R39" s="5" t="s">
        <v>14714</v>
      </c>
      <c r="T39" s="5" t="s">
        <v>5994</v>
      </c>
      <c r="U39" s="5" t="s">
        <v>14593</v>
      </c>
      <c r="V39" s="5" t="s">
        <v>67</v>
      </c>
      <c r="W39" s="5" t="s">
        <v>4896</v>
      </c>
    </row>
    <row r="40" spans="1:23" ht="12.5">
      <c r="A40" s="5">
        <v>90759</v>
      </c>
      <c r="B40" s="5" t="s">
        <v>14715</v>
      </c>
      <c r="C40" s="5">
        <v>573008907262</v>
      </c>
      <c r="D40" s="5">
        <v>31</v>
      </c>
      <c r="E40" s="5" t="s">
        <v>375</v>
      </c>
      <c r="F40" s="5" t="s">
        <v>892</v>
      </c>
      <c r="G40" s="5" t="s">
        <v>100</v>
      </c>
      <c r="H40" s="5" t="s">
        <v>4888</v>
      </c>
      <c r="I40" s="5">
        <v>3013021116</v>
      </c>
      <c r="J40" s="12">
        <v>46021</v>
      </c>
      <c r="K40" s="11">
        <v>0.64722222222189885</v>
      </c>
      <c r="M40" s="10" t="s">
        <v>14585</v>
      </c>
      <c r="N40" s="12">
        <v>46021.610543750001</v>
      </c>
      <c r="O40" s="10" t="s">
        <v>14716</v>
      </c>
      <c r="P40" s="5" t="s">
        <v>14571</v>
      </c>
      <c r="Q40" s="5" t="s">
        <v>14578</v>
      </c>
      <c r="R40" s="5" t="s">
        <v>14717</v>
      </c>
      <c r="T40" s="5" t="s">
        <v>5994</v>
      </c>
      <c r="U40" s="5" t="s">
        <v>14593</v>
      </c>
      <c r="V40" s="5" t="s">
        <v>83</v>
      </c>
    </row>
    <row r="41" spans="1:23" ht="12.5">
      <c r="A41" s="5">
        <v>90758</v>
      </c>
      <c r="B41" s="5" t="s">
        <v>14718</v>
      </c>
      <c r="C41" s="10" t="s">
        <v>14719</v>
      </c>
      <c r="D41" s="5">
        <v>18</v>
      </c>
      <c r="E41" s="5" t="s">
        <v>370</v>
      </c>
      <c r="F41" s="5" t="s">
        <v>4883</v>
      </c>
      <c r="G41" s="5" t="s">
        <v>4882</v>
      </c>
      <c r="H41" s="5" t="s">
        <v>4884</v>
      </c>
      <c r="I41" s="5">
        <v>3163568025</v>
      </c>
      <c r="J41" s="12">
        <v>46022</v>
      </c>
      <c r="K41" s="11">
        <v>0.34027777777777779</v>
      </c>
      <c r="M41" s="10" t="s">
        <v>14720</v>
      </c>
      <c r="N41" s="12">
        <v>46021</v>
      </c>
      <c r="O41" s="10" t="s">
        <v>14721</v>
      </c>
      <c r="P41" s="5" t="s">
        <v>14571</v>
      </c>
      <c r="Q41" s="5" t="s">
        <v>14572</v>
      </c>
      <c r="R41" s="5" t="s">
        <v>14722</v>
      </c>
      <c r="T41" s="5" t="s">
        <v>5994</v>
      </c>
      <c r="U41" s="5" t="s">
        <v>14580</v>
      </c>
      <c r="V41" s="5" t="s">
        <v>83</v>
      </c>
      <c r="W41" s="5" t="s">
        <v>4886</v>
      </c>
    </row>
    <row r="42" spans="1:23" ht="12.5">
      <c r="A42" s="5">
        <v>90757</v>
      </c>
      <c r="B42" s="5" t="s">
        <v>4876</v>
      </c>
      <c r="C42" s="5">
        <v>573185159146</v>
      </c>
      <c r="D42" s="5" t="s">
        <v>14589</v>
      </c>
      <c r="E42" s="5" t="s">
        <v>4878</v>
      </c>
      <c r="F42" s="5" t="s">
        <v>161</v>
      </c>
      <c r="G42" s="5" t="s">
        <v>4876</v>
      </c>
      <c r="H42" s="5" t="s">
        <v>4877</v>
      </c>
      <c r="I42" s="5">
        <v>3185159146</v>
      </c>
      <c r="J42" s="12">
        <v>46021</v>
      </c>
      <c r="K42" s="11">
        <v>0.66666666666787933</v>
      </c>
      <c r="M42" s="10" t="s">
        <v>14657</v>
      </c>
      <c r="N42" s="12">
        <v>46021.584256423608</v>
      </c>
      <c r="O42" s="10" t="s">
        <v>14723</v>
      </c>
      <c r="P42" s="5" t="s">
        <v>14571</v>
      </c>
      <c r="Q42" s="5" t="s">
        <v>14572</v>
      </c>
      <c r="R42" s="5" t="s">
        <v>14724</v>
      </c>
      <c r="T42" s="5" t="s">
        <v>5994</v>
      </c>
      <c r="U42" s="5" t="s">
        <v>14593</v>
      </c>
      <c r="V42" s="5" t="s">
        <v>83</v>
      </c>
      <c r="W42" s="5" t="s">
        <v>4880</v>
      </c>
    </row>
    <row r="43" spans="1:23" ht="12.5">
      <c r="A43" s="5">
        <v>90756</v>
      </c>
      <c r="B43" s="5" t="s">
        <v>14725</v>
      </c>
      <c r="C43" s="5">
        <v>573023275940</v>
      </c>
      <c r="D43" s="5">
        <v>63</v>
      </c>
      <c r="E43" s="5" t="s">
        <v>294</v>
      </c>
      <c r="F43" s="5" t="s">
        <v>229</v>
      </c>
      <c r="G43" s="5" t="s">
        <v>4871</v>
      </c>
      <c r="H43" s="5" t="s">
        <v>4872</v>
      </c>
      <c r="I43" s="5">
        <v>3023273940</v>
      </c>
      <c r="J43" s="12">
        <v>46022</v>
      </c>
      <c r="K43" s="11">
        <v>0.625</v>
      </c>
      <c r="M43" s="10" t="s">
        <v>14726</v>
      </c>
      <c r="N43" s="12">
        <v>46021.552351134262</v>
      </c>
      <c r="O43" s="10" t="s">
        <v>14727</v>
      </c>
      <c r="P43" s="5" t="s">
        <v>14571</v>
      </c>
      <c r="Q43" s="5" t="s">
        <v>14578</v>
      </c>
      <c r="R43" s="5" t="s">
        <v>14728</v>
      </c>
      <c r="T43" s="5" t="s">
        <v>5994</v>
      </c>
      <c r="U43" s="5"/>
      <c r="V43" s="5" t="s">
        <v>83</v>
      </c>
    </row>
    <row r="44" spans="1:23" ht="12.5">
      <c r="A44" s="5">
        <v>90755</v>
      </c>
      <c r="B44" s="5" t="s">
        <v>14729</v>
      </c>
      <c r="C44" s="5">
        <v>573106321533</v>
      </c>
      <c r="D44" s="5">
        <v>12</v>
      </c>
      <c r="E44" s="5" t="s">
        <v>239</v>
      </c>
      <c r="G44" s="5" t="s">
        <v>4866</v>
      </c>
      <c r="H44" s="5" t="s">
        <v>4867</v>
      </c>
      <c r="I44" s="5">
        <v>3106321533</v>
      </c>
      <c r="J44" s="12">
        <v>46021</v>
      </c>
      <c r="K44" s="11">
        <v>0.58333333333212067</v>
      </c>
      <c r="M44" s="10" t="s">
        <v>14730</v>
      </c>
      <c r="N44" s="12">
        <v>46021.541758865744</v>
      </c>
      <c r="O44" s="10" t="s">
        <v>14731</v>
      </c>
      <c r="P44" s="5" t="s">
        <v>14571</v>
      </c>
      <c r="Q44" s="5" t="s">
        <v>14572</v>
      </c>
      <c r="R44" s="5" t="s">
        <v>14732</v>
      </c>
      <c r="T44" s="5" t="s">
        <v>5994</v>
      </c>
      <c r="V44" s="5" t="s">
        <v>67</v>
      </c>
      <c r="W44" s="5"/>
    </row>
    <row r="45" spans="1:23" ht="12.5">
      <c r="A45" s="5">
        <v>90754</v>
      </c>
      <c r="B45" s="5" t="s">
        <v>13161</v>
      </c>
      <c r="C45" s="5">
        <v>573222218451</v>
      </c>
      <c r="D45" s="5" t="s">
        <v>14733</v>
      </c>
      <c r="E45" s="5" t="s">
        <v>4860</v>
      </c>
      <c r="F45" s="5" t="s">
        <v>405</v>
      </c>
      <c r="G45" s="5" t="s">
        <v>4858</v>
      </c>
      <c r="H45" s="5" t="s">
        <v>4859</v>
      </c>
      <c r="I45" s="5">
        <v>3222218451</v>
      </c>
      <c r="J45" s="12">
        <v>46021</v>
      </c>
      <c r="K45" s="11">
        <v>0.58333333333212067</v>
      </c>
      <c r="M45" s="10" t="s">
        <v>14734</v>
      </c>
      <c r="N45" s="12">
        <v>46021.488579062498</v>
      </c>
      <c r="O45" s="10" t="s">
        <v>14735</v>
      </c>
      <c r="P45" s="5" t="s">
        <v>14571</v>
      </c>
      <c r="Q45" s="5" t="s">
        <v>14572</v>
      </c>
      <c r="R45" s="5" t="s">
        <v>14736</v>
      </c>
      <c r="T45" s="5" t="s">
        <v>5994</v>
      </c>
      <c r="U45" s="5"/>
      <c r="V45" s="5" t="s">
        <v>1937</v>
      </c>
      <c r="W45" s="5" t="s">
        <v>4863</v>
      </c>
    </row>
    <row r="46" spans="1:23" ht="12.5">
      <c r="A46" s="5">
        <v>90753</v>
      </c>
      <c r="B46" s="5" t="s">
        <v>14737</v>
      </c>
      <c r="C46" s="5">
        <v>573017925741</v>
      </c>
      <c r="D46" s="5">
        <v>23</v>
      </c>
      <c r="E46" s="5" t="s">
        <v>50</v>
      </c>
      <c r="F46" s="5" t="s">
        <v>328</v>
      </c>
      <c r="G46" s="5" t="s">
        <v>4852</v>
      </c>
      <c r="H46" s="5" t="s">
        <v>4853</v>
      </c>
      <c r="I46" s="5">
        <v>3042555299</v>
      </c>
      <c r="J46" s="12">
        <v>46021</v>
      </c>
      <c r="K46" s="11">
        <v>0</v>
      </c>
      <c r="M46" s="10" t="s">
        <v>14615</v>
      </c>
      <c r="N46" s="12">
        <v>46021.506642164357</v>
      </c>
      <c r="O46" s="10" t="s">
        <v>14738</v>
      </c>
      <c r="P46" s="5" t="s">
        <v>14571</v>
      </c>
      <c r="Q46" s="5" t="s">
        <v>14572</v>
      </c>
      <c r="R46" s="5" t="s">
        <v>14739</v>
      </c>
      <c r="T46" s="5" t="s">
        <v>5994</v>
      </c>
      <c r="U46" s="5"/>
      <c r="V46" s="5" t="s">
        <v>83</v>
      </c>
    </row>
    <row r="47" spans="1:23" ht="12.5">
      <c r="A47" s="5">
        <v>90752</v>
      </c>
      <c r="B47" s="5" t="s">
        <v>4850</v>
      </c>
      <c r="C47" s="5">
        <v>573013575380</v>
      </c>
      <c r="D47" s="5">
        <v>21</v>
      </c>
      <c r="E47" s="5" t="s">
        <v>330</v>
      </c>
      <c r="F47" s="5" t="s">
        <v>33</v>
      </c>
      <c r="G47" s="5" t="s">
        <v>4850</v>
      </c>
      <c r="H47" s="5" t="s">
        <v>34</v>
      </c>
      <c r="I47" s="5">
        <v>3013575380</v>
      </c>
      <c r="J47" s="12">
        <v>46021</v>
      </c>
      <c r="K47" s="11">
        <v>0.55694444444452529</v>
      </c>
      <c r="M47" s="10" t="s">
        <v>14740</v>
      </c>
      <c r="N47" s="12">
        <v>46021.511635787036</v>
      </c>
      <c r="O47" s="10" t="s">
        <v>14741</v>
      </c>
      <c r="P47" s="5" t="s">
        <v>14571</v>
      </c>
      <c r="Q47" s="5" t="s">
        <v>14572</v>
      </c>
      <c r="R47" s="5" t="s">
        <v>14742</v>
      </c>
      <c r="T47" s="5" t="s">
        <v>14574</v>
      </c>
      <c r="U47" s="5" t="s">
        <v>33</v>
      </c>
      <c r="V47" s="5" t="s">
        <v>2636</v>
      </c>
    </row>
    <row r="48" spans="1:23" ht="12.5">
      <c r="A48" s="5">
        <v>90751</v>
      </c>
      <c r="B48" s="5" t="s">
        <v>4848</v>
      </c>
      <c r="C48" s="10" t="s">
        <v>14743</v>
      </c>
      <c r="D48" s="5">
        <v>21</v>
      </c>
      <c r="E48" s="5" t="s">
        <v>330</v>
      </c>
      <c r="F48" s="5" t="s">
        <v>33</v>
      </c>
      <c r="G48" s="5" t="s">
        <v>4848</v>
      </c>
      <c r="H48" s="5" t="s">
        <v>34</v>
      </c>
      <c r="I48" s="5">
        <v>3026090941</v>
      </c>
      <c r="J48" s="12">
        <v>46021</v>
      </c>
      <c r="K48" s="11">
        <v>1.3888888888888888E-2</v>
      </c>
      <c r="M48" s="10" t="s">
        <v>14740</v>
      </c>
      <c r="N48" s="12">
        <v>46021</v>
      </c>
      <c r="O48" s="10" t="s">
        <v>14744</v>
      </c>
      <c r="P48" s="5" t="s">
        <v>14571</v>
      </c>
      <c r="Q48" s="5" t="s">
        <v>14572</v>
      </c>
      <c r="R48" s="5" t="s">
        <v>14745</v>
      </c>
      <c r="T48" s="5" t="s">
        <v>14574</v>
      </c>
      <c r="U48" s="5" t="s">
        <v>33</v>
      </c>
      <c r="V48" s="5" t="s">
        <v>2636</v>
      </c>
      <c r="W48" s="5" t="s">
        <v>4849</v>
      </c>
    </row>
    <row r="49" spans="1:23" ht="12.5">
      <c r="A49" s="5">
        <v>90750</v>
      </c>
      <c r="B49" s="5" t="s">
        <v>14746</v>
      </c>
      <c r="C49" s="10" t="s">
        <v>14747</v>
      </c>
      <c r="D49" s="5">
        <v>45</v>
      </c>
      <c r="E49" s="5" t="s">
        <v>210</v>
      </c>
      <c r="F49" s="5" t="s">
        <v>3276</v>
      </c>
      <c r="G49" s="5" t="s">
        <v>14748</v>
      </c>
      <c r="H49" s="5" t="s">
        <v>4844</v>
      </c>
      <c r="I49" s="5">
        <v>3023584769</v>
      </c>
      <c r="J49" s="12">
        <v>46021</v>
      </c>
      <c r="K49" s="11">
        <v>0.625</v>
      </c>
      <c r="M49" s="10" t="s">
        <v>14740</v>
      </c>
      <c r="N49" s="12">
        <v>46021</v>
      </c>
      <c r="O49" s="10" t="s">
        <v>14749</v>
      </c>
      <c r="P49" s="5" t="s">
        <v>14571</v>
      </c>
      <c r="Q49" s="5" t="s">
        <v>14572</v>
      </c>
      <c r="R49" s="5" t="s">
        <v>14750</v>
      </c>
      <c r="T49" s="5" t="s">
        <v>5994</v>
      </c>
      <c r="U49" s="5"/>
      <c r="V49" s="5" t="s">
        <v>83</v>
      </c>
    </row>
    <row r="50" spans="1:23" ht="12.5">
      <c r="A50" s="5">
        <v>90749</v>
      </c>
      <c r="B50" s="5" t="s">
        <v>4841</v>
      </c>
      <c r="C50" s="10" t="s">
        <v>14751</v>
      </c>
      <c r="D50" s="5">
        <v>68</v>
      </c>
      <c r="E50" s="5" t="s">
        <v>361</v>
      </c>
      <c r="F50" s="5" t="s">
        <v>33</v>
      </c>
      <c r="G50" s="5" t="s">
        <v>4841</v>
      </c>
      <c r="H50" s="5" t="s">
        <v>34</v>
      </c>
      <c r="I50" s="5">
        <v>3004917332</v>
      </c>
      <c r="J50" s="12">
        <v>46021</v>
      </c>
      <c r="K50" s="11">
        <v>0</v>
      </c>
      <c r="M50" s="10" t="s">
        <v>14712</v>
      </c>
      <c r="N50" s="12">
        <v>46021</v>
      </c>
      <c r="O50" s="10" t="s">
        <v>14752</v>
      </c>
      <c r="P50" s="5" t="s">
        <v>14571</v>
      </c>
      <c r="Q50" s="5" t="s">
        <v>14578</v>
      </c>
      <c r="R50" s="5" t="s">
        <v>14753</v>
      </c>
      <c r="T50" s="5" t="s">
        <v>14574</v>
      </c>
      <c r="U50" s="5" t="s">
        <v>33</v>
      </c>
      <c r="V50" s="5" t="s">
        <v>2636</v>
      </c>
    </row>
    <row r="51" spans="1:23" ht="12.5">
      <c r="A51" s="5">
        <v>90748</v>
      </c>
      <c r="B51" s="5" t="s">
        <v>14754</v>
      </c>
      <c r="C51" s="5">
        <v>4400450000000000</v>
      </c>
      <c r="D51" s="5">
        <v>95</v>
      </c>
      <c r="E51" s="5" t="s">
        <v>42</v>
      </c>
      <c r="F51" s="5" t="s">
        <v>110</v>
      </c>
      <c r="G51" s="5" t="s">
        <v>4836</v>
      </c>
      <c r="H51" s="5" t="s">
        <v>4837</v>
      </c>
      <c r="I51" s="5">
        <v>3205389039</v>
      </c>
      <c r="J51" s="12">
        <v>46021</v>
      </c>
      <c r="K51" s="11">
        <v>0.58333333333212067</v>
      </c>
      <c r="M51" s="10" t="s">
        <v>14755</v>
      </c>
      <c r="N51" s="12">
        <v>46021.485633298609</v>
      </c>
      <c r="O51" s="10" t="s">
        <v>14756</v>
      </c>
      <c r="P51" s="5" t="s">
        <v>14571</v>
      </c>
      <c r="Q51" s="5" t="s">
        <v>14572</v>
      </c>
      <c r="R51" s="5" t="s">
        <v>14757</v>
      </c>
      <c r="T51" s="5" t="s">
        <v>5994</v>
      </c>
      <c r="U51" s="5" t="s">
        <v>14593</v>
      </c>
      <c r="V51" s="5" t="s">
        <v>2636</v>
      </c>
      <c r="W51" s="5" t="s">
        <v>4839</v>
      </c>
    </row>
    <row r="52" spans="1:23" ht="12.5">
      <c r="A52" s="5">
        <v>90747</v>
      </c>
      <c r="B52" s="5" t="s">
        <v>14758</v>
      </c>
      <c r="C52" s="5">
        <v>573008060488</v>
      </c>
      <c r="D52" s="5">
        <v>7</v>
      </c>
      <c r="E52" s="5" t="s">
        <v>112</v>
      </c>
      <c r="F52" s="5" t="s">
        <v>1187</v>
      </c>
      <c r="G52" s="5" t="s">
        <v>4831</v>
      </c>
      <c r="H52" s="5" t="s">
        <v>4832</v>
      </c>
      <c r="I52" s="5">
        <v>3008060488</v>
      </c>
      <c r="J52" s="12">
        <v>46021</v>
      </c>
      <c r="K52" s="11">
        <v>1.8749999999272404E-2</v>
      </c>
      <c r="M52" s="10" t="s">
        <v>14720</v>
      </c>
      <c r="N52" s="12">
        <v>46021.447947291672</v>
      </c>
      <c r="O52" s="10" t="s">
        <v>14759</v>
      </c>
      <c r="P52" s="5" t="s">
        <v>14571</v>
      </c>
      <c r="Q52" s="5" t="s">
        <v>14572</v>
      </c>
      <c r="R52" s="5" t="s">
        <v>14760</v>
      </c>
      <c r="T52" s="5" t="s">
        <v>5994</v>
      </c>
      <c r="U52" s="5"/>
      <c r="V52" s="5" t="s">
        <v>180</v>
      </c>
    </row>
    <row r="53" spans="1:23" ht="12.5">
      <c r="A53" s="5">
        <v>90746</v>
      </c>
      <c r="B53" s="5" t="s">
        <v>14761</v>
      </c>
      <c r="C53" s="5" t="s">
        <v>4824</v>
      </c>
      <c r="D53" s="5">
        <v>31</v>
      </c>
      <c r="E53" s="5" t="s">
        <v>375</v>
      </c>
      <c r="F53" s="5" t="s">
        <v>249</v>
      </c>
      <c r="G53" s="5" t="s">
        <v>4825</v>
      </c>
      <c r="H53" s="5" t="s">
        <v>4826</v>
      </c>
      <c r="I53" s="5">
        <v>3137545246</v>
      </c>
      <c r="J53" s="12">
        <v>46021</v>
      </c>
      <c r="K53" s="11">
        <v>0.48263888889050577</v>
      </c>
      <c r="M53" s="10" t="s">
        <v>14585</v>
      </c>
      <c r="N53" s="12">
        <v>46021.434307835647</v>
      </c>
      <c r="O53" s="10" t="s">
        <v>14762</v>
      </c>
      <c r="P53" s="5" t="s">
        <v>14571</v>
      </c>
      <c r="Q53" s="5" t="s">
        <v>14578</v>
      </c>
      <c r="R53" s="5" t="s">
        <v>14763</v>
      </c>
      <c r="T53" s="5" t="s">
        <v>5994</v>
      </c>
      <c r="U53" s="5" t="s">
        <v>14593</v>
      </c>
      <c r="V53" s="5" t="s">
        <v>83</v>
      </c>
    </row>
    <row r="54" spans="1:23" ht="12.5">
      <c r="A54" s="5">
        <v>90745</v>
      </c>
      <c r="B54" s="5" t="s">
        <v>14764</v>
      </c>
      <c r="C54" s="10" t="s">
        <v>14765</v>
      </c>
      <c r="D54" s="5">
        <v>95</v>
      </c>
      <c r="E54" s="5" t="s">
        <v>42</v>
      </c>
      <c r="F54" s="5" t="s">
        <v>229</v>
      </c>
      <c r="G54" s="5" t="s">
        <v>4818</v>
      </c>
      <c r="H54" s="5" t="s">
        <v>4819</v>
      </c>
      <c r="I54" s="5">
        <v>3022453560</v>
      </c>
      <c r="J54" s="12">
        <v>46021</v>
      </c>
      <c r="K54" s="11">
        <v>0.95833333333333337</v>
      </c>
      <c r="M54" s="10" t="s">
        <v>14766</v>
      </c>
      <c r="N54" s="12">
        <v>46021</v>
      </c>
      <c r="O54" s="10" t="s">
        <v>14767</v>
      </c>
      <c r="P54" s="5" t="s">
        <v>14571</v>
      </c>
      <c r="Q54" s="5" t="s">
        <v>14572</v>
      </c>
      <c r="R54" s="5" t="s">
        <v>14768</v>
      </c>
      <c r="T54" s="5" t="s">
        <v>5994</v>
      </c>
      <c r="U54" s="5"/>
      <c r="V54" s="5" t="s">
        <v>83</v>
      </c>
      <c r="W54" s="5" t="s">
        <v>4822</v>
      </c>
    </row>
    <row r="55" spans="1:23" ht="12.5">
      <c r="A55" s="5">
        <v>90744</v>
      </c>
      <c r="B55" s="5" t="s">
        <v>14769</v>
      </c>
      <c r="C55" s="5">
        <v>573218440050</v>
      </c>
      <c r="D55" s="5">
        <v>52</v>
      </c>
      <c r="E55" s="5" t="s">
        <v>178</v>
      </c>
      <c r="F55" s="5" t="s">
        <v>229</v>
      </c>
      <c r="G55" s="5" t="s">
        <v>4814</v>
      </c>
      <c r="H55" s="5" t="s">
        <v>4815</v>
      </c>
      <c r="I55" s="5">
        <v>3108763691</v>
      </c>
      <c r="J55" s="12">
        <v>46022</v>
      </c>
      <c r="K55" s="11">
        <v>0.375</v>
      </c>
      <c r="M55" s="10" t="s">
        <v>14770</v>
      </c>
      <c r="N55" s="12">
        <v>46021.422670150467</v>
      </c>
      <c r="O55" s="10" t="s">
        <v>14771</v>
      </c>
      <c r="P55" s="5" t="s">
        <v>14571</v>
      </c>
      <c r="Q55" s="5" t="s">
        <v>14572</v>
      </c>
      <c r="R55" s="5" t="s">
        <v>14772</v>
      </c>
      <c r="T55" s="5" t="s">
        <v>5994</v>
      </c>
      <c r="U55" s="5"/>
      <c r="V55" s="5" t="s">
        <v>83</v>
      </c>
    </row>
    <row r="56" spans="1:23" ht="12.5">
      <c r="A56" s="5">
        <v>90743</v>
      </c>
      <c r="B56" s="5" t="s">
        <v>4810</v>
      </c>
      <c r="C56" s="5">
        <v>573013215661</v>
      </c>
      <c r="D56" s="5" t="s">
        <v>14589</v>
      </c>
      <c r="E56" s="5" t="s">
        <v>4812</v>
      </c>
      <c r="F56" s="5" t="s">
        <v>563</v>
      </c>
      <c r="G56" s="5" t="s">
        <v>4810</v>
      </c>
      <c r="H56" s="5" t="s">
        <v>34</v>
      </c>
      <c r="I56" s="5">
        <v>3013215661</v>
      </c>
      <c r="J56" s="12">
        <v>46021</v>
      </c>
      <c r="K56" s="11">
        <v>0.45833333333212067</v>
      </c>
      <c r="M56" s="10" t="s">
        <v>14705</v>
      </c>
      <c r="N56" s="12">
        <v>46021.410919884263</v>
      </c>
      <c r="O56" s="10" t="s">
        <v>14773</v>
      </c>
      <c r="P56" s="5" t="s">
        <v>14571</v>
      </c>
      <c r="Q56" s="5" t="s">
        <v>14578</v>
      </c>
      <c r="R56" s="5" t="s">
        <v>14774</v>
      </c>
      <c r="T56" s="5" t="s">
        <v>5994</v>
      </c>
      <c r="U56" s="5" t="s">
        <v>14775</v>
      </c>
      <c r="V56" s="5" t="s">
        <v>1481</v>
      </c>
      <c r="W56" s="5" t="s">
        <v>4813</v>
      </c>
    </row>
    <row r="57" spans="1:23" ht="12.5">
      <c r="A57" s="5">
        <v>90742</v>
      </c>
      <c r="B57" s="5" t="s">
        <v>14776</v>
      </c>
      <c r="C57" s="5">
        <v>573116729321</v>
      </c>
      <c r="D57" s="5">
        <v>20</v>
      </c>
      <c r="E57" s="5" t="s">
        <v>187</v>
      </c>
      <c r="F57" s="5" t="s">
        <v>307</v>
      </c>
      <c r="G57" s="5" t="s">
        <v>4806</v>
      </c>
      <c r="H57" s="5" t="s">
        <v>4807</v>
      </c>
      <c r="I57" s="5">
        <v>3116729321</v>
      </c>
      <c r="J57" s="12">
        <v>46021</v>
      </c>
      <c r="K57" s="11">
        <v>0.41666666666787933</v>
      </c>
      <c r="M57" s="10" t="s">
        <v>14777</v>
      </c>
      <c r="N57" s="12">
        <v>46021.368834490742</v>
      </c>
      <c r="O57" s="10" t="s">
        <v>14677</v>
      </c>
      <c r="P57" s="5" t="s">
        <v>14571</v>
      </c>
      <c r="Q57" s="5" t="s">
        <v>14578</v>
      </c>
      <c r="R57" s="5" t="s">
        <v>14778</v>
      </c>
      <c r="T57" s="5" t="s">
        <v>5994</v>
      </c>
      <c r="U57" s="5" t="s">
        <v>14618</v>
      </c>
      <c r="V57" s="5" t="s">
        <v>83</v>
      </c>
    </row>
    <row r="58" spans="1:23" ht="12.5">
      <c r="A58" s="5">
        <v>90741</v>
      </c>
      <c r="B58" s="5" t="s">
        <v>14779</v>
      </c>
      <c r="C58" s="10" t="s">
        <v>14780</v>
      </c>
      <c r="D58" s="5">
        <v>51</v>
      </c>
      <c r="E58" s="5" t="s">
        <v>384</v>
      </c>
      <c r="F58" s="5" t="s">
        <v>185</v>
      </c>
      <c r="G58" s="5" t="s">
        <v>4800</v>
      </c>
      <c r="H58" s="5" t="s">
        <v>4801</v>
      </c>
      <c r="J58" s="12">
        <v>46021</v>
      </c>
      <c r="K58" s="11">
        <v>0</v>
      </c>
      <c r="M58" s="10" t="s">
        <v>14657</v>
      </c>
      <c r="N58" s="12">
        <v>46021</v>
      </c>
      <c r="O58" s="10" t="s">
        <v>14781</v>
      </c>
      <c r="P58" s="5" t="s">
        <v>14571</v>
      </c>
      <c r="Q58" s="5" t="s">
        <v>14572</v>
      </c>
      <c r="R58" s="5" t="s">
        <v>14782</v>
      </c>
      <c r="T58" s="5" t="s">
        <v>5994</v>
      </c>
      <c r="U58" s="5" t="s">
        <v>14580</v>
      </c>
      <c r="V58" s="5" t="s">
        <v>180</v>
      </c>
      <c r="W58" s="5" t="s">
        <v>4804</v>
      </c>
    </row>
    <row r="59" spans="1:23" ht="12.5">
      <c r="A59" s="5">
        <v>90740</v>
      </c>
      <c r="B59" s="5" t="s">
        <v>14783</v>
      </c>
      <c r="C59" s="5">
        <v>573011486903</v>
      </c>
      <c r="D59" s="5">
        <v>32</v>
      </c>
      <c r="E59" s="5" t="s">
        <v>65</v>
      </c>
      <c r="F59" s="5" t="s">
        <v>1057</v>
      </c>
      <c r="G59" s="5" t="s">
        <v>4794</v>
      </c>
      <c r="H59" s="5" t="s">
        <v>14784</v>
      </c>
      <c r="I59" s="5" t="s">
        <v>4796</v>
      </c>
      <c r="J59" s="12">
        <v>46021</v>
      </c>
      <c r="K59" s="11">
        <v>0.41666666666787933</v>
      </c>
      <c r="M59" s="10" t="s">
        <v>14785</v>
      </c>
      <c r="N59" s="12">
        <v>46020.464521377318</v>
      </c>
      <c r="O59" s="10" t="s">
        <v>14786</v>
      </c>
      <c r="P59" s="5" t="s">
        <v>14571</v>
      </c>
      <c r="Q59" s="5" t="s">
        <v>14612</v>
      </c>
      <c r="R59" s="5" t="s">
        <v>14787</v>
      </c>
      <c r="T59" s="5" t="s">
        <v>5994</v>
      </c>
      <c r="U59" s="5" t="s">
        <v>14580</v>
      </c>
      <c r="V59" s="5" t="s">
        <v>83</v>
      </c>
    </row>
    <row r="60" spans="1:23" ht="12.5">
      <c r="A60" s="5">
        <v>90739</v>
      </c>
      <c r="B60" s="5" t="s">
        <v>12287</v>
      </c>
      <c r="C60" s="10" t="s">
        <v>14788</v>
      </c>
      <c r="D60" s="5" t="s">
        <v>14589</v>
      </c>
      <c r="E60" s="5" t="s">
        <v>4790</v>
      </c>
      <c r="F60" s="5" t="s">
        <v>63</v>
      </c>
      <c r="G60" s="5" t="s">
        <v>4788</v>
      </c>
      <c r="H60" s="5" t="s">
        <v>4789</v>
      </c>
      <c r="J60" s="12">
        <v>46021</v>
      </c>
      <c r="K60" s="11">
        <v>0.39583333333333331</v>
      </c>
      <c r="M60" s="10" t="s">
        <v>14789</v>
      </c>
      <c r="N60" s="12">
        <v>46021</v>
      </c>
      <c r="O60" s="10" t="s">
        <v>14790</v>
      </c>
      <c r="P60" s="5" t="s">
        <v>14571</v>
      </c>
      <c r="Q60" s="5" t="s">
        <v>14612</v>
      </c>
      <c r="R60" s="5" t="s">
        <v>14791</v>
      </c>
      <c r="T60" s="5" t="s">
        <v>5994</v>
      </c>
      <c r="U60" s="5" t="s">
        <v>14598</v>
      </c>
      <c r="V60" s="5" t="s">
        <v>43</v>
      </c>
      <c r="W60" s="5" t="s">
        <v>4792</v>
      </c>
    </row>
    <row r="61" spans="1:23" ht="12.5">
      <c r="A61" s="5">
        <v>90738</v>
      </c>
      <c r="B61" s="5" t="s">
        <v>4785</v>
      </c>
      <c r="C61" s="5">
        <v>573183740725</v>
      </c>
      <c r="D61" s="5">
        <v>29</v>
      </c>
      <c r="E61" s="5" t="s">
        <v>309</v>
      </c>
      <c r="F61" s="5" t="s">
        <v>229</v>
      </c>
      <c r="G61" s="5" t="s">
        <v>4785</v>
      </c>
      <c r="H61" s="5" t="s">
        <v>4786</v>
      </c>
      <c r="I61" s="5" t="s">
        <v>4787</v>
      </c>
      <c r="J61" s="12">
        <v>46021</v>
      </c>
      <c r="K61" s="11">
        <v>0</v>
      </c>
      <c r="M61" s="10" t="s">
        <v>14792</v>
      </c>
      <c r="N61" s="12">
        <v>46020.753065625002</v>
      </c>
      <c r="O61" s="10" t="s">
        <v>14793</v>
      </c>
      <c r="P61" s="5" t="s">
        <v>14571</v>
      </c>
      <c r="Q61" s="5" t="s">
        <v>14572</v>
      </c>
      <c r="R61" s="5" t="s">
        <v>14794</v>
      </c>
      <c r="T61" s="5" t="s">
        <v>5994</v>
      </c>
      <c r="U61" s="5"/>
      <c r="V61" s="5" t="s">
        <v>83</v>
      </c>
    </row>
    <row r="62" spans="1:23" ht="12.5">
      <c r="A62" s="5">
        <v>90737</v>
      </c>
      <c r="B62" s="5" t="s">
        <v>4782</v>
      </c>
      <c r="C62" s="5">
        <v>57195739533</v>
      </c>
      <c r="D62" s="5" t="s">
        <v>14795</v>
      </c>
      <c r="E62" s="5" t="s">
        <v>4783</v>
      </c>
      <c r="F62" s="5" t="s">
        <v>33</v>
      </c>
      <c r="G62" s="5" t="s">
        <v>4782</v>
      </c>
      <c r="H62" s="5" t="s">
        <v>34</v>
      </c>
      <c r="I62" s="5">
        <v>195739533</v>
      </c>
      <c r="J62" s="12">
        <v>46020</v>
      </c>
      <c r="K62" s="11">
        <v>0</v>
      </c>
      <c r="M62" s="10" t="s">
        <v>14796</v>
      </c>
      <c r="N62" s="12">
        <v>46020.750194201391</v>
      </c>
      <c r="O62" s="10" t="s">
        <v>14797</v>
      </c>
      <c r="P62" s="5" t="s">
        <v>14571</v>
      </c>
      <c r="Q62" s="5" t="s">
        <v>14572</v>
      </c>
      <c r="R62" s="5" t="s">
        <v>14798</v>
      </c>
      <c r="T62" s="5" t="s">
        <v>14574</v>
      </c>
      <c r="U62" s="5" t="s">
        <v>33</v>
      </c>
      <c r="V62" s="5" t="s">
        <v>2636</v>
      </c>
    </row>
    <row r="63" spans="1:23" ht="12.5">
      <c r="A63" s="5">
        <v>90736</v>
      </c>
      <c r="B63" s="5" t="s">
        <v>4779</v>
      </c>
      <c r="C63" s="10" t="s">
        <v>14799</v>
      </c>
      <c r="D63" s="5">
        <v>46</v>
      </c>
      <c r="E63" s="5" t="s">
        <v>120</v>
      </c>
      <c r="F63" s="5" t="s">
        <v>33</v>
      </c>
      <c r="G63" s="5" t="s">
        <v>4779</v>
      </c>
      <c r="H63" s="5" t="s">
        <v>34</v>
      </c>
      <c r="I63" s="10" t="s">
        <v>2686</v>
      </c>
      <c r="J63" s="12">
        <v>46020</v>
      </c>
      <c r="K63" s="11">
        <v>0</v>
      </c>
      <c r="M63" s="10" t="s">
        <v>14800</v>
      </c>
      <c r="N63" s="12">
        <v>46020</v>
      </c>
      <c r="O63" s="10" t="s">
        <v>14801</v>
      </c>
      <c r="P63" s="5" t="s">
        <v>14571</v>
      </c>
      <c r="Q63" s="5" t="s">
        <v>14612</v>
      </c>
      <c r="R63" s="5" t="s">
        <v>14802</v>
      </c>
      <c r="T63" s="5" t="s">
        <v>14574</v>
      </c>
      <c r="U63" s="5" t="s">
        <v>33</v>
      </c>
      <c r="V63" s="5" t="s">
        <v>196</v>
      </c>
    </row>
    <row r="64" spans="1:23" ht="12.5">
      <c r="A64" s="5">
        <v>90735</v>
      </c>
      <c r="B64" s="5" t="s">
        <v>14803</v>
      </c>
      <c r="C64" s="5">
        <v>573205468224</v>
      </c>
      <c r="D64" s="5">
        <v>1</v>
      </c>
      <c r="E64" s="5" t="s">
        <v>170</v>
      </c>
      <c r="F64" s="5" t="s">
        <v>146</v>
      </c>
      <c r="G64" s="5" t="s">
        <v>4775</v>
      </c>
      <c r="H64" s="5" t="s">
        <v>4776</v>
      </c>
      <c r="I64" s="5">
        <v>3045387746</v>
      </c>
      <c r="J64" s="12">
        <v>46021</v>
      </c>
      <c r="K64" s="11">
        <v>0.33333333333212067</v>
      </c>
      <c r="M64" s="10" t="s">
        <v>14804</v>
      </c>
      <c r="N64" s="12">
        <v>46020.663980150464</v>
      </c>
      <c r="O64" s="10" t="s">
        <v>14805</v>
      </c>
      <c r="P64" s="5" t="s">
        <v>14571</v>
      </c>
      <c r="Q64" s="5" t="s">
        <v>14578</v>
      </c>
      <c r="R64" s="5" t="s">
        <v>14806</v>
      </c>
      <c r="T64" s="5" t="s">
        <v>5994</v>
      </c>
      <c r="U64" s="5" t="s">
        <v>14618</v>
      </c>
      <c r="V64" s="5" t="s">
        <v>83</v>
      </c>
    </row>
    <row r="65" spans="1:23" ht="12.5">
      <c r="A65" s="5">
        <v>90733</v>
      </c>
      <c r="B65" s="5" t="s">
        <v>14807</v>
      </c>
      <c r="C65" s="5">
        <v>573018964911</v>
      </c>
      <c r="D65" s="5">
        <v>68</v>
      </c>
      <c r="E65" s="5" t="s">
        <v>361</v>
      </c>
      <c r="F65" s="5" t="s">
        <v>726</v>
      </c>
      <c r="G65" s="5" t="s">
        <v>4766</v>
      </c>
      <c r="H65" s="5" t="s">
        <v>4767</v>
      </c>
      <c r="I65" s="5"/>
      <c r="J65" s="12">
        <v>46020</v>
      </c>
      <c r="K65" s="11">
        <v>0.70833333333212067</v>
      </c>
      <c r="M65" s="10" t="s">
        <v>14808</v>
      </c>
      <c r="N65" s="12">
        <v>46020.686927858798</v>
      </c>
      <c r="O65" s="10" t="s">
        <v>14809</v>
      </c>
      <c r="P65" s="5" t="s">
        <v>14571</v>
      </c>
      <c r="Q65" s="5" t="s">
        <v>14612</v>
      </c>
      <c r="R65" s="5" t="s">
        <v>14810</v>
      </c>
      <c r="T65" s="5" t="s">
        <v>5994</v>
      </c>
      <c r="U65" s="5" t="s">
        <v>14618</v>
      </c>
      <c r="V65" s="5" t="s">
        <v>204</v>
      </c>
      <c r="W65" s="5" t="s">
        <v>4770</v>
      </c>
    </row>
    <row r="66" spans="1:23" ht="12.5">
      <c r="A66" s="5">
        <v>90732</v>
      </c>
      <c r="B66" s="5" t="s">
        <v>4764</v>
      </c>
      <c r="C66" s="5">
        <v>573158664163</v>
      </c>
      <c r="D66" s="5" t="s">
        <v>14589</v>
      </c>
      <c r="E66" s="5" t="s">
        <v>4765</v>
      </c>
      <c r="F66" s="5" t="s">
        <v>33</v>
      </c>
      <c r="G66" s="5" t="s">
        <v>4764</v>
      </c>
      <c r="H66" s="5" t="s">
        <v>34</v>
      </c>
      <c r="J66" s="12">
        <v>46020</v>
      </c>
      <c r="K66" s="11">
        <v>0.70833333333212067</v>
      </c>
      <c r="M66" s="10" t="s">
        <v>14705</v>
      </c>
      <c r="N66" s="12">
        <v>46020.691663472222</v>
      </c>
      <c r="O66" s="10" t="s">
        <v>14811</v>
      </c>
      <c r="P66" s="5" t="s">
        <v>14571</v>
      </c>
      <c r="Q66" s="5" t="s">
        <v>14572</v>
      </c>
      <c r="R66" s="5" t="s">
        <v>14812</v>
      </c>
      <c r="T66" s="5" t="s">
        <v>14574</v>
      </c>
      <c r="U66" s="5" t="s">
        <v>33</v>
      </c>
      <c r="V66" s="5" t="s">
        <v>83</v>
      </c>
    </row>
    <row r="67" spans="1:23" ht="12.5">
      <c r="A67" s="5">
        <v>90731</v>
      </c>
      <c r="B67" s="5" t="s">
        <v>4761</v>
      </c>
      <c r="C67" s="5">
        <v>17863700214</v>
      </c>
      <c r="D67" s="5">
        <v>5</v>
      </c>
      <c r="E67" s="5" t="s">
        <v>4021</v>
      </c>
      <c r="F67" s="5" t="s">
        <v>4757</v>
      </c>
      <c r="G67" s="5" t="s">
        <v>4756</v>
      </c>
      <c r="H67" s="5" t="s">
        <v>4758</v>
      </c>
      <c r="I67" s="5" t="s">
        <v>4759</v>
      </c>
      <c r="J67" s="12">
        <v>46020</v>
      </c>
      <c r="K67" s="11">
        <v>0</v>
      </c>
      <c r="M67" s="10" t="s">
        <v>14697</v>
      </c>
      <c r="N67" s="12">
        <v>46020.624540127319</v>
      </c>
      <c r="O67" s="10" t="s">
        <v>14813</v>
      </c>
      <c r="P67" s="5" t="s">
        <v>14571</v>
      </c>
      <c r="Q67" s="5" t="s">
        <v>14578</v>
      </c>
      <c r="R67" s="5" t="s">
        <v>14814</v>
      </c>
      <c r="T67" s="5" t="s">
        <v>5994</v>
      </c>
      <c r="U67" s="5"/>
      <c r="V67" s="5" t="s">
        <v>180</v>
      </c>
    </row>
    <row r="68" spans="1:23" ht="12.5">
      <c r="A68" s="5">
        <v>90730</v>
      </c>
      <c r="B68" s="5" t="s">
        <v>14815</v>
      </c>
      <c r="C68" s="10" t="s">
        <v>14816</v>
      </c>
      <c r="D68" s="5" t="s">
        <v>14589</v>
      </c>
      <c r="E68" s="5" t="s">
        <v>4751</v>
      </c>
      <c r="F68" s="5" t="s">
        <v>4749</v>
      </c>
      <c r="G68" s="5" t="s">
        <v>4748</v>
      </c>
      <c r="H68" s="5" t="s">
        <v>4750</v>
      </c>
      <c r="I68" s="5">
        <v>3015182932</v>
      </c>
      <c r="J68" s="12">
        <v>46020</v>
      </c>
      <c r="K68" s="11">
        <v>0.70833333333333337</v>
      </c>
      <c r="M68" s="10" t="s">
        <v>14817</v>
      </c>
      <c r="N68" s="12">
        <v>46020</v>
      </c>
      <c r="O68" s="10" t="s">
        <v>14818</v>
      </c>
      <c r="P68" s="5" t="s">
        <v>14571</v>
      </c>
      <c r="Q68" s="5" t="s">
        <v>14699</v>
      </c>
      <c r="R68" s="5" t="s">
        <v>14819</v>
      </c>
      <c r="T68" s="5" t="s">
        <v>5994</v>
      </c>
      <c r="U68" s="5" t="s">
        <v>14618</v>
      </c>
      <c r="V68" s="5" t="s">
        <v>83</v>
      </c>
    </row>
    <row r="69" spans="1:23" ht="12.5">
      <c r="A69" s="5">
        <v>90729</v>
      </c>
      <c r="B69" s="5" t="s">
        <v>4745</v>
      </c>
      <c r="C69" s="10" t="s">
        <v>14820</v>
      </c>
      <c r="D69" s="5">
        <v>52</v>
      </c>
      <c r="E69" s="5" t="s">
        <v>178</v>
      </c>
      <c r="F69" s="5" t="s">
        <v>33</v>
      </c>
      <c r="G69" s="5" t="s">
        <v>4745</v>
      </c>
      <c r="H69" s="5" t="s">
        <v>34</v>
      </c>
      <c r="I69" s="5">
        <v>3165317948</v>
      </c>
      <c r="J69" s="12">
        <v>46020</v>
      </c>
      <c r="K69" s="11">
        <v>0.70833333333333337</v>
      </c>
      <c r="M69" s="10" t="s">
        <v>14705</v>
      </c>
      <c r="N69" s="12">
        <v>46020</v>
      </c>
      <c r="O69" s="10" t="s">
        <v>14821</v>
      </c>
      <c r="P69" s="5" t="s">
        <v>14571</v>
      </c>
      <c r="Q69" s="5" t="s">
        <v>14572</v>
      </c>
      <c r="R69" s="5" t="s">
        <v>14822</v>
      </c>
      <c r="T69" s="5" t="s">
        <v>14574</v>
      </c>
      <c r="U69" s="5" t="s">
        <v>33</v>
      </c>
      <c r="V69" s="5" t="s">
        <v>2636</v>
      </c>
    </row>
    <row r="70" spans="1:23" ht="12.5">
      <c r="A70" s="5">
        <v>90728</v>
      </c>
      <c r="B70" s="5" t="s">
        <v>14823</v>
      </c>
      <c r="C70" s="10" t="s">
        <v>14824</v>
      </c>
      <c r="D70" s="5">
        <v>30</v>
      </c>
      <c r="E70" s="5" t="s">
        <v>156</v>
      </c>
      <c r="F70" s="5" t="s">
        <v>73</v>
      </c>
      <c r="G70" s="5" t="s">
        <v>3559</v>
      </c>
      <c r="H70" s="5" t="s">
        <v>4741</v>
      </c>
      <c r="J70" s="12">
        <v>46021</v>
      </c>
      <c r="K70" s="11">
        <v>0.375</v>
      </c>
      <c r="M70" s="10" t="s">
        <v>14639</v>
      </c>
      <c r="N70" s="12">
        <v>46020</v>
      </c>
      <c r="O70" s="10" t="s">
        <v>14825</v>
      </c>
      <c r="P70" s="5" t="s">
        <v>14571</v>
      </c>
      <c r="Q70" s="5" t="s">
        <v>14572</v>
      </c>
      <c r="R70" s="5" t="s">
        <v>14826</v>
      </c>
      <c r="T70" s="5" t="s">
        <v>5994</v>
      </c>
      <c r="U70" s="5" t="s">
        <v>14593</v>
      </c>
      <c r="V70" s="5" t="s">
        <v>180</v>
      </c>
    </row>
    <row r="71" spans="1:23" ht="12.5">
      <c r="A71" s="5">
        <v>90727</v>
      </c>
      <c r="B71" s="5" t="s">
        <v>4737</v>
      </c>
      <c r="C71" s="5">
        <v>573019796476</v>
      </c>
      <c r="D71" s="5">
        <v>52</v>
      </c>
      <c r="E71" s="5" t="s">
        <v>3991</v>
      </c>
      <c r="F71" s="5" t="s">
        <v>33</v>
      </c>
      <c r="G71" s="5" t="s">
        <v>4737</v>
      </c>
      <c r="H71" s="5" t="s">
        <v>34</v>
      </c>
      <c r="I71" s="5">
        <v>3019796476</v>
      </c>
      <c r="J71" s="12">
        <v>46020</v>
      </c>
      <c r="K71" s="11">
        <v>0</v>
      </c>
      <c r="M71" s="10" t="s">
        <v>14712</v>
      </c>
      <c r="N71" s="12">
        <v>46020.644855543986</v>
      </c>
      <c r="O71" s="10" t="s">
        <v>14827</v>
      </c>
      <c r="P71" s="5" t="s">
        <v>14571</v>
      </c>
      <c r="Q71" s="5" t="s">
        <v>14578</v>
      </c>
      <c r="R71" s="5" t="s">
        <v>14828</v>
      </c>
      <c r="T71" s="5" t="s">
        <v>14574</v>
      </c>
      <c r="U71" s="5" t="s">
        <v>33</v>
      </c>
      <c r="V71" s="5" t="s">
        <v>2636</v>
      </c>
    </row>
    <row r="72" spans="1:23" ht="12.5">
      <c r="A72" s="5">
        <v>90726</v>
      </c>
      <c r="B72" s="5" t="s">
        <v>14829</v>
      </c>
      <c r="C72" s="10" t="s">
        <v>14830</v>
      </c>
      <c r="D72" s="5">
        <v>29</v>
      </c>
      <c r="E72" s="5" t="s">
        <v>309</v>
      </c>
      <c r="F72" s="5" t="s">
        <v>1497</v>
      </c>
      <c r="G72" s="5" t="s">
        <v>14831</v>
      </c>
      <c r="H72" s="5" t="s">
        <v>4732</v>
      </c>
      <c r="I72" s="5">
        <v>3146649148</v>
      </c>
      <c r="J72" s="12">
        <v>46022</v>
      </c>
      <c r="K72" s="11">
        <v>0.375</v>
      </c>
      <c r="M72" s="10" t="s">
        <v>14832</v>
      </c>
      <c r="N72" s="12">
        <v>46020</v>
      </c>
      <c r="O72" s="10" t="s">
        <v>14833</v>
      </c>
      <c r="P72" s="5" t="s">
        <v>14571</v>
      </c>
      <c r="Q72" s="5" t="s">
        <v>14572</v>
      </c>
      <c r="R72" s="5" t="s">
        <v>14834</v>
      </c>
      <c r="T72" s="5" t="s">
        <v>5994</v>
      </c>
      <c r="U72" s="5" t="s">
        <v>14593</v>
      </c>
      <c r="V72" s="5" t="s">
        <v>83</v>
      </c>
    </row>
    <row r="73" spans="1:23" ht="12.5">
      <c r="A73" s="5">
        <v>90725</v>
      </c>
      <c r="B73" s="5" t="s">
        <v>4728</v>
      </c>
      <c r="C73" s="5">
        <v>57000</v>
      </c>
      <c r="D73" s="5">
        <v>95</v>
      </c>
      <c r="E73" s="5" t="s">
        <v>42</v>
      </c>
      <c r="F73" s="5" t="s">
        <v>33</v>
      </c>
      <c r="G73" s="5" t="s">
        <v>4728</v>
      </c>
      <c r="H73" s="5" t="s">
        <v>34</v>
      </c>
      <c r="J73" s="12">
        <v>46020</v>
      </c>
      <c r="K73" s="11">
        <v>0</v>
      </c>
      <c r="M73" s="10" t="s">
        <v>14835</v>
      </c>
      <c r="N73" s="12">
        <v>46020.608209999999</v>
      </c>
      <c r="O73" s="10" t="s">
        <v>14836</v>
      </c>
      <c r="P73" s="5" t="s">
        <v>14571</v>
      </c>
      <c r="Q73" s="5" t="s">
        <v>14578</v>
      </c>
      <c r="R73" s="5" t="s">
        <v>14837</v>
      </c>
      <c r="T73" s="5" t="s">
        <v>14574</v>
      </c>
      <c r="U73" s="5" t="s">
        <v>33</v>
      </c>
      <c r="V73" s="5" t="s">
        <v>2636</v>
      </c>
      <c r="W73" s="5" t="s">
        <v>525</v>
      </c>
    </row>
    <row r="74" spans="1:23" ht="12.5">
      <c r="A74" s="5">
        <v>90724</v>
      </c>
      <c r="B74" s="5" t="s">
        <v>14838</v>
      </c>
      <c r="C74" s="5">
        <v>573142881716</v>
      </c>
      <c r="D74" s="5">
        <v>21</v>
      </c>
      <c r="E74" s="5" t="s">
        <v>330</v>
      </c>
      <c r="F74" s="5" t="s">
        <v>161</v>
      </c>
      <c r="G74" s="5" t="s">
        <v>4723</v>
      </c>
      <c r="H74" s="5" t="s">
        <v>4724</v>
      </c>
      <c r="I74" s="5">
        <v>3142881716</v>
      </c>
      <c r="J74" s="12">
        <v>46020</v>
      </c>
      <c r="K74" s="11">
        <v>0</v>
      </c>
      <c r="M74" s="10" t="s">
        <v>14657</v>
      </c>
      <c r="N74" s="12">
        <v>46020.584861875002</v>
      </c>
      <c r="O74" s="10" t="s">
        <v>14839</v>
      </c>
      <c r="P74" s="5" t="s">
        <v>14571</v>
      </c>
      <c r="Q74" s="5" t="s">
        <v>14612</v>
      </c>
      <c r="R74" s="5" t="s">
        <v>14840</v>
      </c>
      <c r="T74" s="5" t="s">
        <v>5994</v>
      </c>
      <c r="U74" s="5" t="s">
        <v>14593</v>
      </c>
      <c r="V74" s="5" t="s">
        <v>1937</v>
      </c>
      <c r="W74" s="5" t="s">
        <v>4725</v>
      </c>
    </row>
    <row r="75" spans="1:23" ht="12.5">
      <c r="A75" s="5">
        <v>90723</v>
      </c>
      <c r="B75" s="5" t="s">
        <v>14841</v>
      </c>
      <c r="C75" s="5">
        <v>573022601836</v>
      </c>
      <c r="D75" s="5" t="s">
        <v>14589</v>
      </c>
      <c r="E75" s="5" t="s">
        <v>4719</v>
      </c>
      <c r="F75" s="5" t="s">
        <v>879</v>
      </c>
      <c r="G75" s="5" t="s">
        <v>4066</v>
      </c>
      <c r="H75" s="5" t="s">
        <v>4718</v>
      </c>
      <c r="I75" s="5">
        <v>3022601836</v>
      </c>
      <c r="J75" s="12">
        <v>46021</v>
      </c>
      <c r="K75" s="11">
        <v>0.33333333333212067</v>
      </c>
      <c r="M75" s="10" t="s">
        <v>14842</v>
      </c>
      <c r="N75" s="12">
        <v>46020.581236192127</v>
      </c>
      <c r="O75" s="10" t="s">
        <v>14843</v>
      </c>
      <c r="P75" s="5" t="s">
        <v>14571</v>
      </c>
      <c r="Q75" s="5" t="s">
        <v>14572</v>
      </c>
      <c r="R75" s="5" t="s">
        <v>14844</v>
      </c>
      <c r="T75" s="5" t="s">
        <v>5994</v>
      </c>
      <c r="U75" s="5" t="s">
        <v>14580</v>
      </c>
      <c r="V75" s="5" t="s">
        <v>83</v>
      </c>
      <c r="W75" s="5" t="s">
        <v>4721</v>
      </c>
    </row>
    <row r="76" spans="1:23" ht="12.5">
      <c r="A76" s="5">
        <v>90722</v>
      </c>
      <c r="B76" s="5" t="s">
        <v>14845</v>
      </c>
      <c r="C76" s="5">
        <v>573213335580</v>
      </c>
      <c r="D76" s="5" t="s">
        <v>14846</v>
      </c>
      <c r="E76" s="5" t="s">
        <v>4714</v>
      </c>
      <c r="F76" s="5" t="s">
        <v>2880</v>
      </c>
      <c r="G76" s="5" t="s">
        <v>4712</v>
      </c>
      <c r="H76" s="5" t="s">
        <v>4713</v>
      </c>
      <c r="I76" s="5">
        <v>3005468586</v>
      </c>
      <c r="J76" s="12">
        <v>46021</v>
      </c>
      <c r="K76" s="11">
        <v>0.41666666666787933</v>
      </c>
      <c r="M76" s="10" t="s">
        <v>14734</v>
      </c>
      <c r="N76" s="12">
        <v>46020.578445416671</v>
      </c>
      <c r="O76" s="10" t="s">
        <v>14847</v>
      </c>
      <c r="P76" s="5" t="s">
        <v>14571</v>
      </c>
      <c r="Q76" s="5" t="s">
        <v>14572</v>
      </c>
      <c r="R76" s="5" t="s">
        <v>14848</v>
      </c>
      <c r="T76" s="5" t="s">
        <v>5994</v>
      </c>
      <c r="U76" s="5" t="s">
        <v>14691</v>
      </c>
      <c r="V76" s="5" t="s">
        <v>83</v>
      </c>
      <c r="W76" s="5" t="s">
        <v>4716</v>
      </c>
    </row>
    <row r="77" spans="1:23" ht="12.5">
      <c r="A77" s="5">
        <v>90721</v>
      </c>
      <c r="B77" s="5" t="s">
        <v>14849</v>
      </c>
      <c r="C77" s="5">
        <v>573182803558</v>
      </c>
      <c r="D77" s="5">
        <v>46</v>
      </c>
      <c r="E77" s="5" t="s">
        <v>2275</v>
      </c>
      <c r="F77" s="5" t="s">
        <v>185</v>
      </c>
      <c r="G77" s="5" t="s">
        <v>4707</v>
      </c>
      <c r="H77" s="5" t="s">
        <v>4708</v>
      </c>
      <c r="I77" s="5">
        <v>3014145861</v>
      </c>
      <c r="J77" s="12">
        <v>46020</v>
      </c>
      <c r="K77" s="11">
        <v>0.625</v>
      </c>
      <c r="M77" s="10" t="s">
        <v>14850</v>
      </c>
      <c r="N77" s="12">
        <v>46020.566726053235</v>
      </c>
      <c r="O77" s="10" t="s">
        <v>14727</v>
      </c>
      <c r="P77" s="5" t="s">
        <v>14571</v>
      </c>
      <c r="Q77" s="5" t="s">
        <v>14572</v>
      </c>
      <c r="R77" s="5" t="s">
        <v>14851</v>
      </c>
      <c r="T77" s="5" t="s">
        <v>5994</v>
      </c>
      <c r="U77" s="5" t="s">
        <v>14580</v>
      </c>
      <c r="V77" s="5" t="s">
        <v>2636</v>
      </c>
    </row>
    <row r="78" spans="1:23" ht="12.5">
      <c r="A78" s="5">
        <v>90720</v>
      </c>
      <c r="B78" s="5" t="s">
        <v>14852</v>
      </c>
      <c r="C78" s="5">
        <v>573006836554</v>
      </c>
      <c r="D78" s="5">
        <v>62</v>
      </c>
      <c r="E78" s="5" t="s">
        <v>2586</v>
      </c>
      <c r="F78" s="5" t="s">
        <v>1006</v>
      </c>
      <c r="G78" s="5" t="s">
        <v>4701</v>
      </c>
      <c r="H78" s="5" t="s">
        <v>4702</v>
      </c>
      <c r="I78" s="5">
        <v>3006836554</v>
      </c>
      <c r="J78" s="12">
        <v>46022</v>
      </c>
      <c r="K78" s="11">
        <v>0.625</v>
      </c>
      <c r="M78" s="10" t="s">
        <v>14853</v>
      </c>
      <c r="N78" s="12">
        <v>46020.480165347224</v>
      </c>
      <c r="O78" s="10" t="s">
        <v>14854</v>
      </c>
      <c r="P78" s="5" t="s">
        <v>14571</v>
      </c>
      <c r="Q78" s="5" t="s">
        <v>14699</v>
      </c>
      <c r="R78" s="5" t="s">
        <v>14855</v>
      </c>
      <c r="T78" s="5" t="s">
        <v>5994</v>
      </c>
      <c r="U78" s="5"/>
      <c r="V78" s="5" t="s">
        <v>180</v>
      </c>
    </row>
    <row r="79" spans="1:23" ht="12.5">
      <c r="A79" s="5">
        <v>90719</v>
      </c>
      <c r="B79" s="5" t="s">
        <v>14856</v>
      </c>
      <c r="C79" s="5">
        <v>573107272834</v>
      </c>
      <c r="D79" s="5">
        <v>29</v>
      </c>
      <c r="E79" s="5" t="s">
        <v>309</v>
      </c>
      <c r="F79" s="5" t="s">
        <v>249</v>
      </c>
      <c r="G79" s="5" t="s">
        <v>4696</v>
      </c>
      <c r="H79" s="5" t="s">
        <v>4697</v>
      </c>
      <c r="I79" s="5">
        <v>3107272835</v>
      </c>
      <c r="J79" s="12">
        <v>46020</v>
      </c>
      <c r="K79" s="11">
        <v>0.625</v>
      </c>
      <c r="M79" s="10" t="s">
        <v>14627</v>
      </c>
      <c r="N79" s="12">
        <v>46020.527721412036</v>
      </c>
      <c r="O79" s="10" t="s">
        <v>14628</v>
      </c>
      <c r="P79" s="5" t="s">
        <v>14571</v>
      </c>
      <c r="Q79" s="5" t="s">
        <v>14578</v>
      </c>
      <c r="R79" s="5" t="s">
        <v>14857</v>
      </c>
      <c r="T79" s="5" t="s">
        <v>5994</v>
      </c>
      <c r="U79" s="5" t="s">
        <v>14593</v>
      </c>
      <c r="V79" s="5" t="s">
        <v>83</v>
      </c>
    </row>
    <row r="80" spans="1:23" ht="12.5">
      <c r="A80" s="5">
        <v>90718</v>
      </c>
      <c r="B80" s="5" t="s">
        <v>14856</v>
      </c>
      <c r="C80" s="10" t="s">
        <v>14858</v>
      </c>
      <c r="D80" s="5">
        <v>52</v>
      </c>
      <c r="E80" s="5" t="s">
        <v>178</v>
      </c>
      <c r="F80" s="5" t="s">
        <v>161</v>
      </c>
      <c r="G80" s="5" t="s">
        <v>4692</v>
      </c>
      <c r="H80" s="5" t="s">
        <v>4693</v>
      </c>
      <c r="I80" s="5">
        <v>3107272835</v>
      </c>
      <c r="J80" s="12">
        <v>46020</v>
      </c>
      <c r="K80" s="11">
        <v>0.625</v>
      </c>
      <c r="M80" s="10" t="s">
        <v>14859</v>
      </c>
      <c r="N80" s="12">
        <v>46020</v>
      </c>
      <c r="O80" s="10" t="s">
        <v>14860</v>
      </c>
      <c r="P80" s="5" t="s">
        <v>14571</v>
      </c>
      <c r="Q80" s="5" t="s">
        <v>14572</v>
      </c>
      <c r="R80" s="5" t="s">
        <v>14861</v>
      </c>
      <c r="T80" s="5" t="s">
        <v>5994</v>
      </c>
      <c r="U80" s="5" t="s">
        <v>14593</v>
      </c>
      <c r="V80" s="5" t="s">
        <v>83</v>
      </c>
    </row>
    <row r="81" spans="1:23" ht="12.5">
      <c r="A81" s="5">
        <v>90717</v>
      </c>
      <c r="B81" s="5" t="s">
        <v>14862</v>
      </c>
      <c r="C81" s="5">
        <v>573045710986</v>
      </c>
      <c r="D81" s="5">
        <v>95</v>
      </c>
      <c r="E81" s="5" t="s">
        <v>42</v>
      </c>
      <c r="F81" s="5" t="s">
        <v>103</v>
      </c>
      <c r="G81" s="5" t="s">
        <v>4685</v>
      </c>
      <c r="H81" s="5" t="s">
        <v>4687</v>
      </c>
      <c r="I81" s="5" t="s">
        <v>4688</v>
      </c>
      <c r="J81" s="12">
        <v>46020</v>
      </c>
      <c r="K81" s="11">
        <v>0</v>
      </c>
      <c r="M81" s="10" t="s">
        <v>14863</v>
      </c>
      <c r="N81" s="12">
        <v>46020.518236585645</v>
      </c>
      <c r="O81" s="10" t="s">
        <v>14864</v>
      </c>
      <c r="P81" s="5" t="s">
        <v>14571</v>
      </c>
      <c r="Q81" s="5" t="s">
        <v>14572</v>
      </c>
      <c r="R81" s="5" t="s">
        <v>14865</v>
      </c>
      <c r="T81" s="5" t="s">
        <v>5994</v>
      </c>
      <c r="U81" s="5" t="s">
        <v>14593</v>
      </c>
      <c r="V81" s="5" t="s">
        <v>180</v>
      </c>
      <c r="W81" s="5" t="s">
        <v>4689</v>
      </c>
    </row>
    <row r="82" spans="1:23" ht="12.5">
      <c r="A82" s="5">
        <v>90716</v>
      </c>
      <c r="B82" s="5" t="s">
        <v>4684</v>
      </c>
      <c r="C82" s="5">
        <v>57000</v>
      </c>
      <c r="D82" s="5">
        <v>95</v>
      </c>
      <c r="E82" s="5" t="s">
        <v>42</v>
      </c>
      <c r="F82" s="5" t="s">
        <v>33</v>
      </c>
      <c r="G82" s="5" t="s">
        <v>4684</v>
      </c>
      <c r="H82" s="5" t="s">
        <v>34</v>
      </c>
      <c r="I82" s="10" t="s">
        <v>2686</v>
      </c>
      <c r="J82" s="12">
        <v>46020</v>
      </c>
      <c r="K82" s="11">
        <v>0</v>
      </c>
      <c r="M82" s="10" t="s">
        <v>14866</v>
      </c>
      <c r="N82" s="12">
        <v>46020.501425810187</v>
      </c>
      <c r="O82" s="10" t="s">
        <v>14867</v>
      </c>
      <c r="P82" s="5" t="s">
        <v>14571</v>
      </c>
      <c r="Q82" s="5" t="s">
        <v>14578</v>
      </c>
      <c r="R82" s="5" t="s">
        <v>14868</v>
      </c>
      <c r="T82" s="5" t="s">
        <v>14574</v>
      </c>
      <c r="U82" s="5" t="s">
        <v>33</v>
      </c>
      <c r="V82" s="5" t="s">
        <v>2636</v>
      </c>
      <c r="W82" s="5" t="s">
        <v>1286</v>
      </c>
    </row>
    <row r="83" spans="1:23" ht="12.5">
      <c r="A83" s="5">
        <v>90715</v>
      </c>
      <c r="B83" s="5" t="s">
        <v>14869</v>
      </c>
      <c r="C83" s="5">
        <v>573208162910</v>
      </c>
      <c r="D83" s="5">
        <v>39</v>
      </c>
      <c r="E83" s="5" t="s">
        <v>96</v>
      </c>
      <c r="F83" s="5" t="s">
        <v>1677</v>
      </c>
      <c r="G83" s="5" t="s">
        <v>4677</v>
      </c>
      <c r="H83" s="5" t="s">
        <v>4678</v>
      </c>
      <c r="I83" s="5"/>
      <c r="J83" s="12">
        <v>46020</v>
      </c>
      <c r="K83" s="11">
        <v>0.58333333333212067</v>
      </c>
      <c r="M83" s="10" t="s">
        <v>14870</v>
      </c>
      <c r="N83" s="12">
        <v>46020.372476168981</v>
      </c>
      <c r="O83" s="10" t="s">
        <v>14752</v>
      </c>
      <c r="P83" s="5" t="s">
        <v>14571</v>
      </c>
      <c r="Q83" s="5" t="s">
        <v>14572</v>
      </c>
      <c r="R83" s="5" t="s">
        <v>14871</v>
      </c>
      <c r="T83" s="5" t="s">
        <v>5994</v>
      </c>
      <c r="U83" s="5" t="s">
        <v>14580</v>
      </c>
      <c r="V83" s="5" t="s">
        <v>67</v>
      </c>
      <c r="W83" s="5" t="s">
        <v>4681</v>
      </c>
    </row>
    <row r="84" spans="1:23" ht="12.5">
      <c r="A84" s="5">
        <v>90714</v>
      </c>
      <c r="B84" s="5" t="s">
        <v>14872</v>
      </c>
      <c r="C84" s="5">
        <v>573002627762</v>
      </c>
      <c r="D84" s="5">
        <v>95</v>
      </c>
      <c r="E84" s="5" t="s">
        <v>42</v>
      </c>
      <c r="F84" s="5" t="s">
        <v>33</v>
      </c>
      <c r="G84" s="5" t="s">
        <v>4674</v>
      </c>
      <c r="H84" s="5" t="s">
        <v>34</v>
      </c>
      <c r="I84" s="5"/>
      <c r="J84" s="12">
        <v>46020</v>
      </c>
      <c r="K84" s="11">
        <v>0</v>
      </c>
      <c r="M84" s="10" t="s">
        <v>14873</v>
      </c>
      <c r="N84" s="12">
        <v>46020.489306770833</v>
      </c>
      <c r="O84" s="10" t="s">
        <v>14874</v>
      </c>
      <c r="P84" s="5" t="s">
        <v>14571</v>
      </c>
      <c r="Q84" s="5" t="s">
        <v>14578</v>
      </c>
      <c r="R84" s="5" t="s">
        <v>14875</v>
      </c>
      <c r="T84" s="5" t="s">
        <v>14574</v>
      </c>
      <c r="U84" s="5" t="s">
        <v>33</v>
      </c>
      <c r="V84" s="5" t="s">
        <v>43</v>
      </c>
      <c r="W84" s="5" t="s">
        <v>4675</v>
      </c>
    </row>
    <row r="85" spans="1:23" ht="12.5">
      <c r="A85" s="5">
        <v>90713</v>
      </c>
      <c r="B85" s="5" t="s">
        <v>14876</v>
      </c>
      <c r="C85" s="5">
        <v>573188833795</v>
      </c>
      <c r="D85" s="5">
        <v>5</v>
      </c>
      <c r="E85" s="5" t="s">
        <v>3111</v>
      </c>
      <c r="F85" s="5" t="s">
        <v>154</v>
      </c>
      <c r="G85" s="5" t="s">
        <v>4670</v>
      </c>
      <c r="H85" s="5" t="s">
        <v>4671</v>
      </c>
      <c r="J85" s="12">
        <v>46020</v>
      </c>
      <c r="K85" s="11">
        <v>0.58333333333212067</v>
      </c>
      <c r="M85" s="10" t="s">
        <v>14853</v>
      </c>
      <c r="N85" s="12">
        <v>46020.475867152782</v>
      </c>
      <c r="O85" s="10" t="s">
        <v>14877</v>
      </c>
      <c r="P85" s="5" t="s">
        <v>14571</v>
      </c>
      <c r="Q85" s="5" t="s">
        <v>14572</v>
      </c>
      <c r="R85" s="5" t="s">
        <v>14878</v>
      </c>
      <c r="T85" s="5" t="s">
        <v>5994</v>
      </c>
      <c r="U85" s="5" t="s">
        <v>14593</v>
      </c>
      <c r="V85" s="5" t="s">
        <v>1481</v>
      </c>
    </row>
    <row r="86" spans="1:23" ht="12.5">
      <c r="A86" s="5">
        <v>90712</v>
      </c>
      <c r="B86" s="5" t="s">
        <v>14879</v>
      </c>
      <c r="C86" s="10" t="s">
        <v>14880</v>
      </c>
      <c r="D86" s="5">
        <v>32</v>
      </c>
      <c r="E86" s="5" t="s">
        <v>65</v>
      </c>
      <c r="F86" s="5" t="s">
        <v>124</v>
      </c>
      <c r="G86" s="5" t="s">
        <v>4665</v>
      </c>
      <c r="H86" s="5" t="s">
        <v>4667</v>
      </c>
      <c r="I86" s="5">
        <v>3022820261</v>
      </c>
      <c r="J86" s="12">
        <v>46020</v>
      </c>
      <c r="K86" s="11">
        <v>0.58333333333333337</v>
      </c>
      <c r="M86" s="10" t="s">
        <v>14881</v>
      </c>
      <c r="N86" s="12">
        <v>46020</v>
      </c>
      <c r="O86" s="10" t="s">
        <v>14882</v>
      </c>
      <c r="P86" s="5" t="s">
        <v>14571</v>
      </c>
      <c r="Q86" s="5" t="s">
        <v>14578</v>
      </c>
      <c r="R86" s="5" t="s">
        <v>14883</v>
      </c>
      <c r="T86" s="5" t="s">
        <v>5994</v>
      </c>
      <c r="U86" s="5" t="s">
        <v>14775</v>
      </c>
      <c r="V86" s="5" t="s">
        <v>83</v>
      </c>
    </row>
    <row r="87" spans="1:23" ht="12.5">
      <c r="A87" s="5">
        <v>90711</v>
      </c>
      <c r="B87" s="5" t="s">
        <v>14884</v>
      </c>
      <c r="C87" s="5">
        <v>573186670707</v>
      </c>
      <c r="D87" s="5">
        <v>66</v>
      </c>
      <c r="E87" s="5" t="s">
        <v>576</v>
      </c>
      <c r="F87" s="5" t="s">
        <v>154</v>
      </c>
      <c r="G87" s="5" t="s">
        <v>4662</v>
      </c>
      <c r="H87" s="5" t="s">
        <v>4663</v>
      </c>
      <c r="I87" s="5">
        <v>3147156623</v>
      </c>
      <c r="J87" s="12">
        <v>46020</v>
      </c>
      <c r="K87" s="11">
        <v>0.58333333333212067</v>
      </c>
      <c r="M87" s="10" t="s">
        <v>14885</v>
      </c>
      <c r="N87" s="12">
        <v>46020.457083831017</v>
      </c>
      <c r="O87" s="10" t="s">
        <v>14886</v>
      </c>
      <c r="P87" s="5" t="s">
        <v>14571</v>
      </c>
      <c r="Q87" s="5" t="s">
        <v>14578</v>
      </c>
      <c r="R87" s="5" t="s">
        <v>14887</v>
      </c>
      <c r="T87" s="5" t="s">
        <v>5994</v>
      </c>
      <c r="U87" s="5" t="s">
        <v>14593</v>
      </c>
      <c r="V87" s="5" t="s">
        <v>83</v>
      </c>
    </row>
    <row r="88" spans="1:23" ht="12.5">
      <c r="A88" s="5">
        <v>90710</v>
      </c>
      <c r="B88" s="5" t="s">
        <v>14888</v>
      </c>
      <c r="C88" s="10" t="s">
        <v>14889</v>
      </c>
      <c r="D88" s="5" t="s">
        <v>14589</v>
      </c>
      <c r="E88" s="5" t="s">
        <v>4658</v>
      </c>
      <c r="F88" s="5" t="s">
        <v>185</v>
      </c>
      <c r="G88" s="5" t="s">
        <v>4656</v>
      </c>
      <c r="H88" s="5" t="s">
        <v>4657</v>
      </c>
      <c r="J88" s="12">
        <v>46020</v>
      </c>
      <c r="K88" s="11">
        <v>0.58333333333333337</v>
      </c>
      <c r="M88" s="10" t="s">
        <v>14890</v>
      </c>
      <c r="N88" s="12">
        <v>46020</v>
      </c>
      <c r="O88" s="10" t="s">
        <v>14891</v>
      </c>
      <c r="P88" s="5" t="s">
        <v>14571</v>
      </c>
      <c r="Q88" s="5" t="s">
        <v>14572</v>
      </c>
      <c r="R88" s="5" t="s">
        <v>14892</v>
      </c>
      <c r="T88" s="5" t="s">
        <v>5994</v>
      </c>
      <c r="U88" s="5" t="s">
        <v>14580</v>
      </c>
      <c r="V88" s="5" t="s">
        <v>1937</v>
      </c>
      <c r="W88" s="5" t="s">
        <v>4660</v>
      </c>
    </row>
    <row r="89" spans="1:23" ht="12.5">
      <c r="A89" s="5">
        <v>90709</v>
      </c>
      <c r="B89" s="5" t="s">
        <v>3580</v>
      </c>
      <c r="C89" s="5">
        <v>573003182878</v>
      </c>
      <c r="D89" s="5" t="s">
        <v>14589</v>
      </c>
      <c r="E89" s="5" t="s">
        <v>4652</v>
      </c>
      <c r="G89" s="5" t="s">
        <v>3580</v>
      </c>
      <c r="H89" s="5" t="s">
        <v>4651</v>
      </c>
      <c r="I89" s="5">
        <v>3003182878</v>
      </c>
      <c r="J89" s="12">
        <v>46021</v>
      </c>
      <c r="K89" s="11">
        <v>0.41666666666787933</v>
      </c>
      <c r="M89" s="10" t="s">
        <v>2686</v>
      </c>
      <c r="N89" s="12">
        <v>46020.431373773143</v>
      </c>
      <c r="O89" s="10" t="s">
        <v>14893</v>
      </c>
      <c r="P89" s="5" t="s">
        <v>14571</v>
      </c>
      <c r="Q89" s="5" t="s">
        <v>14572</v>
      </c>
      <c r="R89" s="5" t="s">
        <v>14894</v>
      </c>
      <c r="T89" s="5" t="s">
        <v>5994</v>
      </c>
      <c r="V89" s="5" t="s">
        <v>2317</v>
      </c>
      <c r="W89" s="5" t="s">
        <v>4653</v>
      </c>
    </row>
    <row r="90" spans="1:23" ht="12.5">
      <c r="A90" s="5">
        <v>90708</v>
      </c>
      <c r="B90" s="5" t="s">
        <v>14895</v>
      </c>
      <c r="C90" s="5">
        <v>573173694439</v>
      </c>
      <c r="D90" s="5">
        <v>62</v>
      </c>
      <c r="E90" s="5" t="s">
        <v>2586</v>
      </c>
      <c r="F90" s="5" t="s">
        <v>185</v>
      </c>
      <c r="G90" s="5" t="s">
        <v>4647</v>
      </c>
      <c r="H90" s="5" t="s">
        <v>4648</v>
      </c>
      <c r="I90" s="5">
        <v>3215017309</v>
      </c>
      <c r="J90" s="12">
        <v>46020</v>
      </c>
      <c r="K90" s="11">
        <v>0.4375</v>
      </c>
      <c r="M90" s="10" t="s">
        <v>14657</v>
      </c>
      <c r="N90" s="12">
        <v>46020.398663067128</v>
      </c>
      <c r="O90" s="10" t="s">
        <v>14896</v>
      </c>
      <c r="P90" s="5" t="s">
        <v>14571</v>
      </c>
      <c r="Q90" s="5" t="s">
        <v>14572</v>
      </c>
      <c r="R90" s="5" t="s">
        <v>14897</v>
      </c>
      <c r="T90" s="5" t="s">
        <v>5994</v>
      </c>
      <c r="U90" s="5" t="s">
        <v>14580</v>
      </c>
      <c r="V90" s="5" t="s">
        <v>83</v>
      </c>
    </row>
    <row r="91" spans="1:23" ht="12.5">
      <c r="A91" s="5">
        <v>90707</v>
      </c>
      <c r="B91" s="5" t="s">
        <v>14898</v>
      </c>
      <c r="C91" s="5">
        <v>573013645460</v>
      </c>
      <c r="D91" s="5">
        <v>70</v>
      </c>
      <c r="E91" s="5" t="s">
        <v>559</v>
      </c>
      <c r="F91" s="5" t="s">
        <v>87</v>
      </c>
      <c r="G91" s="5" t="s">
        <v>4641</v>
      </c>
      <c r="H91" s="5" t="s">
        <v>4642</v>
      </c>
      <c r="I91" s="5"/>
      <c r="J91" s="12">
        <v>46020</v>
      </c>
      <c r="K91" s="11">
        <v>0.45833333333212067</v>
      </c>
      <c r="M91" s="10" t="s">
        <v>14899</v>
      </c>
      <c r="N91" s="12">
        <v>46020.395946736113</v>
      </c>
      <c r="O91" s="10" t="s">
        <v>14900</v>
      </c>
      <c r="P91" s="5" t="s">
        <v>14571</v>
      </c>
      <c r="Q91" s="5" t="s">
        <v>14578</v>
      </c>
      <c r="R91" s="5" t="s">
        <v>14901</v>
      </c>
      <c r="T91" s="5" t="s">
        <v>5994</v>
      </c>
      <c r="U91" s="5" t="s">
        <v>14580</v>
      </c>
      <c r="V91" s="5" t="s">
        <v>180</v>
      </c>
      <c r="W91" s="5" t="s">
        <v>4644</v>
      </c>
    </row>
    <row r="92" spans="1:23" ht="12.5">
      <c r="A92" s="5">
        <v>90706</v>
      </c>
      <c r="B92" s="5" t="s">
        <v>14902</v>
      </c>
      <c r="C92" s="5">
        <v>573215408807</v>
      </c>
      <c r="D92" s="5">
        <v>3</v>
      </c>
      <c r="E92" s="5" t="s">
        <v>3248</v>
      </c>
      <c r="F92" s="5" t="s">
        <v>73</v>
      </c>
      <c r="G92" s="5" t="s">
        <v>4635</v>
      </c>
      <c r="H92" s="5" t="s">
        <v>4636</v>
      </c>
      <c r="I92" s="5">
        <v>3215408807</v>
      </c>
      <c r="J92" s="12">
        <v>46020</v>
      </c>
      <c r="K92" s="11">
        <v>0.45833333333212067</v>
      </c>
      <c r="M92" s="10" t="s">
        <v>14903</v>
      </c>
      <c r="N92" s="12">
        <v>46020.361183472225</v>
      </c>
      <c r="O92" s="10" t="s">
        <v>14904</v>
      </c>
      <c r="P92" s="5" t="s">
        <v>14571</v>
      </c>
      <c r="Q92" s="5" t="s">
        <v>14572</v>
      </c>
      <c r="R92" s="5" t="s">
        <v>14905</v>
      </c>
      <c r="T92" s="5" t="s">
        <v>5994</v>
      </c>
      <c r="U92" s="5" t="s">
        <v>14593</v>
      </c>
      <c r="V92" s="5" t="s">
        <v>67</v>
      </c>
    </row>
    <row r="93" spans="1:23" ht="12.5">
      <c r="A93" s="5">
        <v>90705</v>
      </c>
      <c r="B93" s="5" t="s">
        <v>4634</v>
      </c>
      <c r="C93" s="10" t="s">
        <v>14906</v>
      </c>
      <c r="D93" s="5">
        <v>32</v>
      </c>
      <c r="E93" s="5" t="s">
        <v>65</v>
      </c>
      <c r="F93" s="5" t="s">
        <v>1006</v>
      </c>
      <c r="G93" s="5" t="s">
        <v>4631</v>
      </c>
      <c r="H93" s="5" t="s">
        <v>4632</v>
      </c>
      <c r="I93" s="5"/>
      <c r="J93" s="12">
        <v>46020</v>
      </c>
      <c r="K93" s="11">
        <v>0.41666666666666669</v>
      </c>
      <c r="M93" s="10" t="s">
        <v>14850</v>
      </c>
      <c r="N93" s="12">
        <v>46020</v>
      </c>
      <c r="O93" s="10" t="s">
        <v>14907</v>
      </c>
      <c r="P93" s="5" t="s">
        <v>14571</v>
      </c>
      <c r="Q93" s="5" t="s">
        <v>14572</v>
      </c>
      <c r="R93" s="5" t="s">
        <v>14908</v>
      </c>
      <c r="T93" s="5" t="s">
        <v>5994</v>
      </c>
      <c r="U93" s="5"/>
      <c r="V93" s="5" t="s">
        <v>67</v>
      </c>
    </row>
    <row r="94" spans="1:23" ht="12.5">
      <c r="A94" s="5">
        <v>90704</v>
      </c>
      <c r="B94" s="5" t="s">
        <v>14909</v>
      </c>
      <c r="C94" s="5">
        <v>573107131591</v>
      </c>
      <c r="D94" s="5">
        <v>46</v>
      </c>
      <c r="E94" s="5" t="s">
        <v>1126</v>
      </c>
      <c r="F94" s="5" t="s">
        <v>33</v>
      </c>
      <c r="G94" s="5" t="s">
        <v>4626</v>
      </c>
      <c r="H94" s="5" t="s">
        <v>4627</v>
      </c>
      <c r="I94" s="5">
        <v>3107131591</v>
      </c>
      <c r="J94" s="12">
        <v>46020</v>
      </c>
      <c r="K94" s="11">
        <v>0.41666666666787933</v>
      </c>
      <c r="M94" s="10" t="s">
        <v>14910</v>
      </c>
      <c r="N94" s="12">
        <v>46018.815856828704</v>
      </c>
      <c r="O94" s="10" t="s">
        <v>14911</v>
      </c>
      <c r="P94" s="5" t="s">
        <v>14571</v>
      </c>
      <c r="Q94" s="5" t="s">
        <v>14612</v>
      </c>
      <c r="R94" s="5" t="s">
        <v>14912</v>
      </c>
      <c r="T94" s="5" t="s">
        <v>14574</v>
      </c>
      <c r="U94" s="5" t="s">
        <v>33</v>
      </c>
      <c r="V94" s="5" t="s">
        <v>67</v>
      </c>
    </row>
    <row r="95" spans="1:23" ht="12.5">
      <c r="A95" s="5">
        <v>90703</v>
      </c>
      <c r="B95" s="5" t="s">
        <v>14913</v>
      </c>
      <c r="C95" s="5">
        <v>570000</v>
      </c>
      <c r="D95" s="5">
        <v>95</v>
      </c>
      <c r="E95" s="5" t="s">
        <v>42</v>
      </c>
      <c r="F95" s="5" t="s">
        <v>33</v>
      </c>
      <c r="G95" s="5">
        <v>0</v>
      </c>
      <c r="H95" s="5" t="s">
        <v>34</v>
      </c>
      <c r="J95" s="12">
        <v>46018</v>
      </c>
      <c r="K95" s="11">
        <v>0</v>
      </c>
      <c r="M95" s="10" t="s">
        <v>14863</v>
      </c>
      <c r="N95" s="12">
        <v>46018.7006453125</v>
      </c>
      <c r="O95" s="10" t="s">
        <v>14914</v>
      </c>
      <c r="P95" s="5" t="s">
        <v>14571</v>
      </c>
      <c r="Q95" s="5" t="s">
        <v>14572</v>
      </c>
      <c r="R95" s="5" t="s">
        <v>14915</v>
      </c>
      <c r="T95" s="5" t="s">
        <v>14574</v>
      </c>
      <c r="U95" s="5" t="s">
        <v>33</v>
      </c>
      <c r="V95" s="5" t="s">
        <v>196</v>
      </c>
      <c r="W95" s="5" t="s">
        <v>1286</v>
      </c>
    </row>
    <row r="96" spans="1:23" ht="12.5">
      <c r="A96" s="5">
        <v>90702</v>
      </c>
      <c r="B96" s="5" t="s">
        <v>14916</v>
      </c>
      <c r="C96" s="10" t="s">
        <v>14917</v>
      </c>
      <c r="D96" s="5">
        <v>95</v>
      </c>
      <c r="E96" s="5" t="s">
        <v>42</v>
      </c>
      <c r="F96" s="5" t="s">
        <v>33</v>
      </c>
      <c r="G96" s="5" t="s">
        <v>1231</v>
      </c>
      <c r="H96" s="5" t="s">
        <v>34</v>
      </c>
      <c r="I96" s="5">
        <v>3007682024</v>
      </c>
      <c r="J96" s="12">
        <v>46018</v>
      </c>
      <c r="K96" s="11">
        <v>0</v>
      </c>
      <c r="M96" s="10" t="s">
        <v>2686</v>
      </c>
      <c r="N96" s="12">
        <v>46018</v>
      </c>
      <c r="O96" s="10" t="s">
        <v>14918</v>
      </c>
      <c r="P96" s="5" t="s">
        <v>14571</v>
      </c>
      <c r="Q96" s="5" t="s">
        <v>14578</v>
      </c>
      <c r="R96" s="5" t="s">
        <v>14919</v>
      </c>
      <c r="T96" s="5" t="s">
        <v>14574</v>
      </c>
      <c r="U96" s="5" t="s">
        <v>33</v>
      </c>
      <c r="V96" s="5" t="s">
        <v>43</v>
      </c>
      <c r="W96" s="5" t="s">
        <v>4622</v>
      </c>
    </row>
    <row r="97" spans="1:23" ht="12.5">
      <c r="A97" s="5">
        <v>90701</v>
      </c>
      <c r="B97" s="5" t="s">
        <v>4621</v>
      </c>
      <c r="C97" s="10" t="s">
        <v>14799</v>
      </c>
      <c r="D97" s="5">
        <v>95</v>
      </c>
      <c r="E97" s="5" t="s">
        <v>42</v>
      </c>
      <c r="F97" s="5" t="s">
        <v>33</v>
      </c>
      <c r="G97" s="5" t="s">
        <v>4621</v>
      </c>
      <c r="H97" s="5" t="s">
        <v>34</v>
      </c>
      <c r="I97" s="10" t="s">
        <v>2686</v>
      </c>
      <c r="J97" s="12">
        <v>46018</v>
      </c>
      <c r="K97" s="11">
        <v>0</v>
      </c>
      <c r="M97" s="10" t="s">
        <v>14873</v>
      </c>
      <c r="N97" s="12">
        <v>46018</v>
      </c>
      <c r="O97" s="10" t="s">
        <v>14920</v>
      </c>
      <c r="P97" s="5" t="s">
        <v>14571</v>
      </c>
      <c r="Q97" s="5" t="s">
        <v>14572</v>
      </c>
      <c r="R97" s="5" t="s">
        <v>14921</v>
      </c>
      <c r="T97" s="5" t="s">
        <v>14574</v>
      </c>
      <c r="U97" s="5" t="s">
        <v>33</v>
      </c>
      <c r="V97" s="5" t="s">
        <v>196</v>
      </c>
      <c r="W97" s="5" t="s">
        <v>525</v>
      </c>
    </row>
    <row r="98" spans="1:23" ht="12.5">
      <c r="A98" s="5">
        <v>90700</v>
      </c>
      <c r="B98" s="5" t="s">
        <v>4619</v>
      </c>
      <c r="C98" s="10" t="s">
        <v>14922</v>
      </c>
      <c r="D98" s="5">
        <v>95</v>
      </c>
      <c r="E98" s="5" t="s">
        <v>42</v>
      </c>
      <c r="F98" s="5" t="s">
        <v>33</v>
      </c>
      <c r="G98" s="5" t="s">
        <v>4619</v>
      </c>
      <c r="H98" s="5" t="s">
        <v>34</v>
      </c>
      <c r="I98" s="5">
        <v>4636715</v>
      </c>
      <c r="J98" s="12">
        <v>46018</v>
      </c>
      <c r="K98" s="11">
        <v>0</v>
      </c>
      <c r="M98" s="10" t="s">
        <v>14923</v>
      </c>
      <c r="N98" s="12">
        <v>46018</v>
      </c>
      <c r="O98" s="10" t="s">
        <v>14924</v>
      </c>
      <c r="P98" s="5" t="s">
        <v>14571</v>
      </c>
      <c r="Q98" s="5" t="s">
        <v>14578</v>
      </c>
      <c r="R98" s="5" t="s">
        <v>14925</v>
      </c>
      <c r="T98" s="5" t="s">
        <v>14574</v>
      </c>
      <c r="U98" s="5" t="s">
        <v>33</v>
      </c>
      <c r="V98" s="5" t="s">
        <v>1481</v>
      </c>
      <c r="W98" s="5" t="s">
        <v>120</v>
      </c>
    </row>
    <row r="99" spans="1:23" ht="12.5">
      <c r="A99" s="5">
        <v>90699</v>
      </c>
      <c r="B99" s="5" t="s">
        <v>14926</v>
      </c>
      <c r="C99" s="5">
        <v>573155252368</v>
      </c>
      <c r="D99" s="5">
        <v>17</v>
      </c>
      <c r="E99" s="5" t="s">
        <v>4616</v>
      </c>
      <c r="F99" s="5" t="s">
        <v>1047</v>
      </c>
      <c r="G99" s="5" t="s">
        <v>4614</v>
      </c>
      <c r="H99" s="5" t="s">
        <v>4615</v>
      </c>
      <c r="I99" s="5">
        <v>3155252368</v>
      </c>
      <c r="J99" s="12">
        <v>46018</v>
      </c>
      <c r="K99" s="11">
        <v>0</v>
      </c>
      <c r="M99" s="10" t="s">
        <v>14927</v>
      </c>
      <c r="N99" s="12">
        <v>46018.678903101856</v>
      </c>
      <c r="O99" s="10" t="s">
        <v>14928</v>
      </c>
      <c r="P99" s="5" t="s">
        <v>14571</v>
      </c>
      <c r="Q99" s="5" t="s">
        <v>14572</v>
      </c>
      <c r="R99" s="5" t="s">
        <v>14929</v>
      </c>
      <c r="T99" s="5" t="s">
        <v>5994</v>
      </c>
      <c r="U99" s="5" t="s">
        <v>14580</v>
      </c>
      <c r="V99" s="5" t="s">
        <v>83</v>
      </c>
    </row>
    <row r="100" spans="1:23" ht="12.5">
      <c r="A100" s="5">
        <v>90698</v>
      </c>
      <c r="B100" s="5" t="s">
        <v>4611</v>
      </c>
      <c r="C100" s="10" t="s">
        <v>14930</v>
      </c>
      <c r="D100" s="5">
        <v>41</v>
      </c>
      <c r="E100" s="5" t="s">
        <v>89</v>
      </c>
      <c r="F100" s="5" t="s">
        <v>33</v>
      </c>
      <c r="G100" s="5" t="s">
        <v>4611</v>
      </c>
      <c r="H100" s="5" t="s">
        <v>34</v>
      </c>
      <c r="I100" s="5">
        <v>3016260061</v>
      </c>
      <c r="J100" s="12">
        <v>46018</v>
      </c>
      <c r="K100" s="11">
        <v>0</v>
      </c>
      <c r="M100" s="10" t="s">
        <v>14646</v>
      </c>
      <c r="N100" s="12">
        <v>46018</v>
      </c>
      <c r="O100" s="10" t="s">
        <v>14931</v>
      </c>
      <c r="P100" s="5" t="s">
        <v>14571</v>
      </c>
      <c r="Q100" s="5" t="s">
        <v>14578</v>
      </c>
      <c r="R100" s="5" t="s">
        <v>14932</v>
      </c>
      <c r="T100" s="5" t="s">
        <v>14574</v>
      </c>
      <c r="U100" s="5" t="s">
        <v>33</v>
      </c>
      <c r="V100" s="5" t="s">
        <v>1481</v>
      </c>
    </row>
    <row r="101" spans="1:23" ht="12.5">
      <c r="A101" s="5">
        <v>90697</v>
      </c>
      <c r="B101" s="5" t="s">
        <v>14933</v>
      </c>
      <c r="C101" s="10" t="s">
        <v>14934</v>
      </c>
      <c r="D101" s="5" t="s">
        <v>14935</v>
      </c>
      <c r="E101" s="5" t="s">
        <v>4608</v>
      </c>
      <c r="F101" s="5" t="s">
        <v>185</v>
      </c>
      <c r="G101" s="5" t="s">
        <v>4606</v>
      </c>
      <c r="H101" s="5" t="s">
        <v>4607</v>
      </c>
      <c r="J101" s="12">
        <v>46018</v>
      </c>
      <c r="K101" s="11">
        <v>0</v>
      </c>
      <c r="M101" s="10" t="s">
        <v>14936</v>
      </c>
      <c r="N101" s="12">
        <v>46018</v>
      </c>
      <c r="O101" s="10" t="s">
        <v>14937</v>
      </c>
      <c r="P101" s="5" t="s">
        <v>14571</v>
      </c>
      <c r="Q101" s="5" t="s">
        <v>14578</v>
      </c>
      <c r="R101" s="5" t="s">
        <v>14938</v>
      </c>
      <c r="T101" s="5" t="s">
        <v>5994</v>
      </c>
      <c r="U101" s="5" t="s">
        <v>14580</v>
      </c>
      <c r="V101" s="5" t="s">
        <v>180</v>
      </c>
      <c r="W101" s="5" t="s">
        <v>4609</v>
      </c>
    </row>
    <row r="102" spans="1:23" ht="12.5">
      <c r="A102" s="5">
        <v>90696</v>
      </c>
      <c r="B102" s="5" t="s">
        <v>14939</v>
      </c>
      <c r="C102" s="5">
        <v>573008370746</v>
      </c>
      <c r="D102" s="5">
        <v>46</v>
      </c>
      <c r="E102" s="5" t="s">
        <v>1126</v>
      </c>
      <c r="G102" s="5" t="s">
        <v>4601</v>
      </c>
      <c r="H102" s="5" t="s">
        <v>4602</v>
      </c>
      <c r="J102" s="12">
        <v>46018</v>
      </c>
      <c r="K102" s="11">
        <v>0</v>
      </c>
      <c r="M102" s="10" t="s">
        <v>14940</v>
      </c>
      <c r="N102" s="12">
        <v>46018.645143043977</v>
      </c>
      <c r="O102" s="10" t="s">
        <v>14941</v>
      </c>
      <c r="P102" s="5" t="s">
        <v>14571</v>
      </c>
      <c r="Q102" s="5" t="s">
        <v>14572</v>
      </c>
      <c r="R102" s="5" t="s">
        <v>14942</v>
      </c>
      <c r="T102" s="5" t="s">
        <v>5994</v>
      </c>
      <c r="V102" s="5" t="s">
        <v>67</v>
      </c>
      <c r="W102" s="5" t="s">
        <v>4604</v>
      </c>
    </row>
    <row r="103" spans="1:23" ht="12.5">
      <c r="A103" s="5">
        <v>90695</v>
      </c>
      <c r="B103" s="5" t="s">
        <v>14943</v>
      </c>
      <c r="C103" s="5">
        <v>573187691123</v>
      </c>
      <c r="D103" s="5">
        <v>67</v>
      </c>
      <c r="E103" s="5" t="s">
        <v>542</v>
      </c>
      <c r="F103" s="5" t="s">
        <v>975</v>
      </c>
      <c r="G103" s="5" t="s">
        <v>4596</v>
      </c>
      <c r="H103" s="5" t="s">
        <v>4597</v>
      </c>
      <c r="I103" s="5">
        <v>3023943404</v>
      </c>
      <c r="J103" s="12">
        <v>46018</v>
      </c>
      <c r="K103" s="11">
        <v>0.66666666666787933</v>
      </c>
      <c r="M103" s="10" t="s">
        <v>14646</v>
      </c>
      <c r="N103" s="12">
        <v>46018.602005856483</v>
      </c>
      <c r="O103" s="10" t="s">
        <v>14944</v>
      </c>
      <c r="P103" s="5" t="s">
        <v>14571</v>
      </c>
      <c r="Q103" s="5" t="s">
        <v>14572</v>
      </c>
      <c r="R103" s="5" t="s">
        <v>14945</v>
      </c>
      <c r="T103" s="5" t="s">
        <v>5994</v>
      </c>
      <c r="U103" s="5" t="s">
        <v>14593</v>
      </c>
      <c r="V103" s="5" t="s">
        <v>67</v>
      </c>
    </row>
    <row r="104" spans="1:23" ht="12.5">
      <c r="A104" s="5">
        <v>90694</v>
      </c>
      <c r="B104" s="5" t="s">
        <v>14946</v>
      </c>
      <c r="C104" s="10" t="s">
        <v>14947</v>
      </c>
      <c r="D104" s="5">
        <v>44</v>
      </c>
      <c r="E104" s="5" t="s">
        <v>1111</v>
      </c>
      <c r="F104" s="5" t="s">
        <v>185</v>
      </c>
      <c r="G104" s="5" t="s">
        <v>4591</v>
      </c>
      <c r="H104" s="5" t="s">
        <v>4592</v>
      </c>
      <c r="I104" s="5"/>
      <c r="J104" s="12">
        <v>46018</v>
      </c>
      <c r="K104" s="11">
        <v>0.66666666666666663</v>
      </c>
      <c r="M104" s="10" t="s">
        <v>14885</v>
      </c>
      <c r="N104" s="12">
        <v>46018</v>
      </c>
      <c r="O104" s="10" t="s">
        <v>14948</v>
      </c>
      <c r="P104" s="5" t="s">
        <v>14571</v>
      </c>
      <c r="Q104" s="5" t="s">
        <v>14572</v>
      </c>
      <c r="R104" s="5" t="s">
        <v>14949</v>
      </c>
      <c r="T104" s="5" t="s">
        <v>5994</v>
      </c>
      <c r="U104" s="5" t="s">
        <v>14580</v>
      </c>
      <c r="V104" s="5" t="s">
        <v>67</v>
      </c>
    </row>
    <row r="105" spans="1:23" ht="12.5">
      <c r="A105" s="5">
        <v>90693</v>
      </c>
      <c r="B105" s="5" t="s">
        <v>14950</v>
      </c>
      <c r="C105" s="10" t="s">
        <v>14951</v>
      </c>
      <c r="D105" s="5">
        <v>56</v>
      </c>
      <c r="E105" s="5" t="s">
        <v>1102</v>
      </c>
      <c r="F105" s="5" t="s">
        <v>813</v>
      </c>
      <c r="G105" s="5" t="s">
        <v>14952</v>
      </c>
      <c r="H105" s="5" t="s">
        <v>4587</v>
      </c>
      <c r="I105" s="5">
        <v>3164520769</v>
      </c>
      <c r="J105" s="12">
        <v>46031</v>
      </c>
      <c r="K105" s="11">
        <v>0.375</v>
      </c>
      <c r="M105" s="10" t="s">
        <v>14953</v>
      </c>
      <c r="N105" s="12">
        <v>46018</v>
      </c>
      <c r="O105" s="10" t="s">
        <v>14954</v>
      </c>
      <c r="P105" s="5" t="s">
        <v>14571</v>
      </c>
      <c r="Q105" s="5" t="s">
        <v>14612</v>
      </c>
      <c r="R105" s="5" t="s">
        <v>14955</v>
      </c>
      <c r="T105" s="5" t="s">
        <v>5994</v>
      </c>
      <c r="U105" s="5"/>
      <c r="V105" s="5" t="s">
        <v>67</v>
      </c>
    </row>
    <row r="106" spans="1:23" ht="12.5">
      <c r="A106" s="5">
        <v>90692</v>
      </c>
      <c r="B106" s="5" t="s">
        <v>4584</v>
      </c>
      <c r="C106" s="5">
        <v>573103841591</v>
      </c>
      <c r="D106" s="5">
        <v>95</v>
      </c>
      <c r="E106" s="5" t="s">
        <v>42</v>
      </c>
      <c r="F106" s="5" t="s">
        <v>33</v>
      </c>
      <c r="G106" s="5" t="s">
        <v>4584</v>
      </c>
      <c r="H106" s="5" t="s">
        <v>34</v>
      </c>
      <c r="I106" s="5">
        <v>3103841591</v>
      </c>
      <c r="J106" s="12">
        <v>46018</v>
      </c>
      <c r="K106" s="11">
        <v>0</v>
      </c>
      <c r="M106" s="10" t="s">
        <v>14619</v>
      </c>
      <c r="N106" s="12">
        <v>46018.576384976855</v>
      </c>
      <c r="O106" s="10" t="s">
        <v>14956</v>
      </c>
      <c r="P106" s="5" t="s">
        <v>14571</v>
      </c>
      <c r="Q106" s="5" t="s">
        <v>14572</v>
      </c>
      <c r="R106" s="5" t="s">
        <v>14957</v>
      </c>
      <c r="T106" s="5" t="s">
        <v>14574</v>
      </c>
      <c r="U106" s="5" t="s">
        <v>33</v>
      </c>
      <c r="V106" s="5" t="s">
        <v>2636</v>
      </c>
      <c r="W106" s="5" t="s">
        <v>120</v>
      </c>
    </row>
    <row r="107" spans="1:23" ht="12.5">
      <c r="A107" s="5">
        <v>90691</v>
      </c>
      <c r="B107" s="5" t="s">
        <v>2679</v>
      </c>
      <c r="C107" s="10" t="s">
        <v>14958</v>
      </c>
      <c r="D107" s="5" t="s">
        <v>14589</v>
      </c>
      <c r="E107" s="5" t="s">
        <v>4580</v>
      </c>
      <c r="F107" s="5" t="s">
        <v>964</v>
      </c>
      <c r="G107" s="5" t="s">
        <v>14959</v>
      </c>
      <c r="H107" s="5" t="s">
        <v>4578</v>
      </c>
      <c r="I107" s="5" t="s">
        <v>4579</v>
      </c>
      <c r="J107" s="12">
        <v>46018</v>
      </c>
      <c r="K107" s="11">
        <v>0</v>
      </c>
      <c r="M107" s="10" t="s">
        <v>14960</v>
      </c>
      <c r="N107" s="12">
        <v>46018</v>
      </c>
      <c r="O107" s="10" t="s">
        <v>14961</v>
      </c>
      <c r="P107" s="5" t="s">
        <v>14571</v>
      </c>
      <c r="Q107" s="5" t="s">
        <v>14578</v>
      </c>
      <c r="R107" s="5" t="s">
        <v>14962</v>
      </c>
      <c r="T107" s="5" t="s">
        <v>5994</v>
      </c>
      <c r="U107" s="5" t="s">
        <v>14618</v>
      </c>
      <c r="V107" s="5" t="s">
        <v>180</v>
      </c>
      <c r="W107" s="5" t="s">
        <v>4581</v>
      </c>
    </row>
    <row r="108" spans="1:23" ht="12.5">
      <c r="A108" s="5">
        <v>90690</v>
      </c>
      <c r="B108" s="5" t="s">
        <v>4576</v>
      </c>
      <c r="C108" s="5">
        <v>573205425431</v>
      </c>
      <c r="D108" s="5">
        <v>95</v>
      </c>
      <c r="E108" s="5" t="s">
        <v>42</v>
      </c>
      <c r="F108" s="5" t="s">
        <v>33</v>
      </c>
      <c r="G108" s="5" t="s">
        <v>4576</v>
      </c>
      <c r="H108" s="5" t="s">
        <v>34</v>
      </c>
      <c r="J108" s="12">
        <v>46018</v>
      </c>
      <c r="K108" s="11">
        <v>0</v>
      </c>
      <c r="M108" s="10" t="s">
        <v>14800</v>
      </c>
      <c r="N108" s="12">
        <v>46018.550133449069</v>
      </c>
      <c r="O108" s="10" t="s">
        <v>14963</v>
      </c>
      <c r="P108" s="5" t="s">
        <v>14571</v>
      </c>
      <c r="Q108" s="5" t="s">
        <v>14699</v>
      </c>
      <c r="R108" s="5" t="s">
        <v>14964</v>
      </c>
      <c r="T108" s="5" t="s">
        <v>14574</v>
      </c>
      <c r="U108" s="5" t="s">
        <v>33</v>
      </c>
      <c r="V108" s="5" t="s">
        <v>2636</v>
      </c>
    </row>
    <row r="109" spans="1:23" ht="12.5">
      <c r="A109" s="5">
        <v>90689</v>
      </c>
      <c r="B109" s="5" t="s">
        <v>4574</v>
      </c>
      <c r="C109" s="5">
        <v>57128789344</v>
      </c>
      <c r="D109" s="5">
        <v>95</v>
      </c>
      <c r="E109" s="5" t="s">
        <v>42</v>
      </c>
      <c r="F109" s="5" t="s">
        <v>33</v>
      </c>
      <c r="G109" s="5" t="s">
        <v>4574</v>
      </c>
      <c r="H109" s="5" t="s">
        <v>34</v>
      </c>
      <c r="I109" s="5">
        <v>128789344</v>
      </c>
      <c r="J109" s="12">
        <v>46018</v>
      </c>
      <c r="K109" s="11">
        <v>0</v>
      </c>
      <c r="M109" s="10" t="s">
        <v>14619</v>
      </c>
      <c r="N109" s="12">
        <v>46018.545910613422</v>
      </c>
      <c r="O109" s="10" t="s">
        <v>14965</v>
      </c>
      <c r="P109" s="5" t="s">
        <v>14571</v>
      </c>
      <c r="Q109" s="5" t="s">
        <v>14578</v>
      </c>
      <c r="R109" s="5" t="s">
        <v>14966</v>
      </c>
      <c r="T109" s="5" t="s">
        <v>14574</v>
      </c>
      <c r="U109" s="5" t="s">
        <v>33</v>
      </c>
      <c r="V109" s="5" t="s">
        <v>2636</v>
      </c>
    </row>
    <row r="110" spans="1:23" ht="12.5">
      <c r="A110" s="5">
        <v>90688</v>
      </c>
      <c r="B110" s="5" t="s">
        <v>4571</v>
      </c>
      <c r="C110" s="10" t="s">
        <v>14967</v>
      </c>
      <c r="D110" s="5">
        <v>68</v>
      </c>
      <c r="E110" s="5" t="s">
        <v>361</v>
      </c>
      <c r="F110" s="5" t="s">
        <v>33</v>
      </c>
      <c r="G110" s="5" t="s">
        <v>4571</v>
      </c>
      <c r="H110" s="5" t="s">
        <v>34</v>
      </c>
      <c r="I110" s="5">
        <v>8752057</v>
      </c>
      <c r="J110" s="12">
        <v>46018</v>
      </c>
      <c r="K110" s="11">
        <v>0</v>
      </c>
      <c r="M110" s="10" t="s">
        <v>14712</v>
      </c>
      <c r="N110" s="12">
        <v>46018</v>
      </c>
      <c r="O110" s="10" t="s">
        <v>14968</v>
      </c>
      <c r="P110" s="5" t="s">
        <v>14571</v>
      </c>
      <c r="Q110" s="5" t="s">
        <v>14572</v>
      </c>
      <c r="R110" s="5" t="s">
        <v>14969</v>
      </c>
      <c r="T110" s="5" t="s">
        <v>14574</v>
      </c>
      <c r="U110" s="5" t="s">
        <v>33</v>
      </c>
      <c r="V110" s="5" t="s">
        <v>204</v>
      </c>
    </row>
    <row r="111" spans="1:23" ht="12.5">
      <c r="A111" s="5">
        <v>90687</v>
      </c>
      <c r="B111" s="5" t="s">
        <v>14970</v>
      </c>
      <c r="C111" s="5">
        <v>5.73177E+19</v>
      </c>
      <c r="D111" s="5" t="s">
        <v>14589</v>
      </c>
      <c r="E111" s="5" t="s">
        <v>4565</v>
      </c>
      <c r="F111" s="5" t="s">
        <v>886</v>
      </c>
      <c r="G111" s="5" t="s">
        <v>4562</v>
      </c>
      <c r="H111" s="5" t="s">
        <v>4564</v>
      </c>
      <c r="I111" s="5">
        <v>3176564852</v>
      </c>
      <c r="J111" s="12">
        <v>46018</v>
      </c>
      <c r="K111" s="11">
        <v>0.625</v>
      </c>
      <c r="M111" s="10" t="s">
        <v>14582</v>
      </c>
      <c r="N111" s="12">
        <v>46018.494003368054</v>
      </c>
      <c r="O111" s="10" t="s">
        <v>14971</v>
      </c>
      <c r="P111" s="5" t="s">
        <v>14571</v>
      </c>
      <c r="Q111" s="5" t="s">
        <v>14578</v>
      </c>
      <c r="R111" s="5" t="s">
        <v>14972</v>
      </c>
      <c r="T111" s="5" t="s">
        <v>5994</v>
      </c>
      <c r="U111" s="5" t="s">
        <v>14618</v>
      </c>
      <c r="V111" s="5" t="s">
        <v>83</v>
      </c>
      <c r="W111" s="5" t="s">
        <v>4568</v>
      </c>
    </row>
    <row r="112" spans="1:23" ht="12.5">
      <c r="A112" s="5">
        <v>90686</v>
      </c>
      <c r="B112" s="5" t="s">
        <v>12863</v>
      </c>
      <c r="C112" s="10" t="s">
        <v>14973</v>
      </c>
      <c r="D112" s="5">
        <v>5</v>
      </c>
      <c r="E112" s="5" t="s">
        <v>4021</v>
      </c>
      <c r="F112" s="5" t="s">
        <v>4558</v>
      </c>
      <c r="G112" s="5" t="s">
        <v>4557</v>
      </c>
      <c r="H112" s="5" t="s">
        <v>4559</v>
      </c>
      <c r="I112" s="5">
        <v>3157214282</v>
      </c>
      <c r="J112" s="12">
        <v>46018</v>
      </c>
      <c r="K112" s="11">
        <v>0.58333333333333337</v>
      </c>
      <c r="M112" s="10" t="s">
        <v>14649</v>
      </c>
      <c r="N112" s="12">
        <v>46018</v>
      </c>
      <c r="O112" s="10" t="s">
        <v>14974</v>
      </c>
      <c r="P112" s="5" t="s">
        <v>14571</v>
      </c>
      <c r="Q112" s="5" t="s">
        <v>14572</v>
      </c>
      <c r="R112" s="5" t="s">
        <v>14975</v>
      </c>
      <c r="T112" s="5" t="s">
        <v>5994</v>
      </c>
      <c r="U112" s="5" t="s">
        <v>14593</v>
      </c>
      <c r="V112" s="5" t="s">
        <v>83</v>
      </c>
    </row>
    <row r="113" spans="1:23" ht="12.5">
      <c r="A113" s="5">
        <v>90685</v>
      </c>
      <c r="B113" s="5" t="s">
        <v>14976</v>
      </c>
      <c r="C113" s="5">
        <v>573205624592</v>
      </c>
      <c r="D113" s="5" t="s">
        <v>14589</v>
      </c>
      <c r="E113" s="5" t="s">
        <v>4553</v>
      </c>
      <c r="F113" s="5" t="s">
        <v>405</v>
      </c>
      <c r="G113" s="5" t="s">
        <v>4551</v>
      </c>
      <c r="H113" s="5" t="s">
        <v>4552</v>
      </c>
      <c r="I113" s="5">
        <v>3205624592</v>
      </c>
      <c r="J113" s="12">
        <v>46018</v>
      </c>
      <c r="K113" s="11">
        <v>0.375</v>
      </c>
      <c r="M113" s="10" t="s">
        <v>14646</v>
      </c>
      <c r="N113" s="12">
        <v>46018.494818530089</v>
      </c>
      <c r="O113" s="10" t="s">
        <v>14977</v>
      </c>
      <c r="P113" s="5" t="s">
        <v>14571</v>
      </c>
      <c r="Q113" s="5" t="s">
        <v>14572</v>
      </c>
      <c r="R113" s="5" t="s">
        <v>14978</v>
      </c>
      <c r="T113" s="5" t="s">
        <v>5994</v>
      </c>
      <c r="U113" s="5"/>
      <c r="V113" s="5" t="s">
        <v>1481</v>
      </c>
      <c r="W113" s="5" t="s">
        <v>4555</v>
      </c>
    </row>
    <row r="114" spans="1:23" ht="12.5">
      <c r="A114" s="5">
        <v>90684</v>
      </c>
      <c r="B114" s="5" t="s">
        <v>14916</v>
      </c>
      <c r="C114" s="10" t="s">
        <v>14917</v>
      </c>
      <c r="D114" s="5" t="s">
        <v>14589</v>
      </c>
      <c r="E114" s="5" t="s">
        <v>4547</v>
      </c>
      <c r="G114" s="5" t="s">
        <v>1231</v>
      </c>
      <c r="H114" s="5" t="s">
        <v>34</v>
      </c>
      <c r="I114" s="5">
        <v>3007682024</v>
      </c>
      <c r="J114" s="12">
        <v>46018</v>
      </c>
      <c r="K114" s="11">
        <v>0</v>
      </c>
      <c r="M114" s="10" t="s">
        <v>2686</v>
      </c>
      <c r="N114" s="12">
        <v>46018</v>
      </c>
      <c r="O114" s="10" t="s">
        <v>14979</v>
      </c>
      <c r="P114" s="5" t="s">
        <v>14571</v>
      </c>
      <c r="Q114" s="5" t="s">
        <v>14572</v>
      </c>
      <c r="R114" s="5" t="s">
        <v>14980</v>
      </c>
      <c r="T114" s="5" t="s">
        <v>5994</v>
      </c>
      <c r="V114" s="5" t="s">
        <v>43</v>
      </c>
      <c r="W114" s="5" t="s">
        <v>4548</v>
      </c>
    </row>
    <row r="115" spans="1:23" ht="12.5">
      <c r="A115" s="5">
        <v>90683</v>
      </c>
      <c r="B115" s="5" t="s">
        <v>14981</v>
      </c>
      <c r="C115" s="5">
        <v>573001963770</v>
      </c>
      <c r="D115" s="5" t="s">
        <v>14982</v>
      </c>
      <c r="E115" s="5" t="s">
        <v>4544</v>
      </c>
      <c r="F115" s="5" t="s">
        <v>1100</v>
      </c>
      <c r="G115" s="5" t="s">
        <v>4542</v>
      </c>
      <c r="H115" s="5" t="s">
        <v>4543</v>
      </c>
      <c r="I115" s="5">
        <v>3014323965</v>
      </c>
      <c r="J115" s="12">
        <v>46018</v>
      </c>
      <c r="K115" s="11">
        <v>0</v>
      </c>
      <c r="M115" s="10" t="s">
        <v>14983</v>
      </c>
      <c r="N115" s="12">
        <v>46018.459272453707</v>
      </c>
      <c r="O115" s="10" t="s">
        <v>14984</v>
      </c>
      <c r="P115" s="5" t="s">
        <v>14571</v>
      </c>
      <c r="Q115" s="5" t="s">
        <v>14578</v>
      </c>
      <c r="R115" s="5" t="s">
        <v>14985</v>
      </c>
      <c r="T115" s="5" t="s">
        <v>5994</v>
      </c>
      <c r="U115" s="5" t="s">
        <v>14775</v>
      </c>
      <c r="V115" s="5" t="s">
        <v>67</v>
      </c>
      <c r="W115" s="5" t="s">
        <v>4546</v>
      </c>
    </row>
    <row r="116" spans="1:23" ht="12.5">
      <c r="A116" s="5">
        <v>90682</v>
      </c>
      <c r="B116" s="5" t="s">
        <v>14986</v>
      </c>
      <c r="C116" s="10" t="s">
        <v>14987</v>
      </c>
      <c r="D116" s="5" t="s">
        <v>14589</v>
      </c>
      <c r="E116" s="5" t="s">
        <v>4540</v>
      </c>
      <c r="F116" s="5" t="s">
        <v>193</v>
      </c>
      <c r="G116" s="5" t="s">
        <v>4537</v>
      </c>
      <c r="H116" s="5" t="s">
        <v>4538</v>
      </c>
      <c r="I116" s="5" t="s">
        <v>14988</v>
      </c>
      <c r="J116" s="12">
        <v>46018</v>
      </c>
      <c r="K116" s="11">
        <v>0</v>
      </c>
      <c r="M116" s="10" t="s">
        <v>14676</v>
      </c>
      <c r="N116" s="12">
        <v>46018</v>
      </c>
      <c r="O116" s="10" t="s">
        <v>14771</v>
      </c>
      <c r="P116" s="5" t="s">
        <v>14571</v>
      </c>
      <c r="Q116" s="5" t="s">
        <v>14572</v>
      </c>
      <c r="R116" s="5" t="s">
        <v>14989</v>
      </c>
      <c r="T116" s="5" t="s">
        <v>5994</v>
      </c>
      <c r="U116" s="5" t="s">
        <v>14580</v>
      </c>
      <c r="V116" s="5" t="s">
        <v>83</v>
      </c>
    </row>
    <row r="117" spans="1:23" ht="12.5">
      <c r="A117" s="5">
        <v>90681</v>
      </c>
      <c r="B117" s="5" t="s">
        <v>14990</v>
      </c>
      <c r="C117" s="5">
        <v>573058127196</v>
      </c>
      <c r="D117" s="5">
        <v>95</v>
      </c>
      <c r="E117" s="5" t="s">
        <v>42</v>
      </c>
      <c r="F117" s="5" t="s">
        <v>4533</v>
      </c>
      <c r="G117" s="5" t="s">
        <v>4532</v>
      </c>
      <c r="H117" s="5" t="s">
        <v>4534</v>
      </c>
      <c r="J117" s="12">
        <v>46018</v>
      </c>
      <c r="K117" s="11">
        <v>0</v>
      </c>
      <c r="M117" s="10" t="s">
        <v>14777</v>
      </c>
      <c r="N117" s="12">
        <v>46018.423169664355</v>
      </c>
      <c r="O117" s="10" t="s">
        <v>14991</v>
      </c>
      <c r="P117" s="5" t="s">
        <v>14571</v>
      </c>
      <c r="Q117" s="5" t="s">
        <v>14578</v>
      </c>
      <c r="R117" s="5" t="s">
        <v>14992</v>
      </c>
      <c r="T117" s="5" t="s">
        <v>5994</v>
      </c>
      <c r="U117" s="5" t="s">
        <v>14618</v>
      </c>
      <c r="V117" s="5" t="s">
        <v>83</v>
      </c>
      <c r="W117" s="5" t="s">
        <v>4535</v>
      </c>
    </row>
    <row r="118" spans="1:23" ht="12.5">
      <c r="A118" s="5">
        <v>90680</v>
      </c>
      <c r="B118" s="5" t="s">
        <v>14993</v>
      </c>
      <c r="C118" s="5">
        <v>573016624010</v>
      </c>
      <c r="D118" s="5">
        <v>24</v>
      </c>
      <c r="E118" s="5" t="s">
        <v>251</v>
      </c>
      <c r="F118" s="5" t="s">
        <v>103</v>
      </c>
      <c r="G118" s="5" t="s">
        <v>4527</v>
      </c>
      <c r="H118" s="5" t="s">
        <v>4528</v>
      </c>
      <c r="I118" s="5">
        <v>3016624010</v>
      </c>
      <c r="J118" s="12">
        <v>46018</v>
      </c>
      <c r="K118" s="11">
        <v>0</v>
      </c>
      <c r="M118" s="10" t="s">
        <v>14740</v>
      </c>
      <c r="N118" s="12">
        <v>46017.746842384258</v>
      </c>
      <c r="O118" s="10" t="s">
        <v>14994</v>
      </c>
      <c r="P118" s="5" t="s">
        <v>14571</v>
      </c>
      <c r="Q118" s="5" t="s">
        <v>14578</v>
      </c>
      <c r="R118" s="5" t="s">
        <v>14995</v>
      </c>
      <c r="T118" s="5" t="s">
        <v>5994</v>
      </c>
      <c r="U118" s="5" t="s">
        <v>14593</v>
      </c>
      <c r="V118" s="5" t="s">
        <v>1937</v>
      </c>
      <c r="W118" s="5"/>
    </row>
    <row r="119" spans="1:23" ht="12.5">
      <c r="A119" s="5">
        <v>90679</v>
      </c>
      <c r="B119" s="5" t="s">
        <v>14996</v>
      </c>
      <c r="C119" s="10" t="s">
        <v>14997</v>
      </c>
      <c r="D119" s="5" t="s">
        <v>14982</v>
      </c>
      <c r="E119" s="5" t="s">
        <v>4523</v>
      </c>
      <c r="F119" s="5" t="s">
        <v>185</v>
      </c>
      <c r="G119" s="5" t="s">
        <v>4521</v>
      </c>
      <c r="H119" s="5" t="s">
        <v>4522</v>
      </c>
      <c r="I119" s="5">
        <v>3004996073</v>
      </c>
      <c r="J119" s="12">
        <v>46021</v>
      </c>
      <c r="K119" s="11">
        <v>0.375</v>
      </c>
      <c r="M119" s="10" t="s">
        <v>14998</v>
      </c>
      <c r="N119" s="12">
        <v>46018</v>
      </c>
      <c r="O119" s="10" t="s">
        <v>14999</v>
      </c>
      <c r="P119" s="5" t="s">
        <v>14571</v>
      </c>
      <c r="Q119" s="5" t="s">
        <v>14699</v>
      </c>
      <c r="R119" s="5" t="s">
        <v>15000</v>
      </c>
      <c r="T119" s="5" t="s">
        <v>5994</v>
      </c>
      <c r="U119" s="5" t="s">
        <v>14580</v>
      </c>
      <c r="V119" s="5" t="s">
        <v>83</v>
      </c>
      <c r="W119" s="5" t="s">
        <v>4525</v>
      </c>
    </row>
    <row r="120" spans="1:23" ht="12.5">
      <c r="A120" s="5">
        <v>90678</v>
      </c>
      <c r="B120" s="5" t="s">
        <v>15001</v>
      </c>
      <c r="C120" s="5">
        <v>573174772605</v>
      </c>
      <c r="D120" s="5">
        <v>13</v>
      </c>
      <c r="E120" s="5" t="s">
        <v>4516</v>
      </c>
      <c r="F120" s="5"/>
      <c r="G120" s="5" t="s">
        <v>4514</v>
      </c>
      <c r="H120" s="5" t="s">
        <v>4515</v>
      </c>
      <c r="I120" s="5"/>
      <c r="J120" s="12">
        <v>46020</v>
      </c>
      <c r="K120" s="11">
        <v>0.375</v>
      </c>
      <c r="M120" s="10" t="s">
        <v>15002</v>
      </c>
      <c r="N120" s="12">
        <v>46018.385984548615</v>
      </c>
      <c r="O120" s="10" t="s">
        <v>15003</v>
      </c>
      <c r="P120" s="5" t="s">
        <v>14571</v>
      </c>
      <c r="Q120" s="5" t="s">
        <v>14578</v>
      </c>
      <c r="R120" s="5" t="s">
        <v>15004</v>
      </c>
      <c r="T120" s="5" t="s">
        <v>5994</v>
      </c>
      <c r="U120" s="5"/>
      <c r="V120" s="5" t="s">
        <v>196</v>
      </c>
      <c r="W120" s="5" t="s">
        <v>4518</v>
      </c>
    </row>
    <row r="121" spans="1:23" ht="12.5">
      <c r="A121" s="5">
        <v>90677</v>
      </c>
      <c r="B121" s="5" t="s">
        <v>12996</v>
      </c>
      <c r="C121" s="10" t="s">
        <v>15005</v>
      </c>
      <c r="D121" s="5">
        <v>31</v>
      </c>
      <c r="E121" s="5" t="s">
        <v>375</v>
      </c>
      <c r="F121" s="5" t="s">
        <v>79</v>
      </c>
      <c r="G121" s="5" t="s">
        <v>15006</v>
      </c>
      <c r="H121" s="5" t="s">
        <v>4510</v>
      </c>
      <c r="I121" s="5">
        <v>3126708090</v>
      </c>
      <c r="J121" s="12">
        <v>46018</v>
      </c>
      <c r="K121" s="11">
        <v>0.45833333333333331</v>
      </c>
      <c r="M121" s="10" t="s">
        <v>14585</v>
      </c>
      <c r="N121" s="12">
        <v>46018</v>
      </c>
      <c r="O121" s="10" t="s">
        <v>15007</v>
      </c>
      <c r="P121" s="5" t="s">
        <v>14571</v>
      </c>
      <c r="Q121" s="5" t="s">
        <v>14572</v>
      </c>
      <c r="R121" s="5" t="s">
        <v>15008</v>
      </c>
      <c r="T121" s="5" t="s">
        <v>5994</v>
      </c>
      <c r="U121" s="5" t="s">
        <v>14593</v>
      </c>
      <c r="V121" s="5" t="s">
        <v>83</v>
      </c>
      <c r="W121" s="5" t="s">
        <v>4513</v>
      </c>
    </row>
    <row r="122" spans="1:23" ht="12.5">
      <c r="A122" s="5">
        <v>90676</v>
      </c>
      <c r="B122" s="5" t="s">
        <v>6946</v>
      </c>
      <c r="C122" s="10" t="s">
        <v>15009</v>
      </c>
      <c r="D122" s="5">
        <v>69</v>
      </c>
      <c r="E122" s="5" t="s">
        <v>335</v>
      </c>
      <c r="F122" s="5" t="s">
        <v>185</v>
      </c>
      <c r="G122" s="5" t="s">
        <v>4505</v>
      </c>
      <c r="H122" s="5" t="s">
        <v>4506</v>
      </c>
      <c r="I122" s="5">
        <v>3008760327</v>
      </c>
      <c r="J122" s="12">
        <v>46018</v>
      </c>
      <c r="K122" s="11">
        <v>0.41666666666666669</v>
      </c>
      <c r="M122" s="10" t="s">
        <v>14885</v>
      </c>
      <c r="N122" s="12">
        <v>46018</v>
      </c>
      <c r="O122" s="10" t="s">
        <v>14904</v>
      </c>
      <c r="P122" s="5" t="s">
        <v>14571</v>
      </c>
      <c r="Q122" s="5" t="s">
        <v>14572</v>
      </c>
      <c r="R122" s="5" t="s">
        <v>15010</v>
      </c>
      <c r="T122" s="5" t="s">
        <v>5994</v>
      </c>
      <c r="U122" s="5" t="s">
        <v>14580</v>
      </c>
      <c r="V122" s="5" t="s">
        <v>204</v>
      </c>
      <c r="W122" s="5"/>
    </row>
    <row r="123" spans="1:23" ht="12.5">
      <c r="A123" s="5">
        <v>90675</v>
      </c>
      <c r="B123" s="5" t="s">
        <v>4503</v>
      </c>
      <c r="C123" s="5">
        <v>573015568680</v>
      </c>
      <c r="D123" s="5">
        <v>95</v>
      </c>
      <c r="E123" s="5" t="s">
        <v>42</v>
      </c>
      <c r="F123" s="5" t="s">
        <v>33</v>
      </c>
      <c r="G123" s="5" t="s">
        <v>4503</v>
      </c>
      <c r="H123" s="5" t="s">
        <v>34</v>
      </c>
      <c r="I123" s="5">
        <v>3015568680</v>
      </c>
      <c r="J123" s="12">
        <v>46018</v>
      </c>
      <c r="K123" s="11">
        <v>0</v>
      </c>
      <c r="M123" s="10" t="s">
        <v>15011</v>
      </c>
      <c r="N123" s="12">
        <v>46018.360061099535</v>
      </c>
      <c r="O123" s="10" t="s">
        <v>15012</v>
      </c>
      <c r="P123" s="5" t="s">
        <v>14571</v>
      </c>
      <c r="Q123" s="5" t="s">
        <v>14612</v>
      </c>
      <c r="R123" s="5" t="s">
        <v>15013</v>
      </c>
      <c r="T123" s="5" t="s">
        <v>14574</v>
      </c>
      <c r="U123" s="5" t="s">
        <v>33</v>
      </c>
      <c r="V123" s="5" t="s">
        <v>1481</v>
      </c>
      <c r="W123" s="5" t="s">
        <v>525</v>
      </c>
    </row>
    <row r="124" spans="1:23" ht="12.5">
      <c r="A124" s="5">
        <v>90674</v>
      </c>
      <c r="B124" s="5" t="s">
        <v>15014</v>
      </c>
      <c r="C124" s="10" t="s">
        <v>14917</v>
      </c>
      <c r="D124" s="5">
        <v>95</v>
      </c>
      <c r="E124" s="5" t="s">
        <v>42</v>
      </c>
      <c r="F124" s="5" t="s">
        <v>33</v>
      </c>
      <c r="G124" s="5" t="s">
        <v>1231</v>
      </c>
      <c r="H124" s="5" t="s">
        <v>34</v>
      </c>
      <c r="I124" s="5">
        <v>3007682024</v>
      </c>
      <c r="J124" s="12">
        <v>46022</v>
      </c>
      <c r="K124" s="11">
        <v>0</v>
      </c>
      <c r="M124" s="10" t="s">
        <v>2686</v>
      </c>
      <c r="N124" s="12">
        <v>46018</v>
      </c>
      <c r="O124" s="10" t="s">
        <v>15015</v>
      </c>
      <c r="P124" s="5" t="s">
        <v>14571</v>
      </c>
      <c r="Q124" s="5" t="s">
        <v>14572</v>
      </c>
      <c r="R124" s="5" t="s">
        <v>15016</v>
      </c>
      <c r="T124" s="5" t="s">
        <v>14574</v>
      </c>
      <c r="U124" s="5" t="s">
        <v>33</v>
      </c>
      <c r="V124" s="5" t="s">
        <v>43</v>
      </c>
      <c r="W124" s="5" t="s">
        <v>4501</v>
      </c>
    </row>
    <row r="125" spans="1:23" ht="12.5">
      <c r="A125" s="5">
        <v>90673</v>
      </c>
      <c r="B125" s="5" t="s">
        <v>4498</v>
      </c>
      <c r="C125" s="5">
        <v>573160931234</v>
      </c>
      <c r="D125" s="5">
        <v>31</v>
      </c>
      <c r="E125" s="5" t="s">
        <v>375</v>
      </c>
      <c r="F125" s="5" t="s">
        <v>33</v>
      </c>
      <c r="G125" s="5" t="s">
        <v>4498</v>
      </c>
      <c r="H125" s="5" t="s">
        <v>34</v>
      </c>
      <c r="I125" s="5">
        <v>3160931234</v>
      </c>
      <c r="J125" s="12">
        <v>46018</v>
      </c>
      <c r="K125" s="11">
        <v>0.41666666666787933</v>
      </c>
      <c r="M125" s="10" t="s">
        <v>14800</v>
      </c>
      <c r="N125" s="12">
        <v>46018.32241184028</v>
      </c>
      <c r="O125" s="10" t="s">
        <v>15017</v>
      </c>
      <c r="P125" s="5" t="s">
        <v>14571</v>
      </c>
      <c r="Q125" s="5" t="s">
        <v>14572</v>
      </c>
      <c r="R125" s="5"/>
      <c r="T125" s="5" t="s">
        <v>14574</v>
      </c>
      <c r="U125" s="5" t="s">
        <v>33</v>
      </c>
      <c r="V125" s="5" t="s">
        <v>83</v>
      </c>
      <c r="W125" s="5"/>
    </row>
    <row r="126" spans="1:23" ht="12.5">
      <c r="A126" s="5">
        <v>90672</v>
      </c>
      <c r="B126" s="5" t="s">
        <v>15018</v>
      </c>
      <c r="C126" s="5">
        <v>573215829339</v>
      </c>
      <c r="D126" s="5">
        <v>45</v>
      </c>
      <c r="E126" s="5" t="s">
        <v>210</v>
      </c>
      <c r="F126" s="5" t="s">
        <v>193</v>
      </c>
      <c r="G126" s="5" t="s">
        <v>4492</v>
      </c>
      <c r="H126" s="5" t="s">
        <v>4493</v>
      </c>
      <c r="I126" s="5">
        <v>3150124040</v>
      </c>
      <c r="J126" s="12">
        <v>46018</v>
      </c>
      <c r="K126" s="11">
        <v>0</v>
      </c>
      <c r="M126" s="10" t="s">
        <v>15019</v>
      </c>
      <c r="N126" s="12">
        <v>46017.766870162042</v>
      </c>
      <c r="O126" s="10" t="s">
        <v>15020</v>
      </c>
      <c r="P126" s="5" t="s">
        <v>14571</v>
      </c>
      <c r="Q126" s="5" t="s">
        <v>14572</v>
      </c>
      <c r="R126" s="5" t="s">
        <v>15021</v>
      </c>
      <c r="T126" s="5" t="s">
        <v>5994</v>
      </c>
      <c r="U126" s="5" t="s">
        <v>14580</v>
      </c>
      <c r="V126" s="5" t="s">
        <v>83</v>
      </c>
      <c r="W126" s="5"/>
    </row>
    <row r="127" spans="1:23" ht="12.5">
      <c r="A127" s="5">
        <v>90671</v>
      </c>
      <c r="B127" s="5" t="s">
        <v>4489</v>
      </c>
      <c r="C127" s="5">
        <v>573104023006</v>
      </c>
      <c r="D127" s="5">
        <v>95</v>
      </c>
      <c r="E127" s="5" t="s">
        <v>42</v>
      </c>
      <c r="F127" s="5" t="s">
        <v>33</v>
      </c>
      <c r="G127" s="5" t="s">
        <v>4489</v>
      </c>
      <c r="H127" s="5" t="s">
        <v>34</v>
      </c>
      <c r="I127" s="5"/>
      <c r="J127" s="12">
        <v>46017</v>
      </c>
      <c r="K127" s="11">
        <v>0</v>
      </c>
      <c r="M127" s="10" t="s">
        <v>15022</v>
      </c>
      <c r="N127" s="12">
        <v>46017.776898344906</v>
      </c>
      <c r="O127" s="10" t="s">
        <v>15023</v>
      </c>
      <c r="P127" s="5" t="s">
        <v>14571</v>
      </c>
      <c r="Q127" s="5" t="s">
        <v>14572</v>
      </c>
      <c r="R127" s="5" t="s">
        <v>15024</v>
      </c>
      <c r="T127" s="5" t="s">
        <v>14574</v>
      </c>
      <c r="U127" s="5" t="s">
        <v>33</v>
      </c>
      <c r="V127" s="5" t="s">
        <v>196</v>
      </c>
      <c r="W127" s="5" t="s">
        <v>525</v>
      </c>
    </row>
    <row r="128" spans="1:23" ht="12.5">
      <c r="A128" s="5">
        <v>90670</v>
      </c>
      <c r="B128" s="5" t="s">
        <v>1156</v>
      </c>
      <c r="C128" s="5">
        <v>573116881567</v>
      </c>
      <c r="D128" s="5">
        <v>95</v>
      </c>
      <c r="E128" s="5" t="s">
        <v>42</v>
      </c>
      <c r="G128" s="5" t="s">
        <v>4485</v>
      </c>
      <c r="H128" s="5" t="s">
        <v>4486</v>
      </c>
      <c r="J128" s="12">
        <v>46017</v>
      </c>
      <c r="K128" s="11">
        <v>0</v>
      </c>
      <c r="M128" s="10" t="s">
        <v>15025</v>
      </c>
      <c r="N128" s="12">
        <v>46017.734422407404</v>
      </c>
      <c r="O128" s="10" t="s">
        <v>15026</v>
      </c>
      <c r="P128" s="5" t="s">
        <v>14571</v>
      </c>
      <c r="Q128" s="5" t="s">
        <v>14612</v>
      </c>
      <c r="R128" s="5" t="s">
        <v>15027</v>
      </c>
      <c r="T128" s="5" t="s">
        <v>5994</v>
      </c>
      <c r="V128" s="5" t="s">
        <v>2636</v>
      </c>
      <c r="W128" s="5" t="s">
        <v>525</v>
      </c>
    </row>
    <row r="129" spans="1:23" ht="12.5">
      <c r="A129" s="5">
        <v>90669</v>
      </c>
      <c r="B129" s="5" t="s">
        <v>4484</v>
      </c>
      <c r="C129" s="5">
        <v>573232211755</v>
      </c>
      <c r="D129" s="5">
        <v>95</v>
      </c>
      <c r="E129" s="5" t="s">
        <v>42</v>
      </c>
      <c r="F129" s="5" t="s">
        <v>33</v>
      </c>
      <c r="G129" s="5" t="s">
        <v>4484</v>
      </c>
      <c r="H129" s="5" t="s">
        <v>34</v>
      </c>
      <c r="I129" s="5">
        <v>3232211755</v>
      </c>
      <c r="J129" s="12">
        <v>46017</v>
      </c>
      <c r="K129" s="11">
        <v>0</v>
      </c>
      <c r="M129" s="10" t="s">
        <v>14885</v>
      </c>
      <c r="N129" s="12">
        <v>46017.730634189815</v>
      </c>
      <c r="O129" s="10" t="s">
        <v>15028</v>
      </c>
      <c r="P129" s="5" t="s">
        <v>14571</v>
      </c>
      <c r="Q129" s="5" t="s">
        <v>14699</v>
      </c>
      <c r="R129" s="5" t="s">
        <v>15029</v>
      </c>
      <c r="T129" s="5" t="s">
        <v>14574</v>
      </c>
      <c r="U129" s="5" t="s">
        <v>33</v>
      </c>
      <c r="V129" s="5" t="s">
        <v>2636</v>
      </c>
      <c r="W129" s="5" t="s">
        <v>525</v>
      </c>
    </row>
    <row r="130" spans="1:23" ht="12.5">
      <c r="A130" s="5">
        <v>90668</v>
      </c>
      <c r="B130" s="5" t="s">
        <v>3183</v>
      </c>
      <c r="C130" s="5">
        <v>573043190657</v>
      </c>
      <c r="D130" s="5">
        <v>95</v>
      </c>
      <c r="E130" s="5" t="s">
        <v>42</v>
      </c>
      <c r="F130" s="5" t="s">
        <v>33</v>
      </c>
      <c r="G130" s="5" t="s">
        <v>4481</v>
      </c>
      <c r="H130" s="5" t="s">
        <v>34</v>
      </c>
      <c r="J130" s="12">
        <v>46017</v>
      </c>
      <c r="K130" s="11">
        <v>0</v>
      </c>
      <c r="M130" s="10" t="s">
        <v>15030</v>
      </c>
      <c r="N130" s="12">
        <v>46017.728445277782</v>
      </c>
      <c r="O130" s="10" t="s">
        <v>14698</v>
      </c>
      <c r="P130" s="5" t="s">
        <v>14571</v>
      </c>
      <c r="Q130" s="5" t="s">
        <v>14572</v>
      </c>
      <c r="R130" s="5" t="s">
        <v>15031</v>
      </c>
      <c r="T130" s="5" t="s">
        <v>14574</v>
      </c>
      <c r="U130" s="5" t="s">
        <v>33</v>
      </c>
      <c r="V130" s="5" t="s">
        <v>196</v>
      </c>
      <c r="W130" s="5" t="s">
        <v>525</v>
      </c>
    </row>
    <row r="131" spans="1:23" ht="12.5">
      <c r="A131" s="5">
        <v>90667</v>
      </c>
      <c r="B131" s="5" t="s">
        <v>4480</v>
      </c>
      <c r="C131" s="5">
        <v>573184001715</v>
      </c>
      <c r="D131" s="5">
        <v>95</v>
      </c>
      <c r="E131" s="5" t="s">
        <v>42</v>
      </c>
      <c r="F131" s="5" t="s">
        <v>33</v>
      </c>
      <c r="G131" s="5" t="s">
        <v>4480</v>
      </c>
      <c r="H131" s="5" t="s">
        <v>34</v>
      </c>
      <c r="I131" s="5">
        <v>3184001715</v>
      </c>
      <c r="J131" s="12">
        <v>46017</v>
      </c>
      <c r="K131" s="11">
        <v>0</v>
      </c>
      <c r="M131" s="10" t="s">
        <v>15032</v>
      </c>
      <c r="N131" s="12">
        <v>46017.726397546299</v>
      </c>
      <c r="O131" s="10" t="s">
        <v>15033</v>
      </c>
      <c r="P131" s="5" t="s">
        <v>14571</v>
      </c>
      <c r="Q131" s="5" t="s">
        <v>14612</v>
      </c>
      <c r="R131" s="5" t="s">
        <v>15034</v>
      </c>
      <c r="T131" s="5" t="s">
        <v>14574</v>
      </c>
      <c r="U131" s="5" t="s">
        <v>33</v>
      </c>
      <c r="V131" s="5" t="s">
        <v>2636</v>
      </c>
      <c r="W131" s="5" t="s">
        <v>525</v>
      </c>
    </row>
    <row r="132" spans="1:23" ht="12.5">
      <c r="A132" s="5">
        <v>90666</v>
      </c>
      <c r="B132" s="5" t="s">
        <v>15035</v>
      </c>
      <c r="C132" s="5">
        <v>573114031778</v>
      </c>
      <c r="D132" s="5">
        <v>95</v>
      </c>
      <c r="E132" s="5" t="s">
        <v>42</v>
      </c>
      <c r="G132" s="5" t="s">
        <v>4476</v>
      </c>
      <c r="H132" s="5" t="s">
        <v>4477</v>
      </c>
      <c r="I132" s="5">
        <v>3044475947</v>
      </c>
      <c r="J132" s="12">
        <v>46020</v>
      </c>
      <c r="K132" s="11">
        <v>0.58333333333212067</v>
      </c>
      <c r="M132" s="10" t="s">
        <v>15036</v>
      </c>
      <c r="N132" s="12">
        <v>46017.71106011574</v>
      </c>
      <c r="O132" s="10" t="s">
        <v>15037</v>
      </c>
      <c r="P132" s="5" t="s">
        <v>14571</v>
      </c>
      <c r="Q132" s="5" t="s">
        <v>14612</v>
      </c>
      <c r="R132" s="5" t="s">
        <v>15038</v>
      </c>
      <c r="T132" s="5" t="s">
        <v>5994</v>
      </c>
      <c r="V132" s="5" t="s">
        <v>2636</v>
      </c>
      <c r="W132" s="5" t="s">
        <v>4478</v>
      </c>
    </row>
    <row r="133" spans="1:23" ht="12.5">
      <c r="A133" s="5">
        <v>90665</v>
      </c>
      <c r="B133" s="5" t="s">
        <v>15039</v>
      </c>
      <c r="C133" s="5">
        <v>573008024594</v>
      </c>
      <c r="D133" s="5">
        <v>51</v>
      </c>
      <c r="E133" s="5" t="s">
        <v>384</v>
      </c>
      <c r="F133" s="5" t="s">
        <v>516</v>
      </c>
      <c r="G133" s="5" t="s">
        <v>4470</v>
      </c>
      <c r="H133" s="5" t="s">
        <v>4471</v>
      </c>
      <c r="I133" s="5">
        <v>3013895563</v>
      </c>
      <c r="J133" s="12">
        <v>46018</v>
      </c>
      <c r="K133" s="11">
        <v>0.41666666666787933</v>
      </c>
      <c r="M133" s="10" t="s">
        <v>15040</v>
      </c>
      <c r="N133" s="12">
        <v>46017.541358634262</v>
      </c>
      <c r="O133" s="10" t="s">
        <v>15041</v>
      </c>
      <c r="P133" s="5" t="s">
        <v>14571</v>
      </c>
      <c r="Q133" s="5" t="s">
        <v>14572</v>
      </c>
      <c r="R133" s="5" t="s">
        <v>15042</v>
      </c>
      <c r="T133" s="5" t="s">
        <v>5994</v>
      </c>
      <c r="U133" s="5" t="s">
        <v>14580</v>
      </c>
      <c r="V133" s="5" t="s">
        <v>83</v>
      </c>
    </row>
    <row r="134" spans="1:23" ht="12.5">
      <c r="A134" s="5">
        <v>90664</v>
      </c>
      <c r="B134" s="5" t="s">
        <v>4467</v>
      </c>
      <c r="C134" s="5">
        <v>573006631795</v>
      </c>
      <c r="D134" s="5">
        <v>95</v>
      </c>
      <c r="E134" s="5" t="s">
        <v>42</v>
      </c>
      <c r="F134" s="5" t="s">
        <v>33</v>
      </c>
      <c r="G134" s="5" t="s">
        <v>4467</v>
      </c>
      <c r="H134" s="5" t="s">
        <v>34</v>
      </c>
      <c r="I134" s="5"/>
      <c r="J134" s="12">
        <v>46017</v>
      </c>
      <c r="K134" s="11">
        <v>0</v>
      </c>
      <c r="M134" s="10" t="s">
        <v>15043</v>
      </c>
      <c r="N134" s="12">
        <v>46017.691708715276</v>
      </c>
      <c r="O134" s="10" t="s">
        <v>14918</v>
      </c>
      <c r="P134" s="5" t="s">
        <v>14571</v>
      </c>
      <c r="Q134" s="5" t="s">
        <v>14578</v>
      </c>
      <c r="R134" s="5" t="s">
        <v>15044</v>
      </c>
      <c r="T134" s="5" t="s">
        <v>14574</v>
      </c>
      <c r="U134" s="5" t="s">
        <v>33</v>
      </c>
      <c r="V134" s="5" t="s">
        <v>43</v>
      </c>
      <c r="W134" s="5" t="s">
        <v>4468</v>
      </c>
    </row>
    <row r="135" spans="1:23" ht="12.5">
      <c r="A135" s="5">
        <v>90663</v>
      </c>
      <c r="B135" s="5" t="s">
        <v>15045</v>
      </c>
      <c r="C135" s="5">
        <v>573008448397</v>
      </c>
      <c r="D135" s="5">
        <v>12</v>
      </c>
      <c r="E135" s="5" t="s">
        <v>239</v>
      </c>
      <c r="F135" s="5" t="s">
        <v>185</v>
      </c>
      <c r="G135" s="5" t="s">
        <v>4460</v>
      </c>
      <c r="H135" s="5" t="s">
        <v>4461</v>
      </c>
      <c r="I135" s="5">
        <v>3214566451</v>
      </c>
      <c r="J135" s="12">
        <v>46018</v>
      </c>
      <c r="K135" s="11">
        <v>0</v>
      </c>
      <c r="M135" s="10" t="s">
        <v>15046</v>
      </c>
      <c r="N135" s="12">
        <v>46017.617804652778</v>
      </c>
      <c r="O135" s="10" t="s">
        <v>15047</v>
      </c>
      <c r="P135" s="5" t="s">
        <v>14571</v>
      </c>
      <c r="Q135" s="5" t="s">
        <v>14572</v>
      </c>
      <c r="R135" s="5" t="s">
        <v>15048</v>
      </c>
      <c r="T135" s="5" t="s">
        <v>5994</v>
      </c>
      <c r="U135" s="5" t="s">
        <v>14580</v>
      </c>
      <c r="V135" s="5" t="s">
        <v>83</v>
      </c>
      <c r="W135" s="5" t="s">
        <v>4464</v>
      </c>
    </row>
    <row r="136" spans="1:23" ht="12.5">
      <c r="A136" s="5">
        <v>90662</v>
      </c>
      <c r="B136" s="5" t="s">
        <v>4457</v>
      </c>
      <c r="C136" s="5">
        <v>573213437763</v>
      </c>
      <c r="D136" s="5">
        <v>95</v>
      </c>
      <c r="E136" s="5" t="s">
        <v>42</v>
      </c>
      <c r="F136" s="5" t="s">
        <v>33</v>
      </c>
      <c r="G136" s="5" t="s">
        <v>4457</v>
      </c>
      <c r="H136" s="5" t="s">
        <v>34</v>
      </c>
      <c r="I136" s="5">
        <v>3213437763</v>
      </c>
      <c r="J136" s="12">
        <v>46017</v>
      </c>
      <c r="K136" s="11">
        <v>0</v>
      </c>
      <c r="M136" s="10" t="s">
        <v>15049</v>
      </c>
      <c r="N136" s="12">
        <v>46017.66824668982</v>
      </c>
      <c r="O136" s="10" t="s">
        <v>15050</v>
      </c>
      <c r="P136" s="5" t="s">
        <v>14571</v>
      </c>
      <c r="Q136" s="5" t="s">
        <v>14572</v>
      </c>
      <c r="R136" s="5" t="s">
        <v>15051</v>
      </c>
      <c r="T136" s="5" t="s">
        <v>14574</v>
      </c>
      <c r="U136" s="5" t="s">
        <v>33</v>
      </c>
      <c r="V136" s="5" t="s">
        <v>2636</v>
      </c>
      <c r="W136" s="5" t="s">
        <v>525</v>
      </c>
    </row>
    <row r="137" spans="1:23" ht="12.5">
      <c r="A137" s="5">
        <v>90661</v>
      </c>
      <c r="B137" s="5" t="s">
        <v>4453</v>
      </c>
      <c r="C137" s="10" t="s">
        <v>15052</v>
      </c>
      <c r="D137" s="5">
        <v>95</v>
      </c>
      <c r="E137" s="5" t="s">
        <v>42</v>
      </c>
      <c r="F137" s="5" t="s">
        <v>1352</v>
      </c>
      <c r="G137" s="5" t="s">
        <v>4453</v>
      </c>
      <c r="H137" s="5" t="s">
        <v>4454</v>
      </c>
      <c r="I137" s="5">
        <v>3002709518</v>
      </c>
      <c r="J137" s="12">
        <v>46017</v>
      </c>
      <c r="K137" s="11">
        <v>0</v>
      </c>
      <c r="M137" s="10" t="s">
        <v>15053</v>
      </c>
      <c r="N137" s="12">
        <v>46017</v>
      </c>
      <c r="O137" s="10" t="s">
        <v>15054</v>
      </c>
      <c r="P137" s="5" t="s">
        <v>14571</v>
      </c>
      <c r="Q137" s="5" t="s">
        <v>14612</v>
      </c>
      <c r="R137" s="5" t="s">
        <v>15055</v>
      </c>
      <c r="T137" s="5" t="s">
        <v>5994</v>
      </c>
      <c r="U137" s="5"/>
      <c r="V137" s="5" t="s">
        <v>83</v>
      </c>
      <c r="W137" s="5" t="s">
        <v>4455</v>
      </c>
    </row>
    <row r="138" spans="1:23" ht="12.5">
      <c r="A138" s="5">
        <v>90660</v>
      </c>
      <c r="B138" s="5" t="s">
        <v>4450</v>
      </c>
      <c r="C138" s="5">
        <v>570000</v>
      </c>
      <c r="D138" s="5">
        <v>51</v>
      </c>
      <c r="E138" s="5" t="s">
        <v>384</v>
      </c>
      <c r="F138" s="5" t="s">
        <v>33</v>
      </c>
      <c r="G138" s="5" t="s">
        <v>4450</v>
      </c>
      <c r="H138" s="5" t="s">
        <v>34</v>
      </c>
      <c r="I138" s="10" t="s">
        <v>2686</v>
      </c>
      <c r="J138" s="12">
        <v>46017</v>
      </c>
      <c r="K138" s="11">
        <v>0</v>
      </c>
      <c r="M138" s="10" t="s">
        <v>14740</v>
      </c>
      <c r="N138" s="12">
        <v>46017.648365810186</v>
      </c>
      <c r="O138" s="10" t="s">
        <v>15056</v>
      </c>
      <c r="P138" s="5" t="s">
        <v>14571</v>
      </c>
      <c r="Q138" s="5" t="s">
        <v>14699</v>
      </c>
      <c r="R138" s="5" t="s">
        <v>15057</v>
      </c>
      <c r="T138" s="5" t="s">
        <v>14574</v>
      </c>
      <c r="U138" s="5" t="s">
        <v>33</v>
      </c>
      <c r="V138" s="5" t="s">
        <v>2636</v>
      </c>
    </row>
    <row r="139" spans="1:23" ht="12.5">
      <c r="A139" s="5">
        <v>90659</v>
      </c>
      <c r="B139" s="5" t="s">
        <v>4446</v>
      </c>
      <c r="C139" s="5">
        <v>573136214673</v>
      </c>
      <c r="D139" s="5">
        <v>32</v>
      </c>
      <c r="E139" s="5" t="s">
        <v>65</v>
      </c>
      <c r="F139" s="5" t="s">
        <v>33</v>
      </c>
      <c r="G139" s="5" t="s">
        <v>4446</v>
      </c>
      <c r="H139" s="5" t="s">
        <v>34</v>
      </c>
      <c r="I139" s="5">
        <v>3136214673</v>
      </c>
      <c r="J139" s="12">
        <v>46020</v>
      </c>
      <c r="K139" s="11">
        <v>0.375</v>
      </c>
      <c r="M139" s="10" t="s">
        <v>14800</v>
      </c>
      <c r="N139" s="12">
        <v>46017.632844293985</v>
      </c>
      <c r="O139" s="10" t="s">
        <v>14827</v>
      </c>
      <c r="P139" s="5" t="s">
        <v>14571</v>
      </c>
      <c r="Q139" s="5" t="s">
        <v>14578</v>
      </c>
      <c r="R139" s="5" t="s">
        <v>15058</v>
      </c>
      <c r="T139" s="5" t="s">
        <v>14574</v>
      </c>
      <c r="U139" s="5" t="s">
        <v>33</v>
      </c>
      <c r="V139" s="5" t="s">
        <v>83</v>
      </c>
      <c r="W139" s="5" t="s">
        <v>4448</v>
      </c>
    </row>
    <row r="140" spans="1:23" ht="12.5">
      <c r="A140" s="5">
        <v>90658</v>
      </c>
      <c r="B140" s="5" t="s">
        <v>14121</v>
      </c>
      <c r="C140" s="5">
        <v>573004612667</v>
      </c>
      <c r="D140" s="5">
        <v>31</v>
      </c>
      <c r="E140" s="5" t="s">
        <v>375</v>
      </c>
      <c r="F140" s="5" t="s">
        <v>73</v>
      </c>
      <c r="G140" s="5" t="s">
        <v>4442</v>
      </c>
      <c r="H140" s="5" t="s">
        <v>4443</v>
      </c>
      <c r="I140" s="5">
        <v>3004612667</v>
      </c>
      <c r="J140" s="12">
        <v>46017</v>
      </c>
      <c r="K140" s="11">
        <v>0.54166666666787933</v>
      </c>
      <c r="M140" s="10" t="s">
        <v>14639</v>
      </c>
      <c r="N140" s="12">
        <v>46017.630339467592</v>
      </c>
      <c r="O140" s="10" t="s">
        <v>15059</v>
      </c>
      <c r="P140" s="5" t="s">
        <v>14571</v>
      </c>
      <c r="Q140" s="5" t="s">
        <v>14572</v>
      </c>
      <c r="R140" s="5" t="s">
        <v>15060</v>
      </c>
      <c r="T140" s="5" t="s">
        <v>5994</v>
      </c>
      <c r="U140" s="5" t="s">
        <v>14593</v>
      </c>
      <c r="V140" s="5" t="s">
        <v>83</v>
      </c>
    </row>
    <row r="141" spans="1:23" ht="12.5">
      <c r="A141" s="5">
        <v>90657</v>
      </c>
      <c r="B141" s="5" t="s">
        <v>15061</v>
      </c>
      <c r="C141" s="5">
        <v>573242219654</v>
      </c>
      <c r="D141" s="5">
        <v>69</v>
      </c>
      <c r="E141" s="5" t="s">
        <v>335</v>
      </c>
      <c r="F141" s="5" t="s">
        <v>79</v>
      </c>
      <c r="G141" s="5" t="s">
        <v>4435</v>
      </c>
      <c r="H141" s="5" t="s">
        <v>4436</v>
      </c>
      <c r="I141" s="5">
        <v>3242219654</v>
      </c>
      <c r="J141" s="12">
        <v>46018</v>
      </c>
      <c r="K141" s="11">
        <v>0.375</v>
      </c>
      <c r="M141" s="10" t="s">
        <v>10581</v>
      </c>
      <c r="N141" s="12">
        <v>46017.555115312498</v>
      </c>
      <c r="O141" s="10" t="s">
        <v>14944</v>
      </c>
      <c r="P141" s="5" t="s">
        <v>14571</v>
      </c>
      <c r="R141" s="5" t="s">
        <v>15062</v>
      </c>
      <c r="T141" s="5" t="s">
        <v>5994</v>
      </c>
      <c r="U141" s="5" t="s">
        <v>14593</v>
      </c>
      <c r="V141" s="5" t="s">
        <v>204</v>
      </c>
      <c r="W141" s="5" t="s">
        <v>4439</v>
      </c>
    </row>
    <row r="142" spans="1:23" ht="12.5">
      <c r="A142" s="5">
        <v>90656</v>
      </c>
      <c r="B142" s="5" t="s">
        <v>15063</v>
      </c>
      <c r="C142" s="5">
        <v>57113773706</v>
      </c>
      <c r="D142" s="5">
        <v>70</v>
      </c>
      <c r="E142" s="5" t="s">
        <v>559</v>
      </c>
      <c r="F142" s="5" t="s">
        <v>185</v>
      </c>
      <c r="G142" s="5" t="s">
        <v>4431</v>
      </c>
      <c r="H142" s="5" t="s">
        <v>4432</v>
      </c>
      <c r="J142" s="12">
        <v>46017</v>
      </c>
      <c r="K142" s="11">
        <v>0.66666666666787933</v>
      </c>
      <c r="M142" s="10" t="s">
        <v>15064</v>
      </c>
      <c r="N142" s="12">
        <v>46017.37948693287</v>
      </c>
      <c r="O142" s="10" t="s">
        <v>15065</v>
      </c>
      <c r="P142" s="5" t="s">
        <v>14571</v>
      </c>
      <c r="Q142" s="5" t="s">
        <v>14612</v>
      </c>
      <c r="R142" s="5" t="s">
        <v>15066</v>
      </c>
      <c r="T142" s="5" t="s">
        <v>5994</v>
      </c>
      <c r="U142" s="5" t="s">
        <v>14580</v>
      </c>
      <c r="V142" s="5" t="s">
        <v>83</v>
      </c>
      <c r="W142" s="5" t="s">
        <v>4434</v>
      </c>
    </row>
    <row r="143" spans="1:23" ht="12.5">
      <c r="A143" s="5">
        <v>90655</v>
      </c>
      <c r="B143" s="5" t="s">
        <v>15067</v>
      </c>
      <c r="C143" s="5">
        <v>573006998903</v>
      </c>
      <c r="D143" s="5">
        <v>31</v>
      </c>
      <c r="E143" s="5" t="s">
        <v>375</v>
      </c>
      <c r="F143" s="5" t="s">
        <v>33</v>
      </c>
      <c r="G143" s="5" t="s">
        <v>4426</v>
      </c>
      <c r="H143" s="5" t="s">
        <v>34</v>
      </c>
      <c r="J143" s="12">
        <v>46017</v>
      </c>
      <c r="K143" s="11">
        <v>0</v>
      </c>
      <c r="M143" s="10" t="s">
        <v>14800</v>
      </c>
      <c r="N143" s="12">
        <v>46017.58437423611</v>
      </c>
      <c r="O143" s="10" t="s">
        <v>14611</v>
      </c>
      <c r="P143" s="5" t="s">
        <v>14571</v>
      </c>
      <c r="Q143" s="5" t="s">
        <v>14578</v>
      </c>
      <c r="R143" s="5" t="s">
        <v>15068</v>
      </c>
      <c r="T143" s="5" t="s">
        <v>14574</v>
      </c>
      <c r="U143" s="5" t="s">
        <v>33</v>
      </c>
      <c r="V143" s="5" t="s">
        <v>180</v>
      </c>
    </row>
    <row r="144" spans="1:23" ht="12.5">
      <c r="A144" s="5">
        <v>90654</v>
      </c>
      <c r="B144" s="5" t="s">
        <v>4425</v>
      </c>
      <c r="C144" s="5">
        <v>573012623588</v>
      </c>
      <c r="D144" s="5">
        <v>29</v>
      </c>
      <c r="E144" s="5" t="s">
        <v>309</v>
      </c>
      <c r="F144" s="5" t="s">
        <v>33</v>
      </c>
      <c r="G144" s="5" t="s">
        <v>4425</v>
      </c>
      <c r="H144" s="5" t="s">
        <v>34</v>
      </c>
      <c r="I144" s="5">
        <v>3012623588</v>
      </c>
      <c r="J144" s="12">
        <v>46017</v>
      </c>
      <c r="K144" s="11">
        <v>0</v>
      </c>
      <c r="M144" s="10" t="s">
        <v>14585</v>
      </c>
      <c r="N144" s="12">
        <v>46017.520939826391</v>
      </c>
      <c r="O144" s="10" t="s">
        <v>14738</v>
      </c>
      <c r="P144" s="5" t="s">
        <v>14571</v>
      </c>
      <c r="Q144" s="5" t="s">
        <v>14572</v>
      </c>
      <c r="R144" s="5" t="s">
        <v>15069</v>
      </c>
      <c r="T144" s="5" t="s">
        <v>14574</v>
      </c>
      <c r="U144" s="5" t="s">
        <v>33</v>
      </c>
      <c r="V144" s="5" t="s">
        <v>43</v>
      </c>
    </row>
    <row r="145" spans="1:23" ht="12.5">
      <c r="A145" s="5">
        <v>90653</v>
      </c>
      <c r="B145" s="5" t="s">
        <v>4422</v>
      </c>
      <c r="C145" s="5">
        <v>573145496771</v>
      </c>
      <c r="D145" s="5">
        <v>25</v>
      </c>
      <c r="E145" s="5" t="s">
        <v>1792</v>
      </c>
      <c r="F145" s="5" t="s">
        <v>33</v>
      </c>
      <c r="G145" s="5" t="s">
        <v>4422</v>
      </c>
      <c r="H145" s="5" t="s">
        <v>34</v>
      </c>
      <c r="I145" s="5">
        <v>3145496771</v>
      </c>
      <c r="J145" s="12">
        <v>46018</v>
      </c>
      <c r="K145" s="11">
        <v>0.375</v>
      </c>
      <c r="M145" s="10" t="s">
        <v>10581</v>
      </c>
      <c r="N145" s="12">
        <v>46017.410439490741</v>
      </c>
      <c r="O145" s="10" t="s">
        <v>15070</v>
      </c>
      <c r="P145" s="5" t="s">
        <v>14571</v>
      </c>
      <c r="Q145" s="5" t="s">
        <v>14572</v>
      </c>
      <c r="R145" s="5" t="s">
        <v>15071</v>
      </c>
      <c r="T145" s="5" t="s">
        <v>14574</v>
      </c>
      <c r="U145" s="5" t="s">
        <v>33</v>
      </c>
      <c r="V145" s="5" t="s">
        <v>83</v>
      </c>
    </row>
    <row r="146" spans="1:23" ht="12.5">
      <c r="A146" s="5">
        <v>90652</v>
      </c>
      <c r="B146" s="5" t="s">
        <v>15072</v>
      </c>
      <c r="C146" s="5">
        <v>573183422136</v>
      </c>
      <c r="D146" s="5">
        <v>69</v>
      </c>
      <c r="E146" s="5" t="s">
        <v>335</v>
      </c>
      <c r="F146" s="5" t="s">
        <v>103</v>
      </c>
      <c r="G146" s="5" t="s">
        <v>4419</v>
      </c>
      <c r="H146" s="5" t="s">
        <v>4420</v>
      </c>
      <c r="J146" s="12">
        <v>46017</v>
      </c>
      <c r="K146" s="11">
        <v>0</v>
      </c>
      <c r="M146" s="10" t="s">
        <v>10581</v>
      </c>
      <c r="N146" s="12">
        <v>46017.508192060181</v>
      </c>
      <c r="O146" s="10" t="s">
        <v>15073</v>
      </c>
      <c r="P146" s="5" t="s">
        <v>14571</v>
      </c>
      <c r="Q146" s="5" t="s">
        <v>14572</v>
      </c>
      <c r="R146" s="5" t="s">
        <v>15074</v>
      </c>
      <c r="T146" s="5" t="s">
        <v>5994</v>
      </c>
      <c r="U146" s="5" t="s">
        <v>14593</v>
      </c>
      <c r="V146" s="5" t="s">
        <v>204</v>
      </c>
    </row>
    <row r="147" spans="1:23" ht="12.5">
      <c r="A147" s="5">
        <v>90651</v>
      </c>
      <c r="B147" s="5" t="s">
        <v>15075</v>
      </c>
      <c r="C147" s="5">
        <v>573205464594</v>
      </c>
      <c r="D147" s="5">
        <v>26</v>
      </c>
      <c r="E147" s="5" t="s">
        <v>422</v>
      </c>
      <c r="F147" s="5" t="s">
        <v>124</v>
      </c>
      <c r="G147" s="5" t="s">
        <v>4413</v>
      </c>
      <c r="H147" s="5" t="s">
        <v>4414</v>
      </c>
      <c r="I147" s="5" t="s">
        <v>4415</v>
      </c>
      <c r="J147" s="12">
        <v>46017</v>
      </c>
      <c r="K147" s="11">
        <v>0</v>
      </c>
      <c r="M147" s="10" t="s">
        <v>15076</v>
      </c>
      <c r="N147" s="12">
        <v>46017.407016863421</v>
      </c>
      <c r="O147" s="10" t="s">
        <v>15077</v>
      </c>
      <c r="P147" s="5" t="s">
        <v>14571</v>
      </c>
      <c r="Q147" s="5" t="s">
        <v>14572</v>
      </c>
      <c r="R147" s="5" t="s">
        <v>15078</v>
      </c>
      <c r="T147" s="5" t="s">
        <v>5994</v>
      </c>
      <c r="U147" s="5" t="s">
        <v>14775</v>
      </c>
      <c r="V147" s="5" t="s">
        <v>180</v>
      </c>
    </row>
    <row r="148" spans="1:23" ht="12.5">
      <c r="A148" s="5">
        <v>90650</v>
      </c>
      <c r="B148" s="5" t="s">
        <v>4409</v>
      </c>
      <c r="C148" s="5">
        <v>573205315481</v>
      </c>
      <c r="D148" s="5">
        <v>95</v>
      </c>
      <c r="E148" s="5" t="s">
        <v>42</v>
      </c>
      <c r="F148" s="5" t="s">
        <v>33</v>
      </c>
      <c r="G148" s="5" t="s">
        <v>4409</v>
      </c>
      <c r="H148" s="5" t="s">
        <v>34</v>
      </c>
      <c r="I148" s="5" t="s">
        <v>4410</v>
      </c>
      <c r="J148" s="12">
        <v>46017</v>
      </c>
      <c r="K148" s="11">
        <v>0</v>
      </c>
      <c r="M148" s="10" t="s">
        <v>14835</v>
      </c>
      <c r="N148" s="12">
        <v>46017.474894189814</v>
      </c>
      <c r="O148" s="10" t="s">
        <v>15079</v>
      </c>
      <c r="P148" s="5" t="s">
        <v>14571</v>
      </c>
      <c r="Q148" s="5" t="s">
        <v>14572</v>
      </c>
      <c r="R148" s="5" t="s">
        <v>15080</v>
      </c>
      <c r="T148" s="5" t="s">
        <v>14574</v>
      </c>
      <c r="U148" s="5" t="s">
        <v>33</v>
      </c>
      <c r="V148" s="5" t="s">
        <v>2636</v>
      </c>
      <c r="W148" s="5" t="s">
        <v>1286</v>
      </c>
    </row>
    <row r="149" spans="1:23" ht="12.5">
      <c r="A149" s="5">
        <v>90649</v>
      </c>
      <c r="B149" s="5" t="s">
        <v>15081</v>
      </c>
      <c r="C149" s="10" t="s">
        <v>15082</v>
      </c>
      <c r="D149" s="5">
        <v>78</v>
      </c>
      <c r="E149" s="5" t="s">
        <v>3892</v>
      </c>
      <c r="F149" s="5" t="s">
        <v>4403</v>
      </c>
      <c r="G149" s="5" t="s">
        <v>4402</v>
      </c>
      <c r="H149" s="5" t="s">
        <v>4404</v>
      </c>
      <c r="J149" s="12">
        <v>46017</v>
      </c>
      <c r="K149" s="11">
        <v>0.55000000000000004</v>
      </c>
      <c r="M149" s="10" t="s">
        <v>14910</v>
      </c>
      <c r="N149" s="12">
        <v>46017</v>
      </c>
      <c r="O149" s="10" t="s">
        <v>15083</v>
      </c>
      <c r="P149" s="5" t="s">
        <v>14571</v>
      </c>
      <c r="Q149" s="5" t="s">
        <v>14612</v>
      </c>
      <c r="R149" s="5" t="s">
        <v>15084</v>
      </c>
      <c r="T149" s="5" t="s">
        <v>5994</v>
      </c>
      <c r="U149" s="5" t="s">
        <v>14598</v>
      </c>
      <c r="V149" s="5" t="s">
        <v>1937</v>
      </c>
      <c r="W149" s="5" t="s">
        <v>4406</v>
      </c>
    </row>
    <row r="150" spans="1:23" ht="12.5">
      <c r="A150" s="5">
        <v>90648</v>
      </c>
      <c r="B150" s="5" t="s">
        <v>15085</v>
      </c>
      <c r="C150" s="5">
        <v>34667359759</v>
      </c>
      <c r="D150" s="5">
        <v>2</v>
      </c>
      <c r="E150" s="5" t="s">
        <v>1251</v>
      </c>
      <c r="F150" s="5" t="s">
        <v>161</v>
      </c>
      <c r="G150" s="5" t="s">
        <v>4398</v>
      </c>
      <c r="H150" s="5" t="s">
        <v>4399</v>
      </c>
      <c r="I150" s="5"/>
      <c r="J150" s="12">
        <v>46018</v>
      </c>
      <c r="K150" s="11">
        <v>0.41666666666787933</v>
      </c>
      <c r="M150" s="10" t="s">
        <v>15086</v>
      </c>
      <c r="N150" s="12">
        <v>46017.451397222219</v>
      </c>
      <c r="O150" s="10" t="s">
        <v>14650</v>
      </c>
      <c r="P150" s="5" t="s">
        <v>14571</v>
      </c>
      <c r="Q150" s="5" t="s">
        <v>14578</v>
      </c>
      <c r="R150" s="5" t="s">
        <v>15087</v>
      </c>
      <c r="T150" s="5" t="s">
        <v>5994</v>
      </c>
      <c r="U150" s="5" t="s">
        <v>14593</v>
      </c>
      <c r="V150" s="5" t="s">
        <v>83</v>
      </c>
    </row>
    <row r="151" spans="1:23" ht="12.5">
      <c r="A151" s="5">
        <v>90647</v>
      </c>
      <c r="B151" s="5" t="s">
        <v>4396</v>
      </c>
      <c r="C151" s="5">
        <v>570000</v>
      </c>
      <c r="D151" s="5">
        <v>52</v>
      </c>
      <c r="E151" s="5" t="s">
        <v>178</v>
      </c>
      <c r="F151" s="5" t="s">
        <v>33</v>
      </c>
      <c r="G151" s="5" t="s">
        <v>4396</v>
      </c>
      <c r="H151" s="5" t="s">
        <v>34</v>
      </c>
      <c r="I151" s="10" t="s">
        <v>2686</v>
      </c>
      <c r="J151" s="12">
        <v>46017</v>
      </c>
      <c r="K151" s="11">
        <v>0</v>
      </c>
      <c r="M151" s="10" t="s">
        <v>14705</v>
      </c>
      <c r="N151" s="12">
        <v>46017.439967488426</v>
      </c>
      <c r="O151" s="10" t="s">
        <v>15088</v>
      </c>
      <c r="P151" s="5" t="s">
        <v>14571</v>
      </c>
      <c r="Q151" s="5" t="s">
        <v>14578</v>
      </c>
      <c r="R151" s="5" t="s">
        <v>15089</v>
      </c>
      <c r="T151" s="5" t="s">
        <v>14574</v>
      </c>
      <c r="U151" s="5" t="s">
        <v>33</v>
      </c>
      <c r="V151" s="5" t="s">
        <v>2636</v>
      </c>
    </row>
    <row r="152" spans="1:23" ht="12.5">
      <c r="A152" s="5">
        <v>90646</v>
      </c>
      <c r="B152" s="5" t="s">
        <v>15090</v>
      </c>
      <c r="C152" s="5">
        <v>573105313347</v>
      </c>
      <c r="D152" s="5">
        <v>53</v>
      </c>
      <c r="E152" s="5" t="s">
        <v>75</v>
      </c>
      <c r="F152" s="5" t="s">
        <v>103</v>
      </c>
      <c r="G152" s="5" t="s">
        <v>4392</v>
      </c>
      <c r="H152" s="5" t="s">
        <v>4393</v>
      </c>
      <c r="J152" s="12">
        <v>46021</v>
      </c>
      <c r="K152" s="11">
        <v>0.33333333333212067</v>
      </c>
      <c r="M152" s="10" t="s">
        <v>14585</v>
      </c>
      <c r="N152" s="12">
        <v>46017.437218726853</v>
      </c>
      <c r="O152" s="10" t="s">
        <v>15091</v>
      </c>
      <c r="P152" s="5" t="s">
        <v>14571</v>
      </c>
      <c r="Q152" s="5" t="s">
        <v>14578</v>
      </c>
      <c r="R152" s="5" t="s">
        <v>15092</v>
      </c>
      <c r="T152" s="5" t="s">
        <v>5994</v>
      </c>
      <c r="U152" s="5" t="s">
        <v>14593</v>
      </c>
      <c r="V152" s="5" t="s">
        <v>83</v>
      </c>
    </row>
    <row r="153" spans="1:23" ht="12.5">
      <c r="A153" s="5">
        <v>90645</v>
      </c>
      <c r="B153" s="5" t="s">
        <v>15093</v>
      </c>
      <c r="C153" s="5">
        <v>573008077533</v>
      </c>
      <c r="D153" s="5">
        <v>33</v>
      </c>
      <c r="E153" s="5" t="s">
        <v>4389</v>
      </c>
      <c r="F153" s="5" t="s">
        <v>103</v>
      </c>
      <c r="G153" s="5" t="s">
        <v>4387</v>
      </c>
      <c r="H153" s="5" t="s">
        <v>4388</v>
      </c>
      <c r="I153" s="5"/>
      <c r="J153" s="12">
        <v>46018</v>
      </c>
      <c r="K153" s="11">
        <v>0.375</v>
      </c>
      <c r="M153" s="10" t="s">
        <v>15094</v>
      </c>
      <c r="N153" s="12">
        <v>46017.433170914352</v>
      </c>
      <c r="O153" s="10" t="s">
        <v>15095</v>
      </c>
      <c r="P153" s="5" t="s">
        <v>14571</v>
      </c>
      <c r="Q153" s="5" t="s">
        <v>14578</v>
      </c>
      <c r="R153" s="5" t="s">
        <v>15096</v>
      </c>
      <c r="T153" s="5" t="s">
        <v>5994</v>
      </c>
      <c r="U153" s="5" t="s">
        <v>14593</v>
      </c>
      <c r="V153" s="5" t="s">
        <v>43</v>
      </c>
    </row>
    <row r="154" spans="1:23" ht="12.5">
      <c r="A154" s="5">
        <v>90644</v>
      </c>
      <c r="B154" s="5" t="s">
        <v>15097</v>
      </c>
      <c r="C154" s="5">
        <v>573112029123</v>
      </c>
      <c r="D154" s="5">
        <v>1</v>
      </c>
      <c r="E154" s="5" t="s">
        <v>15098</v>
      </c>
      <c r="F154" s="5" t="s">
        <v>103</v>
      </c>
      <c r="G154" s="5" t="s">
        <v>345</v>
      </c>
      <c r="H154" s="5" t="s">
        <v>346</v>
      </c>
      <c r="I154" s="5" t="s">
        <v>4382</v>
      </c>
      <c r="J154" s="12">
        <v>46017</v>
      </c>
      <c r="K154" s="11">
        <v>0.45138888889050577</v>
      </c>
      <c r="M154" s="10" t="s">
        <v>14649</v>
      </c>
      <c r="N154" s="12">
        <v>46017.386673437504</v>
      </c>
      <c r="O154" s="10" t="s">
        <v>15099</v>
      </c>
      <c r="P154" s="5" t="s">
        <v>14571</v>
      </c>
      <c r="Q154" s="5" t="s">
        <v>14572</v>
      </c>
      <c r="R154" s="5" t="s">
        <v>15100</v>
      </c>
      <c r="T154" s="5" t="s">
        <v>5994</v>
      </c>
      <c r="U154" s="5" t="s">
        <v>14593</v>
      </c>
      <c r="V154" s="5" t="s">
        <v>1937</v>
      </c>
    </row>
    <row r="155" spans="1:23" ht="12.5">
      <c r="A155" s="5">
        <v>90643</v>
      </c>
      <c r="B155" s="5" t="s">
        <v>15101</v>
      </c>
      <c r="C155" s="5">
        <v>573157814995</v>
      </c>
      <c r="D155" s="5">
        <v>21</v>
      </c>
      <c r="E155" s="5" t="s">
        <v>330</v>
      </c>
      <c r="F155" s="5" t="s">
        <v>63</v>
      </c>
      <c r="G155" s="5" t="s">
        <v>4378</v>
      </c>
      <c r="H155" s="5" t="s">
        <v>4379</v>
      </c>
      <c r="I155" s="5"/>
      <c r="J155" s="12">
        <v>46018</v>
      </c>
      <c r="K155" s="11">
        <v>0.375</v>
      </c>
      <c r="M155" s="10" t="s">
        <v>15102</v>
      </c>
      <c r="N155" s="12">
        <v>46017.400565219912</v>
      </c>
      <c r="O155" s="10" t="s">
        <v>15103</v>
      </c>
      <c r="P155" s="5" t="s">
        <v>14571</v>
      </c>
      <c r="Q155" s="5" t="s">
        <v>14578</v>
      </c>
      <c r="R155" s="5" t="s">
        <v>15104</v>
      </c>
      <c r="T155" s="5" t="s">
        <v>5994</v>
      </c>
      <c r="U155" s="5" t="s">
        <v>14598</v>
      </c>
      <c r="V155" s="5" t="s">
        <v>83</v>
      </c>
      <c r="W155" s="5" t="s">
        <v>4381</v>
      </c>
    </row>
    <row r="156" spans="1:23" ht="12.5">
      <c r="A156" s="5">
        <v>90642</v>
      </c>
      <c r="B156" s="5" t="s">
        <v>15105</v>
      </c>
      <c r="C156" s="5">
        <v>573132013203</v>
      </c>
      <c r="D156" s="5">
        <v>51</v>
      </c>
      <c r="E156" s="5" t="s">
        <v>384</v>
      </c>
      <c r="F156" s="5" t="s">
        <v>2007</v>
      </c>
      <c r="G156" s="5" t="s">
        <v>4373</v>
      </c>
      <c r="H156" s="5" t="s">
        <v>4374</v>
      </c>
      <c r="I156" s="5">
        <v>3224623909</v>
      </c>
      <c r="J156" s="12">
        <v>46020</v>
      </c>
      <c r="K156" s="11">
        <v>0.34652777777955635</v>
      </c>
      <c r="M156" s="10" t="s">
        <v>14582</v>
      </c>
      <c r="N156" s="12">
        <v>46017.392751296298</v>
      </c>
      <c r="O156" s="10" t="s">
        <v>15106</v>
      </c>
      <c r="P156" s="5" t="s">
        <v>14571</v>
      </c>
      <c r="Q156" s="5" t="s">
        <v>14572</v>
      </c>
      <c r="R156" s="5" t="s">
        <v>15107</v>
      </c>
      <c r="T156" s="5" t="s">
        <v>5994</v>
      </c>
      <c r="V156" s="5" t="s">
        <v>83</v>
      </c>
      <c r="W156" s="5" t="s">
        <v>4376</v>
      </c>
    </row>
    <row r="157" spans="1:23" ht="12.5">
      <c r="A157" s="5">
        <v>90641</v>
      </c>
      <c r="B157" s="5" t="s">
        <v>15108</v>
      </c>
      <c r="C157" s="10" t="s">
        <v>15109</v>
      </c>
      <c r="D157" s="5">
        <v>23</v>
      </c>
      <c r="E157" s="5" t="s">
        <v>50</v>
      </c>
      <c r="F157" s="5" t="s">
        <v>307</v>
      </c>
      <c r="G157" s="5" t="s">
        <v>15110</v>
      </c>
      <c r="H157" s="5" t="s">
        <v>4369</v>
      </c>
      <c r="I157" s="5">
        <v>3104011098</v>
      </c>
      <c r="J157" s="12">
        <v>46017</v>
      </c>
      <c r="K157" s="11">
        <v>0.42083333333333334</v>
      </c>
      <c r="M157" s="10" t="s">
        <v>14777</v>
      </c>
      <c r="N157" s="12">
        <v>46017</v>
      </c>
      <c r="O157" s="10" t="s">
        <v>15111</v>
      </c>
      <c r="P157" s="5" t="s">
        <v>14571</v>
      </c>
      <c r="Q157" s="5" t="s">
        <v>14612</v>
      </c>
      <c r="R157" s="5" t="s">
        <v>15112</v>
      </c>
      <c r="T157" s="5" t="s">
        <v>5994</v>
      </c>
      <c r="U157" s="5" t="s">
        <v>14618</v>
      </c>
      <c r="V157" s="5" t="s">
        <v>180</v>
      </c>
      <c r="W157" s="5" t="s">
        <v>3407</v>
      </c>
    </row>
    <row r="158" spans="1:23" ht="12.5">
      <c r="A158" s="5">
        <v>90640</v>
      </c>
      <c r="B158" s="5" t="s">
        <v>2150</v>
      </c>
      <c r="C158" s="5">
        <v>573012394343</v>
      </c>
      <c r="D158" s="5">
        <v>95</v>
      </c>
      <c r="E158" s="5" t="s">
        <v>42</v>
      </c>
      <c r="F158" s="5" t="s">
        <v>33</v>
      </c>
      <c r="G158" s="5" t="s">
        <v>2150</v>
      </c>
      <c r="H158" s="5" t="s">
        <v>34</v>
      </c>
      <c r="I158" s="5" t="s">
        <v>4365</v>
      </c>
      <c r="J158" s="12">
        <v>46017</v>
      </c>
      <c r="K158" s="11">
        <v>0</v>
      </c>
      <c r="M158" s="10" t="s">
        <v>14863</v>
      </c>
      <c r="N158" s="12">
        <v>46017.332964733796</v>
      </c>
      <c r="O158" s="10" t="s">
        <v>15113</v>
      </c>
      <c r="P158" s="5" t="s">
        <v>14571</v>
      </c>
      <c r="Q158" s="5" t="s">
        <v>14578</v>
      </c>
      <c r="R158" s="5" t="s">
        <v>15114</v>
      </c>
      <c r="T158" s="5" t="s">
        <v>14574</v>
      </c>
      <c r="U158" s="5" t="s">
        <v>33</v>
      </c>
      <c r="V158" s="5" t="s">
        <v>83</v>
      </c>
      <c r="W158" s="5" t="s">
        <v>4366</v>
      </c>
    </row>
    <row r="159" spans="1:23" ht="12.5">
      <c r="A159" s="5">
        <v>90639</v>
      </c>
      <c r="B159" s="5" t="s">
        <v>4361</v>
      </c>
      <c r="C159" s="5">
        <v>573003726129</v>
      </c>
      <c r="D159" s="5">
        <v>21</v>
      </c>
      <c r="E159" s="5" t="s">
        <v>330</v>
      </c>
      <c r="F159" s="5" t="s">
        <v>33</v>
      </c>
      <c r="G159" s="5" t="s">
        <v>4361</v>
      </c>
      <c r="H159" s="5" t="s">
        <v>34</v>
      </c>
      <c r="I159" s="5" t="s">
        <v>4362</v>
      </c>
      <c r="J159" s="12">
        <v>46017</v>
      </c>
      <c r="K159" s="11">
        <v>0.41666666666787933</v>
      </c>
      <c r="M159" s="10" t="s">
        <v>14740</v>
      </c>
      <c r="N159" s="12">
        <v>46017.329723912037</v>
      </c>
      <c r="O159" s="10" t="s">
        <v>15115</v>
      </c>
      <c r="P159" s="5" t="s">
        <v>14571</v>
      </c>
      <c r="Q159" s="5" t="s">
        <v>14572</v>
      </c>
      <c r="R159" s="5" t="s">
        <v>15116</v>
      </c>
      <c r="T159" s="5" t="s">
        <v>14574</v>
      </c>
      <c r="U159" s="5" t="s">
        <v>33</v>
      </c>
      <c r="V159" s="5" t="s">
        <v>196</v>
      </c>
      <c r="W159" s="5" t="s">
        <v>4363</v>
      </c>
    </row>
    <row r="160" spans="1:23" ht="12.5">
      <c r="A160" s="5">
        <v>90638</v>
      </c>
      <c r="B160" s="5" t="s">
        <v>4109</v>
      </c>
      <c r="C160" s="5">
        <v>5731664237392</v>
      </c>
      <c r="D160" s="5">
        <v>35</v>
      </c>
      <c r="E160" s="5" t="s">
        <v>4358</v>
      </c>
      <c r="F160" s="5" t="s">
        <v>1187</v>
      </c>
      <c r="G160" s="5" t="s">
        <v>4356</v>
      </c>
      <c r="H160" s="5" t="s">
        <v>4357</v>
      </c>
      <c r="J160" s="12">
        <v>46017</v>
      </c>
      <c r="K160" s="11">
        <v>0</v>
      </c>
      <c r="M160" s="10" t="s">
        <v>15117</v>
      </c>
      <c r="N160" s="12">
        <v>46017.320186956014</v>
      </c>
      <c r="O160" s="10" t="s">
        <v>15118</v>
      </c>
      <c r="P160" s="5" t="s">
        <v>14571</v>
      </c>
      <c r="Q160" s="5" t="s">
        <v>14612</v>
      </c>
      <c r="R160" s="5" t="s">
        <v>15119</v>
      </c>
      <c r="T160" s="5" t="s">
        <v>5994</v>
      </c>
      <c r="U160" s="5"/>
      <c r="V160" s="5" t="s">
        <v>83</v>
      </c>
      <c r="W160" s="5" t="s">
        <v>4359</v>
      </c>
    </row>
    <row r="161" spans="1:23" ht="12.5">
      <c r="A161" s="5">
        <v>90637</v>
      </c>
      <c r="B161" s="5" t="s">
        <v>15120</v>
      </c>
      <c r="C161" s="5">
        <v>573114189941</v>
      </c>
      <c r="D161" s="5">
        <v>95</v>
      </c>
      <c r="E161" s="5" t="s">
        <v>42</v>
      </c>
      <c r="G161" s="5" t="s">
        <v>4352</v>
      </c>
      <c r="H161" s="5" t="s">
        <v>15121</v>
      </c>
      <c r="J161" s="12">
        <v>46015</v>
      </c>
      <c r="K161" s="11">
        <v>0</v>
      </c>
      <c r="M161" s="10" t="s">
        <v>14619</v>
      </c>
      <c r="N161" s="12">
        <v>46015.311672951386</v>
      </c>
      <c r="O161" s="10" t="s">
        <v>15122</v>
      </c>
      <c r="P161" s="5" t="s">
        <v>14571</v>
      </c>
      <c r="R161" s="5" t="s">
        <v>15123</v>
      </c>
      <c r="T161" s="5" t="s">
        <v>5994</v>
      </c>
      <c r="V161" s="5" t="s">
        <v>83</v>
      </c>
      <c r="W161" s="5" t="s">
        <v>4355</v>
      </c>
    </row>
    <row r="162" spans="1:23" ht="12.5">
      <c r="A162" s="5">
        <v>90636</v>
      </c>
      <c r="B162" s="5" t="s">
        <v>4351</v>
      </c>
      <c r="C162" s="5">
        <v>573008148314</v>
      </c>
      <c r="D162" s="5">
        <v>95</v>
      </c>
      <c r="E162" s="5" t="s">
        <v>42</v>
      </c>
      <c r="F162" s="5" t="s">
        <v>33</v>
      </c>
      <c r="G162" s="5" t="s">
        <v>4351</v>
      </c>
      <c r="H162" s="5" t="s">
        <v>34</v>
      </c>
      <c r="I162" s="5">
        <v>3008148314</v>
      </c>
      <c r="J162" s="12">
        <v>46015</v>
      </c>
      <c r="K162" s="11">
        <v>0</v>
      </c>
      <c r="M162" s="10" t="s">
        <v>14585</v>
      </c>
      <c r="N162" s="12">
        <v>46015.596838182872</v>
      </c>
      <c r="O162" s="10" t="s">
        <v>14611</v>
      </c>
      <c r="P162" s="5" t="s">
        <v>14571</v>
      </c>
      <c r="Q162" s="5" t="s">
        <v>14578</v>
      </c>
      <c r="R162" s="5" t="s">
        <v>15124</v>
      </c>
      <c r="T162" s="5" t="s">
        <v>14574</v>
      </c>
      <c r="U162" s="5" t="s">
        <v>33</v>
      </c>
      <c r="V162" s="5" t="s">
        <v>2636</v>
      </c>
    </row>
    <row r="163" spans="1:23" ht="12.5">
      <c r="A163" s="5">
        <v>90635</v>
      </c>
      <c r="B163" s="5" t="s">
        <v>4349</v>
      </c>
      <c r="C163" s="5">
        <v>573007609778</v>
      </c>
      <c r="D163" s="5">
        <v>95</v>
      </c>
      <c r="E163" s="5" t="s">
        <v>42</v>
      </c>
      <c r="F163" s="5" t="s">
        <v>33</v>
      </c>
      <c r="G163" s="5" t="s">
        <v>4349</v>
      </c>
      <c r="H163" s="5" t="s">
        <v>34</v>
      </c>
      <c r="I163" s="5">
        <v>3007609778</v>
      </c>
      <c r="J163" s="12">
        <v>46015</v>
      </c>
      <c r="K163" s="11">
        <v>0</v>
      </c>
      <c r="M163" s="10" t="s">
        <v>15125</v>
      </c>
      <c r="N163" s="12">
        <v>46015.593475925925</v>
      </c>
      <c r="O163" s="10" t="s">
        <v>15126</v>
      </c>
      <c r="P163" s="5" t="s">
        <v>14571</v>
      </c>
      <c r="Q163" s="5" t="s">
        <v>14572</v>
      </c>
      <c r="R163" s="5" t="s">
        <v>15127</v>
      </c>
      <c r="T163" s="5" t="s">
        <v>14574</v>
      </c>
      <c r="U163" s="5" t="s">
        <v>33</v>
      </c>
      <c r="V163" s="5" t="s">
        <v>196</v>
      </c>
    </row>
    <row r="164" spans="1:23" ht="12.5">
      <c r="A164" s="5">
        <v>90634</v>
      </c>
      <c r="B164" s="5" t="s">
        <v>4347</v>
      </c>
      <c r="C164" s="5">
        <v>573114323534</v>
      </c>
      <c r="D164" s="5">
        <v>95</v>
      </c>
      <c r="E164" s="5" t="s">
        <v>42</v>
      </c>
      <c r="F164" s="5" t="s">
        <v>33</v>
      </c>
      <c r="G164" s="5" t="s">
        <v>4347</v>
      </c>
      <c r="H164" s="5" t="s">
        <v>34</v>
      </c>
      <c r="I164" s="5">
        <v>3114323534</v>
      </c>
      <c r="J164" s="12">
        <v>46015</v>
      </c>
      <c r="K164" s="11">
        <v>0.58333333333212067</v>
      </c>
      <c r="M164" s="10" t="s">
        <v>15128</v>
      </c>
      <c r="N164" s="12">
        <v>46015.568119814816</v>
      </c>
      <c r="O164" s="10" t="s">
        <v>15129</v>
      </c>
      <c r="P164" s="5" t="s">
        <v>14571</v>
      </c>
      <c r="Q164" s="5" t="s">
        <v>14612</v>
      </c>
      <c r="R164" s="5" t="s">
        <v>15130</v>
      </c>
      <c r="T164" s="5" t="s">
        <v>14574</v>
      </c>
      <c r="U164" s="5" t="s">
        <v>33</v>
      </c>
      <c r="V164" s="5" t="s">
        <v>2636</v>
      </c>
    </row>
    <row r="165" spans="1:23" ht="12.5">
      <c r="A165" s="5">
        <v>90633</v>
      </c>
      <c r="B165" s="5" t="s">
        <v>4344</v>
      </c>
      <c r="C165" s="5">
        <v>573116552814</v>
      </c>
      <c r="D165" s="5">
        <v>52</v>
      </c>
      <c r="E165" s="5" t="s">
        <v>178</v>
      </c>
      <c r="F165" s="5" t="s">
        <v>33</v>
      </c>
      <c r="G165" s="5" t="s">
        <v>4344</v>
      </c>
      <c r="H165" s="5" t="s">
        <v>34</v>
      </c>
      <c r="I165" s="5">
        <v>3116552814</v>
      </c>
      <c r="J165" s="12">
        <v>46015</v>
      </c>
      <c r="K165" s="11">
        <v>0</v>
      </c>
      <c r="M165" s="10" t="s">
        <v>14705</v>
      </c>
      <c r="N165" s="12">
        <v>46015.541049097221</v>
      </c>
      <c r="O165" s="10" t="s">
        <v>15131</v>
      </c>
      <c r="P165" s="5" t="s">
        <v>14571</v>
      </c>
      <c r="Q165" s="5" t="s">
        <v>14578</v>
      </c>
      <c r="R165" s="5" t="s">
        <v>15132</v>
      </c>
      <c r="T165" s="5" t="s">
        <v>14574</v>
      </c>
      <c r="U165" s="5" t="s">
        <v>33</v>
      </c>
      <c r="V165" s="5" t="s">
        <v>196</v>
      </c>
    </row>
    <row r="166" spans="1:23" ht="12.5">
      <c r="A166" s="5">
        <v>90632</v>
      </c>
      <c r="B166" s="5" t="s">
        <v>4340</v>
      </c>
      <c r="C166" s="5">
        <v>573107411365</v>
      </c>
      <c r="D166" s="5">
        <v>95</v>
      </c>
      <c r="E166" s="5" t="s">
        <v>42</v>
      </c>
      <c r="F166" s="5" t="s">
        <v>33</v>
      </c>
      <c r="G166" s="5" t="s">
        <v>4340</v>
      </c>
      <c r="H166" s="5" t="s">
        <v>34</v>
      </c>
      <c r="I166" s="5">
        <v>3107411365</v>
      </c>
      <c r="J166" s="12">
        <v>46015</v>
      </c>
      <c r="K166" s="11">
        <v>0.58333333333212067</v>
      </c>
      <c r="M166" s="10" t="s">
        <v>14585</v>
      </c>
      <c r="N166" s="12">
        <v>46015.472732152775</v>
      </c>
      <c r="O166" s="10" t="s">
        <v>15133</v>
      </c>
      <c r="P166" s="5" t="s">
        <v>14571</v>
      </c>
      <c r="Q166" s="5" t="s">
        <v>14572</v>
      </c>
      <c r="R166" s="5" t="s">
        <v>15134</v>
      </c>
      <c r="T166" s="5" t="s">
        <v>14574</v>
      </c>
      <c r="U166" s="5" t="s">
        <v>33</v>
      </c>
      <c r="V166" s="5" t="s">
        <v>83</v>
      </c>
      <c r="W166" s="5" t="s">
        <v>4342</v>
      </c>
    </row>
    <row r="167" spans="1:23" ht="12.5">
      <c r="A167" s="5">
        <v>90631</v>
      </c>
      <c r="B167" s="5" t="s">
        <v>15135</v>
      </c>
      <c r="C167" s="5">
        <v>17377810902</v>
      </c>
      <c r="D167" s="5">
        <v>21</v>
      </c>
      <c r="E167" s="5" t="s">
        <v>330</v>
      </c>
      <c r="F167" s="5" t="s">
        <v>924</v>
      </c>
      <c r="G167" s="5" t="s">
        <v>4336</v>
      </c>
      <c r="H167" s="5" t="s">
        <v>4337</v>
      </c>
      <c r="I167" s="5"/>
      <c r="J167" s="12">
        <v>46015</v>
      </c>
      <c r="K167" s="11">
        <v>0.58333333333212067</v>
      </c>
      <c r="M167" s="10" t="s">
        <v>14712</v>
      </c>
      <c r="N167" s="12">
        <v>46015.465157152779</v>
      </c>
      <c r="O167" s="10" t="s">
        <v>14735</v>
      </c>
      <c r="P167" s="5" t="s">
        <v>14571</v>
      </c>
      <c r="Q167" s="5" t="s">
        <v>14612</v>
      </c>
      <c r="R167" s="5" t="s">
        <v>15136</v>
      </c>
      <c r="T167" s="5" t="s">
        <v>5994</v>
      </c>
      <c r="U167" s="5" t="s">
        <v>14691</v>
      </c>
      <c r="V167" s="5" t="s">
        <v>180</v>
      </c>
    </row>
    <row r="168" spans="1:23" ht="12.5">
      <c r="A168" s="5">
        <v>90630</v>
      </c>
      <c r="B168" s="5" t="s">
        <v>4330</v>
      </c>
      <c r="C168" s="5">
        <v>573016569876</v>
      </c>
      <c r="D168" s="5">
        <v>95</v>
      </c>
      <c r="E168" s="5" t="s">
        <v>42</v>
      </c>
      <c r="F168" s="5" t="s">
        <v>2381</v>
      </c>
      <c r="G168" s="5" t="s">
        <v>4330</v>
      </c>
      <c r="H168" s="5" t="s">
        <v>4331</v>
      </c>
      <c r="I168" s="5">
        <v>3016569876</v>
      </c>
      <c r="J168" s="12">
        <v>46015</v>
      </c>
      <c r="K168" s="11">
        <v>0</v>
      </c>
      <c r="M168" s="10" t="s">
        <v>14853</v>
      </c>
      <c r="N168" s="12">
        <v>46015.520992349542</v>
      </c>
      <c r="O168" s="10" t="s">
        <v>15137</v>
      </c>
      <c r="P168" s="5" t="s">
        <v>14571</v>
      </c>
      <c r="Q168" s="5" t="s">
        <v>14578</v>
      </c>
      <c r="R168" s="5" t="s">
        <v>15138</v>
      </c>
      <c r="T168" s="5" t="s">
        <v>5994</v>
      </c>
      <c r="U168" s="5" t="s">
        <v>14593</v>
      </c>
      <c r="V168" s="5" t="s">
        <v>196</v>
      </c>
      <c r="W168" s="5" t="s">
        <v>4333</v>
      </c>
    </row>
    <row r="169" spans="1:23" ht="12.5">
      <c r="A169" s="5">
        <v>90629</v>
      </c>
      <c r="B169" s="5" t="s">
        <v>15139</v>
      </c>
      <c r="C169" s="5">
        <v>573012445757</v>
      </c>
      <c r="D169" s="5">
        <v>20</v>
      </c>
      <c r="E169" s="5" t="s">
        <v>187</v>
      </c>
      <c r="F169" s="5" t="s">
        <v>154</v>
      </c>
      <c r="G169" s="5" t="s">
        <v>4324</v>
      </c>
      <c r="H169" s="5" t="s">
        <v>4325</v>
      </c>
      <c r="I169" s="5"/>
      <c r="J169" s="12">
        <v>46015</v>
      </c>
      <c r="K169" s="11">
        <v>0.57569444444379769</v>
      </c>
      <c r="M169" s="10" t="s">
        <v>15140</v>
      </c>
      <c r="N169" s="12">
        <v>46015.450927500002</v>
      </c>
      <c r="O169" s="10" t="s">
        <v>15141</v>
      </c>
      <c r="P169" s="5" t="s">
        <v>14571</v>
      </c>
      <c r="Q169" s="5" t="s">
        <v>14572</v>
      </c>
      <c r="R169" s="5" t="s">
        <v>15142</v>
      </c>
      <c r="T169" s="5" t="s">
        <v>5994</v>
      </c>
      <c r="U169" s="5" t="s">
        <v>14593</v>
      </c>
      <c r="V169" s="5" t="s">
        <v>1937</v>
      </c>
      <c r="W169" s="5" t="s">
        <v>4327</v>
      </c>
    </row>
    <row r="170" spans="1:23" ht="12.5">
      <c r="A170" s="5">
        <v>90628</v>
      </c>
      <c r="B170" s="5" t="s">
        <v>15143</v>
      </c>
      <c r="C170" s="5">
        <v>573205423127</v>
      </c>
      <c r="D170" s="5">
        <v>9</v>
      </c>
      <c r="E170" s="5" t="s">
        <v>866</v>
      </c>
      <c r="F170" s="5"/>
      <c r="G170" s="5" t="s">
        <v>4319</v>
      </c>
      <c r="H170" s="5" t="s">
        <v>4320</v>
      </c>
      <c r="I170" s="5">
        <v>3205423127</v>
      </c>
      <c r="J170" s="12">
        <v>46015</v>
      </c>
      <c r="K170" s="11">
        <v>0.57013888888832298</v>
      </c>
      <c r="M170" s="10" t="s">
        <v>15144</v>
      </c>
      <c r="N170" s="12">
        <v>46015.477378020834</v>
      </c>
      <c r="O170" s="10" t="s">
        <v>14971</v>
      </c>
      <c r="P170" s="5" t="s">
        <v>14571</v>
      </c>
      <c r="Q170" s="5" t="s">
        <v>14612</v>
      </c>
      <c r="R170" s="5" t="s">
        <v>15145</v>
      </c>
      <c r="T170" s="5" t="s">
        <v>5994</v>
      </c>
      <c r="U170" s="5"/>
      <c r="V170" s="5" t="s">
        <v>83</v>
      </c>
    </row>
    <row r="171" spans="1:23" ht="12.5">
      <c r="A171" s="5">
        <v>90627</v>
      </c>
      <c r="B171" s="5" t="s">
        <v>15146</v>
      </c>
      <c r="C171" s="5">
        <v>573157163109</v>
      </c>
      <c r="D171" s="5">
        <v>25</v>
      </c>
      <c r="E171" s="5" t="s">
        <v>1792</v>
      </c>
      <c r="F171" s="5" t="s">
        <v>110</v>
      </c>
      <c r="G171" s="5" t="s">
        <v>4314</v>
      </c>
      <c r="H171" s="5" t="s">
        <v>4315</v>
      </c>
      <c r="J171" s="12">
        <v>46015</v>
      </c>
      <c r="K171" s="11">
        <v>0</v>
      </c>
      <c r="M171" s="10" t="s">
        <v>15147</v>
      </c>
      <c r="N171" s="12">
        <v>46015.499394224535</v>
      </c>
      <c r="O171" s="10" t="s">
        <v>15148</v>
      </c>
      <c r="P171" s="5" t="s">
        <v>14571</v>
      </c>
      <c r="Q171" s="5" t="s">
        <v>14578</v>
      </c>
      <c r="R171" s="5" t="s">
        <v>15149</v>
      </c>
      <c r="T171" s="5" t="s">
        <v>5994</v>
      </c>
      <c r="U171" s="5" t="s">
        <v>14593</v>
      </c>
      <c r="V171" s="5" t="s">
        <v>2636</v>
      </c>
    </row>
    <row r="172" spans="1:23" ht="12.5">
      <c r="A172" s="5">
        <v>90626</v>
      </c>
      <c r="B172" s="5" t="s">
        <v>15150</v>
      </c>
      <c r="C172" s="5">
        <v>13058124451</v>
      </c>
      <c r="D172" s="5">
        <v>5</v>
      </c>
      <c r="E172" s="5" t="s">
        <v>4021</v>
      </c>
      <c r="F172" s="5" t="s">
        <v>63</v>
      </c>
      <c r="G172" s="5" t="s">
        <v>4310</v>
      </c>
      <c r="H172" s="5" t="s">
        <v>4311</v>
      </c>
      <c r="J172" s="12">
        <v>46015</v>
      </c>
      <c r="K172" s="11">
        <v>0.54166666666787933</v>
      </c>
      <c r="M172" s="10" t="s">
        <v>14953</v>
      </c>
      <c r="N172" s="12">
        <v>46015.437107523147</v>
      </c>
      <c r="O172" s="10" t="s">
        <v>14979</v>
      </c>
      <c r="P172" s="5" t="s">
        <v>14571</v>
      </c>
      <c r="Q172" s="5" t="s">
        <v>14572</v>
      </c>
      <c r="R172" s="5" t="s">
        <v>15151</v>
      </c>
      <c r="T172" s="5" t="s">
        <v>5994</v>
      </c>
      <c r="U172" s="5" t="s">
        <v>14598</v>
      </c>
      <c r="V172" s="5" t="s">
        <v>3754</v>
      </c>
      <c r="W172" s="5" t="s">
        <v>4313</v>
      </c>
    </row>
    <row r="173" spans="1:23" ht="12.5">
      <c r="A173" s="5">
        <v>90625</v>
      </c>
      <c r="B173" s="5" t="s">
        <v>1786</v>
      </c>
      <c r="C173" s="5">
        <v>573045334016</v>
      </c>
      <c r="D173" s="5">
        <v>95</v>
      </c>
      <c r="E173" s="5" t="s">
        <v>42</v>
      </c>
      <c r="F173" s="5" t="s">
        <v>33</v>
      </c>
      <c r="G173" s="5" t="s">
        <v>1786</v>
      </c>
      <c r="H173" s="5" t="s">
        <v>34</v>
      </c>
      <c r="I173" s="5">
        <v>3045334016</v>
      </c>
      <c r="J173" s="12">
        <v>46015</v>
      </c>
      <c r="K173" s="11">
        <v>0</v>
      </c>
      <c r="M173" s="10" t="s">
        <v>15152</v>
      </c>
      <c r="N173" s="12">
        <v>46015.476583553245</v>
      </c>
      <c r="O173" s="10" t="s">
        <v>15153</v>
      </c>
      <c r="P173" s="5" t="s">
        <v>14571</v>
      </c>
      <c r="Q173" s="5" t="s">
        <v>14612</v>
      </c>
      <c r="R173" s="5" t="s">
        <v>15154</v>
      </c>
      <c r="T173" s="5" t="s">
        <v>14574</v>
      </c>
      <c r="U173" s="5" t="s">
        <v>33</v>
      </c>
      <c r="V173" s="5" t="s">
        <v>2636</v>
      </c>
    </row>
    <row r="174" spans="1:23" ht="12.5">
      <c r="A174" s="5">
        <v>90624</v>
      </c>
      <c r="B174" s="5" t="s">
        <v>4304</v>
      </c>
      <c r="C174" s="10" t="s">
        <v>15155</v>
      </c>
      <c r="D174" s="5">
        <v>29</v>
      </c>
      <c r="E174" s="5" t="s">
        <v>309</v>
      </c>
      <c r="F174" s="5" t="s">
        <v>33</v>
      </c>
      <c r="G174" s="5" t="s">
        <v>4304</v>
      </c>
      <c r="H174" s="5" t="s">
        <v>34</v>
      </c>
      <c r="I174" s="5">
        <v>3205449072</v>
      </c>
      <c r="J174" s="12">
        <v>46015</v>
      </c>
      <c r="K174" s="11">
        <v>1.1111111111111112E-2</v>
      </c>
      <c r="M174" s="10" t="s">
        <v>14585</v>
      </c>
      <c r="N174" s="12">
        <v>46015</v>
      </c>
      <c r="O174" s="10" t="s">
        <v>15153</v>
      </c>
      <c r="P174" s="5" t="s">
        <v>14571</v>
      </c>
      <c r="Q174" s="5" t="s">
        <v>14578</v>
      </c>
      <c r="R174" s="5" t="s">
        <v>15154</v>
      </c>
      <c r="T174" s="5" t="s">
        <v>14574</v>
      </c>
      <c r="U174" s="5" t="s">
        <v>33</v>
      </c>
      <c r="V174" s="5" t="s">
        <v>83</v>
      </c>
      <c r="W174" s="5" t="s">
        <v>4306</v>
      </c>
    </row>
    <row r="175" spans="1:23" ht="12.5">
      <c r="A175" s="5">
        <v>90623</v>
      </c>
      <c r="B175" s="5" t="s">
        <v>15156</v>
      </c>
      <c r="C175" s="5">
        <v>573012787116</v>
      </c>
      <c r="D175" s="5">
        <v>58</v>
      </c>
      <c r="E175" s="5" t="s">
        <v>57</v>
      </c>
      <c r="F175" s="5" t="s">
        <v>1677</v>
      </c>
      <c r="G175" s="5" t="s">
        <v>4299</v>
      </c>
      <c r="H175" s="5" t="s">
        <v>4300</v>
      </c>
      <c r="I175" s="5">
        <v>3012786412</v>
      </c>
      <c r="J175" s="12">
        <v>46015</v>
      </c>
      <c r="K175" s="11">
        <v>1.3888888890505768E-2</v>
      </c>
      <c r="M175" s="10" t="s">
        <v>15157</v>
      </c>
      <c r="N175" s="12">
        <v>46015.431236157412</v>
      </c>
      <c r="O175" s="10" t="s">
        <v>15158</v>
      </c>
      <c r="P175" s="5" t="s">
        <v>14571</v>
      </c>
      <c r="Q175" s="5" t="s">
        <v>14572</v>
      </c>
      <c r="R175" s="5" t="s">
        <v>15159</v>
      </c>
      <c r="T175" s="5" t="s">
        <v>5994</v>
      </c>
      <c r="U175" s="5" t="s">
        <v>14580</v>
      </c>
      <c r="V175" s="5" t="s">
        <v>1937</v>
      </c>
    </row>
    <row r="176" spans="1:23" ht="12.5">
      <c r="A176" s="5">
        <v>90622</v>
      </c>
      <c r="B176" s="5" t="s">
        <v>15160</v>
      </c>
      <c r="C176" s="5">
        <v>573017851009</v>
      </c>
      <c r="D176" s="5">
        <v>52</v>
      </c>
      <c r="E176" s="5" t="s">
        <v>178</v>
      </c>
      <c r="F176" s="5" t="s">
        <v>975</v>
      </c>
      <c r="G176" s="5" t="s">
        <v>4293</v>
      </c>
      <c r="H176" s="5" t="s">
        <v>4294</v>
      </c>
      <c r="I176" s="5">
        <v>3017851009</v>
      </c>
      <c r="J176" s="12">
        <v>46015</v>
      </c>
      <c r="K176" s="11">
        <v>0.97777777777810115</v>
      </c>
      <c r="M176" s="10" t="s">
        <v>15161</v>
      </c>
      <c r="N176" s="12">
        <v>46015.416727627315</v>
      </c>
      <c r="O176" s="10" t="s">
        <v>15162</v>
      </c>
      <c r="P176" s="5" t="s">
        <v>14571</v>
      </c>
      <c r="Q176" s="5" t="s">
        <v>14612</v>
      </c>
      <c r="R176" s="5" t="s">
        <v>15163</v>
      </c>
      <c r="T176" s="5" t="s">
        <v>5994</v>
      </c>
      <c r="U176" s="5" t="s">
        <v>14593</v>
      </c>
      <c r="V176" s="5" t="s">
        <v>180</v>
      </c>
      <c r="W176" s="5" t="s">
        <v>4296</v>
      </c>
    </row>
    <row r="177" spans="1:23" ht="12.5">
      <c r="A177" s="5">
        <v>90621</v>
      </c>
      <c r="B177" s="5" t="s">
        <v>12679</v>
      </c>
      <c r="C177" s="5">
        <v>573225236847</v>
      </c>
      <c r="D177" s="5">
        <v>53</v>
      </c>
      <c r="E177" s="5" t="s">
        <v>75</v>
      </c>
      <c r="F177" s="5" t="s">
        <v>146</v>
      </c>
      <c r="G177" s="5" t="s">
        <v>15164</v>
      </c>
      <c r="H177" s="5" t="s">
        <v>4289</v>
      </c>
      <c r="I177" s="5" t="s">
        <v>8644</v>
      </c>
      <c r="J177" s="12">
        <v>46015</v>
      </c>
      <c r="K177" s="11">
        <v>0.47916666666787933</v>
      </c>
      <c r="M177" s="10" t="s">
        <v>14881</v>
      </c>
      <c r="N177" s="12">
        <v>46015.364781365744</v>
      </c>
      <c r="O177" s="10" t="s">
        <v>15165</v>
      </c>
      <c r="P177" s="5" t="s">
        <v>14571</v>
      </c>
      <c r="Q177" s="5" t="s">
        <v>14578</v>
      </c>
      <c r="R177" s="5" t="s">
        <v>15166</v>
      </c>
      <c r="T177" s="5" t="s">
        <v>5994</v>
      </c>
      <c r="U177" s="5" t="s">
        <v>14618</v>
      </c>
      <c r="V177" s="5" t="s">
        <v>83</v>
      </c>
    </row>
    <row r="178" spans="1:23" ht="12.5">
      <c r="A178" s="5">
        <v>90620</v>
      </c>
      <c r="B178" s="5" t="s">
        <v>15167</v>
      </c>
      <c r="C178" s="5">
        <v>573004768221</v>
      </c>
      <c r="D178" s="5">
        <v>21</v>
      </c>
      <c r="E178" s="5" t="s">
        <v>330</v>
      </c>
      <c r="F178" s="5" t="s">
        <v>4283</v>
      </c>
      <c r="G178" s="5" t="s">
        <v>4282</v>
      </c>
      <c r="H178" s="5" t="s">
        <v>4284</v>
      </c>
      <c r="I178" s="5">
        <v>3022074663</v>
      </c>
      <c r="J178" s="12">
        <v>46015</v>
      </c>
      <c r="K178" s="11">
        <v>0.48194444444379769</v>
      </c>
      <c r="M178" s="10" t="s">
        <v>14712</v>
      </c>
      <c r="N178" s="12">
        <v>46015.348692951389</v>
      </c>
      <c r="O178" s="10" t="s">
        <v>14669</v>
      </c>
      <c r="P178" s="5" t="s">
        <v>14571</v>
      </c>
      <c r="Q178" s="5" t="s">
        <v>14572</v>
      </c>
      <c r="R178" s="5" t="s">
        <v>15168</v>
      </c>
      <c r="T178" s="5" t="s">
        <v>5994</v>
      </c>
      <c r="U178" s="5" t="s">
        <v>14691</v>
      </c>
      <c r="V178" s="5" t="s">
        <v>83</v>
      </c>
    </row>
    <row r="179" spans="1:23" ht="12.5">
      <c r="A179" s="5">
        <v>90619</v>
      </c>
      <c r="B179" s="5" t="s">
        <v>15169</v>
      </c>
      <c r="C179" s="5">
        <v>573105628531</v>
      </c>
      <c r="D179" s="5">
        <v>18</v>
      </c>
      <c r="E179" s="5" t="s">
        <v>370</v>
      </c>
      <c r="F179" s="5" t="s">
        <v>63</v>
      </c>
      <c r="G179" s="5" t="s">
        <v>4277</v>
      </c>
      <c r="H179" s="5" t="s">
        <v>4278</v>
      </c>
      <c r="J179" s="12">
        <v>46015</v>
      </c>
      <c r="K179" s="11">
        <v>0.45833333333212067</v>
      </c>
      <c r="M179" s="10" t="s">
        <v>14927</v>
      </c>
      <c r="N179" s="12">
        <v>46015.386585416665</v>
      </c>
      <c r="O179" s="10" t="s">
        <v>15170</v>
      </c>
      <c r="P179" s="5" t="s">
        <v>14571</v>
      </c>
      <c r="Q179" s="5" t="s">
        <v>14612</v>
      </c>
      <c r="R179" s="5" t="s">
        <v>15171</v>
      </c>
      <c r="T179" s="5" t="s">
        <v>5994</v>
      </c>
      <c r="U179" s="5" t="s">
        <v>14598</v>
      </c>
      <c r="V179" s="5" t="s">
        <v>180</v>
      </c>
    </row>
    <row r="180" spans="1:23" ht="12.5">
      <c r="A180" s="5">
        <v>90618</v>
      </c>
      <c r="B180" s="5" t="s">
        <v>15172</v>
      </c>
      <c r="C180" s="5">
        <v>573004753197</v>
      </c>
      <c r="D180" s="5">
        <v>52</v>
      </c>
      <c r="E180" s="5" t="s">
        <v>178</v>
      </c>
      <c r="F180" s="5" t="s">
        <v>73</v>
      </c>
      <c r="G180" s="5" t="s">
        <v>4271</v>
      </c>
      <c r="H180" s="5" t="s">
        <v>4272</v>
      </c>
      <c r="I180" s="5">
        <v>3160665040</v>
      </c>
      <c r="J180" s="12">
        <v>46015</v>
      </c>
      <c r="K180" s="11">
        <v>0.41666666666787933</v>
      </c>
      <c r="M180" s="10" t="s">
        <v>14859</v>
      </c>
      <c r="N180" s="12">
        <v>46015.37049700231</v>
      </c>
      <c r="O180" s="10" t="s">
        <v>15173</v>
      </c>
      <c r="P180" s="5" t="s">
        <v>14571</v>
      </c>
      <c r="Q180" s="5" t="s">
        <v>14578</v>
      </c>
      <c r="R180" s="5" t="s">
        <v>15174</v>
      </c>
      <c r="T180" s="5" t="s">
        <v>5994</v>
      </c>
      <c r="U180" s="5" t="s">
        <v>14593</v>
      </c>
      <c r="V180" s="5" t="s">
        <v>83</v>
      </c>
      <c r="W180" s="5" t="s">
        <v>4274</v>
      </c>
    </row>
    <row r="181" spans="1:23" ht="12.5">
      <c r="A181" s="5">
        <v>90617</v>
      </c>
      <c r="B181" s="5" t="s">
        <v>15175</v>
      </c>
      <c r="C181" s="5">
        <v>573013687261</v>
      </c>
      <c r="D181" s="5">
        <v>20</v>
      </c>
      <c r="E181" s="5" t="s">
        <v>187</v>
      </c>
      <c r="F181" s="5" t="s">
        <v>33</v>
      </c>
      <c r="G181" s="5" t="s">
        <v>4267</v>
      </c>
      <c r="H181" s="5" t="s">
        <v>34</v>
      </c>
      <c r="I181" s="5">
        <v>3013687261</v>
      </c>
      <c r="J181" s="12">
        <v>46015</v>
      </c>
      <c r="K181" s="11">
        <v>0.44861111111094942</v>
      </c>
      <c r="M181" s="10" t="s">
        <v>14712</v>
      </c>
      <c r="N181" s="12">
        <v>46015.344110023143</v>
      </c>
      <c r="O181" s="10" t="s">
        <v>15176</v>
      </c>
      <c r="P181" s="5" t="s">
        <v>14571</v>
      </c>
      <c r="Q181" s="5" t="s">
        <v>14572</v>
      </c>
      <c r="R181" s="5" t="s">
        <v>15177</v>
      </c>
      <c r="T181" s="5" t="s">
        <v>14574</v>
      </c>
      <c r="U181" s="5" t="s">
        <v>33</v>
      </c>
      <c r="V181" s="5" t="s">
        <v>180</v>
      </c>
      <c r="W181" s="5" t="s">
        <v>4269</v>
      </c>
    </row>
    <row r="182" spans="1:23" ht="12.5">
      <c r="A182" s="5">
        <v>90616</v>
      </c>
      <c r="B182" s="5" t="s">
        <v>15178</v>
      </c>
      <c r="C182" s="5">
        <v>573003237568</v>
      </c>
      <c r="D182" s="5">
        <v>71</v>
      </c>
      <c r="E182" s="5" t="s">
        <v>734</v>
      </c>
      <c r="F182" s="5" t="s">
        <v>1722</v>
      </c>
      <c r="G182" s="5" t="s">
        <v>4262</v>
      </c>
      <c r="H182" s="5" t="s">
        <v>4263</v>
      </c>
      <c r="J182" s="12">
        <v>46015</v>
      </c>
      <c r="K182" s="11">
        <v>0.45833333333212067</v>
      </c>
      <c r="M182" s="10" t="s">
        <v>15179</v>
      </c>
      <c r="N182" s="12">
        <v>46015.375656874996</v>
      </c>
      <c r="O182" s="10" t="s">
        <v>15180</v>
      </c>
      <c r="P182" s="5" t="s">
        <v>14571</v>
      </c>
      <c r="Q182" s="5" t="s">
        <v>14612</v>
      </c>
      <c r="R182" s="5" t="s">
        <v>15181</v>
      </c>
      <c r="T182" s="5" t="s">
        <v>5994</v>
      </c>
      <c r="U182" s="5" t="s">
        <v>14580</v>
      </c>
      <c r="V182" s="5" t="s">
        <v>2636</v>
      </c>
      <c r="W182" s="5" t="s">
        <v>4265</v>
      </c>
    </row>
    <row r="183" spans="1:23" ht="12.5">
      <c r="A183" s="5">
        <v>90615</v>
      </c>
      <c r="B183" s="5" t="s">
        <v>15182</v>
      </c>
      <c r="C183" s="5">
        <v>573187125302</v>
      </c>
      <c r="D183" s="5">
        <v>95</v>
      </c>
      <c r="E183" s="5" t="s">
        <v>42</v>
      </c>
      <c r="F183" s="5" t="s">
        <v>33</v>
      </c>
      <c r="G183" s="5" t="s">
        <v>4259</v>
      </c>
      <c r="H183" s="5" t="s">
        <v>34</v>
      </c>
      <c r="J183" s="12">
        <v>46015</v>
      </c>
      <c r="K183" s="11">
        <v>0.41041666666569654</v>
      </c>
      <c r="M183" s="10" t="s">
        <v>2686</v>
      </c>
      <c r="N183" s="12">
        <v>46015.34320210648</v>
      </c>
      <c r="O183" s="10" t="s">
        <v>14904</v>
      </c>
      <c r="P183" s="5" t="s">
        <v>14571</v>
      </c>
      <c r="Q183" s="5" t="s">
        <v>14578</v>
      </c>
      <c r="R183" s="5" t="s">
        <v>15183</v>
      </c>
      <c r="T183" s="5" t="s">
        <v>14574</v>
      </c>
      <c r="U183" s="5" t="s">
        <v>33</v>
      </c>
      <c r="V183" s="5" t="s">
        <v>83</v>
      </c>
      <c r="W183" s="5" t="s">
        <v>4260</v>
      </c>
    </row>
    <row r="184" spans="1:23" ht="12.5">
      <c r="A184" s="5">
        <v>90614</v>
      </c>
      <c r="B184" s="5" t="s">
        <v>12073</v>
      </c>
      <c r="C184" s="5">
        <v>573166212722</v>
      </c>
      <c r="D184" s="5">
        <v>51</v>
      </c>
      <c r="E184" s="5" t="s">
        <v>384</v>
      </c>
      <c r="F184" s="5" t="s">
        <v>33</v>
      </c>
      <c r="G184" s="5" t="s">
        <v>4256</v>
      </c>
      <c r="H184" s="10" t="s">
        <v>4257</v>
      </c>
      <c r="I184" s="5">
        <v>3166212722</v>
      </c>
      <c r="J184" s="12">
        <v>46015</v>
      </c>
      <c r="K184" s="11">
        <v>0.41666666666787933</v>
      </c>
      <c r="M184" s="10" t="s">
        <v>14740</v>
      </c>
      <c r="N184" s="12">
        <v>46015.35594256944</v>
      </c>
      <c r="O184" s="10" t="s">
        <v>15184</v>
      </c>
      <c r="P184" s="5" t="s">
        <v>14571</v>
      </c>
      <c r="Q184" s="5" t="s">
        <v>14572</v>
      </c>
      <c r="R184" s="5" t="s">
        <v>15185</v>
      </c>
      <c r="T184" s="5" t="s">
        <v>14574</v>
      </c>
      <c r="U184" s="5" t="s">
        <v>33</v>
      </c>
      <c r="V184" s="5" t="s">
        <v>2438</v>
      </c>
    </row>
    <row r="185" spans="1:23" ht="12.5">
      <c r="A185" s="5">
        <v>90613</v>
      </c>
      <c r="B185" s="5" t="s">
        <v>15186</v>
      </c>
      <c r="C185" s="5">
        <v>573205592824</v>
      </c>
      <c r="D185" s="5">
        <v>32</v>
      </c>
      <c r="E185" s="5" t="s">
        <v>65</v>
      </c>
      <c r="F185" s="5" t="s">
        <v>33</v>
      </c>
      <c r="G185" s="5" t="s">
        <v>4252</v>
      </c>
      <c r="H185" s="5" t="s">
        <v>34</v>
      </c>
      <c r="J185" s="12">
        <v>46015</v>
      </c>
      <c r="K185" s="11">
        <v>0.45833333333212067</v>
      </c>
      <c r="M185" s="10" t="s">
        <v>14800</v>
      </c>
      <c r="N185" s="12">
        <v>46015.351464907406</v>
      </c>
      <c r="O185" s="10" t="s">
        <v>15187</v>
      </c>
      <c r="P185" s="5" t="s">
        <v>14571</v>
      </c>
      <c r="Q185" s="5" t="s">
        <v>14612</v>
      </c>
      <c r="R185" s="5" t="s">
        <v>15188</v>
      </c>
      <c r="T185" s="5" t="s">
        <v>14574</v>
      </c>
      <c r="U185" s="5" t="s">
        <v>33</v>
      </c>
      <c r="V185" s="5" t="s">
        <v>83</v>
      </c>
    </row>
    <row r="186" spans="1:23" ht="12.5">
      <c r="A186" s="5">
        <v>90612</v>
      </c>
      <c r="B186" s="5" t="s">
        <v>10729</v>
      </c>
      <c r="C186" s="5">
        <v>573015718010</v>
      </c>
      <c r="D186" s="5">
        <v>29</v>
      </c>
      <c r="E186" s="5" t="s">
        <v>309</v>
      </c>
      <c r="F186" s="5" t="s">
        <v>563</v>
      </c>
      <c r="G186" s="5" t="s">
        <v>4247</v>
      </c>
      <c r="H186" s="5" t="s">
        <v>15189</v>
      </c>
      <c r="I186" s="5">
        <v>3005061277</v>
      </c>
      <c r="J186" s="12">
        <v>46015</v>
      </c>
      <c r="K186" s="11">
        <v>0.40000000000145519</v>
      </c>
      <c r="M186" s="10" t="s">
        <v>14832</v>
      </c>
      <c r="N186" s="12">
        <v>46015.34774946759</v>
      </c>
      <c r="O186" s="10" t="s">
        <v>15190</v>
      </c>
      <c r="P186" s="5" t="s">
        <v>14571</v>
      </c>
      <c r="Q186" s="5" t="s">
        <v>14578</v>
      </c>
      <c r="R186" s="5" t="s">
        <v>15191</v>
      </c>
      <c r="T186" s="5" t="s">
        <v>5994</v>
      </c>
      <c r="U186" s="5" t="s">
        <v>14775</v>
      </c>
      <c r="V186" s="5" t="s">
        <v>83</v>
      </c>
    </row>
    <row r="187" spans="1:23" ht="12.5">
      <c r="A187" s="5">
        <v>90611</v>
      </c>
      <c r="B187" s="5" t="s">
        <v>15192</v>
      </c>
      <c r="C187" s="5">
        <v>573017961778</v>
      </c>
      <c r="D187" s="5">
        <v>45</v>
      </c>
      <c r="E187" s="5" t="s">
        <v>210</v>
      </c>
      <c r="F187" s="5" t="s">
        <v>405</v>
      </c>
      <c r="G187" s="5" t="s">
        <v>4243</v>
      </c>
      <c r="H187" s="5" t="s">
        <v>4244</v>
      </c>
      <c r="J187" s="12">
        <v>46015</v>
      </c>
      <c r="K187" s="11">
        <v>0</v>
      </c>
      <c r="M187" s="10" t="s">
        <v>14740</v>
      </c>
      <c r="N187" s="12">
        <v>46014.817783379629</v>
      </c>
      <c r="O187" s="10" t="s">
        <v>15193</v>
      </c>
      <c r="P187" s="5" t="s">
        <v>14571</v>
      </c>
      <c r="Q187" s="5" t="s">
        <v>14572</v>
      </c>
      <c r="R187" s="5" t="s">
        <v>15194</v>
      </c>
      <c r="T187" s="5" t="s">
        <v>5994</v>
      </c>
      <c r="U187" s="5"/>
      <c r="V187" s="5" t="s">
        <v>180</v>
      </c>
    </row>
    <row r="188" spans="1:23" ht="12.5">
      <c r="A188" s="5">
        <v>90610</v>
      </c>
      <c r="B188" s="5" t="s">
        <v>15195</v>
      </c>
      <c r="C188" s="5">
        <v>573003735055</v>
      </c>
      <c r="D188" s="5">
        <v>31</v>
      </c>
      <c r="E188" s="5" t="s">
        <v>375</v>
      </c>
      <c r="F188" s="5" t="s">
        <v>124</v>
      </c>
      <c r="G188" s="5" t="s">
        <v>4238</v>
      </c>
      <c r="H188" s="5" t="s">
        <v>4239</v>
      </c>
      <c r="I188" s="5">
        <v>3174318096</v>
      </c>
      <c r="J188" s="12">
        <v>46015</v>
      </c>
      <c r="K188" s="11">
        <v>0.375</v>
      </c>
      <c r="M188" s="10" t="s">
        <v>14881</v>
      </c>
      <c r="N188" s="12">
        <v>46015.328518402777</v>
      </c>
      <c r="O188" s="10" t="s">
        <v>15196</v>
      </c>
      <c r="P188" s="5" t="s">
        <v>14571</v>
      </c>
      <c r="Q188" s="5" t="s">
        <v>14612</v>
      </c>
      <c r="R188" s="5" t="s">
        <v>15197</v>
      </c>
      <c r="T188" s="5" t="s">
        <v>5994</v>
      </c>
      <c r="U188" s="5" t="s">
        <v>14775</v>
      </c>
      <c r="V188" s="5" t="s">
        <v>1937</v>
      </c>
    </row>
    <row r="189" spans="1:23" ht="12.5">
      <c r="A189" s="5">
        <v>90609</v>
      </c>
      <c r="B189" s="5" t="s">
        <v>4236</v>
      </c>
      <c r="C189" s="5">
        <v>573016978511</v>
      </c>
      <c r="D189" s="5">
        <v>95</v>
      </c>
      <c r="E189" s="5" t="s">
        <v>42</v>
      </c>
      <c r="F189" s="5" t="s">
        <v>33</v>
      </c>
      <c r="G189" s="5" t="s">
        <v>4236</v>
      </c>
      <c r="H189" s="5" t="s">
        <v>34</v>
      </c>
      <c r="I189" s="5">
        <v>3016978511</v>
      </c>
      <c r="J189" s="12">
        <v>46015</v>
      </c>
      <c r="K189" s="11">
        <v>0</v>
      </c>
      <c r="M189" s="10" t="s">
        <v>15198</v>
      </c>
      <c r="N189" s="12">
        <v>46015.314894953699</v>
      </c>
      <c r="O189" s="10" t="s">
        <v>15199</v>
      </c>
      <c r="P189" s="5" t="s">
        <v>14571</v>
      </c>
      <c r="Q189" s="5" t="s">
        <v>14578</v>
      </c>
      <c r="R189" s="5" t="s">
        <v>15200</v>
      </c>
      <c r="T189" s="5" t="s">
        <v>14574</v>
      </c>
      <c r="U189" s="5" t="s">
        <v>33</v>
      </c>
      <c r="V189" s="5" t="s">
        <v>2636</v>
      </c>
      <c r="W189" s="5" t="s">
        <v>1286</v>
      </c>
    </row>
    <row r="190" spans="1:23" ht="12.5">
      <c r="A190" s="5">
        <v>90608</v>
      </c>
      <c r="B190" s="5" t="s">
        <v>4232</v>
      </c>
      <c r="C190" s="5">
        <v>573013638788</v>
      </c>
      <c r="D190" s="5">
        <v>95</v>
      </c>
      <c r="E190" s="5" t="s">
        <v>42</v>
      </c>
      <c r="F190" s="5" t="s">
        <v>33</v>
      </c>
      <c r="G190" s="5" t="s">
        <v>4232</v>
      </c>
      <c r="H190" s="5" t="s">
        <v>15201</v>
      </c>
      <c r="I190" s="5"/>
      <c r="J190" s="12">
        <v>46015</v>
      </c>
      <c r="K190" s="11">
        <v>0</v>
      </c>
      <c r="M190" s="10" t="s">
        <v>14705</v>
      </c>
      <c r="N190" s="12">
        <v>46015.300879629634</v>
      </c>
      <c r="O190" s="10" t="s">
        <v>15202</v>
      </c>
      <c r="P190" s="5" t="s">
        <v>14571</v>
      </c>
      <c r="Q190" s="5" t="s">
        <v>14572</v>
      </c>
      <c r="R190" s="5" t="s">
        <v>15203</v>
      </c>
      <c r="T190" s="5" t="s">
        <v>14574</v>
      </c>
      <c r="U190" s="5" t="s">
        <v>33</v>
      </c>
      <c r="V190" s="5" t="s">
        <v>43</v>
      </c>
      <c r="W190" s="5" t="s">
        <v>4234</v>
      </c>
    </row>
    <row r="191" spans="1:23" ht="15.5">
      <c r="A191" s="5">
        <v>90607</v>
      </c>
      <c r="B191" s="5" t="s">
        <v>1231</v>
      </c>
      <c r="C191" s="5">
        <v>573007682024</v>
      </c>
      <c r="D191" s="5">
        <v>95</v>
      </c>
      <c r="E191" s="5" t="s">
        <v>42</v>
      </c>
      <c r="F191" s="5" t="s">
        <v>33</v>
      </c>
      <c r="G191" s="5" t="s">
        <v>1231</v>
      </c>
      <c r="H191" s="25" t="s">
        <v>33</v>
      </c>
      <c r="I191" s="5">
        <v>3007682024</v>
      </c>
      <c r="J191" s="12">
        <v>46015</v>
      </c>
      <c r="K191" s="11">
        <v>0</v>
      </c>
      <c r="M191" s="21">
        <v>0</v>
      </c>
      <c r="N191" s="12">
        <v>46015.300887592588</v>
      </c>
      <c r="O191" s="7">
        <v>0</v>
      </c>
      <c r="P191" s="5" t="s">
        <v>14571</v>
      </c>
      <c r="Q191" s="5" t="s">
        <v>14612</v>
      </c>
      <c r="R191" s="5" t="s">
        <v>15203</v>
      </c>
      <c r="T191" s="5" t="s">
        <v>14574</v>
      </c>
      <c r="U191" s="5" t="s">
        <v>33</v>
      </c>
      <c r="V191" s="5" t="s">
        <v>43</v>
      </c>
      <c r="W191" s="5" t="s">
        <v>4229</v>
      </c>
    </row>
    <row r="192" spans="1:23" ht="12.5">
      <c r="A192" s="5">
        <v>90606</v>
      </c>
      <c r="B192" s="5" t="s">
        <v>15204</v>
      </c>
      <c r="C192" s="5">
        <v>573175181022</v>
      </c>
      <c r="D192" s="5">
        <v>95</v>
      </c>
      <c r="E192" s="5" t="s">
        <v>42</v>
      </c>
      <c r="F192" s="5" t="s">
        <v>154</v>
      </c>
      <c r="G192" s="5" t="s">
        <v>4224</v>
      </c>
      <c r="H192" s="5" t="s">
        <v>4225</v>
      </c>
      <c r="I192" s="5">
        <v>3175181022</v>
      </c>
      <c r="J192" s="12">
        <v>46015</v>
      </c>
      <c r="K192" s="11">
        <v>0.41666666666787933</v>
      </c>
      <c r="M192" s="10" t="s">
        <v>15205</v>
      </c>
      <c r="N192" s="12">
        <v>46014.634758611108</v>
      </c>
      <c r="O192" s="10" t="s">
        <v>15206</v>
      </c>
      <c r="P192" s="5" t="s">
        <v>14571</v>
      </c>
      <c r="Q192" s="5" t="s">
        <v>14578</v>
      </c>
      <c r="R192" s="5" t="s">
        <v>15207</v>
      </c>
      <c r="T192" s="5" t="s">
        <v>5994</v>
      </c>
      <c r="U192" s="5" t="s">
        <v>14593</v>
      </c>
      <c r="V192" s="5" t="s">
        <v>67</v>
      </c>
      <c r="W192" s="5" t="s">
        <v>4227</v>
      </c>
    </row>
    <row r="193" spans="1:23" ht="12.5">
      <c r="A193" s="5">
        <v>90605</v>
      </c>
      <c r="B193" s="5" t="s">
        <v>15208</v>
      </c>
      <c r="C193" s="5">
        <v>17865186525</v>
      </c>
      <c r="D193" s="5">
        <v>51</v>
      </c>
      <c r="E193" s="5" t="s">
        <v>384</v>
      </c>
      <c r="F193" s="5" t="s">
        <v>249</v>
      </c>
      <c r="G193" s="5" t="s">
        <v>4219</v>
      </c>
      <c r="H193" s="5" t="s">
        <v>4220</v>
      </c>
      <c r="I193" s="5">
        <v>3003789510</v>
      </c>
      <c r="J193" s="12">
        <v>46015</v>
      </c>
      <c r="K193" s="11">
        <v>0.41666666666787933</v>
      </c>
      <c r="M193" s="10" t="s">
        <v>15040</v>
      </c>
      <c r="N193" s="12">
        <v>46014.674762499999</v>
      </c>
      <c r="O193" s="10" t="s">
        <v>14797</v>
      </c>
      <c r="P193" s="5" t="s">
        <v>14571</v>
      </c>
      <c r="Q193" s="5" t="s">
        <v>14572</v>
      </c>
      <c r="R193" s="5" t="s">
        <v>15209</v>
      </c>
      <c r="T193" s="5" t="s">
        <v>5994</v>
      </c>
      <c r="U193" s="5" t="s">
        <v>14593</v>
      </c>
      <c r="V193" s="5" t="s">
        <v>1481</v>
      </c>
      <c r="W193" s="5" t="s">
        <v>4222</v>
      </c>
    </row>
    <row r="194" spans="1:23" ht="12.5">
      <c r="A194" s="5">
        <v>90604</v>
      </c>
      <c r="B194" s="5" t="s">
        <v>4216</v>
      </c>
      <c r="C194" s="5">
        <v>573106442346</v>
      </c>
      <c r="D194" s="5">
        <v>95</v>
      </c>
      <c r="E194" s="5" t="s">
        <v>42</v>
      </c>
      <c r="F194" s="5" t="s">
        <v>33</v>
      </c>
      <c r="G194" s="5" t="s">
        <v>4216</v>
      </c>
      <c r="H194" s="5" t="s">
        <v>34</v>
      </c>
      <c r="I194" s="5">
        <v>3106442346</v>
      </c>
      <c r="J194" s="12">
        <v>46014</v>
      </c>
      <c r="K194" s="11">
        <v>0.77500000000145519</v>
      </c>
      <c r="M194" s="10" t="s">
        <v>15032</v>
      </c>
      <c r="N194" s="12">
        <v>46014.47078447917</v>
      </c>
      <c r="O194" s="10" t="s">
        <v>15210</v>
      </c>
      <c r="P194" s="5" t="s">
        <v>14571</v>
      </c>
      <c r="Q194" s="5" t="s">
        <v>14612</v>
      </c>
      <c r="R194" s="5" t="s">
        <v>15211</v>
      </c>
      <c r="T194" s="5" t="s">
        <v>14574</v>
      </c>
      <c r="U194" s="5" t="s">
        <v>33</v>
      </c>
      <c r="V194" s="5" t="s">
        <v>2636</v>
      </c>
      <c r="W194" s="5" t="s">
        <v>4217</v>
      </c>
    </row>
    <row r="195" spans="1:23" ht="12.5">
      <c r="A195" s="5">
        <v>90603</v>
      </c>
      <c r="B195" s="5" t="s">
        <v>15212</v>
      </c>
      <c r="C195" s="5">
        <v>573042035368</v>
      </c>
      <c r="D195" s="5">
        <v>63</v>
      </c>
      <c r="E195" s="5" t="s">
        <v>294</v>
      </c>
      <c r="F195" s="5" t="s">
        <v>161</v>
      </c>
      <c r="G195" s="5" t="s">
        <v>4211</v>
      </c>
      <c r="H195" s="5" t="s">
        <v>4213</v>
      </c>
      <c r="I195" s="5">
        <v>3042035368</v>
      </c>
      <c r="J195" s="12">
        <v>46014</v>
      </c>
      <c r="K195" s="11">
        <v>0.76319444444379769</v>
      </c>
      <c r="M195" s="10" t="s">
        <v>14576</v>
      </c>
      <c r="N195" s="12">
        <v>46014.716784525459</v>
      </c>
      <c r="O195" s="10" t="s">
        <v>15213</v>
      </c>
      <c r="P195" s="5" t="s">
        <v>14571</v>
      </c>
      <c r="Q195" s="5" t="s">
        <v>14572</v>
      </c>
      <c r="R195" s="5" t="s">
        <v>15214</v>
      </c>
      <c r="T195" s="5" t="s">
        <v>5994</v>
      </c>
      <c r="U195" s="5" t="s">
        <v>14593</v>
      </c>
      <c r="V195" s="5" t="s">
        <v>83</v>
      </c>
    </row>
    <row r="196" spans="1:23" ht="12.5">
      <c r="A196" s="5">
        <v>90602</v>
      </c>
      <c r="B196" s="5" t="s">
        <v>4209</v>
      </c>
      <c r="C196" s="10" t="s">
        <v>15215</v>
      </c>
      <c r="D196" s="5">
        <v>95</v>
      </c>
      <c r="E196" s="5" t="s">
        <v>42</v>
      </c>
      <c r="F196" s="5" t="s">
        <v>33</v>
      </c>
      <c r="G196" s="5" t="s">
        <v>4209</v>
      </c>
      <c r="H196" s="5" t="s">
        <v>34</v>
      </c>
      <c r="I196" s="5">
        <v>3022977046</v>
      </c>
      <c r="J196" s="12">
        <v>46014</v>
      </c>
      <c r="K196" s="11">
        <v>0.71875</v>
      </c>
      <c r="M196" s="10" t="s">
        <v>14960</v>
      </c>
      <c r="N196" s="12">
        <v>46014</v>
      </c>
      <c r="O196" s="10" t="s">
        <v>15216</v>
      </c>
      <c r="P196" s="5" t="s">
        <v>14571</v>
      </c>
      <c r="Q196" s="5" t="s">
        <v>14612</v>
      </c>
      <c r="R196" s="5" t="s">
        <v>15217</v>
      </c>
      <c r="T196" s="5" t="s">
        <v>14574</v>
      </c>
      <c r="U196" s="5" t="s">
        <v>33</v>
      </c>
      <c r="V196" s="5" t="s">
        <v>2636</v>
      </c>
      <c r="W196" s="5" t="s">
        <v>4210</v>
      </c>
    </row>
    <row r="197" spans="1:23" ht="12.5">
      <c r="A197" s="5">
        <v>90601</v>
      </c>
      <c r="B197" s="5" t="s">
        <v>15218</v>
      </c>
      <c r="C197" s="5">
        <v>573246492154</v>
      </c>
      <c r="D197" s="5">
        <v>95</v>
      </c>
      <c r="E197" s="5" t="s">
        <v>42</v>
      </c>
      <c r="F197" s="5" t="s">
        <v>63</v>
      </c>
      <c r="G197" s="5" t="s">
        <v>2347</v>
      </c>
      <c r="H197" s="5" t="s">
        <v>4204</v>
      </c>
      <c r="I197" s="5">
        <v>3246492154</v>
      </c>
      <c r="J197" s="12">
        <v>46014</v>
      </c>
      <c r="K197" s="11">
        <v>0.75</v>
      </c>
      <c r="M197" s="10" t="s">
        <v>15219</v>
      </c>
      <c r="N197" s="12">
        <v>46014.700569340275</v>
      </c>
      <c r="O197" s="10" t="s">
        <v>15220</v>
      </c>
      <c r="P197" s="5" t="s">
        <v>14571</v>
      </c>
      <c r="Q197" s="5" t="s">
        <v>14612</v>
      </c>
      <c r="R197" s="5" t="s">
        <v>15221</v>
      </c>
      <c r="T197" s="5" t="s">
        <v>5994</v>
      </c>
      <c r="U197" s="5" t="s">
        <v>14598</v>
      </c>
      <c r="V197" s="5" t="s">
        <v>83</v>
      </c>
      <c r="W197" s="5" t="s">
        <v>4206</v>
      </c>
    </row>
    <row r="198" spans="1:23" ht="12.5">
      <c r="A198" s="5">
        <v>90600</v>
      </c>
      <c r="B198" s="5" t="s">
        <v>4200</v>
      </c>
      <c r="C198" s="10" t="s">
        <v>15222</v>
      </c>
      <c r="D198" s="5">
        <v>28</v>
      </c>
      <c r="E198" s="5" t="s">
        <v>435</v>
      </c>
      <c r="F198" s="5" t="s">
        <v>33</v>
      </c>
      <c r="G198" s="5" t="s">
        <v>4200</v>
      </c>
      <c r="H198" s="5" t="s">
        <v>34</v>
      </c>
      <c r="I198" s="5" t="s">
        <v>4201</v>
      </c>
      <c r="J198" s="12">
        <v>46014</v>
      </c>
      <c r="K198" s="11">
        <v>0</v>
      </c>
      <c r="M198" s="10" t="s">
        <v>15032</v>
      </c>
      <c r="N198" s="12">
        <v>46014</v>
      </c>
      <c r="O198" s="10" t="s">
        <v>15223</v>
      </c>
      <c r="P198" s="5" t="s">
        <v>14571</v>
      </c>
      <c r="Q198" s="5" t="s">
        <v>14612</v>
      </c>
      <c r="R198" s="5" t="s">
        <v>15224</v>
      </c>
      <c r="T198" s="5" t="s">
        <v>14574</v>
      </c>
      <c r="U198" s="5" t="s">
        <v>33</v>
      </c>
      <c r="V198" s="5" t="s">
        <v>2636</v>
      </c>
    </row>
    <row r="199" spans="1:23" ht="12.5">
      <c r="A199" s="5">
        <v>90599</v>
      </c>
      <c r="B199" s="5" t="s">
        <v>15225</v>
      </c>
      <c r="C199" s="10" t="s">
        <v>15226</v>
      </c>
      <c r="D199" s="5">
        <v>7</v>
      </c>
      <c r="E199" s="5" t="s">
        <v>112</v>
      </c>
      <c r="F199" s="5" t="s">
        <v>2263</v>
      </c>
      <c r="G199" s="5" t="s">
        <v>972</v>
      </c>
      <c r="H199" s="5" t="s">
        <v>4195</v>
      </c>
      <c r="I199" s="5" t="s">
        <v>4196</v>
      </c>
      <c r="J199" s="12">
        <v>46014</v>
      </c>
      <c r="K199" s="11">
        <v>0.75</v>
      </c>
      <c r="M199" s="10" t="s">
        <v>15227</v>
      </c>
      <c r="N199" s="12">
        <v>46014</v>
      </c>
      <c r="O199" s="10" t="s">
        <v>15228</v>
      </c>
      <c r="P199" s="5" t="s">
        <v>14571</v>
      </c>
      <c r="Q199" s="5" t="s">
        <v>14612</v>
      </c>
      <c r="R199" s="5" t="s">
        <v>15229</v>
      </c>
      <c r="T199" s="5" t="s">
        <v>5994</v>
      </c>
      <c r="U199" s="5" t="s">
        <v>14580</v>
      </c>
      <c r="V199" s="5" t="s">
        <v>83</v>
      </c>
    </row>
    <row r="200" spans="1:23" ht="12.5">
      <c r="A200" s="5">
        <v>90598</v>
      </c>
      <c r="B200" s="5" t="s">
        <v>15230</v>
      </c>
      <c r="C200" s="5">
        <v>573106939904</v>
      </c>
      <c r="D200" s="5">
        <v>95</v>
      </c>
      <c r="E200" s="5" t="s">
        <v>42</v>
      </c>
      <c r="F200" s="5" t="s">
        <v>103</v>
      </c>
      <c r="G200" s="5" t="s">
        <v>4189</v>
      </c>
      <c r="H200" s="5" t="s">
        <v>4190</v>
      </c>
      <c r="I200" s="5" t="s">
        <v>15231</v>
      </c>
      <c r="J200" s="12">
        <v>46014</v>
      </c>
      <c r="K200" s="11">
        <v>0.77013888888905058</v>
      </c>
      <c r="M200" s="10" t="s">
        <v>15232</v>
      </c>
      <c r="N200" s="12">
        <v>46014.537783078704</v>
      </c>
      <c r="O200" s="10" t="s">
        <v>14928</v>
      </c>
      <c r="P200" s="5" t="s">
        <v>14571</v>
      </c>
      <c r="Q200" s="5" t="s">
        <v>14612</v>
      </c>
      <c r="R200" s="5" t="s">
        <v>15233</v>
      </c>
      <c r="T200" s="5" t="s">
        <v>5994</v>
      </c>
      <c r="U200" s="5" t="s">
        <v>14593</v>
      </c>
      <c r="V200" s="5" t="s">
        <v>1937</v>
      </c>
      <c r="W200" s="5" t="s">
        <v>4192</v>
      </c>
    </row>
    <row r="201" spans="1:23" ht="12.5">
      <c r="A201" s="5">
        <v>90597</v>
      </c>
      <c r="B201" s="5" t="s">
        <v>4187</v>
      </c>
      <c r="C201" s="5">
        <v>573126435537</v>
      </c>
      <c r="D201" s="5">
        <v>95</v>
      </c>
      <c r="E201" s="5" t="s">
        <v>42</v>
      </c>
      <c r="F201" s="5" t="s">
        <v>33</v>
      </c>
      <c r="G201" s="5" t="s">
        <v>4187</v>
      </c>
      <c r="H201" s="5" t="s">
        <v>34</v>
      </c>
      <c r="I201" s="5">
        <v>3126435537</v>
      </c>
      <c r="J201" s="12">
        <v>46014</v>
      </c>
      <c r="K201" s="11">
        <v>0.66666666666787933</v>
      </c>
      <c r="M201" s="10" t="s">
        <v>2686</v>
      </c>
      <c r="N201" s="12">
        <v>46014.663870115735</v>
      </c>
      <c r="O201" s="10" t="s">
        <v>14931</v>
      </c>
      <c r="P201" s="5" t="s">
        <v>14571</v>
      </c>
      <c r="Q201" s="5" t="s">
        <v>14612</v>
      </c>
      <c r="R201" s="5" t="s">
        <v>15234</v>
      </c>
      <c r="T201" s="5" t="s">
        <v>14574</v>
      </c>
      <c r="U201" s="5" t="s">
        <v>33</v>
      </c>
      <c r="V201" s="5" t="s">
        <v>196</v>
      </c>
      <c r="W201" s="5" t="s">
        <v>4188</v>
      </c>
    </row>
    <row r="202" spans="1:23" ht="12.5">
      <c r="A202" s="5">
        <v>90596</v>
      </c>
      <c r="B202" s="5" t="s">
        <v>5397</v>
      </c>
      <c r="C202" s="5">
        <v>573045733898</v>
      </c>
      <c r="D202" s="5">
        <v>12</v>
      </c>
      <c r="E202" s="5" t="s">
        <v>239</v>
      </c>
      <c r="F202" s="5" t="s">
        <v>1187</v>
      </c>
      <c r="G202" s="5" t="s">
        <v>4185</v>
      </c>
      <c r="H202" s="5" t="s">
        <v>4186</v>
      </c>
      <c r="I202" s="5">
        <v>3126435537</v>
      </c>
      <c r="J202" s="12">
        <v>46015</v>
      </c>
      <c r="K202" s="11">
        <v>0.45833333333212067</v>
      </c>
      <c r="M202" s="10" t="s">
        <v>15235</v>
      </c>
      <c r="N202" s="12">
        <v>46014.661524583338</v>
      </c>
      <c r="O202" s="10" t="s">
        <v>15236</v>
      </c>
      <c r="P202" s="5" t="s">
        <v>14571</v>
      </c>
      <c r="Q202" s="5" t="s">
        <v>14612</v>
      </c>
      <c r="R202" s="5" t="s">
        <v>15237</v>
      </c>
      <c r="T202" s="5" t="s">
        <v>5994</v>
      </c>
      <c r="U202" s="5"/>
      <c r="V202" s="5" t="s">
        <v>83</v>
      </c>
    </row>
    <row r="203" spans="1:23" ht="12.5">
      <c r="A203" s="5">
        <v>90595</v>
      </c>
      <c r="B203" s="5" t="s">
        <v>15238</v>
      </c>
      <c r="C203" s="10" t="s">
        <v>15239</v>
      </c>
      <c r="D203" s="5">
        <v>29</v>
      </c>
      <c r="E203" s="5" t="s">
        <v>309</v>
      </c>
      <c r="F203" s="5" t="s">
        <v>103</v>
      </c>
      <c r="G203" s="5" t="s">
        <v>4181</v>
      </c>
      <c r="H203" s="5" t="s">
        <v>4182</v>
      </c>
      <c r="I203" s="5">
        <v>3002059742</v>
      </c>
      <c r="J203" s="12">
        <v>46014</v>
      </c>
      <c r="K203" s="11">
        <v>0.70833333333333337</v>
      </c>
      <c r="M203" s="10" t="s">
        <v>14627</v>
      </c>
      <c r="N203" s="12">
        <v>46014</v>
      </c>
      <c r="O203" s="10" t="s">
        <v>15054</v>
      </c>
      <c r="P203" s="5" t="s">
        <v>14571</v>
      </c>
      <c r="Q203" s="5" t="s">
        <v>14612</v>
      </c>
      <c r="R203" s="5" t="s">
        <v>15240</v>
      </c>
      <c r="T203" s="5" t="s">
        <v>5994</v>
      </c>
      <c r="U203" s="5" t="s">
        <v>14593</v>
      </c>
      <c r="V203" s="5" t="s">
        <v>83</v>
      </c>
    </row>
    <row r="204" spans="1:23" ht="12.5">
      <c r="A204" s="5">
        <v>90594</v>
      </c>
      <c r="B204" s="5" t="s">
        <v>15241</v>
      </c>
      <c r="C204" s="5">
        <v>573128213377</v>
      </c>
      <c r="D204" s="5">
        <v>2</v>
      </c>
      <c r="E204" s="5" t="s">
        <v>1251</v>
      </c>
      <c r="F204" s="5" t="s">
        <v>351</v>
      </c>
      <c r="G204" s="5" t="s">
        <v>4176</v>
      </c>
      <c r="H204" s="5" t="s">
        <v>4177</v>
      </c>
      <c r="I204" s="5">
        <v>3128213377</v>
      </c>
      <c r="J204" s="12">
        <v>46015</v>
      </c>
      <c r="K204" s="11">
        <v>0.58333333333212067</v>
      </c>
      <c r="M204" s="10" t="s">
        <v>15242</v>
      </c>
      <c r="N204" s="12">
        <v>46014.523011307872</v>
      </c>
      <c r="O204" s="10" t="s">
        <v>15243</v>
      </c>
      <c r="P204" s="5" t="s">
        <v>14571</v>
      </c>
      <c r="Q204" s="5" t="s">
        <v>14578</v>
      </c>
      <c r="R204" s="5" t="s">
        <v>15244</v>
      </c>
      <c r="T204" s="5" t="s">
        <v>5994</v>
      </c>
      <c r="U204" s="5" t="s">
        <v>14580</v>
      </c>
      <c r="V204" s="5" t="s">
        <v>83</v>
      </c>
    </row>
    <row r="205" spans="1:23" ht="12.5">
      <c r="A205" s="5">
        <v>90593</v>
      </c>
      <c r="B205" s="5" t="s">
        <v>15245</v>
      </c>
      <c r="C205" s="5">
        <v>573006894298</v>
      </c>
      <c r="D205" s="5">
        <v>31</v>
      </c>
      <c r="E205" s="5" t="s">
        <v>375</v>
      </c>
      <c r="F205" s="5" t="s">
        <v>4171</v>
      </c>
      <c r="G205" s="5" t="s">
        <v>4170</v>
      </c>
      <c r="H205" s="5" t="s">
        <v>4172</v>
      </c>
      <c r="I205" s="5">
        <v>3245942022</v>
      </c>
      <c r="J205" s="12">
        <v>46014</v>
      </c>
      <c r="K205" s="11">
        <v>0.70833333333212067</v>
      </c>
      <c r="M205" s="10" t="s">
        <v>14850</v>
      </c>
      <c r="N205" s="12">
        <v>46014.598075127316</v>
      </c>
      <c r="O205" s="10" t="s">
        <v>15246</v>
      </c>
      <c r="P205" s="5" t="s">
        <v>14571</v>
      </c>
      <c r="Q205" s="5" t="s">
        <v>14612</v>
      </c>
      <c r="R205" s="5" t="s">
        <v>15247</v>
      </c>
      <c r="T205" s="5" t="s">
        <v>5994</v>
      </c>
      <c r="U205" s="5" t="s">
        <v>14618</v>
      </c>
      <c r="V205" s="5" t="s">
        <v>83</v>
      </c>
    </row>
    <row r="206" spans="1:23" ht="12.5">
      <c r="A206" s="5">
        <v>90592</v>
      </c>
      <c r="B206" s="5" t="s">
        <v>14370</v>
      </c>
      <c r="C206" s="5">
        <v>573005259249</v>
      </c>
      <c r="D206" s="5">
        <v>67</v>
      </c>
      <c r="E206" s="5" t="s">
        <v>542</v>
      </c>
      <c r="F206" s="5" t="s">
        <v>161</v>
      </c>
      <c r="G206" s="5" t="s">
        <v>4165</v>
      </c>
      <c r="H206" s="5" t="s">
        <v>4166</v>
      </c>
      <c r="I206" s="5">
        <v>3008048874</v>
      </c>
      <c r="J206" s="12">
        <v>46015</v>
      </c>
      <c r="K206" s="11">
        <v>0</v>
      </c>
      <c r="M206" s="10" t="s">
        <v>15248</v>
      </c>
      <c r="N206" s="12">
        <v>46014.610365856483</v>
      </c>
      <c r="O206" s="10" t="s">
        <v>15249</v>
      </c>
      <c r="P206" s="5" t="s">
        <v>14571</v>
      </c>
      <c r="Q206" s="5" t="s">
        <v>14572</v>
      </c>
      <c r="R206" s="5" t="s">
        <v>15250</v>
      </c>
      <c r="T206" s="5" t="s">
        <v>5994</v>
      </c>
      <c r="U206" s="5" t="s">
        <v>14593</v>
      </c>
      <c r="V206" s="5" t="s">
        <v>83</v>
      </c>
    </row>
    <row r="207" spans="1:23" ht="12.5">
      <c r="A207" s="5">
        <v>90591</v>
      </c>
      <c r="B207" s="5" t="s">
        <v>15251</v>
      </c>
      <c r="C207" s="5">
        <v>573127608327</v>
      </c>
      <c r="D207" s="5">
        <v>95</v>
      </c>
      <c r="E207" s="5" t="s">
        <v>42</v>
      </c>
      <c r="F207" s="5" t="s">
        <v>930</v>
      </c>
      <c r="G207" s="5" t="s">
        <v>4160</v>
      </c>
      <c r="H207" s="5" t="s">
        <v>4161</v>
      </c>
      <c r="J207" s="12">
        <v>46015</v>
      </c>
      <c r="K207" s="11">
        <v>0.41666666666787933</v>
      </c>
      <c r="M207" s="10" t="s">
        <v>15252</v>
      </c>
      <c r="N207" s="12">
        <v>46014.597822083335</v>
      </c>
      <c r="O207" s="10" t="s">
        <v>15253</v>
      </c>
      <c r="P207" s="5" t="s">
        <v>14571</v>
      </c>
      <c r="Q207" s="5" t="s">
        <v>14612</v>
      </c>
      <c r="R207" s="5" t="s">
        <v>15254</v>
      </c>
      <c r="T207" s="5" t="s">
        <v>5994</v>
      </c>
      <c r="U207" s="5" t="s">
        <v>14598</v>
      </c>
      <c r="V207" s="5" t="s">
        <v>83</v>
      </c>
      <c r="W207" s="5" t="s">
        <v>4162</v>
      </c>
    </row>
    <row r="208" spans="1:23" ht="12.5">
      <c r="A208" s="5">
        <v>90590</v>
      </c>
      <c r="B208" s="5" t="s">
        <v>15255</v>
      </c>
      <c r="C208" s="5">
        <v>34604218619</v>
      </c>
      <c r="D208" s="5" t="s">
        <v>15256</v>
      </c>
      <c r="E208" s="5" t="s">
        <v>4156</v>
      </c>
      <c r="F208" s="5" t="s">
        <v>103</v>
      </c>
      <c r="G208" s="5" t="s">
        <v>4153</v>
      </c>
      <c r="H208" s="5" t="s">
        <v>4154</v>
      </c>
      <c r="I208" s="5" t="s">
        <v>4155</v>
      </c>
      <c r="J208" s="12">
        <v>46014</v>
      </c>
      <c r="K208" s="11">
        <v>0.66666666666787933</v>
      </c>
      <c r="M208" s="10" t="s">
        <v>15040</v>
      </c>
      <c r="N208" s="12">
        <v>46014.566764340278</v>
      </c>
      <c r="O208" s="10" t="s">
        <v>15257</v>
      </c>
      <c r="P208" s="5" t="s">
        <v>14571</v>
      </c>
      <c r="Q208" s="5" t="s">
        <v>14572</v>
      </c>
      <c r="R208" s="5" t="s">
        <v>15258</v>
      </c>
      <c r="T208" s="5" t="s">
        <v>5994</v>
      </c>
      <c r="U208" s="5" t="s">
        <v>14593</v>
      </c>
      <c r="V208" s="5" t="s">
        <v>1937</v>
      </c>
    </row>
    <row r="209" spans="1:23" ht="12.5">
      <c r="A209" s="5">
        <v>90589</v>
      </c>
      <c r="B209" s="5" t="s">
        <v>4150</v>
      </c>
      <c r="C209" s="10" t="s">
        <v>15259</v>
      </c>
      <c r="D209" s="5" t="s">
        <v>14589</v>
      </c>
      <c r="E209" s="5" t="s">
        <v>4151</v>
      </c>
      <c r="F209" s="5" t="s">
        <v>33</v>
      </c>
      <c r="G209" s="5" t="s">
        <v>4150</v>
      </c>
      <c r="H209" s="5" t="s">
        <v>34</v>
      </c>
      <c r="I209" s="5">
        <v>3005754818</v>
      </c>
      <c r="J209" s="12">
        <v>46014</v>
      </c>
      <c r="K209" s="11">
        <v>0</v>
      </c>
      <c r="M209" s="10" t="s">
        <v>14712</v>
      </c>
      <c r="N209" s="12">
        <v>46014</v>
      </c>
      <c r="O209" s="10" t="s">
        <v>15260</v>
      </c>
      <c r="P209" s="5" t="s">
        <v>14571</v>
      </c>
      <c r="Q209" s="5" t="s">
        <v>14572</v>
      </c>
      <c r="R209" s="5" t="s">
        <v>15261</v>
      </c>
      <c r="T209" s="5" t="s">
        <v>14574</v>
      </c>
      <c r="U209" s="5" t="s">
        <v>33</v>
      </c>
      <c r="V209" s="5" t="s">
        <v>2636</v>
      </c>
    </row>
    <row r="210" spans="1:23" ht="12.5">
      <c r="A210" s="5">
        <v>90588</v>
      </c>
      <c r="B210" s="5" t="s">
        <v>15262</v>
      </c>
      <c r="C210" s="5">
        <v>17865318201</v>
      </c>
      <c r="D210" s="5">
        <v>16</v>
      </c>
      <c r="E210" s="5" t="s">
        <v>2556</v>
      </c>
      <c r="F210" s="5" t="s">
        <v>2880</v>
      </c>
      <c r="G210" s="5" t="s">
        <v>4146</v>
      </c>
      <c r="H210" s="5" t="s">
        <v>4147</v>
      </c>
      <c r="I210" s="5">
        <v>3008238921</v>
      </c>
      <c r="J210" s="12">
        <v>46014</v>
      </c>
      <c r="K210" s="11">
        <v>0.66666666666787933</v>
      </c>
      <c r="M210" s="10" t="s">
        <v>15263</v>
      </c>
      <c r="N210" s="12">
        <v>46014.541165671297</v>
      </c>
      <c r="O210" s="10" t="s">
        <v>15264</v>
      </c>
      <c r="P210" s="5" t="s">
        <v>14571</v>
      </c>
      <c r="Q210" s="5" t="s">
        <v>14612</v>
      </c>
      <c r="R210" s="5" t="s">
        <v>15265</v>
      </c>
      <c r="T210" s="5" t="s">
        <v>5994</v>
      </c>
      <c r="U210" s="5" t="s">
        <v>14691</v>
      </c>
      <c r="V210" s="5" t="s">
        <v>83</v>
      </c>
    </row>
    <row r="211" spans="1:23" ht="12.5">
      <c r="A211" s="5">
        <v>90587</v>
      </c>
      <c r="B211" s="5" t="s">
        <v>15266</v>
      </c>
      <c r="C211" s="5">
        <v>573016851449</v>
      </c>
      <c r="D211" s="5" t="s">
        <v>14589</v>
      </c>
      <c r="E211" s="5" t="s">
        <v>4142</v>
      </c>
      <c r="F211" s="5" t="s">
        <v>307</v>
      </c>
      <c r="G211" s="5" t="s">
        <v>4140</v>
      </c>
      <c r="H211" s="5" t="s">
        <v>4141</v>
      </c>
      <c r="I211" s="5">
        <v>3016851449</v>
      </c>
      <c r="J211" s="12">
        <v>46015</v>
      </c>
      <c r="K211" s="11">
        <v>0.375</v>
      </c>
      <c r="M211" s="10" t="s">
        <v>14712</v>
      </c>
      <c r="N211" s="12">
        <v>46014.565122256943</v>
      </c>
      <c r="O211" s="10" t="s">
        <v>15267</v>
      </c>
      <c r="P211" s="5" t="s">
        <v>14571</v>
      </c>
      <c r="Q211" s="5" t="s">
        <v>14578</v>
      </c>
      <c r="R211" s="5" t="s">
        <v>15268</v>
      </c>
      <c r="T211" s="5" t="s">
        <v>5994</v>
      </c>
      <c r="U211" s="5" t="s">
        <v>14618</v>
      </c>
      <c r="V211" s="5" t="s">
        <v>83</v>
      </c>
      <c r="W211" s="5" t="s">
        <v>4144</v>
      </c>
    </row>
    <row r="212" spans="1:23" ht="12.5">
      <c r="A212" s="5">
        <v>90586</v>
      </c>
      <c r="B212" s="5" t="s">
        <v>3605</v>
      </c>
      <c r="C212" s="5">
        <v>573004378731</v>
      </c>
      <c r="D212" s="5">
        <v>71</v>
      </c>
      <c r="E212" s="5" t="s">
        <v>734</v>
      </c>
      <c r="F212" s="5" t="s">
        <v>1595</v>
      </c>
      <c r="G212" s="5" t="s">
        <v>3605</v>
      </c>
      <c r="H212" s="5" t="s">
        <v>4135</v>
      </c>
      <c r="I212" s="5">
        <v>3004378731</v>
      </c>
      <c r="J212" s="12">
        <v>46014</v>
      </c>
      <c r="K212" s="11">
        <v>0.66666666666787933</v>
      </c>
      <c r="M212" s="10" t="s">
        <v>15161</v>
      </c>
      <c r="N212" s="12">
        <v>46014.537047361111</v>
      </c>
      <c r="O212" s="10" t="s">
        <v>15269</v>
      </c>
      <c r="P212" s="5" t="s">
        <v>14571</v>
      </c>
      <c r="Q212" s="5" t="s">
        <v>14612</v>
      </c>
      <c r="R212" s="5" t="s">
        <v>15270</v>
      </c>
      <c r="T212" s="5" t="s">
        <v>5994</v>
      </c>
      <c r="U212" s="5" t="s">
        <v>14580</v>
      </c>
      <c r="V212" s="5" t="s">
        <v>83</v>
      </c>
      <c r="W212" s="5" t="s">
        <v>4137</v>
      </c>
    </row>
    <row r="213" spans="1:23" ht="12.5">
      <c r="A213" s="5">
        <v>90585</v>
      </c>
      <c r="B213" s="5" t="s">
        <v>4133</v>
      </c>
      <c r="C213" s="5"/>
      <c r="D213" s="5">
        <v>64</v>
      </c>
      <c r="E213" s="5" t="s">
        <v>133</v>
      </c>
      <c r="F213" s="5" t="s">
        <v>33</v>
      </c>
      <c r="G213" s="5" t="s">
        <v>4133</v>
      </c>
      <c r="H213" s="5" t="s">
        <v>34</v>
      </c>
      <c r="I213" s="5" t="s">
        <v>4134</v>
      </c>
      <c r="J213" s="12">
        <v>46014</v>
      </c>
      <c r="K213" s="11">
        <v>0</v>
      </c>
      <c r="M213" s="10" t="s">
        <v>14599</v>
      </c>
      <c r="N213" s="12">
        <v>46014.554374479165</v>
      </c>
      <c r="O213" s="10" t="s">
        <v>14963</v>
      </c>
      <c r="P213" s="5" t="s">
        <v>14571</v>
      </c>
      <c r="Q213" s="5" t="s">
        <v>14572</v>
      </c>
      <c r="R213" s="5" t="s">
        <v>15271</v>
      </c>
      <c r="T213" s="5" t="s">
        <v>14574</v>
      </c>
      <c r="U213" s="5" t="s">
        <v>33</v>
      </c>
      <c r="V213" s="5" t="s">
        <v>43</v>
      </c>
      <c r="W213" s="5" t="s">
        <v>225</v>
      </c>
    </row>
    <row r="214" spans="1:23" ht="12.5">
      <c r="A214" s="5">
        <v>90584</v>
      </c>
      <c r="B214" s="5" t="s">
        <v>4130</v>
      </c>
      <c r="C214" s="10" t="s">
        <v>15272</v>
      </c>
      <c r="D214" s="5">
        <v>29</v>
      </c>
      <c r="E214" s="5" t="s">
        <v>309</v>
      </c>
      <c r="F214" s="5" t="s">
        <v>33</v>
      </c>
      <c r="G214" s="5" t="s">
        <v>4130</v>
      </c>
      <c r="H214" s="5" t="s">
        <v>34</v>
      </c>
      <c r="I214" s="5">
        <v>3162750854</v>
      </c>
      <c r="J214" s="12">
        <v>46014</v>
      </c>
      <c r="K214" s="11">
        <v>0</v>
      </c>
      <c r="M214" s="10" t="s">
        <v>14585</v>
      </c>
      <c r="N214" s="12">
        <v>46014</v>
      </c>
      <c r="O214" s="10" t="s">
        <v>15273</v>
      </c>
      <c r="P214" s="5" t="s">
        <v>14571</v>
      </c>
      <c r="Q214" s="5" t="s">
        <v>14612</v>
      </c>
      <c r="R214" s="5" t="s">
        <v>15274</v>
      </c>
      <c r="T214" s="5" t="s">
        <v>14574</v>
      </c>
      <c r="U214" s="5" t="s">
        <v>33</v>
      </c>
      <c r="V214" s="5" t="s">
        <v>37</v>
      </c>
      <c r="W214" s="5" t="s">
        <v>37</v>
      </c>
    </row>
    <row r="215" spans="1:23" ht="12.5">
      <c r="A215" s="5">
        <v>90583</v>
      </c>
      <c r="B215" s="5" t="s">
        <v>4126</v>
      </c>
      <c r="C215" s="5">
        <v>573135526811</v>
      </c>
      <c r="D215" s="5">
        <v>57</v>
      </c>
      <c r="E215" s="5" t="s">
        <v>1085</v>
      </c>
      <c r="F215" s="5" t="s">
        <v>33</v>
      </c>
      <c r="G215" s="5" t="s">
        <v>4126</v>
      </c>
      <c r="H215" s="5" t="s">
        <v>34</v>
      </c>
      <c r="I215" s="5">
        <v>3135526811</v>
      </c>
      <c r="J215" s="12">
        <v>46014</v>
      </c>
      <c r="K215" s="11">
        <v>0</v>
      </c>
      <c r="M215" s="10" t="s">
        <v>10581</v>
      </c>
      <c r="N215" s="12">
        <v>46014.549564965273</v>
      </c>
      <c r="O215" s="10" t="s">
        <v>15275</v>
      </c>
      <c r="P215" s="5" t="s">
        <v>14571</v>
      </c>
      <c r="Q215" s="5" t="s">
        <v>14578</v>
      </c>
      <c r="R215" s="5" t="s">
        <v>15276</v>
      </c>
      <c r="T215" s="5" t="s">
        <v>14574</v>
      </c>
      <c r="U215" s="5" t="s">
        <v>33</v>
      </c>
      <c r="V215" s="5" t="s">
        <v>2636</v>
      </c>
      <c r="W215" s="5" t="s">
        <v>4127</v>
      </c>
    </row>
    <row r="216" spans="1:23" ht="12.5">
      <c r="A216" s="5">
        <v>90582</v>
      </c>
      <c r="B216" s="5" t="s">
        <v>15277</v>
      </c>
      <c r="C216" s="5">
        <v>13058483979</v>
      </c>
      <c r="D216" s="5">
        <v>95</v>
      </c>
      <c r="E216" s="5" t="s">
        <v>42</v>
      </c>
      <c r="F216" s="5" t="s">
        <v>307</v>
      </c>
      <c r="G216" s="5" t="s">
        <v>4121</v>
      </c>
      <c r="H216" s="5" t="s">
        <v>4122</v>
      </c>
      <c r="I216" s="5"/>
      <c r="J216" s="12">
        <v>46014</v>
      </c>
      <c r="K216" s="11">
        <v>0.625</v>
      </c>
      <c r="M216" s="10" t="s">
        <v>15278</v>
      </c>
      <c r="N216" s="12">
        <v>46014.490640335644</v>
      </c>
      <c r="O216" s="10" t="s">
        <v>14735</v>
      </c>
      <c r="P216" s="5" t="s">
        <v>14571</v>
      </c>
      <c r="Q216" s="5" t="s">
        <v>14572</v>
      </c>
      <c r="R216" s="5" t="s">
        <v>15279</v>
      </c>
      <c r="T216" s="5" t="s">
        <v>5994</v>
      </c>
      <c r="U216" s="5" t="s">
        <v>14618</v>
      </c>
      <c r="V216" s="5" t="s">
        <v>1937</v>
      </c>
      <c r="W216" s="5" t="s">
        <v>4124</v>
      </c>
    </row>
    <row r="217" spans="1:23" ht="12.5">
      <c r="A217" s="5">
        <v>90581</v>
      </c>
      <c r="B217" s="5" t="s">
        <v>15280</v>
      </c>
      <c r="C217" s="5">
        <v>573205692515</v>
      </c>
      <c r="D217" s="5">
        <v>69</v>
      </c>
      <c r="E217" s="5" t="s">
        <v>335</v>
      </c>
      <c r="F217" s="5" t="s">
        <v>1352</v>
      </c>
      <c r="G217" s="5" t="s">
        <v>4118</v>
      </c>
      <c r="H217" s="5" t="s">
        <v>4119</v>
      </c>
      <c r="I217" s="5"/>
      <c r="J217" s="12">
        <v>46015</v>
      </c>
      <c r="K217" s="11">
        <v>0</v>
      </c>
      <c r="M217" s="10" t="s">
        <v>10581</v>
      </c>
      <c r="N217" s="12">
        <v>46014.330272858795</v>
      </c>
      <c r="O217" s="10" t="s">
        <v>14738</v>
      </c>
      <c r="P217" s="5" t="s">
        <v>14571</v>
      </c>
      <c r="Q217" s="5" t="s">
        <v>14572</v>
      </c>
      <c r="R217" s="5" t="s">
        <v>15281</v>
      </c>
      <c r="T217" s="5" t="s">
        <v>5994</v>
      </c>
      <c r="U217" s="5"/>
      <c r="V217" s="5" t="s">
        <v>204</v>
      </c>
    </row>
    <row r="218" spans="1:23" ht="12.5">
      <c r="A218" s="5">
        <v>90580</v>
      </c>
      <c r="B218" s="5" t="s">
        <v>15282</v>
      </c>
      <c r="C218" s="5">
        <v>573017085272</v>
      </c>
      <c r="D218" s="5">
        <v>64</v>
      </c>
      <c r="E218" s="5" t="s">
        <v>133</v>
      </c>
      <c r="F218" s="5" t="s">
        <v>249</v>
      </c>
      <c r="G218" s="5" t="s">
        <v>4114</v>
      </c>
      <c r="H218" s="5" t="s">
        <v>4115</v>
      </c>
      <c r="I218" s="5">
        <v>3017085272</v>
      </c>
      <c r="J218" s="12">
        <v>46014</v>
      </c>
      <c r="K218" s="11">
        <v>0.625</v>
      </c>
      <c r="M218" s="10" t="s">
        <v>15283</v>
      </c>
      <c r="N218" s="12">
        <v>46014.512013854168</v>
      </c>
      <c r="O218" s="10" t="s">
        <v>15070</v>
      </c>
      <c r="P218" s="5" t="s">
        <v>14571</v>
      </c>
      <c r="Q218" s="5" t="s">
        <v>14572</v>
      </c>
      <c r="R218" s="5" t="s">
        <v>15284</v>
      </c>
      <c r="T218" s="5" t="s">
        <v>5994</v>
      </c>
      <c r="U218" s="5" t="s">
        <v>14593</v>
      </c>
      <c r="V218" s="5" t="s">
        <v>67</v>
      </c>
    </row>
    <row r="219" spans="1:23" ht="12.5">
      <c r="A219" s="5">
        <v>90579</v>
      </c>
      <c r="B219" s="5" t="s">
        <v>4109</v>
      </c>
      <c r="C219" s="5">
        <v>573166423792</v>
      </c>
      <c r="D219" s="5">
        <v>95</v>
      </c>
      <c r="E219" s="5" t="s">
        <v>42</v>
      </c>
      <c r="G219" s="5" t="s">
        <v>4109</v>
      </c>
      <c r="H219" s="5" t="s">
        <v>4110</v>
      </c>
      <c r="I219" s="5">
        <v>3166423792</v>
      </c>
      <c r="J219" s="12">
        <v>46014</v>
      </c>
      <c r="K219" s="11">
        <v>0</v>
      </c>
      <c r="M219" s="10" t="s">
        <v>15285</v>
      </c>
      <c r="N219" s="12">
        <v>46014.449963865743</v>
      </c>
      <c r="O219" s="10" t="s">
        <v>14974</v>
      </c>
      <c r="P219" s="5" t="s">
        <v>14571</v>
      </c>
      <c r="Q219" s="5" t="s">
        <v>14612</v>
      </c>
      <c r="R219" s="5" t="s">
        <v>15286</v>
      </c>
      <c r="T219" s="5" t="s">
        <v>5994</v>
      </c>
      <c r="V219" s="5" t="s">
        <v>83</v>
      </c>
      <c r="W219" s="5" t="s">
        <v>4111</v>
      </c>
    </row>
    <row r="220" spans="1:23" ht="12.5">
      <c r="A220" s="5">
        <v>90578</v>
      </c>
      <c r="B220" s="5" t="s">
        <v>15287</v>
      </c>
      <c r="C220" s="5">
        <v>573204928484</v>
      </c>
      <c r="D220" s="5">
        <v>31</v>
      </c>
      <c r="E220" s="5" t="s">
        <v>375</v>
      </c>
      <c r="F220" s="5" t="s">
        <v>964</v>
      </c>
      <c r="G220" s="5" t="s">
        <v>4102</v>
      </c>
      <c r="H220" s="5" t="s">
        <v>4104</v>
      </c>
      <c r="I220" s="5">
        <v>3204928484</v>
      </c>
      <c r="J220" s="12">
        <v>46014</v>
      </c>
      <c r="K220" s="11">
        <v>0.56458333333284827</v>
      </c>
      <c r="M220" s="10" t="s">
        <v>14881</v>
      </c>
      <c r="N220" s="12">
        <v>46014.463384259259</v>
      </c>
      <c r="O220" s="10" t="s">
        <v>15288</v>
      </c>
      <c r="P220" s="5" t="s">
        <v>14571</v>
      </c>
      <c r="Q220" s="5" t="s">
        <v>14578</v>
      </c>
      <c r="R220" s="5" t="s">
        <v>15289</v>
      </c>
      <c r="T220" s="5" t="s">
        <v>5994</v>
      </c>
      <c r="U220" s="5" t="s">
        <v>14618</v>
      </c>
      <c r="V220" s="5" t="s">
        <v>1937</v>
      </c>
      <c r="W220" s="5" t="s">
        <v>4106</v>
      </c>
    </row>
    <row r="221" spans="1:23" ht="12.5">
      <c r="A221" s="5">
        <v>90577</v>
      </c>
      <c r="B221" s="5" t="s">
        <v>32</v>
      </c>
      <c r="C221" s="5">
        <v>572412082838</v>
      </c>
      <c r="D221" s="5">
        <v>52</v>
      </c>
      <c r="E221" s="5" t="s">
        <v>178</v>
      </c>
      <c r="F221" s="5" t="s">
        <v>33</v>
      </c>
      <c r="G221" s="5" t="s">
        <v>32</v>
      </c>
      <c r="H221" s="5" t="s">
        <v>34</v>
      </c>
      <c r="I221" s="5">
        <v>2412082838</v>
      </c>
      <c r="J221" s="12">
        <v>46014</v>
      </c>
      <c r="K221" s="11">
        <v>0.48611111110949423</v>
      </c>
      <c r="M221" s="10" t="s">
        <v>14705</v>
      </c>
      <c r="N221" s="12">
        <v>46014.481852800927</v>
      </c>
      <c r="O221" s="10" t="s">
        <v>15290</v>
      </c>
      <c r="P221" s="5" t="s">
        <v>14571</v>
      </c>
      <c r="Q221" s="5" t="s">
        <v>14578</v>
      </c>
      <c r="R221" s="5" t="s">
        <v>15291</v>
      </c>
      <c r="T221" s="5" t="s">
        <v>14574</v>
      </c>
      <c r="U221" s="5" t="s">
        <v>33</v>
      </c>
      <c r="V221" s="5" t="s">
        <v>43</v>
      </c>
    </row>
    <row r="222" spans="1:23" ht="12.5">
      <c r="A222" s="5">
        <v>90576</v>
      </c>
      <c r="B222" s="5" t="s">
        <v>4099</v>
      </c>
      <c r="C222" s="5" t="s">
        <v>4098</v>
      </c>
      <c r="D222" s="5">
        <v>48</v>
      </c>
      <c r="E222" s="5" t="s">
        <v>613</v>
      </c>
      <c r="F222" s="5" t="s">
        <v>1504</v>
      </c>
      <c r="G222" s="5" t="s">
        <v>4099</v>
      </c>
      <c r="H222" s="5" t="s">
        <v>15292</v>
      </c>
      <c r="I222" s="5">
        <v>3005790118</v>
      </c>
      <c r="J222" s="12">
        <v>46015</v>
      </c>
      <c r="K222" s="11">
        <v>0.33333333333212067</v>
      </c>
      <c r="M222" s="10" t="s">
        <v>15293</v>
      </c>
      <c r="N222" s="12">
        <v>46014.45042173611</v>
      </c>
      <c r="O222" s="10" t="s">
        <v>14886</v>
      </c>
      <c r="P222" s="5" t="s">
        <v>14571</v>
      </c>
      <c r="Q222" s="5" t="s">
        <v>14612</v>
      </c>
      <c r="R222" s="5" t="s">
        <v>15294</v>
      </c>
      <c r="T222" s="5" t="s">
        <v>5994</v>
      </c>
      <c r="V222" s="5" t="s">
        <v>83</v>
      </c>
      <c r="W222" s="5"/>
    </row>
    <row r="223" spans="1:23" ht="12.5">
      <c r="A223" s="5">
        <v>90575</v>
      </c>
      <c r="B223" s="5" t="s">
        <v>15295</v>
      </c>
      <c r="C223" s="5">
        <v>573232219374</v>
      </c>
      <c r="D223" s="5">
        <v>21</v>
      </c>
      <c r="E223" s="5" t="s">
        <v>330</v>
      </c>
      <c r="F223" s="5" t="s">
        <v>185</v>
      </c>
      <c r="G223" s="5" t="s">
        <v>4094</v>
      </c>
      <c r="H223" s="5" t="s">
        <v>4095</v>
      </c>
      <c r="I223" s="5">
        <v>3146576008</v>
      </c>
      <c r="J223" s="12">
        <v>46014</v>
      </c>
      <c r="K223" s="11">
        <v>0.54166666666787933</v>
      </c>
      <c r="M223" s="10" t="s">
        <v>14657</v>
      </c>
      <c r="N223" s="12">
        <v>46014.453931377313</v>
      </c>
      <c r="O223" s="10" t="s">
        <v>14984</v>
      </c>
      <c r="P223" s="5" t="s">
        <v>14571</v>
      </c>
      <c r="Q223" s="5" t="s">
        <v>14612</v>
      </c>
      <c r="R223" s="5" t="s">
        <v>15296</v>
      </c>
      <c r="T223" s="5" t="s">
        <v>5994</v>
      </c>
      <c r="U223" s="5" t="s">
        <v>14580</v>
      </c>
      <c r="V223" s="5" t="s">
        <v>83</v>
      </c>
      <c r="W223" s="5" t="s">
        <v>4097</v>
      </c>
    </row>
    <row r="224" spans="1:23" ht="12.5">
      <c r="A224" s="5">
        <v>90574</v>
      </c>
      <c r="B224" s="5" t="s">
        <v>15297</v>
      </c>
      <c r="C224" s="5" t="s">
        <v>4088</v>
      </c>
      <c r="D224" s="5">
        <v>26</v>
      </c>
      <c r="E224" s="5" t="s">
        <v>422</v>
      </c>
      <c r="F224" s="5" t="s">
        <v>229</v>
      </c>
      <c r="G224" s="5" t="s">
        <v>4089</v>
      </c>
      <c r="H224" s="5" t="s">
        <v>4090</v>
      </c>
      <c r="I224" s="5">
        <v>3226073254</v>
      </c>
      <c r="J224" s="12">
        <v>46014</v>
      </c>
      <c r="K224" s="11">
        <v>0.45833333333212067</v>
      </c>
      <c r="M224" s="10" t="s">
        <v>15298</v>
      </c>
      <c r="N224" s="12">
        <v>46014.050878159724</v>
      </c>
      <c r="O224" s="10" t="s">
        <v>14660</v>
      </c>
      <c r="P224" s="5" t="s">
        <v>14571</v>
      </c>
      <c r="Q224" s="5" t="s">
        <v>14612</v>
      </c>
      <c r="R224" s="5" t="s">
        <v>15299</v>
      </c>
      <c r="T224" s="5" t="s">
        <v>5994</v>
      </c>
      <c r="U224" s="5"/>
      <c r="V224" s="5" t="s">
        <v>83</v>
      </c>
    </row>
    <row r="225" spans="1:23" ht="12.5">
      <c r="A225" s="5">
        <v>90573</v>
      </c>
      <c r="B225" s="5" t="s">
        <v>15300</v>
      </c>
      <c r="C225" s="5">
        <v>573185161408</v>
      </c>
      <c r="D225" s="5">
        <v>95</v>
      </c>
      <c r="E225" s="5" t="s">
        <v>42</v>
      </c>
      <c r="G225" s="5" t="s">
        <v>4082</v>
      </c>
      <c r="H225" s="5" t="s">
        <v>4083</v>
      </c>
      <c r="I225" s="5">
        <v>3185161408</v>
      </c>
      <c r="J225" s="12">
        <v>46015</v>
      </c>
      <c r="K225" s="11">
        <v>0</v>
      </c>
      <c r="M225" s="10" t="s">
        <v>15301</v>
      </c>
      <c r="N225" s="12">
        <v>46014.42751577546</v>
      </c>
      <c r="O225" s="10" t="s">
        <v>14663</v>
      </c>
      <c r="P225" s="5" t="s">
        <v>14571</v>
      </c>
      <c r="Q225" s="5" t="s">
        <v>14578</v>
      </c>
      <c r="R225" s="5" t="s">
        <v>15302</v>
      </c>
      <c r="T225" s="5" t="s">
        <v>5994</v>
      </c>
      <c r="V225" s="5" t="s">
        <v>43</v>
      </c>
      <c r="W225" s="5" t="s">
        <v>4085</v>
      </c>
    </row>
    <row r="226" spans="1:23" ht="12.5">
      <c r="A226" s="5">
        <v>90572</v>
      </c>
      <c r="B226" s="5" t="s">
        <v>15303</v>
      </c>
      <c r="C226" s="5">
        <v>573023021643</v>
      </c>
      <c r="D226" s="5">
        <v>95</v>
      </c>
      <c r="E226" s="5" t="s">
        <v>42</v>
      </c>
      <c r="F226" s="5" t="s">
        <v>351</v>
      </c>
      <c r="G226" s="5" t="s">
        <v>4076</v>
      </c>
      <c r="H226" s="5" t="s">
        <v>4077</v>
      </c>
      <c r="I226" s="5">
        <v>3246856148</v>
      </c>
      <c r="J226" s="12">
        <v>46015</v>
      </c>
      <c r="K226" s="11">
        <v>0.34999999999854481</v>
      </c>
      <c r="M226" s="10" t="s">
        <v>15304</v>
      </c>
      <c r="N226" s="12">
        <v>46014.41940831019</v>
      </c>
      <c r="O226" s="10" t="s">
        <v>15305</v>
      </c>
      <c r="P226" s="5" t="s">
        <v>14571</v>
      </c>
      <c r="Q226" s="5" t="s">
        <v>14572</v>
      </c>
      <c r="R226" s="5" t="s">
        <v>15306</v>
      </c>
      <c r="T226" s="5" t="s">
        <v>5994</v>
      </c>
      <c r="U226" s="5" t="s">
        <v>14580</v>
      </c>
      <c r="V226" s="5" t="s">
        <v>83</v>
      </c>
      <c r="W226" s="5" t="s">
        <v>4079</v>
      </c>
    </row>
    <row r="227" spans="1:23" ht="12.5">
      <c r="A227" s="5">
        <v>90571</v>
      </c>
      <c r="B227" s="5" t="s">
        <v>15307</v>
      </c>
      <c r="C227" s="5">
        <v>573192835538</v>
      </c>
      <c r="D227" s="5">
        <v>32</v>
      </c>
      <c r="E227" s="5" t="s">
        <v>65</v>
      </c>
      <c r="F227" s="5" t="s">
        <v>1047</v>
      </c>
      <c r="G227" s="5" t="s">
        <v>4071</v>
      </c>
      <c r="H227" s="5" t="s">
        <v>4072</v>
      </c>
      <c r="I227" s="5">
        <v>3192835538</v>
      </c>
      <c r="J227" s="12">
        <v>46015</v>
      </c>
      <c r="K227" s="11">
        <v>0.375</v>
      </c>
      <c r="M227" s="10" t="s">
        <v>15308</v>
      </c>
      <c r="N227" s="12">
        <v>46014.37929167824</v>
      </c>
      <c r="O227" s="10" t="s">
        <v>15309</v>
      </c>
      <c r="P227" s="5" t="s">
        <v>14571</v>
      </c>
      <c r="Q227" s="5" t="s">
        <v>14612</v>
      </c>
      <c r="R227" s="5" t="s">
        <v>15310</v>
      </c>
      <c r="T227" s="5" t="s">
        <v>5994</v>
      </c>
      <c r="U227" s="5" t="s">
        <v>14580</v>
      </c>
      <c r="V227" s="5" t="s">
        <v>1937</v>
      </c>
    </row>
    <row r="228" spans="1:23" ht="12.5">
      <c r="A228" s="5">
        <v>90570</v>
      </c>
      <c r="B228" s="5" t="s">
        <v>14841</v>
      </c>
      <c r="C228" s="5">
        <v>573022601836</v>
      </c>
      <c r="D228" s="5" t="s">
        <v>15311</v>
      </c>
      <c r="E228" s="5" t="s">
        <v>4068</v>
      </c>
      <c r="F228" s="5" t="s">
        <v>879</v>
      </c>
      <c r="G228" s="5" t="s">
        <v>4066</v>
      </c>
      <c r="H228" s="5" t="s">
        <v>4718</v>
      </c>
      <c r="I228" s="5">
        <v>3022601836</v>
      </c>
      <c r="J228" s="12">
        <v>46015</v>
      </c>
      <c r="K228" s="11">
        <v>0.375</v>
      </c>
      <c r="M228" s="10" t="s">
        <v>14796</v>
      </c>
      <c r="N228" s="12">
        <v>46014.384456041662</v>
      </c>
      <c r="O228" s="10" t="s">
        <v>15111</v>
      </c>
      <c r="P228" s="5" t="s">
        <v>14571</v>
      </c>
      <c r="Q228" s="5" t="s">
        <v>14578</v>
      </c>
      <c r="R228" s="5" t="s">
        <v>15312</v>
      </c>
      <c r="T228" s="5" t="s">
        <v>5994</v>
      </c>
      <c r="U228" s="5" t="s">
        <v>14580</v>
      </c>
      <c r="V228" s="5" t="s">
        <v>83</v>
      </c>
      <c r="W228" s="5" t="s">
        <v>4069</v>
      </c>
    </row>
    <row r="229" spans="1:23" ht="12.5">
      <c r="A229" s="5">
        <v>90569</v>
      </c>
      <c r="B229" s="5" t="s">
        <v>15313</v>
      </c>
      <c r="C229" s="5">
        <v>573157182330</v>
      </c>
      <c r="D229" s="5">
        <v>11</v>
      </c>
      <c r="E229" s="5" t="s">
        <v>4062</v>
      </c>
      <c r="F229" s="5" t="s">
        <v>154</v>
      </c>
      <c r="G229" s="5" t="s">
        <v>4060</v>
      </c>
      <c r="H229" s="5" t="s">
        <v>4061</v>
      </c>
      <c r="I229" s="5"/>
      <c r="J229" s="12">
        <v>46015</v>
      </c>
      <c r="K229" s="11">
        <v>0.375</v>
      </c>
      <c r="M229" s="10" t="s">
        <v>15046</v>
      </c>
      <c r="N229" s="12">
        <v>46014.407708773149</v>
      </c>
      <c r="O229" s="10" t="s">
        <v>15165</v>
      </c>
      <c r="P229" s="5" t="s">
        <v>14571</v>
      </c>
      <c r="Q229" s="5" t="s">
        <v>14572</v>
      </c>
      <c r="R229" s="5" t="s">
        <v>15314</v>
      </c>
      <c r="T229" s="5" t="s">
        <v>5994</v>
      </c>
      <c r="U229" s="5" t="s">
        <v>14593</v>
      </c>
      <c r="V229" s="5" t="s">
        <v>67</v>
      </c>
    </row>
    <row r="230" spans="1:23" ht="12.5">
      <c r="A230" s="5">
        <v>90568</v>
      </c>
      <c r="B230" s="5" t="s">
        <v>15315</v>
      </c>
      <c r="C230" s="5">
        <v>573002789561</v>
      </c>
      <c r="D230" s="5">
        <v>29</v>
      </c>
      <c r="E230" s="5" t="s">
        <v>309</v>
      </c>
      <c r="F230" s="5" t="s">
        <v>73</v>
      </c>
      <c r="G230" s="5" t="s">
        <v>4055</v>
      </c>
      <c r="H230" s="5" t="s">
        <v>4056</v>
      </c>
      <c r="I230" s="5"/>
      <c r="J230" s="12">
        <v>46014</v>
      </c>
      <c r="K230" s="11">
        <v>0.45833333333212067</v>
      </c>
      <c r="M230" s="10" t="s">
        <v>14850</v>
      </c>
      <c r="N230" s="12">
        <v>46014.390975972223</v>
      </c>
      <c r="O230" s="10" t="s">
        <v>15316</v>
      </c>
      <c r="P230" s="5" t="s">
        <v>14571</v>
      </c>
      <c r="Q230" s="5" t="s">
        <v>14572</v>
      </c>
      <c r="R230" s="5" t="s">
        <v>15317</v>
      </c>
      <c r="T230" s="5" t="s">
        <v>5994</v>
      </c>
      <c r="U230" s="5" t="s">
        <v>14593</v>
      </c>
      <c r="V230" s="5" t="s">
        <v>83</v>
      </c>
    </row>
    <row r="231" spans="1:23" ht="12.5">
      <c r="A231" s="5">
        <v>90567</v>
      </c>
      <c r="B231" s="5" t="s">
        <v>15318</v>
      </c>
      <c r="C231" s="5">
        <v>573016665783</v>
      </c>
      <c r="D231" s="5">
        <v>95</v>
      </c>
      <c r="E231" s="5" t="s">
        <v>42</v>
      </c>
      <c r="F231" s="5" t="s">
        <v>563</v>
      </c>
      <c r="G231" s="5" t="s">
        <v>4050</v>
      </c>
      <c r="H231" s="5" t="s">
        <v>4051</v>
      </c>
      <c r="I231" s="5">
        <v>3016665783</v>
      </c>
      <c r="J231" s="12">
        <v>46014</v>
      </c>
      <c r="K231" s="11">
        <v>0.41666666666787933</v>
      </c>
      <c r="M231" s="10" t="s">
        <v>14960</v>
      </c>
      <c r="N231" s="12">
        <v>46014.363732210652</v>
      </c>
      <c r="O231" s="10" t="s">
        <v>15319</v>
      </c>
      <c r="P231" s="5" t="s">
        <v>14571</v>
      </c>
      <c r="Q231" s="5" t="s">
        <v>14572</v>
      </c>
      <c r="R231" s="5" t="s">
        <v>15320</v>
      </c>
      <c r="T231" s="5" t="s">
        <v>5994</v>
      </c>
      <c r="U231" s="5" t="s">
        <v>14775</v>
      </c>
      <c r="V231" s="5" t="s">
        <v>83</v>
      </c>
      <c r="W231" s="5" t="s">
        <v>4052</v>
      </c>
    </row>
    <row r="232" spans="1:23" ht="12.5">
      <c r="A232" s="5">
        <v>90566</v>
      </c>
      <c r="B232" s="5" t="s">
        <v>3054</v>
      </c>
      <c r="C232" s="5">
        <v>573157740283</v>
      </c>
      <c r="D232" s="5">
        <v>95</v>
      </c>
      <c r="E232" s="5" t="s">
        <v>42</v>
      </c>
      <c r="F232" s="5" t="s">
        <v>33</v>
      </c>
      <c r="G232" s="5" t="s">
        <v>3054</v>
      </c>
      <c r="H232" s="5" t="s">
        <v>34</v>
      </c>
      <c r="I232" s="5">
        <v>3157740283</v>
      </c>
      <c r="J232" s="12">
        <v>46014</v>
      </c>
      <c r="K232" s="11">
        <v>0</v>
      </c>
      <c r="M232" s="10" t="s">
        <v>14705</v>
      </c>
      <c r="N232" s="12">
        <v>46014.389077928237</v>
      </c>
      <c r="O232" s="10" t="s">
        <v>15321</v>
      </c>
      <c r="P232" s="5" t="s">
        <v>14571</v>
      </c>
      <c r="Q232" s="5" t="s">
        <v>14578</v>
      </c>
      <c r="R232" s="5" t="s">
        <v>15322</v>
      </c>
      <c r="T232" s="5" t="s">
        <v>14574</v>
      </c>
      <c r="U232" s="5" t="s">
        <v>33</v>
      </c>
      <c r="V232" s="5" t="s">
        <v>2636</v>
      </c>
      <c r="W232" s="5" t="s">
        <v>4047</v>
      </c>
    </row>
    <row r="233" spans="1:23" ht="12.5">
      <c r="A233" s="5">
        <v>90565</v>
      </c>
      <c r="B233" s="5" t="s">
        <v>15323</v>
      </c>
      <c r="C233" s="5">
        <v>5715196391003</v>
      </c>
      <c r="D233" s="5">
        <v>64</v>
      </c>
      <c r="E233" s="5" t="s">
        <v>133</v>
      </c>
      <c r="F233" s="5" t="s">
        <v>103</v>
      </c>
      <c r="G233" s="5" t="s">
        <v>4044</v>
      </c>
      <c r="H233" s="5" t="s">
        <v>4045</v>
      </c>
      <c r="J233" s="12">
        <v>46015</v>
      </c>
      <c r="K233" s="11">
        <v>0.41666666666787933</v>
      </c>
      <c r="M233" s="10" t="s">
        <v>14646</v>
      </c>
      <c r="N233" s="12">
        <v>46014.375333344906</v>
      </c>
      <c r="O233" s="10" t="s">
        <v>15324</v>
      </c>
      <c r="P233" s="5" t="s">
        <v>14571</v>
      </c>
      <c r="Q233" s="5" t="s">
        <v>14612</v>
      </c>
      <c r="R233" s="5" t="s">
        <v>15325</v>
      </c>
      <c r="T233" s="5" t="s">
        <v>5994</v>
      </c>
      <c r="U233" s="5" t="s">
        <v>14593</v>
      </c>
      <c r="V233" s="5" t="s">
        <v>1937</v>
      </c>
    </row>
    <row r="234" spans="1:23" ht="12.5">
      <c r="A234" s="5">
        <v>90564</v>
      </c>
      <c r="B234" s="5" t="s">
        <v>15326</v>
      </c>
      <c r="C234" s="5">
        <v>573172812799</v>
      </c>
      <c r="D234" s="5">
        <v>5</v>
      </c>
      <c r="E234" s="5" t="s">
        <v>3111</v>
      </c>
      <c r="F234" s="5" t="s">
        <v>1057</v>
      </c>
      <c r="G234" s="5" t="s">
        <v>4039</v>
      </c>
      <c r="H234" s="5" t="s">
        <v>4040</v>
      </c>
      <c r="I234" s="5">
        <v>3171141883</v>
      </c>
      <c r="J234" s="12">
        <v>46014</v>
      </c>
      <c r="K234" s="11">
        <v>0.41666666666787933</v>
      </c>
      <c r="M234" s="10" t="s">
        <v>15327</v>
      </c>
      <c r="N234" s="12">
        <v>46014.360745798607</v>
      </c>
      <c r="O234" s="10" t="s">
        <v>15328</v>
      </c>
      <c r="P234" s="5" t="s">
        <v>14571</v>
      </c>
      <c r="Q234" s="5" t="s">
        <v>14572</v>
      </c>
      <c r="R234" s="5" t="s">
        <v>15329</v>
      </c>
      <c r="T234" s="5" t="s">
        <v>5994</v>
      </c>
      <c r="U234" s="5" t="s">
        <v>14580</v>
      </c>
      <c r="V234" s="5" t="s">
        <v>83</v>
      </c>
    </row>
    <row r="235" spans="1:23" ht="12.5">
      <c r="A235" s="5">
        <v>90563</v>
      </c>
      <c r="B235" s="5" t="s">
        <v>15330</v>
      </c>
      <c r="C235" s="5">
        <v>573107566363</v>
      </c>
      <c r="D235" s="5">
        <v>12</v>
      </c>
      <c r="E235" s="5" t="s">
        <v>239</v>
      </c>
      <c r="F235" s="5" t="s">
        <v>1647</v>
      </c>
      <c r="G235" s="5" t="s">
        <v>4034</v>
      </c>
      <c r="H235" s="5" t="s">
        <v>4035</v>
      </c>
      <c r="I235" s="5">
        <v>3105535913</v>
      </c>
      <c r="J235" s="12">
        <v>46017</v>
      </c>
      <c r="K235" s="11">
        <v>0.375</v>
      </c>
      <c r="M235" s="10" t="s">
        <v>15331</v>
      </c>
      <c r="N235" s="12">
        <v>46014.337539456013</v>
      </c>
      <c r="O235" s="10" t="s">
        <v>15332</v>
      </c>
      <c r="P235" s="5" t="s">
        <v>14571</v>
      </c>
      <c r="Q235" s="5" t="s">
        <v>14572</v>
      </c>
      <c r="R235" s="5" t="s">
        <v>15333</v>
      </c>
      <c r="T235" s="5" t="s">
        <v>5994</v>
      </c>
      <c r="U235" s="5" t="s">
        <v>14580</v>
      </c>
      <c r="V235" s="5" t="s">
        <v>180</v>
      </c>
      <c r="W235" s="5" t="s">
        <v>4037</v>
      </c>
    </row>
    <row r="236" spans="1:23" ht="12.5">
      <c r="A236" s="5">
        <v>90562</v>
      </c>
      <c r="B236" s="5" t="s">
        <v>15334</v>
      </c>
      <c r="C236" s="5">
        <v>573205422250</v>
      </c>
      <c r="D236" s="5">
        <v>16</v>
      </c>
      <c r="E236" s="5" t="s">
        <v>2556</v>
      </c>
      <c r="F236" s="5" t="s">
        <v>154</v>
      </c>
      <c r="G236" s="5" t="s">
        <v>4028</v>
      </c>
      <c r="H236" s="5" t="s">
        <v>4029</v>
      </c>
      <c r="J236" s="12">
        <v>46014</v>
      </c>
      <c r="K236" s="11">
        <v>0.41666666666787933</v>
      </c>
      <c r="M236" s="10" t="s">
        <v>15335</v>
      </c>
      <c r="N236" s="12">
        <v>46014.337381597223</v>
      </c>
      <c r="O236" s="10" t="s">
        <v>15336</v>
      </c>
      <c r="P236" s="5" t="s">
        <v>14571</v>
      </c>
      <c r="Q236" s="5" t="s">
        <v>14612</v>
      </c>
      <c r="R236" s="5" t="s">
        <v>15337</v>
      </c>
      <c r="T236" s="5" t="s">
        <v>5994</v>
      </c>
      <c r="U236" s="5" t="s">
        <v>14593</v>
      </c>
      <c r="V236" s="5" t="s">
        <v>83</v>
      </c>
      <c r="W236" s="5" t="s">
        <v>4031</v>
      </c>
    </row>
    <row r="237" spans="1:23" ht="12.5">
      <c r="A237" s="5">
        <v>90561</v>
      </c>
      <c r="B237" s="5" t="s">
        <v>2607</v>
      </c>
      <c r="C237" s="5">
        <v>573019085103</v>
      </c>
      <c r="D237" s="5">
        <v>39</v>
      </c>
      <c r="E237" s="5" t="s">
        <v>96</v>
      </c>
      <c r="F237" s="5" t="s">
        <v>307</v>
      </c>
      <c r="G237" s="5" t="s">
        <v>2607</v>
      </c>
      <c r="H237" s="5" t="s">
        <v>4024</v>
      </c>
      <c r="J237" s="12">
        <v>46014</v>
      </c>
      <c r="K237" s="11">
        <v>0.375</v>
      </c>
      <c r="M237" s="10" t="s">
        <v>14649</v>
      </c>
      <c r="N237" s="12">
        <v>46013.774217812505</v>
      </c>
      <c r="O237" s="10" t="s">
        <v>15338</v>
      </c>
      <c r="P237" s="5" t="s">
        <v>14571</v>
      </c>
      <c r="Q237" s="5" t="s">
        <v>14572</v>
      </c>
      <c r="R237" s="5" t="s">
        <v>15339</v>
      </c>
      <c r="T237" s="5" t="s">
        <v>5994</v>
      </c>
      <c r="U237" s="5" t="s">
        <v>14618</v>
      </c>
      <c r="V237" s="5" t="s">
        <v>83</v>
      </c>
      <c r="W237" s="5"/>
    </row>
    <row r="238" spans="1:23" ht="12.5">
      <c r="A238" s="5">
        <v>90560</v>
      </c>
      <c r="B238" s="5" t="s">
        <v>15340</v>
      </c>
      <c r="C238" s="5">
        <v>573215929527</v>
      </c>
      <c r="D238" s="5">
        <v>5</v>
      </c>
      <c r="E238" s="5" t="s">
        <v>4021</v>
      </c>
      <c r="F238" s="5" t="s">
        <v>103</v>
      </c>
      <c r="G238" s="5" t="s">
        <v>4019</v>
      </c>
      <c r="H238" s="5" t="s">
        <v>4020</v>
      </c>
      <c r="I238" s="5">
        <v>3215929527</v>
      </c>
      <c r="J238" s="12">
        <v>46014</v>
      </c>
      <c r="K238" s="11">
        <v>0.41666666666787933</v>
      </c>
      <c r="M238" s="10" t="s">
        <v>14649</v>
      </c>
      <c r="N238" s="12">
        <v>46013.72393680556</v>
      </c>
      <c r="O238" s="10" t="s">
        <v>15341</v>
      </c>
      <c r="P238" s="5" t="s">
        <v>14571</v>
      </c>
      <c r="Q238" s="5" t="s">
        <v>14578</v>
      </c>
      <c r="R238" s="5" t="s">
        <v>15342</v>
      </c>
      <c r="T238" s="5" t="s">
        <v>5994</v>
      </c>
      <c r="U238" s="5" t="s">
        <v>14593</v>
      </c>
      <c r="V238" s="5" t="s">
        <v>83</v>
      </c>
      <c r="W238" s="5" t="s">
        <v>4023</v>
      </c>
    </row>
    <row r="239" spans="1:23" ht="12.5">
      <c r="A239" s="5">
        <v>90559</v>
      </c>
      <c r="B239" s="5" t="s">
        <v>15343</v>
      </c>
      <c r="C239" s="5">
        <v>573205310463</v>
      </c>
      <c r="D239" s="5">
        <v>25</v>
      </c>
      <c r="E239" s="5" t="s">
        <v>1792</v>
      </c>
      <c r="F239" s="5" t="s">
        <v>124</v>
      </c>
      <c r="G239" s="5" t="s">
        <v>4016</v>
      </c>
      <c r="H239" s="5" t="s">
        <v>4017</v>
      </c>
      <c r="I239" s="5">
        <v>3205310463</v>
      </c>
      <c r="J239" s="12">
        <v>46017</v>
      </c>
      <c r="K239" s="11">
        <v>0.33333333333212067</v>
      </c>
      <c r="M239" s="10" t="s">
        <v>15076</v>
      </c>
      <c r="N239" s="12">
        <v>46013.749577870374</v>
      </c>
      <c r="O239" s="10" t="s">
        <v>15344</v>
      </c>
      <c r="P239" s="5" t="s">
        <v>14571</v>
      </c>
      <c r="Q239" s="5" t="s">
        <v>14572</v>
      </c>
      <c r="R239" s="5" t="s">
        <v>15345</v>
      </c>
      <c r="T239" s="5" t="s">
        <v>5994</v>
      </c>
      <c r="U239" s="5" t="s">
        <v>14775</v>
      </c>
      <c r="V239" s="5" t="s">
        <v>83</v>
      </c>
    </row>
    <row r="240" spans="1:23" ht="12.5">
      <c r="A240" s="5">
        <v>90558</v>
      </c>
      <c r="B240" s="5" t="s">
        <v>15346</v>
      </c>
      <c r="C240" s="5">
        <v>573042744865</v>
      </c>
      <c r="D240" s="5">
        <v>42</v>
      </c>
      <c r="E240" s="5" t="s">
        <v>649</v>
      </c>
      <c r="F240" s="5" t="s">
        <v>1317</v>
      </c>
      <c r="G240" s="5" t="s">
        <v>4010</v>
      </c>
      <c r="H240" s="5" t="s">
        <v>4011</v>
      </c>
      <c r="I240" s="5">
        <v>3245192336</v>
      </c>
      <c r="J240" s="12">
        <v>46014</v>
      </c>
      <c r="K240" s="11">
        <v>0.375</v>
      </c>
      <c r="M240" s="10" t="s">
        <v>14582</v>
      </c>
      <c r="N240" s="12">
        <v>46013.742114259258</v>
      </c>
      <c r="O240" s="10" t="s">
        <v>15347</v>
      </c>
      <c r="P240" s="5" t="s">
        <v>14571</v>
      </c>
      <c r="Q240" s="5" t="s">
        <v>14578</v>
      </c>
      <c r="R240" s="5" t="s">
        <v>15348</v>
      </c>
      <c r="T240" s="5" t="s">
        <v>5994</v>
      </c>
      <c r="U240" s="5" t="s">
        <v>15349</v>
      </c>
      <c r="V240" s="5" t="s">
        <v>83</v>
      </c>
    </row>
    <row r="241" spans="1:23" ht="12.5">
      <c r="A241" s="5">
        <v>90557</v>
      </c>
      <c r="B241" s="5" t="s">
        <v>4008</v>
      </c>
      <c r="C241" s="5">
        <v>573144430705</v>
      </c>
      <c r="D241" s="5">
        <v>43</v>
      </c>
      <c r="E241" s="5" t="s">
        <v>679</v>
      </c>
      <c r="F241" s="5" t="s">
        <v>33</v>
      </c>
      <c r="G241" s="5" t="s">
        <v>4008</v>
      </c>
      <c r="H241" s="5" t="s">
        <v>34</v>
      </c>
      <c r="I241" s="5">
        <v>3144430705</v>
      </c>
      <c r="J241" s="12">
        <v>46013</v>
      </c>
      <c r="K241" s="11">
        <v>0</v>
      </c>
      <c r="M241" s="10" t="s">
        <v>14740</v>
      </c>
      <c r="N241" s="12">
        <v>46013.742046967593</v>
      </c>
      <c r="O241" s="10" t="s">
        <v>15350</v>
      </c>
      <c r="P241" s="5" t="s">
        <v>14571</v>
      </c>
      <c r="Q241" s="5" t="s">
        <v>14578</v>
      </c>
      <c r="R241" s="5" t="s">
        <v>15351</v>
      </c>
      <c r="T241" s="5" t="s">
        <v>14574</v>
      </c>
      <c r="U241" s="5" t="s">
        <v>33</v>
      </c>
      <c r="V241" s="5" t="s">
        <v>2636</v>
      </c>
    </row>
    <row r="242" spans="1:23" ht="12.5">
      <c r="A242" s="5">
        <v>90556</v>
      </c>
      <c r="B242" s="5" t="s">
        <v>4005</v>
      </c>
      <c r="C242" s="5">
        <v>5726230928</v>
      </c>
      <c r="D242" s="5">
        <v>95</v>
      </c>
      <c r="E242" s="5" t="s">
        <v>42</v>
      </c>
      <c r="F242" s="5" t="s">
        <v>33</v>
      </c>
      <c r="G242" s="5" t="s">
        <v>4005</v>
      </c>
      <c r="H242" s="5" t="s">
        <v>34</v>
      </c>
      <c r="I242" s="5">
        <v>26230928</v>
      </c>
      <c r="J242" s="12">
        <v>46013</v>
      </c>
      <c r="K242" s="11">
        <v>0</v>
      </c>
      <c r="M242" s="10" t="s">
        <v>15352</v>
      </c>
      <c r="N242" s="12">
        <v>46013.69607258102</v>
      </c>
      <c r="O242" s="10" t="s">
        <v>15353</v>
      </c>
      <c r="P242" s="5" t="s">
        <v>14571</v>
      </c>
      <c r="Q242" s="5" t="s">
        <v>14578</v>
      </c>
      <c r="R242" s="5" t="s">
        <v>15354</v>
      </c>
      <c r="T242" s="5" t="s">
        <v>14574</v>
      </c>
      <c r="U242" s="5" t="s">
        <v>33</v>
      </c>
      <c r="V242" s="5" t="s">
        <v>2636</v>
      </c>
      <c r="W242" s="5" t="s">
        <v>525</v>
      </c>
    </row>
    <row r="243" spans="1:23" ht="12.5">
      <c r="A243" s="5">
        <v>90555</v>
      </c>
      <c r="B243" s="5" t="s">
        <v>15355</v>
      </c>
      <c r="C243" s="5">
        <v>573013684743</v>
      </c>
      <c r="D243" s="5">
        <v>41</v>
      </c>
      <c r="E243" s="5" t="s">
        <v>89</v>
      </c>
      <c r="F243" s="5" t="s">
        <v>265</v>
      </c>
      <c r="G243" s="5" t="s">
        <v>4001</v>
      </c>
      <c r="H243" s="5" t="s">
        <v>4002</v>
      </c>
      <c r="I243" s="5">
        <v>3002328616</v>
      </c>
      <c r="J243" s="12">
        <v>46013</v>
      </c>
      <c r="K243" s="11">
        <v>0.73263888889050577</v>
      </c>
      <c r="M243" s="10" t="s">
        <v>15356</v>
      </c>
      <c r="N243" s="12">
        <v>46013.641327268517</v>
      </c>
      <c r="O243" s="10" t="s">
        <v>14811</v>
      </c>
      <c r="P243" s="5" t="s">
        <v>14571</v>
      </c>
      <c r="Q243" s="5" t="s">
        <v>14612</v>
      </c>
      <c r="R243" s="5" t="s">
        <v>15357</v>
      </c>
      <c r="T243" s="5" t="s">
        <v>5994</v>
      </c>
      <c r="U243" s="5" t="s">
        <v>14691</v>
      </c>
      <c r="V243" s="5" t="s">
        <v>180</v>
      </c>
    </row>
    <row r="244" spans="1:23" ht="12.5">
      <c r="A244" s="5">
        <v>90554</v>
      </c>
      <c r="B244" s="5" t="s">
        <v>15358</v>
      </c>
      <c r="C244" s="5">
        <v>573003484102</v>
      </c>
      <c r="D244" s="5">
        <v>20</v>
      </c>
      <c r="E244" s="5" t="s">
        <v>187</v>
      </c>
      <c r="F244" s="5" t="s">
        <v>265</v>
      </c>
      <c r="G244" s="5" t="s">
        <v>2735</v>
      </c>
      <c r="H244" s="5" t="s">
        <v>3997</v>
      </c>
      <c r="I244" s="5"/>
      <c r="J244" s="12">
        <v>46013</v>
      </c>
      <c r="K244" s="11">
        <v>0.72916666666787933</v>
      </c>
      <c r="M244" s="10" t="s">
        <v>15359</v>
      </c>
      <c r="N244" s="12">
        <v>46013.671700347222</v>
      </c>
      <c r="O244" s="10" t="s">
        <v>15360</v>
      </c>
      <c r="P244" s="5" t="s">
        <v>14571</v>
      </c>
      <c r="Q244" s="5" t="s">
        <v>14578</v>
      </c>
      <c r="R244" s="5" t="s">
        <v>15361</v>
      </c>
      <c r="T244" s="5" t="s">
        <v>5994</v>
      </c>
      <c r="U244" s="5" t="s">
        <v>14691</v>
      </c>
      <c r="V244" s="5" t="s">
        <v>83</v>
      </c>
    </row>
    <row r="245" spans="1:23" ht="12.5">
      <c r="A245" s="5">
        <v>90553</v>
      </c>
      <c r="B245" s="5" t="s">
        <v>3989</v>
      </c>
      <c r="C245" s="5">
        <v>573166946981</v>
      </c>
      <c r="D245" s="5">
        <v>95</v>
      </c>
      <c r="E245" s="5" t="s">
        <v>42</v>
      </c>
      <c r="G245" s="5" t="s">
        <v>3993</v>
      </c>
      <c r="H245" s="5" t="s">
        <v>3994</v>
      </c>
      <c r="I245" s="5">
        <v>3166946981</v>
      </c>
      <c r="J245" s="12">
        <v>46013</v>
      </c>
      <c r="K245" s="11">
        <v>0.70833333333212067</v>
      </c>
      <c r="M245" s="10" t="s">
        <v>14585</v>
      </c>
      <c r="N245" s="12">
        <v>46013.684314918981</v>
      </c>
      <c r="O245" s="10" t="s">
        <v>14713</v>
      </c>
      <c r="P245" s="5" t="s">
        <v>14571</v>
      </c>
      <c r="Q245" s="5" t="s">
        <v>14578</v>
      </c>
      <c r="R245" s="5" t="s">
        <v>15362</v>
      </c>
      <c r="T245" s="5" t="s">
        <v>5994</v>
      </c>
      <c r="V245" s="5" t="s">
        <v>2636</v>
      </c>
      <c r="W245" s="5" t="s">
        <v>3995</v>
      </c>
    </row>
    <row r="246" spans="1:23" ht="12.5">
      <c r="A246" s="5">
        <v>90552</v>
      </c>
      <c r="B246" s="5" t="s">
        <v>3989</v>
      </c>
      <c r="C246" s="5">
        <v>573166946981</v>
      </c>
      <c r="D246" s="5">
        <v>52</v>
      </c>
      <c r="E246" s="5" t="s">
        <v>3991</v>
      </c>
      <c r="G246" s="5" t="s">
        <v>3989</v>
      </c>
      <c r="H246" s="5" t="s">
        <v>3990</v>
      </c>
      <c r="J246" s="12">
        <v>46013</v>
      </c>
      <c r="K246" s="11">
        <v>0.70833333333212067</v>
      </c>
      <c r="M246" s="10" t="s">
        <v>14712</v>
      </c>
      <c r="N246" s="12">
        <v>46013.682412870374</v>
      </c>
      <c r="O246" s="10" t="s">
        <v>15363</v>
      </c>
      <c r="P246" s="5" t="s">
        <v>14571</v>
      </c>
      <c r="Q246" s="5" t="s">
        <v>14612</v>
      </c>
      <c r="R246" s="5" t="s">
        <v>15364</v>
      </c>
      <c r="T246" s="5" t="s">
        <v>5994</v>
      </c>
      <c r="V246" s="5" t="s">
        <v>2636</v>
      </c>
      <c r="W246" s="5" t="s">
        <v>3992</v>
      </c>
    </row>
    <row r="247" spans="1:23" ht="12.5">
      <c r="A247" s="5">
        <v>90551</v>
      </c>
      <c r="B247" s="5" t="s">
        <v>3986</v>
      </c>
      <c r="C247" s="5">
        <v>573136141840</v>
      </c>
      <c r="D247" s="5">
        <v>52</v>
      </c>
      <c r="E247" s="5" t="s">
        <v>178</v>
      </c>
      <c r="F247" s="5" t="s">
        <v>33</v>
      </c>
      <c r="G247" s="5" t="s">
        <v>3986</v>
      </c>
      <c r="H247" s="5" t="s">
        <v>34</v>
      </c>
      <c r="I247" s="5">
        <v>3136141840</v>
      </c>
      <c r="J247" s="12">
        <v>46013</v>
      </c>
      <c r="K247" s="11">
        <v>0.70833333333212067</v>
      </c>
      <c r="M247" s="10" t="s">
        <v>14705</v>
      </c>
      <c r="N247" s="12">
        <v>46013.681806608802</v>
      </c>
      <c r="O247" s="10" t="s">
        <v>15365</v>
      </c>
      <c r="P247" s="5" t="s">
        <v>14571</v>
      </c>
      <c r="Q247" s="5" t="s">
        <v>14578</v>
      </c>
      <c r="R247" s="5" t="s">
        <v>15366</v>
      </c>
      <c r="T247" s="5" t="s">
        <v>14574</v>
      </c>
      <c r="U247" s="5" t="s">
        <v>33</v>
      </c>
      <c r="V247" s="5" t="s">
        <v>196</v>
      </c>
    </row>
    <row r="248" spans="1:23" ht="12.5">
      <c r="A248" s="5">
        <v>90550</v>
      </c>
      <c r="B248" s="5" t="s">
        <v>1828</v>
      </c>
      <c r="C248" s="5">
        <v>573046688627</v>
      </c>
      <c r="D248" s="5">
        <v>20</v>
      </c>
      <c r="E248" s="5" t="s">
        <v>187</v>
      </c>
      <c r="F248" s="5" t="s">
        <v>161</v>
      </c>
      <c r="G248" s="5" t="s">
        <v>3982</v>
      </c>
      <c r="H248" s="5" t="s">
        <v>3983</v>
      </c>
      <c r="J248" s="12">
        <v>46013</v>
      </c>
      <c r="K248" s="11">
        <v>0.66666666666787933</v>
      </c>
      <c r="M248" s="10" t="s">
        <v>15140</v>
      </c>
      <c r="N248" s="12">
        <v>46013.676340289356</v>
      </c>
      <c r="O248" s="10" t="s">
        <v>15367</v>
      </c>
      <c r="P248" s="5" t="s">
        <v>14571</v>
      </c>
      <c r="Q248" s="5" t="s">
        <v>14578</v>
      </c>
      <c r="R248" s="5" t="s">
        <v>15368</v>
      </c>
      <c r="T248" s="5" t="s">
        <v>5994</v>
      </c>
      <c r="U248" s="5" t="s">
        <v>14593</v>
      </c>
      <c r="V248" s="5" t="s">
        <v>83</v>
      </c>
    </row>
    <row r="249" spans="1:23" ht="12.5">
      <c r="A249" s="5">
        <v>90549</v>
      </c>
      <c r="B249" s="5" t="s">
        <v>15369</v>
      </c>
      <c r="C249" s="5">
        <v>573015657857</v>
      </c>
      <c r="D249" s="5">
        <v>23</v>
      </c>
      <c r="E249" s="5" t="s">
        <v>50</v>
      </c>
      <c r="F249" s="5" t="s">
        <v>563</v>
      </c>
      <c r="G249" s="5" t="s">
        <v>3980</v>
      </c>
      <c r="H249" s="5" t="s">
        <v>3981</v>
      </c>
      <c r="I249" s="5">
        <v>3015657857</v>
      </c>
      <c r="J249" s="12">
        <v>46014</v>
      </c>
      <c r="K249" s="11">
        <v>0.35416666666787933</v>
      </c>
      <c r="M249" s="10" t="s">
        <v>14615</v>
      </c>
      <c r="N249" s="12">
        <v>46012.793755081017</v>
      </c>
      <c r="O249" s="10" t="s">
        <v>15370</v>
      </c>
      <c r="P249" s="5" t="s">
        <v>14571</v>
      </c>
      <c r="Q249" s="5" t="s">
        <v>14572</v>
      </c>
      <c r="R249" s="5" t="s">
        <v>15371</v>
      </c>
      <c r="T249" s="5" t="s">
        <v>5994</v>
      </c>
      <c r="U249" s="5" t="s">
        <v>14775</v>
      </c>
      <c r="V249" s="5" t="s">
        <v>1937</v>
      </c>
    </row>
    <row r="250" spans="1:23" ht="12.5">
      <c r="A250" s="5">
        <v>90548</v>
      </c>
      <c r="B250" s="5" t="s">
        <v>3978</v>
      </c>
      <c r="C250" s="5"/>
      <c r="D250" s="5">
        <v>52</v>
      </c>
      <c r="E250" s="5" t="s">
        <v>178</v>
      </c>
      <c r="F250" s="5" t="s">
        <v>33</v>
      </c>
      <c r="G250" s="5" t="s">
        <v>3978</v>
      </c>
      <c r="H250" s="5" t="s">
        <v>34</v>
      </c>
      <c r="I250" s="5">
        <v>3014403869</v>
      </c>
      <c r="J250" s="12">
        <v>46014</v>
      </c>
      <c r="K250" s="11">
        <v>0.39583333333212067</v>
      </c>
      <c r="M250" s="10" t="s">
        <v>14705</v>
      </c>
      <c r="N250" s="12">
        <v>46013.668336388888</v>
      </c>
      <c r="O250" s="10" t="s">
        <v>15372</v>
      </c>
      <c r="P250" s="5" t="s">
        <v>14571</v>
      </c>
      <c r="Q250" s="5" t="s">
        <v>14572</v>
      </c>
      <c r="R250" s="5" t="s">
        <v>15373</v>
      </c>
      <c r="T250" s="5" t="s">
        <v>14574</v>
      </c>
      <c r="U250" s="5" t="s">
        <v>33</v>
      </c>
      <c r="V250" s="5" t="s">
        <v>43</v>
      </c>
      <c r="W250" s="5" t="s">
        <v>225</v>
      </c>
    </row>
    <row r="251" spans="1:23" ht="12.5">
      <c r="A251" s="5">
        <v>90547</v>
      </c>
      <c r="B251" s="5" t="s">
        <v>3975</v>
      </c>
      <c r="C251" s="5"/>
      <c r="D251" s="5">
        <v>52</v>
      </c>
      <c r="E251" s="5" t="s">
        <v>178</v>
      </c>
      <c r="F251" s="5" t="s">
        <v>33</v>
      </c>
      <c r="G251" s="5" t="s">
        <v>3975</v>
      </c>
      <c r="H251" s="5" t="s">
        <v>34</v>
      </c>
      <c r="I251" s="5">
        <v>3189068572</v>
      </c>
      <c r="J251" s="12">
        <v>46013</v>
      </c>
      <c r="K251" s="11">
        <v>0</v>
      </c>
      <c r="M251" s="10" t="s">
        <v>14705</v>
      </c>
      <c r="N251" s="12">
        <v>46013.664652129628</v>
      </c>
      <c r="O251" s="10" t="s">
        <v>14931</v>
      </c>
      <c r="P251" s="5" t="s">
        <v>14571</v>
      </c>
      <c r="Q251" s="5" t="s">
        <v>14612</v>
      </c>
      <c r="R251" s="5" t="s">
        <v>15374</v>
      </c>
      <c r="T251" s="5" t="s">
        <v>14574</v>
      </c>
      <c r="U251" s="5" t="s">
        <v>33</v>
      </c>
      <c r="V251" s="5" t="s">
        <v>43</v>
      </c>
      <c r="W251" s="5" t="s">
        <v>225</v>
      </c>
    </row>
    <row r="252" spans="1:23" ht="12.5">
      <c r="A252" s="5">
        <v>90546</v>
      </c>
      <c r="B252" s="5" t="s">
        <v>13009</v>
      </c>
      <c r="C252" s="5">
        <v>573017824366</v>
      </c>
      <c r="D252" s="5">
        <v>46</v>
      </c>
      <c r="E252" s="5" t="s">
        <v>1126</v>
      </c>
      <c r="G252" s="5" t="s">
        <v>3021</v>
      </c>
      <c r="H252" s="5" t="s">
        <v>3972</v>
      </c>
      <c r="I252" s="5">
        <v>3017824366</v>
      </c>
      <c r="J252" s="12">
        <v>46014</v>
      </c>
      <c r="K252" s="11">
        <v>0.54444444444379769</v>
      </c>
      <c r="M252" s="10" t="s">
        <v>14910</v>
      </c>
      <c r="N252" s="12">
        <v>46013.654816631941</v>
      </c>
      <c r="O252" s="10" t="s">
        <v>14813</v>
      </c>
      <c r="P252" s="5" t="s">
        <v>14571</v>
      </c>
      <c r="Q252" s="5" t="s">
        <v>14578</v>
      </c>
      <c r="R252" s="5" t="s">
        <v>15375</v>
      </c>
      <c r="T252" s="5" t="s">
        <v>5994</v>
      </c>
      <c r="V252" s="5" t="s">
        <v>67</v>
      </c>
    </row>
    <row r="253" spans="1:23" ht="12.5">
      <c r="A253" s="5">
        <v>90545</v>
      </c>
      <c r="B253" s="5" t="s">
        <v>15376</v>
      </c>
      <c r="C253" s="5">
        <v>573145354220</v>
      </c>
      <c r="D253" s="5">
        <v>23</v>
      </c>
      <c r="E253" s="5" t="s">
        <v>50</v>
      </c>
      <c r="F253" s="5" t="s">
        <v>110</v>
      </c>
      <c r="G253" s="5" t="s">
        <v>3969</v>
      </c>
      <c r="H253" s="5" t="s">
        <v>3970</v>
      </c>
      <c r="J253" s="12">
        <v>46014</v>
      </c>
      <c r="K253" s="11">
        <v>0.33333333333212067</v>
      </c>
      <c r="M253" s="10" t="s">
        <v>15377</v>
      </c>
      <c r="N253" s="12">
        <v>46013.645040046293</v>
      </c>
      <c r="O253" s="10" t="s">
        <v>15378</v>
      </c>
      <c r="P253" s="5" t="s">
        <v>14571</v>
      </c>
      <c r="Q253" s="5" t="s">
        <v>14572</v>
      </c>
      <c r="R253" s="5" t="s">
        <v>15379</v>
      </c>
      <c r="T253" s="5" t="s">
        <v>5994</v>
      </c>
      <c r="U253" s="5" t="s">
        <v>14593</v>
      </c>
      <c r="V253" s="5" t="s">
        <v>83</v>
      </c>
    </row>
    <row r="254" spans="1:23" ht="12.5">
      <c r="A254" s="5">
        <v>90544</v>
      </c>
      <c r="B254" s="5" t="s">
        <v>15380</v>
      </c>
      <c r="C254" s="5">
        <v>573003972360</v>
      </c>
      <c r="D254" s="5">
        <v>56</v>
      </c>
      <c r="E254" s="5" t="s">
        <v>1102</v>
      </c>
      <c r="F254" s="5" t="s">
        <v>110</v>
      </c>
      <c r="G254" s="5" t="s">
        <v>3966</v>
      </c>
      <c r="H254" s="5" t="s">
        <v>3041</v>
      </c>
      <c r="I254" s="5">
        <v>3006154073</v>
      </c>
      <c r="J254" s="12">
        <v>46018</v>
      </c>
      <c r="K254" s="11">
        <v>0.33333333333212067</v>
      </c>
      <c r="M254" s="10" t="s">
        <v>15381</v>
      </c>
      <c r="N254" s="12">
        <v>46013.654302604162</v>
      </c>
      <c r="O254" s="10" t="s">
        <v>15382</v>
      </c>
      <c r="P254" s="5" t="s">
        <v>14571</v>
      </c>
      <c r="Q254" s="5" t="s">
        <v>14578</v>
      </c>
      <c r="R254" s="5" t="s">
        <v>15383</v>
      </c>
      <c r="T254" s="5" t="s">
        <v>5994</v>
      </c>
      <c r="U254" s="5" t="s">
        <v>14593</v>
      </c>
      <c r="V254" s="5" t="s">
        <v>2636</v>
      </c>
      <c r="W254" s="5" t="s">
        <v>3967</v>
      </c>
    </row>
    <row r="255" spans="1:23" ht="12.5">
      <c r="A255" s="5">
        <v>90543</v>
      </c>
      <c r="B255" s="5" t="s">
        <v>3964</v>
      </c>
      <c r="C255" s="5">
        <v>573126564463</v>
      </c>
      <c r="D255" s="5">
        <v>63</v>
      </c>
      <c r="E255" s="5" t="s">
        <v>294</v>
      </c>
      <c r="F255" s="5" t="s">
        <v>33</v>
      </c>
      <c r="G255" s="5" t="s">
        <v>3964</v>
      </c>
      <c r="H255" s="5" t="s">
        <v>34</v>
      </c>
      <c r="I255" s="5">
        <v>3126564463</v>
      </c>
      <c r="J255" s="12">
        <v>46013</v>
      </c>
      <c r="K255" s="11">
        <v>0.66666666666787933</v>
      </c>
      <c r="M255" s="10" t="s">
        <v>15384</v>
      </c>
      <c r="N255" s="12">
        <v>46013.645587465275</v>
      </c>
      <c r="O255" s="10" t="s">
        <v>14825</v>
      </c>
      <c r="P255" s="5" t="s">
        <v>14571</v>
      </c>
      <c r="Q255" s="5" t="s">
        <v>14578</v>
      </c>
      <c r="R255" s="5" t="s">
        <v>15385</v>
      </c>
      <c r="T255" s="5" t="s">
        <v>14574</v>
      </c>
      <c r="U255" s="5" t="s">
        <v>33</v>
      </c>
      <c r="V255" s="5" t="s">
        <v>2636</v>
      </c>
    </row>
    <row r="256" spans="1:23" ht="12.5">
      <c r="A256" s="5">
        <v>90542</v>
      </c>
      <c r="B256" s="5" t="s">
        <v>3960</v>
      </c>
      <c r="C256" s="5">
        <v>573123065852</v>
      </c>
      <c r="D256" s="5">
        <v>95</v>
      </c>
      <c r="E256" s="5" t="s">
        <v>42</v>
      </c>
      <c r="F256" s="5" t="s">
        <v>33</v>
      </c>
      <c r="G256" s="5" t="s">
        <v>3960</v>
      </c>
      <c r="H256" s="5" t="s">
        <v>34</v>
      </c>
      <c r="I256" s="5">
        <v>3123065852</v>
      </c>
      <c r="J256" s="12">
        <v>46017</v>
      </c>
      <c r="K256" s="11">
        <v>0.33333333333212067</v>
      </c>
      <c r="M256" s="10" t="s">
        <v>14740</v>
      </c>
      <c r="N256" s="12">
        <v>46013.644467650462</v>
      </c>
      <c r="O256" s="10" t="s">
        <v>14827</v>
      </c>
      <c r="P256" s="5" t="s">
        <v>14571</v>
      </c>
      <c r="Q256" s="5" t="s">
        <v>14572</v>
      </c>
      <c r="R256" s="5" t="s">
        <v>15386</v>
      </c>
      <c r="T256" s="5" t="s">
        <v>14574</v>
      </c>
      <c r="U256" s="5" t="s">
        <v>33</v>
      </c>
      <c r="V256" s="5" t="s">
        <v>2636</v>
      </c>
      <c r="W256" s="5" t="s">
        <v>3961</v>
      </c>
    </row>
    <row r="257" spans="1:23" ht="12.5">
      <c r="A257" s="5">
        <v>90541</v>
      </c>
      <c r="B257" s="5" t="s">
        <v>15387</v>
      </c>
      <c r="C257" s="5">
        <v>573046693945</v>
      </c>
      <c r="D257" s="5">
        <v>68</v>
      </c>
      <c r="E257" s="5" t="s">
        <v>361</v>
      </c>
      <c r="F257" s="5" t="s">
        <v>146</v>
      </c>
      <c r="G257" s="5" t="s">
        <v>3956</v>
      </c>
      <c r="H257" s="5" t="s">
        <v>3957</v>
      </c>
      <c r="I257" s="5">
        <v>3046693945</v>
      </c>
      <c r="J257" s="12">
        <v>46014</v>
      </c>
      <c r="K257" s="11">
        <v>0.33333333333212067</v>
      </c>
      <c r="M257" s="10" t="s">
        <v>14615</v>
      </c>
      <c r="N257" s="12">
        <v>46013.501466967587</v>
      </c>
      <c r="O257" s="10" t="s">
        <v>15388</v>
      </c>
      <c r="P257" s="5" t="s">
        <v>14571</v>
      </c>
      <c r="Q257" s="5" t="s">
        <v>14572</v>
      </c>
      <c r="R257" s="5" t="s">
        <v>15389</v>
      </c>
      <c r="T257" s="5" t="s">
        <v>5994</v>
      </c>
      <c r="U257" s="5" t="s">
        <v>14618</v>
      </c>
      <c r="V257" s="5" t="s">
        <v>204</v>
      </c>
    </row>
    <row r="258" spans="1:23" ht="12.5">
      <c r="A258" s="5">
        <v>90540</v>
      </c>
      <c r="B258" s="5" t="s">
        <v>15001</v>
      </c>
      <c r="C258" s="5">
        <v>573008916925</v>
      </c>
      <c r="D258" s="5">
        <v>23</v>
      </c>
      <c r="E258" s="5" t="s">
        <v>50</v>
      </c>
      <c r="F258" s="5" t="s">
        <v>110</v>
      </c>
      <c r="G258" s="5" t="s">
        <v>3951</v>
      </c>
      <c r="H258" s="5" t="s">
        <v>3952</v>
      </c>
      <c r="I258" s="5">
        <v>3012667200</v>
      </c>
      <c r="J258" s="12">
        <v>46013</v>
      </c>
      <c r="K258" s="11">
        <v>0.63888888889050577</v>
      </c>
      <c r="M258" s="10" t="s">
        <v>15377</v>
      </c>
      <c r="N258" s="12">
        <v>46013.554162511573</v>
      </c>
      <c r="O258" s="10" t="s">
        <v>15390</v>
      </c>
      <c r="P258" s="5" t="s">
        <v>14571</v>
      </c>
      <c r="Q258" s="5" t="s">
        <v>14578</v>
      </c>
      <c r="R258" s="5" t="s">
        <v>15391</v>
      </c>
      <c r="T258" s="5" t="s">
        <v>5994</v>
      </c>
      <c r="U258" s="5" t="s">
        <v>14593</v>
      </c>
      <c r="V258" s="5" t="s">
        <v>180</v>
      </c>
    </row>
    <row r="259" spans="1:23" ht="12.5">
      <c r="A259" s="5">
        <v>90539</v>
      </c>
      <c r="B259" s="5" t="s">
        <v>15392</v>
      </c>
      <c r="C259" s="5">
        <v>573173669658</v>
      </c>
      <c r="D259" s="5">
        <v>45</v>
      </c>
      <c r="E259" s="5" t="s">
        <v>210</v>
      </c>
      <c r="F259" s="5" t="s">
        <v>103</v>
      </c>
      <c r="G259" s="5" t="s">
        <v>3947</v>
      </c>
      <c r="H259" s="5" t="s">
        <v>3948</v>
      </c>
      <c r="I259" s="5">
        <v>3173669658</v>
      </c>
      <c r="J259" s="12">
        <v>46013</v>
      </c>
      <c r="K259" s="11">
        <v>0.625</v>
      </c>
      <c r="M259" s="10" t="s">
        <v>15384</v>
      </c>
      <c r="N259" s="12">
        <v>46013.488074236113</v>
      </c>
      <c r="O259" s="10" t="s">
        <v>15393</v>
      </c>
      <c r="P259" s="5" t="s">
        <v>14571</v>
      </c>
      <c r="Q259" s="5" t="s">
        <v>14578</v>
      </c>
      <c r="R259" s="5" t="s">
        <v>15394</v>
      </c>
      <c r="T259" s="5" t="s">
        <v>5994</v>
      </c>
      <c r="U259" s="5" t="s">
        <v>14593</v>
      </c>
      <c r="V259" s="5" t="s">
        <v>83</v>
      </c>
    </row>
    <row r="260" spans="1:23" ht="12.5">
      <c r="A260" s="5">
        <v>90538</v>
      </c>
      <c r="B260" s="5" t="s">
        <v>15395</v>
      </c>
      <c r="C260" s="5">
        <v>573175181022</v>
      </c>
      <c r="D260" s="5">
        <v>39</v>
      </c>
      <c r="E260" s="5" t="s">
        <v>96</v>
      </c>
      <c r="F260" s="5" t="s">
        <v>110</v>
      </c>
      <c r="G260" s="5" t="s">
        <v>3940</v>
      </c>
      <c r="H260" s="5" t="s">
        <v>3941</v>
      </c>
      <c r="I260" s="5">
        <v>3138077981</v>
      </c>
      <c r="J260" s="12">
        <v>46014</v>
      </c>
      <c r="K260" s="11">
        <v>0.45833333333333331</v>
      </c>
      <c r="M260" s="10" t="s">
        <v>15396</v>
      </c>
      <c r="N260" s="12">
        <v>46013.538666574073</v>
      </c>
      <c r="O260" s="10" t="s">
        <v>14624</v>
      </c>
      <c r="P260" s="5" t="s">
        <v>14571</v>
      </c>
      <c r="Q260" s="5" t="s">
        <v>14572</v>
      </c>
      <c r="R260" s="5" t="s">
        <v>15397</v>
      </c>
      <c r="T260" s="5" t="s">
        <v>5994</v>
      </c>
      <c r="U260" s="5" t="s">
        <v>14593</v>
      </c>
      <c r="V260" s="5" t="s">
        <v>180</v>
      </c>
      <c r="W260" s="5" t="s">
        <v>3944</v>
      </c>
    </row>
    <row r="261" spans="1:23" ht="12.5">
      <c r="A261" s="5">
        <v>90537</v>
      </c>
      <c r="B261" s="5" t="s">
        <v>15398</v>
      </c>
      <c r="C261" s="5">
        <v>573015669546</v>
      </c>
      <c r="D261" s="5" t="s">
        <v>14589</v>
      </c>
      <c r="E261" s="5" t="s">
        <v>525</v>
      </c>
      <c r="F261" s="5" t="s">
        <v>33</v>
      </c>
      <c r="G261" s="5" t="s">
        <v>2178</v>
      </c>
      <c r="H261" s="5" t="s">
        <v>34</v>
      </c>
      <c r="I261" s="5">
        <v>3015669546</v>
      </c>
      <c r="J261" s="12">
        <v>46013</v>
      </c>
      <c r="K261" s="11">
        <v>0</v>
      </c>
      <c r="M261" s="10" t="s">
        <v>2686</v>
      </c>
      <c r="N261" s="12">
        <v>46013.522566388885</v>
      </c>
      <c r="O261" s="10" t="s">
        <v>15399</v>
      </c>
      <c r="P261" s="5" t="s">
        <v>14571</v>
      </c>
      <c r="Q261" s="5" t="s">
        <v>14612</v>
      </c>
      <c r="R261" s="5" t="s">
        <v>15400</v>
      </c>
      <c r="T261" s="5" t="s">
        <v>14574</v>
      </c>
      <c r="U261" s="5" t="s">
        <v>33</v>
      </c>
      <c r="V261" s="5" t="s">
        <v>43</v>
      </c>
      <c r="W261" s="5" t="s">
        <v>525</v>
      </c>
    </row>
    <row r="262" spans="1:23" ht="12.5">
      <c r="A262" s="5">
        <v>90536</v>
      </c>
      <c r="B262" s="5" t="s">
        <v>3937</v>
      </c>
      <c r="C262" s="5">
        <v>573157333955</v>
      </c>
      <c r="D262" s="5">
        <v>45</v>
      </c>
      <c r="E262" s="5" t="s">
        <v>210</v>
      </c>
      <c r="F262" s="5" t="s">
        <v>33</v>
      </c>
      <c r="G262" s="5" t="s">
        <v>3937</v>
      </c>
      <c r="H262" s="5" t="s">
        <v>34</v>
      </c>
      <c r="I262" s="5">
        <v>3157333955</v>
      </c>
      <c r="J262" s="12">
        <v>46013</v>
      </c>
      <c r="K262" s="11">
        <v>0.5631944444430701</v>
      </c>
      <c r="M262" s="10" t="s">
        <v>14646</v>
      </c>
      <c r="N262" s="12">
        <v>46013.466599479165</v>
      </c>
      <c r="O262" s="10" t="s">
        <v>15401</v>
      </c>
      <c r="P262" s="5" t="s">
        <v>14571</v>
      </c>
      <c r="Q262" s="5" t="s">
        <v>14572</v>
      </c>
      <c r="R262" s="5" t="s">
        <v>15402</v>
      </c>
      <c r="T262" s="5" t="s">
        <v>14574</v>
      </c>
      <c r="U262" s="5" t="s">
        <v>33</v>
      </c>
      <c r="V262" s="5" t="s">
        <v>83</v>
      </c>
    </row>
    <row r="263" spans="1:23" ht="12.5">
      <c r="A263" s="5">
        <v>90535</v>
      </c>
      <c r="B263" s="5" t="s">
        <v>15403</v>
      </c>
      <c r="C263" s="5">
        <v>573508629989</v>
      </c>
      <c r="D263" s="5">
        <v>70</v>
      </c>
      <c r="E263" s="5" t="s">
        <v>559</v>
      </c>
      <c r="F263" s="5" t="s">
        <v>33</v>
      </c>
      <c r="G263" s="5" t="s">
        <v>3933</v>
      </c>
      <c r="H263" s="5" t="s">
        <v>34</v>
      </c>
      <c r="J263" s="12">
        <v>46013</v>
      </c>
      <c r="K263" s="11">
        <v>0.58333333333212067</v>
      </c>
      <c r="M263" s="10" t="s">
        <v>14627</v>
      </c>
      <c r="N263" s="12">
        <v>46013.462002465283</v>
      </c>
      <c r="O263" s="10" t="s">
        <v>15404</v>
      </c>
      <c r="P263" s="5" t="s">
        <v>14571</v>
      </c>
      <c r="Q263" s="5" t="s">
        <v>14572</v>
      </c>
      <c r="R263" s="5" t="s">
        <v>15405</v>
      </c>
      <c r="T263" s="5" t="s">
        <v>14574</v>
      </c>
      <c r="U263" s="5" t="s">
        <v>33</v>
      </c>
      <c r="V263" s="5" t="s">
        <v>1937</v>
      </c>
    </row>
    <row r="264" spans="1:23" ht="12.5">
      <c r="A264" s="5">
        <v>90534</v>
      </c>
      <c r="B264" s="5" t="s">
        <v>3929</v>
      </c>
      <c r="C264" s="5">
        <v>17734490049</v>
      </c>
      <c r="D264" s="5" t="s">
        <v>15256</v>
      </c>
      <c r="E264" s="5" t="s">
        <v>3930</v>
      </c>
      <c r="F264" s="5" t="s">
        <v>33</v>
      </c>
      <c r="G264" s="5" t="s">
        <v>3929</v>
      </c>
      <c r="H264" s="5" t="s">
        <v>34</v>
      </c>
      <c r="I264" s="5">
        <v>7734490049</v>
      </c>
      <c r="J264" s="12">
        <v>46013</v>
      </c>
      <c r="K264" s="11">
        <v>0</v>
      </c>
      <c r="M264" s="10" t="s">
        <v>15232</v>
      </c>
      <c r="N264" s="12">
        <v>46013.490174062499</v>
      </c>
      <c r="O264" s="10" t="s">
        <v>14749</v>
      </c>
      <c r="P264" s="5" t="s">
        <v>14571</v>
      </c>
      <c r="Q264" s="5" t="s">
        <v>14572</v>
      </c>
      <c r="R264" s="5"/>
      <c r="T264" s="5" t="s">
        <v>14574</v>
      </c>
      <c r="U264" s="5" t="s">
        <v>33</v>
      </c>
      <c r="V264" s="5" t="s">
        <v>2636</v>
      </c>
    </row>
    <row r="265" spans="1:23" ht="12.5">
      <c r="A265" s="5">
        <v>90533</v>
      </c>
      <c r="B265" s="5" t="s">
        <v>15406</v>
      </c>
      <c r="C265" s="5">
        <v>573004575324</v>
      </c>
      <c r="D265" s="5">
        <v>32</v>
      </c>
      <c r="E265" s="5" t="s">
        <v>65</v>
      </c>
      <c r="F265" s="5" t="s">
        <v>63</v>
      </c>
      <c r="G265" s="5" t="s">
        <v>3927</v>
      </c>
      <c r="H265" s="5" t="s">
        <v>3928</v>
      </c>
      <c r="I265" s="5">
        <v>3225858990</v>
      </c>
      <c r="J265" s="12">
        <v>46015</v>
      </c>
      <c r="K265" s="11">
        <v>0.41666666666787933</v>
      </c>
      <c r="M265" s="10" t="s">
        <v>15308</v>
      </c>
      <c r="N265" s="12">
        <v>46012.515334212963</v>
      </c>
      <c r="O265" s="10" t="s">
        <v>15407</v>
      </c>
      <c r="P265" s="5" t="s">
        <v>14571</v>
      </c>
      <c r="Q265" s="5" t="s">
        <v>14578</v>
      </c>
      <c r="R265" s="5" t="s">
        <v>15408</v>
      </c>
      <c r="T265" s="5" t="s">
        <v>5994</v>
      </c>
      <c r="U265" s="5" t="s">
        <v>14598</v>
      </c>
      <c r="V265" s="5" t="s">
        <v>83</v>
      </c>
    </row>
    <row r="266" spans="1:23" ht="12.5">
      <c r="A266" s="5">
        <v>90532</v>
      </c>
      <c r="B266" s="5" t="s">
        <v>3923</v>
      </c>
      <c r="C266" s="5">
        <v>576643683298</v>
      </c>
      <c r="D266" s="5">
        <v>16</v>
      </c>
      <c r="E266" s="5" t="s">
        <v>2556</v>
      </c>
      <c r="F266" s="5" t="s">
        <v>265</v>
      </c>
      <c r="G266" s="5" t="s">
        <v>3923</v>
      </c>
      <c r="H266" s="5" t="s">
        <v>3924</v>
      </c>
      <c r="I266" s="5"/>
      <c r="J266" s="12">
        <v>46013</v>
      </c>
      <c r="K266" s="11">
        <v>0.625</v>
      </c>
      <c r="M266" s="10" t="s">
        <v>15409</v>
      </c>
      <c r="N266" s="12">
        <v>46013.455625277777</v>
      </c>
      <c r="O266" s="10" t="s">
        <v>15410</v>
      </c>
      <c r="P266" s="5" t="s">
        <v>14571</v>
      </c>
      <c r="Q266" s="5" t="s">
        <v>14578</v>
      </c>
      <c r="R266" s="5" t="s">
        <v>15411</v>
      </c>
      <c r="T266" s="5" t="s">
        <v>5994</v>
      </c>
      <c r="U266" s="5" t="s">
        <v>14691</v>
      </c>
      <c r="V266" s="5" t="s">
        <v>1937</v>
      </c>
    </row>
    <row r="267" spans="1:23" ht="12.5">
      <c r="A267" s="5">
        <v>90531</v>
      </c>
      <c r="B267" s="5" t="s">
        <v>1764</v>
      </c>
      <c r="C267" s="5">
        <v>573102506452</v>
      </c>
      <c r="D267" s="5">
        <v>59</v>
      </c>
      <c r="E267" s="5" t="s">
        <v>148</v>
      </c>
      <c r="F267" s="5" t="s">
        <v>1352</v>
      </c>
      <c r="G267" s="5" t="s">
        <v>3918</v>
      </c>
      <c r="H267" s="5" t="s">
        <v>3919</v>
      </c>
      <c r="I267" s="5">
        <v>3102506452</v>
      </c>
      <c r="J267" s="12">
        <v>46013</v>
      </c>
      <c r="K267" s="11">
        <v>0.45833333333212067</v>
      </c>
      <c r="M267" s="10" t="s">
        <v>14777</v>
      </c>
      <c r="N267" s="12">
        <v>46013.43164166667</v>
      </c>
      <c r="O267" s="10" t="s">
        <v>15412</v>
      </c>
      <c r="P267" s="5" t="s">
        <v>14571</v>
      </c>
      <c r="Q267" s="5" t="s">
        <v>14578</v>
      </c>
      <c r="R267" s="5" t="s">
        <v>15413</v>
      </c>
      <c r="T267" s="5" t="s">
        <v>5994</v>
      </c>
      <c r="U267" s="5"/>
      <c r="V267" s="5" t="s">
        <v>83</v>
      </c>
    </row>
    <row r="268" spans="1:23" ht="12.5">
      <c r="A268" s="5">
        <v>90530</v>
      </c>
      <c r="B268" s="5" t="s">
        <v>15061</v>
      </c>
      <c r="C268" s="5">
        <v>573242219654</v>
      </c>
      <c r="D268" s="5">
        <v>31</v>
      </c>
      <c r="E268" s="5" t="s">
        <v>375</v>
      </c>
      <c r="F268" s="5" t="s">
        <v>1272</v>
      </c>
      <c r="G268" s="5" t="s">
        <v>3913</v>
      </c>
      <c r="H268" s="5" t="s">
        <v>3914</v>
      </c>
      <c r="I268" s="5">
        <v>3242219654</v>
      </c>
      <c r="J268" s="12">
        <v>46013</v>
      </c>
      <c r="K268" s="11">
        <v>0.46458333333430346</v>
      </c>
      <c r="M268" s="10" t="s">
        <v>14881</v>
      </c>
      <c r="N268" s="12">
        <v>46013.427354988424</v>
      </c>
      <c r="O268" s="10" t="s">
        <v>15162</v>
      </c>
      <c r="P268" s="5" t="s">
        <v>14571</v>
      </c>
      <c r="Q268" s="5" t="s">
        <v>14572</v>
      </c>
      <c r="R268" s="5" t="s">
        <v>15414</v>
      </c>
      <c r="T268" s="5" t="s">
        <v>5994</v>
      </c>
      <c r="U268" s="5" t="s">
        <v>14593</v>
      </c>
      <c r="V268" s="5" t="s">
        <v>83</v>
      </c>
    </row>
    <row r="269" spans="1:23" ht="12.5">
      <c r="A269" s="5">
        <v>90529</v>
      </c>
      <c r="B269" s="5" t="s">
        <v>3910</v>
      </c>
      <c r="C269" s="5">
        <v>573176438506</v>
      </c>
      <c r="D269" s="5">
        <v>29</v>
      </c>
      <c r="E269" s="5" t="s">
        <v>3911</v>
      </c>
      <c r="F269" s="5" t="s">
        <v>33</v>
      </c>
      <c r="G269" s="5" t="s">
        <v>3910</v>
      </c>
      <c r="H269" s="5" t="s">
        <v>34</v>
      </c>
      <c r="I269" s="5">
        <v>3176438506</v>
      </c>
      <c r="J269" s="12">
        <v>46013</v>
      </c>
      <c r="K269" s="11">
        <v>0</v>
      </c>
      <c r="M269" s="10" t="s">
        <v>15415</v>
      </c>
      <c r="N269" s="12">
        <v>46013.397441851848</v>
      </c>
      <c r="O269" s="10" t="s">
        <v>15416</v>
      </c>
      <c r="P269" s="5" t="s">
        <v>14571</v>
      </c>
      <c r="Q269" s="5" t="s">
        <v>14572</v>
      </c>
      <c r="R269" s="5" t="s">
        <v>15417</v>
      </c>
      <c r="T269" s="5" t="s">
        <v>14574</v>
      </c>
      <c r="U269" s="5" t="s">
        <v>33</v>
      </c>
      <c r="V269" s="5" t="s">
        <v>43</v>
      </c>
    </row>
    <row r="270" spans="1:23" ht="12.5">
      <c r="A270" s="5">
        <v>90528</v>
      </c>
      <c r="B270" s="5" t="s">
        <v>3905</v>
      </c>
      <c r="C270" s="5">
        <v>573137655922</v>
      </c>
      <c r="D270" s="5">
        <v>52</v>
      </c>
      <c r="E270" s="5" t="s">
        <v>178</v>
      </c>
      <c r="F270" s="5" t="s">
        <v>33</v>
      </c>
      <c r="G270" s="5" t="s">
        <v>3905</v>
      </c>
      <c r="H270" s="5" t="s">
        <v>34</v>
      </c>
      <c r="I270" s="5">
        <v>3137655922</v>
      </c>
      <c r="J270" s="12">
        <v>46013</v>
      </c>
      <c r="K270" s="11">
        <v>0.41666666666787933</v>
      </c>
      <c r="M270" s="10" t="s">
        <v>14705</v>
      </c>
      <c r="N270" s="12">
        <v>46013.377960891201</v>
      </c>
      <c r="O270" s="10" t="s">
        <v>15319</v>
      </c>
      <c r="P270" s="5" t="s">
        <v>14571</v>
      </c>
      <c r="Q270" s="5" t="s">
        <v>14578</v>
      </c>
      <c r="R270" s="5" t="s">
        <v>15418</v>
      </c>
      <c r="T270" s="5" t="s">
        <v>14574</v>
      </c>
      <c r="U270" s="5" t="s">
        <v>33</v>
      </c>
      <c r="V270" s="5" t="s">
        <v>1937</v>
      </c>
      <c r="W270" s="5" t="s">
        <v>3907</v>
      </c>
    </row>
    <row r="271" spans="1:23" ht="12.5">
      <c r="A271" s="5">
        <v>90527</v>
      </c>
      <c r="B271" s="5" t="s">
        <v>15419</v>
      </c>
      <c r="C271" s="5">
        <v>573006913351</v>
      </c>
      <c r="D271" s="5" t="s">
        <v>14589</v>
      </c>
      <c r="E271" s="5" t="s">
        <v>3902</v>
      </c>
      <c r="F271" s="5" t="s">
        <v>103</v>
      </c>
      <c r="G271" s="5" t="s">
        <v>3900</v>
      </c>
      <c r="H271" s="5" t="s">
        <v>3901</v>
      </c>
      <c r="I271" s="5">
        <v>3006913351</v>
      </c>
      <c r="J271" s="12">
        <v>46013</v>
      </c>
      <c r="K271" s="11">
        <v>0.45833333333212067</v>
      </c>
      <c r="M271" s="10" t="s">
        <v>15420</v>
      </c>
      <c r="N271" s="12">
        <v>46013.377627974536</v>
      </c>
      <c r="O271" s="10" t="s">
        <v>15421</v>
      </c>
      <c r="P271" s="5" t="s">
        <v>14571</v>
      </c>
      <c r="Q271" s="5" t="s">
        <v>14612</v>
      </c>
      <c r="R271" s="5" t="s">
        <v>15422</v>
      </c>
      <c r="T271" s="5" t="s">
        <v>5994</v>
      </c>
      <c r="U271" s="5" t="s">
        <v>14593</v>
      </c>
      <c r="V271" s="5" t="s">
        <v>83</v>
      </c>
      <c r="W271" s="5" t="s">
        <v>3904</v>
      </c>
    </row>
    <row r="272" spans="1:23" ht="12.5">
      <c r="A272" s="5">
        <v>90526</v>
      </c>
      <c r="B272" s="5" t="s">
        <v>15423</v>
      </c>
      <c r="C272" s="5">
        <v>573167483308</v>
      </c>
      <c r="D272" s="5">
        <v>37</v>
      </c>
      <c r="E272" s="5" t="s">
        <v>1696</v>
      </c>
      <c r="F272" s="5" t="s">
        <v>1124</v>
      </c>
      <c r="G272" s="5" t="s">
        <v>3895</v>
      </c>
      <c r="H272" s="5" t="s">
        <v>3896</v>
      </c>
      <c r="I272" s="5">
        <v>3053816242</v>
      </c>
      <c r="J272" s="12">
        <v>46022</v>
      </c>
      <c r="K272" s="11">
        <v>0.41666666666787933</v>
      </c>
      <c r="M272" s="10" t="s">
        <v>15424</v>
      </c>
      <c r="N272" s="12">
        <v>46011.913860439818</v>
      </c>
      <c r="O272" s="10" t="s">
        <v>14904</v>
      </c>
      <c r="P272" s="5" t="s">
        <v>14571</v>
      </c>
      <c r="Q272" s="5" t="s">
        <v>14578</v>
      </c>
      <c r="R272" s="5" t="s">
        <v>15425</v>
      </c>
      <c r="T272" s="5" t="s">
        <v>5994</v>
      </c>
      <c r="U272" s="5" t="s">
        <v>14691</v>
      </c>
      <c r="V272" s="5" t="s">
        <v>1937</v>
      </c>
    </row>
    <row r="273" spans="1:23" ht="12.5">
      <c r="A273" s="5">
        <v>90525</v>
      </c>
      <c r="B273" s="5" t="s">
        <v>15423</v>
      </c>
      <c r="C273" s="5">
        <v>573167483308</v>
      </c>
      <c r="D273" s="5">
        <v>6</v>
      </c>
      <c r="E273" s="5" t="s">
        <v>1049</v>
      </c>
      <c r="F273" s="5" t="s">
        <v>1124</v>
      </c>
      <c r="G273" s="5" t="s">
        <v>3895</v>
      </c>
      <c r="H273" s="5" t="s">
        <v>3896</v>
      </c>
      <c r="I273" s="5">
        <v>3053816242</v>
      </c>
      <c r="J273" s="12">
        <v>46013</v>
      </c>
      <c r="K273" s="11">
        <v>0.45833333333212067</v>
      </c>
      <c r="M273" s="10" t="s">
        <v>15415</v>
      </c>
      <c r="N273" s="12">
        <v>46011.910926840283</v>
      </c>
      <c r="O273" s="10" t="s">
        <v>15184</v>
      </c>
      <c r="P273" s="5" t="s">
        <v>14571</v>
      </c>
      <c r="Q273" s="5" t="s">
        <v>14572</v>
      </c>
      <c r="R273" s="5" t="s">
        <v>15426</v>
      </c>
      <c r="T273" s="5" t="s">
        <v>5994</v>
      </c>
      <c r="U273" s="5" t="s">
        <v>14691</v>
      </c>
      <c r="V273" s="5" t="s">
        <v>1937</v>
      </c>
    </row>
    <row r="274" spans="1:23" ht="12.5">
      <c r="A274" s="5">
        <v>90524</v>
      </c>
      <c r="B274" s="5" t="s">
        <v>15427</v>
      </c>
      <c r="C274" s="5">
        <v>573013634381</v>
      </c>
      <c r="D274" s="5">
        <v>78</v>
      </c>
      <c r="E274" s="5" t="s">
        <v>3892</v>
      </c>
      <c r="F274" s="5" t="s">
        <v>124</v>
      </c>
      <c r="G274" s="5" t="s">
        <v>3890</v>
      </c>
      <c r="H274" s="5" t="s">
        <v>3891</v>
      </c>
      <c r="J274" s="12">
        <v>46013</v>
      </c>
      <c r="K274" s="11">
        <v>0.41666666666787933</v>
      </c>
      <c r="M274" s="10" t="s">
        <v>15304</v>
      </c>
      <c r="N274" s="12">
        <v>46013.350227453702</v>
      </c>
      <c r="O274" s="10" t="s">
        <v>15428</v>
      </c>
      <c r="P274" s="5" t="s">
        <v>14571</v>
      </c>
      <c r="Q274" s="5" t="s">
        <v>14578</v>
      </c>
      <c r="R274" s="5" t="s">
        <v>15429</v>
      </c>
      <c r="T274" s="5" t="s">
        <v>5994</v>
      </c>
      <c r="U274" s="5" t="s">
        <v>14775</v>
      </c>
      <c r="V274" s="5" t="s">
        <v>83</v>
      </c>
    </row>
    <row r="275" spans="1:23" ht="12.5">
      <c r="A275" s="5">
        <v>90523</v>
      </c>
      <c r="B275" s="5" t="s">
        <v>15430</v>
      </c>
      <c r="C275" s="5">
        <v>573106600947</v>
      </c>
      <c r="D275" s="5">
        <v>37</v>
      </c>
      <c r="E275" s="5" t="s">
        <v>1696</v>
      </c>
      <c r="F275" s="5" t="s">
        <v>103</v>
      </c>
      <c r="G275" s="5" t="s">
        <v>3885</v>
      </c>
      <c r="H275" s="5" t="s">
        <v>3886</v>
      </c>
      <c r="I275" s="5">
        <v>3106600947</v>
      </c>
      <c r="J275" s="12">
        <v>46015</v>
      </c>
      <c r="K275" s="11">
        <v>0.33333333333212067</v>
      </c>
      <c r="M275" s="10" t="s">
        <v>15431</v>
      </c>
      <c r="N275" s="12">
        <v>46012.883869942132</v>
      </c>
      <c r="O275" s="10" t="s">
        <v>15432</v>
      </c>
      <c r="P275" s="5" t="s">
        <v>14571</v>
      </c>
      <c r="Q275" s="5" t="s">
        <v>14572</v>
      </c>
      <c r="R275" s="5" t="s">
        <v>15433</v>
      </c>
      <c r="T275" s="5" t="s">
        <v>5994</v>
      </c>
      <c r="U275" s="5" t="s">
        <v>14593</v>
      </c>
      <c r="V275" s="5" t="s">
        <v>1937</v>
      </c>
    </row>
    <row r="276" spans="1:23" ht="12.5">
      <c r="A276" s="5">
        <v>90522</v>
      </c>
      <c r="B276" s="5" t="s">
        <v>3882</v>
      </c>
      <c r="C276" s="5">
        <v>573176399886</v>
      </c>
      <c r="D276" s="5">
        <v>52</v>
      </c>
      <c r="E276" s="5" t="s">
        <v>178</v>
      </c>
      <c r="G276" s="5" t="s">
        <v>3882</v>
      </c>
      <c r="H276" s="5" t="s">
        <v>3883</v>
      </c>
      <c r="I276" s="5">
        <v>3176399886</v>
      </c>
      <c r="J276" s="12">
        <v>46014</v>
      </c>
      <c r="K276" s="11">
        <v>0.58333333333212067</v>
      </c>
      <c r="M276" s="10" t="s">
        <v>14705</v>
      </c>
      <c r="N276" s="12">
        <v>46013.330490081018</v>
      </c>
      <c r="O276" s="10" t="s">
        <v>14911</v>
      </c>
      <c r="P276" s="5" t="s">
        <v>14571</v>
      </c>
      <c r="Q276" s="5" t="s">
        <v>14572</v>
      </c>
      <c r="R276" s="5" t="s">
        <v>15434</v>
      </c>
      <c r="T276" s="5" t="s">
        <v>5994</v>
      </c>
      <c r="V276" s="5" t="s">
        <v>43</v>
      </c>
    </row>
    <row r="277" spans="1:23" ht="12.5">
      <c r="A277" s="5">
        <v>90506</v>
      </c>
      <c r="B277" s="5" t="s">
        <v>15435</v>
      </c>
      <c r="C277" s="5">
        <v>573013952545</v>
      </c>
      <c r="D277" s="5">
        <v>3</v>
      </c>
      <c r="E277" s="5" t="s">
        <v>3248</v>
      </c>
      <c r="F277" s="5" t="s">
        <v>63</v>
      </c>
      <c r="G277" s="5" t="s">
        <v>3839</v>
      </c>
      <c r="H277" s="5" t="s">
        <v>3840</v>
      </c>
      <c r="I277" s="5">
        <v>3012783886</v>
      </c>
      <c r="J277" s="12">
        <v>46014</v>
      </c>
      <c r="K277" s="11">
        <v>0</v>
      </c>
      <c r="M277" s="10" t="s">
        <v>15436</v>
      </c>
      <c r="N277" s="12">
        <v>46011.646647465277</v>
      </c>
      <c r="O277" s="10" t="s">
        <v>15363</v>
      </c>
      <c r="P277" s="5" t="s">
        <v>14571</v>
      </c>
      <c r="Q277" s="5" t="s">
        <v>14612</v>
      </c>
      <c r="R277" s="5" t="s">
        <v>15437</v>
      </c>
      <c r="T277" s="5" t="s">
        <v>5994</v>
      </c>
      <c r="U277" s="5" t="s">
        <v>14598</v>
      </c>
      <c r="V277" s="5" t="s">
        <v>83</v>
      </c>
      <c r="W277" s="5" t="s">
        <v>3842</v>
      </c>
    </row>
    <row r="278" spans="1:23" ht="12.5">
      <c r="A278" s="5">
        <v>90505</v>
      </c>
      <c r="B278" s="5" t="s">
        <v>15438</v>
      </c>
      <c r="C278" s="5">
        <v>13057915561</v>
      </c>
      <c r="D278" s="5">
        <v>51</v>
      </c>
      <c r="E278" s="5" t="s">
        <v>384</v>
      </c>
      <c r="F278" s="5" t="s">
        <v>103</v>
      </c>
      <c r="G278" s="5" t="s">
        <v>3835</v>
      </c>
      <c r="H278" s="5" t="s">
        <v>3836</v>
      </c>
      <c r="I278" s="5">
        <v>3002824377</v>
      </c>
      <c r="J278" s="12">
        <v>46012</v>
      </c>
      <c r="K278" s="11">
        <v>0</v>
      </c>
      <c r="M278" s="10" t="s">
        <v>15040</v>
      </c>
      <c r="N278" s="12">
        <v>46011.665782164353</v>
      </c>
      <c r="O278" s="10" t="s">
        <v>15439</v>
      </c>
      <c r="P278" s="5" t="s">
        <v>14571</v>
      </c>
      <c r="Q278" s="5" t="s">
        <v>14612</v>
      </c>
      <c r="R278" s="5" t="s">
        <v>15440</v>
      </c>
      <c r="T278" s="5" t="s">
        <v>5994</v>
      </c>
      <c r="U278" s="5" t="s">
        <v>14593</v>
      </c>
      <c r="V278" s="5" t="s">
        <v>83</v>
      </c>
    </row>
    <row r="279" spans="1:23" ht="12.5">
      <c r="A279" s="5">
        <v>90504</v>
      </c>
      <c r="B279" s="5" t="s">
        <v>15441</v>
      </c>
      <c r="C279" s="5">
        <v>573015426969</v>
      </c>
      <c r="D279" s="5">
        <v>41</v>
      </c>
      <c r="E279" s="5" t="s">
        <v>89</v>
      </c>
      <c r="F279" s="5" t="s">
        <v>1352</v>
      </c>
      <c r="G279" s="5" t="s">
        <v>3831</v>
      </c>
      <c r="H279" s="5" t="s">
        <v>3832</v>
      </c>
      <c r="I279" s="5">
        <v>3015426969</v>
      </c>
      <c r="J279" s="12">
        <v>46012</v>
      </c>
      <c r="K279" s="11">
        <v>0</v>
      </c>
      <c r="M279" s="10" t="s">
        <v>15384</v>
      </c>
      <c r="N279" s="12">
        <v>46011.636621504629</v>
      </c>
      <c r="O279" s="10" t="s">
        <v>15442</v>
      </c>
      <c r="P279" s="5" t="s">
        <v>14571</v>
      </c>
      <c r="Q279" s="5" t="s">
        <v>14612</v>
      </c>
      <c r="R279" s="5" t="s">
        <v>15443</v>
      </c>
      <c r="T279" s="5" t="s">
        <v>5994</v>
      </c>
      <c r="U279" s="5"/>
      <c r="V279" s="5" t="s">
        <v>83</v>
      </c>
    </row>
    <row r="280" spans="1:23" ht="12.5">
      <c r="A280" s="5">
        <v>90503</v>
      </c>
      <c r="B280" s="5" t="s">
        <v>15444</v>
      </c>
      <c r="C280" s="5">
        <v>573106100361</v>
      </c>
      <c r="D280" s="5">
        <v>67</v>
      </c>
      <c r="E280" s="5" t="s">
        <v>542</v>
      </c>
      <c r="F280" s="5" t="s">
        <v>307</v>
      </c>
      <c r="G280" s="5" t="s">
        <v>3826</v>
      </c>
      <c r="H280" s="5" t="s">
        <v>3827</v>
      </c>
      <c r="I280" s="5">
        <v>3215827396</v>
      </c>
      <c r="J280" s="12">
        <v>46012</v>
      </c>
      <c r="K280" s="11">
        <v>0</v>
      </c>
      <c r="M280" s="10" t="s">
        <v>14646</v>
      </c>
      <c r="N280" s="12">
        <v>46011.634635115741</v>
      </c>
      <c r="O280" s="10" t="s">
        <v>15445</v>
      </c>
      <c r="P280" s="5" t="s">
        <v>14571</v>
      </c>
      <c r="Q280" s="5" t="s">
        <v>14612</v>
      </c>
      <c r="R280" s="5" t="s">
        <v>15446</v>
      </c>
      <c r="T280" s="5" t="s">
        <v>5994</v>
      </c>
      <c r="U280" s="5" t="s">
        <v>14618</v>
      </c>
      <c r="V280" s="5" t="s">
        <v>83</v>
      </c>
      <c r="W280" s="5" t="s">
        <v>3829</v>
      </c>
    </row>
    <row r="281" spans="1:23" ht="12.5">
      <c r="A281" s="5">
        <v>90501</v>
      </c>
      <c r="B281" s="5" t="s">
        <v>15447</v>
      </c>
      <c r="C281" s="5">
        <v>57205211102</v>
      </c>
      <c r="D281" s="5">
        <v>2</v>
      </c>
      <c r="E281" s="5" t="s">
        <v>1251</v>
      </c>
      <c r="F281" s="5" t="s">
        <v>63</v>
      </c>
      <c r="G281" s="5" t="s">
        <v>3815</v>
      </c>
      <c r="H281" s="5" t="s">
        <v>3816</v>
      </c>
      <c r="J281" s="12">
        <v>46013</v>
      </c>
      <c r="K281" s="11">
        <v>0</v>
      </c>
      <c r="M281" s="10" t="s">
        <v>15448</v>
      </c>
      <c r="N281" s="12">
        <v>46011.652581782408</v>
      </c>
      <c r="O281" s="10" t="s">
        <v>15449</v>
      </c>
      <c r="P281" s="5" t="s">
        <v>14571</v>
      </c>
      <c r="Q281" s="5" t="s">
        <v>14612</v>
      </c>
      <c r="R281" s="5" t="s">
        <v>15450</v>
      </c>
      <c r="T281" s="5" t="s">
        <v>5994</v>
      </c>
      <c r="U281" s="5" t="s">
        <v>14598</v>
      </c>
      <c r="V281" s="5" t="s">
        <v>1937</v>
      </c>
    </row>
    <row r="282" spans="1:23" ht="12.5">
      <c r="A282" s="5">
        <v>90497</v>
      </c>
      <c r="B282" s="5" t="s">
        <v>15451</v>
      </c>
      <c r="C282" s="5">
        <v>573016257466</v>
      </c>
      <c r="D282" s="5">
        <v>32</v>
      </c>
      <c r="E282" s="5" t="s">
        <v>65</v>
      </c>
      <c r="F282" s="5" t="s">
        <v>229</v>
      </c>
      <c r="G282" s="5" t="s">
        <v>3802</v>
      </c>
      <c r="H282" s="5" t="s">
        <v>15452</v>
      </c>
      <c r="I282" s="5">
        <v>3016257466</v>
      </c>
      <c r="J282" s="12">
        <v>46022</v>
      </c>
      <c r="K282" s="11">
        <v>0</v>
      </c>
      <c r="M282" s="10" t="s">
        <v>14766</v>
      </c>
      <c r="N282" s="12">
        <v>46011.587036597222</v>
      </c>
      <c r="O282" s="10" t="s">
        <v>15453</v>
      </c>
      <c r="P282" s="5" t="s">
        <v>14571</v>
      </c>
      <c r="Q282" s="5" t="s">
        <v>14572</v>
      </c>
      <c r="R282" s="5" t="s">
        <v>15454</v>
      </c>
      <c r="T282" s="5" t="s">
        <v>5994</v>
      </c>
      <c r="U282" s="5"/>
      <c r="V282" s="5" t="s">
        <v>83</v>
      </c>
      <c r="W282" s="5" t="s">
        <v>3805</v>
      </c>
    </row>
    <row r="283" spans="1:23" ht="12.5">
      <c r="A283" s="5">
        <v>90491</v>
      </c>
      <c r="B283" s="5" t="s">
        <v>15455</v>
      </c>
      <c r="C283" s="5">
        <v>573184088611</v>
      </c>
      <c r="D283" s="5">
        <v>45</v>
      </c>
      <c r="E283" s="5" t="s">
        <v>210</v>
      </c>
      <c r="F283" s="5" t="s">
        <v>3781</v>
      </c>
      <c r="G283" s="5" t="s">
        <v>3780</v>
      </c>
      <c r="H283" s="5" t="s">
        <v>3782</v>
      </c>
      <c r="I283" s="5">
        <v>3184088611</v>
      </c>
      <c r="J283" s="12">
        <v>46012</v>
      </c>
      <c r="K283" s="11">
        <v>0</v>
      </c>
      <c r="M283" s="10" t="s">
        <v>15456</v>
      </c>
      <c r="N283" s="12">
        <v>46010.894936099532</v>
      </c>
      <c r="O283" s="10" t="s">
        <v>15388</v>
      </c>
      <c r="P283" s="5" t="s">
        <v>14571</v>
      </c>
      <c r="Q283" s="5" t="s">
        <v>14612</v>
      </c>
      <c r="R283" s="5" t="s">
        <v>15457</v>
      </c>
      <c r="T283" s="5" t="s">
        <v>5994</v>
      </c>
      <c r="U283" s="5" t="s">
        <v>14593</v>
      </c>
      <c r="V283" s="5" t="s">
        <v>83</v>
      </c>
    </row>
    <row r="284" spans="1:23" ht="12.5">
      <c r="A284" s="5">
        <v>90473</v>
      </c>
      <c r="B284" s="5" t="s">
        <v>15458</v>
      </c>
      <c r="C284" s="5">
        <v>573133333730</v>
      </c>
      <c r="D284" s="5">
        <v>95</v>
      </c>
      <c r="E284" s="5" t="s">
        <v>42</v>
      </c>
      <c r="F284" s="5" t="s">
        <v>73</v>
      </c>
      <c r="G284" s="5" t="s">
        <v>3698</v>
      </c>
      <c r="H284" s="5" t="s">
        <v>3699</v>
      </c>
      <c r="I284" s="5">
        <v>3133333730</v>
      </c>
      <c r="J284" s="12">
        <v>46013</v>
      </c>
      <c r="K284" s="11">
        <v>0</v>
      </c>
      <c r="M284" s="10" t="s">
        <v>15140</v>
      </c>
      <c r="N284" s="12">
        <v>46010.698163148147</v>
      </c>
      <c r="O284" s="10" t="s">
        <v>15223</v>
      </c>
      <c r="P284" s="5" t="s">
        <v>14571</v>
      </c>
      <c r="Q284" s="5" t="s">
        <v>14612</v>
      </c>
      <c r="R284" s="5" t="s">
        <v>15459</v>
      </c>
      <c r="T284" s="5" t="s">
        <v>5994</v>
      </c>
      <c r="U284" s="5" t="s">
        <v>14593</v>
      </c>
      <c r="V284" s="5" t="s">
        <v>2636</v>
      </c>
      <c r="W284" s="5" t="s">
        <v>3701</v>
      </c>
    </row>
    <row r="285" spans="1:23" ht="12.5">
      <c r="A285" s="5">
        <v>90460</v>
      </c>
      <c r="B285" s="5" t="s">
        <v>14017</v>
      </c>
      <c r="C285" s="5">
        <v>573015245531</v>
      </c>
      <c r="D285" s="5">
        <v>7</v>
      </c>
      <c r="E285" s="5" t="s">
        <v>112</v>
      </c>
      <c r="F285" s="5" t="s">
        <v>103</v>
      </c>
      <c r="G285" s="5" t="s">
        <v>3643</v>
      </c>
      <c r="H285" s="5" t="s">
        <v>3644</v>
      </c>
      <c r="J285" s="12">
        <v>46017</v>
      </c>
      <c r="K285" s="11">
        <v>0.125</v>
      </c>
      <c r="M285" s="10" t="s">
        <v>15460</v>
      </c>
      <c r="N285" s="12">
        <v>46010.559476585651</v>
      </c>
      <c r="O285" s="10" t="s">
        <v>14727</v>
      </c>
      <c r="P285" s="5" t="s">
        <v>14571</v>
      </c>
      <c r="Q285" s="5" t="s">
        <v>14572</v>
      </c>
      <c r="R285" s="5" t="s">
        <v>15461</v>
      </c>
      <c r="T285" s="5" t="s">
        <v>5994</v>
      </c>
      <c r="U285" s="5" t="s">
        <v>14593</v>
      </c>
      <c r="V285" s="5" t="s">
        <v>1937</v>
      </c>
      <c r="W285" s="5" t="s">
        <v>3646</v>
      </c>
    </row>
    <row r="286" spans="1:23" ht="12.5">
      <c r="A286" s="5">
        <v>90456</v>
      </c>
      <c r="B286" s="5" t="s">
        <v>15462</v>
      </c>
      <c r="C286" s="5">
        <v>573148143879</v>
      </c>
      <c r="D286" s="5">
        <v>38</v>
      </c>
      <c r="E286" s="5" t="s">
        <v>458</v>
      </c>
      <c r="F286" s="5" t="s">
        <v>208</v>
      </c>
      <c r="G286" s="5" t="s">
        <v>3625</v>
      </c>
      <c r="H286" s="5" t="s">
        <v>15463</v>
      </c>
      <c r="I286" s="5">
        <v>3148143879</v>
      </c>
      <c r="J286" s="12">
        <v>46015</v>
      </c>
      <c r="K286" s="11">
        <v>0.33333333333212067</v>
      </c>
      <c r="M286" s="10" t="s">
        <v>14796</v>
      </c>
      <c r="N286" s="12">
        <v>46010.492305451393</v>
      </c>
      <c r="O286" s="10" t="s">
        <v>15401</v>
      </c>
      <c r="P286" s="5" t="s">
        <v>14571</v>
      </c>
      <c r="Q286" s="5" t="s">
        <v>14612</v>
      </c>
      <c r="R286" s="5" t="s">
        <v>15464</v>
      </c>
      <c r="T286" s="5" t="s">
        <v>5994</v>
      </c>
      <c r="U286" s="5" t="s">
        <v>14593</v>
      </c>
      <c r="V286" s="5" t="s">
        <v>83</v>
      </c>
    </row>
    <row r="287" spans="1:23" ht="12.5">
      <c r="A287" s="5">
        <v>90421</v>
      </c>
      <c r="B287" s="5" t="s">
        <v>15465</v>
      </c>
      <c r="C287" s="5">
        <v>573007682024</v>
      </c>
      <c r="D287" s="5">
        <v>95</v>
      </c>
      <c r="E287" s="5" t="s">
        <v>42</v>
      </c>
      <c r="F287" s="5" t="s">
        <v>33</v>
      </c>
      <c r="G287" s="5" t="s">
        <v>1231</v>
      </c>
      <c r="H287" s="5" t="s">
        <v>34</v>
      </c>
      <c r="I287" s="5" t="s">
        <v>3492</v>
      </c>
      <c r="J287" s="12">
        <v>46018</v>
      </c>
      <c r="K287" s="11">
        <v>0.33333333333212067</v>
      </c>
      <c r="M287" s="10" t="s">
        <v>2686</v>
      </c>
      <c r="N287" s="12">
        <v>46009.64157068287</v>
      </c>
      <c r="O287" s="10" t="s">
        <v>15466</v>
      </c>
      <c r="P287" s="5" t="s">
        <v>14571</v>
      </c>
      <c r="Q287" s="5" t="s">
        <v>14578</v>
      </c>
      <c r="R287" s="5" t="s">
        <v>15467</v>
      </c>
      <c r="T287" s="5" t="s">
        <v>14574</v>
      </c>
      <c r="U287" s="5" t="s">
        <v>33</v>
      </c>
      <c r="V287" s="5" t="s">
        <v>43</v>
      </c>
      <c r="W287" s="5" t="s">
        <v>3493</v>
      </c>
    </row>
    <row r="288" spans="1:23" ht="12.5">
      <c r="A288" s="5">
        <v>90414</v>
      </c>
      <c r="B288" s="5" t="s">
        <v>15468</v>
      </c>
      <c r="C288" s="5">
        <v>573185357533</v>
      </c>
      <c r="D288" s="5">
        <v>71</v>
      </c>
      <c r="E288" s="5" t="s">
        <v>734</v>
      </c>
      <c r="F288" s="5" t="s">
        <v>73</v>
      </c>
      <c r="G288" s="5" t="s">
        <v>3453</v>
      </c>
      <c r="H288" s="5" t="s">
        <v>3454</v>
      </c>
      <c r="I288" s="5">
        <v>3157221930</v>
      </c>
      <c r="J288" s="12">
        <v>46013</v>
      </c>
      <c r="K288" s="11">
        <v>0.33888888888759539</v>
      </c>
      <c r="M288" s="10" t="s">
        <v>14705</v>
      </c>
      <c r="N288" s="12">
        <v>46009.510338865744</v>
      </c>
      <c r="O288" s="10" t="s">
        <v>15137</v>
      </c>
      <c r="P288" s="5" t="s">
        <v>14571</v>
      </c>
      <c r="Q288" s="5" t="s">
        <v>14612</v>
      </c>
      <c r="R288" s="5" t="s">
        <v>15469</v>
      </c>
      <c r="T288" s="5" t="s">
        <v>5994</v>
      </c>
      <c r="U288" s="5" t="s">
        <v>14593</v>
      </c>
      <c r="V288" s="5" t="s">
        <v>180</v>
      </c>
    </row>
    <row r="289" spans="1:23" ht="12.5">
      <c r="A289" s="5">
        <v>90360</v>
      </c>
      <c r="B289" s="5" t="s">
        <v>15470</v>
      </c>
      <c r="C289" s="5">
        <v>57000</v>
      </c>
      <c r="D289" s="5" t="s">
        <v>14589</v>
      </c>
      <c r="E289" s="5" t="s">
        <v>3220</v>
      </c>
      <c r="F289" s="5" t="s">
        <v>33</v>
      </c>
      <c r="G289" s="5" t="s">
        <v>1231</v>
      </c>
      <c r="H289" s="5" t="s">
        <v>34</v>
      </c>
      <c r="J289" s="12">
        <v>46022</v>
      </c>
      <c r="K289" s="11">
        <v>0.58333333333212067</v>
      </c>
      <c r="M289" s="10" t="s">
        <v>2686</v>
      </c>
      <c r="N289" s="12">
        <v>46008.299862430555</v>
      </c>
      <c r="O289" s="10" t="s">
        <v>15471</v>
      </c>
      <c r="P289" s="5" t="s">
        <v>14571</v>
      </c>
      <c r="Q289" s="5" t="s">
        <v>14572</v>
      </c>
      <c r="R289" s="5" t="s">
        <v>15472</v>
      </c>
      <c r="T289" s="5" t="s">
        <v>14574</v>
      </c>
      <c r="U289" s="5" t="s">
        <v>33</v>
      </c>
      <c r="V289" s="5" t="s">
        <v>43</v>
      </c>
    </row>
    <row r="290" spans="1:23" ht="12.5">
      <c r="A290" s="5">
        <v>90358</v>
      </c>
      <c r="B290" s="5" t="s">
        <v>3215</v>
      </c>
      <c r="C290" s="5">
        <v>573212170032</v>
      </c>
      <c r="D290" s="5">
        <v>95</v>
      </c>
      <c r="E290" s="5" t="s">
        <v>42</v>
      </c>
      <c r="F290" s="5" t="s">
        <v>33</v>
      </c>
      <c r="G290" s="5" t="s">
        <v>3215</v>
      </c>
      <c r="H290" s="5" t="s">
        <v>34</v>
      </c>
      <c r="I290" s="5">
        <v>3212170032</v>
      </c>
      <c r="J290" s="13">
        <v>46060</v>
      </c>
      <c r="K290" s="11">
        <v>0</v>
      </c>
      <c r="M290" s="10" t="s">
        <v>2686</v>
      </c>
      <c r="N290" s="12">
        <v>46007.738513391203</v>
      </c>
      <c r="O290" s="10" t="s">
        <v>15473</v>
      </c>
      <c r="P290" s="5" t="s">
        <v>14571</v>
      </c>
      <c r="Q290" s="5" t="s">
        <v>14572</v>
      </c>
      <c r="R290" s="5" t="s">
        <v>15474</v>
      </c>
      <c r="T290" s="5" t="s">
        <v>14574</v>
      </c>
      <c r="U290" s="5" t="s">
        <v>33</v>
      </c>
      <c r="V290" s="5" t="s">
        <v>83</v>
      </c>
      <c r="W290" s="5" t="s">
        <v>3216</v>
      </c>
    </row>
    <row r="291" spans="1:23" ht="13">
      <c r="A291" s="5">
        <v>90344</v>
      </c>
      <c r="B291" s="5" t="s">
        <v>15475</v>
      </c>
      <c r="C291" s="3">
        <v>16469223690</v>
      </c>
      <c r="D291" s="5" t="s">
        <v>15476</v>
      </c>
      <c r="E291" s="5" t="s">
        <v>3159</v>
      </c>
      <c r="F291" s="5" t="s">
        <v>964</v>
      </c>
      <c r="G291" s="5" t="s">
        <v>3158</v>
      </c>
      <c r="H291" s="5" t="s">
        <v>3155</v>
      </c>
      <c r="I291" s="5">
        <v>573007594821</v>
      </c>
      <c r="J291" s="12">
        <v>46017</v>
      </c>
      <c r="K291" s="11">
        <v>0.33333333333212067</v>
      </c>
      <c r="M291" s="10" t="s">
        <v>14615</v>
      </c>
      <c r="N291" s="12">
        <v>46007.551971990746</v>
      </c>
      <c r="O291" s="10" t="s">
        <v>15129</v>
      </c>
      <c r="P291" s="5" t="s">
        <v>14571</v>
      </c>
      <c r="Q291" s="5" t="s">
        <v>14572</v>
      </c>
      <c r="R291" s="5" t="s">
        <v>15477</v>
      </c>
      <c r="T291" s="5" t="s">
        <v>5994</v>
      </c>
      <c r="U291" s="5" t="s">
        <v>14618</v>
      </c>
      <c r="V291" s="5" t="s">
        <v>1937</v>
      </c>
    </row>
    <row r="292" spans="1:23" ht="12.5">
      <c r="A292" s="5">
        <v>90343</v>
      </c>
      <c r="B292" s="5" t="s">
        <v>15475</v>
      </c>
      <c r="C292" s="5">
        <v>16469223690</v>
      </c>
      <c r="D292" s="5" t="s">
        <v>15478</v>
      </c>
      <c r="E292" s="5" t="s">
        <v>3156</v>
      </c>
      <c r="F292" s="5" t="s">
        <v>964</v>
      </c>
      <c r="G292" s="5" t="s">
        <v>3154</v>
      </c>
      <c r="H292" s="5" t="s">
        <v>3155</v>
      </c>
      <c r="I292" s="5"/>
      <c r="J292" s="12">
        <v>46015</v>
      </c>
      <c r="K292" s="11">
        <v>0.375</v>
      </c>
      <c r="M292" s="10" t="s">
        <v>14602</v>
      </c>
      <c r="N292" s="12">
        <v>46007.539645567129</v>
      </c>
      <c r="O292" s="10" t="s">
        <v>14727</v>
      </c>
      <c r="P292" s="5" t="s">
        <v>14571</v>
      </c>
      <c r="Q292" s="5" t="s">
        <v>14578</v>
      </c>
      <c r="R292" s="5" t="s">
        <v>15479</v>
      </c>
      <c r="T292" s="5" t="s">
        <v>5994</v>
      </c>
      <c r="U292" s="5" t="s">
        <v>14618</v>
      </c>
      <c r="V292" s="5" t="s">
        <v>1937</v>
      </c>
    </row>
    <row r="293" spans="1:23" ht="12.5">
      <c r="A293" s="5">
        <v>90332</v>
      </c>
      <c r="B293" s="5" t="s">
        <v>3102</v>
      </c>
      <c r="C293" s="5">
        <v>573008160858</v>
      </c>
      <c r="D293" s="5">
        <v>95</v>
      </c>
      <c r="E293" s="5" t="s">
        <v>42</v>
      </c>
      <c r="F293" s="5" t="s">
        <v>33</v>
      </c>
      <c r="G293" s="5" t="s">
        <v>3102</v>
      </c>
      <c r="H293" s="5" t="s">
        <v>34</v>
      </c>
      <c r="I293" s="5">
        <v>3008160858</v>
      </c>
      <c r="J293" s="12">
        <v>46013</v>
      </c>
      <c r="K293" s="11">
        <v>0.45833333333212067</v>
      </c>
      <c r="M293" s="10" t="s">
        <v>15480</v>
      </c>
      <c r="N293" s="12">
        <v>46007.476450659728</v>
      </c>
      <c r="O293" s="10" t="s">
        <v>15481</v>
      </c>
      <c r="P293" s="5" t="s">
        <v>14571</v>
      </c>
      <c r="Q293" s="5" t="s">
        <v>14612</v>
      </c>
      <c r="R293" s="5" t="s">
        <v>15482</v>
      </c>
      <c r="T293" s="5" t="s">
        <v>14574</v>
      </c>
      <c r="U293" s="5" t="s">
        <v>33</v>
      </c>
      <c r="V293" s="5" t="s">
        <v>1705</v>
      </c>
      <c r="W293" s="5" t="s">
        <v>3104</v>
      </c>
    </row>
    <row r="294" spans="1:23" ht="12.5">
      <c r="A294" s="5">
        <v>90316</v>
      </c>
      <c r="B294" s="5" t="s">
        <v>15483</v>
      </c>
      <c r="C294" s="5">
        <v>573108922071</v>
      </c>
      <c r="D294" s="5">
        <v>41</v>
      </c>
      <c r="E294" s="5" t="s">
        <v>89</v>
      </c>
      <c r="F294" s="5" t="s">
        <v>168</v>
      </c>
      <c r="G294" s="5" t="s">
        <v>3029</v>
      </c>
      <c r="H294" s="5" t="s">
        <v>3030</v>
      </c>
      <c r="I294" s="5">
        <v>3108922071</v>
      </c>
      <c r="J294" s="12">
        <v>46014</v>
      </c>
      <c r="K294" s="11">
        <v>0.75</v>
      </c>
      <c r="M294" s="10" t="s">
        <v>15484</v>
      </c>
      <c r="N294" s="12">
        <v>46006.721004212959</v>
      </c>
      <c r="O294" s="10" t="s">
        <v>15485</v>
      </c>
      <c r="P294" s="5" t="s">
        <v>14571</v>
      </c>
      <c r="Q294" s="5" t="s">
        <v>14612</v>
      </c>
      <c r="R294" s="5" t="s">
        <v>15486</v>
      </c>
      <c r="T294" s="5" t="s">
        <v>5994</v>
      </c>
      <c r="U294" s="5" t="s">
        <v>14580</v>
      </c>
      <c r="V294" s="5" t="s">
        <v>1937</v>
      </c>
      <c r="W294" s="5" t="s">
        <v>3032</v>
      </c>
    </row>
    <row r="295" spans="1:23" ht="12.5">
      <c r="A295" s="5">
        <v>90798</v>
      </c>
      <c r="B295" s="5" t="s">
        <v>15487</v>
      </c>
      <c r="C295" s="5">
        <v>570000</v>
      </c>
      <c r="D295" s="5">
        <v>95</v>
      </c>
      <c r="E295" s="5" t="s">
        <v>42</v>
      </c>
      <c r="G295" s="5" t="s">
        <v>5056</v>
      </c>
      <c r="H295" s="5" t="s">
        <v>5057</v>
      </c>
      <c r="J295" s="12">
        <v>46027</v>
      </c>
      <c r="K295" s="11">
        <v>0.41666666666787933</v>
      </c>
      <c r="M295" s="10" t="s">
        <v>2686</v>
      </c>
      <c r="N295" s="12">
        <v>46027.370256759255</v>
      </c>
      <c r="O295" s="10" t="s">
        <v>15488</v>
      </c>
      <c r="P295" s="5" t="s">
        <v>14571</v>
      </c>
      <c r="Q295" s="5" t="s">
        <v>14572</v>
      </c>
      <c r="R295" s="5" t="s">
        <v>15489</v>
      </c>
      <c r="T295" s="5" t="s">
        <v>5994</v>
      </c>
      <c r="V295" s="5" t="s">
        <v>83</v>
      </c>
      <c r="W295" s="5" t="s">
        <v>5058</v>
      </c>
    </row>
    <row r="296" spans="1:23" ht="12.5">
      <c r="A296" s="5">
        <v>90799</v>
      </c>
      <c r="B296" s="5" t="s">
        <v>15490</v>
      </c>
      <c r="C296" s="5">
        <v>573006344995</v>
      </c>
      <c r="D296" s="5">
        <v>25</v>
      </c>
      <c r="E296" s="5" t="s">
        <v>1792</v>
      </c>
      <c r="F296" s="5" t="s">
        <v>103</v>
      </c>
      <c r="G296" s="5" t="s">
        <v>5060</v>
      </c>
      <c r="H296" s="5" t="s">
        <v>5061</v>
      </c>
      <c r="I296" s="5">
        <v>3013003156</v>
      </c>
      <c r="J296" s="12">
        <v>46027</v>
      </c>
      <c r="K296" s="11">
        <v>0.41666666666787933</v>
      </c>
      <c r="M296" s="10" t="s">
        <v>14599</v>
      </c>
      <c r="N296" s="12">
        <v>46027.370885543976</v>
      </c>
      <c r="O296" s="10" t="s">
        <v>15491</v>
      </c>
      <c r="P296" s="5" t="s">
        <v>14571</v>
      </c>
      <c r="Q296" s="5" t="s">
        <v>14578</v>
      </c>
      <c r="R296" s="5" t="s">
        <v>15492</v>
      </c>
      <c r="T296" s="5" t="s">
        <v>5994</v>
      </c>
      <c r="U296" s="5" t="s">
        <v>14593</v>
      </c>
      <c r="V296" s="5" t="s">
        <v>1481</v>
      </c>
    </row>
    <row r="297" spans="1:23" ht="12.5">
      <c r="A297" s="5">
        <v>90800</v>
      </c>
      <c r="B297" s="5" t="s">
        <v>5065</v>
      </c>
      <c r="C297" s="5">
        <v>573012181032</v>
      </c>
      <c r="D297" s="5">
        <v>29</v>
      </c>
      <c r="E297" s="5" t="s">
        <v>309</v>
      </c>
      <c r="F297" s="5" t="s">
        <v>33</v>
      </c>
      <c r="G297" s="5" t="s">
        <v>5065</v>
      </c>
      <c r="H297" s="5" t="s">
        <v>34</v>
      </c>
      <c r="I297" s="5">
        <v>3012181032</v>
      </c>
      <c r="J297" s="12">
        <v>46027</v>
      </c>
      <c r="K297" s="11">
        <v>0</v>
      </c>
      <c r="M297" s="10" t="s">
        <v>14585</v>
      </c>
      <c r="N297" s="12">
        <v>46027.415695173608</v>
      </c>
      <c r="O297" s="10" t="s">
        <v>15106</v>
      </c>
      <c r="P297" s="5" t="s">
        <v>14571</v>
      </c>
      <c r="Q297" s="5" t="s">
        <v>14572</v>
      </c>
      <c r="R297" s="5" t="s">
        <v>15493</v>
      </c>
      <c r="T297" s="5" t="s">
        <v>14574</v>
      </c>
      <c r="U297" s="5" t="s">
        <v>33</v>
      </c>
      <c r="V297" s="5" t="s">
        <v>43</v>
      </c>
      <c r="W297" s="5" t="s">
        <v>5066</v>
      </c>
    </row>
    <row r="298" spans="1:23" ht="12.5">
      <c r="A298" s="5">
        <v>90801</v>
      </c>
      <c r="B298" s="5" t="s">
        <v>5068</v>
      </c>
      <c r="C298" s="5">
        <v>573216680671</v>
      </c>
      <c r="D298" s="5">
        <v>31</v>
      </c>
      <c r="E298" s="5" t="s">
        <v>375</v>
      </c>
      <c r="F298" s="5" t="s">
        <v>33</v>
      </c>
      <c r="G298" s="5" t="s">
        <v>5068</v>
      </c>
      <c r="H298" s="5" t="s">
        <v>34</v>
      </c>
      <c r="I298" s="5">
        <v>3216680671</v>
      </c>
      <c r="J298" s="12">
        <v>46028</v>
      </c>
      <c r="K298" s="11">
        <v>0.375</v>
      </c>
      <c r="M298" s="10" t="s">
        <v>14800</v>
      </c>
      <c r="N298" s="12">
        <v>46027.39062366898</v>
      </c>
      <c r="O298" s="10" t="s">
        <v>15103</v>
      </c>
      <c r="P298" s="5" t="s">
        <v>14571</v>
      </c>
      <c r="Q298" s="5" t="s">
        <v>14572</v>
      </c>
      <c r="R298" s="5" t="s">
        <v>15494</v>
      </c>
      <c r="T298" s="5" t="s">
        <v>14574</v>
      </c>
      <c r="U298" s="5" t="s">
        <v>33</v>
      </c>
      <c r="V298" s="5" t="s">
        <v>2438</v>
      </c>
    </row>
    <row r="299" spans="1:23" ht="12.5">
      <c r="A299" s="5">
        <v>90802</v>
      </c>
      <c r="B299" s="5" t="s">
        <v>15495</v>
      </c>
      <c r="C299" s="5">
        <v>573242364443</v>
      </c>
      <c r="D299" s="5">
        <v>31</v>
      </c>
      <c r="E299" s="5" t="s">
        <v>375</v>
      </c>
      <c r="F299" s="5" t="s">
        <v>1272</v>
      </c>
      <c r="G299" s="5" t="s">
        <v>5072</v>
      </c>
      <c r="H299" s="5" t="s">
        <v>5073</v>
      </c>
      <c r="I299" s="5">
        <v>3004552663</v>
      </c>
      <c r="J299" s="12">
        <v>46027</v>
      </c>
      <c r="K299" s="11">
        <v>0.45833333333212067</v>
      </c>
      <c r="M299" s="10" t="s">
        <v>14881</v>
      </c>
      <c r="N299" s="12">
        <v>46027.420251203701</v>
      </c>
      <c r="O299" s="10" t="s">
        <v>14665</v>
      </c>
      <c r="P299" s="5" t="s">
        <v>14571</v>
      </c>
      <c r="Q299" s="5" t="s">
        <v>14572</v>
      </c>
      <c r="R299" s="5" t="s">
        <v>15496</v>
      </c>
      <c r="T299" s="5" t="s">
        <v>5994</v>
      </c>
      <c r="U299" s="5" t="s">
        <v>14593</v>
      </c>
      <c r="V299" s="5" t="s">
        <v>180</v>
      </c>
    </row>
    <row r="300" spans="1:23" ht="12.5">
      <c r="A300" s="5">
        <v>90803</v>
      </c>
      <c r="B300" s="5" t="s">
        <v>5078</v>
      </c>
      <c r="C300" s="5">
        <v>573008162675</v>
      </c>
      <c r="D300" s="5">
        <v>95</v>
      </c>
      <c r="E300" s="5" t="s">
        <v>42</v>
      </c>
      <c r="F300" s="5" t="s">
        <v>33</v>
      </c>
      <c r="G300" s="5" t="s">
        <v>5078</v>
      </c>
      <c r="H300" s="5" t="s">
        <v>34</v>
      </c>
      <c r="I300" s="5" t="s">
        <v>5079</v>
      </c>
      <c r="J300" s="12">
        <v>46027</v>
      </c>
      <c r="K300" s="11">
        <v>0</v>
      </c>
      <c r="M300" s="10" t="s">
        <v>15497</v>
      </c>
      <c r="N300" s="12">
        <v>46027.432537870365</v>
      </c>
      <c r="O300" s="10" t="s">
        <v>15498</v>
      </c>
      <c r="P300" s="5" t="s">
        <v>14571</v>
      </c>
      <c r="Q300" s="5" t="s">
        <v>14578</v>
      </c>
      <c r="R300" s="5" t="s">
        <v>15499</v>
      </c>
      <c r="T300" s="5" t="s">
        <v>14574</v>
      </c>
      <c r="U300" s="5" t="s">
        <v>33</v>
      </c>
      <c r="V300" s="5" t="s">
        <v>2636</v>
      </c>
      <c r="W300" s="5" t="s">
        <v>525</v>
      </c>
    </row>
    <row r="301" spans="1:23" ht="12.5">
      <c r="A301" s="5">
        <v>90804</v>
      </c>
      <c r="B301" s="5" t="s">
        <v>5085</v>
      </c>
      <c r="C301" s="5">
        <v>573028008923</v>
      </c>
      <c r="D301" s="5">
        <v>31</v>
      </c>
      <c r="E301" s="5" t="s">
        <v>375</v>
      </c>
      <c r="F301" s="5" t="s">
        <v>314</v>
      </c>
      <c r="G301" s="5" t="s">
        <v>5082</v>
      </c>
      <c r="H301" s="5" t="s">
        <v>5083</v>
      </c>
      <c r="I301" s="5">
        <v>3003704886</v>
      </c>
      <c r="J301" s="12">
        <v>46027</v>
      </c>
      <c r="K301" s="11">
        <v>0</v>
      </c>
      <c r="M301" s="10" t="s">
        <v>15308</v>
      </c>
      <c r="N301" s="12">
        <v>46027.425366921292</v>
      </c>
      <c r="O301" s="10" t="s">
        <v>15500</v>
      </c>
      <c r="P301" s="5" t="s">
        <v>14571</v>
      </c>
      <c r="Q301" s="5" t="s">
        <v>14612</v>
      </c>
      <c r="R301" s="5" t="s">
        <v>15501</v>
      </c>
      <c r="T301" s="5" t="s">
        <v>5994</v>
      </c>
      <c r="U301" s="5" t="s">
        <v>14580</v>
      </c>
      <c r="V301" s="5" t="s">
        <v>83</v>
      </c>
    </row>
    <row r="302" spans="1:23" ht="12.5">
      <c r="A302" s="5">
        <v>90805</v>
      </c>
      <c r="B302" s="5" t="s">
        <v>15502</v>
      </c>
      <c r="C302" s="5">
        <v>573218041357</v>
      </c>
      <c r="D302" s="5">
        <v>30</v>
      </c>
      <c r="E302" s="5" t="s">
        <v>156</v>
      </c>
      <c r="F302" s="5" t="s">
        <v>5089</v>
      </c>
      <c r="G302" s="5" t="s">
        <v>5088</v>
      </c>
      <c r="H302" s="5" t="s">
        <v>5090</v>
      </c>
      <c r="I302" s="5">
        <v>3022674361</v>
      </c>
      <c r="J302" s="12">
        <v>46027</v>
      </c>
      <c r="K302" s="11">
        <v>0</v>
      </c>
      <c r="M302" s="10" t="s">
        <v>14595</v>
      </c>
      <c r="N302" s="12">
        <v>46027.436770775465</v>
      </c>
      <c r="O302" s="10" t="s">
        <v>15503</v>
      </c>
      <c r="P302" s="5" t="s">
        <v>14571</v>
      </c>
      <c r="Q302" s="5" t="s">
        <v>14578</v>
      </c>
      <c r="R302" s="5" t="s">
        <v>15504</v>
      </c>
      <c r="T302" s="5" t="s">
        <v>5994</v>
      </c>
      <c r="U302" s="5" t="s">
        <v>14580</v>
      </c>
      <c r="V302" s="5" t="s">
        <v>83</v>
      </c>
      <c r="W302" s="5" t="s">
        <v>5093</v>
      </c>
    </row>
    <row r="303" spans="1:23" ht="12.5">
      <c r="A303" s="5">
        <v>90806</v>
      </c>
      <c r="B303" s="5" t="s">
        <v>15505</v>
      </c>
      <c r="C303" s="5">
        <v>573008057798</v>
      </c>
      <c r="D303" s="5">
        <v>29</v>
      </c>
      <c r="E303" s="5" t="s">
        <v>309</v>
      </c>
      <c r="F303" s="5" t="s">
        <v>185</v>
      </c>
      <c r="G303" s="5" t="s">
        <v>5096</v>
      </c>
      <c r="H303" s="5" t="s">
        <v>5097</v>
      </c>
      <c r="I303" s="5">
        <v>3008058839</v>
      </c>
      <c r="J303" s="12">
        <v>46028</v>
      </c>
      <c r="K303" s="11">
        <v>0.375</v>
      </c>
      <c r="M303" s="10" t="s">
        <v>14850</v>
      </c>
      <c r="N303" s="12">
        <v>46027.446709050928</v>
      </c>
      <c r="O303" s="10" t="s">
        <v>15506</v>
      </c>
      <c r="P303" s="5" t="s">
        <v>14571</v>
      </c>
      <c r="Q303" s="5" t="s">
        <v>14572</v>
      </c>
      <c r="R303" s="5" t="s">
        <v>15507</v>
      </c>
      <c r="T303" s="5" t="s">
        <v>5994</v>
      </c>
      <c r="U303" s="5" t="s">
        <v>14580</v>
      </c>
      <c r="V303" s="5" t="s">
        <v>83</v>
      </c>
    </row>
    <row r="304" spans="1:23" ht="12.5">
      <c r="A304" s="5">
        <v>90807</v>
      </c>
      <c r="B304" s="5" t="s">
        <v>5101</v>
      </c>
      <c r="C304" s="10" t="s">
        <v>15508</v>
      </c>
      <c r="D304" s="5">
        <v>95</v>
      </c>
      <c r="E304" s="5" t="s">
        <v>42</v>
      </c>
      <c r="F304" s="5" t="s">
        <v>33</v>
      </c>
      <c r="G304" s="5" t="s">
        <v>5101</v>
      </c>
      <c r="H304" s="5" t="s">
        <v>34</v>
      </c>
      <c r="I304" s="5">
        <v>3005869319</v>
      </c>
      <c r="J304" s="12">
        <v>46027</v>
      </c>
      <c r="K304" s="11">
        <v>0.48541666666666666</v>
      </c>
      <c r="M304" s="10" t="s">
        <v>14702</v>
      </c>
      <c r="N304" s="12">
        <v>46027</v>
      </c>
      <c r="O304" s="10" t="s">
        <v>15509</v>
      </c>
      <c r="P304" s="5" t="s">
        <v>14571</v>
      </c>
      <c r="Q304" s="5" t="s">
        <v>14612</v>
      </c>
      <c r="R304" s="5" t="s">
        <v>15510</v>
      </c>
      <c r="T304" s="5" t="s">
        <v>14574</v>
      </c>
      <c r="U304" s="5" t="s">
        <v>33</v>
      </c>
      <c r="V304" s="5" t="s">
        <v>196</v>
      </c>
      <c r="W304" s="5" t="s">
        <v>5102</v>
      </c>
    </row>
    <row r="305" spans="1:23" ht="12.5">
      <c r="A305" s="5">
        <v>90808</v>
      </c>
      <c r="B305" s="5" t="s">
        <v>5104</v>
      </c>
      <c r="C305" s="5">
        <v>573215896376</v>
      </c>
      <c r="D305" s="5">
        <v>95</v>
      </c>
      <c r="E305" s="5" t="s">
        <v>42</v>
      </c>
      <c r="F305" s="5" t="s">
        <v>73</v>
      </c>
      <c r="G305" s="5" t="s">
        <v>5104</v>
      </c>
      <c r="H305" s="5" t="s">
        <v>5105</v>
      </c>
      <c r="I305" s="5">
        <v>3215896376</v>
      </c>
      <c r="J305" s="12">
        <v>46028</v>
      </c>
      <c r="K305" s="11">
        <v>0.33333333333212067</v>
      </c>
      <c r="M305" s="10" t="s">
        <v>14873</v>
      </c>
      <c r="N305" s="12">
        <v>46027.490887870372</v>
      </c>
      <c r="O305" s="10" t="s">
        <v>14752</v>
      </c>
      <c r="P305" s="5" t="s">
        <v>14571</v>
      </c>
      <c r="Q305" s="5" t="s">
        <v>14572</v>
      </c>
      <c r="R305" s="5" t="s">
        <v>15511</v>
      </c>
      <c r="T305" s="5" t="s">
        <v>5994</v>
      </c>
      <c r="U305" s="5" t="s">
        <v>14593</v>
      </c>
      <c r="V305" s="5" t="s">
        <v>83</v>
      </c>
      <c r="W305" s="5" t="s">
        <v>5106</v>
      </c>
    </row>
    <row r="306" spans="1:23" ht="12.5">
      <c r="A306" s="5">
        <v>90809</v>
      </c>
      <c r="B306" s="5" t="s">
        <v>5104</v>
      </c>
      <c r="C306" s="5">
        <v>573215896376</v>
      </c>
      <c r="D306" s="5">
        <v>95</v>
      </c>
      <c r="E306" s="5" t="s">
        <v>42</v>
      </c>
      <c r="F306" s="5" t="s">
        <v>1815</v>
      </c>
      <c r="G306" s="5" t="s">
        <v>5104</v>
      </c>
      <c r="H306" s="5" t="s">
        <v>5107</v>
      </c>
      <c r="I306" s="5">
        <v>3215896376</v>
      </c>
      <c r="J306" s="12">
        <v>46028</v>
      </c>
      <c r="K306" s="11">
        <v>0.33333333333212067</v>
      </c>
      <c r="M306" s="10" t="s">
        <v>15512</v>
      </c>
      <c r="N306" s="12">
        <v>46027.488467233794</v>
      </c>
      <c r="O306" s="10" t="s">
        <v>14749</v>
      </c>
      <c r="P306" s="5" t="s">
        <v>14571</v>
      </c>
      <c r="Q306" s="5" t="s">
        <v>14572</v>
      </c>
      <c r="R306" s="5" t="s">
        <v>15513</v>
      </c>
      <c r="T306" s="5" t="s">
        <v>5994</v>
      </c>
      <c r="U306" s="5" t="s">
        <v>14580</v>
      </c>
      <c r="V306" s="5" t="s">
        <v>83</v>
      </c>
      <c r="W306" s="5" t="s">
        <v>5108</v>
      </c>
    </row>
    <row r="307" spans="1:23" ht="12.5">
      <c r="A307" s="5">
        <v>90810</v>
      </c>
      <c r="B307" s="5" t="s">
        <v>5104</v>
      </c>
      <c r="C307" s="5">
        <v>573215896376</v>
      </c>
      <c r="D307" s="5">
        <v>95</v>
      </c>
      <c r="E307" s="5" t="s">
        <v>42</v>
      </c>
      <c r="F307" s="5"/>
      <c r="G307" s="5" t="s">
        <v>5104</v>
      </c>
      <c r="H307" s="5" t="s">
        <v>5109</v>
      </c>
      <c r="J307" s="12">
        <v>46028</v>
      </c>
      <c r="K307" s="11">
        <v>0.33333333333212067</v>
      </c>
      <c r="M307" s="10" t="s">
        <v>15140</v>
      </c>
      <c r="N307" s="12">
        <v>46027.498507164353</v>
      </c>
      <c r="O307" s="10" t="s">
        <v>14867</v>
      </c>
      <c r="P307" s="5" t="s">
        <v>14571</v>
      </c>
      <c r="Q307" s="5" t="s">
        <v>14572</v>
      </c>
      <c r="R307" s="5" t="s">
        <v>15514</v>
      </c>
      <c r="T307" s="5" t="s">
        <v>5994</v>
      </c>
      <c r="U307" s="5"/>
      <c r="V307" s="5" t="s">
        <v>83</v>
      </c>
      <c r="W307" s="5" t="s">
        <v>5111</v>
      </c>
    </row>
    <row r="308" spans="1:23" ht="12.5">
      <c r="A308" s="5">
        <v>90811</v>
      </c>
      <c r="B308" s="5" t="s">
        <v>15515</v>
      </c>
      <c r="C308" s="10" t="s">
        <v>15516</v>
      </c>
      <c r="D308" s="5">
        <v>52</v>
      </c>
      <c r="E308" s="5" t="s">
        <v>178</v>
      </c>
      <c r="F308" s="5" t="s">
        <v>79</v>
      </c>
      <c r="G308" s="5" t="s">
        <v>4974</v>
      </c>
      <c r="H308" s="5" t="s">
        <v>5113</v>
      </c>
      <c r="I308" s="5">
        <v>3012089960</v>
      </c>
      <c r="J308" s="12">
        <v>46027</v>
      </c>
      <c r="K308" s="11">
        <v>0</v>
      </c>
      <c r="M308" s="10" t="s">
        <v>15161</v>
      </c>
      <c r="N308" s="12">
        <v>46027</v>
      </c>
      <c r="O308" s="10" t="s">
        <v>14867</v>
      </c>
      <c r="P308" s="5" t="s">
        <v>14571</v>
      </c>
      <c r="Q308" s="5" t="s">
        <v>14572</v>
      </c>
      <c r="R308" s="5" t="s">
        <v>15517</v>
      </c>
      <c r="T308" s="5" t="s">
        <v>5994</v>
      </c>
      <c r="U308" s="5" t="s">
        <v>14593</v>
      </c>
      <c r="V308" s="5" t="s">
        <v>1937</v>
      </c>
    </row>
    <row r="309" spans="1:23" ht="12.5">
      <c r="A309" s="5">
        <v>90812</v>
      </c>
      <c r="B309" s="5" t="s">
        <v>5104</v>
      </c>
      <c r="C309" s="5">
        <v>573215896376</v>
      </c>
      <c r="D309" s="5">
        <v>95</v>
      </c>
      <c r="E309" s="5" t="s">
        <v>42</v>
      </c>
      <c r="F309" s="5" t="s">
        <v>73</v>
      </c>
      <c r="G309" s="5" t="s">
        <v>5104</v>
      </c>
      <c r="H309" s="5" t="s">
        <v>5115</v>
      </c>
      <c r="I309" s="5">
        <v>3215896376</v>
      </c>
      <c r="J309" s="12">
        <v>46028</v>
      </c>
      <c r="K309" s="11">
        <v>0.33333333333212067</v>
      </c>
      <c r="M309" s="10" t="s">
        <v>15140</v>
      </c>
      <c r="N309" s="12">
        <v>46027.50071734954</v>
      </c>
      <c r="O309" s="10" t="s">
        <v>15518</v>
      </c>
      <c r="P309" s="5" t="s">
        <v>14571</v>
      </c>
      <c r="Q309" s="5" t="s">
        <v>14572</v>
      </c>
      <c r="R309" s="5" t="s">
        <v>15519</v>
      </c>
      <c r="T309" s="5" t="s">
        <v>5994</v>
      </c>
      <c r="U309" s="5" t="s">
        <v>14593</v>
      </c>
      <c r="V309" s="5" t="s">
        <v>83</v>
      </c>
      <c r="W309" s="5" t="s">
        <v>5117</v>
      </c>
    </row>
    <row r="310" spans="1:23" ht="12.5">
      <c r="A310" s="5">
        <v>90813</v>
      </c>
      <c r="B310" s="5" t="s">
        <v>15520</v>
      </c>
      <c r="C310" s="10" t="s">
        <v>15521</v>
      </c>
      <c r="D310" s="5">
        <v>95</v>
      </c>
      <c r="E310" s="5" t="s">
        <v>42</v>
      </c>
      <c r="F310" s="5" t="s">
        <v>448</v>
      </c>
      <c r="G310" s="5" t="s">
        <v>5120</v>
      </c>
      <c r="H310" s="5" t="s">
        <v>5121</v>
      </c>
      <c r="I310" s="5">
        <v>3007396015</v>
      </c>
      <c r="J310" s="12">
        <v>46027</v>
      </c>
      <c r="K310" s="11">
        <v>0</v>
      </c>
      <c r="M310" s="10" t="s">
        <v>14800</v>
      </c>
      <c r="N310" s="12">
        <v>46027</v>
      </c>
      <c r="O310" s="10" t="s">
        <v>15404</v>
      </c>
      <c r="P310" s="5" t="s">
        <v>14571</v>
      </c>
      <c r="Q310" s="5" t="s">
        <v>14612</v>
      </c>
      <c r="R310" s="5" t="s">
        <v>15522</v>
      </c>
      <c r="T310" s="5" t="s">
        <v>5994</v>
      </c>
      <c r="U310" s="5" t="s">
        <v>14580</v>
      </c>
      <c r="V310" s="5" t="s">
        <v>83</v>
      </c>
      <c r="W310" s="5" t="s">
        <v>5123</v>
      </c>
    </row>
    <row r="311" spans="1:23" ht="12.5">
      <c r="A311" s="5">
        <v>90814</v>
      </c>
      <c r="B311" s="5" t="s">
        <v>15523</v>
      </c>
      <c r="C311" s="10" t="s">
        <v>15524</v>
      </c>
      <c r="D311" s="5">
        <v>29</v>
      </c>
      <c r="E311" s="5" t="s">
        <v>309</v>
      </c>
      <c r="F311" s="5" t="s">
        <v>265</v>
      </c>
      <c r="G311" s="5" t="s">
        <v>5124</v>
      </c>
      <c r="H311" s="5" t="s">
        <v>5125</v>
      </c>
      <c r="I311" s="5">
        <v>3157950436</v>
      </c>
      <c r="J311" s="12">
        <v>46027</v>
      </c>
      <c r="K311" s="11">
        <v>0.58333333333333337</v>
      </c>
      <c r="M311" s="10" t="s">
        <v>15525</v>
      </c>
      <c r="N311" s="12">
        <v>46027</v>
      </c>
      <c r="O311" s="10" t="s">
        <v>15070</v>
      </c>
      <c r="P311" s="5" t="s">
        <v>14571</v>
      </c>
      <c r="Q311" s="5" t="s">
        <v>14578</v>
      </c>
      <c r="R311" s="5" t="s">
        <v>15526</v>
      </c>
      <c r="T311" s="5" t="s">
        <v>5994</v>
      </c>
      <c r="U311" s="5" t="s">
        <v>14691</v>
      </c>
      <c r="V311" s="5" t="s">
        <v>180</v>
      </c>
    </row>
    <row r="312" spans="1:23" ht="12.5">
      <c r="A312" s="5">
        <v>90815</v>
      </c>
      <c r="B312" s="5" t="s">
        <v>15527</v>
      </c>
      <c r="C312" s="5">
        <v>573168797009</v>
      </c>
      <c r="D312" s="5">
        <v>43</v>
      </c>
      <c r="E312" s="5" t="s">
        <v>679</v>
      </c>
      <c r="F312" s="5" t="s">
        <v>103</v>
      </c>
      <c r="G312" s="5" t="s">
        <v>5130</v>
      </c>
      <c r="H312" s="5" t="s">
        <v>5131</v>
      </c>
      <c r="I312" s="5"/>
      <c r="J312" s="12">
        <v>46027</v>
      </c>
      <c r="K312" s="11">
        <v>0.58333333333212067</v>
      </c>
      <c r="M312" s="10" t="s">
        <v>15040</v>
      </c>
      <c r="N312" s="12">
        <v>46027.52021638889</v>
      </c>
      <c r="O312" s="10" t="s">
        <v>15528</v>
      </c>
      <c r="P312" s="5" t="s">
        <v>14571</v>
      </c>
      <c r="Q312" s="5" t="s">
        <v>14612</v>
      </c>
      <c r="R312" s="5" t="s">
        <v>15529</v>
      </c>
      <c r="T312" s="5" t="s">
        <v>5994</v>
      </c>
      <c r="U312" s="5" t="s">
        <v>14593</v>
      </c>
      <c r="V312" s="5" t="s">
        <v>83</v>
      </c>
      <c r="W312" s="5" t="s">
        <v>5134</v>
      </c>
    </row>
    <row r="313" spans="1:23" ht="12.5">
      <c r="A313" s="5">
        <v>90816</v>
      </c>
      <c r="B313" s="5" t="s">
        <v>15530</v>
      </c>
      <c r="C313" s="5">
        <v>573045739199</v>
      </c>
      <c r="D313" s="5">
        <v>31</v>
      </c>
      <c r="E313" s="5" t="s">
        <v>375</v>
      </c>
      <c r="F313" s="5" t="s">
        <v>154</v>
      </c>
      <c r="G313" s="5" t="s">
        <v>5137</v>
      </c>
      <c r="H313" s="5" t="s">
        <v>5138</v>
      </c>
      <c r="I313" s="5">
        <v>3045739199</v>
      </c>
      <c r="J313" s="12">
        <v>46028</v>
      </c>
      <c r="K313" s="11">
        <v>0.6375000000007276</v>
      </c>
      <c r="M313" s="10" t="s">
        <v>14639</v>
      </c>
      <c r="N313" s="12">
        <v>46027.449898252315</v>
      </c>
      <c r="O313" s="10" t="s">
        <v>15531</v>
      </c>
      <c r="P313" s="5" t="s">
        <v>14571</v>
      </c>
      <c r="Q313" s="5" t="s">
        <v>14612</v>
      </c>
      <c r="R313" s="5" t="s">
        <v>15532</v>
      </c>
      <c r="T313" s="5" t="s">
        <v>5994</v>
      </c>
      <c r="U313" s="5" t="s">
        <v>14593</v>
      </c>
      <c r="V313" s="5" t="s">
        <v>83</v>
      </c>
    </row>
    <row r="314" spans="1:23" ht="12.5">
      <c r="A314" s="5">
        <v>90817</v>
      </c>
      <c r="B314" s="5" t="s">
        <v>15533</v>
      </c>
      <c r="C314" s="5">
        <v>573103991239</v>
      </c>
      <c r="D314" s="5" t="s">
        <v>14589</v>
      </c>
      <c r="E314" s="5" t="s">
        <v>5145</v>
      </c>
      <c r="F314" s="5" t="s">
        <v>1647</v>
      </c>
      <c r="G314" s="5" t="s">
        <v>5143</v>
      </c>
      <c r="H314" s="5" t="s">
        <v>5144</v>
      </c>
      <c r="I314" s="5">
        <v>3103991239</v>
      </c>
      <c r="J314" s="12">
        <v>46027</v>
      </c>
      <c r="K314" s="11">
        <v>0.125</v>
      </c>
      <c r="M314" s="10" t="s">
        <v>15534</v>
      </c>
      <c r="N314" s="12">
        <v>46027.543507719907</v>
      </c>
      <c r="O314" s="10" t="s">
        <v>15535</v>
      </c>
      <c r="P314" s="5" t="s">
        <v>14571</v>
      </c>
      <c r="Q314" s="5" t="s">
        <v>14572</v>
      </c>
      <c r="R314" s="5" t="s">
        <v>15536</v>
      </c>
      <c r="T314" s="5" t="s">
        <v>5994</v>
      </c>
      <c r="U314" s="5" t="s">
        <v>14580</v>
      </c>
      <c r="V314" s="5" t="s">
        <v>83</v>
      </c>
      <c r="W314" s="5" t="s">
        <v>5147</v>
      </c>
    </row>
    <row r="315" spans="1:23" ht="12.5">
      <c r="A315" s="5">
        <v>90818</v>
      </c>
      <c r="B315" s="5" t="s">
        <v>15537</v>
      </c>
      <c r="C315" s="5">
        <v>57145944490</v>
      </c>
      <c r="D315" s="5">
        <v>15</v>
      </c>
      <c r="E315" s="5" t="s">
        <v>707</v>
      </c>
      <c r="G315" s="5" t="s">
        <v>5150</v>
      </c>
      <c r="H315" s="5" t="s">
        <v>5151</v>
      </c>
      <c r="J315" s="12">
        <v>46028</v>
      </c>
      <c r="K315" s="11">
        <v>0.33333333333212067</v>
      </c>
      <c r="M315" s="10" t="s">
        <v>15420</v>
      </c>
      <c r="N315" s="12">
        <v>46027.57300329861</v>
      </c>
      <c r="O315" s="10" t="s">
        <v>14620</v>
      </c>
      <c r="P315" s="5" t="s">
        <v>14571</v>
      </c>
      <c r="Q315" s="5" t="s">
        <v>14572</v>
      </c>
      <c r="R315" s="5" t="s">
        <v>15538</v>
      </c>
      <c r="T315" s="5" t="s">
        <v>5994</v>
      </c>
      <c r="V315" s="5" t="s">
        <v>196</v>
      </c>
    </row>
    <row r="316" spans="1:23" ht="12.5">
      <c r="A316" s="5">
        <v>90819</v>
      </c>
      <c r="B316" s="5" t="s">
        <v>4467</v>
      </c>
      <c r="C316" s="5">
        <v>573006631795</v>
      </c>
      <c r="D316" s="5" t="s">
        <v>14589</v>
      </c>
      <c r="E316" s="5" t="s">
        <v>5155</v>
      </c>
      <c r="F316" s="5" t="s">
        <v>924</v>
      </c>
      <c r="G316" s="5" t="s">
        <v>5153</v>
      </c>
      <c r="H316" s="5" t="s">
        <v>5154</v>
      </c>
      <c r="J316" s="12">
        <v>46027</v>
      </c>
      <c r="K316" s="11">
        <v>0.66666666666787933</v>
      </c>
      <c r="M316" s="10" t="s">
        <v>14569</v>
      </c>
      <c r="N316" s="12">
        <v>46027.579713148152</v>
      </c>
      <c r="O316" s="10" t="s">
        <v>15539</v>
      </c>
      <c r="P316" s="5" t="s">
        <v>14571</v>
      </c>
      <c r="Q316" s="5" t="s">
        <v>14612</v>
      </c>
      <c r="R316" s="5" t="s">
        <v>15540</v>
      </c>
      <c r="T316" s="5" t="s">
        <v>5994</v>
      </c>
      <c r="U316" s="5" t="s">
        <v>14691</v>
      </c>
      <c r="V316" s="5" t="s">
        <v>43</v>
      </c>
    </row>
    <row r="317" spans="1:23" ht="12.5">
      <c r="A317" s="5">
        <v>90820</v>
      </c>
      <c r="B317" s="5" t="s">
        <v>4467</v>
      </c>
      <c r="C317" s="10" t="s">
        <v>15541</v>
      </c>
      <c r="D317" s="5" t="s">
        <v>14589</v>
      </c>
      <c r="E317" s="5" t="s">
        <v>5158</v>
      </c>
      <c r="G317" s="5" t="s">
        <v>5156</v>
      </c>
      <c r="H317" s="5" t="s">
        <v>5157</v>
      </c>
      <c r="J317" s="12">
        <v>46027</v>
      </c>
      <c r="K317" s="11">
        <v>0.66666666666666663</v>
      </c>
      <c r="M317" s="10" t="s">
        <v>14712</v>
      </c>
      <c r="N317" s="12">
        <v>46027</v>
      </c>
      <c r="O317" s="10" t="s">
        <v>15257</v>
      </c>
      <c r="P317" s="5" t="s">
        <v>14571</v>
      </c>
      <c r="Q317" s="5" t="s">
        <v>14578</v>
      </c>
      <c r="R317" s="5" t="s">
        <v>15542</v>
      </c>
      <c r="T317" s="5" t="s">
        <v>5994</v>
      </c>
      <c r="V317" s="5" t="s">
        <v>43</v>
      </c>
      <c r="W317" s="5" t="s">
        <v>5158</v>
      </c>
    </row>
    <row r="318" spans="1:23" ht="12.5">
      <c r="A318" s="5">
        <v>90821</v>
      </c>
      <c r="B318" s="5" t="s">
        <v>15543</v>
      </c>
      <c r="C318" s="5">
        <v>573116902567</v>
      </c>
      <c r="D318" s="5">
        <v>29</v>
      </c>
      <c r="E318" s="5" t="s">
        <v>309</v>
      </c>
      <c r="F318" s="5" t="s">
        <v>1047</v>
      </c>
      <c r="G318" s="5" t="s">
        <v>5160</v>
      </c>
      <c r="H318" s="5" t="s">
        <v>5161</v>
      </c>
      <c r="I318" s="5">
        <v>3148562023</v>
      </c>
      <c r="J318" s="12">
        <v>46027</v>
      </c>
      <c r="K318" s="11">
        <v>0.625</v>
      </c>
      <c r="M318" s="10" t="s">
        <v>14595</v>
      </c>
      <c r="N318" s="12">
        <v>46027.588916354165</v>
      </c>
      <c r="O318" s="10" t="s">
        <v>15544</v>
      </c>
      <c r="P318" s="5" t="s">
        <v>14571</v>
      </c>
      <c r="Q318" s="5" t="s">
        <v>14572</v>
      </c>
      <c r="R318" s="5" t="s">
        <v>15545</v>
      </c>
      <c r="T318" s="5" t="s">
        <v>5994</v>
      </c>
      <c r="U318" s="5" t="s">
        <v>14580</v>
      </c>
      <c r="V318" s="5" t="s">
        <v>2636</v>
      </c>
    </row>
    <row r="319" spans="1:23" ht="12.5">
      <c r="A319" s="5">
        <v>90822</v>
      </c>
      <c r="B319" s="5" t="s">
        <v>5165</v>
      </c>
      <c r="C319" s="10" t="s">
        <v>15546</v>
      </c>
      <c r="D319" s="5">
        <v>52</v>
      </c>
      <c r="E319" s="5" t="s">
        <v>178</v>
      </c>
      <c r="F319" s="5" t="s">
        <v>33</v>
      </c>
      <c r="G319" s="5" t="s">
        <v>5165</v>
      </c>
      <c r="H319" s="5" t="s">
        <v>34</v>
      </c>
      <c r="I319" s="5">
        <v>3043507464</v>
      </c>
      <c r="J319" s="12">
        <v>46027</v>
      </c>
      <c r="K319" s="11">
        <v>0</v>
      </c>
      <c r="M319" s="10" t="s">
        <v>14705</v>
      </c>
      <c r="N319" s="12">
        <v>46027</v>
      </c>
      <c r="O319" s="10" t="s">
        <v>15547</v>
      </c>
      <c r="P319" s="5" t="s">
        <v>14571</v>
      </c>
      <c r="Q319" s="5" t="s">
        <v>14612</v>
      </c>
      <c r="R319" s="5" t="s">
        <v>15548</v>
      </c>
      <c r="T319" s="5" t="s">
        <v>14574</v>
      </c>
      <c r="U319" s="5" t="s">
        <v>33</v>
      </c>
      <c r="V319" s="5" t="s">
        <v>43</v>
      </c>
      <c r="W319" s="5" t="s">
        <v>5166</v>
      </c>
    </row>
    <row r="320" spans="1:23" ht="12.5">
      <c r="A320" s="5">
        <v>90823</v>
      </c>
      <c r="B320" s="5" t="s">
        <v>15549</v>
      </c>
      <c r="C320" s="5">
        <v>573145966560</v>
      </c>
      <c r="D320" s="5" t="s">
        <v>14589</v>
      </c>
      <c r="E320" s="5" t="s">
        <v>5168</v>
      </c>
      <c r="F320" s="5" t="s">
        <v>73</v>
      </c>
      <c r="G320" s="5" t="s">
        <v>812</v>
      </c>
      <c r="H320" s="5" t="s">
        <v>5167</v>
      </c>
      <c r="I320" s="5">
        <v>3182066764</v>
      </c>
      <c r="J320" s="12">
        <v>46027</v>
      </c>
      <c r="K320" s="11">
        <v>0.66666666666787933</v>
      </c>
      <c r="M320" s="10" t="s">
        <v>14890</v>
      </c>
      <c r="N320" s="12">
        <v>46027.599402199077</v>
      </c>
      <c r="O320" s="10" t="s">
        <v>15550</v>
      </c>
      <c r="P320" s="5" t="s">
        <v>14571</v>
      </c>
      <c r="Q320" s="5" t="s">
        <v>14612</v>
      </c>
      <c r="R320" s="5" t="s">
        <v>15551</v>
      </c>
      <c r="T320" s="5" t="s">
        <v>5994</v>
      </c>
      <c r="U320" s="5" t="s">
        <v>14593</v>
      </c>
      <c r="V320" s="5" t="s">
        <v>83</v>
      </c>
    </row>
    <row r="321" spans="1:23" ht="12.5">
      <c r="A321" s="5">
        <v>90824</v>
      </c>
      <c r="B321" s="5" t="s">
        <v>15552</v>
      </c>
      <c r="C321" s="10" t="s">
        <v>15553</v>
      </c>
      <c r="D321" s="5">
        <v>32</v>
      </c>
      <c r="E321" s="5" t="s">
        <v>65</v>
      </c>
      <c r="F321" s="5" t="s">
        <v>307</v>
      </c>
      <c r="G321" s="5" t="s">
        <v>5172</v>
      </c>
      <c r="H321" s="5" t="s">
        <v>5173</v>
      </c>
      <c r="I321" s="5">
        <v>3017229158</v>
      </c>
      <c r="J321" s="12">
        <v>46027</v>
      </c>
      <c r="K321" s="11">
        <v>0</v>
      </c>
      <c r="M321" s="10" t="s">
        <v>14585</v>
      </c>
      <c r="N321" s="12">
        <v>46027</v>
      </c>
      <c r="O321" s="10" t="s">
        <v>15246</v>
      </c>
      <c r="P321" s="5" t="s">
        <v>14571</v>
      </c>
      <c r="Q321" s="5" t="s">
        <v>14612</v>
      </c>
      <c r="R321" s="5" t="s">
        <v>15554</v>
      </c>
      <c r="T321" s="5" t="s">
        <v>5994</v>
      </c>
      <c r="U321" s="5" t="s">
        <v>14618</v>
      </c>
      <c r="V321" s="5" t="s">
        <v>83</v>
      </c>
    </row>
    <row r="322" spans="1:23" ht="12.5">
      <c r="A322" s="5">
        <v>90825</v>
      </c>
      <c r="B322" s="5" t="s">
        <v>5178</v>
      </c>
      <c r="C322" s="10" t="s">
        <v>15555</v>
      </c>
      <c r="D322" s="5">
        <v>95</v>
      </c>
      <c r="E322" s="5" t="s">
        <v>42</v>
      </c>
      <c r="G322" s="5" t="s">
        <v>5178</v>
      </c>
      <c r="H322" s="5" t="s">
        <v>5179</v>
      </c>
      <c r="J322" s="12">
        <v>46027</v>
      </c>
      <c r="K322" s="11">
        <v>0.70833333333333337</v>
      </c>
      <c r="M322" s="10" t="s">
        <v>15147</v>
      </c>
      <c r="N322" s="12">
        <v>46027</v>
      </c>
      <c r="O322" s="10" t="s">
        <v>15556</v>
      </c>
      <c r="P322" s="5" t="s">
        <v>14571</v>
      </c>
      <c r="Q322" s="5" t="s">
        <v>14572</v>
      </c>
      <c r="R322" s="5" t="s">
        <v>15557</v>
      </c>
      <c r="T322" s="5" t="s">
        <v>5994</v>
      </c>
      <c r="V322" s="5" t="s">
        <v>43</v>
      </c>
      <c r="W322" s="5" t="s">
        <v>5180</v>
      </c>
    </row>
    <row r="323" spans="1:23" ht="12.5">
      <c r="A323" s="5">
        <v>90826</v>
      </c>
      <c r="B323" s="5" t="s">
        <v>4728</v>
      </c>
      <c r="C323" s="5">
        <v>570000</v>
      </c>
      <c r="D323" s="5">
        <v>95</v>
      </c>
      <c r="E323" s="5" t="s">
        <v>42</v>
      </c>
      <c r="F323" s="5" t="s">
        <v>33</v>
      </c>
      <c r="G323" s="5" t="s">
        <v>4728</v>
      </c>
      <c r="H323" s="5" t="s">
        <v>34</v>
      </c>
      <c r="I323" s="10" t="s">
        <v>2686</v>
      </c>
      <c r="J323" s="12">
        <v>46027</v>
      </c>
      <c r="K323" s="11">
        <v>0</v>
      </c>
      <c r="M323" s="10" t="s">
        <v>15011</v>
      </c>
      <c r="N323" s="12">
        <v>46027.631514085646</v>
      </c>
      <c r="O323" s="10" t="s">
        <v>15558</v>
      </c>
      <c r="P323" s="5" t="s">
        <v>14571</v>
      </c>
      <c r="Q323" s="5" t="s">
        <v>14612</v>
      </c>
      <c r="R323" s="5" t="s">
        <v>15559</v>
      </c>
      <c r="T323" s="5" t="s">
        <v>14574</v>
      </c>
      <c r="U323" s="5" t="s">
        <v>33</v>
      </c>
      <c r="V323" s="5" t="s">
        <v>2636</v>
      </c>
      <c r="W323" s="5" t="s">
        <v>525</v>
      </c>
    </row>
    <row r="324" spans="1:23" ht="12.5">
      <c r="A324" s="5">
        <v>90827</v>
      </c>
      <c r="B324" s="5" t="s">
        <v>5184</v>
      </c>
      <c r="C324" s="5">
        <v>570000</v>
      </c>
      <c r="D324" s="5">
        <v>95</v>
      </c>
      <c r="E324" s="5" t="s">
        <v>42</v>
      </c>
      <c r="F324" s="5" t="s">
        <v>33</v>
      </c>
      <c r="G324" s="5" t="s">
        <v>5184</v>
      </c>
      <c r="H324" s="5" t="s">
        <v>34</v>
      </c>
      <c r="J324" s="12">
        <v>46027</v>
      </c>
      <c r="K324" s="11">
        <v>0</v>
      </c>
      <c r="M324" s="10" t="s">
        <v>14702</v>
      </c>
      <c r="N324" s="12">
        <v>46027.632265381944</v>
      </c>
      <c r="O324" s="10" t="s">
        <v>15560</v>
      </c>
      <c r="P324" s="5" t="s">
        <v>14571</v>
      </c>
      <c r="Q324" s="5" t="s">
        <v>14612</v>
      </c>
      <c r="R324" s="5" t="s">
        <v>15561</v>
      </c>
      <c r="T324" s="5" t="s">
        <v>14574</v>
      </c>
      <c r="U324" s="5" t="s">
        <v>33</v>
      </c>
      <c r="V324" s="5" t="s">
        <v>2636</v>
      </c>
      <c r="W324" s="5" t="s">
        <v>5185</v>
      </c>
    </row>
    <row r="325" spans="1:23" ht="12.5">
      <c r="A325" s="5">
        <v>90828</v>
      </c>
      <c r="B325" s="5" t="s">
        <v>15562</v>
      </c>
      <c r="C325" s="5">
        <v>573103837558</v>
      </c>
      <c r="D325" s="5" t="s">
        <v>14589</v>
      </c>
      <c r="E325" s="5" t="s">
        <v>5190</v>
      </c>
      <c r="F325" s="5" t="s">
        <v>1057</v>
      </c>
      <c r="G325" s="5" t="s">
        <v>5188</v>
      </c>
      <c r="H325" s="5" t="s">
        <v>5189</v>
      </c>
      <c r="I325" s="5">
        <v>3103837558</v>
      </c>
      <c r="J325" s="12">
        <v>46027</v>
      </c>
      <c r="K325" s="11">
        <v>0.70833333333212067</v>
      </c>
      <c r="M325" s="10" t="s">
        <v>15563</v>
      </c>
      <c r="N325" s="12">
        <v>46027.616031365746</v>
      </c>
      <c r="O325" s="10" t="s">
        <v>14825</v>
      </c>
      <c r="P325" s="5" t="s">
        <v>14571</v>
      </c>
      <c r="Q325" s="5" t="s">
        <v>14612</v>
      </c>
      <c r="R325" s="5" t="s">
        <v>15564</v>
      </c>
      <c r="T325" s="5" t="s">
        <v>5994</v>
      </c>
      <c r="U325" s="5" t="s">
        <v>14580</v>
      </c>
      <c r="V325" s="5" t="s">
        <v>83</v>
      </c>
    </row>
    <row r="326" spans="1:23" ht="12.5">
      <c r="A326" s="5">
        <v>90829</v>
      </c>
      <c r="B326" s="5" t="s">
        <v>4841</v>
      </c>
      <c r="C326" s="10" t="s">
        <v>14751</v>
      </c>
      <c r="D326" s="5">
        <v>95</v>
      </c>
      <c r="E326" s="5" t="s">
        <v>42</v>
      </c>
      <c r="F326" s="5" t="s">
        <v>33</v>
      </c>
      <c r="G326" s="5" t="s">
        <v>4841</v>
      </c>
      <c r="H326" s="5" t="s">
        <v>34</v>
      </c>
      <c r="I326" s="5">
        <v>3004917332</v>
      </c>
      <c r="J326" s="12">
        <v>46027</v>
      </c>
      <c r="K326" s="11">
        <v>0</v>
      </c>
      <c r="M326" s="10" t="s">
        <v>15565</v>
      </c>
      <c r="N326" s="12">
        <v>46027</v>
      </c>
      <c r="O326" s="10" t="s">
        <v>15228</v>
      </c>
      <c r="P326" s="5" t="s">
        <v>14571</v>
      </c>
      <c r="Q326" s="5" t="s">
        <v>14612</v>
      </c>
      <c r="R326" s="5" t="s">
        <v>15566</v>
      </c>
      <c r="T326" s="5" t="s">
        <v>14574</v>
      </c>
      <c r="U326" s="5" t="s">
        <v>33</v>
      </c>
      <c r="V326" s="5" t="s">
        <v>196</v>
      </c>
      <c r="W326" s="5" t="s">
        <v>5193</v>
      </c>
    </row>
    <row r="327" spans="1:23" ht="12.5">
      <c r="A327" s="5">
        <v>90830</v>
      </c>
      <c r="B327" s="5" t="s">
        <v>15567</v>
      </c>
      <c r="C327" s="10" t="s">
        <v>15568</v>
      </c>
      <c r="D327" s="5">
        <v>52</v>
      </c>
      <c r="E327" s="5" t="s">
        <v>178</v>
      </c>
      <c r="F327" s="5" t="s">
        <v>5195</v>
      </c>
      <c r="G327" s="5" t="s">
        <v>2915</v>
      </c>
      <c r="H327" s="5" t="s">
        <v>648</v>
      </c>
      <c r="I327" s="5">
        <v>3046274764</v>
      </c>
      <c r="J327" s="12">
        <v>46030</v>
      </c>
      <c r="K327" s="11">
        <v>0.75</v>
      </c>
      <c r="M327" s="10" t="s">
        <v>15569</v>
      </c>
      <c r="N327" s="12">
        <v>46027</v>
      </c>
      <c r="O327" s="10" t="s">
        <v>15570</v>
      </c>
      <c r="P327" s="5" t="s">
        <v>14571</v>
      </c>
      <c r="Q327" s="5" t="s">
        <v>14612</v>
      </c>
      <c r="R327" s="5" t="s">
        <v>15571</v>
      </c>
      <c r="T327" s="5" t="s">
        <v>5994</v>
      </c>
      <c r="U327" s="5" t="s">
        <v>14580</v>
      </c>
      <c r="V327" s="5" t="s">
        <v>83</v>
      </c>
      <c r="W327" s="5" t="s">
        <v>5198</v>
      </c>
    </row>
    <row r="328" spans="1:23" ht="12.5">
      <c r="A328" s="5">
        <v>90831</v>
      </c>
      <c r="B328" s="5" t="s">
        <v>15572</v>
      </c>
      <c r="C328" s="5">
        <v>573016321485</v>
      </c>
      <c r="D328" s="5">
        <v>5</v>
      </c>
      <c r="E328" s="5" t="s">
        <v>3111</v>
      </c>
      <c r="F328" s="5" t="s">
        <v>110</v>
      </c>
      <c r="G328" s="5" t="s">
        <v>5201</v>
      </c>
      <c r="H328" s="5" t="s">
        <v>5202</v>
      </c>
      <c r="I328" s="5">
        <v>3003548089</v>
      </c>
      <c r="J328" s="12">
        <v>46027</v>
      </c>
      <c r="K328" s="11">
        <v>0.75</v>
      </c>
      <c r="M328" s="10" t="s">
        <v>15573</v>
      </c>
      <c r="N328" s="12">
        <v>46027.745214826384</v>
      </c>
      <c r="O328" s="10" t="s">
        <v>15347</v>
      </c>
      <c r="P328" s="5" t="s">
        <v>14571</v>
      </c>
      <c r="Q328" s="5" t="s">
        <v>14612</v>
      </c>
      <c r="R328" s="5" t="s">
        <v>15574</v>
      </c>
      <c r="T328" s="5" t="s">
        <v>5994</v>
      </c>
      <c r="U328" s="5" t="s">
        <v>14593</v>
      </c>
      <c r="V328" s="5" t="s">
        <v>67</v>
      </c>
    </row>
    <row r="329" spans="1:23" ht="12.5">
      <c r="A329" s="5">
        <v>90832</v>
      </c>
      <c r="B329" s="5" t="s">
        <v>5206</v>
      </c>
      <c r="C329" s="5">
        <v>573002381311</v>
      </c>
      <c r="D329" s="5">
        <v>95</v>
      </c>
      <c r="E329" s="5" t="s">
        <v>42</v>
      </c>
      <c r="F329" s="5" t="s">
        <v>33</v>
      </c>
      <c r="G329" s="5" t="s">
        <v>5206</v>
      </c>
      <c r="H329" s="5" t="s">
        <v>34</v>
      </c>
      <c r="I329" s="5" t="s">
        <v>5207</v>
      </c>
      <c r="J329" s="12">
        <v>46027</v>
      </c>
      <c r="K329" s="11">
        <v>0</v>
      </c>
      <c r="M329" s="10" t="s">
        <v>14800</v>
      </c>
      <c r="N329" s="12">
        <v>46027.764914085652</v>
      </c>
      <c r="O329" s="10" t="s">
        <v>15575</v>
      </c>
      <c r="P329" s="5" t="s">
        <v>14571</v>
      </c>
      <c r="Q329" s="5" t="s">
        <v>14612</v>
      </c>
      <c r="R329" s="5" t="s">
        <v>15576</v>
      </c>
      <c r="T329" s="5" t="s">
        <v>14574</v>
      </c>
      <c r="U329" s="5" t="s">
        <v>33</v>
      </c>
      <c r="V329" s="5" t="s">
        <v>83</v>
      </c>
      <c r="W329" s="5" t="s">
        <v>1286</v>
      </c>
    </row>
    <row r="330" spans="1:23" ht="12.5">
      <c r="A330" s="5">
        <v>90833</v>
      </c>
      <c r="B330" s="5" t="s">
        <v>5208</v>
      </c>
      <c r="C330" s="5">
        <v>573043777605</v>
      </c>
      <c r="D330" s="5">
        <v>29</v>
      </c>
      <c r="E330" s="5" t="s">
        <v>309</v>
      </c>
      <c r="F330" s="5" t="s">
        <v>33</v>
      </c>
      <c r="G330" s="5" t="s">
        <v>5208</v>
      </c>
      <c r="H330" s="5" t="s">
        <v>34</v>
      </c>
      <c r="I330" s="5">
        <v>3043777605</v>
      </c>
      <c r="J330" s="12">
        <v>46028</v>
      </c>
      <c r="K330" s="11">
        <v>0.33333333333212067</v>
      </c>
      <c r="M330" s="10" t="s">
        <v>14585</v>
      </c>
      <c r="N330" s="12">
        <v>46028.310841840277</v>
      </c>
      <c r="O330" s="10" t="s">
        <v>15577</v>
      </c>
      <c r="P330" s="5" t="s">
        <v>14571</v>
      </c>
      <c r="Q330" s="5" t="s">
        <v>14572</v>
      </c>
      <c r="R330" s="5" t="s">
        <v>15578</v>
      </c>
      <c r="T330" s="5" t="s">
        <v>14574</v>
      </c>
      <c r="U330" s="5" t="s">
        <v>33</v>
      </c>
      <c r="V330" s="5" t="s">
        <v>43</v>
      </c>
      <c r="W330" s="5" t="s">
        <v>5209</v>
      </c>
    </row>
    <row r="331" spans="1:23" ht="12.5">
      <c r="A331" s="5">
        <v>90834</v>
      </c>
      <c r="B331" s="5" t="s">
        <v>15579</v>
      </c>
      <c r="C331" s="5">
        <v>5712398497780</v>
      </c>
      <c r="D331" s="5">
        <v>39</v>
      </c>
      <c r="E331" s="5" t="s">
        <v>96</v>
      </c>
      <c r="F331" s="5" t="s">
        <v>1047</v>
      </c>
      <c r="G331" s="5" t="s">
        <v>5210</v>
      </c>
      <c r="H331" s="5" t="s">
        <v>5211</v>
      </c>
      <c r="I331" s="5"/>
      <c r="J331" s="12">
        <v>46028</v>
      </c>
      <c r="K331" s="11">
        <v>0.41666666666787933</v>
      </c>
      <c r="M331" s="10" t="s">
        <v>14953</v>
      </c>
      <c r="N331" s="12">
        <v>46028.344842199076</v>
      </c>
      <c r="O331" s="10" t="s">
        <v>15580</v>
      </c>
      <c r="P331" s="5" t="s">
        <v>14571</v>
      </c>
      <c r="Q331" s="5" t="s">
        <v>14572</v>
      </c>
      <c r="R331" s="5" t="s">
        <v>15581</v>
      </c>
      <c r="T331" s="5" t="s">
        <v>5994</v>
      </c>
      <c r="U331" s="5" t="s">
        <v>14580</v>
      </c>
      <c r="V331" s="5" t="s">
        <v>67</v>
      </c>
    </row>
    <row r="332" spans="1:23" ht="12.5">
      <c r="A332" s="5">
        <v>90835</v>
      </c>
      <c r="B332" s="5" t="s">
        <v>3526</v>
      </c>
      <c r="C332" s="5">
        <v>573174289182</v>
      </c>
      <c r="D332" s="5">
        <v>95</v>
      </c>
      <c r="E332" s="5" t="s">
        <v>42</v>
      </c>
      <c r="G332" s="5" t="s">
        <v>3526</v>
      </c>
      <c r="H332" s="5" t="s">
        <v>5213</v>
      </c>
      <c r="J332" s="12">
        <v>46028</v>
      </c>
      <c r="K332" s="11">
        <v>0.375</v>
      </c>
      <c r="M332" s="10" t="s">
        <v>15582</v>
      </c>
      <c r="N332" s="12">
        <v>46028.348081273143</v>
      </c>
      <c r="O332" s="10" t="s">
        <v>15583</v>
      </c>
      <c r="P332" s="5" t="s">
        <v>14571</v>
      </c>
      <c r="Q332" s="5" t="s">
        <v>14572</v>
      </c>
      <c r="R332" s="5" t="s">
        <v>15584</v>
      </c>
      <c r="T332" s="5" t="s">
        <v>5994</v>
      </c>
      <c r="V332" s="5" t="s">
        <v>67</v>
      </c>
      <c r="W332" s="5" t="s">
        <v>5214</v>
      </c>
    </row>
    <row r="333" spans="1:23" ht="12.5">
      <c r="A333" s="5">
        <v>90836</v>
      </c>
      <c r="B333" s="5" t="s">
        <v>7323</v>
      </c>
      <c r="C333" s="5">
        <v>573022203516</v>
      </c>
      <c r="D333" s="5">
        <v>95</v>
      </c>
      <c r="E333" s="5" t="s">
        <v>42</v>
      </c>
      <c r="F333" s="5" t="s">
        <v>161</v>
      </c>
      <c r="G333" s="5" t="s">
        <v>5217</v>
      </c>
      <c r="H333" s="5" t="s">
        <v>5218</v>
      </c>
      <c r="I333" s="5">
        <v>3022203516</v>
      </c>
      <c r="J333" s="12">
        <v>46028</v>
      </c>
      <c r="K333" s="11">
        <v>0</v>
      </c>
      <c r="M333" s="10" t="s">
        <v>15585</v>
      </c>
      <c r="N333" s="12">
        <v>46028.375206215278</v>
      </c>
      <c r="O333" s="10" t="s">
        <v>15180</v>
      </c>
      <c r="P333" s="5" t="s">
        <v>14571</v>
      </c>
      <c r="Q333" s="5" t="s">
        <v>14612</v>
      </c>
      <c r="R333" s="5" t="s">
        <v>15586</v>
      </c>
      <c r="T333" s="5" t="s">
        <v>5994</v>
      </c>
      <c r="U333" s="5" t="s">
        <v>14593</v>
      </c>
      <c r="V333" s="5" t="s">
        <v>67</v>
      </c>
      <c r="W333" s="5" t="s">
        <v>5219</v>
      </c>
    </row>
    <row r="334" spans="1:23" ht="12.5">
      <c r="A334" s="5">
        <v>90837</v>
      </c>
      <c r="B334" s="5" t="s">
        <v>15587</v>
      </c>
      <c r="C334" s="5">
        <v>34687005253</v>
      </c>
      <c r="D334" s="5">
        <v>14</v>
      </c>
      <c r="E334" s="5" t="s">
        <v>1393</v>
      </c>
      <c r="F334" s="5" t="s">
        <v>103</v>
      </c>
      <c r="G334" s="5" t="s">
        <v>5222</v>
      </c>
      <c r="H334" s="5" t="s">
        <v>5223</v>
      </c>
      <c r="I334" s="5">
        <v>3004456745</v>
      </c>
      <c r="J334" s="12">
        <v>46028</v>
      </c>
      <c r="K334" s="11">
        <v>0</v>
      </c>
      <c r="M334" s="10" t="s">
        <v>15588</v>
      </c>
      <c r="N334" s="12">
        <v>46028.36832804398</v>
      </c>
      <c r="O334" s="10" t="s">
        <v>15589</v>
      </c>
      <c r="P334" s="5" t="s">
        <v>14571</v>
      </c>
      <c r="Q334" s="5" t="s">
        <v>14612</v>
      </c>
      <c r="R334" s="5" t="s">
        <v>15590</v>
      </c>
      <c r="T334" s="5" t="s">
        <v>5994</v>
      </c>
      <c r="U334" s="5" t="s">
        <v>14593</v>
      </c>
      <c r="V334" s="5" t="s">
        <v>83</v>
      </c>
    </row>
    <row r="335" spans="1:23" ht="12.5">
      <c r="A335" s="5">
        <v>90838</v>
      </c>
      <c r="B335" s="5" t="s">
        <v>15591</v>
      </c>
      <c r="C335" s="5">
        <v>573205732265</v>
      </c>
      <c r="D335" s="5">
        <v>68</v>
      </c>
      <c r="E335" s="5" t="s">
        <v>361</v>
      </c>
      <c r="F335" s="5" t="s">
        <v>249</v>
      </c>
      <c r="G335" s="5" t="s">
        <v>5228</v>
      </c>
      <c r="H335" s="5" t="s">
        <v>5229</v>
      </c>
      <c r="I335" s="5">
        <v>3205732265</v>
      </c>
      <c r="J335" s="12">
        <v>46028</v>
      </c>
      <c r="K335" s="11">
        <v>0.41666666666787933</v>
      </c>
      <c r="M335" s="10" t="s">
        <v>14777</v>
      </c>
      <c r="N335" s="12">
        <v>46028.381753136578</v>
      </c>
      <c r="O335" s="10" t="s">
        <v>15592</v>
      </c>
      <c r="P335" s="5" t="s">
        <v>14571</v>
      </c>
      <c r="Q335" s="5" t="s">
        <v>14572</v>
      </c>
      <c r="R335" s="5" t="s">
        <v>15593</v>
      </c>
      <c r="T335" s="5" t="s">
        <v>5994</v>
      </c>
      <c r="U335" s="5" t="s">
        <v>14593</v>
      </c>
      <c r="V335" s="5" t="s">
        <v>204</v>
      </c>
    </row>
    <row r="336" spans="1:23" ht="12.5">
      <c r="A336" s="5">
        <v>90839</v>
      </c>
      <c r="B336" s="5" t="s">
        <v>5232</v>
      </c>
      <c r="C336" s="5">
        <v>573015571696</v>
      </c>
      <c r="D336" s="5">
        <v>58</v>
      </c>
      <c r="E336" s="5" t="s">
        <v>57</v>
      </c>
      <c r="F336" s="5" t="s">
        <v>33</v>
      </c>
      <c r="G336" s="5" t="s">
        <v>5232</v>
      </c>
      <c r="H336" s="5" t="s">
        <v>34</v>
      </c>
      <c r="I336" s="5">
        <v>3015571696</v>
      </c>
      <c r="J336" s="12">
        <v>46028</v>
      </c>
      <c r="K336" s="11">
        <v>0.41666666666787933</v>
      </c>
      <c r="M336" s="10" t="s">
        <v>15594</v>
      </c>
      <c r="N336" s="12">
        <v>46028.390629479167</v>
      </c>
      <c r="O336" s="10" t="s">
        <v>15595</v>
      </c>
      <c r="P336" s="5" t="s">
        <v>14571</v>
      </c>
      <c r="Q336" s="5" t="s">
        <v>14572</v>
      </c>
      <c r="R336" s="5" t="s">
        <v>15596</v>
      </c>
      <c r="T336" s="5" t="s">
        <v>14574</v>
      </c>
      <c r="U336" s="5" t="s">
        <v>33</v>
      </c>
      <c r="V336" s="5" t="s">
        <v>43</v>
      </c>
      <c r="W336" s="5" t="s">
        <v>5234</v>
      </c>
    </row>
    <row r="337" spans="1:23" ht="12.5">
      <c r="A337" s="5">
        <v>90840</v>
      </c>
      <c r="B337" s="5" t="s">
        <v>5237</v>
      </c>
      <c r="C337" s="5">
        <v>573107210591</v>
      </c>
      <c r="D337" s="5">
        <v>95</v>
      </c>
      <c r="E337" s="5" t="s">
        <v>42</v>
      </c>
      <c r="F337" s="5" t="s">
        <v>33</v>
      </c>
      <c r="G337" s="5" t="s">
        <v>5237</v>
      </c>
      <c r="H337" s="5" t="s">
        <v>34</v>
      </c>
      <c r="I337" s="5">
        <v>3107210591</v>
      </c>
      <c r="J337" s="12">
        <v>46036</v>
      </c>
      <c r="K337" s="11">
        <v>0.35416666666787933</v>
      </c>
      <c r="M337" s="10" t="s">
        <v>14712</v>
      </c>
      <c r="N337" s="12">
        <v>46028.401340393517</v>
      </c>
      <c r="O337" s="10" t="s">
        <v>15597</v>
      </c>
      <c r="P337" s="5" t="s">
        <v>14571</v>
      </c>
      <c r="Q337" s="5" t="s">
        <v>14572</v>
      </c>
      <c r="R337" s="5" t="s">
        <v>15598</v>
      </c>
      <c r="T337" s="5" t="s">
        <v>14574</v>
      </c>
      <c r="U337" s="5" t="s">
        <v>33</v>
      </c>
      <c r="V337" s="5" t="s">
        <v>67</v>
      </c>
      <c r="W337" s="5" t="s">
        <v>5238</v>
      </c>
    </row>
    <row r="338" spans="1:23" ht="12.5">
      <c r="A338" s="5">
        <v>90841</v>
      </c>
      <c r="B338" s="5" t="s">
        <v>15599</v>
      </c>
      <c r="C338" s="5">
        <v>573136301106</v>
      </c>
      <c r="D338" s="5">
        <v>79</v>
      </c>
      <c r="E338" s="5" t="s">
        <v>2059</v>
      </c>
      <c r="F338" s="5" t="s">
        <v>4403</v>
      </c>
      <c r="G338" s="5" t="s">
        <v>5241</v>
      </c>
      <c r="H338" s="5" t="s">
        <v>5242</v>
      </c>
      <c r="J338" s="12">
        <v>46028</v>
      </c>
      <c r="K338" s="11">
        <v>0.47916666666787933</v>
      </c>
      <c r="M338" s="10" t="s">
        <v>15600</v>
      </c>
      <c r="N338" s="12">
        <v>46028.428417754629</v>
      </c>
      <c r="O338" s="10" t="s">
        <v>15498</v>
      </c>
      <c r="P338" s="5" t="s">
        <v>14571</v>
      </c>
      <c r="Q338" s="5" t="s">
        <v>14572</v>
      </c>
      <c r="R338" s="5" t="s">
        <v>15601</v>
      </c>
      <c r="T338" s="5" t="s">
        <v>5994</v>
      </c>
      <c r="U338" s="5" t="s">
        <v>14598</v>
      </c>
      <c r="V338" s="5" t="s">
        <v>43</v>
      </c>
    </row>
    <row r="339" spans="1:23" ht="12.5">
      <c r="A339" s="5">
        <v>90842</v>
      </c>
      <c r="B339" s="5" t="s">
        <v>15602</v>
      </c>
      <c r="C339" s="5">
        <v>573176805343</v>
      </c>
      <c r="D339" s="5">
        <v>45</v>
      </c>
      <c r="E339" s="5" t="s">
        <v>210</v>
      </c>
      <c r="F339" s="5" t="s">
        <v>33</v>
      </c>
      <c r="G339" s="5" t="s">
        <v>5247</v>
      </c>
      <c r="H339" s="5" t="s">
        <v>34</v>
      </c>
      <c r="I339" s="5">
        <v>3013893660</v>
      </c>
      <c r="J339" s="12">
        <v>46028</v>
      </c>
      <c r="K339" s="11">
        <v>0</v>
      </c>
      <c r="M339" s="10" t="s">
        <v>14646</v>
      </c>
      <c r="N339" s="12">
        <v>46028.43560704861</v>
      </c>
      <c r="O339" s="10" t="s">
        <v>15083</v>
      </c>
      <c r="P339" s="5" t="s">
        <v>14571</v>
      </c>
      <c r="Q339" s="5" t="s">
        <v>14699</v>
      </c>
      <c r="R339" s="5"/>
      <c r="T339" s="5" t="s">
        <v>14574</v>
      </c>
      <c r="U339" s="5" t="s">
        <v>33</v>
      </c>
      <c r="V339" s="5" t="s">
        <v>2636</v>
      </c>
    </row>
    <row r="340" spans="1:23" ht="12.5">
      <c r="A340" s="5">
        <v>90843</v>
      </c>
      <c r="B340" s="5" t="s">
        <v>15014</v>
      </c>
      <c r="C340" s="5">
        <v>573007682024</v>
      </c>
      <c r="D340" s="5" t="s">
        <v>14589</v>
      </c>
      <c r="E340" s="5" t="s">
        <v>5252</v>
      </c>
      <c r="F340" s="5" t="s">
        <v>1815</v>
      </c>
      <c r="G340" s="5" t="s">
        <v>5250</v>
      </c>
      <c r="H340" s="5" t="s">
        <v>5251</v>
      </c>
      <c r="J340" s="12">
        <v>46028</v>
      </c>
      <c r="K340" s="11">
        <v>0.625</v>
      </c>
      <c r="M340" s="10" t="s">
        <v>15603</v>
      </c>
      <c r="N340" s="12">
        <v>46028.472421516199</v>
      </c>
      <c r="O340" s="10" t="s">
        <v>15079</v>
      </c>
      <c r="P340" s="5" t="s">
        <v>14571</v>
      </c>
      <c r="Q340" s="5" t="s">
        <v>14572</v>
      </c>
      <c r="R340" s="5" t="s">
        <v>15604</v>
      </c>
      <c r="T340" s="5" t="s">
        <v>5994</v>
      </c>
      <c r="U340" s="5" t="s">
        <v>14580</v>
      </c>
      <c r="V340" s="5" t="s">
        <v>43</v>
      </c>
    </row>
    <row r="341" spans="1:23" ht="12.5">
      <c r="A341" s="5">
        <v>90844</v>
      </c>
      <c r="B341" s="5" t="s">
        <v>15605</v>
      </c>
      <c r="C341" s="5">
        <v>573008368606</v>
      </c>
      <c r="D341" s="5">
        <v>41</v>
      </c>
      <c r="E341" s="5" t="s">
        <v>89</v>
      </c>
      <c r="F341" s="5" t="s">
        <v>783</v>
      </c>
      <c r="G341" s="5" t="s">
        <v>5253</v>
      </c>
      <c r="H341" s="5" t="s">
        <v>5254</v>
      </c>
      <c r="I341" s="5">
        <v>3205212928</v>
      </c>
      <c r="J341" s="12">
        <v>46028</v>
      </c>
      <c r="K341" s="11">
        <v>2.4305555554747116E-2</v>
      </c>
      <c r="M341" s="10" t="s">
        <v>15356</v>
      </c>
      <c r="N341" s="12">
        <v>46028.453955682868</v>
      </c>
      <c r="O341" s="10" t="s">
        <v>15290</v>
      </c>
      <c r="P341" s="5" t="s">
        <v>14571</v>
      </c>
      <c r="Q341" s="5" t="s">
        <v>14578</v>
      </c>
      <c r="R341" s="5" t="s">
        <v>15606</v>
      </c>
      <c r="T341" s="5" t="s">
        <v>5994</v>
      </c>
      <c r="U341" s="5"/>
      <c r="V341" s="5" t="s">
        <v>180</v>
      </c>
      <c r="W341" s="5" t="s">
        <v>5257</v>
      </c>
    </row>
    <row r="342" spans="1:23" ht="12.5">
      <c r="A342" s="5">
        <v>90845</v>
      </c>
      <c r="B342" s="5" t="s">
        <v>8402</v>
      </c>
      <c r="C342" s="5" t="s">
        <v>5258</v>
      </c>
      <c r="D342" s="5">
        <v>65</v>
      </c>
      <c r="E342" s="5" t="s">
        <v>322</v>
      </c>
      <c r="F342" s="5" t="s">
        <v>265</v>
      </c>
      <c r="G342" s="5" t="s">
        <v>5259</v>
      </c>
      <c r="H342" s="5" t="s">
        <v>5260</v>
      </c>
      <c r="I342" s="5">
        <v>3150494996</v>
      </c>
      <c r="J342" s="12">
        <v>46028</v>
      </c>
      <c r="K342" s="11">
        <v>0.55694444444452529</v>
      </c>
      <c r="M342" s="10" t="s">
        <v>15157</v>
      </c>
      <c r="N342" s="12">
        <v>46028.496348182874</v>
      </c>
      <c r="O342" s="10" t="s">
        <v>14971</v>
      </c>
      <c r="P342" s="5" t="s">
        <v>14571</v>
      </c>
      <c r="Q342" s="5" t="s">
        <v>14578</v>
      </c>
      <c r="R342" s="5" t="s">
        <v>15607</v>
      </c>
      <c r="T342" s="5" t="s">
        <v>5994</v>
      </c>
      <c r="U342" s="5" t="s">
        <v>14691</v>
      </c>
      <c r="V342" s="5" t="s">
        <v>67</v>
      </c>
    </row>
    <row r="343" spans="1:23" ht="12.5">
      <c r="A343" s="5">
        <v>90846</v>
      </c>
      <c r="B343" s="5" t="s">
        <v>5264</v>
      </c>
      <c r="C343" s="10" t="s">
        <v>15608</v>
      </c>
      <c r="D343" s="5">
        <v>45</v>
      </c>
      <c r="E343" s="5" t="s">
        <v>210</v>
      </c>
      <c r="F343" s="5" t="s">
        <v>33</v>
      </c>
      <c r="G343" s="5" t="s">
        <v>5264</v>
      </c>
      <c r="H343" s="5" t="s">
        <v>34</v>
      </c>
      <c r="I343" s="5">
        <v>3205580868</v>
      </c>
      <c r="J343" s="12">
        <v>46028</v>
      </c>
      <c r="K343" s="11">
        <v>0.70833333333333337</v>
      </c>
      <c r="M343" s="10" t="s">
        <v>14646</v>
      </c>
      <c r="N343" s="12">
        <v>46028</v>
      </c>
      <c r="O343" s="10" t="s">
        <v>15609</v>
      </c>
      <c r="P343" s="5" t="s">
        <v>14571</v>
      </c>
      <c r="Q343" s="5" t="s">
        <v>14572</v>
      </c>
      <c r="R343" s="5" t="s">
        <v>15610</v>
      </c>
      <c r="T343" s="5" t="s">
        <v>14574</v>
      </c>
      <c r="U343" s="5" t="s">
        <v>33</v>
      </c>
      <c r="V343" s="5" t="s">
        <v>2636</v>
      </c>
    </row>
    <row r="344" spans="1:23" ht="12.5">
      <c r="A344" s="5">
        <v>90847</v>
      </c>
      <c r="B344" s="5" t="s">
        <v>15611</v>
      </c>
      <c r="C344" s="5">
        <v>573012502182</v>
      </c>
      <c r="D344" s="5">
        <v>65</v>
      </c>
      <c r="E344" s="5" t="s">
        <v>322</v>
      </c>
      <c r="F344" s="5" t="s">
        <v>5268</v>
      </c>
      <c r="G344" s="5" t="s">
        <v>3174</v>
      </c>
      <c r="H344" s="5" t="s">
        <v>5269</v>
      </c>
      <c r="I344" s="5" t="s">
        <v>5270</v>
      </c>
      <c r="J344" s="12">
        <v>46028</v>
      </c>
      <c r="K344" s="11">
        <v>0.58333333333212067</v>
      </c>
      <c r="M344" s="10" t="s">
        <v>15612</v>
      </c>
      <c r="N344" s="12">
        <v>46028.501626400466</v>
      </c>
      <c r="O344" s="10" t="s">
        <v>15613</v>
      </c>
      <c r="P344" s="5" t="s">
        <v>14571</v>
      </c>
      <c r="Q344" s="5" t="s">
        <v>14578</v>
      </c>
      <c r="R344" s="5" t="s">
        <v>15614</v>
      </c>
      <c r="T344" s="5" t="s">
        <v>5994</v>
      </c>
      <c r="U344" s="5"/>
      <c r="V344" s="5" t="s">
        <v>67</v>
      </c>
      <c r="W344" s="5" t="s">
        <v>5272</v>
      </c>
    </row>
    <row r="345" spans="1:23" ht="12.5">
      <c r="A345" s="5">
        <v>90848</v>
      </c>
      <c r="B345" s="5" t="s">
        <v>5274</v>
      </c>
      <c r="C345" s="5">
        <v>573017336288</v>
      </c>
      <c r="D345" s="5">
        <v>12</v>
      </c>
      <c r="E345" s="5" t="s">
        <v>239</v>
      </c>
      <c r="F345" s="5" t="s">
        <v>33</v>
      </c>
      <c r="G345" s="5" t="s">
        <v>5274</v>
      </c>
      <c r="H345" s="5" t="s">
        <v>34</v>
      </c>
      <c r="I345" s="5">
        <v>3017336288</v>
      </c>
      <c r="J345" s="12">
        <v>46028</v>
      </c>
      <c r="K345" s="11">
        <v>0.625</v>
      </c>
      <c r="M345" s="10" t="s">
        <v>15615</v>
      </c>
      <c r="N345" s="12">
        <v>46028.527796400464</v>
      </c>
      <c r="O345" s="10" t="s">
        <v>15616</v>
      </c>
      <c r="P345" s="5" t="s">
        <v>14571</v>
      </c>
      <c r="Q345" s="5" t="s">
        <v>14612</v>
      </c>
      <c r="R345" s="5" t="s">
        <v>15617</v>
      </c>
      <c r="T345" s="5" t="s">
        <v>14574</v>
      </c>
      <c r="U345" s="5" t="s">
        <v>33</v>
      </c>
      <c r="V345" s="5" t="s">
        <v>2636</v>
      </c>
    </row>
    <row r="346" spans="1:23" ht="12.5">
      <c r="A346" s="5">
        <v>90849</v>
      </c>
      <c r="B346" s="5" t="s">
        <v>15618</v>
      </c>
      <c r="C346" s="5">
        <v>13172051941</v>
      </c>
      <c r="D346" s="5">
        <v>41</v>
      </c>
      <c r="E346" s="5" t="s">
        <v>89</v>
      </c>
      <c r="F346" s="5" t="s">
        <v>1187</v>
      </c>
      <c r="G346" s="5" t="s">
        <v>5278</v>
      </c>
      <c r="H346" s="5" t="s">
        <v>5279</v>
      </c>
      <c r="I346" s="5"/>
      <c r="J346" s="12">
        <v>46028</v>
      </c>
      <c r="K346" s="11">
        <v>0.375</v>
      </c>
      <c r="M346" s="10" t="s">
        <v>15619</v>
      </c>
      <c r="N346" s="12">
        <v>46027.872135046295</v>
      </c>
      <c r="O346" s="10" t="s">
        <v>15620</v>
      </c>
      <c r="P346" s="5" t="s">
        <v>14571</v>
      </c>
      <c r="Q346" s="5" t="s">
        <v>14578</v>
      </c>
      <c r="R346" s="5" t="s">
        <v>15621</v>
      </c>
      <c r="T346" s="5" t="s">
        <v>5994</v>
      </c>
      <c r="U346" s="5"/>
      <c r="V346" s="5" t="s">
        <v>3754</v>
      </c>
      <c r="W346" s="5" t="s">
        <v>5282</v>
      </c>
    </row>
    <row r="347" spans="1:23" ht="12.5">
      <c r="A347" s="5">
        <v>90850</v>
      </c>
      <c r="B347" s="5" t="s">
        <v>15622</v>
      </c>
      <c r="C347" s="5">
        <v>50769217679</v>
      </c>
      <c r="D347" s="5">
        <v>45</v>
      </c>
      <c r="E347" s="5" t="s">
        <v>210</v>
      </c>
      <c r="F347" s="5" t="s">
        <v>73</v>
      </c>
      <c r="G347" s="5" t="s">
        <v>5284</v>
      </c>
      <c r="H347" s="5" t="s">
        <v>5285</v>
      </c>
      <c r="I347" s="5"/>
      <c r="J347" s="12">
        <v>46028</v>
      </c>
      <c r="K347" s="11">
        <v>0.375</v>
      </c>
      <c r="M347" s="10" t="s">
        <v>15623</v>
      </c>
      <c r="N347" s="12">
        <v>46028.538123240738</v>
      </c>
      <c r="O347" s="10" t="s">
        <v>14731</v>
      </c>
      <c r="P347" s="5" t="s">
        <v>14571</v>
      </c>
      <c r="Q347" s="5" t="s">
        <v>14572</v>
      </c>
      <c r="R347" s="5" t="s">
        <v>15624</v>
      </c>
      <c r="T347" s="5" t="s">
        <v>5994</v>
      </c>
      <c r="U347" s="5" t="s">
        <v>14593</v>
      </c>
      <c r="V347" s="5" t="s">
        <v>67</v>
      </c>
    </row>
    <row r="348" spans="1:23" ht="12.5">
      <c r="A348" s="5">
        <v>90851</v>
      </c>
      <c r="B348" s="5" t="s">
        <v>5289</v>
      </c>
      <c r="C348" s="5">
        <v>573157400580</v>
      </c>
      <c r="D348" s="5">
        <v>5</v>
      </c>
      <c r="E348" s="5" t="s">
        <v>3111</v>
      </c>
      <c r="F348" s="5" t="s">
        <v>33</v>
      </c>
      <c r="G348" s="5" t="s">
        <v>5289</v>
      </c>
      <c r="H348" s="5" t="s">
        <v>34</v>
      </c>
      <c r="I348" s="5">
        <v>3157400580</v>
      </c>
      <c r="J348" s="12">
        <v>46032</v>
      </c>
      <c r="K348" s="11">
        <v>0.375</v>
      </c>
      <c r="M348" s="10" t="s">
        <v>15040</v>
      </c>
      <c r="N348" s="12">
        <v>46028.531904027783</v>
      </c>
      <c r="O348" s="10" t="s">
        <v>15625</v>
      </c>
      <c r="P348" s="5" t="s">
        <v>14571</v>
      </c>
      <c r="Q348" s="5" t="s">
        <v>14578</v>
      </c>
      <c r="R348" s="5" t="s">
        <v>15626</v>
      </c>
      <c r="T348" s="5" t="s">
        <v>14574</v>
      </c>
      <c r="U348" s="5" t="s">
        <v>33</v>
      </c>
      <c r="V348" s="5" t="s">
        <v>67</v>
      </c>
    </row>
    <row r="349" spans="1:23" ht="12.5">
      <c r="A349" s="5">
        <v>90852</v>
      </c>
      <c r="B349" s="5" t="s">
        <v>15627</v>
      </c>
      <c r="C349" s="5">
        <v>13473592505</v>
      </c>
      <c r="D349" s="5">
        <v>51</v>
      </c>
      <c r="E349" s="5" t="s">
        <v>384</v>
      </c>
      <c r="F349" s="5" t="s">
        <v>726</v>
      </c>
      <c r="G349" s="5" t="s">
        <v>5291</v>
      </c>
      <c r="H349" s="5" t="s">
        <v>5292</v>
      </c>
      <c r="J349" s="12">
        <v>46029</v>
      </c>
      <c r="K349" s="11">
        <v>0.375</v>
      </c>
      <c r="M349" s="10" t="s">
        <v>15628</v>
      </c>
      <c r="N349" s="12">
        <v>46027.790069386574</v>
      </c>
      <c r="O349" s="10" t="s">
        <v>15629</v>
      </c>
      <c r="P349" s="5" t="s">
        <v>14571</v>
      </c>
      <c r="Q349" s="5" t="s">
        <v>14572</v>
      </c>
      <c r="R349" s="5" t="s">
        <v>15630</v>
      </c>
      <c r="T349" s="5" t="s">
        <v>5994</v>
      </c>
      <c r="U349" s="5" t="s">
        <v>14618</v>
      </c>
      <c r="V349" s="5" t="s">
        <v>3754</v>
      </c>
      <c r="W349" s="5" t="s">
        <v>5293</v>
      </c>
    </row>
    <row r="350" spans="1:23" ht="12.5">
      <c r="A350" s="5">
        <v>90853</v>
      </c>
      <c r="B350" s="5" t="s">
        <v>15631</v>
      </c>
      <c r="C350" s="5">
        <v>573207878552</v>
      </c>
      <c r="D350" s="5">
        <v>95</v>
      </c>
      <c r="E350" s="5" t="s">
        <v>42</v>
      </c>
      <c r="F350" s="5" t="s">
        <v>1497</v>
      </c>
      <c r="G350" s="5" t="s">
        <v>5295</v>
      </c>
      <c r="H350" s="5" t="s">
        <v>5297</v>
      </c>
      <c r="I350" s="5">
        <v>3207878552</v>
      </c>
      <c r="J350" s="12">
        <v>46032</v>
      </c>
      <c r="K350" s="11">
        <v>0.375</v>
      </c>
      <c r="M350" s="10" t="s">
        <v>15632</v>
      </c>
      <c r="N350" s="12">
        <v>46028.570967951389</v>
      </c>
      <c r="O350" s="10" t="s">
        <v>15633</v>
      </c>
      <c r="P350" s="5" t="s">
        <v>14571</v>
      </c>
      <c r="Q350" s="5" t="s">
        <v>14572</v>
      </c>
      <c r="R350" s="5" t="s">
        <v>15634</v>
      </c>
      <c r="T350" s="5" t="s">
        <v>5994</v>
      </c>
      <c r="U350" s="5" t="s">
        <v>14593</v>
      </c>
      <c r="V350" s="5" t="s">
        <v>2438</v>
      </c>
    </row>
    <row r="351" spans="1:23" ht="12.5">
      <c r="A351" s="5">
        <v>90854</v>
      </c>
      <c r="B351" s="5" t="s">
        <v>15635</v>
      </c>
      <c r="C351" s="5">
        <v>573134508475</v>
      </c>
      <c r="D351" s="5">
        <v>24</v>
      </c>
      <c r="E351" s="5" t="s">
        <v>251</v>
      </c>
      <c r="F351" s="5" t="s">
        <v>103</v>
      </c>
      <c r="G351" s="5" t="s">
        <v>5302</v>
      </c>
      <c r="H351" s="5" t="s">
        <v>5303</v>
      </c>
      <c r="I351" s="5">
        <v>3134508475</v>
      </c>
      <c r="J351" s="12">
        <v>46028</v>
      </c>
      <c r="K351" s="11">
        <v>0</v>
      </c>
      <c r="M351" s="10" t="s">
        <v>14740</v>
      </c>
      <c r="N351" s="12">
        <v>46028.582351215278</v>
      </c>
      <c r="O351" s="10" t="s">
        <v>15636</v>
      </c>
      <c r="P351" s="5" t="s">
        <v>14571</v>
      </c>
      <c r="Q351" s="5" t="s">
        <v>14572</v>
      </c>
      <c r="R351" s="5" t="s">
        <v>15637</v>
      </c>
      <c r="T351" s="5" t="s">
        <v>5994</v>
      </c>
      <c r="U351" s="5" t="s">
        <v>14593</v>
      </c>
      <c r="V351" s="5" t="s">
        <v>1481</v>
      </c>
    </row>
    <row r="352" spans="1:23" ht="12.5">
      <c r="A352" s="5">
        <v>90855</v>
      </c>
      <c r="B352" s="5" t="s">
        <v>5307</v>
      </c>
      <c r="C352" s="10" t="s">
        <v>15638</v>
      </c>
      <c r="D352" s="5" t="s">
        <v>14589</v>
      </c>
      <c r="E352" s="5" t="s">
        <v>5308</v>
      </c>
      <c r="F352" s="5" t="s">
        <v>33</v>
      </c>
      <c r="G352" s="5" t="s">
        <v>5307</v>
      </c>
      <c r="H352" s="5" t="s">
        <v>34</v>
      </c>
      <c r="I352" s="5">
        <v>3014014408</v>
      </c>
      <c r="J352" s="12">
        <v>46030</v>
      </c>
      <c r="K352" s="11">
        <v>0.375</v>
      </c>
      <c r="M352" s="10" t="s">
        <v>14646</v>
      </c>
      <c r="N352" s="12">
        <v>46028</v>
      </c>
      <c r="O352" s="10" t="s">
        <v>15126</v>
      </c>
      <c r="P352" s="5" t="s">
        <v>14571</v>
      </c>
      <c r="Q352" s="5" t="s">
        <v>14572</v>
      </c>
      <c r="R352" s="5" t="s">
        <v>15639</v>
      </c>
      <c r="T352" s="5" t="s">
        <v>14574</v>
      </c>
      <c r="U352" s="5" t="s">
        <v>33</v>
      </c>
      <c r="V352" s="5" t="s">
        <v>83</v>
      </c>
      <c r="W352" s="5" t="s">
        <v>5311</v>
      </c>
    </row>
    <row r="353" spans="1:23" ht="12.5">
      <c r="A353" s="5">
        <v>90856</v>
      </c>
      <c r="B353" s="5" t="s">
        <v>5314</v>
      </c>
      <c r="C353" s="5">
        <v>573016911041</v>
      </c>
      <c r="D353" s="5">
        <v>52</v>
      </c>
      <c r="E353" s="5" t="s">
        <v>178</v>
      </c>
      <c r="F353" s="5" t="s">
        <v>33</v>
      </c>
      <c r="G353" s="5" t="s">
        <v>5314</v>
      </c>
      <c r="H353" s="5" t="s">
        <v>34</v>
      </c>
      <c r="I353" s="5">
        <v>3016911041</v>
      </c>
      <c r="J353" s="12">
        <v>46028</v>
      </c>
      <c r="K353" s="11">
        <v>0.125</v>
      </c>
      <c r="M353" s="10" t="s">
        <v>14705</v>
      </c>
      <c r="N353" s="12">
        <v>46028.596334317132</v>
      </c>
      <c r="O353" s="10" t="s">
        <v>14839</v>
      </c>
      <c r="P353" s="5" t="s">
        <v>14571</v>
      </c>
      <c r="Q353" s="5" t="s">
        <v>14572</v>
      </c>
      <c r="R353" s="5" t="s">
        <v>15640</v>
      </c>
      <c r="T353" s="5" t="s">
        <v>14574</v>
      </c>
      <c r="U353" s="5" t="s">
        <v>33</v>
      </c>
      <c r="V353" s="5" t="s">
        <v>43</v>
      </c>
      <c r="W353" s="5" t="s">
        <v>5315</v>
      </c>
    </row>
    <row r="354" spans="1:23" ht="12.5">
      <c r="A354" s="5">
        <v>90857</v>
      </c>
      <c r="B354" s="5" t="s">
        <v>5318</v>
      </c>
      <c r="C354" s="10" t="s">
        <v>15641</v>
      </c>
      <c r="D354" s="5">
        <v>95</v>
      </c>
      <c r="E354" s="5" t="s">
        <v>42</v>
      </c>
      <c r="F354" s="5" t="s">
        <v>33</v>
      </c>
      <c r="G354" s="5" t="s">
        <v>5318</v>
      </c>
      <c r="H354" s="5" t="s">
        <v>34</v>
      </c>
      <c r="I354" s="5">
        <v>3196213630</v>
      </c>
      <c r="J354" s="12">
        <v>46028</v>
      </c>
      <c r="K354" s="11">
        <v>0</v>
      </c>
      <c r="M354" s="10" t="s">
        <v>15585</v>
      </c>
      <c r="N354" s="12">
        <v>46028</v>
      </c>
      <c r="O354" s="10" t="s">
        <v>15065</v>
      </c>
      <c r="P354" s="5" t="s">
        <v>14571</v>
      </c>
      <c r="Q354" s="5" t="s">
        <v>14572</v>
      </c>
      <c r="R354" s="5" t="s">
        <v>15642</v>
      </c>
      <c r="T354" s="5" t="s">
        <v>14574</v>
      </c>
      <c r="U354" s="5" t="s">
        <v>33</v>
      </c>
      <c r="V354" s="5" t="s">
        <v>196</v>
      </c>
      <c r="W354" s="5" t="s">
        <v>525</v>
      </c>
    </row>
    <row r="355" spans="1:23" ht="12.5">
      <c r="A355" s="5">
        <v>90858</v>
      </c>
      <c r="B355" s="5" t="s">
        <v>15643</v>
      </c>
      <c r="C355" s="10" t="s">
        <v>15644</v>
      </c>
      <c r="D355" s="5" t="s">
        <v>14589</v>
      </c>
      <c r="E355" s="5" t="s">
        <v>5322</v>
      </c>
      <c r="F355" s="5" t="s">
        <v>33</v>
      </c>
      <c r="G355" s="5" t="s">
        <v>15645</v>
      </c>
      <c r="H355" s="5" t="s">
        <v>34</v>
      </c>
      <c r="I355" s="5">
        <v>3103540175</v>
      </c>
      <c r="J355" s="12">
        <v>46028</v>
      </c>
      <c r="K355" s="11">
        <v>0.70833333333333337</v>
      </c>
      <c r="M355" s="10" t="s">
        <v>15480</v>
      </c>
      <c r="N355" s="12">
        <v>46028</v>
      </c>
      <c r="O355" s="10" t="s">
        <v>15646</v>
      </c>
      <c r="P355" s="5" t="s">
        <v>14571</v>
      </c>
      <c r="Q355" s="5" t="s">
        <v>14612</v>
      </c>
      <c r="R355" s="5" t="s">
        <v>15647</v>
      </c>
      <c r="T355" s="5" t="s">
        <v>14574</v>
      </c>
      <c r="U355" s="5" t="s">
        <v>33</v>
      </c>
      <c r="V355" s="5" t="s">
        <v>67</v>
      </c>
    </row>
    <row r="356" spans="1:23" ht="12.5">
      <c r="A356" s="5">
        <v>90859</v>
      </c>
      <c r="B356" s="5" t="s">
        <v>5324</v>
      </c>
      <c r="C356" s="5">
        <v>570000</v>
      </c>
      <c r="D356" s="5">
        <v>95</v>
      </c>
      <c r="E356" s="5" t="s">
        <v>42</v>
      </c>
      <c r="F356" s="5" t="s">
        <v>33</v>
      </c>
      <c r="G356" s="5" t="s">
        <v>5324</v>
      </c>
      <c r="H356" s="5" t="s">
        <v>34</v>
      </c>
      <c r="J356" s="12">
        <v>46028</v>
      </c>
      <c r="K356" s="11">
        <v>0</v>
      </c>
      <c r="M356" s="10" t="s">
        <v>14702</v>
      </c>
      <c r="N356" s="12">
        <v>46028.611699803238</v>
      </c>
      <c r="O356" s="10" t="s">
        <v>14721</v>
      </c>
      <c r="P356" s="5" t="s">
        <v>14571</v>
      </c>
      <c r="Q356" s="5" t="s">
        <v>14578</v>
      </c>
      <c r="R356" s="5" t="s">
        <v>15648</v>
      </c>
      <c r="T356" s="5" t="s">
        <v>14574</v>
      </c>
      <c r="U356" s="5" t="s">
        <v>33</v>
      </c>
      <c r="V356" s="5" t="s">
        <v>196</v>
      </c>
      <c r="W356" s="5" t="s">
        <v>5325</v>
      </c>
    </row>
    <row r="357" spans="1:23" ht="12.5">
      <c r="A357" s="5">
        <v>90860</v>
      </c>
      <c r="B357" s="5" t="s">
        <v>15649</v>
      </c>
      <c r="C357" s="5">
        <v>573008577668</v>
      </c>
      <c r="D357" s="5">
        <v>51</v>
      </c>
      <c r="E357" s="5" t="s">
        <v>384</v>
      </c>
      <c r="F357" s="5" t="s">
        <v>185</v>
      </c>
      <c r="G357" s="5" t="s">
        <v>5328</v>
      </c>
      <c r="H357" s="5" t="s">
        <v>5329</v>
      </c>
      <c r="I357" s="5">
        <v>3013796320</v>
      </c>
      <c r="J357" s="12">
        <v>46028</v>
      </c>
      <c r="K357" s="11">
        <v>0.77083333333212067</v>
      </c>
      <c r="M357" s="10" t="s">
        <v>14657</v>
      </c>
      <c r="N357" s="12">
        <v>46028.573025694444</v>
      </c>
      <c r="O357" s="10" t="s">
        <v>15550</v>
      </c>
      <c r="P357" s="5" t="s">
        <v>14571</v>
      </c>
      <c r="Q357" s="5" t="s">
        <v>14572</v>
      </c>
      <c r="R357" s="5" t="s">
        <v>15650</v>
      </c>
      <c r="T357" s="5" t="s">
        <v>5994</v>
      </c>
      <c r="U357" s="5" t="s">
        <v>14580</v>
      </c>
      <c r="V357" s="5" t="s">
        <v>67</v>
      </c>
    </row>
    <row r="358" spans="1:23" ht="12.5">
      <c r="A358" s="5">
        <v>90861</v>
      </c>
      <c r="B358" s="5" t="s">
        <v>5334</v>
      </c>
      <c r="C358" s="5">
        <v>573102636686</v>
      </c>
      <c r="D358" s="5">
        <v>52</v>
      </c>
      <c r="E358" s="5" t="s">
        <v>178</v>
      </c>
      <c r="F358" s="5" t="s">
        <v>33</v>
      </c>
      <c r="G358" s="5" t="s">
        <v>5334</v>
      </c>
      <c r="H358" s="5" t="s">
        <v>34</v>
      </c>
      <c r="I358" s="5">
        <v>3102636686</v>
      </c>
      <c r="J358" s="12">
        <v>46028</v>
      </c>
      <c r="K358" s="11">
        <v>0</v>
      </c>
      <c r="M358" s="10" t="s">
        <v>15161</v>
      </c>
      <c r="N358" s="12">
        <v>46028.663071805553</v>
      </c>
      <c r="O358" s="10" t="s">
        <v>14818</v>
      </c>
      <c r="P358" s="5" t="s">
        <v>14571</v>
      </c>
      <c r="Q358" s="5" t="s">
        <v>14578</v>
      </c>
      <c r="R358" s="5" t="s">
        <v>15651</v>
      </c>
      <c r="T358" s="5" t="s">
        <v>14574</v>
      </c>
      <c r="U358" s="5" t="s">
        <v>33</v>
      </c>
      <c r="V358" s="5" t="s">
        <v>2636</v>
      </c>
      <c r="W358" s="5" t="s">
        <v>5335</v>
      </c>
    </row>
    <row r="359" spans="1:23" ht="12.5">
      <c r="A359" s="5">
        <v>90862</v>
      </c>
      <c r="B359" s="5" t="s">
        <v>14447</v>
      </c>
      <c r="C359" s="5">
        <v>573128640780</v>
      </c>
      <c r="D359" s="5">
        <v>29</v>
      </c>
      <c r="E359" s="5" t="s">
        <v>309</v>
      </c>
      <c r="F359" s="5" t="s">
        <v>103</v>
      </c>
      <c r="G359" s="5" t="s">
        <v>5338</v>
      </c>
      <c r="H359" s="5" t="s">
        <v>5339</v>
      </c>
      <c r="J359" s="12">
        <v>46029</v>
      </c>
      <c r="K359" s="11">
        <v>0.375</v>
      </c>
      <c r="M359" s="10" t="s">
        <v>14627</v>
      </c>
      <c r="N359" s="12">
        <v>46028.681362476855</v>
      </c>
      <c r="O359" s="10" t="s">
        <v>15365</v>
      </c>
      <c r="P359" s="5" t="s">
        <v>14571</v>
      </c>
      <c r="Q359" s="5" t="s">
        <v>14578</v>
      </c>
      <c r="R359" s="5" t="s">
        <v>15652</v>
      </c>
      <c r="T359" s="5" t="s">
        <v>5994</v>
      </c>
      <c r="U359" s="5" t="s">
        <v>14593</v>
      </c>
      <c r="V359" s="5" t="s">
        <v>67</v>
      </c>
    </row>
    <row r="360" spans="1:23" ht="12.5">
      <c r="A360" s="5">
        <v>90863</v>
      </c>
      <c r="B360" s="5" t="s">
        <v>5345</v>
      </c>
      <c r="C360" s="5">
        <v>573015832280</v>
      </c>
      <c r="D360" s="5" t="s">
        <v>14589</v>
      </c>
      <c r="E360" s="5" t="s">
        <v>5344</v>
      </c>
      <c r="F360" s="5" t="s">
        <v>103</v>
      </c>
      <c r="G360" s="5" t="s">
        <v>5342</v>
      </c>
      <c r="H360" s="5" t="s">
        <v>5343</v>
      </c>
      <c r="I360" s="5">
        <v>3015832280</v>
      </c>
      <c r="J360" s="12">
        <v>46028</v>
      </c>
      <c r="K360" s="11">
        <v>0.70833333333212067</v>
      </c>
      <c r="M360" s="10" t="s">
        <v>14585</v>
      </c>
      <c r="N360" s="12">
        <v>46028.672292592593</v>
      </c>
      <c r="O360" s="10" t="s">
        <v>15653</v>
      </c>
      <c r="P360" s="5" t="s">
        <v>14571</v>
      </c>
      <c r="Q360" s="5" t="s">
        <v>14612</v>
      </c>
      <c r="R360" s="5" t="s">
        <v>15654</v>
      </c>
      <c r="T360" s="5" t="s">
        <v>5994</v>
      </c>
      <c r="U360" s="5" t="s">
        <v>14593</v>
      </c>
      <c r="V360" s="5" t="s">
        <v>67</v>
      </c>
      <c r="W360" s="5" t="s">
        <v>5346</v>
      </c>
    </row>
    <row r="361" spans="1:23" ht="12.5">
      <c r="A361" s="5">
        <v>90864</v>
      </c>
      <c r="B361" s="5" t="s">
        <v>15655</v>
      </c>
      <c r="C361" s="5">
        <v>12899272378</v>
      </c>
      <c r="D361" s="5">
        <v>26</v>
      </c>
      <c r="E361" s="5" t="s">
        <v>422</v>
      </c>
      <c r="F361" s="5" t="s">
        <v>73</v>
      </c>
      <c r="G361" s="5" t="s">
        <v>5348</v>
      </c>
      <c r="H361" s="5" t="s">
        <v>5349</v>
      </c>
      <c r="I361" s="5">
        <v>12899272378</v>
      </c>
      <c r="J361" s="12">
        <v>46029</v>
      </c>
      <c r="K361" s="11">
        <v>0.33333333333212067</v>
      </c>
      <c r="M361" s="10" t="s">
        <v>15656</v>
      </c>
      <c r="N361" s="12">
        <v>46028.54404753472</v>
      </c>
      <c r="O361" s="10" t="s">
        <v>14924</v>
      </c>
      <c r="P361" s="5" t="s">
        <v>14571</v>
      </c>
      <c r="Q361" s="5" t="s">
        <v>14612</v>
      </c>
      <c r="R361" s="5" t="s">
        <v>15657</v>
      </c>
      <c r="T361" s="5" t="s">
        <v>5994</v>
      </c>
      <c r="U361" s="5" t="s">
        <v>14593</v>
      </c>
      <c r="V361" s="5" t="s">
        <v>1937</v>
      </c>
    </row>
    <row r="362" spans="1:23" ht="12.5">
      <c r="A362" s="5">
        <v>90865</v>
      </c>
      <c r="B362" s="5" t="s">
        <v>13480</v>
      </c>
      <c r="C362" s="5">
        <v>573182886105</v>
      </c>
      <c r="D362" s="5">
        <v>69</v>
      </c>
      <c r="E362" s="5" t="s">
        <v>335</v>
      </c>
      <c r="F362" s="5" t="s">
        <v>63</v>
      </c>
      <c r="G362" s="5" t="s">
        <v>5353</v>
      </c>
      <c r="H362" s="5" t="s">
        <v>5354</v>
      </c>
      <c r="I362" s="5">
        <v>3152685388</v>
      </c>
      <c r="J362" s="12">
        <v>46031</v>
      </c>
      <c r="K362" s="11">
        <v>0.375</v>
      </c>
      <c r="M362" s="10" t="s">
        <v>14643</v>
      </c>
      <c r="N362" s="12">
        <v>46027.846451689817</v>
      </c>
      <c r="O362" s="10" t="s">
        <v>14811</v>
      </c>
      <c r="P362" s="5" t="s">
        <v>14571</v>
      </c>
      <c r="Q362" s="5" t="s">
        <v>14578</v>
      </c>
      <c r="R362" s="5" t="s">
        <v>15658</v>
      </c>
      <c r="T362" s="5" t="s">
        <v>5994</v>
      </c>
      <c r="U362" s="5" t="s">
        <v>14598</v>
      </c>
      <c r="V362" s="5" t="s">
        <v>204</v>
      </c>
    </row>
    <row r="363" spans="1:23" ht="12.5">
      <c r="A363" s="5">
        <v>90866</v>
      </c>
      <c r="B363" s="5" t="s">
        <v>15659</v>
      </c>
      <c r="C363" s="5">
        <v>573004420302</v>
      </c>
      <c r="D363" s="5">
        <v>51</v>
      </c>
      <c r="E363" s="5" t="s">
        <v>384</v>
      </c>
      <c r="F363" s="5" t="s">
        <v>5360</v>
      </c>
      <c r="G363" s="5" t="s">
        <v>5359</v>
      </c>
      <c r="H363" s="5" t="s">
        <v>5361</v>
      </c>
      <c r="J363" s="12">
        <v>46029</v>
      </c>
      <c r="K363" s="11">
        <v>0.33333333333212067</v>
      </c>
      <c r="M363" s="10" t="s">
        <v>15660</v>
      </c>
      <c r="N363" s="12">
        <v>46028.711449351853</v>
      </c>
      <c r="O363" s="10" t="s">
        <v>15661</v>
      </c>
      <c r="P363" s="5" t="s">
        <v>14571</v>
      </c>
      <c r="Q363" s="5" t="s">
        <v>14572</v>
      </c>
      <c r="R363" s="5" t="s">
        <v>15662</v>
      </c>
      <c r="T363" s="5" t="s">
        <v>5994</v>
      </c>
      <c r="U363" s="5" t="s">
        <v>14580</v>
      </c>
      <c r="V363" s="5" t="s">
        <v>180</v>
      </c>
      <c r="W363" s="5" t="s">
        <v>5363</v>
      </c>
    </row>
    <row r="364" spans="1:23" ht="12.5">
      <c r="A364" s="5">
        <v>90867</v>
      </c>
      <c r="B364" s="5" t="s">
        <v>5365</v>
      </c>
      <c r="C364" s="5">
        <v>573146014820</v>
      </c>
      <c r="D364" s="5">
        <v>95</v>
      </c>
      <c r="E364" s="5" t="s">
        <v>42</v>
      </c>
      <c r="F364" s="5" t="s">
        <v>33</v>
      </c>
      <c r="G364" s="5" t="s">
        <v>5365</v>
      </c>
      <c r="H364" s="5" t="s">
        <v>34</v>
      </c>
      <c r="I364" s="5">
        <v>3146014820</v>
      </c>
      <c r="J364" s="12">
        <v>46028</v>
      </c>
      <c r="K364" s="11">
        <v>0</v>
      </c>
      <c r="M364" s="10" t="s">
        <v>15663</v>
      </c>
      <c r="N364" s="12">
        <v>46028.7300105787</v>
      </c>
      <c r="O364" s="10" t="s">
        <v>15028</v>
      </c>
      <c r="P364" s="5" t="s">
        <v>14571</v>
      </c>
      <c r="Q364" s="5" t="s">
        <v>14578</v>
      </c>
      <c r="R364" s="5" t="s">
        <v>15664</v>
      </c>
      <c r="T364" s="5" t="s">
        <v>14574</v>
      </c>
      <c r="U364" s="5" t="s">
        <v>33</v>
      </c>
      <c r="V364" s="5" t="s">
        <v>2636</v>
      </c>
      <c r="W364" s="5" t="s">
        <v>525</v>
      </c>
    </row>
    <row r="365" spans="1:23" ht="12.5">
      <c r="A365" s="5">
        <v>90868</v>
      </c>
      <c r="B365" s="5" t="s">
        <v>5368</v>
      </c>
      <c r="C365" s="5">
        <v>573125948612</v>
      </c>
      <c r="D365" s="5">
        <v>53</v>
      </c>
      <c r="E365" s="5" t="s">
        <v>75</v>
      </c>
      <c r="F365" s="5" t="s">
        <v>33</v>
      </c>
      <c r="G365" s="5" t="s">
        <v>5368</v>
      </c>
      <c r="H365" s="5" t="s">
        <v>34</v>
      </c>
      <c r="I365" s="5">
        <v>3125948612</v>
      </c>
      <c r="J365" s="12">
        <v>46028</v>
      </c>
      <c r="K365" s="11">
        <v>0</v>
      </c>
      <c r="M365" s="10" t="s">
        <v>14800</v>
      </c>
      <c r="N365" s="12">
        <v>46028.729028171292</v>
      </c>
      <c r="O365" s="10" t="s">
        <v>15665</v>
      </c>
      <c r="P365" s="5" t="s">
        <v>14571</v>
      </c>
      <c r="Q365" s="5" t="s">
        <v>14612</v>
      </c>
      <c r="R365" s="5" t="s">
        <v>15666</v>
      </c>
      <c r="T365" s="5" t="s">
        <v>14574</v>
      </c>
      <c r="U365" s="5" t="s">
        <v>33</v>
      </c>
      <c r="V365" s="5" t="s">
        <v>83</v>
      </c>
    </row>
    <row r="366" spans="1:23" ht="12.5">
      <c r="A366" s="5">
        <v>90869</v>
      </c>
      <c r="B366" s="5" t="s">
        <v>15667</v>
      </c>
      <c r="C366" s="5">
        <v>573002627762</v>
      </c>
      <c r="D366" s="5">
        <v>95</v>
      </c>
      <c r="E366" s="5" t="s">
        <v>42</v>
      </c>
      <c r="F366" s="5" t="s">
        <v>33</v>
      </c>
      <c r="G366" s="5" t="s">
        <v>4674</v>
      </c>
      <c r="H366" s="5" t="s">
        <v>34</v>
      </c>
      <c r="I366" s="5">
        <v>3002627762</v>
      </c>
      <c r="J366" s="12">
        <v>46028</v>
      </c>
      <c r="K366" s="11">
        <v>0</v>
      </c>
      <c r="M366" s="10" t="s">
        <v>15384</v>
      </c>
      <c r="N366" s="12">
        <v>46028.755720682871</v>
      </c>
      <c r="O366" s="10" t="s">
        <v>15668</v>
      </c>
      <c r="P366" s="5" t="s">
        <v>14571</v>
      </c>
      <c r="Q366" s="5" t="s">
        <v>14578</v>
      </c>
      <c r="R366" s="5" t="s">
        <v>15669</v>
      </c>
      <c r="T366" s="5" t="s">
        <v>14574</v>
      </c>
      <c r="U366" s="5" t="s">
        <v>33</v>
      </c>
      <c r="V366" s="5" t="s">
        <v>43</v>
      </c>
    </row>
    <row r="367" spans="1:23" ht="12.5">
      <c r="A367" s="5">
        <v>90870</v>
      </c>
      <c r="B367" s="5" t="s">
        <v>15670</v>
      </c>
      <c r="C367" s="5">
        <v>41798260383</v>
      </c>
      <c r="D367" s="5">
        <v>44</v>
      </c>
      <c r="E367" s="5" t="s">
        <v>1111</v>
      </c>
      <c r="F367" s="5" t="s">
        <v>103</v>
      </c>
      <c r="G367" s="5" t="s">
        <v>5371</v>
      </c>
      <c r="H367" s="5" t="s">
        <v>5372</v>
      </c>
      <c r="J367" s="12">
        <v>46029</v>
      </c>
      <c r="K367" s="11">
        <v>0.35416666666787933</v>
      </c>
      <c r="M367" s="10" t="s">
        <v>10581</v>
      </c>
      <c r="N367" s="12">
        <v>46028.868868275458</v>
      </c>
      <c r="O367" s="10" t="s">
        <v>15202</v>
      </c>
      <c r="P367" s="5" t="s">
        <v>14571</v>
      </c>
      <c r="Q367" s="5" t="s">
        <v>14572</v>
      </c>
      <c r="R367" s="5" t="s">
        <v>15671</v>
      </c>
      <c r="T367" s="5" t="s">
        <v>5994</v>
      </c>
      <c r="U367" s="5" t="s">
        <v>14593</v>
      </c>
      <c r="V367" s="5" t="s">
        <v>1937</v>
      </c>
    </row>
    <row r="368" spans="1:23" ht="12.5">
      <c r="A368" s="5">
        <v>90871</v>
      </c>
      <c r="B368" s="5" t="s">
        <v>5377</v>
      </c>
      <c r="C368" s="5">
        <v>573005507555</v>
      </c>
      <c r="D368" s="5">
        <v>95</v>
      </c>
      <c r="E368" s="5" t="s">
        <v>42</v>
      </c>
      <c r="F368" s="5" t="s">
        <v>33</v>
      </c>
      <c r="G368" s="5" t="s">
        <v>5377</v>
      </c>
      <c r="H368" s="5" t="s">
        <v>34</v>
      </c>
      <c r="I368" s="5">
        <v>3005507555</v>
      </c>
      <c r="J368" s="12">
        <v>46029</v>
      </c>
      <c r="K368" s="11">
        <v>0</v>
      </c>
      <c r="M368" s="10" t="s">
        <v>14863</v>
      </c>
      <c r="N368" s="12">
        <v>46029.354053784722</v>
      </c>
      <c r="O368" s="10" t="s">
        <v>15012</v>
      </c>
      <c r="P368" s="5" t="s">
        <v>14571</v>
      </c>
      <c r="Q368" s="5" t="s">
        <v>14612</v>
      </c>
      <c r="R368" s="5" t="s">
        <v>15672</v>
      </c>
      <c r="T368" s="5" t="s">
        <v>14574</v>
      </c>
      <c r="U368" s="5" t="s">
        <v>33</v>
      </c>
      <c r="V368" s="5" t="s">
        <v>83</v>
      </c>
      <c r="W368" s="5" t="s">
        <v>525</v>
      </c>
    </row>
    <row r="369" spans="1:23" ht="12.5">
      <c r="A369" s="5">
        <v>90872</v>
      </c>
      <c r="B369" s="5" t="s">
        <v>9432</v>
      </c>
      <c r="C369" s="10" t="s">
        <v>15673</v>
      </c>
      <c r="D369" s="5">
        <v>95</v>
      </c>
      <c r="E369" s="5" t="s">
        <v>42</v>
      </c>
      <c r="F369" s="5" t="s">
        <v>168</v>
      </c>
      <c r="G369" s="5" t="s">
        <v>5379</v>
      </c>
      <c r="H369" s="5" t="s">
        <v>5380</v>
      </c>
      <c r="I369" s="5">
        <v>3045669670</v>
      </c>
      <c r="J369" s="12">
        <v>46029</v>
      </c>
      <c r="K369" s="11">
        <v>0</v>
      </c>
      <c r="M369" s="10" t="s">
        <v>15674</v>
      </c>
      <c r="N369" s="12">
        <v>46029</v>
      </c>
      <c r="O369" s="10" t="s">
        <v>15675</v>
      </c>
      <c r="P369" s="5" t="s">
        <v>14571</v>
      </c>
      <c r="Q369" s="5" t="s">
        <v>14572</v>
      </c>
      <c r="R369" s="5" t="s">
        <v>15676</v>
      </c>
      <c r="T369" s="5" t="s">
        <v>5994</v>
      </c>
      <c r="U369" s="5" t="s">
        <v>14580</v>
      </c>
      <c r="V369" s="5" t="s">
        <v>83</v>
      </c>
    </row>
    <row r="370" spans="1:23" ht="12.5">
      <c r="A370" s="5">
        <v>90873</v>
      </c>
      <c r="B370" s="5" t="s">
        <v>15677</v>
      </c>
      <c r="C370" s="5">
        <v>573222696961</v>
      </c>
      <c r="D370" s="5">
        <v>20</v>
      </c>
      <c r="E370" s="5" t="s">
        <v>187</v>
      </c>
      <c r="F370" s="5" t="s">
        <v>103</v>
      </c>
      <c r="G370" s="5" t="s">
        <v>5383</v>
      </c>
      <c r="H370" s="5" t="s">
        <v>5384</v>
      </c>
      <c r="J370" s="12">
        <v>46029</v>
      </c>
      <c r="K370" s="11">
        <v>0.41666666666787933</v>
      </c>
      <c r="M370" s="10" t="s">
        <v>14777</v>
      </c>
      <c r="N370" s="12">
        <v>46029.388640069446</v>
      </c>
      <c r="O370" s="10" t="s">
        <v>15678</v>
      </c>
      <c r="P370" s="5" t="s">
        <v>14571</v>
      </c>
      <c r="Q370" s="5" t="s">
        <v>14578</v>
      </c>
      <c r="R370" s="5" t="s">
        <v>15679</v>
      </c>
      <c r="T370" s="5" t="s">
        <v>5994</v>
      </c>
      <c r="U370" s="5" t="s">
        <v>14593</v>
      </c>
      <c r="V370" s="5" t="s">
        <v>2163</v>
      </c>
    </row>
    <row r="371" spans="1:23" ht="12.5">
      <c r="A371" s="5">
        <v>90874</v>
      </c>
      <c r="B371" s="5" t="s">
        <v>15680</v>
      </c>
      <c r="C371" s="5">
        <v>573104536468</v>
      </c>
      <c r="D371" s="5">
        <v>18</v>
      </c>
      <c r="E371" s="5" t="s">
        <v>370</v>
      </c>
      <c r="F371" s="5" t="s">
        <v>103</v>
      </c>
      <c r="G371" s="5" t="s">
        <v>5387</v>
      </c>
      <c r="H371" s="5" t="s">
        <v>5388</v>
      </c>
      <c r="I371" s="5">
        <v>3186141568</v>
      </c>
      <c r="J371" s="12">
        <v>46029</v>
      </c>
      <c r="K371" s="11">
        <v>0.4375</v>
      </c>
      <c r="M371" s="10" t="s">
        <v>15460</v>
      </c>
      <c r="N371" s="12">
        <v>46029.395771435185</v>
      </c>
      <c r="O371" s="10" t="s">
        <v>15597</v>
      </c>
      <c r="P371" s="5" t="s">
        <v>14571</v>
      </c>
      <c r="Q371" s="5" t="s">
        <v>14572</v>
      </c>
      <c r="R371" s="5" t="s">
        <v>15681</v>
      </c>
      <c r="T371" s="5" t="s">
        <v>5994</v>
      </c>
      <c r="U371" s="5" t="s">
        <v>14593</v>
      </c>
      <c r="V371" s="5" t="s">
        <v>83</v>
      </c>
    </row>
    <row r="372" spans="1:23" ht="12.5">
      <c r="A372" s="5">
        <v>90875</v>
      </c>
      <c r="B372" s="5" t="s">
        <v>5392</v>
      </c>
      <c r="C372" s="10" t="s">
        <v>15682</v>
      </c>
      <c r="D372" s="5">
        <v>29</v>
      </c>
      <c r="E372" s="5" t="s">
        <v>309</v>
      </c>
      <c r="F372" s="5" t="s">
        <v>33</v>
      </c>
      <c r="G372" s="5" t="s">
        <v>5392</v>
      </c>
      <c r="H372" s="5" t="s">
        <v>34</v>
      </c>
      <c r="I372" s="5">
        <v>3004138441</v>
      </c>
      <c r="J372" s="12">
        <v>46029</v>
      </c>
      <c r="K372" s="11">
        <v>0</v>
      </c>
      <c r="M372" s="10" t="s">
        <v>14585</v>
      </c>
      <c r="N372" s="12">
        <v>46029</v>
      </c>
      <c r="O372" s="10" t="s">
        <v>14773</v>
      </c>
      <c r="P372" s="5" t="s">
        <v>14571</v>
      </c>
      <c r="Q372" s="5" t="s">
        <v>14572</v>
      </c>
      <c r="R372" s="5" t="s">
        <v>15683</v>
      </c>
      <c r="T372" s="5" t="s">
        <v>14574</v>
      </c>
      <c r="U372" s="5" t="s">
        <v>33</v>
      </c>
      <c r="V372" s="5" t="s">
        <v>2636</v>
      </c>
    </row>
    <row r="373" spans="1:23" ht="12.5">
      <c r="A373" s="5">
        <v>90876</v>
      </c>
      <c r="B373" s="5" t="s">
        <v>13509</v>
      </c>
      <c r="C373" s="5">
        <v>573015488453</v>
      </c>
      <c r="D373" s="5">
        <v>53</v>
      </c>
      <c r="E373" s="5" t="s">
        <v>75</v>
      </c>
      <c r="F373" s="5" t="s">
        <v>33</v>
      </c>
      <c r="G373" s="5" t="s">
        <v>5393</v>
      </c>
      <c r="H373" s="5" t="s">
        <v>34</v>
      </c>
      <c r="I373" s="5">
        <v>3015488453</v>
      </c>
      <c r="J373" s="12">
        <v>46029</v>
      </c>
      <c r="K373" s="11">
        <v>0</v>
      </c>
      <c r="M373" s="10" t="s">
        <v>14800</v>
      </c>
      <c r="N373" s="12">
        <v>46029.425136203703</v>
      </c>
      <c r="O373" s="10" t="s">
        <v>15684</v>
      </c>
      <c r="P373" s="5" t="s">
        <v>14571</v>
      </c>
      <c r="Q373" s="5" t="s">
        <v>14578</v>
      </c>
      <c r="R373" s="5" t="s">
        <v>15685</v>
      </c>
      <c r="T373" s="5" t="s">
        <v>14574</v>
      </c>
      <c r="U373" s="5" t="s">
        <v>33</v>
      </c>
      <c r="V373" s="5" t="s">
        <v>43</v>
      </c>
      <c r="W373" s="5" t="s">
        <v>5394</v>
      </c>
    </row>
    <row r="374" spans="1:23" ht="12.5">
      <c r="A374" s="5">
        <v>90877</v>
      </c>
      <c r="B374" s="5" t="s">
        <v>5396</v>
      </c>
      <c r="C374" s="5">
        <v>573042952054</v>
      </c>
      <c r="D374" s="5">
        <v>95</v>
      </c>
      <c r="E374" s="5" t="s">
        <v>42</v>
      </c>
      <c r="F374" s="5" t="s">
        <v>33</v>
      </c>
      <c r="G374" s="5" t="s">
        <v>5396</v>
      </c>
      <c r="H374" s="5" t="s">
        <v>34</v>
      </c>
      <c r="I374" s="5">
        <v>3042952054</v>
      </c>
      <c r="J374" s="12">
        <v>46029</v>
      </c>
      <c r="K374" s="11">
        <v>0</v>
      </c>
      <c r="M374" s="10" t="s">
        <v>14863</v>
      </c>
      <c r="N374" s="12">
        <v>46029.473996550922</v>
      </c>
      <c r="O374" s="10" t="s">
        <v>15481</v>
      </c>
      <c r="P374" s="5" t="s">
        <v>14571</v>
      </c>
      <c r="Q374" s="5" t="s">
        <v>14612</v>
      </c>
      <c r="R374" s="5" t="s">
        <v>15686</v>
      </c>
      <c r="T374" s="5" t="s">
        <v>14574</v>
      </c>
      <c r="U374" s="5" t="s">
        <v>33</v>
      </c>
      <c r="V374" s="5" t="s">
        <v>1705</v>
      </c>
      <c r="W374" s="5" t="s">
        <v>525</v>
      </c>
    </row>
    <row r="375" spans="1:23" ht="12.5">
      <c r="A375" s="5">
        <v>90878</v>
      </c>
      <c r="B375" s="5" t="s">
        <v>5397</v>
      </c>
      <c r="C375" s="26">
        <v>5.73046E+16</v>
      </c>
      <c r="D375" s="5">
        <v>51</v>
      </c>
      <c r="E375" s="5" t="s">
        <v>384</v>
      </c>
      <c r="F375" s="5" t="s">
        <v>33</v>
      </c>
      <c r="G375" s="5" t="s">
        <v>5397</v>
      </c>
      <c r="H375" s="5" t="s">
        <v>34</v>
      </c>
      <c r="I375" s="5">
        <v>304573389833898</v>
      </c>
      <c r="J375" s="12">
        <v>46029</v>
      </c>
      <c r="K375" s="11">
        <v>0</v>
      </c>
      <c r="M375" s="10" t="s">
        <v>14740</v>
      </c>
      <c r="N375" s="12">
        <v>46029.487406875</v>
      </c>
      <c r="O375" s="10" t="s">
        <v>15687</v>
      </c>
      <c r="P375" s="5" t="s">
        <v>14571</v>
      </c>
      <c r="Q375" s="5" t="s">
        <v>14578</v>
      </c>
      <c r="R375" s="5" t="s">
        <v>15688</v>
      </c>
      <c r="T375" s="5" t="s">
        <v>14574</v>
      </c>
      <c r="U375" s="5" t="s">
        <v>33</v>
      </c>
      <c r="V375" s="5" t="s">
        <v>83</v>
      </c>
    </row>
    <row r="376" spans="1:23" ht="12.5">
      <c r="A376" s="5">
        <v>90879</v>
      </c>
      <c r="B376" s="5" t="s">
        <v>5400</v>
      </c>
      <c r="C376" s="5">
        <v>57000000</v>
      </c>
      <c r="D376" s="5">
        <v>31</v>
      </c>
      <c r="E376" s="5" t="s">
        <v>375</v>
      </c>
      <c r="F376" s="5" t="s">
        <v>33</v>
      </c>
      <c r="G376" s="5" t="s">
        <v>5400</v>
      </c>
      <c r="H376" s="5" t="s">
        <v>34</v>
      </c>
      <c r="J376" s="12">
        <v>46029</v>
      </c>
      <c r="K376" s="11">
        <v>0</v>
      </c>
      <c r="M376" s="10" t="s">
        <v>14800</v>
      </c>
      <c r="N376" s="12">
        <v>46029.493725844906</v>
      </c>
      <c r="O376" s="10" t="s">
        <v>14752</v>
      </c>
      <c r="P376" s="5" t="s">
        <v>14571</v>
      </c>
      <c r="Q376" s="5" t="s">
        <v>14612</v>
      </c>
      <c r="R376" s="5" t="s">
        <v>15689</v>
      </c>
      <c r="T376" s="5" t="s">
        <v>14574</v>
      </c>
      <c r="U376" s="5" t="s">
        <v>33</v>
      </c>
      <c r="V376" s="5" t="s">
        <v>196</v>
      </c>
    </row>
    <row r="377" spans="1:23" ht="12.5">
      <c r="A377" s="5">
        <v>90880</v>
      </c>
      <c r="B377" s="5" t="s">
        <v>2629</v>
      </c>
      <c r="C377" s="5">
        <v>573175052734</v>
      </c>
      <c r="D377" s="5">
        <v>95</v>
      </c>
      <c r="E377" s="5" t="s">
        <v>42</v>
      </c>
      <c r="F377" s="5" t="s">
        <v>33</v>
      </c>
      <c r="G377" s="5" t="s">
        <v>2629</v>
      </c>
      <c r="H377" s="5" t="s">
        <v>34</v>
      </c>
      <c r="I377" s="5">
        <v>3175052734</v>
      </c>
      <c r="J377" s="12">
        <v>46029</v>
      </c>
      <c r="K377" s="11">
        <v>0</v>
      </c>
      <c r="M377" s="10" t="s">
        <v>15594</v>
      </c>
      <c r="N377" s="12">
        <v>46029.402091840282</v>
      </c>
      <c r="O377" s="10" t="s">
        <v>15690</v>
      </c>
      <c r="P377" s="5" t="s">
        <v>14571</v>
      </c>
      <c r="Q377" s="5" t="s">
        <v>14572</v>
      </c>
      <c r="R377" s="5" t="s">
        <v>15691</v>
      </c>
      <c r="T377" s="5" t="s">
        <v>14574</v>
      </c>
      <c r="U377" s="5" t="s">
        <v>33</v>
      </c>
      <c r="V377" s="5" t="s">
        <v>196</v>
      </c>
      <c r="W377" s="5" t="s">
        <v>525</v>
      </c>
    </row>
    <row r="378" spans="1:23" ht="12.5">
      <c r="A378" s="5">
        <v>90881</v>
      </c>
      <c r="B378" s="5" t="s">
        <v>15692</v>
      </c>
      <c r="C378" s="5">
        <v>573243683471</v>
      </c>
      <c r="D378" s="5">
        <v>28</v>
      </c>
      <c r="E378" s="5" t="s">
        <v>435</v>
      </c>
      <c r="F378" s="5" t="s">
        <v>886</v>
      </c>
      <c r="G378" s="5" t="s">
        <v>5403</v>
      </c>
      <c r="H378" s="5" t="s">
        <v>5404</v>
      </c>
      <c r="J378" s="12">
        <v>46029</v>
      </c>
      <c r="K378" s="11">
        <v>0</v>
      </c>
      <c r="M378" s="10" t="s">
        <v>15693</v>
      </c>
      <c r="N378" s="12">
        <v>46029.505004733801</v>
      </c>
      <c r="O378" s="10" t="s">
        <v>15694</v>
      </c>
      <c r="P378" s="5" t="s">
        <v>14571</v>
      </c>
      <c r="Q378" s="5" t="s">
        <v>14578</v>
      </c>
      <c r="R378" s="5" t="s">
        <v>15695</v>
      </c>
      <c r="T378" s="5" t="s">
        <v>5994</v>
      </c>
      <c r="U378" s="5" t="s">
        <v>14618</v>
      </c>
      <c r="V378" s="5" t="s">
        <v>83</v>
      </c>
    </row>
    <row r="379" spans="1:23" ht="12.5">
      <c r="A379" s="5">
        <v>90882</v>
      </c>
      <c r="B379" s="5" t="s">
        <v>1797</v>
      </c>
      <c r="C379" s="5">
        <v>573244284354</v>
      </c>
      <c r="D379" s="5">
        <v>53</v>
      </c>
      <c r="E379" s="5" t="s">
        <v>75</v>
      </c>
      <c r="F379" s="5" t="s">
        <v>33</v>
      </c>
      <c r="G379" s="5" t="s">
        <v>1797</v>
      </c>
      <c r="H379" s="5" t="s">
        <v>34</v>
      </c>
      <c r="I379" s="5">
        <v>3244284354</v>
      </c>
      <c r="J379" s="12">
        <v>46029</v>
      </c>
      <c r="K379" s="11">
        <v>0</v>
      </c>
      <c r="M379" s="10" t="s">
        <v>14800</v>
      </c>
      <c r="N379" s="12">
        <v>46029.486268587963</v>
      </c>
      <c r="O379" s="10" t="s">
        <v>15696</v>
      </c>
      <c r="P379" s="5" t="s">
        <v>14571</v>
      </c>
      <c r="Q379" s="5" t="s">
        <v>14612</v>
      </c>
      <c r="R379" s="5" t="s">
        <v>15697</v>
      </c>
      <c r="T379" s="5" t="s">
        <v>14574</v>
      </c>
      <c r="U379" s="5" t="s">
        <v>33</v>
      </c>
      <c r="V379" s="5" t="s">
        <v>83</v>
      </c>
    </row>
    <row r="380" spans="1:23" ht="12.5">
      <c r="A380" s="5">
        <v>90883</v>
      </c>
      <c r="B380" s="5" t="s">
        <v>5410</v>
      </c>
      <c r="C380" s="5">
        <v>573205476027</v>
      </c>
      <c r="D380" s="5">
        <v>31</v>
      </c>
      <c r="E380" s="5" t="s">
        <v>375</v>
      </c>
      <c r="F380" s="5" t="s">
        <v>33</v>
      </c>
      <c r="G380" s="5" t="s">
        <v>5410</v>
      </c>
      <c r="H380" s="5" t="s">
        <v>34</v>
      </c>
      <c r="I380" s="5">
        <v>3205476027</v>
      </c>
      <c r="J380" s="12">
        <v>46029</v>
      </c>
      <c r="K380" s="11">
        <v>0.10416666666787933</v>
      </c>
      <c r="M380" s="10" t="s">
        <v>14800</v>
      </c>
      <c r="N380" s="12">
        <v>46029.557620046297</v>
      </c>
      <c r="O380" s="10" t="s">
        <v>15698</v>
      </c>
      <c r="P380" s="5" t="s">
        <v>14571</v>
      </c>
      <c r="Q380" s="5" t="s">
        <v>14572</v>
      </c>
      <c r="R380" s="5" t="s">
        <v>15699</v>
      </c>
      <c r="T380" s="5" t="s">
        <v>14574</v>
      </c>
      <c r="U380" s="5" t="s">
        <v>33</v>
      </c>
      <c r="V380" s="5" t="s">
        <v>83</v>
      </c>
      <c r="W380" s="5" t="s">
        <v>1117</v>
      </c>
    </row>
    <row r="381" spans="1:23" ht="12.5">
      <c r="A381" s="5">
        <v>90884</v>
      </c>
      <c r="B381" s="5" t="s">
        <v>15700</v>
      </c>
      <c r="C381" s="5">
        <v>573173269661</v>
      </c>
      <c r="D381" s="5">
        <v>53</v>
      </c>
      <c r="E381" s="5" t="s">
        <v>75</v>
      </c>
      <c r="F381" s="5" t="s">
        <v>73</v>
      </c>
      <c r="G381" s="5" t="s">
        <v>5414</v>
      </c>
      <c r="H381" s="5" t="s">
        <v>5415</v>
      </c>
      <c r="I381" s="5">
        <v>3046232142</v>
      </c>
      <c r="J381" s="12">
        <v>46031</v>
      </c>
      <c r="K381" s="11">
        <v>0.375</v>
      </c>
      <c r="M381" s="10" t="s">
        <v>14639</v>
      </c>
      <c r="N381" s="12">
        <v>46029.571703171299</v>
      </c>
      <c r="O381" s="10" t="s">
        <v>15701</v>
      </c>
      <c r="P381" s="5" t="s">
        <v>14571</v>
      </c>
      <c r="Q381" s="5" t="s">
        <v>14572</v>
      </c>
      <c r="R381" s="5" t="s">
        <v>15702</v>
      </c>
      <c r="T381" s="5" t="s">
        <v>5994</v>
      </c>
      <c r="U381" s="5" t="s">
        <v>14593</v>
      </c>
      <c r="V381" s="5" t="s">
        <v>83</v>
      </c>
      <c r="W381" s="5" t="s">
        <v>5418</v>
      </c>
    </row>
    <row r="382" spans="1:23" ht="12.5">
      <c r="A382" s="5">
        <v>90885</v>
      </c>
      <c r="B382" s="5" t="s">
        <v>15703</v>
      </c>
      <c r="C382" s="5">
        <v>573105552865</v>
      </c>
      <c r="D382" s="5">
        <v>7</v>
      </c>
      <c r="E382" s="5" t="s">
        <v>112</v>
      </c>
      <c r="F382" s="5" t="s">
        <v>63</v>
      </c>
      <c r="G382" s="5" t="s">
        <v>5421</v>
      </c>
      <c r="H382" s="5" t="s">
        <v>5422</v>
      </c>
      <c r="I382" s="5">
        <v>3009832986</v>
      </c>
      <c r="J382" s="12">
        <v>46030</v>
      </c>
      <c r="K382" s="11">
        <v>0</v>
      </c>
      <c r="M382" s="10" t="s">
        <v>14927</v>
      </c>
      <c r="N382" s="12">
        <v>46029.594595347226</v>
      </c>
      <c r="O382" s="10" t="s">
        <v>14611</v>
      </c>
      <c r="P382" s="5" t="s">
        <v>14571</v>
      </c>
      <c r="Q382" s="5" t="s">
        <v>14578</v>
      </c>
      <c r="R382" s="5" t="s">
        <v>15704</v>
      </c>
      <c r="T382" s="5" t="s">
        <v>5994</v>
      </c>
      <c r="U382" s="5" t="s">
        <v>14598</v>
      </c>
      <c r="V382" s="5" t="s">
        <v>83</v>
      </c>
    </row>
    <row r="383" spans="1:23" ht="12.5">
      <c r="A383" s="5">
        <v>90886</v>
      </c>
      <c r="B383" s="5" t="s">
        <v>15705</v>
      </c>
      <c r="C383" s="5">
        <v>573017593916</v>
      </c>
      <c r="D383" s="5">
        <v>9</v>
      </c>
      <c r="E383" s="5" t="s">
        <v>866</v>
      </c>
      <c r="F383" s="5" t="s">
        <v>265</v>
      </c>
      <c r="G383" s="5" t="s">
        <v>5425</v>
      </c>
      <c r="H383" s="5" t="s">
        <v>5426</v>
      </c>
      <c r="I383" s="5">
        <v>3012234710</v>
      </c>
      <c r="J383" s="12">
        <v>46029</v>
      </c>
      <c r="K383" s="11">
        <v>0</v>
      </c>
      <c r="M383" s="10" t="s">
        <v>15706</v>
      </c>
      <c r="N383" s="12">
        <v>46029.582469629633</v>
      </c>
      <c r="O383" s="10" t="s">
        <v>15707</v>
      </c>
      <c r="P383" s="5" t="s">
        <v>14571</v>
      </c>
      <c r="Q383" s="5" t="s">
        <v>14578</v>
      </c>
      <c r="R383" s="5" t="s">
        <v>15708</v>
      </c>
      <c r="T383" s="5" t="s">
        <v>5994</v>
      </c>
      <c r="U383" s="5" t="s">
        <v>14691</v>
      </c>
      <c r="V383" s="5" t="s">
        <v>83</v>
      </c>
    </row>
    <row r="384" spans="1:23" ht="12.5">
      <c r="A384" s="5">
        <v>90887</v>
      </c>
      <c r="B384" s="5" t="s">
        <v>15709</v>
      </c>
      <c r="C384" s="5">
        <v>573146613624</v>
      </c>
      <c r="D384" s="5">
        <v>79</v>
      </c>
      <c r="E384" s="5" t="s">
        <v>2059</v>
      </c>
      <c r="F384" s="5" t="s">
        <v>4403</v>
      </c>
      <c r="G384" s="5" t="s">
        <v>5431</v>
      </c>
      <c r="H384" s="5" t="s">
        <v>5432</v>
      </c>
      <c r="J384" s="12">
        <v>46029</v>
      </c>
      <c r="K384" s="11">
        <v>0</v>
      </c>
      <c r="M384" s="10" t="s">
        <v>15460</v>
      </c>
      <c r="N384" s="12">
        <v>46029.626931585648</v>
      </c>
      <c r="O384" s="10" t="s">
        <v>15710</v>
      </c>
      <c r="P384" s="5" t="s">
        <v>14571</v>
      </c>
      <c r="Q384" s="5" t="s">
        <v>14612</v>
      </c>
      <c r="R384" s="5" t="s">
        <v>15711</v>
      </c>
      <c r="T384" s="5" t="s">
        <v>5994</v>
      </c>
      <c r="U384" s="5" t="s">
        <v>14598</v>
      </c>
      <c r="V384" s="5" t="s">
        <v>43</v>
      </c>
    </row>
    <row r="385" spans="1:23" ht="12.5">
      <c r="A385" s="5">
        <v>90888</v>
      </c>
      <c r="B385" s="5" t="s">
        <v>11660</v>
      </c>
      <c r="C385" s="5">
        <v>573133673131</v>
      </c>
      <c r="D385" s="5">
        <v>52</v>
      </c>
      <c r="E385" s="5" t="s">
        <v>178</v>
      </c>
      <c r="F385" s="5" t="s">
        <v>63</v>
      </c>
      <c r="G385" s="5" t="s">
        <v>5435</v>
      </c>
      <c r="H385" s="5" t="s">
        <v>5436</v>
      </c>
      <c r="I385" s="5">
        <v>3133673131</v>
      </c>
      <c r="J385" s="12">
        <v>46029</v>
      </c>
      <c r="K385" s="11">
        <v>0</v>
      </c>
      <c r="M385" s="10" t="s">
        <v>14676</v>
      </c>
      <c r="N385" s="12">
        <v>46029.619177766202</v>
      </c>
      <c r="O385" s="10" t="s">
        <v>15558</v>
      </c>
      <c r="P385" s="5" t="s">
        <v>14571</v>
      </c>
      <c r="Q385" s="5" t="s">
        <v>14572</v>
      </c>
      <c r="R385" s="5" t="s">
        <v>15712</v>
      </c>
      <c r="T385" s="5" t="s">
        <v>5994</v>
      </c>
      <c r="U385" s="5" t="s">
        <v>14598</v>
      </c>
      <c r="V385" s="5" t="s">
        <v>83</v>
      </c>
    </row>
    <row r="386" spans="1:23" ht="12.5">
      <c r="A386" s="5">
        <v>90889</v>
      </c>
      <c r="B386" s="5" t="s">
        <v>14213</v>
      </c>
      <c r="C386" s="5">
        <v>573017217176</v>
      </c>
      <c r="D386" s="5" t="s">
        <v>14589</v>
      </c>
      <c r="E386" s="5" t="s">
        <v>5442</v>
      </c>
      <c r="F386" s="5" t="s">
        <v>185</v>
      </c>
      <c r="G386" s="5" t="s">
        <v>5440</v>
      </c>
      <c r="H386" s="5" t="s">
        <v>5441</v>
      </c>
      <c r="I386" s="5">
        <v>3023250496</v>
      </c>
      <c r="J386" s="12">
        <v>46029</v>
      </c>
      <c r="K386" s="11">
        <v>0</v>
      </c>
      <c r="M386" s="10" t="s">
        <v>14639</v>
      </c>
      <c r="N386" s="12">
        <v>46029.627419282406</v>
      </c>
      <c r="O386" s="10" t="s">
        <v>15449</v>
      </c>
      <c r="P386" s="5" t="s">
        <v>14571</v>
      </c>
      <c r="Q386" s="5" t="s">
        <v>14572</v>
      </c>
      <c r="R386" s="5" t="s">
        <v>15713</v>
      </c>
      <c r="T386" s="5" t="s">
        <v>5994</v>
      </c>
      <c r="U386" s="5" t="s">
        <v>14580</v>
      </c>
      <c r="V386" s="5" t="s">
        <v>83</v>
      </c>
    </row>
    <row r="387" spans="1:23" ht="12.5">
      <c r="A387" s="5">
        <v>90890</v>
      </c>
      <c r="B387" s="5" t="s">
        <v>5445</v>
      </c>
      <c r="C387" s="5">
        <v>573103608162</v>
      </c>
      <c r="D387" s="5">
        <v>29</v>
      </c>
      <c r="E387" s="5" t="s">
        <v>309</v>
      </c>
      <c r="F387" s="5" t="s">
        <v>33</v>
      </c>
      <c r="G387" s="5" t="s">
        <v>5445</v>
      </c>
      <c r="H387" s="5" t="s">
        <v>34</v>
      </c>
      <c r="I387" s="5">
        <v>3103608162</v>
      </c>
      <c r="J387" s="12">
        <v>46029</v>
      </c>
      <c r="K387" s="11">
        <v>0</v>
      </c>
      <c r="M387" s="10" t="s">
        <v>14585</v>
      </c>
      <c r="N387" s="12">
        <v>46029.660825266204</v>
      </c>
      <c r="O387" s="10" t="s">
        <v>15714</v>
      </c>
      <c r="P387" s="5" t="s">
        <v>14571</v>
      </c>
      <c r="Q387" s="5" t="s">
        <v>14612</v>
      </c>
      <c r="R387" s="5" t="s">
        <v>15715</v>
      </c>
      <c r="T387" s="5" t="s">
        <v>14574</v>
      </c>
      <c r="U387" s="5" t="s">
        <v>33</v>
      </c>
      <c r="V387" s="5" t="s">
        <v>43</v>
      </c>
      <c r="W387" s="5" t="s">
        <v>5446</v>
      </c>
    </row>
    <row r="388" spans="1:23" ht="12.5">
      <c r="A388" s="5">
        <v>90891</v>
      </c>
      <c r="B388" s="5" t="s">
        <v>15716</v>
      </c>
      <c r="C388" s="5">
        <v>5719732884924</v>
      </c>
      <c r="D388" s="5" t="s">
        <v>14589</v>
      </c>
      <c r="E388" s="5" t="s">
        <v>5450</v>
      </c>
      <c r="F388" s="5" t="s">
        <v>4403</v>
      </c>
      <c r="G388" s="5" t="s">
        <v>5448</v>
      </c>
      <c r="H388" s="5" t="s">
        <v>5449</v>
      </c>
      <c r="J388" s="12">
        <v>46030</v>
      </c>
      <c r="K388" s="11">
        <v>0.33333333333212067</v>
      </c>
      <c r="M388" s="10" t="s">
        <v>15460</v>
      </c>
      <c r="N388" s="12">
        <v>46029.675373090278</v>
      </c>
      <c r="O388" s="10" t="s">
        <v>15717</v>
      </c>
      <c r="P388" s="5" t="s">
        <v>14571</v>
      </c>
      <c r="Q388" s="5" t="s">
        <v>14578</v>
      </c>
      <c r="R388" s="5" t="s">
        <v>15718</v>
      </c>
      <c r="T388" s="5" t="s">
        <v>5994</v>
      </c>
      <c r="U388" s="5" t="s">
        <v>14598</v>
      </c>
      <c r="V388" s="5" t="s">
        <v>43</v>
      </c>
      <c r="W388" s="5" t="s">
        <v>5451</v>
      </c>
    </row>
    <row r="389" spans="1:23" ht="12.5">
      <c r="A389" s="5">
        <v>90892</v>
      </c>
      <c r="B389" s="5" t="s">
        <v>15719</v>
      </c>
      <c r="C389" s="5">
        <v>573002525621</v>
      </c>
      <c r="D389" s="5">
        <v>20</v>
      </c>
      <c r="E389" s="5" t="s">
        <v>187</v>
      </c>
      <c r="F389" s="5" t="s">
        <v>907</v>
      </c>
      <c r="G389" s="5" t="s">
        <v>5453</v>
      </c>
      <c r="H389" s="5" t="s">
        <v>5454</v>
      </c>
      <c r="I389" s="5">
        <v>3017074064</v>
      </c>
      <c r="J389" s="12">
        <v>46029</v>
      </c>
      <c r="K389" s="11">
        <v>0.75</v>
      </c>
      <c r="M389" s="10" t="s">
        <v>15125</v>
      </c>
      <c r="N389" s="12">
        <v>46029.682840486115</v>
      </c>
      <c r="O389" s="10" t="s">
        <v>15720</v>
      </c>
      <c r="P389" s="5" t="s">
        <v>14571</v>
      </c>
      <c r="Q389" s="5" t="s">
        <v>14612</v>
      </c>
      <c r="R389" s="5" t="s">
        <v>15721</v>
      </c>
      <c r="T389" s="5" t="s">
        <v>5994</v>
      </c>
      <c r="U389" s="5"/>
      <c r="V389" s="5" t="s">
        <v>83</v>
      </c>
    </row>
    <row r="390" spans="1:23" ht="12.5">
      <c r="A390" s="5">
        <v>90893</v>
      </c>
      <c r="B390" s="5" t="s">
        <v>15722</v>
      </c>
      <c r="C390" s="5">
        <v>573106623313</v>
      </c>
      <c r="D390" s="5">
        <v>95</v>
      </c>
      <c r="E390" s="5" t="s">
        <v>42</v>
      </c>
      <c r="F390" s="5" t="s">
        <v>33</v>
      </c>
      <c r="G390" s="5" t="s">
        <v>2409</v>
      </c>
      <c r="H390" s="5" t="s">
        <v>34</v>
      </c>
      <c r="I390" s="5">
        <v>3106623313</v>
      </c>
      <c r="J390" s="12">
        <v>46029</v>
      </c>
      <c r="K390" s="11">
        <v>0</v>
      </c>
      <c r="M390" s="10" t="s">
        <v>14850</v>
      </c>
      <c r="N390" s="12">
        <v>46045.69149305555</v>
      </c>
      <c r="O390" s="10" t="s">
        <v>14918</v>
      </c>
      <c r="P390" s="5" t="s">
        <v>14571</v>
      </c>
      <c r="Q390" s="5" t="s">
        <v>14612</v>
      </c>
      <c r="R390" s="5" t="s">
        <v>15723</v>
      </c>
      <c r="T390" s="5" t="s">
        <v>14574</v>
      </c>
      <c r="U390" s="5" t="s">
        <v>33</v>
      </c>
      <c r="V390" s="5" t="s">
        <v>2636</v>
      </c>
      <c r="W390" s="5" t="s">
        <v>5457</v>
      </c>
    </row>
    <row r="391" spans="1:23" ht="12.5">
      <c r="A391" s="5">
        <v>90894</v>
      </c>
      <c r="B391" s="5" t="s">
        <v>5459</v>
      </c>
      <c r="C391" s="5">
        <v>573205659770</v>
      </c>
      <c r="D391" s="5">
        <v>1</v>
      </c>
      <c r="E391" s="5" t="s">
        <v>170</v>
      </c>
      <c r="F391" s="5" t="s">
        <v>33</v>
      </c>
      <c r="G391" s="5" t="s">
        <v>5459</v>
      </c>
      <c r="H391" s="5" t="s">
        <v>34</v>
      </c>
      <c r="I391" s="5" t="s">
        <v>5460</v>
      </c>
      <c r="J391" s="12">
        <v>46029</v>
      </c>
      <c r="K391" s="11">
        <v>0</v>
      </c>
      <c r="M391" s="10" t="s">
        <v>14910</v>
      </c>
      <c r="N391" s="12">
        <v>46029.697200833332</v>
      </c>
      <c r="O391" s="10" t="s">
        <v>15724</v>
      </c>
      <c r="P391" s="5" t="s">
        <v>14571</v>
      </c>
      <c r="Q391" s="5" t="s">
        <v>14578</v>
      </c>
      <c r="R391" s="5" t="s">
        <v>15725</v>
      </c>
      <c r="T391" s="5" t="s">
        <v>14574</v>
      </c>
      <c r="U391" s="5" t="s">
        <v>33</v>
      </c>
      <c r="V391" s="5" t="s">
        <v>1705</v>
      </c>
    </row>
    <row r="392" spans="1:23" ht="12.5">
      <c r="A392" s="5">
        <v>90895</v>
      </c>
      <c r="B392" s="5" t="s">
        <v>15726</v>
      </c>
      <c r="C392" s="5">
        <v>573106396270</v>
      </c>
      <c r="D392" s="5">
        <v>16</v>
      </c>
      <c r="E392" s="5" t="s">
        <v>2556</v>
      </c>
      <c r="F392" s="5" t="s">
        <v>154</v>
      </c>
      <c r="G392" s="5" t="s">
        <v>5462</v>
      </c>
      <c r="H392" s="5" t="s">
        <v>5463</v>
      </c>
      <c r="I392" s="5">
        <v>3106396270</v>
      </c>
      <c r="J392" s="12">
        <v>46031</v>
      </c>
      <c r="K392" s="11">
        <v>0.375</v>
      </c>
      <c r="M392" s="10" t="s">
        <v>15335</v>
      </c>
      <c r="N392" s="12">
        <v>46029.693535231483</v>
      </c>
      <c r="O392" s="10" t="s">
        <v>15727</v>
      </c>
      <c r="P392" s="5" t="s">
        <v>14571</v>
      </c>
      <c r="Q392" s="5" t="s">
        <v>14572</v>
      </c>
      <c r="R392" s="5" t="s">
        <v>15728</v>
      </c>
      <c r="T392" s="5" t="s">
        <v>5994</v>
      </c>
      <c r="U392" s="5" t="s">
        <v>14593</v>
      </c>
      <c r="V392" s="5" t="s">
        <v>83</v>
      </c>
      <c r="W392" s="5" t="s">
        <v>5466</v>
      </c>
    </row>
    <row r="393" spans="1:23" ht="12.5">
      <c r="A393" s="5">
        <v>90896</v>
      </c>
      <c r="B393" s="5" t="s">
        <v>5468</v>
      </c>
      <c r="C393" s="5">
        <v>573008617951</v>
      </c>
      <c r="D393" s="5">
        <v>30</v>
      </c>
      <c r="E393" s="5" t="s">
        <v>156</v>
      </c>
      <c r="F393" s="5" t="s">
        <v>229</v>
      </c>
      <c r="G393" s="5" t="s">
        <v>5468</v>
      </c>
      <c r="H393" s="5" t="s">
        <v>5469</v>
      </c>
      <c r="I393" s="5">
        <v>3008617951</v>
      </c>
      <c r="J393" s="12">
        <v>46029</v>
      </c>
      <c r="K393" s="11">
        <v>0</v>
      </c>
      <c r="M393" s="10" t="s">
        <v>14766</v>
      </c>
      <c r="N393" s="12">
        <v>46029.696234074072</v>
      </c>
      <c r="O393" s="10" t="s">
        <v>15729</v>
      </c>
      <c r="P393" s="5" t="s">
        <v>14571</v>
      </c>
      <c r="Q393" s="5" t="s">
        <v>14699</v>
      </c>
      <c r="R393" s="5" t="s">
        <v>15730</v>
      </c>
      <c r="T393" s="5" t="s">
        <v>5994</v>
      </c>
      <c r="U393" s="5"/>
      <c r="V393" s="5" t="s">
        <v>83</v>
      </c>
      <c r="W393" s="5" t="s">
        <v>5472</v>
      </c>
    </row>
    <row r="394" spans="1:23" ht="12.5">
      <c r="A394" s="5">
        <v>90897</v>
      </c>
      <c r="B394" s="5" t="s">
        <v>15731</v>
      </c>
      <c r="C394" s="5">
        <v>573043261471</v>
      </c>
      <c r="D394" s="5">
        <v>21</v>
      </c>
      <c r="E394" s="5" t="s">
        <v>330</v>
      </c>
      <c r="F394" s="5" t="s">
        <v>124</v>
      </c>
      <c r="G394" s="5" t="s">
        <v>5475</v>
      </c>
      <c r="H394" s="5" t="s">
        <v>5476</v>
      </c>
      <c r="I394" s="5">
        <v>3005958795</v>
      </c>
      <c r="J394" s="12">
        <v>46030</v>
      </c>
      <c r="K394" s="11">
        <v>0.375</v>
      </c>
      <c r="M394" s="10" t="s">
        <v>14582</v>
      </c>
      <c r="N394" s="12">
        <v>46029.717246469911</v>
      </c>
      <c r="O394" s="10" t="s">
        <v>15732</v>
      </c>
      <c r="P394" s="5" t="s">
        <v>14571</v>
      </c>
      <c r="Q394" s="5" t="s">
        <v>14612</v>
      </c>
      <c r="R394" s="5" t="s">
        <v>15733</v>
      </c>
      <c r="T394" s="5" t="s">
        <v>5994</v>
      </c>
      <c r="U394" s="5" t="s">
        <v>14775</v>
      </c>
      <c r="V394" s="5" t="s">
        <v>83</v>
      </c>
    </row>
    <row r="395" spans="1:23" ht="12.5">
      <c r="A395" s="5">
        <v>90898</v>
      </c>
      <c r="B395" s="5" t="s">
        <v>5480</v>
      </c>
      <c r="C395" s="10" t="s">
        <v>15734</v>
      </c>
      <c r="D395" s="5">
        <v>52</v>
      </c>
      <c r="E395" s="5" t="s">
        <v>178</v>
      </c>
      <c r="F395" s="5" t="s">
        <v>33</v>
      </c>
      <c r="G395" s="5" t="s">
        <v>5480</v>
      </c>
      <c r="H395" s="5" t="s">
        <v>34</v>
      </c>
      <c r="I395" s="5">
        <v>3014902842</v>
      </c>
      <c r="J395" s="12">
        <v>46029</v>
      </c>
      <c r="K395" s="11">
        <v>0</v>
      </c>
      <c r="M395" s="10" t="s">
        <v>14705</v>
      </c>
      <c r="N395" s="12">
        <v>46029</v>
      </c>
      <c r="O395" s="10" t="s">
        <v>15735</v>
      </c>
      <c r="P395" s="5" t="s">
        <v>14571</v>
      </c>
      <c r="Q395" s="5" t="s">
        <v>14612</v>
      </c>
      <c r="R395" s="5" t="s">
        <v>15736</v>
      </c>
      <c r="T395" s="5" t="s">
        <v>14574</v>
      </c>
      <c r="U395" s="5" t="s">
        <v>33</v>
      </c>
      <c r="V395" s="5" t="s">
        <v>1705</v>
      </c>
    </row>
    <row r="396" spans="1:23" ht="12.5">
      <c r="A396" s="5">
        <v>90899</v>
      </c>
      <c r="B396" s="5" t="s">
        <v>15737</v>
      </c>
      <c r="C396" s="5">
        <v>573001507575</v>
      </c>
      <c r="D396" s="5" t="s">
        <v>15738</v>
      </c>
      <c r="E396" s="5" t="s">
        <v>5484</v>
      </c>
      <c r="F396" s="5" t="s">
        <v>73</v>
      </c>
      <c r="G396" s="5" t="s">
        <v>5482</v>
      </c>
      <c r="H396" s="5" t="s">
        <v>5483</v>
      </c>
      <c r="I396" s="5">
        <v>3001507575</v>
      </c>
      <c r="J396" s="12">
        <v>46029</v>
      </c>
      <c r="K396" s="11">
        <v>0</v>
      </c>
      <c r="M396" s="10" t="s">
        <v>15739</v>
      </c>
      <c r="N396" s="12">
        <v>46029.73553229167</v>
      </c>
      <c r="O396" s="10" t="s">
        <v>15740</v>
      </c>
      <c r="P396" s="5" t="s">
        <v>14571</v>
      </c>
      <c r="Q396" s="5" t="s">
        <v>14578</v>
      </c>
      <c r="R396" s="5" t="s">
        <v>15741</v>
      </c>
      <c r="T396" s="5" t="s">
        <v>5994</v>
      </c>
      <c r="U396" s="5" t="s">
        <v>14593</v>
      </c>
      <c r="V396" s="5" t="s">
        <v>83</v>
      </c>
    </row>
    <row r="397" spans="1:23" ht="12.5">
      <c r="A397" s="5">
        <v>90900</v>
      </c>
      <c r="B397" s="5" t="s">
        <v>3215</v>
      </c>
      <c r="C397" s="5">
        <v>573212170032</v>
      </c>
      <c r="D397" s="5">
        <v>95</v>
      </c>
      <c r="E397" s="5" t="s">
        <v>42</v>
      </c>
      <c r="F397" s="5" t="s">
        <v>73</v>
      </c>
      <c r="G397" s="5" t="s">
        <v>5487</v>
      </c>
      <c r="H397" s="5" t="s">
        <v>5488</v>
      </c>
      <c r="I397" s="5">
        <v>3212170032</v>
      </c>
      <c r="J397" s="12">
        <v>46060</v>
      </c>
      <c r="K397" s="11">
        <v>0.58333333333212067</v>
      </c>
      <c r="M397" s="10" t="s">
        <v>15582</v>
      </c>
      <c r="N397" s="12">
        <v>46029.769138310185</v>
      </c>
      <c r="O397" s="10" t="s">
        <v>15742</v>
      </c>
      <c r="P397" s="5" t="s">
        <v>14571</v>
      </c>
      <c r="Q397" s="5" t="s">
        <v>14572</v>
      </c>
      <c r="R397" s="5" t="s">
        <v>15743</v>
      </c>
      <c r="T397" s="5" t="s">
        <v>5994</v>
      </c>
      <c r="U397" s="5" t="s">
        <v>14593</v>
      </c>
      <c r="V397" s="5" t="s">
        <v>83</v>
      </c>
      <c r="W397" s="5" t="s">
        <v>5489</v>
      </c>
    </row>
    <row r="398" spans="1:23" ht="12.5">
      <c r="A398" s="5">
        <v>90901</v>
      </c>
      <c r="B398" s="5" t="s">
        <v>5491</v>
      </c>
      <c r="C398" s="5" t="s">
        <v>25421</v>
      </c>
      <c r="D398" s="5">
        <v>29</v>
      </c>
      <c r="E398" s="5" t="s">
        <v>309</v>
      </c>
      <c r="F398" s="5" t="s">
        <v>33</v>
      </c>
      <c r="G398" s="5" t="s">
        <v>5491</v>
      </c>
      <c r="H398" s="5" t="s">
        <v>34</v>
      </c>
      <c r="I398" s="5" t="s">
        <v>5492</v>
      </c>
      <c r="J398" s="12">
        <v>46030</v>
      </c>
      <c r="K398" s="11">
        <v>0</v>
      </c>
      <c r="M398" s="10" t="s">
        <v>14585</v>
      </c>
      <c r="N398" s="12">
        <v>46030.296900682872</v>
      </c>
      <c r="O398" s="10" t="s">
        <v>15744</v>
      </c>
      <c r="P398" s="5" t="s">
        <v>14571</v>
      </c>
      <c r="Q398" s="5" t="s">
        <v>14572</v>
      </c>
      <c r="R398" s="5" t="s">
        <v>15745</v>
      </c>
      <c r="T398" s="5" t="s">
        <v>14574</v>
      </c>
      <c r="U398" s="5" t="s">
        <v>33</v>
      </c>
      <c r="V398" s="5" t="s">
        <v>43</v>
      </c>
      <c r="W398" s="5" t="s">
        <v>5493</v>
      </c>
    </row>
    <row r="399" spans="1:23" ht="12.5">
      <c r="A399" s="5">
        <v>90902</v>
      </c>
      <c r="B399" s="5" t="s">
        <v>15746</v>
      </c>
      <c r="C399" s="5">
        <v>573012805057</v>
      </c>
      <c r="D399" s="5">
        <v>52</v>
      </c>
      <c r="E399" s="5" t="s">
        <v>178</v>
      </c>
      <c r="F399" s="5" t="s">
        <v>146</v>
      </c>
      <c r="G399" s="5" t="s">
        <v>5495</v>
      </c>
      <c r="H399" s="5" t="s">
        <v>5496</v>
      </c>
      <c r="I399" s="5">
        <v>3012805057</v>
      </c>
      <c r="J399" s="12">
        <v>46030</v>
      </c>
      <c r="K399" s="11">
        <v>0.39583333333212067</v>
      </c>
      <c r="M399" s="10" t="s">
        <v>14590</v>
      </c>
      <c r="N399" s="12">
        <v>46030.33581506944</v>
      </c>
      <c r="O399" s="10" t="s">
        <v>15747</v>
      </c>
      <c r="P399" s="5" t="s">
        <v>14571</v>
      </c>
      <c r="Q399" s="5" t="s">
        <v>14572</v>
      </c>
      <c r="R399" s="5" t="s">
        <v>15748</v>
      </c>
      <c r="T399" s="5" t="s">
        <v>5994</v>
      </c>
      <c r="U399" s="5" t="s">
        <v>14618</v>
      </c>
      <c r="V399" s="5" t="s">
        <v>83</v>
      </c>
    </row>
    <row r="400" spans="1:23" ht="12.5">
      <c r="A400" s="5">
        <v>90903</v>
      </c>
      <c r="B400" s="5" t="s">
        <v>5498</v>
      </c>
      <c r="C400" s="5">
        <v>573134192640</v>
      </c>
      <c r="D400" s="5" t="s">
        <v>14589</v>
      </c>
      <c r="E400" s="5" t="s">
        <v>5499</v>
      </c>
      <c r="F400" s="5" t="s">
        <v>33</v>
      </c>
      <c r="G400" s="5" t="s">
        <v>5498</v>
      </c>
      <c r="H400" s="5" t="s">
        <v>34</v>
      </c>
      <c r="I400" s="5">
        <v>3134192640</v>
      </c>
      <c r="J400" s="12">
        <v>46030</v>
      </c>
      <c r="K400" s="11">
        <v>0.39583333333212067</v>
      </c>
      <c r="M400" s="10" t="s">
        <v>14705</v>
      </c>
      <c r="N400" s="12">
        <v>46030.365745937495</v>
      </c>
      <c r="O400" s="10" t="s">
        <v>15184</v>
      </c>
      <c r="P400" s="5" t="s">
        <v>14571</v>
      </c>
      <c r="Q400" s="5" t="s">
        <v>14572</v>
      </c>
      <c r="R400" s="5" t="s">
        <v>15749</v>
      </c>
      <c r="T400" s="5" t="s">
        <v>14574</v>
      </c>
      <c r="U400" s="5" t="s">
        <v>33</v>
      </c>
      <c r="V400" s="5" t="s">
        <v>1705</v>
      </c>
    </row>
    <row r="401" spans="1:23" ht="12.5">
      <c r="A401" s="5">
        <v>90904</v>
      </c>
      <c r="B401" s="5" t="s">
        <v>15750</v>
      </c>
      <c r="C401" s="5">
        <v>573017247920</v>
      </c>
      <c r="D401" s="5">
        <v>31</v>
      </c>
      <c r="E401" s="5" t="s">
        <v>375</v>
      </c>
      <c r="F401" s="5" t="s">
        <v>103</v>
      </c>
      <c r="G401" s="5" t="s">
        <v>5502</v>
      </c>
      <c r="H401" s="5" t="s">
        <v>5503</v>
      </c>
      <c r="I401" s="5">
        <v>3004450503</v>
      </c>
      <c r="J401" s="12">
        <v>46030</v>
      </c>
      <c r="K401" s="11">
        <v>0.41666666666787933</v>
      </c>
      <c r="M401" s="10" t="s">
        <v>14585</v>
      </c>
      <c r="N401" s="12">
        <v>46030.360178391202</v>
      </c>
      <c r="O401" s="10" t="s">
        <v>15751</v>
      </c>
      <c r="P401" s="5" t="s">
        <v>14571</v>
      </c>
      <c r="Q401" s="5" t="s">
        <v>14572</v>
      </c>
      <c r="R401" s="5" t="s">
        <v>15752</v>
      </c>
      <c r="T401" s="5" t="s">
        <v>5994</v>
      </c>
      <c r="U401" s="5" t="s">
        <v>14593</v>
      </c>
      <c r="V401" s="5" t="s">
        <v>83</v>
      </c>
    </row>
    <row r="402" spans="1:23" ht="12.5">
      <c r="A402" s="5">
        <v>90905</v>
      </c>
      <c r="B402" s="5" t="s">
        <v>15753</v>
      </c>
      <c r="C402" s="5">
        <v>573017861263</v>
      </c>
      <c r="D402" s="5">
        <v>7</v>
      </c>
      <c r="E402" s="5" t="s">
        <v>112</v>
      </c>
      <c r="F402" s="5" t="s">
        <v>964</v>
      </c>
      <c r="G402" s="5" t="s">
        <v>5507</v>
      </c>
      <c r="H402" s="5" t="s">
        <v>5508</v>
      </c>
      <c r="I402" s="5">
        <v>3003303025</v>
      </c>
      <c r="J402" s="12">
        <v>46030</v>
      </c>
      <c r="K402" s="11">
        <v>0.43888888888977817</v>
      </c>
      <c r="M402" s="10" t="s">
        <v>15754</v>
      </c>
      <c r="N402" s="12">
        <v>46030.379865925926</v>
      </c>
      <c r="O402" s="10" t="s">
        <v>15755</v>
      </c>
      <c r="P402" s="5" t="s">
        <v>14571</v>
      </c>
      <c r="Q402" s="5" t="s">
        <v>14578</v>
      </c>
      <c r="R402" s="5" t="s">
        <v>15756</v>
      </c>
      <c r="T402" s="5" t="s">
        <v>5994</v>
      </c>
      <c r="U402" s="5" t="s">
        <v>14618</v>
      </c>
      <c r="V402" s="5" t="s">
        <v>83</v>
      </c>
    </row>
    <row r="403" spans="1:23" ht="12.5">
      <c r="A403" s="5">
        <v>90906</v>
      </c>
      <c r="B403" s="5" t="s">
        <v>15757</v>
      </c>
      <c r="C403" s="5">
        <v>573176439333</v>
      </c>
      <c r="D403" s="5">
        <v>31</v>
      </c>
      <c r="E403" s="5" t="s">
        <v>375</v>
      </c>
      <c r="F403" s="5" t="s">
        <v>307</v>
      </c>
      <c r="G403" s="5" t="s">
        <v>5512</v>
      </c>
      <c r="H403" s="5" t="s">
        <v>5513</v>
      </c>
      <c r="I403" s="5">
        <v>3013661680</v>
      </c>
      <c r="J403" s="12">
        <v>46030</v>
      </c>
      <c r="K403" s="11">
        <v>0.47013888888977817</v>
      </c>
      <c r="M403" s="10" t="s">
        <v>14585</v>
      </c>
      <c r="N403" s="12">
        <v>46030.410671944446</v>
      </c>
      <c r="O403" s="10" t="s">
        <v>15758</v>
      </c>
      <c r="P403" s="5" t="s">
        <v>14571</v>
      </c>
      <c r="Q403" s="5" t="s">
        <v>14572</v>
      </c>
      <c r="R403" s="5" t="s">
        <v>15759</v>
      </c>
      <c r="T403" s="5" t="s">
        <v>5994</v>
      </c>
      <c r="U403" s="5" t="s">
        <v>14618</v>
      </c>
      <c r="V403" s="5" t="s">
        <v>83</v>
      </c>
    </row>
    <row r="404" spans="1:23" ht="12.5">
      <c r="A404" s="5">
        <v>90907</v>
      </c>
      <c r="B404" s="5" t="s">
        <v>5078</v>
      </c>
      <c r="C404" s="5">
        <v>573008162675</v>
      </c>
      <c r="D404" s="5" t="s">
        <v>14589</v>
      </c>
      <c r="E404" s="5" t="s">
        <v>5516</v>
      </c>
      <c r="F404" s="5" t="s">
        <v>33</v>
      </c>
      <c r="G404" s="5" t="s">
        <v>5078</v>
      </c>
      <c r="H404" s="5" t="s">
        <v>34</v>
      </c>
      <c r="I404" s="5">
        <v>3008162675</v>
      </c>
      <c r="J404" s="12">
        <v>46030</v>
      </c>
      <c r="K404" s="11">
        <v>0.41666666666787933</v>
      </c>
      <c r="M404" s="10" t="s">
        <v>14627</v>
      </c>
      <c r="N404" s="12">
        <v>46030.43871642361</v>
      </c>
      <c r="O404" s="10" t="s">
        <v>15760</v>
      </c>
      <c r="P404" s="5" t="s">
        <v>14571</v>
      </c>
      <c r="Q404" s="5" t="s">
        <v>14578</v>
      </c>
      <c r="R404" s="5" t="s">
        <v>15761</v>
      </c>
      <c r="T404" s="5" t="s">
        <v>14574</v>
      </c>
      <c r="U404" s="5" t="s">
        <v>33</v>
      </c>
      <c r="V404" s="5" t="s">
        <v>83</v>
      </c>
    </row>
    <row r="405" spans="1:23" ht="12.5">
      <c r="A405" s="5">
        <v>90908</v>
      </c>
      <c r="B405" s="5" t="s">
        <v>15762</v>
      </c>
      <c r="C405" s="5">
        <v>573004113183</v>
      </c>
      <c r="D405" s="5">
        <v>29</v>
      </c>
      <c r="E405" s="5" t="s">
        <v>309</v>
      </c>
      <c r="F405" s="5" t="s">
        <v>265</v>
      </c>
      <c r="G405" s="5" t="s">
        <v>5519</v>
      </c>
      <c r="H405" s="5" t="s">
        <v>15763</v>
      </c>
      <c r="I405" s="5" t="s">
        <v>5521</v>
      </c>
      <c r="J405" s="12">
        <v>46030</v>
      </c>
      <c r="K405" s="11">
        <v>0.66666666666787933</v>
      </c>
      <c r="M405" s="10" t="s">
        <v>15525</v>
      </c>
      <c r="N405" s="12">
        <v>46030.435661597221</v>
      </c>
      <c r="O405" s="10" t="s">
        <v>15764</v>
      </c>
      <c r="P405" s="5" t="s">
        <v>14571</v>
      </c>
      <c r="Q405" s="5" t="s">
        <v>14578</v>
      </c>
      <c r="R405" s="5" t="s">
        <v>15765</v>
      </c>
      <c r="T405" s="5" t="s">
        <v>5994</v>
      </c>
      <c r="U405" s="5" t="s">
        <v>14691</v>
      </c>
      <c r="V405" s="5" t="s">
        <v>180</v>
      </c>
    </row>
    <row r="406" spans="1:23" ht="12.5">
      <c r="A406" s="5">
        <v>90909</v>
      </c>
      <c r="B406" s="5" t="s">
        <v>15766</v>
      </c>
      <c r="C406" s="5">
        <v>573009025157</v>
      </c>
      <c r="D406" s="5">
        <v>5</v>
      </c>
      <c r="E406" s="5" t="s">
        <v>3111</v>
      </c>
      <c r="F406" s="5" t="s">
        <v>146</v>
      </c>
      <c r="G406" s="5" t="s">
        <v>5525</v>
      </c>
      <c r="H406" s="5" t="s">
        <v>5526</v>
      </c>
      <c r="I406" s="5">
        <v>3017860248</v>
      </c>
      <c r="J406" s="12">
        <v>46032</v>
      </c>
      <c r="K406" s="11">
        <v>0.375</v>
      </c>
      <c r="M406" s="10" t="s">
        <v>15767</v>
      </c>
      <c r="N406" s="12">
        <v>46030.450531504626</v>
      </c>
      <c r="O406" s="10" t="s">
        <v>15768</v>
      </c>
      <c r="P406" s="5" t="s">
        <v>14571</v>
      </c>
      <c r="Q406" s="5" t="s">
        <v>14612</v>
      </c>
      <c r="R406" s="5" t="s">
        <v>15769</v>
      </c>
      <c r="T406" s="5" t="s">
        <v>5994</v>
      </c>
      <c r="U406" s="5" t="s">
        <v>14618</v>
      </c>
      <c r="V406" s="5" t="s">
        <v>83</v>
      </c>
      <c r="W406" s="5" t="s">
        <v>5528</v>
      </c>
    </row>
    <row r="407" spans="1:23" ht="12.5">
      <c r="A407" s="5">
        <v>90910</v>
      </c>
      <c r="B407" s="5" t="s">
        <v>2955</v>
      </c>
      <c r="C407" s="5">
        <v>15514822719</v>
      </c>
      <c r="D407" s="5" t="s">
        <v>14589</v>
      </c>
      <c r="E407" s="5" t="s">
        <v>5532</v>
      </c>
      <c r="F407" s="5" t="s">
        <v>33</v>
      </c>
      <c r="G407" s="5" t="s">
        <v>5530</v>
      </c>
      <c r="H407" s="5" t="s">
        <v>5531</v>
      </c>
      <c r="I407" s="5">
        <v>3104426028</v>
      </c>
      <c r="J407" s="12">
        <v>46030</v>
      </c>
      <c r="K407" s="11">
        <v>0.48680555555620231</v>
      </c>
      <c r="M407" s="10" t="s">
        <v>15420</v>
      </c>
      <c r="N407" s="12">
        <v>46030.458218020838</v>
      </c>
      <c r="O407" s="10" t="s">
        <v>15770</v>
      </c>
      <c r="P407" s="5" t="s">
        <v>14571</v>
      </c>
      <c r="Q407" s="5" t="s">
        <v>14578</v>
      </c>
      <c r="R407" s="5" t="s">
        <v>15771</v>
      </c>
      <c r="T407" s="5" t="s">
        <v>14574</v>
      </c>
      <c r="U407" s="5" t="s">
        <v>33</v>
      </c>
      <c r="V407" s="5" t="s">
        <v>83</v>
      </c>
    </row>
    <row r="408" spans="1:23" ht="12.5">
      <c r="A408" s="5">
        <v>90911</v>
      </c>
      <c r="B408" s="5" t="s">
        <v>5537</v>
      </c>
      <c r="C408" s="5">
        <v>5747744</v>
      </c>
      <c r="D408" s="5">
        <v>32</v>
      </c>
      <c r="E408" s="5" t="s">
        <v>65</v>
      </c>
      <c r="F408" s="5" t="s">
        <v>33</v>
      </c>
      <c r="G408" s="5" t="s">
        <v>5537</v>
      </c>
      <c r="H408" s="5" t="s">
        <v>34</v>
      </c>
      <c r="I408" s="5">
        <v>47744</v>
      </c>
      <c r="J408" s="12">
        <v>46030</v>
      </c>
      <c r="K408" s="11">
        <v>0</v>
      </c>
      <c r="M408" s="10" t="s">
        <v>14800</v>
      </c>
      <c r="N408" s="12">
        <v>46030.472750300927</v>
      </c>
      <c r="O408" s="10" t="s">
        <v>15772</v>
      </c>
      <c r="P408" s="5" t="s">
        <v>14571</v>
      </c>
      <c r="Q408" s="5" t="s">
        <v>14572</v>
      </c>
      <c r="R408" s="5" t="s">
        <v>15773</v>
      </c>
      <c r="T408" s="5" t="s">
        <v>14574</v>
      </c>
      <c r="U408" s="5" t="s">
        <v>33</v>
      </c>
      <c r="V408" s="5" t="s">
        <v>1705</v>
      </c>
    </row>
    <row r="409" spans="1:23" ht="12.5">
      <c r="A409" s="5">
        <v>90912</v>
      </c>
      <c r="B409" s="5" t="s">
        <v>5540</v>
      </c>
      <c r="C409" s="5">
        <v>19196220060</v>
      </c>
      <c r="D409" s="5">
        <v>52</v>
      </c>
      <c r="E409" s="5" t="s">
        <v>178</v>
      </c>
      <c r="F409" s="5" t="s">
        <v>33</v>
      </c>
      <c r="G409" s="5" t="s">
        <v>5540</v>
      </c>
      <c r="H409" s="5" t="s">
        <v>34</v>
      </c>
      <c r="I409" s="5">
        <v>9196220060</v>
      </c>
      <c r="J409" s="12">
        <v>46030</v>
      </c>
      <c r="K409" s="11">
        <v>0</v>
      </c>
      <c r="M409" s="10" t="s">
        <v>14705</v>
      </c>
      <c r="N409" s="12">
        <v>46030.4875178125</v>
      </c>
      <c r="O409" s="10" t="s">
        <v>14644</v>
      </c>
      <c r="P409" s="5" t="s">
        <v>14571</v>
      </c>
      <c r="Q409" s="5" t="s">
        <v>14572</v>
      </c>
      <c r="R409" s="5" t="s">
        <v>15774</v>
      </c>
      <c r="T409" s="5" t="s">
        <v>14574</v>
      </c>
      <c r="U409" s="5" t="s">
        <v>33</v>
      </c>
      <c r="V409" s="5" t="s">
        <v>1705</v>
      </c>
    </row>
    <row r="410" spans="1:23" ht="12.5">
      <c r="A410" s="5">
        <v>90913</v>
      </c>
      <c r="B410" s="5" t="s">
        <v>15775</v>
      </c>
      <c r="C410" s="5">
        <v>573227689986</v>
      </c>
      <c r="D410" s="5">
        <v>63</v>
      </c>
      <c r="E410" s="5" t="s">
        <v>294</v>
      </c>
      <c r="F410" s="5" t="s">
        <v>146</v>
      </c>
      <c r="G410" s="5" t="s">
        <v>5543</v>
      </c>
      <c r="H410" s="5" t="s">
        <v>5544</v>
      </c>
      <c r="J410" s="12">
        <v>46031</v>
      </c>
      <c r="K410" s="11">
        <v>0.33333333333212067</v>
      </c>
      <c r="M410" s="10" t="s">
        <v>15776</v>
      </c>
      <c r="N410" s="12">
        <v>46030.406928124998</v>
      </c>
      <c r="O410" s="10" t="s">
        <v>15777</v>
      </c>
      <c r="P410" s="5" t="s">
        <v>14571</v>
      </c>
      <c r="Q410" s="5" t="s">
        <v>14612</v>
      </c>
      <c r="R410" s="5" t="s">
        <v>15778</v>
      </c>
      <c r="T410" s="5" t="s">
        <v>5994</v>
      </c>
      <c r="U410" s="5" t="s">
        <v>14618</v>
      </c>
      <c r="V410" s="5" t="s">
        <v>83</v>
      </c>
      <c r="W410" s="5" t="s">
        <v>5547</v>
      </c>
    </row>
    <row r="411" spans="1:23" ht="12.5">
      <c r="A411" s="5">
        <v>90914</v>
      </c>
      <c r="B411" s="5" t="s">
        <v>15779</v>
      </c>
      <c r="C411" s="5">
        <v>573023595972</v>
      </c>
      <c r="D411" s="5" t="s">
        <v>14589</v>
      </c>
      <c r="E411" s="5" t="s">
        <v>5550</v>
      </c>
      <c r="F411" s="5" t="s">
        <v>3276</v>
      </c>
      <c r="G411" s="5" t="s">
        <v>1051</v>
      </c>
      <c r="H411" s="5" t="s">
        <v>5549</v>
      </c>
      <c r="I411" s="5">
        <v>3023595972</v>
      </c>
      <c r="J411" s="12">
        <v>46030</v>
      </c>
      <c r="K411" s="11">
        <v>0.58333333333212067</v>
      </c>
      <c r="M411" s="10" t="s">
        <v>14627</v>
      </c>
      <c r="N411" s="12">
        <v>46030.498199537033</v>
      </c>
      <c r="O411" s="10" t="s">
        <v>15780</v>
      </c>
      <c r="P411" s="5" t="s">
        <v>14571</v>
      </c>
      <c r="Q411" s="5" t="s">
        <v>14578</v>
      </c>
      <c r="R411" s="5" t="s">
        <v>15781</v>
      </c>
      <c r="T411" s="5" t="s">
        <v>5994</v>
      </c>
      <c r="U411" s="5"/>
      <c r="V411" s="5" t="s">
        <v>83</v>
      </c>
    </row>
    <row r="412" spans="1:23" ht="12.5">
      <c r="A412" s="5">
        <v>90915</v>
      </c>
      <c r="B412" s="5" t="s">
        <v>15782</v>
      </c>
      <c r="C412" s="5">
        <v>573103102061</v>
      </c>
      <c r="D412" s="5">
        <v>25</v>
      </c>
      <c r="E412" s="5" t="s">
        <v>1792</v>
      </c>
      <c r="F412" s="5" t="s">
        <v>726</v>
      </c>
      <c r="G412" s="5">
        <v>3103102061</v>
      </c>
      <c r="H412" s="5" t="s">
        <v>5553</v>
      </c>
      <c r="J412" s="12">
        <v>46030</v>
      </c>
      <c r="K412" s="11">
        <v>0.58333333333212067</v>
      </c>
      <c r="M412" s="10" t="s">
        <v>15783</v>
      </c>
      <c r="N412" s="12">
        <v>46030.520103483796</v>
      </c>
      <c r="O412" s="10" t="s">
        <v>15399</v>
      </c>
      <c r="P412" s="5" t="s">
        <v>14571</v>
      </c>
      <c r="Q412" s="5" t="s">
        <v>14572</v>
      </c>
      <c r="R412" s="5" t="s">
        <v>15784</v>
      </c>
      <c r="T412" s="5" t="s">
        <v>5994</v>
      </c>
      <c r="U412" s="5" t="s">
        <v>14618</v>
      </c>
      <c r="V412" s="5" t="s">
        <v>180</v>
      </c>
    </row>
    <row r="413" spans="1:23" ht="12.5">
      <c r="A413" s="5">
        <v>90916</v>
      </c>
      <c r="B413" s="5" t="s">
        <v>5556</v>
      </c>
      <c r="C413" s="5">
        <v>570000</v>
      </c>
      <c r="D413" s="5">
        <v>95</v>
      </c>
      <c r="E413" s="5" t="s">
        <v>42</v>
      </c>
      <c r="F413" s="5" t="s">
        <v>33</v>
      </c>
      <c r="G413" s="5" t="s">
        <v>5556</v>
      </c>
      <c r="H413" s="5" t="s">
        <v>34</v>
      </c>
      <c r="J413" s="12">
        <v>46030</v>
      </c>
      <c r="K413" s="11">
        <v>0</v>
      </c>
      <c r="M413" s="10" t="s">
        <v>15785</v>
      </c>
      <c r="N413" s="12">
        <v>46030.535541620367</v>
      </c>
      <c r="O413" s="10" t="s">
        <v>14968</v>
      </c>
      <c r="P413" s="5" t="s">
        <v>14571</v>
      </c>
      <c r="Q413" s="5" t="s">
        <v>14572</v>
      </c>
      <c r="R413" s="5" t="s">
        <v>15786</v>
      </c>
      <c r="T413" s="5" t="s">
        <v>14574</v>
      </c>
      <c r="U413" s="5" t="s">
        <v>33</v>
      </c>
      <c r="V413" s="5" t="s">
        <v>196</v>
      </c>
      <c r="W413" s="5" t="s">
        <v>3744</v>
      </c>
    </row>
    <row r="414" spans="1:23" ht="12.5">
      <c r="A414" s="5">
        <v>90917</v>
      </c>
      <c r="B414" s="5" t="s">
        <v>15787</v>
      </c>
      <c r="C414" s="5">
        <v>573160569727</v>
      </c>
      <c r="D414" s="5">
        <v>6</v>
      </c>
      <c r="E414" s="5" t="s">
        <v>1049</v>
      </c>
      <c r="F414" s="5" t="s">
        <v>3764</v>
      </c>
      <c r="G414" s="5" t="s">
        <v>5559</v>
      </c>
      <c r="H414" s="5" t="s">
        <v>5560</v>
      </c>
      <c r="J414" s="12">
        <v>46032</v>
      </c>
      <c r="K414" s="11">
        <v>0.66666666666787933</v>
      </c>
      <c r="M414" s="10" t="s">
        <v>15788</v>
      </c>
      <c r="N414" s="12">
        <v>46030.557193229164</v>
      </c>
      <c r="O414" s="10" t="s">
        <v>15789</v>
      </c>
      <c r="P414" s="5" t="s">
        <v>14571</v>
      </c>
      <c r="Q414" s="5" t="s">
        <v>14578</v>
      </c>
      <c r="R414" s="5" t="s">
        <v>15790</v>
      </c>
      <c r="T414" s="5" t="s">
        <v>5994</v>
      </c>
      <c r="U414" s="5" t="s">
        <v>14618</v>
      </c>
      <c r="V414" s="5" t="s">
        <v>83</v>
      </c>
    </row>
    <row r="415" spans="1:23" ht="12.5">
      <c r="A415" s="5">
        <v>90918</v>
      </c>
      <c r="B415" s="5" t="s">
        <v>5563</v>
      </c>
      <c r="C415" s="5">
        <v>57000</v>
      </c>
      <c r="D415" s="5">
        <v>95</v>
      </c>
      <c r="E415" s="5" t="s">
        <v>42</v>
      </c>
      <c r="F415" s="5" t="s">
        <v>33</v>
      </c>
      <c r="G415" s="5" t="s">
        <v>5563</v>
      </c>
      <c r="H415" s="5" t="s">
        <v>34</v>
      </c>
      <c r="I415" s="10" t="s">
        <v>2686</v>
      </c>
      <c r="J415" s="12">
        <v>46030</v>
      </c>
      <c r="K415" s="11">
        <v>0</v>
      </c>
      <c r="M415" s="10" t="s">
        <v>15785</v>
      </c>
      <c r="N415" s="12">
        <v>46030.570535856481</v>
      </c>
      <c r="O415" s="10" t="s">
        <v>15791</v>
      </c>
      <c r="P415" s="5" t="s">
        <v>14571</v>
      </c>
      <c r="Q415" s="5" t="s">
        <v>14612</v>
      </c>
      <c r="R415" s="5" t="s">
        <v>15792</v>
      </c>
      <c r="T415" s="5" t="s">
        <v>14574</v>
      </c>
      <c r="U415" s="5" t="s">
        <v>33</v>
      </c>
      <c r="V415" s="5" t="s">
        <v>196</v>
      </c>
    </row>
    <row r="416" spans="1:23" ht="12.5">
      <c r="A416" s="5">
        <v>90919</v>
      </c>
      <c r="B416" s="5" t="s">
        <v>15793</v>
      </c>
      <c r="C416" s="5">
        <v>573214050778</v>
      </c>
      <c r="D416" s="5">
        <v>5</v>
      </c>
      <c r="E416" s="5" t="s">
        <v>3111</v>
      </c>
      <c r="F416" s="5" t="s">
        <v>103</v>
      </c>
      <c r="G416" s="5" t="s">
        <v>5565</v>
      </c>
      <c r="H416" s="5" t="s">
        <v>5566</v>
      </c>
      <c r="I416" s="5">
        <v>3146326217</v>
      </c>
      <c r="J416" s="12">
        <v>46030</v>
      </c>
      <c r="K416" s="11">
        <v>0.625</v>
      </c>
      <c r="M416" s="10" t="s">
        <v>14712</v>
      </c>
      <c r="N416" s="12">
        <v>46030.580297800931</v>
      </c>
      <c r="O416" s="10" t="s">
        <v>15544</v>
      </c>
      <c r="P416" s="5" t="s">
        <v>14571</v>
      </c>
      <c r="Q416" s="5" t="s">
        <v>14578</v>
      </c>
      <c r="R416" s="5" t="s">
        <v>15794</v>
      </c>
      <c r="T416" s="5" t="s">
        <v>5994</v>
      </c>
      <c r="U416" s="5" t="s">
        <v>14593</v>
      </c>
      <c r="V416" s="5" t="s">
        <v>83</v>
      </c>
      <c r="W416" s="5" t="s">
        <v>5569</v>
      </c>
    </row>
    <row r="417" spans="1:23" ht="12.5">
      <c r="A417" s="5">
        <v>90920</v>
      </c>
      <c r="B417" s="5" t="s">
        <v>15795</v>
      </c>
      <c r="C417" s="5">
        <v>573176676303</v>
      </c>
      <c r="D417" s="5">
        <v>53</v>
      </c>
      <c r="E417" s="5" t="s">
        <v>75</v>
      </c>
      <c r="F417" s="5" t="s">
        <v>975</v>
      </c>
      <c r="G417" s="5" t="s">
        <v>5570</v>
      </c>
      <c r="H417" s="5" t="s">
        <v>5571</v>
      </c>
      <c r="I417" s="5">
        <v>3176676303</v>
      </c>
      <c r="J417" s="12">
        <v>46031</v>
      </c>
      <c r="K417" s="11">
        <v>0.375</v>
      </c>
      <c r="M417" s="10" t="s">
        <v>14585</v>
      </c>
      <c r="N417" s="12">
        <v>46030.590579432872</v>
      </c>
      <c r="O417" s="10" t="s">
        <v>14839</v>
      </c>
      <c r="P417" s="5" t="s">
        <v>14571</v>
      </c>
      <c r="Q417" s="5" t="s">
        <v>14578</v>
      </c>
      <c r="R417" s="5" t="s">
        <v>15796</v>
      </c>
      <c r="T417" s="5" t="s">
        <v>5994</v>
      </c>
      <c r="U417" s="5" t="s">
        <v>14593</v>
      </c>
      <c r="V417" s="5" t="s">
        <v>83</v>
      </c>
    </row>
    <row r="418" spans="1:23" ht="12.5">
      <c r="A418" s="5">
        <v>90921</v>
      </c>
      <c r="B418" s="5" t="s">
        <v>7897</v>
      </c>
      <c r="C418" s="5">
        <v>573022964478</v>
      </c>
      <c r="D418" s="5">
        <v>95</v>
      </c>
      <c r="E418" s="5" t="s">
        <v>42</v>
      </c>
      <c r="F418" s="5" t="s">
        <v>5574</v>
      </c>
      <c r="G418" s="5" t="s">
        <v>5572</v>
      </c>
      <c r="H418" s="5" t="s">
        <v>5575</v>
      </c>
      <c r="I418" s="5">
        <v>3022964478</v>
      </c>
      <c r="J418" s="12">
        <v>46030</v>
      </c>
      <c r="K418" s="11">
        <v>0.625</v>
      </c>
      <c r="M418" s="10" t="s">
        <v>14627</v>
      </c>
      <c r="N418" s="12">
        <v>46030.600386712962</v>
      </c>
      <c r="O418" s="10" t="s">
        <v>15797</v>
      </c>
      <c r="P418" s="5" t="s">
        <v>14571</v>
      </c>
      <c r="Q418" s="5" t="s">
        <v>14572</v>
      </c>
      <c r="R418" s="5" t="s">
        <v>15798</v>
      </c>
      <c r="T418" s="5" t="s">
        <v>5994</v>
      </c>
      <c r="U418" s="5" t="s">
        <v>14593</v>
      </c>
      <c r="V418" s="5" t="s">
        <v>83</v>
      </c>
      <c r="W418" s="5" t="s">
        <v>525</v>
      </c>
    </row>
    <row r="419" spans="1:23" ht="12.5">
      <c r="A419" s="5">
        <v>90922</v>
      </c>
      <c r="B419" s="5" t="s">
        <v>5578</v>
      </c>
      <c r="C419" s="5">
        <v>573002857892</v>
      </c>
      <c r="D419" s="5">
        <v>52</v>
      </c>
      <c r="E419" s="5" t="s">
        <v>178</v>
      </c>
      <c r="F419" s="5" t="s">
        <v>33</v>
      </c>
      <c r="G419" s="5" t="s">
        <v>5578</v>
      </c>
      <c r="H419" s="5" t="s">
        <v>34</v>
      </c>
      <c r="I419" s="5">
        <v>3002857892</v>
      </c>
      <c r="J419" s="12">
        <v>46030</v>
      </c>
      <c r="K419" s="11">
        <v>0</v>
      </c>
      <c r="M419" s="10" t="s">
        <v>14705</v>
      </c>
      <c r="N419" s="12">
        <v>46030.606525497686</v>
      </c>
      <c r="O419" s="10" t="s">
        <v>14607</v>
      </c>
      <c r="P419" s="5" t="s">
        <v>14571</v>
      </c>
      <c r="Q419" s="5" t="s">
        <v>14572</v>
      </c>
      <c r="R419" s="5" t="s">
        <v>15799</v>
      </c>
      <c r="T419" s="5" t="s">
        <v>14574</v>
      </c>
      <c r="U419" s="5" t="s">
        <v>33</v>
      </c>
      <c r="V419" s="5" t="s">
        <v>196</v>
      </c>
    </row>
    <row r="420" spans="1:23" ht="12.5">
      <c r="A420" s="5">
        <v>90923</v>
      </c>
      <c r="B420" s="5" t="s">
        <v>15800</v>
      </c>
      <c r="C420" s="5">
        <v>573205438007</v>
      </c>
      <c r="D420" s="5">
        <v>42</v>
      </c>
      <c r="E420" s="5" t="s">
        <v>649</v>
      </c>
      <c r="F420" s="5" t="s">
        <v>73</v>
      </c>
      <c r="G420" s="5" t="s">
        <v>2915</v>
      </c>
      <c r="H420" s="5" t="s">
        <v>5580</v>
      </c>
      <c r="I420" s="5">
        <v>3205438006</v>
      </c>
      <c r="J420" s="12">
        <v>46031</v>
      </c>
      <c r="K420" s="11">
        <v>0.375</v>
      </c>
      <c r="M420" s="10" t="s">
        <v>14657</v>
      </c>
      <c r="N420" s="12">
        <v>46030.564579722224</v>
      </c>
      <c r="O420" s="10" t="s">
        <v>15801</v>
      </c>
      <c r="P420" s="5" t="s">
        <v>14571</v>
      </c>
      <c r="Q420" s="5" t="s">
        <v>14572</v>
      </c>
      <c r="R420" s="5" t="s">
        <v>15802</v>
      </c>
      <c r="T420" s="5" t="s">
        <v>5994</v>
      </c>
      <c r="U420" s="5" t="s">
        <v>14593</v>
      </c>
      <c r="V420" s="5" t="s">
        <v>1937</v>
      </c>
    </row>
    <row r="421" spans="1:23" ht="12.5">
      <c r="A421" s="5">
        <v>90924</v>
      </c>
      <c r="B421" s="5" t="s">
        <v>5583</v>
      </c>
      <c r="C421" s="5">
        <v>573003953658</v>
      </c>
      <c r="D421" s="5">
        <v>52</v>
      </c>
      <c r="E421" s="5" t="s">
        <v>178</v>
      </c>
      <c r="F421" s="5" t="s">
        <v>33</v>
      </c>
      <c r="G421" s="5" t="s">
        <v>5583</v>
      </c>
      <c r="H421" s="5" t="s">
        <v>34</v>
      </c>
      <c r="I421" s="5">
        <v>3003953658</v>
      </c>
      <c r="J421" s="12">
        <v>46030</v>
      </c>
      <c r="K421" s="11">
        <v>0</v>
      </c>
      <c r="M421" s="10" t="s">
        <v>14705</v>
      </c>
      <c r="N421" s="12">
        <v>46030.657919513891</v>
      </c>
      <c r="O421" s="10" t="s">
        <v>15803</v>
      </c>
      <c r="P421" s="5" t="s">
        <v>14571</v>
      </c>
      <c r="Q421" s="5" t="s">
        <v>14612</v>
      </c>
      <c r="R421" s="5" t="s">
        <v>15804</v>
      </c>
      <c r="T421" s="5" t="s">
        <v>14574</v>
      </c>
      <c r="U421" s="5" t="s">
        <v>33</v>
      </c>
      <c r="V421" s="5" t="s">
        <v>43</v>
      </c>
      <c r="W421" s="5" t="s">
        <v>5584</v>
      </c>
    </row>
    <row r="422" spans="1:23" ht="12.5">
      <c r="A422" s="5"/>
      <c r="B422" s="5"/>
      <c r="C422" s="5"/>
      <c r="D422" s="5"/>
      <c r="E422" s="5"/>
      <c r="F422" s="5"/>
      <c r="G422" s="5"/>
      <c r="H422" s="5"/>
      <c r="I422" s="5"/>
      <c r="J422" s="12"/>
      <c r="K422" s="11"/>
      <c r="M422" s="5"/>
      <c r="N422" s="12"/>
      <c r="O422" s="5"/>
      <c r="P422" s="5"/>
      <c r="Q422" s="5"/>
      <c r="R422" s="5"/>
      <c r="T422" s="5" t="s">
        <v>5994</v>
      </c>
      <c r="U422" s="5"/>
      <c r="V422" s="5"/>
    </row>
    <row r="423" spans="1:23" ht="12.5">
      <c r="A423" s="5">
        <v>90926</v>
      </c>
      <c r="B423" s="5" t="s">
        <v>15805</v>
      </c>
      <c r="C423" s="5">
        <v>573016778949</v>
      </c>
      <c r="D423" s="5">
        <v>66</v>
      </c>
      <c r="E423" s="5" t="s">
        <v>576</v>
      </c>
      <c r="F423" s="5" t="s">
        <v>193</v>
      </c>
      <c r="G423" s="5" t="s">
        <v>5589</v>
      </c>
      <c r="H423" s="5" t="s">
        <v>5590</v>
      </c>
      <c r="I423" s="5">
        <v>3007501614</v>
      </c>
      <c r="J423" s="12">
        <v>46031</v>
      </c>
      <c r="K423" s="11">
        <v>0.45833333333212067</v>
      </c>
      <c r="M423" s="10" t="s">
        <v>14643</v>
      </c>
      <c r="N423" s="12">
        <v>46030.678383703707</v>
      </c>
      <c r="O423" s="10" t="s">
        <v>15220</v>
      </c>
      <c r="P423" s="5" t="s">
        <v>14571</v>
      </c>
      <c r="Q423" s="5" t="s">
        <v>14572</v>
      </c>
      <c r="R423" s="5" t="s">
        <v>15806</v>
      </c>
      <c r="T423" s="5" t="s">
        <v>5994</v>
      </c>
      <c r="U423" s="5" t="s">
        <v>14580</v>
      </c>
      <c r="V423" s="5" t="s">
        <v>83</v>
      </c>
    </row>
    <row r="424" spans="1:23" ht="12.5">
      <c r="A424" s="5">
        <v>90927</v>
      </c>
      <c r="B424" s="5" t="s">
        <v>15807</v>
      </c>
      <c r="C424" s="5">
        <v>593998906917</v>
      </c>
      <c r="D424" s="5">
        <v>68</v>
      </c>
      <c r="E424" s="5" t="s">
        <v>361</v>
      </c>
      <c r="G424" s="5" t="s">
        <v>5594</v>
      </c>
      <c r="H424" s="5" t="s">
        <v>5595</v>
      </c>
      <c r="I424" s="5">
        <v>3103544873</v>
      </c>
      <c r="J424" s="12">
        <v>46030</v>
      </c>
      <c r="K424" s="11">
        <v>0.75</v>
      </c>
      <c r="M424" s="10" t="s">
        <v>14712</v>
      </c>
      <c r="N424" s="12">
        <v>46030.726725104163</v>
      </c>
      <c r="O424" s="10" t="s">
        <v>15570</v>
      </c>
      <c r="P424" s="5" t="s">
        <v>14571</v>
      </c>
      <c r="Q424" s="5" t="s">
        <v>14612</v>
      </c>
      <c r="R424" s="5" t="s">
        <v>15808</v>
      </c>
      <c r="T424" s="5" t="s">
        <v>5994</v>
      </c>
      <c r="V424" s="5" t="s">
        <v>204</v>
      </c>
      <c r="W424" s="5" t="s">
        <v>5598</v>
      </c>
    </row>
    <row r="425" spans="1:23" ht="12.5">
      <c r="A425" s="5">
        <v>90928</v>
      </c>
      <c r="B425" s="5" t="s">
        <v>15809</v>
      </c>
      <c r="C425" s="5">
        <v>573124150180</v>
      </c>
      <c r="D425" s="5">
        <v>37</v>
      </c>
      <c r="E425" s="5" t="s">
        <v>1696</v>
      </c>
      <c r="F425" s="5" t="s">
        <v>229</v>
      </c>
      <c r="G425" s="5" t="s">
        <v>5599</v>
      </c>
      <c r="H425" s="5" t="s">
        <v>5600</v>
      </c>
      <c r="I425" s="5">
        <v>3124150180</v>
      </c>
      <c r="J425" s="12">
        <v>46030</v>
      </c>
      <c r="K425" s="11">
        <v>0.33333333333212067</v>
      </c>
      <c r="M425" s="10" t="s">
        <v>15810</v>
      </c>
      <c r="N425" s="12">
        <v>46030.739468391199</v>
      </c>
      <c r="O425" s="10" t="s">
        <v>15811</v>
      </c>
      <c r="P425" s="5" t="s">
        <v>14571</v>
      </c>
      <c r="Q425" s="5" t="s">
        <v>14578</v>
      </c>
      <c r="R425" s="5" t="s">
        <v>15812</v>
      </c>
      <c r="T425" s="5" t="s">
        <v>5994</v>
      </c>
      <c r="U425" s="5"/>
      <c r="V425" s="5" t="s">
        <v>83</v>
      </c>
    </row>
    <row r="426" spans="1:23" ht="12.5">
      <c r="A426" s="5">
        <v>90929</v>
      </c>
      <c r="B426" s="5" t="s">
        <v>15813</v>
      </c>
      <c r="C426" s="5">
        <v>573153889125</v>
      </c>
      <c r="D426" s="5">
        <v>64</v>
      </c>
      <c r="E426" s="5" t="s">
        <v>133</v>
      </c>
      <c r="F426" s="5" t="s">
        <v>5574</v>
      </c>
      <c r="G426" s="5" t="s">
        <v>5602</v>
      </c>
      <c r="H426" s="5" t="s">
        <v>5603</v>
      </c>
      <c r="I426" s="5">
        <v>3008117980</v>
      </c>
      <c r="J426" s="12">
        <v>46031</v>
      </c>
      <c r="K426" s="11">
        <v>0.375</v>
      </c>
      <c r="M426" s="10" t="s">
        <v>14646</v>
      </c>
      <c r="N426" s="12">
        <v>46030.727503321759</v>
      </c>
      <c r="O426" s="10" t="s">
        <v>15814</v>
      </c>
      <c r="P426" s="5" t="s">
        <v>14571</v>
      </c>
      <c r="Q426" s="5" t="s">
        <v>14572</v>
      </c>
      <c r="R426" s="5" t="s">
        <v>15815</v>
      </c>
      <c r="T426" s="5" t="s">
        <v>5994</v>
      </c>
      <c r="U426" s="5" t="s">
        <v>14593</v>
      </c>
      <c r="V426" s="5" t="s">
        <v>1937</v>
      </c>
    </row>
    <row r="427" spans="1:23" ht="12.5">
      <c r="A427" s="5">
        <v>90930</v>
      </c>
      <c r="B427" s="5" t="s">
        <v>15816</v>
      </c>
      <c r="C427" s="5">
        <v>573232205042</v>
      </c>
      <c r="D427" s="5">
        <v>12</v>
      </c>
      <c r="E427" s="5" t="s">
        <v>239</v>
      </c>
      <c r="F427" s="5" t="s">
        <v>161</v>
      </c>
      <c r="G427" s="5" t="s">
        <v>5607</v>
      </c>
      <c r="H427" s="5" t="s">
        <v>5608</v>
      </c>
      <c r="I427" s="5">
        <v>3106500922</v>
      </c>
      <c r="J427" s="12">
        <v>46031</v>
      </c>
      <c r="K427" s="11">
        <v>0.45833333333212067</v>
      </c>
      <c r="M427" s="10" t="s">
        <v>15046</v>
      </c>
      <c r="N427" s="12">
        <v>46031.301371875001</v>
      </c>
      <c r="O427" s="10" t="s">
        <v>15817</v>
      </c>
      <c r="P427" s="5" t="s">
        <v>14571</v>
      </c>
      <c r="Q427" s="5" t="s">
        <v>14612</v>
      </c>
      <c r="R427" s="5" t="s">
        <v>15818</v>
      </c>
      <c r="T427" s="5" t="s">
        <v>5994</v>
      </c>
      <c r="U427" s="5" t="s">
        <v>14593</v>
      </c>
      <c r="V427" s="5" t="s">
        <v>83</v>
      </c>
      <c r="W427" s="5" t="s">
        <v>5610</v>
      </c>
    </row>
    <row r="428" spans="1:23" ht="12.5">
      <c r="A428" s="5">
        <v>90931</v>
      </c>
      <c r="B428" s="5" t="s">
        <v>15819</v>
      </c>
      <c r="C428" s="5">
        <v>573003716714</v>
      </c>
      <c r="D428" s="5">
        <v>65</v>
      </c>
      <c r="E428" s="5" t="s">
        <v>5614</v>
      </c>
      <c r="F428" s="5" t="s">
        <v>1057</v>
      </c>
      <c r="G428" s="5" t="s">
        <v>5612</v>
      </c>
      <c r="H428" s="5" t="s">
        <v>5613</v>
      </c>
      <c r="I428" s="5">
        <v>573043725206</v>
      </c>
      <c r="J428" s="12">
        <v>46031</v>
      </c>
      <c r="K428" s="11">
        <v>0.4375</v>
      </c>
      <c r="M428" s="10" t="s">
        <v>15820</v>
      </c>
      <c r="N428" s="12">
        <v>46030.725017291668</v>
      </c>
      <c r="O428" s="10" t="s">
        <v>14577</v>
      </c>
      <c r="P428" s="5" t="s">
        <v>14571</v>
      </c>
      <c r="Q428" s="5" t="s">
        <v>14572</v>
      </c>
      <c r="R428" s="5" t="s">
        <v>15821</v>
      </c>
      <c r="T428" s="5" t="s">
        <v>5994</v>
      </c>
      <c r="U428" s="5" t="s">
        <v>14580</v>
      </c>
      <c r="V428" s="5" t="s">
        <v>83</v>
      </c>
      <c r="W428" s="5"/>
    </row>
    <row r="429" spans="1:23" ht="12.5">
      <c r="A429" s="5">
        <v>90932</v>
      </c>
      <c r="B429" s="5" t="s">
        <v>5618</v>
      </c>
      <c r="C429" s="5">
        <v>573103637919</v>
      </c>
      <c r="D429" s="5">
        <v>95</v>
      </c>
      <c r="E429" s="5" t="s">
        <v>42</v>
      </c>
      <c r="F429" s="5" t="s">
        <v>33</v>
      </c>
      <c r="G429" s="5" t="s">
        <v>5618</v>
      </c>
      <c r="H429" s="5" t="s">
        <v>34</v>
      </c>
      <c r="I429" s="5" t="s">
        <v>5619</v>
      </c>
      <c r="J429" s="12">
        <v>46032</v>
      </c>
      <c r="K429" s="11">
        <v>0</v>
      </c>
      <c r="M429" s="10" t="s">
        <v>14649</v>
      </c>
      <c r="N429" s="12">
        <v>46031.37915896991</v>
      </c>
      <c r="O429" s="10" t="s">
        <v>14677</v>
      </c>
      <c r="P429" s="5" t="s">
        <v>14571</v>
      </c>
      <c r="Q429" s="5" t="s">
        <v>14612</v>
      </c>
      <c r="R429" s="5" t="s">
        <v>15822</v>
      </c>
      <c r="T429" s="5" t="s">
        <v>14574</v>
      </c>
      <c r="U429" s="5" t="s">
        <v>33</v>
      </c>
      <c r="V429" s="5" t="s">
        <v>83</v>
      </c>
      <c r="W429" s="5" t="s">
        <v>5620</v>
      </c>
    </row>
    <row r="430" spans="1:23" ht="12.5">
      <c r="A430" s="5">
        <v>90933</v>
      </c>
      <c r="B430" s="5" t="s">
        <v>15823</v>
      </c>
      <c r="C430" s="5">
        <v>574963320</v>
      </c>
      <c r="D430" s="5">
        <v>32</v>
      </c>
      <c r="E430" s="5" t="s">
        <v>65</v>
      </c>
      <c r="F430" s="5" t="s">
        <v>185</v>
      </c>
      <c r="G430" s="5" t="s">
        <v>5623</v>
      </c>
      <c r="H430" s="5" t="s">
        <v>5624</v>
      </c>
      <c r="I430" s="5">
        <v>3058150210</v>
      </c>
      <c r="J430" s="12">
        <v>46031</v>
      </c>
      <c r="K430" s="11">
        <v>0</v>
      </c>
      <c r="M430" s="10" t="s">
        <v>14639</v>
      </c>
      <c r="N430" s="12">
        <v>46031.372389085649</v>
      </c>
      <c r="O430" s="10" t="s">
        <v>15824</v>
      </c>
      <c r="P430" s="5" t="s">
        <v>14571</v>
      </c>
      <c r="Q430" s="5" t="s">
        <v>14578</v>
      </c>
      <c r="R430" s="5" t="s">
        <v>15825</v>
      </c>
      <c r="T430" s="5" t="s">
        <v>5994</v>
      </c>
      <c r="U430" s="5" t="s">
        <v>14580</v>
      </c>
      <c r="V430" s="5" t="s">
        <v>83</v>
      </c>
    </row>
    <row r="431" spans="1:23" ht="12.5">
      <c r="A431" s="5">
        <v>90934</v>
      </c>
      <c r="B431" s="5" t="s">
        <v>15014</v>
      </c>
      <c r="C431" s="5">
        <v>573007682024</v>
      </c>
      <c r="D431" s="5">
        <v>95</v>
      </c>
      <c r="E431" s="5" t="s">
        <v>42</v>
      </c>
      <c r="F431" s="5" t="s">
        <v>33</v>
      </c>
      <c r="G431" s="5" t="s">
        <v>1231</v>
      </c>
      <c r="H431" s="5" t="s">
        <v>34</v>
      </c>
      <c r="I431" s="5">
        <v>3007682024</v>
      </c>
      <c r="J431" s="12">
        <v>46032</v>
      </c>
      <c r="K431" s="11">
        <v>0.66666666666787933</v>
      </c>
      <c r="M431" s="10" t="s">
        <v>2686</v>
      </c>
      <c r="N431" s="12">
        <v>46031.38685185185</v>
      </c>
      <c r="O431" s="10" t="s">
        <v>15826</v>
      </c>
      <c r="P431" s="5" t="s">
        <v>14571</v>
      </c>
      <c r="Q431" s="5" t="s">
        <v>14572</v>
      </c>
      <c r="R431" s="5" t="s">
        <v>15827</v>
      </c>
      <c r="T431" s="5" t="s">
        <v>14574</v>
      </c>
      <c r="U431" s="5" t="s">
        <v>33</v>
      </c>
      <c r="V431" s="5" t="s">
        <v>43</v>
      </c>
      <c r="W431" s="5" t="s">
        <v>5627</v>
      </c>
    </row>
    <row r="432" spans="1:23" ht="12.5">
      <c r="A432" s="5">
        <v>90935</v>
      </c>
      <c r="B432" s="5" t="s">
        <v>15828</v>
      </c>
      <c r="C432" s="5">
        <v>573187754640</v>
      </c>
      <c r="D432" s="5">
        <v>65</v>
      </c>
      <c r="E432" s="5" t="s">
        <v>322</v>
      </c>
      <c r="F432" s="5" t="s">
        <v>4558</v>
      </c>
      <c r="G432" s="5" t="s">
        <v>5629</v>
      </c>
      <c r="H432" s="5" t="s">
        <v>5630</v>
      </c>
      <c r="I432" s="5">
        <v>3187754640</v>
      </c>
      <c r="J432" s="12">
        <v>46032</v>
      </c>
      <c r="K432" s="11">
        <v>0</v>
      </c>
      <c r="M432" s="10" t="s">
        <v>10581</v>
      </c>
      <c r="N432" s="12">
        <v>46031.373994444446</v>
      </c>
      <c r="O432" s="10" t="s">
        <v>15595</v>
      </c>
      <c r="P432" s="5" t="s">
        <v>14571</v>
      </c>
      <c r="Q432" s="5" t="s">
        <v>14572</v>
      </c>
      <c r="R432" s="5" t="s">
        <v>15829</v>
      </c>
      <c r="T432" s="5" t="s">
        <v>5994</v>
      </c>
      <c r="U432" s="5" t="s">
        <v>14593</v>
      </c>
      <c r="V432" s="5" t="s">
        <v>83</v>
      </c>
    </row>
    <row r="433" spans="1:23" ht="12.5">
      <c r="A433" s="5">
        <v>90936</v>
      </c>
      <c r="B433" s="5" t="s">
        <v>5635</v>
      </c>
      <c r="C433" s="5">
        <v>573126811736</v>
      </c>
      <c r="D433" s="5">
        <v>95</v>
      </c>
      <c r="E433" s="5" t="s">
        <v>42</v>
      </c>
      <c r="F433" s="5" t="s">
        <v>33</v>
      </c>
      <c r="G433" s="5" t="s">
        <v>5635</v>
      </c>
      <c r="H433" s="5" t="s">
        <v>34</v>
      </c>
      <c r="I433" s="5">
        <v>3126811736</v>
      </c>
      <c r="J433" s="12">
        <v>46031</v>
      </c>
      <c r="K433" s="11">
        <v>0</v>
      </c>
      <c r="M433" s="10" t="s">
        <v>15011</v>
      </c>
      <c r="N433" s="12">
        <v>46031.405371990739</v>
      </c>
      <c r="O433" s="10" t="s">
        <v>15830</v>
      </c>
      <c r="P433" s="5" t="s">
        <v>14571</v>
      </c>
      <c r="Q433" s="5" t="s">
        <v>14578</v>
      </c>
      <c r="R433" s="5" t="s">
        <v>15831</v>
      </c>
      <c r="T433" s="5" t="s">
        <v>14574</v>
      </c>
      <c r="U433" s="5" t="s">
        <v>33</v>
      </c>
      <c r="V433" s="5" t="s">
        <v>1705</v>
      </c>
      <c r="W433" s="5" t="s">
        <v>5636</v>
      </c>
    </row>
    <row r="434" spans="1:23" ht="12.5">
      <c r="A434" s="5">
        <v>90937</v>
      </c>
      <c r="B434" s="5" t="s">
        <v>15832</v>
      </c>
      <c r="C434" s="5">
        <v>3243999949</v>
      </c>
      <c r="D434" s="5">
        <v>56</v>
      </c>
      <c r="E434" s="5" t="s">
        <v>1102</v>
      </c>
      <c r="F434" s="5" t="s">
        <v>975</v>
      </c>
      <c r="G434" s="5" t="s">
        <v>5638</v>
      </c>
      <c r="H434" s="5" t="s">
        <v>5639</v>
      </c>
      <c r="I434" s="5">
        <v>3016903152</v>
      </c>
      <c r="J434" s="12">
        <v>46031</v>
      </c>
      <c r="K434" s="11">
        <v>0.47916666666787933</v>
      </c>
      <c r="M434" s="10" t="s">
        <v>14649</v>
      </c>
      <c r="N434" s="12">
        <v>46031.411750752319</v>
      </c>
      <c r="O434" s="10" t="s">
        <v>15103</v>
      </c>
      <c r="P434" s="5" t="s">
        <v>14571</v>
      </c>
      <c r="Q434" s="5" t="s">
        <v>14578</v>
      </c>
      <c r="R434" s="5" t="s">
        <v>15833</v>
      </c>
      <c r="T434" s="5" t="s">
        <v>5994</v>
      </c>
      <c r="U434" s="5" t="s">
        <v>14593</v>
      </c>
      <c r="V434" s="5" t="s">
        <v>67</v>
      </c>
      <c r="W434" s="5" t="s">
        <v>5640</v>
      </c>
    </row>
    <row r="435" spans="1:23" ht="12.5">
      <c r="A435" s="5">
        <v>90938</v>
      </c>
      <c r="B435" s="5" t="s">
        <v>13170</v>
      </c>
      <c r="C435" s="5">
        <v>17866740598</v>
      </c>
      <c r="D435" s="5">
        <v>29</v>
      </c>
      <c r="E435" s="5" t="s">
        <v>309</v>
      </c>
      <c r="F435" s="5" t="s">
        <v>185</v>
      </c>
      <c r="G435" s="5" t="s">
        <v>5641</v>
      </c>
      <c r="H435" s="5" t="s">
        <v>5642</v>
      </c>
      <c r="I435" s="5">
        <v>3016572241</v>
      </c>
      <c r="J435" s="12">
        <v>46031</v>
      </c>
      <c r="K435" s="11">
        <v>0</v>
      </c>
      <c r="M435" s="10" t="s">
        <v>14850</v>
      </c>
      <c r="N435" s="12">
        <v>46031.438106111113</v>
      </c>
      <c r="O435" s="10" t="s">
        <v>15834</v>
      </c>
      <c r="P435" s="5" t="s">
        <v>14571</v>
      </c>
      <c r="Q435" s="5" t="s">
        <v>14578</v>
      </c>
      <c r="R435" s="5" t="s">
        <v>15835</v>
      </c>
      <c r="T435" s="5" t="s">
        <v>5994</v>
      </c>
      <c r="U435" s="5" t="s">
        <v>14580</v>
      </c>
      <c r="V435" s="5" t="s">
        <v>67</v>
      </c>
      <c r="W435" s="5" t="s">
        <v>5644</v>
      </c>
    </row>
    <row r="436" spans="1:23" ht="12.5">
      <c r="A436" s="5">
        <v>90939</v>
      </c>
      <c r="B436" s="5" t="s">
        <v>15836</v>
      </c>
      <c r="C436" s="5">
        <v>573106328469</v>
      </c>
      <c r="D436" s="5">
        <v>95</v>
      </c>
      <c r="E436" s="5" t="s">
        <v>42</v>
      </c>
      <c r="F436" s="5" t="s">
        <v>185</v>
      </c>
      <c r="G436" s="5" t="s">
        <v>5647</v>
      </c>
      <c r="H436" s="5" t="s">
        <v>5648</v>
      </c>
      <c r="J436" s="12">
        <v>46031</v>
      </c>
      <c r="K436" s="11">
        <v>0</v>
      </c>
      <c r="M436" s="10" t="s">
        <v>15837</v>
      </c>
      <c r="N436" s="12">
        <v>46031.456854039352</v>
      </c>
      <c r="O436" s="10" t="s">
        <v>15838</v>
      </c>
      <c r="P436" s="5" t="s">
        <v>14571</v>
      </c>
      <c r="Q436" s="5" t="s">
        <v>14578</v>
      </c>
      <c r="R436" s="5" t="s">
        <v>15839</v>
      </c>
      <c r="T436" s="5" t="s">
        <v>5994</v>
      </c>
      <c r="U436" s="5" t="s">
        <v>14580</v>
      </c>
      <c r="V436" s="5" t="s">
        <v>67</v>
      </c>
      <c r="W436" s="5" t="s">
        <v>5649</v>
      </c>
    </row>
    <row r="437" spans="1:23" ht="12.5">
      <c r="A437" s="5">
        <v>90940</v>
      </c>
      <c r="B437" s="5" t="s">
        <v>15840</v>
      </c>
      <c r="C437" s="5">
        <v>573115762793</v>
      </c>
      <c r="D437" s="5">
        <v>18</v>
      </c>
      <c r="E437" s="5" t="s">
        <v>370</v>
      </c>
      <c r="F437" s="5" t="s">
        <v>63</v>
      </c>
      <c r="G437" s="5" t="s">
        <v>5651</v>
      </c>
      <c r="H437" s="5" t="s">
        <v>5652</v>
      </c>
      <c r="I437" s="5">
        <v>3157876809</v>
      </c>
      <c r="J437" s="12">
        <v>46031</v>
      </c>
      <c r="K437" s="11">
        <v>0</v>
      </c>
      <c r="M437" s="10" t="s">
        <v>14927</v>
      </c>
      <c r="N437" s="12">
        <v>46031.45753748843</v>
      </c>
      <c r="O437" s="10" t="s">
        <v>15770</v>
      </c>
      <c r="P437" s="5" t="s">
        <v>14571</v>
      </c>
      <c r="Q437" s="5" t="s">
        <v>14572</v>
      </c>
      <c r="R437" s="5" t="s">
        <v>15841</v>
      </c>
      <c r="T437" s="5" t="s">
        <v>5994</v>
      </c>
      <c r="U437" s="5" t="s">
        <v>14598</v>
      </c>
      <c r="V437" s="5" t="s">
        <v>67</v>
      </c>
      <c r="W437" s="5" t="s">
        <v>5655</v>
      </c>
    </row>
    <row r="438" spans="1:23" ht="12.5">
      <c r="A438" s="5">
        <v>90941</v>
      </c>
      <c r="B438" s="5" t="s">
        <v>15842</v>
      </c>
      <c r="C438" s="5">
        <v>573106321118</v>
      </c>
      <c r="D438" s="5">
        <v>20</v>
      </c>
      <c r="E438" s="5" t="s">
        <v>187</v>
      </c>
      <c r="F438" s="5" t="s">
        <v>79</v>
      </c>
      <c r="G438" s="5" t="s">
        <v>5657</v>
      </c>
      <c r="H438" s="5" t="s">
        <v>5658</v>
      </c>
      <c r="I438" s="5">
        <v>310632118</v>
      </c>
      <c r="J438" s="12">
        <v>46032</v>
      </c>
      <c r="K438" s="11">
        <v>0</v>
      </c>
      <c r="M438" s="10" t="s">
        <v>14777</v>
      </c>
      <c r="N438" s="12">
        <v>46031.452681458337</v>
      </c>
      <c r="O438" s="10" t="s">
        <v>15843</v>
      </c>
      <c r="P438" s="5" t="s">
        <v>14571</v>
      </c>
      <c r="Q438" s="5" t="s">
        <v>14578</v>
      </c>
      <c r="R438" s="5" t="s">
        <v>15844</v>
      </c>
      <c r="T438" s="5" t="s">
        <v>5994</v>
      </c>
      <c r="U438" s="5" t="s">
        <v>14593</v>
      </c>
      <c r="V438" s="5" t="s">
        <v>1937</v>
      </c>
    </row>
    <row r="439" spans="1:23" ht="12.5">
      <c r="A439" s="5">
        <v>90942</v>
      </c>
      <c r="B439" s="5" t="s">
        <v>5663</v>
      </c>
      <c r="C439" s="5">
        <v>573017763025</v>
      </c>
      <c r="D439" s="5">
        <v>95</v>
      </c>
      <c r="E439" s="5" t="s">
        <v>42</v>
      </c>
      <c r="F439" s="5" t="s">
        <v>33</v>
      </c>
      <c r="G439" s="5" t="s">
        <v>5663</v>
      </c>
      <c r="H439" s="5" t="s">
        <v>34</v>
      </c>
      <c r="I439" s="5">
        <v>3017763025</v>
      </c>
      <c r="J439" s="12">
        <v>46031</v>
      </c>
      <c r="K439" s="11">
        <v>0</v>
      </c>
      <c r="M439" s="10" t="s">
        <v>15845</v>
      </c>
      <c r="N439" s="12">
        <v>46031.479844236106</v>
      </c>
      <c r="O439" s="10" t="s">
        <v>15846</v>
      </c>
      <c r="P439" s="5" t="s">
        <v>14571</v>
      </c>
      <c r="Q439" s="5" t="s">
        <v>14572</v>
      </c>
      <c r="R439" s="5" t="s">
        <v>15847</v>
      </c>
      <c r="T439" s="5" t="s">
        <v>14574</v>
      </c>
      <c r="U439" s="5" t="s">
        <v>33</v>
      </c>
      <c r="V439" s="5" t="s">
        <v>1705</v>
      </c>
      <c r="W439" s="5" t="s">
        <v>525</v>
      </c>
    </row>
    <row r="440" spans="1:23" ht="12.5">
      <c r="A440" s="5">
        <v>90943</v>
      </c>
      <c r="B440" s="5" t="s">
        <v>5665</v>
      </c>
      <c r="C440" s="5">
        <v>573135344600</v>
      </c>
      <c r="D440" s="5">
        <v>53</v>
      </c>
      <c r="E440" s="5" t="s">
        <v>75</v>
      </c>
      <c r="F440" s="5" t="s">
        <v>33</v>
      </c>
      <c r="G440" s="5" t="s">
        <v>5665</v>
      </c>
      <c r="H440" s="5" t="s">
        <v>34</v>
      </c>
      <c r="I440" s="5">
        <v>3135344600</v>
      </c>
      <c r="J440" s="12">
        <v>46031</v>
      </c>
      <c r="K440" s="11">
        <v>0</v>
      </c>
      <c r="M440" s="10" t="s">
        <v>14800</v>
      </c>
      <c r="N440" s="12">
        <v>46031.490914606482</v>
      </c>
      <c r="O440" s="10" t="s">
        <v>14644</v>
      </c>
      <c r="P440" s="5" t="s">
        <v>14571</v>
      </c>
      <c r="Q440" s="5" t="s">
        <v>14612</v>
      </c>
      <c r="R440" s="5" t="s">
        <v>15848</v>
      </c>
      <c r="T440" s="5" t="s">
        <v>14574</v>
      </c>
      <c r="U440" s="5" t="s">
        <v>33</v>
      </c>
      <c r="V440" s="5" t="s">
        <v>1705</v>
      </c>
    </row>
    <row r="441" spans="1:23" ht="12.5">
      <c r="A441" s="5">
        <v>90944</v>
      </c>
      <c r="B441" s="5" t="s">
        <v>5668</v>
      </c>
      <c r="C441" s="5">
        <v>573183660440</v>
      </c>
      <c r="D441" s="5">
        <v>67</v>
      </c>
      <c r="E441" s="5" t="s">
        <v>542</v>
      </c>
      <c r="F441" s="5" t="s">
        <v>33</v>
      </c>
      <c r="G441" s="5" t="s">
        <v>5668</v>
      </c>
      <c r="H441" s="5" t="s">
        <v>34</v>
      </c>
      <c r="I441" s="5">
        <v>3183660440</v>
      </c>
      <c r="J441" s="12">
        <v>46031</v>
      </c>
      <c r="K441" s="11">
        <v>0</v>
      </c>
      <c r="M441" s="10" t="s">
        <v>14599</v>
      </c>
      <c r="N441" s="12">
        <v>46031.508449548608</v>
      </c>
      <c r="O441" s="10" t="s">
        <v>15849</v>
      </c>
      <c r="P441" s="5" t="s">
        <v>14571</v>
      </c>
      <c r="Q441" s="5" t="s">
        <v>14578</v>
      </c>
      <c r="R441" s="5" t="s">
        <v>15850</v>
      </c>
      <c r="T441" s="5" t="s">
        <v>14574</v>
      </c>
      <c r="U441" s="5" t="s">
        <v>33</v>
      </c>
      <c r="V441" s="5" t="s">
        <v>1705</v>
      </c>
    </row>
    <row r="442" spans="1:23" ht="12.5">
      <c r="A442" s="5">
        <v>90945</v>
      </c>
      <c r="B442" s="5" t="s">
        <v>15851</v>
      </c>
      <c r="C442" s="5">
        <v>573113487156</v>
      </c>
      <c r="D442" s="5">
        <v>33</v>
      </c>
      <c r="E442" s="5" t="s">
        <v>4389</v>
      </c>
      <c r="F442" s="5" t="s">
        <v>5672</v>
      </c>
      <c r="G442" s="5" t="s">
        <v>5671</v>
      </c>
      <c r="H442" s="5" t="s">
        <v>5673</v>
      </c>
      <c r="I442" s="5"/>
      <c r="J442" s="12">
        <v>46031</v>
      </c>
      <c r="K442" s="11">
        <v>0.58333333333212067</v>
      </c>
      <c r="M442" s="10" t="s">
        <v>15852</v>
      </c>
      <c r="N442" s="12">
        <v>46031.509886377316</v>
      </c>
      <c r="O442" s="10" t="s">
        <v>15853</v>
      </c>
      <c r="P442" s="5" t="s">
        <v>14571</v>
      </c>
      <c r="Q442" s="5" t="s">
        <v>14578</v>
      </c>
      <c r="R442" s="5" t="s">
        <v>15854</v>
      </c>
      <c r="T442" s="5" t="s">
        <v>5994</v>
      </c>
      <c r="U442" s="5" t="s">
        <v>14691</v>
      </c>
      <c r="V442" s="5" t="s">
        <v>180</v>
      </c>
    </row>
    <row r="443" spans="1:23" ht="12.5">
      <c r="A443" s="5">
        <v>90946</v>
      </c>
      <c r="B443" s="5" t="s">
        <v>15855</v>
      </c>
      <c r="C443" s="5">
        <v>573007302552</v>
      </c>
      <c r="D443" s="5">
        <v>52</v>
      </c>
      <c r="E443" s="5" t="s">
        <v>178</v>
      </c>
      <c r="F443" s="5" t="s">
        <v>124</v>
      </c>
      <c r="G443" s="5" t="s">
        <v>5676</v>
      </c>
      <c r="H443" s="5" t="s">
        <v>5677</v>
      </c>
      <c r="I443" s="5"/>
      <c r="J443" s="12">
        <v>46031</v>
      </c>
      <c r="K443" s="11">
        <v>0</v>
      </c>
      <c r="M443" s="10" t="s">
        <v>14590</v>
      </c>
      <c r="N443" s="12">
        <v>46031.509142916664</v>
      </c>
      <c r="O443" s="10" t="s">
        <v>15856</v>
      </c>
      <c r="P443" s="5" t="s">
        <v>14571</v>
      </c>
      <c r="Q443" s="5" t="s">
        <v>14572</v>
      </c>
      <c r="R443" s="5" t="s">
        <v>15857</v>
      </c>
      <c r="T443" s="5" t="s">
        <v>5994</v>
      </c>
      <c r="U443" s="5" t="s">
        <v>14775</v>
      </c>
      <c r="V443" s="5" t="s">
        <v>67</v>
      </c>
    </row>
    <row r="444" spans="1:23" ht="12.5">
      <c r="A444" s="5">
        <v>90947</v>
      </c>
      <c r="B444" s="5" t="s">
        <v>15858</v>
      </c>
      <c r="C444" s="5">
        <v>573136257976</v>
      </c>
      <c r="D444" s="5">
        <v>6</v>
      </c>
      <c r="E444" s="5" t="s">
        <v>1049</v>
      </c>
      <c r="G444" s="5" t="s">
        <v>5681</v>
      </c>
      <c r="H444" s="5" t="s">
        <v>5682</v>
      </c>
      <c r="I444" s="5">
        <v>3136257976</v>
      </c>
      <c r="J444" s="12">
        <v>46031</v>
      </c>
      <c r="K444" s="11">
        <v>0.625</v>
      </c>
      <c r="M444" s="10" t="s">
        <v>15859</v>
      </c>
      <c r="N444" s="12">
        <v>46031.491358032406</v>
      </c>
      <c r="O444" s="10" t="s">
        <v>14968</v>
      </c>
      <c r="P444" s="5" t="s">
        <v>14571</v>
      </c>
      <c r="Q444" s="5" t="s">
        <v>14572</v>
      </c>
      <c r="R444" s="5" t="s">
        <v>15860</v>
      </c>
      <c r="T444" s="5" t="s">
        <v>5994</v>
      </c>
      <c r="V444" s="5" t="s">
        <v>1937</v>
      </c>
    </row>
    <row r="445" spans="1:23" ht="12.5">
      <c r="A445" s="5">
        <v>90948</v>
      </c>
      <c r="B445" s="5" t="s">
        <v>5687</v>
      </c>
      <c r="C445" s="5">
        <v>573014566336</v>
      </c>
      <c r="D445" s="5">
        <v>52</v>
      </c>
      <c r="E445" s="5" t="s">
        <v>178</v>
      </c>
      <c r="F445" s="5" t="s">
        <v>33</v>
      </c>
      <c r="G445" s="5" t="s">
        <v>5687</v>
      </c>
      <c r="H445" s="5" t="s">
        <v>34</v>
      </c>
      <c r="I445" s="5">
        <v>3014566336</v>
      </c>
      <c r="J445" s="12">
        <v>46031</v>
      </c>
      <c r="K445" s="11">
        <v>0.64583333333212067</v>
      </c>
      <c r="M445" s="10" t="s">
        <v>14705</v>
      </c>
      <c r="N445" s="12">
        <v>46031.537378854162</v>
      </c>
      <c r="O445" s="10" t="s">
        <v>15861</v>
      </c>
      <c r="P445" s="5" t="s">
        <v>14571</v>
      </c>
      <c r="Q445" s="5" t="s">
        <v>14578</v>
      </c>
      <c r="R445" s="5" t="s">
        <v>15862</v>
      </c>
      <c r="T445" s="5" t="s">
        <v>14574</v>
      </c>
      <c r="U445" s="5" t="s">
        <v>33</v>
      </c>
      <c r="V445" s="5" t="s">
        <v>1705</v>
      </c>
    </row>
    <row r="446" spans="1:23" ht="12.5">
      <c r="A446" s="5">
        <v>90949</v>
      </c>
      <c r="B446" s="5" t="s">
        <v>5691</v>
      </c>
      <c r="C446" s="5">
        <v>573008157338</v>
      </c>
      <c r="D446" s="5">
        <v>95</v>
      </c>
      <c r="E446" s="5" t="s">
        <v>42</v>
      </c>
      <c r="G446" s="5" t="s">
        <v>5691</v>
      </c>
      <c r="H446" s="5" t="s">
        <v>5692</v>
      </c>
      <c r="J446" s="12">
        <v>46031</v>
      </c>
      <c r="K446" s="11">
        <v>0.58333333333212067</v>
      </c>
      <c r="M446" s="10" t="s">
        <v>15863</v>
      </c>
      <c r="N446" s="12">
        <v>46031.559651504635</v>
      </c>
      <c r="O446" s="10" t="s">
        <v>15864</v>
      </c>
      <c r="P446" s="5" t="s">
        <v>14571</v>
      </c>
      <c r="Q446" s="5" t="s">
        <v>14572</v>
      </c>
      <c r="R446" s="5" t="s">
        <v>15865</v>
      </c>
      <c r="T446" s="5" t="s">
        <v>5994</v>
      </c>
      <c r="V446" s="5" t="s">
        <v>196</v>
      </c>
      <c r="W446" s="5" t="s">
        <v>5693</v>
      </c>
    </row>
    <row r="447" spans="1:23" ht="12.5">
      <c r="A447" s="5">
        <v>90950</v>
      </c>
      <c r="B447" s="5" t="s">
        <v>5695</v>
      </c>
      <c r="C447" s="5">
        <v>573015000305</v>
      </c>
      <c r="D447" s="5">
        <v>20</v>
      </c>
      <c r="E447" s="5" t="s">
        <v>187</v>
      </c>
      <c r="F447" s="5" t="s">
        <v>33</v>
      </c>
      <c r="G447" s="5" t="s">
        <v>5695</v>
      </c>
      <c r="H447" s="5" t="s">
        <v>34</v>
      </c>
      <c r="I447" s="5">
        <v>3015000305</v>
      </c>
      <c r="J447" s="12">
        <v>46031</v>
      </c>
      <c r="K447" s="11">
        <v>0.64583333333212067</v>
      </c>
      <c r="M447" s="10" t="s">
        <v>14712</v>
      </c>
      <c r="N447" s="12">
        <v>46031.562477141204</v>
      </c>
      <c r="O447" s="10" t="s">
        <v>15866</v>
      </c>
      <c r="P447" s="5" t="s">
        <v>14571</v>
      </c>
      <c r="Q447" s="5" t="s">
        <v>14612</v>
      </c>
      <c r="R447" s="5" t="s">
        <v>15867</v>
      </c>
      <c r="T447" s="5" t="s">
        <v>14574</v>
      </c>
      <c r="U447" s="5" t="s">
        <v>33</v>
      </c>
      <c r="V447" s="5" t="s">
        <v>67</v>
      </c>
    </row>
    <row r="448" spans="1:23" ht="12.5">
      <c r="A448" s="5">
        <v>90951</v>
      </c>
      <c r="B448" s="5" t="s">
        <v>5698</v>
      </c>
      <c r="C448" s="5">
        <v>573012905950</v>
      </c>
      <c r="D448" s="5">
        <v>29</v>
      </c>
      <c r="E448" s="5" t="s">
        <v>309</v>
      </c>
      <c r="F448" s="5" t="s">
        <v>33</v>
      </c>
      <c r="G448" s="5" t="s">
        <v>5698</v>
      </c>
      <c r="H448" s="5" t="s">
        <v>34</v>
      </c>
      <c r="I448" s="5">
        <v>3012905950</v>
      </c>
      <c r="J448" s="12">
        <v>46031</v>
      </c>
      <c r="K448" s="11">
        <v>0.58333333333212067</v>
      </c>
      <c r="M448" s="10" t="s">
        <v>14585</v>
      </c>
      <c r="N448" s="12">
        <v>46031.575299930555</v>
      </c>
      <c r="O448" s="10" t="s">
        <v>15868</v>
      </c>
      <c r="P448" s="5" t="s">
        <v>14571</v>
      </c>
      <c r="Q448" s="5" t="s">
        <v>14612</v>
      </c>
      <c r="R448" s="5" t="s">
        <v>15869</v>
      </c>
      <c r="T448" s="5" t="s">
        <v>14574</v>
      </c>
      <c r="U448" s="5" t="s">
        <v>33</v>
      </c>
      <c r="V448" s="5" t="s">
        <v>43</v>
      </c>
      <c r="W448" s="5" t="s">
        <v>5699</v>
      </c>
    </row>
    <row r="449" spans="1:23" ht="12.5">
      <c r="A449" s="5">
        <v>90952</v>
      </c>
      <c r="B449" s="5" t="s">
        <v>5702</v>
      </c>
      <c r="C449" s="5">
        <v>573024183142</v>
      </c>
      <c r="D449" s="5">
        <v>53</v>
      </c>
      <c r="E449" s="5" t="s">
        <v>75</v>
      </c>
      <c r="F449" s="5" t="s">
        <v>33</v>
      </c>
      <c r="G449" s="5" t="s">
        <v>5702</v>
      </c>
      <c r="H449" s="5" t="s">
        <v>34</v>
      </c>
      <c r="I449" s="5">
        <v>3024183142</v>
      </c>
      <c r="J449" s="12">
        <v>46031</v>
      </c>
      <c r="K449" s="11">
        <v>0</v>
      </c>
      <c r="M449" s="10" t="s">
        <v>14800</v>
      </c>
      <c r="N449" s="12">
        <v>46031.58226625</v>
      </c>
      <c r="O449" s="10" t="s">
        <v>15260</v>
      </c>
      <c r="P449" s="5" t="s">
        <v>14571</v>
      </c>
      <c r="Q449" s="5" t="s">
        <v>14612</v>
      </c>
      <c r="R449" s="5" t="s">
        <v>15870</v>
      </c>
      <c r="T449" s="5" t="s">
        <v>14574</v>
      </c>
      <c r="U449" s="5" t="s">
        <v>33</v>
      </c>
      <c r="V449" s="5" t="s">
        <v>43</v>
      </c>
      <c r="W449" s="5" t="s">
        <v>5703</v>
      </c>
    </row>
    <row r="450" spans="1:23" ht="12.5">
      <c r="A450" s="5">
        <v>90953</v>
      </c>
      <c r="B450" s="5" t="s">
        <v>15871</v>
      </c>
      <c r="C450" s="5">
        <v>57000</v>
      </c>
      <c r="D450" s="5">
        <v>47</v>
      </c>
      <c r="E450" s="5" t="s">
        <v>1610</v>
      </c>
      <c r="G450" s="5" t="s">
        <v>5705</v>
      </c>
      <c r="H450" s="5" t="s">
        <v>5706</v>
      </c>
      <c r="J450" s="12">
        <v>46031</v>
      </c>
      <c r="K450" s="11">
        <v>0.66666666666787933</v>
      </c>
      <c r="M450" s="10" t="s">
        <v>14569</v>
      </c>
      <c r="N450" s="12">
        <v>46031.598381250005</v>
      </c>
      <c r="O450" s="10" t="s">
        <v>15065</v>
      </c>
      <c r="P450" s="5" t="s">
        <v>14571</v>
      </c>
      <c r="Q450" s="5" t="s">
        <v>14578</v>
      </c>
      <c r="R450" s="5" t="s">
        <v>15872</v>
      </c>
      <c r="T450" s="5" t="s">
        <v>5994</v>
      </c>
      <c r="V450" s="5" t="s">
        <v>3754</v>
      </c>
    </row>
    <row r="451" spans="1:23" ht="12.5">
      <c r="A451" s="5">
        <v>90954</v>
      </c>
      <c r="B451" s="5" t="s">
        <v>15873</v>
      </c>
      <c r="C451" s="5">
        <v>575895444</v>
      </c>
      <c r="D451" s="5">
        <v>31</v>
      </c>
      <c r="E451" s="5" t="s">
        <v>375</v>
      </c>
      <c r="F451" s="5" t="s">
        <v>73</v>
      </c>
      <c r="G451" s="5" t="s">
        <v>5709</v>
      </c>
      <c r="H451" s="5" t="s">
        <v>5710</v>
      </c>
      <c r="I451" s="5" t="s">
        <v>5711</v>
      </c>
      <c r="J451" s="12">
        <v>46031</v>
      </c>
      <c r="K451" s="11">
        <v>0</v>
      </c>
      <c r="M451" s="10" t="s">
        <v>14639</v>
      </c>
      <c r="N451" s="12">
        <v>46031.572360300925</v>
      </c>
      <c r="O451" s="10" t="s">
        <v>15646</v>
      </c>
      <c r="P451" s="5" t="s">
        <v>14571</v>
      </c>
      <c r="Q451" s="5" t="s">
        <v>14572</v>
      </c>
      <c r="R451" s="5" t="s">
        <v>15874</v>
      </c>
      <c r="T451" s="5" t="s">
        <v>5994</v>
      </c>
      <c r="U451" s="5" t="s">
        <v>14593</v>
      </c>
      <c r="V451" s="5" t="s">
        <v>67</v>
      </c>
      <c r="W451" s="5" t="s">
        <v>5714</v>
      </c>
    </row>
    <row r="452" spans="1:23" ht="12.5">
      <c r="A452" s="5">
        <v>90955</v>
      </c>
      <c r="B452" s="5" t="s">
        <v>15875</v>
      </c>
      <c r="C452" s="5">
        <v>573014169863</v>
      </c>
      <c r="D452" s="5">
        <v>53</v>
      </c>
      <c r="E452" s="5" t="s">
        <v>75</v>
      </c>
      <c r="F452" s="5" t="s">
        <v>33</v>
      </c>
      <c r="G452" s="5" t="s">
        <v>3198</v>
      </c>
      <c r="H452" s="5" t="s">
        <v>34</v>
      </c>
      <c r="I452" s="5">
        <v>3014169863</v>
      </c>
      <c r="J452" s="12">
        <v>46031</v>
      </c>
      <c r="K452" s="11">
        <v>0.66666666666787933</v>
      </c>
      <c r="M452" s="10" t="s">
        <v>14800</v>
      </c>
      <c r="N452" s="12">
        <v>46031.582184652776</v>
      </c>
      <c r="O452" s="10" t="s">
        <v>15876</v>
      </c>
      <c r="P452" s="5" t="s">
        <v>14571</v>
      </c>
      <c r="Q452" s="5" t="s">
        <v>14699</v>
      </c>
      <c r="R452" s="5" t="s">
        <v>15877</v>
      </c>
      <c r="T452" s="5" t="s">
        <v>14574</v>
      </c>
      <c r="U452" s="5" t="s">
        <v>33</v>
      </c>
      <c r="V452" s="5" t="s">
        <v>67</v>
      </c>
    </row>
    <row r="453" spans="1:23" ht="12.5">
      <c r="A453" s="5">
        <v>90956</v>
      </c>
      <c r="B453" s="5" t="s">
        <v>15878</v>
      </c>
      <c r="C453" s="5">
        <v>573144623459</v>
      </c>
      <c r="D453" s="5" t="s">
        <v>15256</v>
      </c>
      <c r="E453" s="5" t="s">
        <v>5720</v>
      </c>
      <c r="F453" s="5" t="s">
        <v>161</v>
      </c>
      <c r="G453" s="5" t="s">
        <v>5718</v>
      </c>
      <c r="H453" s="5" t="s">
        <v>5719</v>
      </c>
      <c r="I453" s="5">
        <v>3218384112</v>
      </c>
      <c r="J453" s="12">
        <v>46031</v>
      </c>
      <c r="K453" s="11">
        <v>0.70833333333212067</v>
      </c>
      <c r="M453" s="10" t="s">
        <v>15248</v>
      </c>
      <c r="N453" s="12">
        <v>46031.640863229171</v>
      </c>
      <c r="O453" s="10" t="s">
        <v>15879</v>
      </c>
      <c r="P453" s="5" t="s">
        <v>14571</v>
      </c>
      <c r="Q453" s="5" t="s">
        <v>14572</v>
      </c>
      <c r="R453" s="5" t="s">
        <v>15880</v>
      </c>
      <c r="T453" s="5" t="s">
        <v>5994</v>
      </c>
      <c r="U453" s="5" t="s">
        <v>14593</v>
      </c>
      <c r="V453" s="5" t="s">
        <v>67</v>
      </c>
      <c r="W453" s="5" t="s">
        <v>5723</v>
      </c>
    </row>
    <row r="454" spans="1:23" ht="12.5">
      <c r="A454" s="5">
        <v>90957</v>
      </c>
      <c r="B454" s="5" t="s">
        <v>15875</v>
      </c>
      <c r="C454" s="5">
        <v>573014169863</v>
      </c>
      <c r="D454" s="5">
        <v>95</v>
      </c>
      <c r="E454" s="5" t="s">
        <v>42</v>
      </c>
      <c r="F454" s="5" t="s">
        <v>146</v>
      </c>
      <c r="G454" s="5" t="s">
        <v>3330</v>
      </c>
      <c r="H454" s="5" t="s">
        <v>5724</v>
      </c>
      <c r="J454" s="12">
        <v>46031</v>
      </c>
      <c r="K454" s="11">
        <v>0</v>
      </c>
      <c r="M454" s="10" t="s">
        <v>15881</v>
      </c>
      <c r="N454" s="12">
        <v>46031.654379687505</v>
      </c>
      <c r="O454" s="10" t="s">
        <v>15882</v>
      </c>
      <c r="P454" s="5" t="s">
        <v>14571</v>
      </c>
      <c r="Q454" s="5" t="s">
        <v>14578</v>
      </c>
      <c r="R454" s="5" t="s">
        <v>15883</v>
      </c>
      <c r="T454" s="5" t="s">
        <v>5994</v>
      </c>
      <c r="U454" s="5" t="s">
        <v>14618</v>
      </c>
      <c r="V454" s="5" t="s">
        <v>67</v>
      </c>
    </row>
    <row r="455" spans="1:23" ht="12.5">
      <c r="A455" s="5">
        <v>90958</v>
      </c>
      <c r="B455" s="5" t="s">
        <v>5725</v>
      </c>
      <c r="C455" s="5">
        <v>573215403687</v>
      </c>
      <c r="D455" s="5">
        <v>53</v>
      </c>
      <c r="E455" s="5" t="s">
        <v>75</v>
      </c>
      <c r="F455" s="5" t="s">
        <v>33</v>
      </c>
      <c r="G455" s="5" t="s">
        <v>5725</v>
      </c>
      <c r="H455" s="5" t="s">
        <v>34</v>
      </c>
      <c r="I455" s="5">
        <v>3215403687</v>
      </c>
      <c r="J455" s="12">
        <v>46031</v>
      </c>
      <c r="K455" s="11">
        <v>0</v>
      </c>
      <c r="M455" s="10" t="s">
        <v>14800</v>
      </c>
      <c r="N455" s="12">
        <v>46031.656994363424</v>
      </c>
      <c r="O455" s="10" t="s">
        <v>15884</v>
      </c>
      <c r="P455" s="5" t="s">
        <v>14571</v>
      </c>
      <c r="Q455" s="5" t="s">
        <v>14578</v>
      </c>
      <c r="R455" s="5" t="s">
        <v>15885</v>
      </c>
      <c r="T455" s="5" t="s">
        <v>14574</v>
      </c>
      <c r="U455" s="5" t="s">
        <v>33</v>
      </c>
      <c r="V455" s="5" t="s">
        <v>1705</v>
      </c>
    </row>
    <row r="456" spans="1:23" ht="12.5">
      <c r="A456" s="5">
        <v>90959</v>
      </c>
      <c r="B456" s="5" t="s">
        <v>15886</v>
      </c>
      <c r="C456" s="5">
        <v>5700</v>
      </c>
      <c r="D456" s="5">
        <v>1</v>
      </c>
      <c r="E456" s="5" t="s">
        <v>5730</v>
      </c>
      <c r="G456" s="5" t="s">
        <v>5728</v>
      </c>
      <c r="H456" s="5" t="s">
        <v>5729</v>
      </c>
      <c r="J456" s="12">
        <v>46031</v>
      </c>
      <c r="K456" s="11">
        <v>0</v>
      </c>
      <c r="M456" s="10" t="s">
        <v>14910</v>
      </c>
      <c r="N456" s="12">
        <v>46031.659723194447</v>
      </c>
      <c r="O456" s="10" t="s">
        <v>15887</v>
      </c>
      <c r="P456" s="5" t="s">
        <v>14571</v>
      </c>
      <c r="Q456" s="5" t="s">
        <v>14612</v>
      </c>
      <c r="R456" s="5" t="s">
        <v>15888</v>
      </c>
      <c r="T456" s="5" t="s">
        <v>5994</v>
      </c>
      <c r="V456" s="5" t="s">
        <v>67</v>
      </c>
      <c r="W456" s="5" t="s">
        <v>5731</v>
      </c>
    </row>
    <row r="457" spans="1:23" ht="12.5">
      <c r="A457" s="5">
        <v>90960</v>
      </c>
      <c r="B457" s="5" t="s">
        <v>15889</v>
      </c>
      <c r="C457" s="5">
        <v>573004379943</v>
      </c>
      <c r="D457" s="5">
        <v>95</v>
      </c>
      <c r="E457" s="5" t="s">
        <v>42</v>
      </c>
      <c r="F457" s="5" t="s">
        <v>307</v>
      </c>
      <c r="G457" s="5" t="s">
        <v>3330</v>
      </c>
      <c r="H457" s="5" t="s">
        <v>5732</v>
      </c>
      <c r="J457" s="12">
        <v>46031</v>
      </c>
      <c r="K457" s="11">
        <v>0</v>
      </c>
      <c r="M457" s="10" t="s">
        <v>15845</v>
      </c>
      <c r="N457" s="12">
        <v>46031.668587141205</v>
      </c>
      <c r="O457" s="10" t="s">
        <v>15890</v>
      </c>
      <c r="P457" s="5" t="s">
        <v>14571</v>
      </c>
      <c r="Q457" s="5" t="s">
        <v>14572</v>
      </c>
      <c r="R457" s="5" t="s">
        <v>15891</v>
      </c>
      <c r="T457" s="5" t="s">
        <v>5994</v>
      </c>
      <c r="U457" s="5" t="s">
        <v>14618</v>
      </c>
      <c r="V457" s="5" t="s">
        <v>43</v>
      </c>
      <c r="W457" s="5" t="s">
        <v>5733</v>
      </c>
    </row>
    <row r="458" spans="1:23" ht="12.5">
      <c r="A458" s="5">
        <v>90961</v>
      </c>
      <c r="B458" s="5" t="s">
        <v>5734</v>
      </c>
      <c r="C458" s="5">
        <v>573007682024</v>
      </c>
      <c r="D458" s="5">
        <v>95</v>
      </c>
      <c r="E458" s="5" t="s">
        <v>42</v>
      </c>
      <c r="F458" s="5" t="s">
        <v>33</v>
      </c>
      <c r="G458" s="5" t="s">
        <v>5734</v>
      </c>
      <c r="H458" s="5" t="s">
        <v>34</v>
      </c>
      <c r="I458" s="5">
        <v>3007682024</v>
      </c>
      <c r="J458" s="12">
        <v>46032</v>
      </c>
      <c r="K458" s="11">
        <v>0.45833333333212067</v>
      </c>
      <c r="M458" s="10" t="s">
        <v>2686</v>
      </c>
      <c r="N458" s="12">
        <v>46031.718114791671</v>
      </c>
      <c r="O458" s="10" t="s">
        <v>15892</v>
      </c>
      <c r="P458" s="5" t="s">
        <v>14571</v>
      </c>
      <c r="Q458" s="5" t="s">
        <v>14572</v>
      </c>
      <c r="R458" s="5" t="s">
        <v>15893</v>
      </c>
      <c r="T458" s="5" t="s">
        <v>14574</v>
      </c>
      <c r="U458" s="5" t="s">
        <v>33</v>
      </c>
      <c r="V458" s="5" t="s">
        <v>43</v>
      </c>
      <c r="W458" s="5" t="s">
        <v>5735</v>
      </c>
    </row>
    <row r="459" spans="1:23" ht="12.5">
      <c r="A459" s="5">
        <v>90962</v>
      </c>
      <c r="B459" s="5" t="s">
        <v>5737</v>
      </c>
      <c r="C459" s="5">
        <v>573012868888</v>
      </c>
      <c r="D459" s="5">
        <v>53</v>
      </c>
      <c r="E459" s="5" t="s">
        <v>75</v>
      </c>
      <c r="F459" s="5" t="s">
        <v>33</v>
      </c>
      <c r="G459" s="5" t="s">
        <v>5737</v>
      </c>
      <c r="H459" s="5" t="s">
        <v>34</v>
      </c>
      <c r="I459" s="5">
        <v>3012868888</v>
      </c>
      <c r="J459" s="12">
        <v>46031</v>
      </c>
      <c r="K459" s="11">
        <v>0</v>
      </c>
      <c r="M459" s="10" t="s">
        <v>14800</v>
      </c>
      <c r="N459" s="12">
        <v>46031.731643101855</v>
      </c>
      <c r="O459" s="10" t="s">
        <v>15665</v>
      </c>
      <c r="P459" s="5" t="s">
        <v>14571</v>
      </c>
      <c r="Q459" s="5" t="s">
        <v>14612</v>
      </c>
      <c r="R459" s="5" t="s">
        <v>15894</v>
      </c>
      <c r="T459" s="5" t="s">
        <v>14574</v>
      </c>
      <c r="U459" s="5" t="s">
        <v>33</v>
      </c>
      <c r="V459" s="5" t="s">
        <v>67</v>
      </c>
    </row>
    <row r="460" spans="1:23" ht="12.5">
      <c r="A460" s="5">
        <v>90963</v>
      </c>
      <c r="B460" s="5" t="s">
        <v>15895</v>
      </c>
      <c r="C460" s="5">
        <v>573008080336</v>
      </c>
      <c r="D460" s="5">
        <v>44</v>
      </c>
      <c r="E460" s="5" t="s">
        <v>1111</v>
      </c>
      <c r="F460" s="5" t="s">
        <v>161</v>
      </c>
      <c r="G460" s="5" t="s">
        <v>5742</v>
      </c>
      <c r="H460" s="5" t="s">
        <v>5743</v>
      </c>
      <c r="I460" s="5" t="s">
        <v>5744</v>
      </c>
      <c r="J460" s="12">
        <v>46032</v>
      </c>
      <c r="K460" s="11">
        <v>0.35416666666787933</v>
      </c>
      <c r="M460" s="10" t="s">
        <v>14885</v>
      </c>
      <c r="N460" s="12">
        <v>46031.739645011578</v>
      </c>
      <c r="O460" s="10" t="s">
        <v>15740</v>
      </c>
      <c r="P460" s="5" t="s">
        <v>14571</v>
      </c>
      <c r="Q460" s="5" t="s">
        <v>14578</v>
      </c>
      <c r="R460" s="5" t="s">
        <v>15896</v>
      </c>
      <c r="T460" s="5" t="s">
        <v>5994</v>
      </c>
      <c r="U460" s="5" t="s">
        <v>14593</v>
      </c>
      <c r="V460" s="5" t="s">
        <v>67</v>
      </c>
    </row>
    <row r="461" spans="1:23" ht="12.5">
      <c r="A461" s="5">
        <v>90964</v>
      </c>
      <c r="B461" s="5" t="s">
        <v>15897</v>
      </c>
      <c r="C461" s="5">
        <v>573014775009</v>
      </c>
      <c r="D461" s="5">
        <v>29</v>
      </c>
      <c r="E461" s="5" t="s">
        <v>309</v>
      </c>
      <c r="F461" s="5" t="s">
        <v>146</v>
      </c>
      <c r="G461" s="5" t="s">
        <v>5749</v>
      </c>
      <c r="H461" s="5" t="s">
        <v>5750</v>
      </c>
      <c r="I461" s="5">
        <v>3014775009</v>
      </c>
      <c r="J461" s="12">
        <v>46031</v>
      </c>
      <c r="K461" s="11">
        <v>0.77083333333212067</v>
      </c>
      <c r="M461" s="10" t="s">
        <v>14832</v>
      </c>
      <c r="N461" s="12">
        <v>46031.720930370371</v>
      </c>
      <c r="O461" s="10" t="s">
        <v>15668</v>
      </c>
      <c r="P461" s="5" t="s">
        <v>14571</v>
      </c>
      <c r="Q461" s="5" t="s">
        <v>14612</v>
      </c>
      <c r="R461" s="5" t="s">
        <v>15898</v>
      </c>
      <c r="T461" s="5" t="s">
        <v>5994</v>
      </c>
      <c r="U461" s="5" t="s">
        <v>14618</v>
      </c>
      <c r="V461" s="5" t="s">
        <v>67</v>
      </c>
    </row>
    <row r="462" spans="1:23" ht="12.5">
      <c r="A462" s="5">
        <v>90965</v>
      </c>
      <c r="B462" s="5" t="s">
        <v>15899</v>
      </c>
      <c r="C462" s="5">
        <v>573012722390</v>
      </c>
      <c r="D462" s="5">
        <v>78</v>
      </c>
      <c r="E462" s="5" t="s">
        <v>3892</v>
      </c>
      <c r="F462" s="5" t="s">
        <v>4403</v>
      </c>
      <c r="G462" s="5" t="s">
        <v>5754</v>
      </c>
      <c r="H462" s="5" t="s">
        <v>5755</v>
      </c>
      <c r="I462" s="5">
        <v>3234903829</v>
      </c>
      <c r="J462" s="12">
        <v>46032</v>
      </c>
      <c r="K462" s="11">
        <v>0.375</v>
      </c>
      <c r="M462" s="10" t="s">
        <v>15600</v>
      </c>
      <c r="N462" s="12">
        <v>46031.769981886573</v>
      </c>
      <c r="O462" s="10" t="s">
        <v>15900</v>
      </c>
      <c r="P462" s="5" t="s">
        <v>14571</v>
      </c>
      <c r="Q462" s="5" t="s">
        <v>14578</v>
      </c>
      <c r="R462" s="5" t="s">
        <v>15901</v>
      </c>
      <c r="T462" s="5" t="s">
        <v>5994</v>
      </c>
      <c r="U462" s="5" t="s">
        <v>14598</v>
      </c>
      <c r="V462" s="5" t="s">
        <v>2636</v>
      </c>
      <c r="W462" s="5" t="s">
        <v>5757</v>
      </c>
    </row>
    <row r="463" spans="1:23" ht="12.5">
      <c r="A463" s="5">
        <v>90966</v>
      </c>
      <c r="B463" s="5" t="s">
        <v>2150</v>
      </c>
      <c r="C463" s="5">
        <v>573012394343</v>
      </c>
      <c r="D463" s="5">
        <v>95</v>
      </c>
      <c r="E463" s="5" t="s">
        <v>42</v>
      </c>
      <c r="F463" s="5" t="s">
        <v>33</v>
      </c>
      <c r="G463" s="5" t="s">
        <v>2150</v>
      </c>
      <c r="H463" s="5" t="s">
        <v>34</v>
      </c>
      <c r="I463" s="5">
        <v>3012394343</v>
      </c>
      <c r="J463" s="12">
        <v>46032</v>
      </c>
      <c r="K463" s="11">
        <v>0.41666666666787933</v>
      </c>
      <c r="M463" s="10" t="s">
        <v>2686</v>
      </c>
      <c r="N463" s="12">
        <v>46032.320594803241</v>
      </c>
      <c r="O463" s="10" t="s">
        <v>15122</v>
      </c>
      <c r="P463" s="5" t="s">
        <v>14571</v>
      </c>
      <c r="Q463" s="5" t="s">
        <v>14612</v>
      </c>
      <c r="R463" s="5" t="s">
        <v>15902</v>
      </c>
      <c r="T463" s="5" t="s">
        <v>14574</v>
      </c>
      <c r="U463" s="5" t="s">
        <v>33</v>
      </c>
      <c r="V463" s="5" t="s">
        <v>67</v>
      </c>
      <c r="W463" s="5" t="s">
        <v>5760</v>
      </c>
    </row>
    <row r="464" spans="1:23" ht="12.5">
      <c r="A464" s="5">
        <v>90967</v>
      </c>
      <c r="B464" s="5" t="s">
        <v>15903</v>
      </c>
      <c r="C464" s="5">
        <v>573008039079</v>
      </c>
      <c r="D464" s="5">
        <v>68</v>
      </c>
      <c r="E464" s="5" t="s">
        <v>361</v>
      </c>
      <c r="F464" s="5" t="s">
        <v>307</v>
      </c>
      <c r="G464" s="5" t="s">
        <v>5763</v>
      </c>
      <c r="H464" s="5" t="s">
        <v>5764</v>
      </c>
      <c r="I464" s="5">
        <v>3008039079</v>
      </c>
      <c r="J464" s="12">
        <v>46032</v>
      </c>
      <c r="K464" s="11">
        <v>0.41666666666787933</v>
      </c>
      <c r="M464" s="10" t="s">
        <v>14777</v>
      </c>
      <c r="N464" s="12">
        <v>46032.348054062502</v>
      </c>
      <c r="O464" s="10" t="s">
        <v>15012</v>
      </c>
      <c r="P464" s="5" t="s">
        <v>14571</v>
      </c>
      <c r="Q464" s="5" t="s">
        <v>14572</v>
      </c>
      <c r="R464" s="5" t="s">
        <v>15904</v>
      </c>
      <c r="T464" s="5" t="s">
        <v>5994</v>
      </c>
      <c r="U464" s="5" t="s">
        <v>14618</v>
      </c>
      <c r="V464" s="5" t="s">
        <v>204</v>
      </c>
      <c r="W464" s="5" t="s">
        <v>5766</v>
      </c>
    </row>
    <row r="465" spans="1:23" ht="12.5">
      <c r="A465" s="5">
        <v>90968</v>
      </c>
      <c r="B465" s="5" t="s">
        <v>15905</v>
      </c>
      <c r="C465" s="5">
        <v>573012939818</v>
      </c>
      <c r="D465" s="5">
        <v>31</v>
      </c>
      <c r="E465" s="5" t="s">
        <v>375</v>
      </c>
      <c r="F465" s="5" t="s">
        <v>563</v>
      </c>
      <c r="G465" s="5" t="s">
        <v>5769</v>
      </c>
      <c r="H465" s="5" t="s">
        <v>5770</v>
      </c>
      <c r="I465" s="5">
        <v>3012939818</v>
      </c>
      <c r="J465" s="12">
        <v>46032</v>
      </c>
      <c r="K465" s="11">
        <v>0.41666666666787933</v>
      </c>
      <c r="M465" s="10" t="s">
        <v>14881</v>
      </c>
      <c r="N465" s="12">
        <v>46032.352607499997</v>
      </c>
      <c r="O465" s="10" t="s">
        <v>15906</v>
      </c>
      <c r="P465" s="5" t="s">
        <v>14571</v>
      </c>
      <c r="Q465" s="5" t="s">
        <v>14578</v>
      </c>
      <c r="R465" s="5" t="s">
        <v>15907</v>
      </c>
      <c r="T465" s="5" t="s">
        <v>5994</v>
      </c>
      <c r="U465" s="5" t="s">
        <v>14775</v>
      </c>
      <c r="V465" s="5" t="s">
        <v>67</v>
      </c>
      <c r="W465" s="5" t="s">
        <v>5773</v>
      </c>
    </row>
    <row r="466" spans="1:23" ht="12.5">
      <c r="A466" s="5">
        <v>90969</v>
      </c>
      <c r="B466" s="5" t="s">
        <v>15908</v>
      </c>
      <c r="C466" s="5">
        <v>573105467269</v>
      </c>
      <c r="D466" s="5">
        <v>23</v>
      </c>
      <c r="E466" s="5" t="s">
        <v>50</v>
      </c>
      <c r="F466" s="5" t="s">
        <v>110</v>
      </c>
      <c r="G466" s="5" t="s">
        <v>5776</v>
      </c>
      <c r="H466" s="5" t="s">
        <v>5777</v>
      </c>
      <c r="I466" s="5">
        <v>3175175537</v>
      </c>
      <c r="J466" s="12">
        <v>46032</v>
      </c>
      <c r="K466" s="11">
        <v>0</v>
      </c>
      <c r="M466" s="10" t="s">
        <v>15377</v>
      </c>
      <c r="N466" s="12">
        <v>46032.360793969907</v>
      </c>
      <c r="O466" s="10" t="s">
        <v>15909</v>
      </c>
      <c r="P466" s="5" t="s">
        <v>14571</v>
      </c>
      <c r="Q466" s="5" t="s">
        <v>14612</v>
      </c>
      <c r="R466" s="5" t="s">
        <v>15910</v>
      </c>
      <c r="T466" s="5" t="s">
        <v>5994</v>
      </c>
      <c r="U466" s="5" t="s">
        <v>14593</v>
      </c>
      <c r="V466" s="5" t="s">
        <v>67</v>
      </c>
      <c r="W466" s="5" t="s">
        <v>5780</v>
      </c>
    </row>
    <row r="467" spans="1:23" ht="12.5">
      <c r="A467" s="5">
        <v>90970</v>
      </c>
      <c r="B467" s="5" t="s">
        <v>13666</v>
      </c>
      <c r="C467" s="5">
        <v>573123838194</v>
      </c>
      <c r="D467" s="5">
        <v>95</v>
      </c>
      <c r="E467" s="5" t="s">
        <v>42</v>
      </c>
      <c r="F467" s="5" t="s">
        <v>103</v>
      </c>
      <c r="G467" s="5" t="s">
        <v>5782</v>
      </c>
      <c r="H467" s="5" t="s">
        <v>5783</v>
      </c>
      <c r="I467" s="5">
        <v>3184113718</v>
      </c>
      <c r="J467" s="12">
        <v>46032</v>
      </c>
      <c r="K467" s="11">
        <v>0</v>
      </c>
      <c r="M467" s="10" t="s">
        <v>15352</v>
      </c>
      <c r="N467" s="12">
        <v>46032.378006967592</v>
      </c>
      <c r="O467" s="10" t="s">
        <v>15911</v>
      </c>
      <c r="P467" s="5" t="s">
        <v>14571</v>
      </c>
      <c r="Q467" s="5" t="s">
        <v>14578</v>
      </c>
      <c r="R467" s="5" t="s">
        <v>15912</v>
      </c>
      <c r="T467" s="5" t="s">
        <v>5994</v>
      </c>
      <c r="U467" s="5" t="s">
        <v>14593</v>
      </c>
      <c r="V467" s="5" t="s">
        <v>67</v>
      </c>
      <c r="W467" s="5" t="s">
        <v>5786</v>
      </c>
    </row>
    <row r="468" spans="1:23" ht="12.5">
      <c r="A468" s="5">
        <v>90971</v>
      </c>
      <c r="B468" s="5" t="s">
        <v>15913</v>
      </c>
      <c r="C468" s="5">
        <v>573234230230</v>
      </c>
      <c r="D468" s="5">
        <v>20</v>
      </c>
      <c r="E468" s="5" t="s">
        <v>187</v>
      </c>
      <c r="F468" s="5" t="s">
        <v>79</v>
      </c>
      <c r="G468" s="5" t="s">
        <v>5788</v>
      </c>
      <c r="H468" s="5" t="s">
        <v>5789</v>
      </c>
      <c r="I468" s="5">
        <v>3205294335</v>
      </c>
      <c r="J468" s="12">
        <v>46032</v>
      </c>
      <c r="K468" s="11">
        <v>0.45833333333212067</v>
      </c>
      <c r="M468" s="10" t="s">
        <v>14777</v>
      </c>
      <c r="N468" s="12">
        <v>46032.393492604169</v>
      </c>
      <c r="O468" s="10" t="s">
        <v>15597</v>
      </c>
      <c r="P468" s="5" t="s">
        <v>14571</v>
      </c>
      <c r="Q468" s="5" t="s">
        <v>14572</v>
      </c>
      <c r="R468" s="5" t="s">
        <v>15914</v>
      </c>
      <c r="T468" s="5" t="s">
        <v>5994</v>
      </c>
      <c r="U468" s="5" t="s">
        <v>14593</v>
      </c>
      <c r="V468" s="5" t="s">
        <v>67</v>
      </c>
    </row>
    <row r="469" spans="1:23" ht="12.5">
      <c r="A469" s="5">
        <v>90972</v>
      </c>
      <c r="B469" s="5" t="s">
        <v>15915</v>
      </c>
      <c r="C469" s="5">
        <v>573106328734</v>
      </c>
      <c r="D469" s="5">
        <v>52</v>
      </c>
      <c r="E469" s="5" t="s">
        <v>178</v>
      </c>
      <c r="F469" s="5" t="s">
        <v>73</v>
      </c>
      <c r="G469" s="5" t="s">
        <v>5794</v>
      </c>
      <c r="H469" s="5" t="s">
        <v>5795</v>
      </c>
      <c r="I469" s="5">
        <v>3135045877</v>
      </c>
      <c r="J469" s="12">
        <v>46033</v>
      </c>
      <c r="K469" s="11">
        <v>0.45833333333212067</v>
      </c>
      <c r="M469" s="10" t="s">
        <v>14859</v>
      </c>
      <c r="N469" s="12">
        <v>46032.400471261572</v>
      </c>
      <c r="O469" s="10" t="s">
        <v>15916</v>
      </c>
      <c r="P469" s="5" t="s">
        <v>14571</v>
      </c>
      <c r="Q469" s="5" t="s">
        <v>14578</v>
      </c>
      <c r="R469" s="5" t="s">
        <v>15917</v>
      </c>
      <c r="T469" s="5" t="s">
        <v>5994</v>
      </c>
      <c r="U469" s="5" t="s">
        <v>14593</v>
      </c>
      <c r="V469" s="5" t="s">
        <v>67</v>
      </c>
    </row>
    <row r="470" spans="1:23" ht="12.5">
      <c r="A470" s="5">
        <v>90973</v>
      </c>
      <c r="B470" s="5" t="s">
        <v>15918</v>
      </c>
      <c r="C470" s="5">
        <v>573005080797</v>
      </c>
      <c r="D470" s="5">
        <v>5</v>
      </c>
      <c r="E470" s="5" t="s">
        <v>3111</v>
      </c>
      <c r="F470" s="5" t="s">
        <v>103</v>
      </c>
      <c r="G470" s="5" t="s">
        <v>5799</v>
      </c>
      <c r="H470" s="5" t="s">
        <v>5800</v>
      </c>
      <c r="I470" s="5">
        <v>3148762110</v>
      </c>
      <c r="J470" s="12">
        <v>46032</v>
      </c>
      <c r="K470" s="11">
        <v>0</v>
      </c>
      <c r="M470" s="10" t="s">
        <v>14712</v>
      </c>
      <c r="N470" s="12">
        <v>46032.446433888894</v>
      </c>
      <c r="O470" s="10" t="s">
        <v>15834</v>
      </c>
      <c r="P470" s="5" t="s">
        <v>14571</v>
      </c>
      <c r="Q470" s="5" t="s">
        <v>14572</v>
      </c>
      <c r="R470" s="5" t="s">
        <v>15919</v>
      </c>
      <c r="T470" s="5" t="s">
        <v>5994</v>
      </c>
      <c r="U470" s="5" t="s">
        <v>14593</v>
      </c>
      <c r="V470" s="5" t="s">
        <v>67</v>
      </c>
    </row>
    <row r="471" spans="1:23" ht="12.5">
      <c r="A471" s="5">
        <v>90974</v>
      </c>
      <c r="B471" s="5" t="s">
        <v>15920</v>
      </c>
      <c r="C471" s="5">
        <v>57321815170808</v>
      </c>
      <c r="D471" s="5">
        <v>51</v>
      </c>
      <c r="E471" s="5" t="s">
        <v>384</v>
      </c>
      <c r="F471" s="5" t="s">
        <v>964</v>
      </c>
      <c r="G471" s="5" t="s">
        <v>2154</v>
      </c>
      <c r="H471" s="5" t="s">
        <v>5803</v>
      </c>
      <c r="J471" s="12">
        <v>46032</v>
      </c>
      <c r="K471" s="11">
        <v>0</v>
      </c>
      <c r="M471" s="10" t="s">
        <v>14582</v>
      </c>
      <c r="N471" s="12">
        <v>46032.454867175926</v>
      </c>
      <c r="O471" s="10" t="s">
        <v>14984</v>
      </c>
      <c r="P471" s="5" t="s">
        <v>14571</v>
      </c>
      <c r="Q471" s="5" t="s">
        <v>14578</v>
      </c>
      <c r="R471" s="5" t="s">
        <v>15921</v>
      </c>
      <c r="T471" s="5" t="s">
        <v>5994</v>
      </c>
      <c r="U471" s="5" t="s">
        <v>14618</v>
      </c>
      <c r="V471" s="5" t="s">
        <v>1937</v>
      </c>
    </row>
    <row r="472" spans="1:23" ht="12.5">
      <c r="A472" s="5">
        <v>90975</v>
      </c>
      <c r="B472" s="5" t="s">
        <v>15423</v>
      </c>
      <c r="C472" s="10" t="s">
        <v>15922</v>
      </c>
      <c r="D472" s="5">
        <v>7</v>
      </c>
      <c r="E472" s="5" t="s">
        <v>112</v>
      </c>
      <c r="F472" s="5" t="s">
        <v>1124</v>
      </c>
      <c r="G472" s="5" t="s">
        <v>5804</v>
      </c>
      <c r="H472" s="5" t="s">
        <v>5805</v>
      </c>
      <c r="J472" s="12">
        <v>46032</v>
      </c>
      <c r="K472" s="11">
        <v>0</v>
      </c>
      <c r="M472" s="10" t="s">
        <v>15415</v>
      </c>
      <c r="N472" s="12">
        <v>46032</v>
      </c>
      <c r="O472" s="10" t="s">
        <v>15843</v>
      </c>
      <c r="P472" s="5" t="s">
        <v>14571</v>
      </c>
      <c r="Q472" s="5" t="s">
        <v>14612</v>
      </c>
      <c r="R472" s="5" t="s">
        <v>15923</v>
      </c>
      <c r="T472" s="5" t="s">
        <v>5994</v>
      </c>
      <c r="U472" s="5" t="s">
        <v>14691</v>
      </c>
      <c r="V472" s="5" t="s">
        <v>67</v>
      </c>
    </row>
    <row r="473" spans="1:23" ht="12.5">
      <c r="A473" s="5">
        <v>90976</v>
      </c>
      <c r="B473" s="5" t="s">
        <v>15924</v>
      </c>
      <c r="C473" s="5">
        <v>573106985916</v>
      </c>
      <c r="D473" s="5">
        <v>15</v>
      </c>
      <c r="E473" s="5" t="s">
        <v>707</v>
      </c>
      <c r="F473" s="5" t="s">
        <v>73</v>
      </c>
      <c r="G473" s="5" t="s">
        <v>5809</v>
      </c>
      <c r="H473" s="5" t="s">
        <v>5810</v>
      </c>
      <c r="I473" s="5">
        <v>3002466173</v>
      </c>
      <c r="J473" s="12">
        <v>46032</v>
      </c>
      <c r="K473" s="11">
        <v>0</v>
      </c>
      <c r="M473" s="10" t="s">
        <v>15925</v>
      </c>
      <c r="N473" s="12">
        <v>46032.467526770837</v>
      </c>
      <c r="O473" s="10" t="s">
        <v>15846</v>
      </c>
      <c r="P473" s="5" t="s">
        <v>14571</v>
      </c>
      <c r="Q473" s="5" t="s">
        <v>14578</v>
      </c>
      <c r="R473" s="5" t="s">
        <v>15926</v>
      </c>
      <c r="T473" s="5" t="s">
        <v>5994</v>
      </c>
      <c r="U473" s="5" t="s">
        <v>14593</v>
      </c>
      <c r="V473" s="5" t="s">
        <v>180</v>
      </c>
      <c r="W473" s="5" t="s">
        <v>5812</v>
      </c>
    </row>
    <row r="474" spans="1:23" ht="12.5">
      <c r="A474" s="5">
        <v>90977</v>
      </c>
      <c r="B474" s="5" t="s">
        <v>5815</v>
      </c>
      <c r="C474" s="5">
        <v>573102709637</v>
      </c>
      <c r="D474" s="5">
        <v>95</v>
      </c>
      <c r="E474" s="5" t="s">
        <v>42</v>
      </c>
      <c r="F474" s="5" t="s">
        <v>33</v>
      </c>
      <c r="G474" s="5" t="s">
        <v>5815</v>
      </c>
      <c r="H474" s="5" t="s">
        <v>34</v>
      </c>
      <c r="I474" s="5">
        <v>3102709637</v>
      </c>
      <c r="J474" s="12">
        <v>46032</v>
      </c>
      <c r="K474" s="11">
        <v>0</v>
      </c>
      <c r="M474" s="10" t="s">
        <v>15927</v>
      </c>
      <c r="N474" s="12">
        <v>46032.490091562504</v>
      </c>
      <c r="O474" s="10" t="s">
        <v>14644</v>
      </c>
      <c r="P474" s="5" t="s">
        <v>14571</v>
      </c>
      <c r="Q474" s="5" t="s">
        <v>14572</v>
      </c>
      <c r="R474" s="5" t="s">
        <v>15928</v>
      </c>
      <c r="T474" s="5" t="s">
        <v>14574</v>
      </c>
      <c r="U474" s="5" t="s">
        <v>33</v>
      </c>
      <c r="V474" s="5" t="s">
        <v>1705</v>
      </c>
      <c r="W474" s="5" t="s">
        <v>5816</v>
      </c>
    </row>
    <row r="475" spans="1:23" ht="12.5">
      <c r="A475" s="5">
        <v>90978</v>
      </c>
      <c r="B475" s="5" t="s">
        <v>15929</v>
      </c>
      <c r="C475" s="10" t="s">
        <v>15930</v>
      </c>
      <c r="D475" s="5">
        <v>29</v>
      </c>
      <c r="E475" s="5" t="s">
        <v>309</v>
      </c>
      <c r="F475" s="5" t="s">
        <v>63</v>
      </c>
      <c r="G475" s="5" t="s">
        <v>5818</v>
      </c>
      <c r="H475" s="5" t="s">
        <v>5819</v>
      </c>
      <c r="J475" s="12">
        <v>46032</v>
      </c>
      <c r="K475" s="11">
        <v>0</v>
      </c>
      <c r="M475" s="10" t="s">
        <v>14595</v>
      </c>
      <c r="N475" s="12">
        <v>46032</v>
      </c>
      <c r="O475" s="10" t="s">
        <v>15931</v>
      </c>
      <c r="P475" s="5" t="s">
        <v>14571</v>
      </c>
      <c r="Q475" s="5" t="s">
        <v>14572</v>
      </c>
      <c r="R475" s="5" t="s">
        <v>15932</v>
      </c>
      <c r="T475" s="5" t="s">
        <v>5994</v>
      </c>
      <c r="U475" s="5" t="s">
        <v>14598</v>
      </c>
      <c r="V475" s="5" t="s">
        <v>67</v>
      </c>
    </row>
    <row r="476" spans="1:23" ht="12.5">
      <c r="A476" s="5">
        <v>90979</v>
      </c>
      <c r="B476" s="5" t="s">
        <v>4351</v>
      </c>
      <c r="C476" s="5">
        <v>573008148314</v>
      </c>
      <c r="D476" s="5">
        <v>95</v>
      </c>
      <c r="E476" s="5" t="s">
        <v>42</v>
      </c>
      <c r="F476" s="5" t="s">
        <v>33</v>
      </c>
      <c r="G476" s="5" t="s">
        <v>4351</v>
      </c>
      <c r="H476" s="5" t="s">
        <v>34</v>
      </c>
      <c r="I476" s="5">
        <v>3008148314</v>
      </c>
      <c r="J476" s="12">
        <v>46032</v>
      </c>
      <c r="K476" s="11">
        <v>0</v>
      </c>
      <c r="M476" s="10" t="s">
        <v>14585</v>
      </c>
      <c r="N476" s="12">
        <v>46032.486858993056</v>
      </c>
      <c r="O476" s="10" t="s">
        <v>15073</v>
      </c>
      <c r="P476" s="5" t="s">
        <v>14571</v>
      </c>
      <c r="Q476" s="5" t="s">
        <v>14612</v>
      </c>
      <c r="R476" s="5" t="s">
        <v>15933</v>
      </c>
      <c r="T476" s="5" t="s">
        <v>14574</v>
      </c>
      <c r="U476" s="5" t="s">
        <v>33</v>
      </c>
      <c r="V476" s="5" t="s">
        <v>1705</v>
      </c>
      <c r="W476" s="5" t="s">
        <v>525</v>
      </c>
    </row>
    <row r="477" spans="1:23" ht="12.5">
      <c r="A477" s="5">
        <v>90980</v>
      </c>
      <c r="B477" s="5" t="s">
        <v>15934</v>
      </c>
      <c r="C477" s="5">
        <v>573166972341</v>
      </c>
      <c r="D477" s="5">
        <v>41</v>
      </c>
      <c r="E477" s="5" t="s">
        <v>89</v>
      </c>
      <c r="F477" s="5" t="s">
        <v>185</v>
      </c>
      <c r="G477" s="5" t="s">
        <v>5823</v>
      </c>
      <c r="H477" s="5" t="s">
        <v>5824</v>
      </c>
      <c r="I477" s="5"/>
      <c r="J477" s="12">
        <v>46032</v>
      </c>
      <c r="K477" s="11">
        <v>0.625</v>
      </c>
      <c r="M477" s="10" t="s">
        <v>15623</v>
      </c>
      <c r="N477" s="12">
        <v>46032.50228799769</v>
      </c>
      <c r="O477" s="10" t="s">
        <v>15849</v>
      </c>
      <c r="P477" s="5" t="s">
        <v>14571</v>
      </c>
      <c r="Q477" s="5" t="s">
        <v>14578</v>
      </c>
      <c r="R477" s="5" t="s">
        <v>15935</v>
      </c>
      <c r="T477" s="5" t="s">
        <v>5994</v>
      </c>
      <c r="U477" s="5" t="s">
        <v>14580</v>
      </c>
      <c r="V477" s="5" t="s">
        <v>67</v>
      </c>
    </row>
    <row r="478" spans="1:23" ht="12.5">
      <c r="A478" s="5">
        <v>90981</v>
      </c>
      <c r="B478" s="5" t="s">
        <v>15936</v>
      </c>
      <c r="C478" s="5">
        <v>573205526103</v>
      </c>
      <c r="D478" s="5">
        <v>57</v>
      </c>
      <c r="E478" s="5" t="s">
        <v>1085</v>
      </c>
      <c r="F478" s="5" t="s">
        <v>33</v>
      </c>
      <c r="G478" s="5" t="s">
        <v>5827</v>
      </c>
      <c r="H478" s="5" t="s">
        <v>5828</v>
      </c>
      <c r="I478" s="5">
        <v>3205526103</v>
      </c>
      <c r="J478" s="12">
        <v>46032</v>
      </c>
      <c r="K478" s="11">
        <v>0.16666666666787933</v>
      </c>
      <c r="M478" s="10" t="s">
        <v>10581</v>
      </c>
      <c r="N478" s="12">
        <v>46032.507661111114</v>
      </c>
      <c r="O478" s="10" t="s">
        <v>15616</v>
      </c>
      <c r="P478" s="5" t="s">
        <v>14571</v>
      </c>
      <c r="Q478" s="5" t="s">
        <v>14612</v>
      </c>
      <c r="R478" s="5" t="s">
        <v>15937</v>
      </c>
      <c r="T478" s="5" t="s">
        <v>14574</v>
      </c>
      <c r="U478" s="5" t="s">
        <v>33</v>
      </c>
      <c r="V478" s="5" t="s">
        <v>1705</v>
      </c>
    </row>
    <row r="479" spans="1:23" ht="12.5">
      <c r="A479" s="5">
        <v>90982</v>
      </c>
      <c r="B479" s="5" t="s">
        <v>5832</v>
      </c>
      <c r="C479" s="5">
        <v>573005040045</v>
      </c>
      <c r="D479" s="5">
        <v>95</v>
      </c>
      <c r="E479" s="5" t="s">
        <v>42</v>
      </c>
      <c r="F479" s="5" t="s">
        <v>33</v>
      </c>
      <c r="G479" s="5" t="s">
        <v>5832</v>
      </c>
      <c r="H479" s="5" t="s">
        <v>34</v>
      </c>
      <c r="I479" s="5" t="s">
        <v>5833</v>
      </c>
      <c r="J479" s="12">
        <v>46032</v>
      </c>
      <c r="K479" s="11">
        <v>0</v>
      </c>
      <c r="M479" s="10" t="s">
        <v>15032</v>
      </c>
      <c r="N479" s="12">
        <v>46032.546410775467</v>
      </c>
      <c r="O479" s="10" t="s">
        <v>14965</v>
      </c>
      <c r="P479" s="5" t="s">
        <v>14571</v>
      </c>
      <c r="Q479" s="5" t="s">
        <v>14572</v>
      </c>
      <c r="R479" s="5" t="s">
        <v>15938</v>
      </c>
      <c r="T479" s="5" t="s">
        <v>14574</v>
      </c>
      <c r="U479" s="5" t="s">
        <v>33</v>
      </c>
      <c r="V479" s="5" t="s">
        <v>1705</v>
      </c>
      <c r="W479" s="5" t="s">
        <v>5834</v>
      </c>
    </row>
    <row r="480" spans="1:23" ht="12.5">
      <c r="A480" s="5">
        <v>90983</v>
      </c>
      <c r="B480" s="5" t="s">
        <v>1781</v>
      </c>
      <c r="C480" s="5">
        <v>573205425252</v>
      </c>
      <c r="D480" s="5">
        <v>95</v>
      </c>
      <c r="E480" s="5" t="s">
        <v>42</v>
      </c>
      <c r="F480" s="5" t="s">
        <v>307</v>
      </c>
      <c r="G480" s="5" t="s">
        <v>5835</v>
      </c>
      <c r="H480" s="5" t="s">
        <v>5836</v>
      </c>
      <c r="I480" s="5">
        <v>3205425252</v>
      </c>
      <c r="J480" s="12">
        <v>46032</v>
      </c>
      <c r="K480" s="11">
        <v>0</v>
      </c>
      <c r="M480" s="10" t="s">
        <v>14585</v>
      </c>
      <c r="N480" s="12">
        <v>46032.570201006944</v>
      </c>
      <c r="O480" s="10" t="s">
        <v>15791</v>
      </c>
      <c r="P480" s="5" t="s">
        <v>14571</v>
      </c>
      <c r="Q480" s="5" t="s">
        <v>14572</v>
      </c>
      <c r="R480" s="5" t="s">
        <v>15939</v>
      </c>
      <c r="T480" s="5" t="s">
        <v>5994</v>
      </c>
      <c r="U480" s="5" t="s">
        <v>14618</v>
      </c>
      <c r="V480" s="5" t="s">
        <v>67</v>
      </c>
      <c r="W480" s="5" t="s">
        <v>5837</v>
      </c>
    </row>
    <row r="481" spans="1:23" ht="12.5">
      <c r="A481" s="5">
        <v>90984</v>
      </c>
      <c r="B481" s="5" t="s">
        <v>15940</v>
      </c>
      <c r="C481" s="5">
        <v>573122437496</v>
      </c>
      <c r="D481" s="5">
        <v>29</v>
      </c>
      <c r="E481" s="5" t="s">
        <v>309</v>
      </c>
      <c r="F481" s="5" t="s">
        <v>161</v>
      </c>
      <c r="G481" s="5" t="s">
        <v>5839</v>
      </c>
      <c r="H481" s="5" t="s">
        <v>5840</v>
      </c>
      <c r="I481" s="5" t="s">
        <v>5841</v>
      </c>
      <c r="J481" s="12">
        <v>46034</v>
      </c>
      <c r="K481" s="11">
        <v>0</v>
      </c>
      <c r="M481" s="10" t="s">
        <v>14850</v>
      </c>
      <c r="N481" s="12">
        <v>46032.571663032402</v>
      </c>
      <c r="O481" s="10" t="s">
        <v>15941</v>
      </c>
      <c r="P481" s="5" t="s">
        <v>14571</v>
      </c>
      <c r="Q481" s="5" t="s">
        <v>14578</v>
      </c>
      <c r="R481" s="5" t="s">
        <v>15942</v>
      </c>
      <c r="T481" s="5" t="s">
        <v>5994</v>
      </c>
      <c r="U481" s="5" t="s">
        <v>14593</v>
      </c>
      <c r="V481" s="5" t="s">
        <v>1937</v>
      </c>
    </row>
    <row r="482" spans="1:23" ht="12.5">
      <c r="A482" s="5">
        <v>90985</v>
      </c>
      <c r="B482" s="5" t="s">
        <v>15943</v>
      </c>
      <c r="C482" s="5">
        <v>573244414544</v>
      </c>
      <c r="D482" s="5">
        <v>53</v>
      </c>
      <c r="E482" s="5" t="s">
        <v>75</v>
      </c>
      <c r="F482" s="5" t="s">
        <v>420</v>
      </c>
      <c r="G482" s="5" t="s">
        <v>5846</v>
      </c>
      <c r="H482" s="5" t="s">
        <v>5847</v>
      </c>
      <c r="I482" s="5" t="s">
        <v>5848</v>
      </c>
      <c r="J482" s="12">
        <v>46032</v>
      </c>
      <c r="K482" s="11">
        <v>0</v>
      </c>
      <c r="M482" s="10" t="s">
        <v>14817</v>
      </c>
      <c r="N482" s="12">
        <v>46032.575405682874</v>
      </c>
      <c r="O482" s="10" t="s">
        <v>15944</v>
      </c>
      <c r="P482" s="5" t="s">
        <v>14571</v>
      </c>
      <c r="Q482" s="5" t="s">
        <v>14572</v>
      </c>
      <c r="R482" s="5" t="s">
        <v>15945</v>
      </c>
      <c r="T482" s="5" t="s">
        <v>5994</v>
      </c>
      <c r="U482" s="5" t="s">
        <v>14580</v>
      </c>
      <c r="V482" s="5" t="s">
        <v>67</v>
      </c>
      <c r="W482" s="5" t="s">
        <v>5850</v>
      </c>
    </row>
    <row r="483" spans="1:23" ht="12.5">
      <c r="A483" s="5">
        <v>90986</v>
      </c>
      <c r="B483" s="5" t="s">
        <v>15946</v>
      </c>
      <c r="C483" s="5">
        <v>573177320217</v>
      </c>
      <c r="D483" s="5">
        <v>30</v>
      </c>
      <c r="E483" s="5" t="s">
        <v>156</v>
      </c>
      <c r="F483" s="5" t="s">
        <v>154</v>
      </c>
      <c r="G483" s="5" t="s">
        <v>5851</v>
      </c>
      <c r="H483" s="5" t="s">
        <v>5852</v>
      </c>
      <c r="I483" s="5" t="s">
        <v>5853</v>
      </c>
      <c r="J483" s="12">
        <v>46032</v>
      </c>
      <c r="K483" s="11">
        <v>0</v>
      </c>
      <c r="M483" s="10" t="s">
        <v>14639</v>
      </c>
      <c r="N483" s="12">
        <v>46032.630958796297</v>
      </c>
      <c r="O483" s="10" t="s">
        <v>15947</v>
      </c>
      <c r="P483" s="5" t="s">
        <v>14571</v>
      </c>
      <c r="Q483" s="5" t="s">
        <v>14578</v>
      </c>
      <c r="R483" s="5" t="s">
        <v>15948</v>
      </c>
      <c r="T483" s="5" t="s">
        <v>5994</v>
      </c>
      <c r="U483" s="5" t="s">
        <v>14593</v>
      </c>
      <c r="V483" s="5" t="s">
        <v>67</v>
      </c>
    </row>
    <row r="484" spans="1:23" ht="12.5">
      <c r="A484" s="5">
        <v>90987</v>
      </c>
      <c r="B484" s="5" t="s">
        <v>15949</v>
      </c>
      <c r="C484" s="10" t="s">
        <v>15950</v>
      </c>
      <c r="D484" s="5">
        <v>79</v>
      </c>
      <c r="E484" s="5" t="s">
        <v>2059</v>
      </c>
      <c r="F484" s="5" t="s">
        <v>4403</v>
      </c>
      <c r="G484" s="5" t="s">
        <v>5858</v>
      </c>
      <c r="H484" s="5" t="s">
        <v>5859</v>
      </c>
      <c r="J484" s="12">
        <v>46032</v>
      </c>
      <c r="K484" s="11">
        <v>0</v>
      </c>
      <c r="M484" s="10" t="s">
        <v>15460</v>
      </c>
      <c r="N484" s="12">
        <v>46032</v>
      </c>
      <c r="O484" s="10" t="s">
        <v>14827</v>
      </c>
      <c r="P484" s="5" t="s">
        <v>14571</v>
      </c>
      <c r="Q484" s="5" t="s">
        <v>14572</v>
      </c>
      <c r="R484" s="5" t="s">
        <v>15951</v>
      </c>
      <c r="T484" s="5" t="s">
        <v>5994</v>
      </c>
      <c r="U484" s="5" t="s">
        <v>14598</v>
      </c>
      <c r="V484" s="5" t="s">
        <v>67</v>
      </c>
    </row>
    <row r="485" spans="1:23" ht="12.5">
      <c r="A485" s="5">
        <v>90988</v>
      </c>
      <c r="B485" s="5" t="s">
        <v>15952</v>
      </c>
      <c r="C485" s="5">
        <v>573508337141</v>
      </c>
      <c r="D485" s="5">
        <v>70</v>
      </c>
      <c r="E485" s="5" t="s">
        <v>559</v>
      </c>
      <c r="F485" s="5" t="s">
        <v>1497</v>
      </c>
      <c r="G485" s="5" t="s">
        <v>5862</v>
      </c>
      <c r="H485" s="5" t="s">
        <v>5863</v>
      </c>
      <c r="I485" s="5">
        <v>3005533279</v>
      </c>
      <c r="J485" s="12">
        <v>46035</v>
      </c>
      <c r="K485" s="11">
        <v>0.375</v>
      </c>
      <c r="M485" s="10" t="s">
        <v>15632</v>
      </c>
      <c r="N485" s="12">
        <v>46032.650336886574</v>
      </c>
      <c r="O485" s="10" t="s">
        <v>15953</v>
      </c>
      <c r="P485" s="5" t="s">
        <v>14571</v>
      </c>
      <c r="Q485" s="5" t="s">
        <v>14578</v>
      </c>
      <c r="R485" s="5" t="s">
        <v>15954</v>
      </c>
      <c r="T485" s="5" t="s">
        <v>5994</v>
      </c>
      <c r="U485" s="5" t="s">
        <v>14593</v>
      </c>
      <c r="V485" s="5" t="s">
        <v>1705</v>
      </c>
    </row>
    <row r="486" spans="1:23" ht="12.5">
      <c r="A486" s="5">
        <v>90989</v>
      </c>
      <c r="B486" s="5" t="s">
        <v>15955</v>
      </c>
      <c r="C486" s="5">
        <v>573016646459</v>
      </c>
      <c r="D486" s="5">
        <v>58</v>
      </c>
      <c r="E486" s="5" t="s">
        <v>57</v>
      </c>
      <c r="F486" s="5" t="s">
        <v>33</v>
      </c>
      <c r="G486" s="5" t="s">
        <v>5865</v>
      </c>
      <c r="H486" s="5" t="s">
        <v>34</v>
      </c>
      <c r="J486" s="12">
        <v>46032</v>
      </c>
      <c r="K486" s="11">
        <v>0</v>
      </c>
      <c r="M486" s="10" t="s">
        <v>15594</v>
      </c>
      <c r="N486" s="12">
        <v>46032.608624548608</v>
      </c>
      <c r="O486" s="10" t="s">
        <v>15956</v>
      </c>
      <c r="P486" s="5" t="s">
        <v>14571</v>
      </c>
      <c r="Q486" s="5" t="s">
        <v>14578</v>
      </c>
      <c r="R486" s="5" t="s">
        <v>15957</v>
      </c>
      <c r="T486" s="5" t="s">
        <v>14574</v>
      </c>
      <c r="U486" s="5" t="s">
        <v>33</v>
      </c>
      <c r="V486" s="5" t="s">
        <v>67</v>
      </c>
    </row>
    <row r="487" spans="1:23" ht="12.5">
      <c r="A487" s="5">
        <v>90990</v>
      </c>
      <c r="B487" s="5" t="s">
        <v>15958</v>
      </c>
      <c r="C487" s="5">
        <v>573008100681</v>
      </c>
      <c r="D487" s="5">
        <v>30</v>
      </c>
      <c r="E487" s="5" t="s">
        <v>156</v>
      </c>
      <c r="F487" s="5" t="s">
        <v>892</v>
      </c>
      <c r="G487" s="5" t="s">
        <v>5868</v>
      </c>
      <c r="H487" s="5" t="s">
        <v>5869</v>
      </c>
      <c r="I487" s="5">
        <v>3178550949</v>
      </c>
      <c r="J487" s="12">
        <v>46036</v>
      </c>
      <c r="K487" s="11">
        <v>0.75</v>
      </c>
      <c r="M487" s="10" t="s">
        <v>14585</v>
      </c>
      <c r="N487" s="12">
        <v>46032.658587962964</v>
      </c>
      <c r="O487" s="10" t="s">
        <v>15959</v>
      </c>
      <c r="P487" s="5" t="s">
        <v>14571</v>
      </c>
      <c r="Q487" s="5" t="s">
        <v>14578</v>
      </c>
      <c r="R487" s="5" t="s">
        <v>15960</v>
      </c>
      <c r="T487" s="5" t="s">
        <v>5994</v>
      </c>
      <c r="U487" s="5" t="s">
        <v>14593</v>
      </c>
      <c r="V487" s="5" t="s">
        <v>67</v>
      </c>
      <c r="W487" s="5" t="s">
        <v>5872</v>
      </c>
    </row>
    <row r="488" spans="1:23" ht="12.5">
      <c r="A488" s="5">
        <v>90991</v>
      </c>
      <c r="B488" s="5" t="s">
        <v>5874</v>
      </c>
      <c r="C488" s="5">
        <v>57301243813791</v>
      </c>
      <c r="D488" s="5">
        <v>95</v>
      </c>
      <c r="E488" s="5" t="s">
        <v>42</v>
      </c>
      <c r="F488" s="5" t="s">
        <v>33</v>
      </c>
      <c r="G488" s="5" t="s">
        <v>5874</v>
      </c>
      <c r="H488" s="5" t="s">
        <v>34</v>
      </c>
      <c r="I488" s="5">
        <v>301243813791</v>
      </c>
      <c r="J488" s="12">
        <v>46032</v>
      </c>
      <c r="K488" s="11">
        <v>0</v>
      </c>
      <c r="M488" s="10" t="s">
        <v>14705</v>
      </c>
      <c r="N488" s="12">
        <v>46032.689168761572</v>
      </c>
      <c r="O488" s="10" t="s">
        <v>14920</v>
      </c>
      <c r="P488" s="5" t="s">
        <v>14571</v>
      </c>
      <c r="Q488" s="5" t="s">
        <v>14612</v>
      </c>
      <c r="R488" s="5" t="s">
        <v>15961</v>
      </c>
      <c r="T488" s="5" t="s">
        <v>14574</v>
      </c>
      <c r="U488" s="5" t="s">
        <v>33</v>
      </c>
      <c r="V488" s="5" t="s">
        <v>196</v>
      </c>
    </row>
    <row r="489" spans="1:23" ht="12.5">
      <c r="A489" s="5">
        <v>90992</v>
      </c>
      <c r="B489" s="5" t="s">
        <v>5877</v>
      </c>
      <c r="C489" s="10" t="s">
        <v>15962</v>
      </c>
      <c r="D489" s="5" t="s">
        <v>14589</v>
      </c>
      <c r="E489" s="5" t="s">
        <v>5878</v>
      </c>
      <c r="F489" s="5" t="s">
        <v>33</v>
      </c>
      <c r="G489" s="5" t="s">
        <v>5877</v>
      </c>
      <c r="H489" s="5" t="s">
        <v>34</v>
      </c>
      <c r="I489" s="5">
        <v>3012157433</v>
      </c>
      <c r="J489" s="12">
        <v>46032</v>
      </c>
      <c r="K489" s="11">
        <v>0</v>
      </c>
      <c r="M489" s="10" t="s">
        <v>15161</v>
      </c>
      <c r="N489" s="12">
        <v>46032</v>
      </c>
      <c r="O489" s="10" t="s">
        <v>15963</v>
      </c>
      <c r="P489" s="5" t="s">
        <v>14571</v>
      </c>
      <c r="Q489" s="5" t="s">
        <v>14612</v>
      </c>
      <c r="R489" s="5" t="s">
        <v>15964</v>
      </c>
      <c r="T489" s="5" t="s">
        <v>14574</v>
      </c>
      <c r="U489" s="5" t="s">
        <v>33</v>
      </c>
      <c r="V489" s="5" t="s">
        <v>67</v>
      </c>
    </row>
    <row r="490" spans="1:23" ht="12.5">
      <c r="A490" s="5">
        <v>90993</v>
      </c>
      <c r="B490" s="5" t="s">
        <v>15965</v>
      </c>
      <c r="C490" s="5">
        <v>573206886831</v>
      </c>
      <c r="D490" s="5">
        <v>45</v>
      </c>
      <c r="E490" s="5" t="s">
        <v>210</v>
      </c>
      <c r="F490" s="5" t="s">
        <v>405</v>
      </c>
      <c r="G490" s="5" t="s">
        <v>5879</v>
      </c>
      <c r="H490" s="5" t="s">
        <v>5880</v>
      </c>
      <c r="I490" s="5">
        <v>3103530229</v>
      </c>
      <c r="J490" s="12">
        <v>46035</v>
      </c>
      <c r="K490" s="11">
        <v>0</v>
      </c>
      <c r="M490" s="10" t="s">
        <v>14740</v>
      </c>
      <c r="N490" s="12">
        <v>46034.524611076384</v>
      </c>
      <c r="O490" s="10" t="s">
        <v>15966</v>
      </c>
      <c r="P490" s="5" t="s">
        <v>14571</v>
      </c>
      <c r="Q490" s="5" t="s">
        <v>14578</v>
      </c>
      <c r="R490" s="5" t="s">
        <v>15967</v>
      </c>
      <c r="T490" s="5" t="s">
        <v>5994</v>
      </c>
      <c r="U490" s="5"/>
      <c r="V490" s="5" t="s">
        <v>67</v>
      </c>
      <c r="W490" s="5" t="s">
        <v>5883</v>
      </c>
    </row>
    <row r="491" spans="1:23" ht="12.5">
      <c r="A491" s="5">
        <v>90994</v>
      </c>
      <c r="B491" s="5" t="s">
        <v>5886</v>
      </c>
      <c r="C491" s="5">
        <v>573126578363</v>
      </c>
      <c r="D491" s="5">
        <v>53</v>
      </c>
      <c r="E491" s="5" t="s">
        <v>75</v>
      </c>
      <c r="F491" s="5" t="s">
        <v>33</v>
      </c>
      <c r="G491" s="5" t="s">
        <v>5886</v>
      </c>
      <c r="H491" s="5" t="s">
        <v>34</v>
      </c>
      <c r="J491" s="12">
        <v>46035</v>
      </c>
      <c r="K491" s="11">
        <v>0.375</v>
      </c>
      <c r="M491" s="10" t="s">
        <v>14800</v>
      </c>
      <c r="N491" s="12">
        <v>46035.359918692135</v>
      </c>
      <c r="O491" s="10" t="s">
        <v>15968</v>
      </c>
      <c r="P491" s="5" t="s">
        <v>14571</v>
      </c>
      <c r="Q491" s="5" t="s">
        <v>14612</v>
      </c>
      <c r="R491" s="5" t="s">
        <v>15969</v>
      </c>
      <c r="T491" s="5" t="s">
        <v>14574</v>
      </c>
      <c r="U491" s="5" t="s">
        <v>33</v>
      </c>
      <c r="V491" s="5" t="s">
        <v>43</v>
      </c>
      <c r="W491" s="5" t="s">
        <v>5887</v>
      </c>
    </row>
    <row r="492" spans="1:23" ht="12.5">
      <c r="A492" s="5">
        <v>90995</v>
      </c>
      <c r="B492" s="5" t="s">
        <v>15970</v>
      </c>
      <c r="C492" s="5">
        <v>573013501441</v>
      </c>
      <c r="D492" s="5">
        <v>66</v>
      </c>
      <c r="E492" s="5" t="s">
        <v>576</v>
      </c>
      <c r="F492" s="5" t="s">
        <v>103</v>
      </c>
      <c r="G492" s="5" t="s">
        <v>5889</v>
      </c>
      <c r="H492" s="5" t="s">
        <v>5890</v>
      </c>
      <c r="I492" s="5">
        <v>3013501441</v>
      </c>
      <c r="J492" s="12">
        <v>46038</v>
      </c>
      <c r="K492" s="11">
        <v>0.41666666666787933</v>
      </c>
      <c r="M492" s="10" t="s">
        <v>10581</v>
      </c>
      <c r="N492" s="12">
        <v>46035.354604953704</v>
      </c>
      <c r="O492" s="10" t="s">
        <v>15971</v>
      </c>
      <c r="P492" s="5" t="s">
        <v>14571</v>
      </c>
      <c r="Q492" s="5" t="s">
        <v>14572</v>
      </c>
      <c r="R492" s="5" t="s">
        <v>15972</v>
      </c>
      <c r="T492" s="5" t="s">
        <v>5994</v>
      </c>
      <c r="U492" s="5" t="s">
        <v>14593</v>
      </c>
      <c r="V492" s="5" t="s">
        <v>67</v>
      </c>
    </row>
    <row r="493" spans="1:23" ht="12.5">
      <c r="A493" s="5">
        <v>90996</v>
      </c>
      <c r="B493" s="5" t="s">
        <v>5178</v>
      </c>
      <c r="C493" s="5">
        <v>573003851130</v>
      </c>
      <c r="D493" s="5">
        <v>95</v>
      </c>
      <c r="E493" s="5" t="s">
        <v>42</v>
      </c>
      <c r="G493" s="5" t="s">
        <v>5892</v>
      </c>
      <c r="H493" s="5" t="s">
        <v>5893</v>
      </c>
      <c r="I493" s="5">
        <v>3003851130</v>
      </c>
      <c r="J493" s="12">
        <v>46035</v>
      </c>
      <c r="K493" s="11">
        <v>0</v>
      </c>
      <c r="M493" s="10" t="s">
        <v>2686</v>
      </c>
      <c r="N493" s="12">
        <v>46035.375838055552</v>
      </c>
      <c r="O493" s="10" t="s">
        <v>15589</v>
      </c>
      <c r="P493" s="5" t="s">
        <v>14571</v>
      </c>
      <c r="Q493" s="5" t="s">
        <v>14612</v>
      </c>
      <c r="R493" s="5" t="s">
        <v>15973</v>
      </c>
      <c r="T493" s="5" t="s">
        <v>5994</v>
      </c>
      <c r="V493" s="5" t="s">
        <v>83</v>
      </c>
      <c r="W493" s="5" t="s">
        <v>5894</v>
      </c>
    </row>
    <row r="494" spans="1:23" ht="12.5">
      <c r="A494" s="5">
        <v>90997</v>
      </c>
      <c r="B494" s="5" t="s">
        <v>15974</v>
      </c>
      <c r="C494" s="5">
        <v>573214871570</v>
      </c>
      <c r="D494" s="5">
        <v>32</v>
      </c>
      <c r="E494" s="5" t="s">
        <v>65</v>
      </c>
      <c r="F494" s="5" t="s">
        <v>5898</v>
      </c>
      <c r="G494" s="5" t="s">
        <v>5897</v>
      </c>
      <c r="H494" s="5" t="s">
        <v>15975</v>
      </c>
      <c r="I494" s="5" t="s">
        <v>15976</v>
      </c>
      <c r="J494" s="12">
        <v>46035</v>
      </c>
      <c r="K494" s="11">
        <v>0.41666666666787933</v>
      </c>
      <c r="M494" s="10" t="s">
        <v>14585</v>
      </c>
      <c r="N494" s="12">
        <v>46035.371596851852</v>
      </c>
      <c r="O494" s="10" t="s">
        <v>14677</v>
      </c>
      <c r="P494" s="5" t="s">
        <v>14571</v>
      </c>
      <c r="Q494" s="5" t="s">
        <v>14578</v>
      </c>
      <c r="R494" s="5" t="s">
        <v>15977</v>
      </c>
      <c r="T494" s="5" t="s">
        <v>5994</v>
      </c>
      <c r="U494" s="5" t="s">
        <v>14598</v>
      </c>
      <c r="V494" s="5" t="s">
        <v>67</v>
      </c>
      <c r="W494" s="5" t="s">
        <v>5901</v>
      </c>
    </row>
    <row r="495" spans="1:23" ht="12.5">
      <c r="A495" s="5">
        <v>90998</v>
      </c>
      <c r="B495" s="5" t="s">
        <v>5903</v>
      </c>
      <c r="C495" s="5">
        <v>573007073426</v>
      </c>
      <c r="D495" s="5">
        <v>52</v>
      </c>
      <c r="E495" s="5" t="s">
        <v>178</v>
      </c>
      <c r="F495" s="5" t="s">
        <v>33</v>
      </c>
      <c r="G495" s="5" t="s">
        <v>5903</v>
      </c>
      <c r="H495" s="5" t="s">
        <v>34</v>
      </c>
      <c r="I495" s="5">
        <v>3007073426</v>
      </c>
      <c r="J495" s="12">
        <v>46035</v>
      </c>
      <c r="K495" s="11">
        <v>0.39583333333212067</v>
      </c>
      <c r="M495" s="10" t="s">
        <v>14705</v>
      </c>
      <c r="N495" s="12">
        <v>46035.390273958328</v>
      </c>
      <c r="O495" s="10" t="s">
        <v>15595</v>
      </c>
      <c r="P495" s="5" t="s">
        <v>14571</v>
      </c>
      <c r="Q495" s="5" t="s">
        <v>14612</v>
      </c>
      <c r="R495" s="5" t="s">
        <v>15978</v>
      </c>
      <c r="T495" s="5" t="s">
        <v>14574</v>
      </c>
      <c r="U495" s="5" t="s">
        <v>33</v>
      </c>
      <c r="V495" s="5" t="s">
        <v>67</v>
      </c>
    </row>
    <row r="496" spans="1:23" ht="12.5">
      <c r="A496" s="5">
        <v>90999</v>
      </c>
      <c r="B496" s="5" t="s">
        <v>5905</v>
      </c>
      <c r="C496" s="5">
        <v>573202432446</v>
      </c>
      <c r="D496" s="5" t="s">
        <v>15979</v>
      </c>
      <c r="E496" s="5" t="s">
        <v>5906</v>
      </c>
      <c r="F496" s="5" t="s">
        <v>33</v>
      </c>
      <c r="G496" s="5" t="s">
        <v>5905</v>
      </c>
      <c r="H496" s="5" t="s">
        <v>34</v>
      </c>
      <c r="I496" s="5">
        <v>3202432446</v>
      </c>
      <c r="J496" s="12">
        <v>46035</v>
      </c>
      <c r="K496" s="11">
        <v>0.45833333333212067</v>
      </c>
      <c r="M496" s="10" t="s">
        <v>14569</v>
      </c>
      <c r="N496" s="12">
        <v>46035.386189062498</v>
      </c>
      <c r="O496" s="10" t="s">
        <v>15319</v>
      </c>
      <c r="P496" s="5" t="s">
        <v>14571</v>
      </c>
      <c r="Q496" s="5" t="s">
        <v>14572</v>
      </c>
      <c r="R496" s="5" t="s">
        <v>15980</v>
      </c>
      <c r="T496" s="5" t="s">
        <v>14574</v>
      </c>
      <c r="U496" s="5" t="s">
        <v>33</v>
      </c>
      <c r="V496" s="5" t="s">
        <v>67</v>
      </c>
    </row>
    <row r="497" spans="1:23" ht="12.5">
      <c r="A497" s="5">
        <v>91000</v>
      </c>
      <c r="B497" s="5" t="s">
        <v>15667</v>
      </c>
      <c r="C497" s="5">
        <v>573002627762</v>
      </c>
      <c r="D497" s="5">
        <v>95</v>
      </c>
      <c r="E497" s="5" t="s">
        <v>42</v>
      </c>
      <c r="F497" s="5" t="s">
        <v>33</v>
      </c>
      <c r="G497" s="5" t="s">
        <v>4674</v>
      </c>
      <c r="H497" s="5" t="s">
        <v>34</v>
      </c>
      <c r="I497" s="5">
        <v>3002627762</v>
      </c>
      <c r="J497" s="12">
        <v>46035</v>
      </c>
      <c r="K497" s="11">
        <v>0</v>
      </c>
      <c r="M497" s="10" t="s">
        <v>14740</v>
      </c>
      <c r="N497" s="12">
        <v>46035.398441180558</v>
      </c>
      <c r="O497" s="10" t="s">
        <v>14900</v>
      </c>
      <c r="P497" s="5" t="s">
        <v>14571</v>
      </c>
      <c r="Q497" s="5" t="s">
        <v>14578</v>
      </c>
      <c r="R497" s="5" t="s">
        <v>15981</v>
      </c>
      <c r="T497" s="5" t="s">
        <v>14574</v>
      </c>
      <c r="U497" s="5" t="s">
        <v>33</v>
      </c>
      <c r="V497" s="5" t="s">
        <v>43</v>
      </c>
      <c r="W497" s="5" t="s">
        <v>4274</v>
      </c>
    </row>
    <row r="498" spans="1:23" ht="12.5">
      <c r="A498" s="5">
        <v>91001</v>
      </c>
      <c r="B498" s="5" t="s">
        <v>15982</v>
      </c>
      <c r="C498" s="5">
        <v>573044900659</v>
      </c>
      <c r="D498" s="5">
        <v>29</v>
      </c>
      <c r="E498" s="5" t="s">
        <v>309</v>
      </c>
      <c r="F498" s="5" t="s">
        <v>161</v>
      </c>
      <c r="G498" s="5" t="s">
        <v>5909</v>
      </c>
      <c r="H498" s="5" t="s">
        <v>5910</v>
      </c>
      <c r="I498" s="5">
        <v>3023618030</v>
      </c>
      <c r="J498" s="12">
        <v>46035</v>
      </c>
      <c r="K498" s="11">
        <v>0.45833333333212067</v>
      </c>
      <c r="M498" s="10" t="s">
        <v>14850</v>
      </c>
      <c r="N498" s="12">
        <v>46035.382885914354</v>
      </c>
      <c r="O498" s="10" t="s">
        <v>15983</v>
      </c>
      <c r="P498" s="5" t="s">
        <v>14571</v>
      </c>
      <c r="Q498" s="5" t="s">
        <v>14612</v>
      </c>
      <c r="R498" s="5" t="s">
        <v>15984</v>
      </c>
      <c r="T498" s="5" t="s">
        <v>5994</v>
      </c>
      <c r="U498" s="5" t="s">
        <v>14593</v>
      </c>
      <c r="V498" s="5" t="s">
        <v>67</v>
      </c>
    </row>
    <row r="499" spans="1:23" ht="12.5">
      <c r="A499" s="5">
        <v>91002</v>
      </c>
      <c r="B499" s="5" t="s">
        <v>15985</v>
      </c>
      <c r="C499" s="5">
        <v>573011561394</v>
      </c>
      <c r="D499" s="5">
        <v>53</v>
      </c>
      <c r="E499" s="5" t="s">
        <v>75</v>
      </c>
      <c r="F499" s="5" t="s">
        <v>464</v>
      </c>
      <c r="G499" s="5" t="s">
        <v>5912</v>
      </c>
      <c r="H499" s="5" t="s">
        <v>5913</v>
      </c>
      <c r="I499" s="5">
        <v>3245334967</v>
      </c>
      <c r="J499" s="12">
        <v>46035</v>
      </c>
      <c r="K499" s="11">
        <v>0</v>
      </c>
      <c r="M499" s="10" t="s">
        <v>14627</v>
      </c>
      <c r="N499" s="12">
        <v>46035.403776458334</v>
      </c>
      <c r="O499" s="10" t="s">
        <v>15986</v>
      </c>
      <c r="P499" s="5" t="s">
        <v>14571</v>
      </c>
      <c r="Q499" s="5" t="s">
        <v>14572</v>
      </c>
      <c r="R499" s="5" t="s">
        <v>15987</v>
      </c>
      <c r="T499" s="5" t="s">
        <v>5994</v>
      </c>
      <c r="U499" s="5" t="s">
        <v>14580</v>
      </c>
      <c r="V499" s="5" t="s">
        <v>67</v>
      </c>
    </row>
    <row r="500" spans="1:23" ht="12.5">
      <c r="A500" s="5">
        <v>91003</v>
      </c>
      <c r="B500" s="5" t="s">
        <v>15988</v>
      </c>
      <c r="C500" s="5">
        <v>573145783942</v>
      </c>
      <c r="D500" s="5">
        <v>12</v>
      </c>
      <c r="E500" s="5" t="s">
        <v>239</v>
      </c>
      <c r="G500" s="5" t="s">
        <v>5914</v>
      </c>
      <c r="H500" s="5" t="s">
        <v>5915</v>
      </c>
      <c r="I500" s="5">
        <v>3145783942</v>
      </c>
      <c r="J500" s="12">
        <v>46035</v>
      </c>
      <c r="K500" s="11">
        <v>0.45833333333212067</v>
      </c>
      <c r="M500" s="10" t="s">
        <v>15615</v>
      </c>
      <c r="N500" s="12">
        <v>46035.420305879627</v>
      </c>
      <c r="O500" s="10" t="s">
        <v>15989</v>
      </c>
      <c r="P500" s="5" t="s">
        <v>14571</v>
      </c>
      <c r="Q500" s="5" t="s">
        <v>14578</v>
      </c>
      <c r="R500" s="5" t="s">
        <v>15990</v>
      </c>
      <c r="T500" s="5" t="s">
        <v>5994</v>
      </c>
      <c r="V500" s="5" t="s">
        <v>67</v>
      </c>
      <c r="W500" s="5" t="s">
        <v>5294</v>
      </c>
    </row>
    <row r="501" spans="1:23" ht="12.5">
      <c r="A501" s="5">
        <v>91004</v>
      </c>
      <c r="B501" s="5" t="s">
        <v>15991</v>
      </c>
      <c r="C501" s="5">
        <v>573184559976</v>
      </c>
      <c r="D501" s="5">
        <v>49</v>
      </c>
      <c r="E501" s="5" t="s">
        <v>380</v>
      </c>
      <c r="F501" s="5" t="s">
        <v>185</v>
      </c>
      <c r="G501" s="5" t="s">
        <v>5918</v>
      </c>
      <c r="H501" s="5" t="s">
        <v>5919</v>
      </c>
      <c r="I501" s="5">
        <v>3205660688</v>
      </c>
      <c r="J501" s="12">
        <v>46035</v>
      </c>
      <c r="K501" s="11">
        <v>0</v>
      </c>
      <c r="M501" s="10" t="s">
        <v>14672</v>
      </c>
      <c r="N501" s="12">
        <v>46035.422642488425</v>
      </c>
      <c r="O501" s="10" t="s">
        <v>15095</v>
      </c>
      <c r="P501" s="5" t="s">
        <v>14571</v>
      </c>
      <c r="Q501" s="5" t="s">
        <v>14612</v>
      </c>
      <c r="R501" s="5" t="s">
        <v>15992</v>
      </c>
      <c r="T501" s="5" t="s">
        <v>5994</v>
      </c>
      <c r="U501" s="5" t="s">
        <v>14580</v>
      </c>
      <c r="V501" s="5" t="s">
        <v>67</v>
      </c>
      <c r="W501" s="5" t="s">
        <v>5922</v>
      </c>
    </row>
    <row r="502" spans="1:23" ht="12.5">
      <c r="A502" s="5">
        <v>91005</v>
      </c>
      <c r="B502" s="5" t="s">
        <v>15993</v>
      </c>
      <c r="C502" s="5">
        <v>573006624819</v>
      </c>
      <c r="D502" s="5">
        <v>51</v>
      </c>
      <c r="E502" s="5" t="s">
        <v>384</v>
      </c>
      <c r="F502" s="5" t="s">
        <v>73</v>
      </c>
      <c r="G502" s="5" t="s">
        <v>5924</v>
      </c>
      <c r="H502" s="5" t="s">
        <v>5925</v>
      </c>
      <c r="J502" s="12">
        <v>46035</v>
      </c>
      <c r="K502" s="11">
        <v>0.45833333333212067</v>
      </c>
      <c r="M502" s="10" t="s">
        <v>14657</v>
      </c>
      <c r="N502" s="12">
        <v>46035.433911354165</v>
      </c>
      <c r="O502" s="10" t="s">
        <v>15162</v>
      </c>
      <c r="P502" s="5" t="s">
        <v>14571</v>
      </c>
      <c r="Q502" s="5" t="s">
        <v>14572</v>
      </c>
      <c r="R502" s="5" t="s">
        <v>15994</v>
      </c>
      <c r="T502" s="5" t="s">
        <v>5994</v>
      </c>
      <c r="U502" s="5" t="s">
        <v>14593</v>
      </c>
      <c r="V502" s="5" t="s">
        <v>1937</v>
      </c>
    </row>
    <row r="503" spans="1:23" ht="12.5">
      <c r="A503" s="5">
        <v>91006</v>
      </c>
      <c r="B503" s="5" t="s">
        <v>15995</v>
      </c>
      <c r="C503" s="5">
        <v>17863293183</v>
      </c>
      <c r="D503" s="5">
        <v>4</v>
      </c>
      <c r="E503" s="5" t="s">
        <v>81</v>
      </c>
      <c r="F503" s="5" t="s">
        <v>161</v>
      </c>
      <c r="G503" s="5" t="s">
        <v>5929</v>
      </c>
      <c r="H503" s="5" t="s">
        <v>5930</v>
      </c>
      <c r="J503" s="12">
        <v>46035</v>
      </c>
      <c r="K503" s="11">
        <v>0.45833333333212067</v>
      </c>
      <c r="M503" s="10" t="s">
        <v>14903</v>
      </c>
      <c r="N503" s="12">
        <v>46035.424833703699</v>
      </c>
      <c r="O503" s="10" t="s">
        <v>14658</v>
      </c>
      <c r="P503" s="5" t="s">
        <v>14571</v>
      </c>
      <c r="Q503" s="5" t="s">
        <v>14578</v>
      </c>
      <c r="R503" s="5" t="s">
        <v>15996</v>
      </c>
      <c r="T503" s="5" t="s">
        <v>5994</v>
      </c>
      <c r="U503" s="5" t="s">
        <v>14593</v>
      </c>
      <c r="V503" s="5" t="s">
        <v>67</v>
      </c>
    </row>
    <row r="504" spans="1:23" ht="12.5">
      <c r="A504" s="5">
        <v>91007</v>
      </c>
      <c r="B504" s="5" t="s">
        <v>5934</v>
      </c>
      <c r="C504" s="5" t="s">
        <v>25421</v>
      </c>
      <c r="D504" s="5">
        <v>53</v>
      </c>
      <c r="E504" s="5" t="s">
        <v>75</v>
      </c>
      <c r="F504" s="5" t="s">
        <v>33</v>
      </c>
      <c r="G504" s="5" t="s">
        <v>5934</v>
      </c>
      <c r="H504" s="5" t="s">
        <v>34</v>
      </c>
      <c r="I504" s="5" t="s">
        <v>5935</v>
      </c>
      <c r="J504" s="12">
        <v>46035</v>
      </c>
      <c r="K504" s="11">
        <v>0</v>
      </c>
      <c r="M504" s="10" t="s">
        <v>14800</v>
      </c>
      <c r="N504" s="12">
        <v>46035.471114548607</v>
      </c>
      <c r="O504" s="10" t="s">
        <v>15997</v>
      </c>
      <c r="P504" s="5" t="s">
        <v>14571</v>
      </c>
      <c r="Q504" s="5" t="s">
        <v>14612</v>
      </c>
      <c r="R504" s="5" t="s">
        <v>15998</v>
      </c>
      <c r="T504" s="5" t="s">
        <v>14574</v>
      </c>
      <c r="U504" s="5" t="s">
        <v>33</v>
      </c>
      <c r="V504" s="5" t="s">
        <v>43</v>
      </c>
      <c r="W504" s="5" t="s">
        <v>5936</v>
      </c>
    </row>
    <row r="505" spans="1:23" ht="12.5">
      <c r="A505" s="5">
        <v>91008</v>
      </c>
      <c r="B505" s="5" t="s">
        <v>15999</v>
      </c>
      <c r="C505" s="5">
        <v>573017487511</v>
      </c>
      <c r="D505" s="5">
        <v>7</v>
      </c>
      <c r="E505" s="5" t="s">
        <v>112</v>
      </c>
      <c r="F505" s="5" t="s">
        <v>73</v>
      </c>
      <c r="G505" s="5" t="s">
        <v>5937</v>
      </c>
      <c r="H505" s="5" t="s">
        <v>5938</v>
      </c>
      <c r="J505" s="12">
        <v>46035</v>
      </c>
      <c r="K505" s="11">
        <v>0</v>
      </c>
      <c r="M505" s="10" t="s">
        <v>14998</v>
      </c>
      <c r="N505" s="12">
        <v>46035.473032349539</v>
      </c>
      <c r="O505" s="10" t="s">
        <v>16000</v>
      </c>
      <c r="P505" s="5" t="s">
        <v>14571</v>
      </c>
      <c r="Q505" s="5" t="s">
        <v>14572</v>
      </c>
      <c r="R505" s="5" t="s">
        <v>16001</v>
      </c>
      <c r="T505" s="5" t="s">
        <v>5994</v>
      </c>
      <c r="U505" s="5" t="s">
        <v>14593</v>
      </c>
      <c r="V505" s="5" t="s">
        <v>1937</v>
      </c>
    </row>
    <row r="506" spans="1:23" ht="12.5">
      <c r="A506" s="5">
        <v>91009</v>
      </c>
      <c r="B506" s="5" t="s">
        <v>16002</v>
      </c>
      <c r="C506" s="5">
        <v>573014069141</v>
      </c>
      <c r="D506" s="5">
        <v>41</v>
      </c>
      <c r="E506" s="5" t="s">
        <v>89</v>
      </c>
      <c r="F506" s="5" t="s">
        <v>5943</v>
      </c>
      <c r="G506" s="5" t="s">
        <v>5942</v>
      </c>
      <c r="H506" s="5" t="s">
        <v>5944</v>
      </c>
      <c r="I506" s="5">
        <v>3002781302</v>
      </c>
      <c r="J506" s="12">
        <v>46035</v>
      </c>
      <c r="K506" s="11">
        <v>0.54166666666787933</v>
      </c>
      <c r="M506" s="10" t="s">
        <v>16003</v>
      </c>
      <c r="N506" s="12">
        <v>46035.473332199079</v>
      </c>
      <c r="O506" s="10" t="s">
        <v>16004</v>
      </c>
      <c r="P506" s="5" t="s">
        <v>14571</v>
      </c>
      <c r="Q506" s="5" t="s">
        <v>14572</v>
      </c>
      <c r="R506" s="5" t="s">
        <v>16005</v>
      </c>
      <c r="T506" s="5" t="s">
        <v>5994</v>
      </c>
      <c r="U506" s="5"/>
      <c r="V506" s="5" t="s">
        <v>1937</v>
      </c>
    </row>
    <row r="507" spans="1:23" ht="12.5">
      <c r="A507" s="5">
        <v>91010</v>
      </c>
      <c r="B507" s="5" t="s">
        <v>16006</v>
      </c>
      <c r="C507" s="5">
        <v>573147755621</v>
      </c>
      <c r="D507" s="5">
        <v>31</v>
      </c>
      <c r="E507" s="5" t="s">
        <v>375</v>
      </c>
      <c r="F507" s="5" t="s">
        <v>563</v>
      </c>
      <c r="G507" s="5" t="s">
        <v>5948</v>
      </c>
      <c r="H507" s="5" t="s">
        <v>5949</v>
      </c>
      <c r="I507" s="5">
        <v>3023107660</v>
      </c>
      <c r="J507" s="12">
        <v>46041</v>
      </c>
      <c r="K507" s="11">
        <v>0</v>
      </c>
      <c r="M507" s="10" t="s">
        <v>14881</v>
      </c>
      <c r="N507" s="12">
        <v>46035.479155729168</v>
      </c>
      <c r="O507" s="10" t="s">
        <v>14877</v>
      </c>
      <c r="P507" s="5" t="s">
        <v>14571</v>
      </c>
      <c r="Q507" s="5" t="s">
        <v>14578</v>
      </c>
      <c r="R507" s="5" t="s">
        <v>16007</v>
      </c>
      <c r="T507" s="5" t="s">
        <v>5994</v>
      </c>
      <c r="U507" s="5" t="s">
        <v>14775</v>
      </c>
      <c r="V507" s="5" t="s">
        <v>67</v>
      </c>
    </row>
    <row r="508" spans="1:23" ht="12.5">
      <c r="A508" s="5">
        <v>91011</v>
      </c>
      <c r="B508" s="5" t="s">
        <v>15225</v>
      </c>
      <c r="C508" s="5">
        <v>573012574632</v>
      </c>
      <c r="D508" s="5">
        <v>21</v>
      </c>
      <c r="E508" s="5" t="s">
        <v>330</v>
      </c>
      <c r="F508" s="5" t="s">
        <v>185</v>
      </c>
      <c r="G508" s="5" t="s">
        <v>5952</v>
      </c>
      <c r="H508" s="5" t="s">
        <v>5953</v>
      </c>
      <c r="I508" s="5"/>
      <c r="J508" s="12">
        <v>46035</v>
      </c>
      <c r="K508" s="11">
        <v>0.55763888888759539</v>
      </c>
      <c r="M508" s="10" t="s">
        <v>14657</v>
      </c>
      <c r="N508" s="12">
        <v>46035.493039710651</v>
      </c>
      <c r="O508" s="10" t="s">
        <v>15780</v>
      </c>
      <c r="P508" s="5" t="s">
        <v>14571</v>
      </c>
      <c r="Q508" s="5" t="s">
        <v>14572</v>
      </c>
      <c r="R508" s="5" t="s">
        <v>16008</v>
      </c>
      <c r="T508" s="5" t="s">
        <v>5994</v>
      </c>
      <c r="U508" s="5" t="s">
        <v>14580</v>
      </c>
      <c r="V508" s="5" t="s">
        <v>67</v>
      </c>
    </row>
    <row r="509" spans="1:23" ht="12.5">
      <c r="A509" s="5">
        <v>91012</v>
      </c>
      <c r="B509" s="5" t="s">
        <v>5955</v>
      </c>
      <c r="C509" s="5">
        <v>573012153002</v>
      </c>
      <c r="D509" s="5" t="s">
        <v>14982</v>
      </c>
      <c r="E509" s="5" t="s">
        <v>5956</v>
      </c>
      <c r="F509" s="5" t="s">
        <v>33</v>
      </c>
      <c r="G509" s="5" t="s">
        <v>5955</v>
      </c>
      <c r="H509" s="5" t="s">
        <v>34</v>
      </c>
      <c r="I509" s="5">
        <v>3012153002</v>
      </c>
      <c r="J509" s="12">
        <v>46035</v>
      </c>
      <c r="K509" s="11">
        <v>0</v>
      </c>
      <c r="M509" s="10" t="s">
        <v>15011</v>
      </c>
      <c r="N509" s="12">
        <v>46035.515999571755</v>
      </c>
      <c r="O509" s="10" t="s">
        <v>15853</v>
      </c>
      <c r="P509" s="5" t="s">
        <v>14571</v>
      </c>
      <c r="Q509" s="5" t="s">
        <v>14612</v>
      </c>
      <c r="R509" s="5" t="s">
        <v>16009</v>
      </c>
      <c r="T509" s="5" t="s">
        <v>14574</v>
      </c>
      <c r="U509" s="5" t="s">
        <v>33</v>
      </c>
      <c r="V509" s="5" t="s">
        <v>67</v>
      </c>
      <c r="W509" s="5" t="s">
        <v>5958</v>
      </c>
    </row>
    <row r="510" spans="1:23" ht="12.5">
      <c r="A510" s="5">
        <v>91013</v>
      </c>
      <c r="B510" s="5" t="s">
        <v>16010</v>
      </c>
      <c r="C510" s="5">
        <v>573205426073</v>
      </c>
      <c r="D510" s="5">
        <v>24</v>
      </c>
      <c r="E510" s="5" t="s">
        <v>251</v>
      </c>
      <c r="F510" s="5" t="s">
        <v>5574</v>
      </c>
      <c r="G510" s="5" t="s">
        <v>5961</v>
      </c>
      <c r="H510" s="5" t="s">
        <v>5962</v>
      </c>
      <c r="I510" s="5">
        <v>3174372770</v>
      </c>
      <c r="J510" s="12">
        <v>46035</v>
      </c>
      <c r="K510" s="11">
        <v>0.625</v>
      </c>
      <c r="M510" s="10" t="s">
        <v>14740</v>
      </c>
      <c r="N510" s="12">
        <v>46035.54350320602</v>
      </c>
      <c r="O510" s="10" t="s">
        <v>16011</v>
      </c>
      <c r="P510" s="5" t="s">
        <v>14571</v>
      </c>
      <c r="Q510" s="5" t="s">
        <v>14578</v>
      </c>
      <c r="R510" s="5" t="s">
        <v>16012</v>
      </c>
      <c r="T510" s="5" t="s">
        <v>5994</v>
      </c>
      <c r="U510" s="5" t="s">
        <v>14593</v>
      </c>
      <c r="V510" s="5" t="s">
        <v>67</v>
      </c>
    </row>
    <row r="511" spans="1:23" ht="12.5">
      <c r="A511" s="5">
        <v>91014</v>
      </c>
      <c r="B511" s="5" t="s">
        <v>5965</v>
      </c>
      <c r="C511" s="5">
        <v>50766773802</v>
      </c>
      <c r="D511" s="5" t="s">
        <v>14589</v>
      </c>
      <c r="E511" s="5" t="s">
        <v>5967</v>
      </c>
      <c r="F511" s="5" t="s">
        <v>249</v>
      </c>
      <c r="G511" s="5" t="s">
        <v>5965</v>
      </c>
      <c r="H511" s="5" t="s">
        <v>5966</v>
      </c>
      <c r="I511" s="5">
        <v>3244169271</v>
      </c>
      <c r="J511" s="12">
        <v>46038</v>
      </c>
      <c r="K511" s="11">
        <v>0.34236111111022183</v>
      </c>
      <c r="M511" s="10" t="s">
        <v>14649</v>
      </c>
      <c r="N511" s="12">
        <v>46035.54622290509</v>
      </c>
      <c r="O511" s="10" t="s">
        <v>15861</v>
      </c>
      <c r="P511" s="5" t="s">
        <v>14571</v>
      </c>
      <c r="Q511" s="5" t="s">
        <v>14612</v>
      </c>
      <c r="R511" s="5" t="s">
        <v>16013</v>
      </c>
      <c r="T511" s="5" t="s">
        <v>5994</v>
      </c>
      <c r="U511" s="5" t="s">
        <v>14593</v>
      </c>
      <c r="V511" s="5" t="s">
        <v>1705</v>
      </c>
      <c r="W511" s="5" t="s">
        <v>5969</v>
      </c>
    </row>
    <row r="512" spans="1:23" ht="12.5">
      <c r="A512" s="5">
        <v>91015</v>
      </c>
      <c r="B512" s="5" t="s">
        <v>16014</v>
      </c>
      <c r="C512" s="5">
        <v>19303337910</v>
      </c>
      <c r="D512" s="5">
        <v>20</v>
      </c>
      <c r="E512" s="5" t="s">
        <v>187</v>
      </c>
      <c r="F512" s="5" t="s">
        <v>73</v>
      </c>
      <c r="G512" s="5" t="s">
        <v>1034</v>
      </c>
      <c r="H512" s="5" t="s">
        <v>5970</v>
      </c>
      <c r="I512" s="5">
        <v>3183477256</v>
      </c>
      <c r="J512" s="12">
        <v>46035</v>
      </c>
      <c r="K512" s="11">
        <v>0.5944444444430701</v>
      </c>
      <c r="M512" s="10" t="s">
        <v>15140</v>
      </c>
      <c r="N512" s="12">
        <v>46035.545894988427</v>
      </c>
      <c r="O512" s="10" t="s">
        <v>14963</v>
      </c>
      <c r="P512" s="5" t="s">
        <v>14571</v>
      </c>
      <c r="Q512" s="5" t="s">
        <v>14572</v>
      </c>
      <c r="R512" s="5" t="s">
        <v>16015</v>
      </c>
      <c r="T512" s="5" t="s">
        <v>5994</v>
      </c>
      <c r="U512" s="5" t="s">
        <v>14593</v>
      </c>
      <c r="V512" s="5" t="s">
        <v>67</v>
      </c>
    </row>
    <row r="513" spans="1:23" ht="12.5">
      <c r="A513" s="5">
        <v>91016</v>
      </c>
      <c r="B513" s="5" t="s">
        <v>5972</v>
      </c>
      <c r="C513" s="5">
        <v>573164733317</v>
      </c>
      <c r="D513" s="5">
        <v>95</v>
      </c>
      <c r="E513" s="5" t="s">
        <v>42</v>
      </c>
      <c r="F513" s="5" t="s">
        <v>33</v>
      </c>
      <c r="G513" s="5" t="s">
        <v>5972</v>
      </c>
      <c r="H513" s="5" t="s">
        <v>34</v>
      </c>
      <c r="I513" s="5">
        <v>3164733317</v>
      </c>
      <c r="J513" s="12">
        <v>46035</v>
      </c>
      <c r="K513" s="11">
        <v>0</v>
      </c>
      <c r="M513" s="10" t="s">
        <v>14712</v>
      </c>
      <c r="N513" s="12">
        <v>46035.568093645838</v>
      </c>
      <c r="O513" s="10" t="s">
        <v>16016</v>
      </c>
      <c r="P513" s="5" t="s">
        <v>14571</v>
      </c>
      <c r="Q513" s="5" t="s">
        <v>14572</v>
      </c>
      <c r="R513" s="5" t="s">
        <v>16017</v>
      </c>
      <c r="T513" s="5" t="s">
        <v>14574</v>
      </c>
      <c r="U513" s="5" t="s">
        <v>33</v>
      </c>
      <c r="V513" s="5" t="s">
        <v>1705</v>
      </c>
      <c r="W513" s="5" t="s">
        <v>5974</v>
      </c>
    </row>
    <row r="514" spans="1:23" ht="12.5">
      <c r="A514" s="5">
        <v>91017</v>
      </c>
      <c r="B514" s="5" t="s">
        <v>16018</v>
      </c>
      <c r="C514" s="5">
        <v>573182111248</v>
      </c>
      <c r="D514" s="5">
        <v>1</v>
      </c>
      <c r="E514" s="5" t="s">
        <v>5730</v>
      </c>
      <c r="G514" s="5" t="s">
        <v>5977</v>
      </c>
      <c r="H514" s="5" t="s">
        <v>5978</v>
      </c>
      <c r="J514" s="12">
        <v>46035</v>
      </c>
      <c r="K514" s="11">
        <v>0.64583333333212067</v>
      </c>
      <c r="M514" s="10" t="s">
        <v>14910</v>
      </c>
      <c r="N514" s="12">
        <v>46035.599314884261</v>
      </c>
      <c r="O514" s="10" t="s">
        <v>15707</v>
      </c>
      <c r="P514" s="5" t="s">
        <v>14571</v>
      </c>
      <c r="Q514" s="5" t="s">
        <v>14578</v>
      </c>
      <c r="R514" s="5" t="s">
        <v>16019</v>
      </c>
      <c r="T514" s="5" t="s">
        <v>5994</v>
      </c>
      <c r="V514" s="5" t="s">
        <v>1705</v>
      </c>
    </row>
    <row r="515" spans="1:23" ht="12.5">
      <c r="A515" s="5">
        <v>91018</v>
      </c>
      <c r="B515" s="5" t="s">
        <v>5982</v>
      </c>
      <c r="C515" s="5">
        <v>573232913037</v>
      </c>
      <c r="D515" s="5">
        <v>41</v>
      </c>
      <c r="E515" s="5" t="s">
        <v>89</v>
      </c>
      <c r="F515" s="5" t="s">
        <v>33</v>
      </c>
      <c r="G515" s="5" t="s">
        <v>5982</v>
      </c>
      <c r="H515" s="5" t="s">
        <v>34</v>
      </c>
      <c r="I515" s="5">
        <v>3232913037</v>
      </c>
      <c r="J515" s="12">
        <v>46036</v>
      </c>
      <c r="K515" s="11">
        <v>0.375</v>
      </c>
      <c r="M515" s="10" t="s">
        <v>14646</v>
      </c>
      <c r="N515" s="12">
        <v>46035.561210740736</v>
      </c>
      <c r="O515" s="10" t="s">
        <v>15876</v>
      </c>
      <c r="P515" s="5" t="s">
        <v>14571</v>
      </c>
      <c r="Q515" s="5" t="s">
        <v>14572</v>
      </c>
      <c r="R515" s="5" t="s">
        <v>16020</v>
      </c>
      <c r="T515" s="5" t="s">
        <v>14574</v>
      </c>
      <c r="U515" s="5" t="s">
        <v>33</v>
      </c>
      <c r="V515" s="5" t="s">
        <v>83</v>
      </c>
    </row>
    <row r="516" spans="1:23" ht="12.5">
      <c r="A516" s="5">
        <v>91019</v>
      </c>
      <c r="B516" s="5" t="s">
        <v>10579</v>
      </c>
      <c r="C516" s="5">
        <v>573116853400</v>
      </c>
      <c r="D516" s="5">
        <v>51</v>
      </c>
      <c r="E516" s="5" t="s">
        <v>384</v>
      </c>
      <c r="F516" s="5" t="s">
        <v>185</v>
      </c>
      <c r="G516" s="5" t="s">
        <v>5986</v>
      </c>
      <c r="H516" s="5" t="s">
        <v>5987</v>
      </c>
      <c r="I516" s="5">
        <v>3116853400</v>
      </c>
      <c r="J516" s="12">
        <v>46035</v>
      </c>
      <c r="K516" s="11">
        <v>0</v>
      </c>
      <c r="M516" s="10" t="s">
        <v>14657</v>
      </c>
      <c r="N516" s="12">
        <v>46035.578054687503</v>
      </c>
      <c r="O516" s="10" t="s">
        <v>16021</v>
      </c>
      <c r="P516" s="5" t="s">
        <v>14571</v>
      </c>
      <c r="Q516" s="5" t="s">
        <v>14612</v>
      </c>
      <c r="R516" s="5" t="s">
        <v>16022</v>
      </c>
      <c r="T516" s="5" t="s">
        <v>5994</v>
      </c>
      <c r="U516" s="5" t="s">
        <v>14580</v>
      </c>
      <c r="V516" s="5" t="s">
        <v>83</v>
      </c>
    </row>
    <row r="517" spans="1:23" ht="12.5">
      <c r="A517" s="5">
        <v>91020</v>
      </c>
      <c r="B517" s="5" t="s">
        <v>16023</v>
      </c>
      <c r="C517" s="5">
        <v>573104382746</v>
      </c>
      <c r="D517" s="5">
        <v>29</v>
      </c>
      <c r="E517" s="5" t="s">
        <v>309</v>
      </c>
      <c r="F517" s="5" t="s">
        <v>63</v>
      </c>
      <c r="G517" s="5" t="s">
        <v>5990</v>
      </c>
      <c r="H517" s="5" t="s">
        <v>5991</v>
      </c>
      <c r="I517" s="5">
        <v>3104382746</v>
      </c>
      <c r="J517" s="12">
        <v>46035</v>
      </c>
      <c r="K517" s="11">
        <v>0.6875</v>
      </c>
      <c r="M517" s="10" t="s">
        <v>14595</v>
      </c>
      <c r="N517" s="12">
        <v>46035.608635208337</v>
      </c>
      <c r="O517" s="10" t="s">
        <v>16024</v>
      </c>
      <c r="P517" s="5" t="s">
        <v>14571</v>
      </c>
      <c r="Q517" s="5" t="s">
        <v>14612</v>
      </c>
      <c r="R517" s="5" t="s">
        <v>16025</v>
      </c>
      <c r="T517" s="5" t="s">
        <v>5994</v>
      </c>
      <c r="U517" s="5" t="s">
        <v>14598</v>
      </c>
      <c r="V517" s="5" t="s">
        <v>83</v>
      </c>
      <c r="W517" s="5" t="s">
        <v>5994</v>
      </c>
    </row>
    <row r="518" spans="1:23" ht="12.5">
      <c r="A518" s="5">
        <v>91021</v>
      </c>
      <c r="B518" s="5" t="s">
        <v>16026</v>
      </c>
      <c r="C518" s="5">
        <v>573006014269</v>
      </c>
      <c r="D518" s="5">
        <v>32</v>
      </c>
      <c r="E518" s="5" t="s">
        <v>65</v>
      </c>
      <c r="F518" s="5" t="s">
        <v>265</v>
      </c>
      <c r="G518" s="5" t="s">
        <v>5996</v>
      </c>
      <c r="H518" s="5" t="s">
        <v>5997</v>
      </c>
      <c r="I518" s="5">
        <v>3046565333</v>
      </c>
      <c r="J518" s="12">
        <v>46035</v>
      </c>
      <c r="K518" s="11">
        <v>0.66666666666787933</v>
      </c>
      <c r="M518" s="10" t="s">
        <v>16027</v>
      </c>
      <c r="N518" s="12">
        <v>46035.634384293982</v>
      </c>
      <c r="O518" s="10" t="s">
        <v>14827</v>
      </c>
      <c r="P518" s="5" t="s">
        <v>14571</v>
      </c>
      <c r="Q518" s="5" t="s">
        <v>14572</v>
      </c>
      <c r="R518" s="5" t="s">
        <v>16028</v>
      </c>
      <c r="T518" s="5" t="s">
        <v>5994</v>
      </c>
      <c r="U518" s="5" t="s">
        <v>14691</v>
      </c>
      <c r="V518" s="5" t="s">
        <v>83</v>
      </c>
    </row>
    <row r="519" spans="1:23" ht="12.5">
      <c r="A519" s="5">
        <v>91022</v>
      </c>
      <c r="B519" s="5" t="s">
        <v>6001</v>
      </c>
      <c r="C519" s="5">
        <v>573106127160</v>
      </c>
      <c r="D519" s="5">
        <v>52</v>
      </c>
      <c r="E519" s="5" t="s">
        <v>178</v>
      </c>
      <c r="F519" s="5" t="s">
        <v>33</v>
      </c>
      <c r="G519" s="5" t="s">
        <v>6001</v>
      </c>
      <c r="H519" s="5" t="s">
        <v>34</v>
      </c>
      <c r="I519" s="5">
        <v>3106127160</v>
      </c>
      <c r="J519" s="12">
        <v>46035</v>
      </c>
      <c r="K519" s="11">
        <v>0</v>
      </c>
      <c r="M519" s="10" t="s">
        <v>14705</v>
      </c>
      <c r="N519" s="12">
        <v>46035.652204571757</v>
      </c>
      <c r="O519" s="10" t="s">
        <v>15953</v>
      </c>
      <c r="P519" s="5" t="s">
        <v>14571</v>
      </c>
      <c r="Q519" s="5" t="s">
        <v>14578</v>
      </c>
      <c r="R519" s="5" t="s">
        <v>16029</v>
      </c>
      <c r="T519" s="5" t="s">
        <v>14574</v>
      </c>
      <c r="U519" s="5" t="s">
        <v>33</v>
      </c>
      <c r="V519" s="5" t="s">
        <v>196</v>
      </c>
    </row>
    <row r="520" spans="1:23" ht="12.5">
      <c r="A520" s="5">
        <v>91023</v>
      </c>
      <c r="B520" s="5" t="s">
        <v>6006</v>
      </c>
      <c r="C520" s="5">
        <v>573004941665</v>
      </c>
      <c r="D520" s="5">
        <v>44</v>
      </c>
      <c r="E520" s="5" t="s">
        <v>1111</v>
      </c>
      <c r="F520" s="5" t="s">
        <v>1815</v>
      </c>
      <c r="G520" s="5" t="s">
        <v>6003</v>
      </c>
      <c r="H520" s="5" t="s">
        <v>6004</v>
      </c>
      <c r="I520" s="5">
        <v>3004941665</v>
      </c>
      <c r="J520" s="12">
        <v>46035</v>
      </c>
      <c r="K520" s="11">
        <v>0.70833333333212067</v>
      </c>
      <c r="M520" s="10" t="s">
        <v>15656</v>
      </c>
      <c r="N520" s="12">
        <v>46035.656333078703</v>
      </c>
      <c r="O520" s="10" t="s">
        <v>15378</v>
      </c>
      <c r="P520" s="5" t="s">
        <v>14571</v>
      </c>
      <c r="Q520" s="5" t="s">
        <v>14572</v>
      </c>
      <c r="R520" s="5" t="s">
        <v>16030</v>
      </c>
      <c r="T520" s="5" t="s">
        <v>5994</v>
      </c>
      <c r="U520" s="5" t="s">
        <v>14580</v>
      </c>
      <c r="V520" s="5" t="s">
        <v>83</v>
      </c>
      <c r="W520" s="5" t="s">
        <v>6007</v>
      </c>
    </row>
    <row r="521" spans="1:23" ht="12.5">
      <c r="A521" s="5">
        <v>91024</v>
      </c>
      <c r="B521" s="5" t="s">
        <v>6010</v>
      </c>
      <c r="C521" s="5">
        <v>573126608647</v>
      </c>
      <c r="D521" s="5">
        <v>95</v>
      </c>
      <c r="E521" s="5" t="s">
        <v>42</v>
      </c>
      <c r="F521" s="5" t="s">
        <v>33</v>
      </c>
      <c r="G521" s="5" t="s">
        <v>6010</v>
      </c>
      <c r="H521" s="5" t="s">
        <v>34</v>
      </c>
      <c r="I521" s="5" t="s">
        <v>6011</v>
      </c>
      <c r="J521" s="12">
        <v>46035</v>
      </c>
      <c r="K521" s="11">
        <v>0</v>
      </c>
      <c r="M521" s="10" t="s">
        <v>14800</v>
      </c>
      <c r="N521" s="12">
        <v>46035.661772754625</v>
      </c>
      <c r="O521" s="10" t="s">
        <v>15236</v>
      </c>
      <c r="P521" s="5" t="s">
        <v>14571</v>
      </c>
      <c r="Q521" s="5" t="s">
        <v>14699</v>
      </c>
      <c r="R521" s="5" t="s">
        <v>16031</v>
      </c>
      <c r="T521" s="5" t="s">
        <v>14574</v>
      </c>
      <c r="U521" s="5" t="s">
        <v>33</v>
      </c>
      <c r="V521" s="5" t="s">
        <v>196</v>
      </c>
      <c r="W521" s="5" t="s">
        <v>1286</v>
      </c>
    </row>
    <row r="522" spans="1:23" ht="12.5">
      <c r="A522" s="5">
        <v>91025</v>
      </c>
      <c r="B522" s="5" t="s">
        <v>6014</v>
      </c>
      <c r="C522" s="5">
        <v>57324471139292</v>
      </c>
      <c r="D522" s="5">
        <v>95</v>
      </c>
      <c r="E522" s="5" t="s">
        <v>42</v>
      </c>
      <c r="F522" s="5" t="s">
        <v>33</v>
      </c>
      <c r="G522" s="5" t="s">
        <v>6014</v>
      </c>
      <c r="H522" s="5" t="s">
        <v>34</v>
      </c>
      <c r="I522" s="5">
        <v>324471139292</v>
      </c>
      <c r="J522" s="12">
        <v>46035</v>
      </c>
      <c r="K522" s="11">
        <v>0.70833333333212067</v>
      </c>
      <c r="M522" s="10" t="s">
        <v>10581</v>
      </c>
      <c r="N522" s="12">
        <v>46035.686539803239</v>
      </c>
      <c r="O522" s="10" t="s">
        <v>14918</v>
      </c>
      <c r="P522" s="5" t="s">
        <v>14571</v>
      </c>
      <c r="Q522" s="5" t="s">
        <v>14572</v>
      </c>
      <c r="R522" s="5" t="s">
        <v>16032</v>
      </c>
      <c r="T522" s="5" t="s">
        <v>14574</v>
      </c>
      <c r="U522" s="5" t="s">
        <v>33</v>
      </c>
      <c r="V522" s="5" t="s">
        <v>83</v>
      </c>
    </row>
    <row r="523" spans="1:23" ht="12.5">
      <c r="A523" s="5">
        <v>91026</v>
      </c>
      <c r="B523" s="5" t="s">
        <v>6018</v>
      </c>
      <c r="C523" s="5">
        <v>573146543482</v>
      </c>
      <c r="D523" s="5">
        <v>95</v>
      </c>
      <c r="E523" s="5" t="s">
        <v>42</v>
      </c>
      <c r="F523" s="5" t="s">
        <v>33</v>
      </c>
      <c r="G523" s="5" t="s">
        <v>6018</v>
      </c>
      <c r="H523" s="5" t="s">
        <v>34</v>
      </c>
      <c r="I523" s="5">
        <v>3146543482</v>
      </c>
      <c r="J523" s="12">
        <v>46035</v>
      </c>
      <c r="K523" s="11">
        <v>0</v>
      </c>
      <c r="M523" s="10" t="s">
        <v>14619</v>
      </c>
      <c r="N523" s="12">
        <v>46035.693861574073</v>
      </c>
      <c r="O523" s="10" t="s">
        <v>15228</v>
      </c>
      <c r="P523" s="5" t="s">
        <v>14571</v>
      </c>
      <c r="Q523" s="5" t="s">
        <v>14572</v>
      </c>
      <c r="R523" s="5" t="s">
        <v>16033</v>
      </c>
      <c r="T523" s="5" t="s">
        <v>14574</v>
      </c>
      <c r="U523" s="5" t="s">
        <v>33</v>
      </c>
      <c r="V523" s="5" t="s">
        <v>196</v>
      </c>
      <c r="W523" s="5" t="s">
        <v>120</v>
      </c>
    </row>
    <row r="524" spans="1:23" ht="12.5">
      <c r="A524" s="5">
        <v>91027</v>
      </c>
      <c r="B524" s="5" t="s">
        <v>6021</v>
      </c>
      <c r="C524" s="5" t="s">
        <v>25421</v>
      </c>
      <c r="D524" s="5">
        <v>52</v>
      </c>
      <c r="E524" s="5" t="s">
        <v>178</v>
      </c>
      <c r="F524" s="5" t="s">
        <v>33</v>
      </c>
      <c r="G524" s="5" t="s">
        <v>6021</v>
      </c>
      <c r="H524" s="5" t="s">
        <v>34</v>
      </c>
      <c r="I524" s="5" t="s">
        <v>6022</v>
      </c>
      <c r="J524" s="12">
        <v>46035</v>
      </c>
      <c r="K524" s="11">
        <v>0</v>
      </c>
      <c r="M524" s="10" t="s">
        <v>14705</v>
      </c>
      <c r="N524" s="12">
        <v>46035.697193402782</v>
      </c>
      <c r="O524" s="10" t="s">
        <v>16034</v>
      </c>
      <c r="P524" s="5" t="s">
        <v>14571</v>
      </c>
      <c r="Q524" s="5" t="s">
        <v>14572</v>
      </c>
      <c r="R524" s="5" t="s">
        <v>16035</v>
      </c>
      <c r="T524" s="5" t="s">
        <v>14574</v>
      </c>
      <c r="U524" s="5" t="s">
        <v>33</v>
      </c>
      <c r="V524" s="5" t="s">
        <v>43</v>
      </c>
      <c r="W524" s="5" t="s">
        <v>6023</v>
      </c>
    </row>
    <row r="525" spans="1:23" ht="12.5">
      <c r="A525" s="5">
        <v>91028</v>
      </c>
      <c r="B525" s="5" t="s">
        <v>6025</v>
      </c>
      <c r="C525" s="5">
        <v>573008108213</v>
      </c>
      <c r="D525" s="5">
        <v>95</v>
      </c>
      <c r="E525" s="5" t="s">
        <v>42</v>
      </c>
      <c r="F525" s="5" t="s">
        <v>33</v>
      </c>
      <c r="G525" s="5" t="s">
        <v>6025</v>
      </c>
      <c r="H525" s="5" t="s">
        <v>34</v>
      </c>
      <c r="I525" s="5">
        <v>3008108213</v>
      </c>
      <c r="J525" s="12">
        <v>46035</v>
      </c>
      <c r="K525" s="11">
        <v>0</v>
      </c>
      <c r="M525" s="10" t="s">
        <v>15594</v>
      </c>
      <c r="N525" s="12">
        <v>46035.758387337963</v>
      </c>
      <c r="O525" s="10" t="s">
        <v>15668</v>
      </c>
      <c r="P525" s="5" t="s">
        <v>14571</v>
      </c>
      <c r="Q525" s="5" t="s">
        <v>14699</v>
      </c>
      <c r="R525" s="5" t="s">
        <v>16036</v>
      </c>
      <c r="T525" s="5" t="s">
        <v>14574</v>
      </c>
      <c r="U525" s="5" t="s">
        <v>33</v>
      </c>
      <c r="V525" s="5" t="s">
        <v>1705</v>
      </c>
      <c r="W525" s="5" t="s">
        <v>6026</v>
      </c>
    </row>
    <row r="526" spans="1:23" ht="12.5">
      <c r="A526" s="5">
        <v>91029</v>
      </c>
      <c r="B526" s="5" t="s">
        <v>6029</v>
      </c>
      <c r="C526" s="5">
        <v>5716107161764</v>
      </c>
      <c r="D526" s="5">
        <v>95</v>
      </c>
      <c r="E526" s="5" t="s">
        <v>42</v>
      </c>
      <c r="F526" s="5" t="s">
        <v>33</v>
      </c>
      <c r="G526" s="5" t="s">
        <v>6029</v>
      </c>
      <c r="H526" s="5" t="s">
        <v>34</v>
      </c>
      <c r="I526" s="5" t="s">
        <v>6030</v>
      </c>
      <c r="J526" s="12">
        <v>46038</v>
      </c>
      <c r="K526" s="11">
        <v>0</v>
      </c>
      <c r="M526" s="10" t="s">
        <v>15032</v>
      </c>
      <c r="N526" s="12">
        <v>46035.763635914351</v>
      </c>
      <c r="O526" s="10" t="s">
        <v>16037</v>
      </c>
      <c r="P526" s="5" t="s">
        <v>14571</v>
      </c>
      <c r="Q526" s="5" t="s">
        <v>14578</v>
      </c>
      <c r="R526" s="5" t="s">
        <v>16038</v>
      </c>
      <c r="T526" s="5" t="s">
        <v>14574</v>
      </c>
      <c r="U526" s="5" t="s">
        <v>33</v>
      </c>
      <c r="V526" s="5" t="s">
        <v>2438</v>
      </c>
      <c r="W526" s="5" t="s">
        <v>6031</v>
      </c>
    </row>
    <row r="527" spans="1:23" ht="12.5">
      <c r="A527" s="5">
        <v>91030</v>
      </c>
      <c r="B527" s="5" t="s">
        <v>16039</v>
      </c>
      <c r="C527" s="5">
        <v>17642993108</v>
      </c>
      <c r="D527" s="5">
        <v>26</v>
      </c>
      <c r="E527" s="5" t="s">
        <v>422</v>
      </c>
      <c r="F527" s="5" t="s">
        <v>146</v>
      </c>
      <c r="G527" s="5" t="s">
        <v>6033</v>
      </c>
      <c r="H527" s="5" t="s">
        <v>6034</v>
      </c>
      <c r="I527" s="5">
        <v>3215029384</v>
      </c>
      <c r="J527" s="12">
        <v>46036</v>
      </c>
      <c r="K527" s="11">
        <v>0.375</v>
      </c>
      <c r="M527" s="10" t="s">
        <v>15076</v>
      </c>
      <c r="N527" s="12">
        <v>46035.761040648147</v>
      </c>
      <c r="O527" s="10" t="s">
        <v>15742</v>
      </c>
      <c r="P527" s="5" t="s">
        <v>14571</v>
      </c>
      <c r="Q527" s="5" t="s">
        <v>14612</v>
      </c>
      <c r="R527" s="5" t="s">
        <v>16040</v>
      </c>
      <c r="T527" s="5" t="s">
        <v>5994</v>
      </c>
      <c r="U527" s="5" t="s">
        <v>14618</v>
      </c>
      <c r="V527" s="5" t="s">
        <v>83</v>
      </c>
    </row>
    <row r="528" spans="1:23" ht="12.5">
      <c r="A528" s="5">
        <v>91031</v>
      </c>
      <c r="B528" s="5" t="s">
        <v>16041</v>
      </c>
      <c r="C528" s="5">
        <v>14076278462</v>
      </c>
      <c r="D528" s="5">
        <v>49</v>
      </c>
      <c r="E528" s="5" t="s">
        <v>380</v>
      </c>
      <c r="F528" s="5" t="s">
        <v>249</v>
      </c>
      <c r="G528" s="5" t="s">
        <v>4843</v>
      </c>
      <c r="H528" s="5" t="s">
        <v>6039</v>
      </c>
      <c r="I528" s="5"/>
      <c r="J528" s="12">
        <v>46037</v>
      </c>
      <c r="K528" s="11">
        <v>0.375</v>
      </c>
      <c r="M528" s="10" t="s">
        <v>15128</v>
      </c>
      <c r="N528" s="12">
        <v>46035.949891180557</v>
      </c>
      <c r="O528" s="10" t="s">
        <v>14681</v>
      </c>
      <c r="P528" s="5" t="s">
        <v>14571</v>
      </c>
      <c r="Q528" s="5" t="s">
        <v>14578</v>
      </c>
      <c r="R528" s="5" t="s">
        <v>16042</v>
      </c>
      <c r="T528" s="5" t="s">
        <v>5994</v>
      </c>
      <c r="U528" s="5" t="s">
        <v>14593</v>
      </c>
      <c r="V528" s="5" t="s">
        <v>83</v>
      </c>
    </row>
    <row r="529" spans="1:23" ht="12.5">
      <c r="A529" s="5">
        <v>91032</v>
      </c>
      <c r="B529" s="5" t="s">
        <v>16043</v>
      </c>
      <c r="C529" s="5">
        <v>573103937807</v>
      </c>
      <c r="D529" s="5">
        <v>23</v>
      </c>
      <c r="E529" s="5" t="s">
        <v>50</v>
      </c>
      <c r="F529" s="5" t="s">
        <v>73</v>
      </c>
      <c r="G529" s="5" t="s">
        <v>6043</v>
      </c>
      <c r="H529" s="5" t="s">
        <v>6044</v>
      </c>
      <c r="I529" s="5">
        <v>3206511229</v>
      </c>
      <c r="J529" s="12">
        <v>46036</v>
      </c>
      <c r="K529" s="11">
        <v>0.41666666666787933</v>
      </c>
      <c r="M529" s="10" t="s">
        <v>15140</v>
      </c>
      <c r="N529" s="12">
        <v>46036.381454803239</v>
      </c>
      <c r="O529" s="10" t="s">
        <v>16044</v>
      </c>
      <c r="P529" s="5" t="s">
        <v>14571</v>
      </c>
      <c r="Q529" s="5" t="s">
        <v>14578</v>
      </c>
      <c r="R529" s="5" t="s">
        <v>16045</v>
      </c>
      <c r="T529" s="5" t="s">
        <v>5994</v>
      </c>
      <c r="U529" s="5" t="s">
        <v>14593</v>
      </c>
      <c r="V529" s="5" t="s">
        <v>67</v>
      </c>
    </row>
    <row r="530" spans="1:23" ht="12.5">
      <c r="A530" s="5">
        <v>91033</v>
      </c>
      <c r="B530" s="5" t="s">
        <v>16046</v>
      </c>
      <c r="C530" s="5">
        <v>573127047545</v>
      </c>
      <c r="D530" s="5">
        <v>95</v>
      </c>
      <c r="E530" s="5" t="s">
        <v>42</v>
      </c>
      <c r="G530" s="5" t="s">
        <v>6049</v>
      </c>
      <c r="H530" s="5" t="s">
        <v>6050</v>
      </c>
      <c r="J530" s="12">
        <v>46036</v>
      </c>
      <c r="K530" s="11">
        <v>0.45833333333212067</v>
      </c>
      <c r="M530" s="10" t="s">
        <v>10581</v>
      </c>
      <c r="N530" s="12">
        <v>46036.407802500005</v>
      </c>
      <c r="O530" s="10" t="s">
        <v>15165</v>
      </c>
      <c r="P530" s="5" t="s">
        <v>14571</v>
      </c>
      <c r="Q530" s="5" t="s">
        <v>14612</v>
      </c>
      <c r="R530" s="5" t="s">
        <v>16047</v>
      </c>
      <c r="T530" s="5" t="s">
        <v>5994</v>
      </c>
      <c r="V530" s="5" t="s">
        <v>1705</v>
      </c>
    </row>
    <row r="531" spans="1:23" ht="12.5">
      <c r="A531" s="5">
        <v>91034</v>
      </c>
      <c r="B531" s="5" t="s">
        <v>16048</v>
      </c>
      <c r="C531" s="5">
        <v>573183118706</v>
      </c>
      <c r="D531" s="5">
        <v>4</v>
      </c>
      <c r="E531" s="5" t="s">
        <v>81</v>
      </c>
      <c r="F531" s="5" t="s">
        <v>185</v>
      </c>
      <c r="G531" s="5" t="s">
        <v>6054</v>
      </c>
      <c r="H531" s="5" t="s">
        <v>6055</v>
      </c>
      <c r="I531" s="5">
        <v>3157116084</v>
      </c>
      <c r="J531" s="12">
        <v>46037</v>
      </c>
      <c r="K531" s="11">
        <v>0.375</v>
      </c>
      <c r="M531" s="10" t="s">
        <v>14903</v>
      </c>
      <c r="N531" s="12">
        <v>46036.401494699079</v>
      </c>
      <c r="O531" s="10" t="s">
        <v>16049</v>
      </c>
      <c r="P531" s="5" t="s">
        <v>14571</v>
      </c>
      <c r="Q531" s="5" t="s">
        <v>14578</v>
      </c>
      <c r="R531" s="5" t="s">
        <v>16050</v>
      </c>
      <c r="T531" s="5" t="s">
        <v>5994</v>
      </c>
      <c r="U531" s="5" t="s">
        <v>14580</v>
      </c>
      <c r="V531" s="5" t="s">
        <v>67</v>
      </c>
    </row>
    <row r="532" spans="1:23" ht="12.5">
      <c r="A532" s="5">
        <v>91035</v>
      </c>
      <c r="B532" s="5" t="s">
        <v>16051</v>
      </c>
      <c r="C532" s="5">
        <v>573003415463</v>
      </c>
      <c r="D532" s="5">
        <v>95</v>
      </c>
      <c r="E532" s="5" t="s">
        <v>42</v>
      </c>
      <c r="F532" s="5" t="s">
        <v>103</v>
      </c>
      <c r="G532" s="5" t="s">
        <v>6059</v>
      </c>
      <c r="H532" s="5" t="s">
        <v>6060</v>
      </c>
      <c r="I532" s="5">
        <v>3117683490</v>
      </c>
      <c r="J532" s="12">
        <v>46036</v>
      </c>
      <c r="K532" s="11">
        <v>0</v>
      </c>
      <c r="M532" s="10" t="s">
        <v>14873</v>
      </c>
      <c r="N532" s="12">
        <v>46036.427105405091</v>
      </c>
      <c r="O532" s="10" t="s">
        <v>14771</v>
      </c>
      <c r="P532" s="5" t="s">
        <v>14571</v>
      </c>
      <c r="Q532" s="5" t="s">
        <v>14612</v>
      </c>
      <c r="R532" s="5" t="s">
        <v>16052</v>
      </c>
      <c r="T532" s="5" t="s">
        <v>5994</v>
      </c>
      <c r="U532" s="5" t="s">
        <v>14593</v>
      </c>
      <c r="V532" s="5" t="s">
        <v>67</v>
      </c>
      <c r="W532" s="5" t="s">
        <v>6063</v>
      </c>
    </row>
    <row r="533" spans="1:23" ht="12.5">
      <c r="A533" s="5">
        <v>91036</v>
      </c>
      <c r="B533" s="5" t="s">
        <v>3406</v>
      </c>
      <c r="C533" s="5">
        <v>573157555579</v>
      </c>
      <c r="D533" s="5">
        <v>95</v>
      </c>
      <c r="E533" s="5" t="s">
        <v>42</v>
      </c>
      <c r="F533" s="5" t="s">
        <v>33</v>
      </c>
      <c r="G533" s="5" t="s">
        <v>3406</v>
      </c>
      <c r="H533" s="5" t="s">
        <v>34</v>
      </c>
      <c r="I533" s="5">
        <v>3157555579</v>
      </c>
      <c r="J533" s="12">
        <v>46036</v>
      </c>
      <c r="K533" s="11">
        <v>0</v>
      </c>
      <c r="M533" s="10" t="s">
        <v>2686</v>
      </c>
      <c r="N533" s="12">
        <v>46036.442579351853</v>
      </c>
      <c r="O533" s="10" t="s">
        <v>16053</v>
      </c>
      <c r="P533" s="5" t="s">
        <v>14571</v>
      </c>
      <c r="Q533" s="5" t="s">
        <v>14578</v>
      </c>
      <c r="R533" s="5" t="s">
        <v>16054</v>
      </c>
      <c r="T533" s="5" t="s">
        <v>14574</v>
      </c>
      <c r="U533" s="5" t="s">
        <v>33</v>
      </c>
      <c r="V533" s="5" t="s">
        <v>83</v>
      </c>
    </row>
    <row r="534" spans="1:23" ht="12.5">
      <c r="A534" s="5">
        <v>91037</v>
      </c>
      <c r="B534" s="5" t="s">
        <v>6065</v>
      </c>
      <c r="C534" s="5">
        <v>573115169827</v>
      </c>
      <c r="D534" s="5">
        <v>95</v>
      </c>
      <c r="E534" s="5" t="s">
        <v>42</v>
      </c>
      <c r="F534" s="5" t="s">
        <v>33</v>
      </c>
      <c r="G534" s="5" t="s">
        <v>6065</v>
      </c>
      <c r="H534" s="5" t="s">
        <v>34</v>
      </c>
      <c r="I534" s="5">
        <v>3115169827</v>
      </c>
      <c r="J534" s="12">
        <v>46036</v>
      </c>
      <c r="K534" s="11">
        <v>0</v>
      </c>
      <c r="M534" s="10" t="s">
        <v>14734</v>
      </c>
      <c r="N534" s="12">
        <v>46036.449854178238</v>
      </c>
      <c r="O534" s="10" t="s">
        <v>14658</v>
      </c>
      <c r="P534" s="5" t="s">
        <v>14571</v>
      </c>
      <c r="Q534" s="5" t="s">
        <v>14612</v>
      </c>
      <c r="R534" s="5" t="s">
        <v>16055</v>
      </c>
      <c r="T534" s="5" t="s">
        <v>14574</v>
      </c>
      <c r="U534" s="5" t="s">
        <v>33</v>
      </c>
      <c r="V534" s="5" t="s">
        <v>1481</v>
      </c>
      <c r="W534" s="5" t="s">
        <v>6066</v>
      </c>
    </row>
    <row r="535" spans="1:23" ht="12.5">
      <c r="A535" s="5">
        <v>91038</v>
      </c>
      <c r="B535" s="5" t="s">
        <v>6068</v>
      </c>
      <c r="C535" s="5">
        <v>573015710880</v>
      </c>
      <c r="D535" s="5">
        <v>67</v>
      </c>
      <c r="E535" s="5" t="s">
        <v>542</v>
      </c>
      <c r="F535" s="5" t="s">
        <v>33</v>
      </c>
      <c r="G535" s="5" t="s">
        <v>6068</v>
      </c>
      <c r="H535" s="5" t="s">
        <v>34</v>
      </c>
      <c r="I535" s="5">
        <v>3015710880</v>
      </c>
      <c r="J535" s="12">
        <v>46036</v>
      </c>
      <c r="K535" s="11">
        <v>0</v>
      </c>
      <c r="M535" s="10" t="s">
        <v>14599</v>
      </c>
      <c r="N535" s="12">
        <v>46036.453307048607</v>
      </c>
      <c r="O535" s="10" t="s">
        <v>16056</v>
      </c>
      <c r="P535" s="5" t="s">
        <v>14571</v>
      </c>
      <c r="Q535" s="5" t="s">
        <v>14612</v>
      </c>
      <c r="R535" s="5" t="s">
        <v>16057</v>
      </c>
      <c r="T535" s="5" t="s">
        <v>14574</v>
      </c>
      <c r="U535" s="5" t="s">
        <v>33</v>
      </c>
      <c r="V535" s="5" t="s">
        <v>1705</v>
      </c>
    </row>
    <row r="536" spans="1:23" ht="12.5">
      <c r="A536" s="5">
        <v>91039</v>
      </c>
      <c r="B536" s="5" t="s">
        <v>6071</v>
      </c>
      <c r="C536" s="5">
        <v>573153997339</v>
      </c>
      <c r="D536" s="5">
        <v>64</v>
      </c>
      <c r="E536" s="5" t="s">
        <v>133</v>
      </c>
      <c r="F536" s="5" t="s">
        <v>33</v>
      </c>
      <c r="G536" s="5" t="s">
        <v>6071</v>
      </c>
      <c r="H536" s="5" t="s">
        <v>34</v>
      </c>
      <c r="I536" s="5">
        <v>3153997339</v>
      </c>
      <c r="J536" s="12">
        <v>46036</v>
      </c>
      <c r="K536" s="11">
        <v>0</v>
      </c>
      <c r="M536" s="10" t="s">
        <v>14599</v>
      </c>
      <c r="N536" s="12">
        <v>46036.479813287035</v>
      </c>
      <c r="O536" s="10" t="s">
        <v>14882</v>
      </c>
      <c r="P536" s="5" t="s">
        <v>14571</v>
      </c>
      <c r="Q536" s="5" t="s">
        <v>14572</v>
      </c>
      <c r="R536" s="5" t="s">
        <v>16058</v>
      </c>
      <c r="T536" s="5" t="s">
        <v>14574</v>
      </c>
      <c r="U536" s="5" t="s">
        <v>33</v>
      </c>
      <c r="V536" s="5" t="s">
        <v>37</v>
      </c>
      <c r="W536" s="5" t="s">
        <v>6072</v>
      </c>
    </row>
    <row r="537" spans="1:23" ht="12.5">
      <c r="A537" s="5">
        <v>91040</v>
      </c>
      <c r="B537" s="5" t="s">
        <v>6073</v>
      </c>
      <c r="C537" s="5">
        <v>573202911103</v>
      </c>
      <c r="D537" s="5">
        <v>32</v>
      </c>
      <c r="E537" s="5" t="s">
        <v>65</v>
      </c>
      <c r="F537" s="5" t="s">
        <v>33</v>
      </c>
      <c r="G537" s="5" t="s">
        <v>6073</v>
      </c>
      <c r="H537" s="5" t="s">
        <v>34</v>
      </c>
      <c r="I537" s="5">
        <v>3202911103</v>
      </c>
      <c r="J537" s="12">
        <v>46036</v>
      </c>
      <c r="K537" s="11">
        <v>0</v>
      </c>
      <c r="M537" s="10" t="s">
        <v>14800</v>
      </c>
      <c r="N537" s="12">
        <v>46036.491382673616</v>
      </c>
      <c r="O537" s="10" t="s">
        <v>16059</v>
      </c>
      <c r="P537" s="5" t="s">
        <v>14571</v>
      </c>
      <c r="Q537" s="5" t="s">
        <v>14578</v>
      </c>
      <c r="R537" s="5" t="s">
        <v>16060</v>
      </c>
      <c r="T537" s="5" t="s">
        <v>14574</v>
      </c>
      <c r="U537" s="5" t="s">
        <v>33</v>
      </c>
      <c r="V537" s="5" t="s">
        <v>1705</v>
      </c>
    </row>
    <row r="538" spans="1:23" ht="12.5">
      <c r="A538" s="5">
        <v>91041</v>
      </c>
      <c r="B538" s="5" t="s">
        <v>16061</v>
      </c>
      <c r="C538" s="5">
        <v>17864246373</v>
      </c>
      <c r="D538" s="5">
        <v>21</v>
      </c>
      <c r="E538" s="5" t="s">
        <v>330</v>
      </c>
      <c r="F538" s="5" t="s">
        <v>103</v>
      </c>
      <c r="G538" s="5" t="s">
        <v>6074</v>
      </c>
      <c r="H538" s="5" t="s">
        <v>6075</v>
      </c>
      <c r="I538" s="5" t="s">
        <v>6076</v>
      </c>
      <c r="J538" s="12">
        <v>46038</v>
      </c>
      <c r="K538" s="11">
        <v>0</v>
      </c>
      <c r="M538" s="10" t="s">
        <v>15040</v>
      </c>
      <c r="N538" s="12">
        <v>46036.491808784718</v>
      </c>
      <c r="O538" s="10" t="s">
        <v>15404</v>
      </c>
      <c r="P538" s="5" t="s">
        <v>14571</v>
      </c>
      <c r="Q538" s="5" t="s">
        <v>14572</v>
      </c>
      <c r="R538" s="5" t="s">
        <v>16062</v>
      </c>
      <c r="T538" s="5" t="s">
        <v>5994</v>
      </c>
      <c r="U538" s="5" t="s">
        <v>14593</v>
      </c>
      <c r="V538" s="5" t="s">
        <v>67</v>
      </c>
      <c r="W538" s="5" t="s">
        <v>6079</v>
      </c>
    </row>
    <row r="539" spans="1:23" ht="12.5">
      <c r="A539" s="5">
        <v>91042</v>
      </c>
      <c r="B539" s="5" t="s">
        <v>6080</v>
      </c>
      <c r="C539" s="5">
        <v>573004772457</v>
      </c>
      <c r="D539" s="5">
        <v>95</v>
      </c>
      <c r="E539" s="5" t="s">
        <v>42</v>
      </c>
      <c r="F539" s="5" t="s">
        <v>33</v>
      </c>
      <c r="G539" s="5" t="s">
        <v>6080</v>
      </c>
      <c r="H539" s="5" t="s">
        <v>34</v>
      </c>
      <c r="I539" s="5">
        <v>3004772457</v>
      </c>
      <c r="J539" s="12">
        <v>46036</v>
      </c>
      <c r="K539" s="11">
        <v>0</v>
      </c>
      <c r="M539" s="10" t="s">
        <v>16063</v>
      </c>
      <c r="N539" s="12">
        <v>46036.509005532411</v>
      </c>
      <c r="O539" s="10" t="s">
        <v>15849</v>
      </c>
      <c r="P539" s="5" t="s">
        <v>14571</v>
      </c>
      <c r="Q539" s="5" t="s">
        <v>14572</v>
      </c>
      <c r="R539" s="5" t="s">
        <v>16064</v>
      </c>
      <c r="T539" s="5" t="s">
        <v>14574</v>
      </c>
      <c r="U539" s="5" t="s">
        <v>33</v>
      </c>
      <c r="V539" s="5" t="s">
        <v>1705</v>
      </c>
    </row>
    <row r="540" spans="1:23" ht="12.5">
      <c r="A540" s="5">
        <v>91043</v>
      </c>
      <c r="B540" s="5" t="s">
        <v>6082</v>
      </c>
      <c r="C540" s="5">
        <v>573046354329</v>
      </c>
      <c r="D540" s="5">
        <v>95</v>
      </c>
      <c r="E540" s="5" t="s">
        <v>42</v>
      </c>
      <c r="F540" s="5" t="s">
        <v>33</v>
      </c>
      <c r="G540" s="5" t="s">
        <v>6082</v>
      </c>
      <c r="H540" s="5" t="s">
        <v>34</v>
      </c>
      <c r="I540" s="5">
        <v>3046354329</v>
      </c>
      <c r="J540" s="12">
        <v>46036</v>
      </c>
      <c r="K540" s="11">
        <v>0</v>
      </c>
      <c r="M540" s="10" t="s">
        <v>2686</v>
      </c>
      <c r="N540" s="12">
        <v>46036.508291828708</v>
      </c>
      <c r="O540" s="10" t="s">
        <v>16065</v>
      </c>
      <c r="P540" s="5" t="s">
        <v>14571</v>
      </c>
      <c r="Q540" s="5" t="s">
        <v>14572</v>
      </c>
      <c r="R540" s="5" t="s">
        <v>16066</v>
      </c>
      <c r="T540" s="5" t="s">
        <v>14574</v>
      </c>
      <c r="U540" s="5" t="s">
        <v>33</v>
      </c>
      <c r="V540" s="5" t="s">
        <v>67</v>
      </c>
      <c r="W540" s="5" t="s">
        <v>6085</v>
      </c>
    </row>
    <row r="541" spans="1:23" ht="12.5">
      <c r="A541" s="5">
        <v>91045</v>
      </c>
      <c r="B541" s="5" t="s">
        <v>16067</v>
      </c>
      <c r="C541" s="5">
        <v>573146846722</v>
      </c>
      <c r="D541" s="5">
        <v>73</v>
      </c>
      <c r="E541" s="5" t="s">
        <v>918</v>
      </c>
      <c r="F541" s="5" t="s">
        <v>103</v>
      </c>
      <c r="G541" s="5" t="s">
        <v>6091</v>
      </c>
      <c r="H541" s="5" t="s">
        <v>6092</v>
      </c>
      <c r="J541" s="12">
        <v>46036</v>
      </c>
      <c r="K541" s="11">
        <v>0.64583333333212067</v>
      </c>
      <c r="M541" s="10" t="s">
        <v>15859</v>
      </c>
      <c r="N541" s="12">
        <v>46036.541140474539</v>
      </c>
      <c r="O541" s="10" t="s">
        <v>16011</v>
      </c>
      <c r="P541" s="5" t="s">
        <v>14571</v>
      </c>
      <c r="Q541" s="5" t="s">
        <v>14578</v>
      </c>
      <c r="R541" s="5" t="s">
        <v>16068</v>
      </c>
      <c r="T541" s="5" t="s">
        <v>5994</v>
      </c>
      <c r="U541" s="5" t="s">
        <v>14593</v>
      </c>
      <c r="V541" s="5" t="s">
        <v>1937</v>
      </c>
      <c r="W541" s="5" t="s">
        <v>6095</v>
      </c>
    </row>
    <row r="542" spans="1:23" ht="12.5">
      <c r="A542" s="5">
        <v>91046</v>
      </c>
      <c r="B542" s="5" t="s">
        <v>6098</v>
      </c>
      <c r="C542" s="5">
        <v>573166909508</v>
      </c>
      <c r="D542" s="5">
        <v>70</v>
      </c>
      <c r="E542" s="5" t="s">
        <v>559</v>
      </c>
      <c r="F542" s="5" t="s">
        <v>33</v>
      </c>
      <c r="G542" s="5" t="s">
        <v>6098</v>
      </c>
      <c r="H542" s="5" t="s">
        <v>34</v>
      </c>
      <c r="I542" s="5">
        <v>3166909508</v>
      </c>
      <c r="J542" s="12">
        <v>46039</v>
      </c>
      <c r="K542" s="11">
        <v>0.64583333333212067</v>
      </c>
      <c r="M542" s="10" t="s">
        <v>14627</v>
      </c>
      <c r="N542" s="12">
        <v>46036.55861630787</v>
      </c>
      <c r="O542" s="10" t="s">
        <v>15264</v>
      </c>
      <c r="P542" s="5" t="s">
        <v>14571</v>
      </c>
      <c r="Q542" s="5" t="s">
        <v>14612</v>
      </c>
      <c r="R542" s="5" t="s">
        <v>16069</v>
      </c>
      <c r="T542" s="5" t="s">
        <v>14574</v>
      </c>
      <c r="U542" s="5" t="s">
        <v>33</v>
      </c>
      <c r="V542" s="5" t="s">
        <v>67</v>
      </c>
    </row>
    <row r="543" spans="1:23" ht="12.5">
      <c r="A543" s="5">
        <v>91047</v>
      </c>
      <c r="B543" s="5" t="s">
        <v>5540</v>
      </c>
      <c r="C543" s="5">
        <v>5700000</v>
      </c>
      <c r="D543" s="5">
        <v>57</v>
      </c>
      <c r="E543" s="5" t="s">
        <v>1085</v>
      </c>
      <c r="F543" s="5" t="s">
        <v>33</v>
      </c>
      <c r="G543" s="5" t="s">
        <v>5540</v>
      </c>
      <c r="H543" s="5" t="s">
        <v>34</v>
      </c>
      <c r="I543" s="10" t="s">
        <v>2686</v>
      </c>
      <c r="J543" s="12">
        <v>46036</v>
      </c>
      <c r="K543" s="11">
        <v>0</v>
      </c>
      <c r="M543" s="10" t="s">
        <v>10581</v>
      </c>
      <c r="N543" s="12">
        <v>46036.57256936343</v>
      </c>
      <c r="O543" s="10" t="s">
        <v>14961</v>
      </c>
      <c r="P543" s="5" t="s">
        <v>14571</v>
      </c>
      <c r="Q543" s="5" t="s">
        <v>14572</v>
      </c>
      <c r="R543" s="5" t="s">
        <v>16070</v>
      </c>
      <c r="T543" s="5" t="s">
        <v>14574</v>
      </c>
      <c r="U543" s="5" t="s">
        <v>33</v>
      </c>
      <c r="V543" s="5" t="s">
        <v>196</v>
      </c>
    </row>
    <row r="544" spans="1:23" ht="12.5">
      <c r="A544" s="5">
        <v>91048</v>
      </c>
      <c r="B544" s="5" t="s">
        <v>16071</v>
      </c>
      <c r="C544" s="5">
        <v>573002223118</v>
      </c>
      <c r="D544" s="5">
        <v>5</v>
      </c>
      <c r="E544" s="5" t="s">
        <v>3111</v>
      </c>
      <c r="F544" s="5" t="s">
        <v>103</v>
      </c>
      <c r="G544" s="5" t="s">
        <v>6102</v>
      </c>
      <c r="H544" s="5" t="s">
        <v>6103</v>
      </c>
      <c r="I544" s="5">
        <v>3106554089</v>
      </c>
      <c r="J544" s="12">
        <v>46036</v>
      </c>
      <c r="K544" s="11">
        <v>0.5</v>
      </c>
      <c r="M544" s="10" t="s">
        <v>14712</v>
      </c>
      <c r="N544" s="12">
        <v>46036.562817106482</v>
      </c>
      <c r="O544" s="10" t="s">
        <v>15868</v>
      </c>
      <c r="P544" s="5" t="s">
        <v>14571</v>
      </c>
      <c r="Q544" s="5" t="s">
        <v>14699</v>
      </c>
      <c r="R544" s="5" t="s">
        <v>16072</v>
      </c>
      <c r="T544" s="5" t="s">
        <v>5994</v>
      </c>
      <c r="U544" s="5" t="s">
        <v>14593</v>
      </c>
      <c r="V544" s="5" t="s">
        <v>180</v>
      </c>
    </row>
    <row r="545" spans="1:23" ht="12.5">
      <c r="A545" s="5">
        <v>91049</v>
      </c>
      <c r="B545" s="5" t="s">
        <v>6106</v>
      </c>
      <c r="C545" s="5">
        <v>5700000</v>
      </c>
      <c r="D545" s="5">
        <v>95</v>
      </c>
      <c r="E545" s="5" t="s">
        <v>42</v>
      </c>
      <c r="F545" s="5" t="s">
        <v>33</v>
      </c>
      <c r="G545" s="5" t="s">
        <v>6106</v>
      </c>
      <c r="H545" s="5" t="s">
        <v>34</v>
      </c>
      <c r="I545" s="10" t="s">
        <v>2686</v>
      </c>
      <c r="J545" s="12">
        <v>46036</v>
      </c>
      <c r="K545" s="11">
        <v>0</v>
      </c>
      <c r="M545" s="10" t="s">
        <v>16073</v>
      </c>
      <c r="N545" s="12">
        <v>46036.578731469912</v>
      </c>
      <c r="O545" s="10" t="s">
        <v>16074</v>
      </c>
      <c r="P545" s="5" t="s">
        <v>14571</v>
      </c>
      <c r="Q545" s="5" t="s">
        <v>14699</v>
      </c>
      <c r="R545" s="5" t="s">
        <v>16075</v>
      </c>
      <c r="T545" s="5" t="s">
        <v>14574</v>
      </c>
      <c r="U545" s="5" t="s">
        <v>33</v>
      </c>
      <c r="V545" s="5" t="s">
        <v>1705</v>
      </c>
    </row>
    <row r="546" spans="1:23" ht="12.5">
      <c r="A546" s="5">
        <v>91050</v>
      </c>
      <c r="B546" s="5" t="s">
        <v>16076</v>
      </c>
      <c r="C546" s="5">
        <v>573127923687</v>
      </c>
      <c r="D546" s="5">
        <v>26</v>
      </c>
      <c r="E546" s="5" t="s">
        <v>422</v>
      </c>
      <c r="F546" s="5" t="s">
        <v>63</v>
      </c>
      <c r="G546" s="5" t="s">
        <v>6108</v>
      </c>
      <c r="H546" s="5" t="s">
        <v>6109</v>
      </c>
      <c r="I546" s="5"/>
      <c r="J546" s="12">
        <v>46036</v>
      </c>
      <c r="K546" s="11">
        <v>0</v>
      </c>
      <c r="M546" s="10" t="s">
        <v>16077</v>
      </c>
      <c r="N546" s="12">
        <v>46036.569153321761</v>
      </c>
      <c r="O546" s="10" t="s">
        <v>16078</v>
      </c>
      <c r="P546" s="5" t="s">
        <v>14571</v>
      </c>
      <c r="Q546" s="5" t="s">
        <v>14572</v>
      </c>
      <c r="R546" s="5" t="s">
        <v>16079</v>
      </c>
      <c r="T546" s="5" t="s">
        <v>5994</v>
      </c>
      <c r="U546" s="5" t="s">
        <v>14598</v>
      </c>
      <c r="V546" s="5" t="s">
        <v>67</v>
      </c>
    </row>
    <row r="547" spans="1:23" ht="12.5">
      <c r="A547" s="5">
        <v>91051</v>
      </c>
      <c r="B547" s="5" t="s">
        <v>5734</v>
      </c>
      <c r="C547" s="5">
        <v>573007682024</v>
      </c>
      <c r="D547" s="5">
        <v>95</v>
      </c>
      <c r="E547" s="5" t="s">
        <v>42</v>
      </c>
      <c r="F547" s="5" t="s">
        <v>5898</v>
      </c>
      <c r="G547" s="5" t="s">
        <v>6112</v>
      </c>
      <c r="H547" s="5" t="s">
        <v>6113</v>
      </c>
      <c r="J547" s="12">
        <v>46037</v>
      </c>
      <c r="K547" s="11">
        <v>0.375</v>
      </c>
      <c r="M547" s="10" t="s">
        <v>15147</v>
      </c>
      <c r="N547" s="12">
        <v>46036.633417569443</v>
      </c>
      <c r="O547" s="10" t="s">
        <v>15560</v>
      </c>
      <c r="P547" s="5" t="s">
        <v>14571</v>
      </c>
      <c r="Q547" s="5" t="s">
        <v>14612</v>
      </c>
      <c r="R547" s="5" t="s">
        <v>16080</v>
      </c>
      <c r="T547" s="5" t="s">
        <v>5994</v>
      </c>
      <c r="U547" s="5" t="s">
        <v>14598</v>
      </c>
      <c r="V547" s="5" t="s">
        <v>43</v>
      </c>
      <c r="W547" s="5" t="s">
        <v>6114</v>
      </c>
    </row>
    <row r="548" spans="1:23" ht="12.5">
      <c r="A548" s="5">
        <v>91052</v>
      </c>
      <c r="B548" s="5" t="s">
        <v>6116</v>
      </c>
      <c r="C548" s="5">
        <v>573106374225</v>
      </c>
      <c r="D548" s="5">
        <v>95</v>
      </c>
      <c r="E548" s="5" t="s">
        <v>42</v>
      </c>
      <c r="F548" s="5" t="s">
        <v>33</v>
      </c>
      <c r="G548" s="5" t="s">
        <v>6116</v>
      </c>
      <c r="H548" s="5" t="s">
        <v>34</v>
      </c>
      <c r="I548" s="5">
        <v>3106374225</v>
      </c>
      <c r="J548" s="12">
        <v>46036</v>
      </c>
      <c r="K548" s="11">
        <v>0</v>
      </c>
      <c r="M548" s="10" t="s">
        <v>16073</v>
      </c>
      <c r="N548" s="12">
        <v>46036.652007743054</v>
      </c>
      <c r="O548" s="10" t="s">
        <v>15882</v>
      </c>
      <c r="P548" s="5" t="s">
        <v>14571</v>
      </c>
      <c r="Q548" s="5" t="s">
        <v>14699</v>
      </c>
      <c r="R548" s="5" t="s">
        <v>16081</v>
      </c>
      <c r="T548" s="5" t="s">
        <v>14574</v>
      </c>
      <c r="U548" s="5" t="s">
        <v>33</v>
      </c>
      <c r="V548" s="5" t="s">
        <v>1705</v>
      </c>
    </row>
    <row r="549" spans="1:23" ht="12.5">
      <c r="A549" s="5">
        <v>91053</v>
      </c>
      <c r="B549" s="5" t="s">
        <v>16082</v>
      </c>
      <c r="C549" s="5">
        <v>573023488724</v>
      </c>
      <c r="D549" s="5">
        <v>26</v>
      </c>
      <c r="E549" s="5" t="s">
        <v>422</v>
      </c>
      <c r="F549" s="5" t="s">
        <v>229</v>
      </c>
      <c r="G549" s="5" t="s">
        <v>6119</v>
      </c>
      <c r="H549" s="5" t="s">
        <v>6120</v>
      </c>
      <c r="I549" s="5">
        <v>3222566121</v>
      </c>
      <c r="J549" s="12">
        <v>46036</v>
      </c>
      <c r="K549" s="11">
        <v>0.70833333333212067</v>
      </c>
      <c r="M549" s="10" t="s">
        <v>15298</v>
      </c>
      <c r="N549" s="12">
        <v>46036.667995231481</v>
      </c>
      <c r="O549" s="10" t="s">
        <v>16083</v>
      </c>
      <c r="P549" s="5" t="s">
        <v>14571</v>
      </c>
      <c r="Q549" s="5" t="s">
        <v>14612</v>
      </c>
      <c r="R549" s="5" t="s">
        <v>16084</v>
      </c>
      <c r="T549" s="5" t="s">
        <v>5994</v>
      </c>
      <c r="U549" s="5"/>
      <c r="V549" s="5" t="s">
        <v>180</v>
      </c>
    </row>
    <row r="550" spans="1:23" ht="12.5">
      <c r="A550" s="5">
        <v>91054</v>
      </c>
      <c r="B550" s="5" t="s">
        <v>6125</v>
      </c>
      <c r="C550" s="5">
        <v>573183762807</v>
      </c>
      <c r="D550" s="5">
        <v>45</v>
      </c>
      <c r="E550" s="5" t="s">
        <v>210</v>
      </c>
      <c r="F550" s="5" t="s">
        <v>33</v>
      </c>
      <c r="G550" s="5" t="s">
        <v>6125</v>
      </c>
      <c r="H550" s="5" t="s">
        <v>34</v>
      </c>
      <c r="I550" s="5">
        <v>3183762807</v>
      </c>
      <c r="J550" s="12">
        <v>46036</v>
      </c>
      <c r="K550" s="11">
        <v>0</v>
      </c>
      <c r="M550" s="10" t="s">
        <v>14646</v>
      </c>
      <c r="N550" s="12">
        <v>46036.688138414349</v>
      </c>
      <c r="O550" s="10" t="s">
        <v>16085</v>
      </c>
      <c r="P550" s="5" t="s">
        <v>14571</v>
      </c>
      <c r="Q550" s="5" t="s">
        <v>14572</v>
      </c>
      <c r="R550" s="5" t="s">
        <v>16086</v>
      </c>
      <c r="T550" s="5" t="s">
        <v>14574</v>
      </c>
      <c r="U550" s="5" t="s">
        <v>33</v>
      </c>
      <c r="V550" s="5" t="s">
        <v>1705</v>
      </c>
    </row>
    <row r="551" spans="1:23" ht="12.5">
      <c r="A551" s="5">
        <v>91055</v>
      </c>
      <c r="B551" s="5" t="s">
        <v>6127</v>
      </c>
      <c r="C551" s="10" t="s">
        <v>16087</v>
      </c>
      <c r="D551" s="5">
        <v>95</v>
      </c>
      <c r="E551" s="5" t="s">
        <v>42</v>
      </c>
      <c r="F551" s="5" t="s">
        <v>33</v>
      </c>
      <c r="G551" s="5" t="s">
        <v>6127</v>
      </c>
      <c r="H551" s="5" t="s">
        <v>34</v>
      </c>
      <c r="I551" s="5">
        <v>3152433843</v>
      </c>
      <c r="J551" s="12">
        <v>46036</v>
      </c>
      <c r="K551" s="11">
        <v>0.75</v>
      </c>
      <c r="M551" s="10" t="s">
        <v>14712</v>
      </c>
      <c r="N551" s="12">
        <v>46036</v>
      </c>
      <c r="O551" s="10" t="s">
        <v>15228</v>
      </c>
      <c r="P551" s="5" t="s">
        <v>14571</v>
      </c>
      <c r="Q551" s="5" t="s">
        <v>14572</v>
      </c>
      <c r="R551" s="5" t="s">
        <v>16088</v>
      </c>
      <c r="T551" s="5" t="s">
        <v>14574</v>
      </c>
      <c r="U551" s="5" t="s">
        <v>33</v>
      </c>
      <c r="V551" s="5" t="s">
        <v>83</v>
      </c>
      <c r="W551" s="5" t="s">
        <v>6130</v>
      </c>
    </row>
    <row r="552" spans="1:23" ht="12.5">
      <c r="A552" s="5">
        <v>91056</v>
      </c>
      <c r="B552" s="5" t="s">
        <v>6132</v>
      </c>
      <c r="C552" s="10" t="s">
        <v>16089</v>
      </c>
      <c r="D552" s="5">
        <v>32</v>
      </c>
      <c r="E552" s="5" t="s">
        <v>65</v>
      </c>
      <c r="F552" s="5" t="s">
        <v>33</v>
      </c>
      <c r="G552" s="5" t="s">
        <v>6132</v>
      </c>
      <c r="H552" s="5" t="s">
        <v>34</v>
      </c>
      <c r="I552" s="5" t="s">
        <v>6133</v>
      </c>
      <c r="J552" s="12">
        <v>46036</v>
      </c>
      <c r="K552" s="11">
        <v>0</v>
      </c>
      <c r="M552" s="10" t="s">
        <v>14800</v>
      </c>
      <c r="N552" s="12">
        <v>46036</v>
      </c>
      <c r="O552" s="10" t="s">
        <v>16034</v>
      </c>
      <c r="P552" s="5" t="s">
        <v>14571</v>
      </c>
      <c r="Q552" s="5" t="s">
        <v>14572</v>
      </c>
      <c r="R552" s="5" t="s">
        <v>16090</v>
      </c>
      <c r="T552" s="5" t="s">
        <v>14574</v>
      </c>
      <c r="U552" s="5" t="s">
        <v>33</v>
      </c>
      <c r="V552" s="5" t="s">
        <v>67</v>
      </c>
    </row>
    <row r="553" spans="1:23" ht="12.5">
      <c r="A553" s="5">
        <v>91057</v>
      </c>
      <c r="B553" s="5" t="s">
        <v>16091</v>
      </c>
      <c r="C553" s="5">
        <v>573102276409</v>
      </c>
      <c r="D553" s="5">
        <v>10</v>
      </c>
      <c r="E553" s="5" t="s">
        <v>747</v>
      </c>
      <c r="F553" s="5" t="s">
        <v>185</v>
      </c>
      <c r="G553" s="5" t="s">
        <v>6135</v>
      </c>
      <c r="H553" s="5" t="s">
        <v>6136</v>
      </c>
      <c r="I553" s="5">
        <v>3102276409</v>
      </c>
      <c r="J553" s="12">
        <v>46036</v>
      </c>
      <c r="K553" s="11">
        <v>0.35416666666787933</v>
      </c>
      <c r="M553" s="10" t="s">
        <v>14672</v>
      </c>
      <c r="N553" s="12">
        <v>46036.688979039347</v>
      </c>
      <c r="O553" s="10" t="s">
        <v>15724</v>
      </c>
      <c r="P553" s="5" t="s">
        <v>14571</v>
      </c>
      <c r="Q553" s="5" t="s">
        <v>14572</v>
      </c>
      <c r="R553" s="5" t="s">
        <v>16092</v>
      </c>
      <c r="T553" s="5" t="s">
        <v>5994</v>
      </c>
      <c r="U553" s="5" t="s">
        <v>14580</v>
      </c>
      <c r="V553" s="5" t="s">
        <v>1937</v>
      </c>
      <c r="W553" s="5" t="s">
        <v>6139</v>
      </c>
    </row>
    <row r="554" spans="1:23" ht="12.5">
      <c r="A554" s="5">
        <v>91058</v>
      </c>
      <c r="B554" s="5" t="s">
        <v>16093</v>
      </c>
      <c r="C554" s="5">
        <v>573017925741</v>
      </c>
      <c r="D554" s="5">
        <v>4</v>
      </c>
      <c r="E554" s="5" t="s">
        <v>81</v>
      </c>
      <c r="F554" s="5" t="s">
        <v>229</v>
      </c>
      <c r="G554" s="5" t="s">
        <v>6141</v>
      </c>
      <c r="H554" s="5" t="s">
        <v>6142</v>
      </c>
      <c r="I554" s="5">
        <v>3226042812</v>
      </c>
      <c r="J554" s="12">
        <v>46036</v>
      </c>
      <c r="K554" s="11">
        <v>0.75</v>
      </c>
      <c r="M554" s="10" t="s">
        <v>14684</v>
      </c>
      <c r="N554" s="12">
        <v>46036.696553888891</v>
      </c>
      <c r="O554" s="10" t="s">
        <v>16094</v>
      </c>
      <c r="P554" s="5" t="s">
        <v>14571</v>
      </c>
      <c r="Q554" s="5" t="s">
        <v>14572</v>
      </c>
      <c r="R554" s="5" t="s">
        <v>16095</v>
      </c>
      <c r="T554" s="5" t="s">
        <v>5994</v>
      </c>
      <c r="U554" s="5"/>
      <c r="V554" s="5" t="s">
        <v>83</v>
      </c>
    </row>
    <row r="555" spans="1:23" ht="12.5">
      <c r="A555" s="5">
        <v>91059</v>
      </c>
      <c r="B555" s="5" t="s">
        <v>6147</v>
      </c>
      <c r="C555" s="5">
        <v>573023112460</v>
      </c>
      <c r="D555" s="5">
        <v>52</v>
      </c>
      <c r="E555" s="5" t="s">
        <v>178</v>
      </c>
      <c r="F555" s="5" t="s">
        <v>33</v>
      </c>
      <c r="G555" s="5" t="s">
        <v>6147</v>
      </c>
      <c r="H555" s="5" t="s">
        <v>34</v>
      </c>
      <c r="I555" s="5">
        <v>3023112460</v>
      </c>
      <c r="J555" s="12">
        <v>46036</v>
      </c>
      <c r="K555" s="11">
        <v>0</v>
      </c>
      <c r="M555" s="10" t="s">
        <v>14705</v>
      </c>
      <c r="N555" s="12">
        <v>46036.765130196756</v>
      </c>
      <c r="O555" s="10" t="s">
        <v>14801</v>
      </c>
      <c r="P555" s="5" t="s">
        <v>14571</v>
      </c>
      <c r="Q555" s="5" t="s">
        <v>14572</v>
      </c>
      <c r="R555" s="5" t="s">
        <v>16096</v>
      </c>
      <c r="T555" s="5" t="s">
        <v>14574</v>
      </c>
      <c r="U555" s="5" t="s">
        <v>33</v>
      </c>
      <c r="V555" s="5" t="s">
        <v>1705</v>
      </c>
    </row>
    <row r="556" spans="1:23" ht="12.5">
      <c r="A556" s="5">
        <v>91060</v>
      </c>
      <c r="B556" s="5" t="s">
        <v>2679</v>
      </c>
      <c r="C556" s="5">
        <v>573174986262</v>
      </c>
      <c r="D556" s="5">
        <v>95</v>
      </c>
      <c r="E556" s="5" t="s">
        <v>42</v>
      </c>
      <c r="F556" s="5" t="s">
        <v>33</v>
      </c>
      <c r="G556" s="5" t="s">
        <v>2679</v>
      </c>
      <c r="H556" s="5" t="s">
        <v>34</v>
      </c>
      <c r="I556" s="5">
        <v>3174986262</v>
      </c>
      <c r="J556" s="12">
        <v>46036</v>
      </c>
      <c r="K556" s="11">
        <v>0</v>
      </c>
      <c r="M556" s="10" t="s">
        <v>14619</v>
      </c>
      <c r="N556" s="12">
        <v>46036.76568542824</v>
      </c>
      <c r="O556" s="10" t="s">
        <v>14801</v>
      </c>
      <c r="P556" s="5" t="s">
        <v>14571</v>
      </c>
      <c r="Q556" s="5" t="s">
        <v>14572</v>
      </c>
      <c r="R556" s="5" t="s">
        <v>16097</v>
      </c>
      <c r="T556" s="5" t="s">
        <v>14574</v>
      </c>
      <c r="U556" s="5" t="s">
        <v>33</v>
      </c>
      <c r="V556" s="5" t="s">
        <v>1705</v>
      </c>
    </row>
    <row r="557" spans="1:23" ht="12.5">
      <c r="A557" s="5">
        <v>91061</v>
      </c>
      <c r="B557" s="5" t="s">
        <v>6150</v>
      </c>
      <c r="C557" s="5">
        <v>573017255296</v>
      </c>
      <c r="D557" s="5">
        <v>52</v>
      </c>
      <c r="E557" s="5" t="s">
        <v>178</v>
      </c>
      <c r="F557" s="5" t="s">
        <v>33</v>
      </c>
      <c r="G557" s="5" t="s">
        <v>6150</v>
      </c>
      <c r="H557" s="5" t="s">
        <v>34</v>
      </c>
      <c r="I557" s="5">
        <v>3017255296</v>
      </c>
      <c r="J557" s="12">
        <v>46037</v>
      </c>
      <c r="K557" s="11">
        <v>0</v>
      </c>
      <c r="M557" s="10" t="s">
        <v>14705</v>
      </c>
      <c r="N557" s="12">
        <v>46037.327875219911</v>
      </c>
      <c r="O557" s="10" t="s">
        <v>16098</v>
      </c>
      <c r="P557" s="5" t="s">
        <v>14571</v>
      </c>
      <c r="Q557" s="5" t="s">
        <v>14612</v>
      </c>
      <c r="R557" s="5" t="s">
        <v>16099</v>
      </c>
      <c r="T557" s="5" t="s">
        <v>14574</v>
      </c>
      <c r="U557" s="5" t="s">
        <v>33</v>
      </c>
      <c r="V557" s="5" t="s">
        <v>83</v>
      </c>
    </row>
    <row r="558" spans="1:23" ht="12.5">
      <c r="A558" s="5">
        <v>91062</v>
      </c>
      <c r="B558" s="5" t="s">
        <v>16100</v>
      </c>
      <c r="C558" s="5">
        <v>573012688823</v>
      </c>
      <c r="D558" s="5">
        <v>32</v>
      </c>
      <c r="E558" s="5" t="s">
        <v>65</v>
      </c>
      <c r="F558" s="5" t="s">
        <v>726</v>
      </c>
      <c r="G558" s="5" t="s">
        <v>6154</v>
      </c>
      <c r="H558" s="5" t="s">
        <v>6155</v>
      </c>
      <c r="I558" s="5">
        <v>3108072534</v>
      </c>
      <c r="J558" s="12">
        <v>46037</v>
      </c>
      <c r="K558" s="11">
        <v>0.41666666666787933</v>
      </c>
      <c r="M558" s="10" t="s">
        <v>16101</v>
      </c>
      <c r="N558" s="12">
        <v>46037.372505694446</v>
      </c>
      <c r="O558" s="10" t="s">
        <v>16102</v>
      </c>
      <c r="P558" s="5" t="s">
        <v>14571</v>
      </c>
      <c r="Q558" s="5" t="s">
        <v>14578</v>
      </c>
      <c r="R558" s="5" t="s">
        <v>16103</v>
      </c>
      <c r="T558" s="5" t="s">
        <v>5994</v>
      </c>
      <c r="U558" s="5" t="s">
        <v>14618</v>
      </c>
      <c r="V558" s="5" t="s">
        <v>196</v>
      </c>
    </row>
    <row r="559" spans="1:23" ht="12.5">
      <c r="A559" s="5">
        <v>91063</v>
      </c>
      <c r="B559" s="5" t="s">
        <v>4906</v>
      </c>
      <c r="C559" s="5">
        <v>573183607759</v>
      </c>
      <c r="D559" s="5">
        <v>95</v>
      </c>
      <c r="E559" s="5" t="s">
        <v>42</v>
      </c>
      <c r="F559" s="5" t="s">
        <v>33</v>
      </c>
      <c r="G559" s="5" t="s">
        <v>4906</v>
      </c>
      <c r="H559" s="5" t="s">
        <v>34</v>
      </c>
      <c r="I559" s="5">
        <v>3183607759</v>
      </c>
      <c r="J559" s="12">
        <v>46037</v>
      </c>
      <c r="K559" s="11">
        <v>0</v>
      </c>
      <c r="M559" s="10" t="s">
        <v>14627</v>
      </c>
      <c r="N559" s="12">
        <v>46037.405383356483</v>
      </c>
      <c r="O559" s="10" t="s">
        <v>14773</v>
      </c>
      <c r="P559" s="5" t="s">
        <v>14571</v>
      </c>
      <c r="Q559" s="5" t="s">
        <v>14572</v>
      </c>
      <c r="R559" s="5" t="s">
        <v>16104</v>
      </c>
      <c r="T559" s="5" t="s">
        <v>14574</v>
      </c>
      <c r="U559" s="5" t="s">
        <v>33</v>
      </c>
      <c r="V559" s="5" t="s">
        <v>67</v>
      </c>
      <c r="W559" s="5" t="s">
        <v>525</v>
      </c>
    </row>
    <row r="560" spans="1:23" ht="12.5">
      <c r="A560" s="5">
        <v>91064</v>
      </c>
      <c r="B560" s="5" t="s">
        <v>6160</v>
      </c>
      <c r="C560" s="5">
        <v>573105190535</v>
      </c>
      <c r="D560" s="5">
        <v>95</v>
      </c>
      <c r="E560" s="5" t="s">
        <v>42</v>
      </c>
      <c r="F560" s="5" t="s">
        <v>886</v>
      </c>
      <c r="G560" s="5" t="s">
        <v>6157</v>
      </c>
      <c r="H560" s="5" t="s">
        <v>6158</v>
      </c>
      <c r="I560" s="5">
        <v>3105190535</v>
      </c>
      <c r="J560" s="12">
        <v>46037</v>
      </c>
      <c r="K560" s="11">
        <v>0.45833333333212067</v>
      </c>
      <c r="M560" s="10" t="s">
        <v>16105</v>
      </c>
      <c r="N560" s="12">
        <v>46037.414099895832</v>
      </c>
      <c r="O560" s="10" t="s">
        <v>15309</v>
      </c>
      <c r="P560" s="5" t="s">
        <v>14571</v>
      </c>
      <c r="Q560" s="5" t="s">
        <v>14572</v>
      </c>
      <c r="R560" s="5" t="s">
        <v>16106</v>
      </c>
      <c r="T560" s="5" t="s">
        <v>5994</v>
      </c>
      <c r="U560" s="5" t="s">
        <v>14618</v>
      </c>
      <c r="V560" s="5" t="s">
        <v>67</v>
      </c>
      <c r="W560" s="5" t="s">
        <v>6161</v>
      </c>
    </row>
    <row r="561" spans="1:23" ht="12.5">
      <c r="A561" s="5">
        <v>91065</v>
      </c>
      <c r="B561" s="5" t="s">
        <v>13189</v>
      </c>
      <c r="C561" s="5">
        <v>573046426864</v>
      </c>
      <c r="D561" s="5">
        <v>31</v>
      </c>
      <c r="E561" s="5" t="s">
        <v>375</v>
      </c>
      <c r="F561" s="5" t="s">
        <v>103</v>
      </c>
      <c r="G561" s="5" t="s">
        <v>6163</v>
      </c>
      <c r="H561" s="5" t="s">
        <v>6164</v>
      </c>
      <c r="I561" s="5" t="s">
        <v>6165</v>
      </c>
      <c r="J561" s="12">
        <v>46037</v>
      </c>
      <c r="K561" s="11">
        <v>0.4694444444430701</v>
      </c>
      <c r="M561" s="10" t="s">
        <v>14627</v>
      </c>
      <c r="N561" s="12">
        <v>46037.416275416668</v>
      </c>
      <c r="O561" s="10" t="s">
        <v>16107</v>
      </c>
      <c r="P561" s="5" t="s">
        <v>14571</v>
      </c>
      <c r="Q561" s="5" t="s">
        <v>14578</v>
      </c>
      <c r="R561" s="5" t="s">
        <v>16108</v>
      </c>
      <c r="T561" s="5" t="s">
        <v>5994</v>
      </c>
      <c r="U561" s="5" t="s">
        <v>14593</v>
      </c>
      <c r="V561" s="5" t="s">
        <v>67</v>
      </c>
      <c r="W561" s="5" t="s">
        <v>6167</v>
      </c>
    </row>
    <row r="562" spans="1:23" ht="12.5">
      <c r="A562" s="5">
        <v>91066</v>
      </c>
      <c r="B562" s="5" t="s">
        <v>13361</v>
      </c>
      <c r="C562" s="5">
        <v>573234155972</v>
      </c>
      <c r="D562" s="5" t="s">
        <v>14589</v>
      </c>
      <c r="E562" s="5" t="s">
        <v>6171</v>
      </c>
      <c r="G562" s="5" t="s">
        <v>6169</v>
      </c>
      <c r="H562" s="5" t="s">
        <v>6170</v>
      </c>
      <c r="I562" s="5"/>
      <c r="J562" s="12">
        <v>46039</v>
      </c>
      <c r="K562" s="11">
        <v>0.41666666666787933</v>
      </c>
      <c r="M562" s="10" t="s">
        <v>16109</v>
      </c>
      <c r="N562" s="12">
        <v>46037.413098773148</v>
      </c>
      <c r="O562" s="10" t="s">
        <v>15684</v>
      </c>
      <c r="P562" s="5" t="s">
        <v>14571</v>
      </c>
      <c r="Q562" s="5" t="s">
        <v>14612</v>
      </c>
      <c r="R562" s="5" t="s">
        <v>16110</v>
      </c>
      <c r="T562" s="5" t="s">
        <v>5994</v>
      </c>
      <c r="V562" s="5" t="s">
        <v>67</v>
      </c>
      <c r="W562" s="5" t="s">
        <v>6173</v>
      </c>
    </row>
    <row r="563" spans="1:23" ht="12.5">
      <c r="A563" s="5">
        <v>91067</v>
      </c>
      <c r="B563" s="5" t="s">
        <v>6175</v>
      </c>
      <c r="C563" s="5"/>
      <c r="D563" s="5">
        <v>29</v>
      </c>
      <c r="E563" s="5" t="s">
        <v>309</v>
      </c>
      <c r="F563" s="5" t="s">
        <v>33</v>
      </c>
      <c r="G563" s="5" t="s">
        <v>6175</v>
      </c>
      <c r="H563" s="5" t="s">
        <v>34</v>
      </c>
      <c r="I563" s="5" t="s">
        <v>6176</v>
      </c>
      <c r="J563" s="12">
        <v>46037</v>
      </c>
      <c r="K563" s="11">
        <v>0</v>
      </c>
      <c r="M563" s="10" t="s">
        <v>14585</v>
      </c>
      <c r="N563" s="12">
        <v>46037.441273391203</v>
      </c>
      <c r="O563" s="10" t="s">
        <v>16111</v>
      </c>
      <c r="P563" s="5" t="s">
        <v>14571</v>
      </c>
      <c r="Q563" s="5" t="s">
        <v>14612</v>
      </c>
      <c r="R563" s="5" t="s">
        <v>16112</v>
      </c>
      <c r="T563" s="5" t="s">
        <v>14574</v>
      </c>
      <c r="U563" s="5" t="s">
        <v>33</v>
      </c>
      <c r="V563" s="5" t="s">
        <v>37</v>
      </c>
      <c r="W563" s="5" t="s">
        <v>6177</v>
      </c>
    </row>
    <row r="564" spans="1:23" ht="12.5">
      <c r="A564" s="5">
        <v>91068</v>
      </c>
      <c r="B564" s="5" t="s">
        <v>6179</v>
      </c>
      <c r="C564" s="5">
        <v>578717222</v>
      </c>
      <c r="D564" s="5">
        <v>67</v>
      </c>
      <c r="E564" s="5" t="s">
        <v>542</v>
      </c>
      <c r="F564" s="5" t="s">
        <v>33</v>
      </c>
      <c r="G564" s="5" t="s">
        <v>6179</v>
      </c>
      <c r="H564" s="5" t="s">
        <v>34</v>
      </c>
      <c r="I564" s="5">
        <v>8717222</v>
      </c>
      <c r="J564" s="12">
        <v>46037</v>
      </c>
      <c r="K564" s="11">
        <v>0</v>
      </c>
      <c r="M564" s="10" t="s">
        <v>14646</v>
      </c>
      <c r="N564" s="12">
        <v>46037.451706678243</v>
      </c>
      <c r="O564" s="10" t="s">
        <v>16113</v>
      </c>
      <c r="P564" s="5" t="s">
        <v>14571</v>
      </c>
      <c r="Q564" s="5" t="s">
        <v>14578</v>
      </c>
      <c r="R564" s="5" t="s">
        <v>16114</v>
      </c>
      <c r="T564" s="5" t="s">
        <v>14574</v>
      </c>
      <c r="U564" s="5" t="s">
        <v>33</v>
      </c>
      <c r="V564" s="5" t="s">
        <v>67</v>
      </c>
    </row>
    <row r="565" spans="1:23" ht="12.5">
      <c r="A565" s="5">
        <v>91069</v>
      </c>
      <c r="B565" s="5" t="s">
        <v>16115</v>
      </c>
      <c r="C565" s="10" t="s">
        <v>16116</v>
      </c>
      <c r="D565" s="5" t="s">
        <v>16117</v>
      </c>
      <c r="E565" s="5" t="s">
        <v>6183</v>
      </c>
      <c r="F565" s="5" t="s">
        <v>229</v>
      </c>
      <c r="G565" s="5" t="s">
        <v>16118</v>
      </c>
      <c r="H565" s="5" t="s">
        <v>6182</v>
      </c>
      <c r="I565" s="5">
        <v>3146071167</v>
      </c>
      <c r="J565" s="12">
        <v>46038</v>
      </c>
      <c r="K565" s="11">
        <v>0</v>
      </c>
      <c r="M565" s="10" t="s">
        <v>16119</v>
      </c>
      <c r="N565" s="12">
        <v>46037</v>
      </c>
      <c r="O565" s="10" t="s">
        <v>15838</v>
      </c>
      <c r="P565" s="5" t="s">
        <v>14571</v>
      </c>
      <c r="Q565" s="5" t="s">
        <v>14578</v>
      </c>
      <c r="R565" s="5" t="s">
        <v>16120</v>
      </c>
      <c r="T565" s="5" t="s">
        <v>5994</v>
      </c>
      <c r="U565" s="5"/>
      <c r="V565" s="5" t="s">
        <v>67</v>
      </c>
    </row>
    <row r="566" spans="1:23" ht="12.5">
      <c r="A566" s="5">
        <v>91070</v>
      </c>
      <c r="B566" s="5" t="s">
        <v>6187</v>
      </c>
      <c r="C566" s="5">
        <v>573044625359</v>
      </c>
      <c r="D566" s="5">
        <v>30</v>
      </c>
      <c r="E566" s="5" t="s">
        <v>156</v>
      </c>
      <c r="F566" s="5" t="s">
        <v>33</v>
      </c>
      <c r="G566" s="5" t="s">
        <v>6187</v>
      </c>
      <c r="H566" s="5" t="s">
        <v>34</v>
      </c>
      <c r="I566" s="5">
        <v>3044625359</v>
      </c>
      <c r="J566" s="12">
        <v>46038</v>
      </c>
      <c r="K566" s="11">
        <v>0.375</v>
      </c>
      <c r="M566" s="10" t="s">
        <v>14585</v>
      </c>
      <c r="N566" s="12">
        <v>46037.450494027777</v>
      </c>
      <c r="O566" s="10" t="s">
        <v>14891</v>
      </c>
      <c r="P566" s="5" t="s">
        <v>14571</v>
      </c>
      <c r="Q566" s="5" t="s">
        <v>14612</v>
      </c>
      <c r="R566" s="5" t="s">
        <v>16121</v>
      </c>
      <c r="T566" s="5" t="s">
        <v>14574</v>
      </c>
      <c r="U566" s="5" t="s">
        <v>33</v>
      </c>
      <c r="V566" s="5" t="s">
        <v>2438</v>
      </c>
    </row>
    <row r="567" spans="1:23" ht="12.5">
      <c r="A567" s="5">
        <v>91071</v>
      </c>
      <c r="B567" s="5" t="s">
        <v>14622</v>
      </c>
      <c r="C567" s="5">
        <v>573015669546</v>
      </c>
      <c r="D567" s="5">
        <v>95</v>
      </c>
      <c r="E567" s="5" t="s">
        <v>42</v>
      </c>
      <c r="G567" s="5" t="s">
        <v>6190</v>
      </c>
      <c r="H567" s="5" t="s">
        <v>5005</v>
      </c>
      <c r="J567" s="12">
        <v>46038</v>
      </c>
      <c r="K567" s="11">
        <v>0</v>
      </c>
      <c r="M567" s="10" t="s">
        <v>2686</v>
      </c>
      <c r="N567" s="12">
        <v>46037.471279143516</v>
      </c>
      <c r="O567" s="10" t="s">
        <v>14886</v>
      </c>
      <c r="P567" s="5" t="s">
        <v>14571</v>
      </c>
      <c r="Q567" s="5" t="s">
        <v>14612</v>
      </c>
      <c r="R567" s="5" t="s">
        <v>16122</v>
      </c>
      <c r="T567" s="5" t="s">
        <v>5994</v>
      </c>
      <c r="V567" s="5" t="s">
        <v>43</v>
      </c>
    </row>
    <row r="568" spans="1:23" ht="12.5">
      <c r="A568" s="5">
        <v>91072</v>
      </c>
      <c r="B568" s="5" t="s">
        <v>16123</v>
      </c>
      <c r="C568" s="5">
        <v>573014679879</v>
      </c>
      <c r="D568" s="5">
        <v>26</v>
      </c>
      <c r="E568" s="5" t="s">
        <v>422</v>
      </c>
      <c r="F568" s="5" t="s">
        <v>6194</v>
      </c>
      <c r="G568" s="5" t="s">
        <v>6193</v>
      </c>
      <c r="H568" s="5" t="s">
        <v>6195</v>
      </c>
      <c r="I568" s="5">
        <v>3014679879</v>
      </c>
      <c r="J568" s="12">
        <v>46037</v>
      </c>
      <c r="K568" s="11">
        <v>0</v>
      </c>
      <c r="M568" s="10" t="s">
        <v>14576</v>
      </c>
      <c r="N568" s="12">
        <v>46037.467809120368</v>
      </c>
      <c r="O568" s="10" t="s">
        <v>16124</v>
      </c>
      <c r="P568" s="5" t="s">
        <v>14571</v>
      </c>
      <c r="Q568" s="5" t="s">
        <v>14572</v>
      </c>
      <c r="R568" s="5" t="s">
        <v>16125</v>
      </c>
      <c r="T568" s="5" t="s">
        <v>5994</v>
      </c>
      <c r="U568" s="5" t="s">
        <v>14580</v>
      </c>
      <c r="V568" s="5" t="s">
        <v>67</v>
      </c>
    </row>
    <row r="569" spans="1:23" ht="12.5">
      <c r="A569" s="5">
        <v>91073</v>
      </c>
      <c r="B569" s="5" t="s">
        <v>16126</v>
      </c>
      <c r="C569" s="5">
        <v>573205434657</v>
      </c>
      <c r="D569" s="5">
        <v>95</v>
      </c>
      <c r="E569" s="5" t="s">
        <v>42</v>
      </c>
      <c r="F569" s="5" t="s">
        <v>33</v>
      </c>
      <c r="G569" s="5" t="s">
        <v>6200</v>
      </c>
      <c r="H569" s="5" t="s">
        <v>34</v>
      </c>
      <c r="J569" s="12">
        <v>46037</v>
      </c>
      <c r="K569" s="11">
        <v>0</v>
      </c>
      <c r="M569" s="10" t="s">
        <v>16127</v>
      </c>
      <c r="N569" s="12">
        <v>46045.482986111107</v>
      </c>
      <c r="O569" s="10" t="s">
        <v>14979</v>
      </c>
      <c r="P569" s="5" t="s">
        <v>14571</v>
      </c>
      <c r="Q569" s="5" t="s">
        <v>14572</v>
      </c>
      <c r="R569" s="5" t="s">
        <v>16128</v>
      </c>
      <c r="T569" s="5" t="s">
        <v>14574</v>
      </c>
      <c r="U569" s="5" t="s">
        <v>33</v>
      </c>
      <c r="V569" s="5" t="s">
        <v>67</v>
      </c>
      <c r="W569" s="5" t="s">
        <v>525</v>
      </c>
    </row>
    <row r="570" spans="1:23" ht="12.5">
      <c r="A570" s="5">
        <v>91074</v>
      </c>
      <c r="B570" s="5" t="s">
        <v>6202</v>
      </c>
      <c r="C570" s="10" t="s">
        <v>16129</v>
      </c>
      <c r="D570" s="5">
        <v>26</v>
      </c>
      <c r="E570" s="5" t="s">
        <v>422</v>
      </c>
      <c r="F570" s="5" t="s">
        <v>103</v>
      </c>
      <c r="G570" s="5" t="s">
        <v>6202</v>
      </c>
      <c r="H570" s="5" t="s">
        <v>6203</v>
      </c>
      <c r="I570" s="5">
        <v>3242829109</v>
      </c>
      <c r="J570" s="12">
        <v>46037</v>
      </c>
      <c r="K570" s="11">
        <v>0</v>
      </c>
      <c r="M570" s="10" t="s">
        <v>15384</v>
      </c>
      <c r="N570" s="12">
        <v>46037</v>
      </c>
      <c r="O570" s="10" t="s">
        <v>14971</v>
      </c>
      <c r="P570" s="5" t="s">
        <v>14571</v>
      </c>
      <c r="Q570" s="5" t="s">
        <v>14578</v>
      </c>
      <c r="R570" s="5" t="s">
        <v>16130</v>
      </c>
      <c r="T570" s="5" t="s">
        <v>5994</v>
      </c>
      <c r="U570" s="5" t="s">
        <v>14593</v>
      </c>
      <c r="V570" s="5" t="s">
        <v>67</v>
      </c>
      <c r="W570" s="5" t="s">
        <v>6205</v>
      </c>
    </row>
    <row r="571" spans="1:23" ht="12.5">
      <c r="A571" s="5">
        <v>91075</v>
      </c>
      <c r="B571" s="5" t="s">
        <v>5972</v>
      </c>
      <c r="C571" s="5">
        <v>573164733317</v>
      </c>
      <c r="D571" s="5">
        <v>95</v>
      </c>
      <c r="E571" s="5" t="s">
        <v>42</v>
      </c>
      <c r="F571" s="5" t="s">
        <v>33</v>
      </c>
      <c r="G571" s="5" t="s">
        <v>5972</v>
      </c>
      <c r="H571" s="5" t="s">
        <v>34</v>
      </c>
      <c r="I571" s="5">
        <v>3164733317</v>
      </c>
      <c r="J571" s="12">
        <v>46037</v>
      </c>
      <c r="K571" s="11">
        <v>3.4722222226264421E-3</v>
      </c>
      <c r="M571" s="10" t="s">
        <v>15301</v>
      </c>
      <c r="N571" s="12">
        <v>46037.51062862268</v>
      </c>
      <c r="O571" s="10" t="s">
        <v>16065</v>
      </c>
      <c r="P571" s="5" t="s">
        <v>14571</v>
      </c>
      <c r="Q571" s="5" t="s">
        <v>14612</v>
      </c>
      <c r="R571" s="5" t="s">
        <v>16131</v>
      </c>
      <c r="T571" s="5" t="s">
        <v>14574</v>
      </c>
      <c r="U571" s="5" t="s">
        <v>33</v>
      </c>
      <c r="V571" s="5" t="s">
        <v>1705</v>
      </c>
      <c r="W571" s="5" t="s">
        <v>6206</v>
      </c>
    </row>
    <row r="572" spans="1:23" ht="12.5">
      <c r="A572" s="5">
        <v>91076</v>
      </c>
      <c r="B572" s="5" t="s">
        <v>16132</v>
      </c>
      <c r="C572" s="5">
        <v>573204122777</v>
      </c>
      <c r="D572" s="5">
        <v>37</v>
      </c>
      <c r="E572" s="5" t="s">
        <v>1696</v>
      </c>
      <c r="G572" s="5" t="s">
        <v>4302</v>
      </c>
      <c r="H572" s="5" t="s">
        <v>6209</v>
      </c>
      <c r="J572" s="12">
        <v>46037</v>
      </c>
      <c r="K572" s="11">
        <v>0.625</v>
      </c>
      <c r="M572" s="10" t="s">
        <v>15002</v>
      </c>
      <c r="N572" s="12">
        <v>46037.518878784722</v>
      </c>
      <c r="O572" s="10" t="s">
        <v>14864</v>
      </c>
      <c r="P572" s="5" t="s">
        <v>14571</v>
      </c>
      <c r="Q572" s="5" t="s">
        <v>14572</v>
      </c>
      <c r="R572" s="5" t="s">
        <v>16133</v>
      </c>
      <c r="T572" s="5" t="s">
        <v>5994</v>
      </c>
      <c r="V572" s="5" t="s">
        <v>83</v>
      </c>
    </row>
    <row r="573" spans="1:23" ht="12.5">
      <c r="A573" s="5">
        <v>91077</v>
      </c>
      <c r="B573" s="5" t="s">
        <v>6212</v>
      </c>
      <c r="C573" s="5">
        <v>573128485110</v>
      </c>
      <c r="D573" s="5">
        <v>29</v>
      </c>
      <c r="E573" s="5" t="s">
        <v>309</v>
      </c>
      <c r="F573" s="5" t="s">
        <v>33</v>
      </c>
      <c r="G573" s="5" t="s">
        <v>6212</v>
      </c>
      <c r="H573" s="5" t="s">
        <v>34</v>
      </c>
      <c r="I573" s="5">
        <v>3128485110</v>
      </c>
      <c r="J573" s="12">
        <v>46037</v>
      </c>
      <c r="K573" s="11">
        <v>0</v>
      </c>
      <c r="M573" s="10" t="s">
        <v>14850</v>
      </c>
      <c r="N573" s="12">
        <v>46037.560570092595</v>
      </c>
      <c r="O573" s="10" t="s">
        <v>16134</v>
      </c>
      <c r="P573" s="5" t="s">
        <v>14571</v>
      </c>
      <c r="Q573" s="5" t="s">
        <v>14572</v>
      </c>
      <c r="R573" s="5" t="s">
        <v>16135</v>
      </c>
      <c r="T573" s="5" t="s">
        <v>14574</v>
      </c>
      <c r="U573" s="5" t="s">
        <v>33</v>
      </c>
      <c r="V573" s="5" t="s">
        <v>43</v>
      </c>
      <c r="W573" s="5" t="s">
        <v>6213</v>
      </c>
    </row>
    <row r="574" spans="1:23" ht="12.5">
      <c r="A574" s="5">
        <v>91078</v>
      </c>
      <c r="B574" s="5" t="s">
        <v>16136</v>
      </c>
      <c r="C574" s="5">
        <v>573023169038</v>
      </c>
      <c r="D574" s="5">
        <v>45</v>
      </c>
      <c r="E574" s="5" t="s">
        <v>210</v>
      </c>
      <c r="F574" s="5" t="s">
        <v>726</v>
      </c>
      <c r="G574" s="5" t="s">
        <v>6216</v>
      </c>
      <c r="H574" s="5" t="s">
        <v>6217</v>
      </c>
      <c r="I574" s="5">
        <v>3022666926</v>
      </c>
      <c r="J574" s="12">
        <v>46037</v>
      </c>
      <c r="K574" s="11">
        <v>0.625</v>
      </c>
      <c r="M574" s="10" t="s">
        <v>16137</v>
      </c>
      <c r="N574" s="12">
        <v>46037.55400679398</v>
      </c>
      <c r="O574" s="10" t="s">
        <v>16138</v>
      </c>
      <c r="P574" s="5" t="s">
        <v>14571</v>
      </c>
      <c r="Q574" s="5" t="s">
        <v>14578</v>
      </c>
      <c r="R574" s="5" t="s">
        <v>16139</v>
      </c>
      <c r="T574" s="5" t="s">
        <v>5994</v>
      </c>
      <c r="U574" s="5" t="s">
        <v>14618</v>
      </c>
      <c r="V574" s="5" t="s">
        <v>180</v>
      </c>
    </row>
    <row r="575" spans="1:23" ht="12.5">
      <c r="A575" s="5">
        <v>91079</v>
      </c>
      <c r="B575" s="5" t="s">
        <v>16140</v>
      </c>
      <c r="C575" s="5">
        <v>573118892998</v>
      </c>
      <c r="D575" s="5">
        <v>29</v>
      </c>
      <c r="E575" s="5" t="s">
        <v>309</v>
      </c>
      <c r="F575" s="5" t="s">
        <v>124</v>
      </c>
      <c r="G575" s="5" t="s">
        <v>6221</v>
      </c>
      <c r="H575" s="5" t="s">
        <v>6222</v>
      </c>
      <c r="I575" s="5">
        <v>3118892998</v>
      </c>
      <c r="J575" s="12">
        <v>46037</v>
      </c>
      <c r="K575" s="11">
        <v>0.625</v>
      </c>
      <c r="M575" s="10" t="s">
        <v>14705</v>
      </c>
      <c r="N575" s="12">
        <v>46037.550902164352</v>
      </c>
      <c r="O575" s="10" t="s">
        <v>16141</v>
      </c>
      <c r="P575" s="5" t="s">
        <v>14571</v>
      </c>
      <c r="Q575" s="5" t="s">
        <v>14612</v>
      </c>
      <c r="R575" s="5" t="s">
        <v>16142</v>
      </c>
      <c r="T575" s="5" t="s">
        <v>5994</v>
      </c>
      <c r="U575" s="5" t="s">
        <v>14775</v>
      </c>
      <c r="V575" s="5" t="s">
        <v>196</v>
      </c>
    </row>
    <row r="576" spans="1:23" ht="12.5">
      <c r="A576" s="5">
        <v>91080</v>
      </c>
      <c r="B576" s="5" t="s">
        <v>16143</v>
      </c>
      <c r="C576" s="5">
        <v>573105279112</v>
      </c>
      <c r="D576" s="5">
        <v>21</v>
      </c>
      <c r="E576" s="5" t="s">
        <v>330</v>
      </c>
      <c r="F576" s="5" t="s">
        <v>103</v>
      </c>
      <c r="G576" s="5" t="s">
        <v>6227</v>
      </c>
      <c r="H576" s="5" t="s">
        <v>6228</v>
      </c>
      <c r="I576" s="5"/>
      <c r="J576" s="12">
        <v>46038</v>
      </c>
      <c r="K576" s="11">
        <v>0.41666666666787933</v>
      </c>
      <c r="M576" s="10" t="s">
        <v>14777</v>
      </c>
      <c r="N576" s="12">
        <v>46037.577223425928</v>
      </c>
      <c r="O576" s="10" t="s">
        <v>15539</v>
      </c>
      <c r="P576" s="5" t="s">
        <v>14571</v>
      </c>
      <c r="Q576" s="5" t="s">
        <v>14578</v>
      </c>
      <c r="R576" s="5" t="s">
        <v>16144</v>
      </c>
      <c r="T576" s="5" t="s">
        <v>5994</v>
      </c>
      <c r="U576" s="5" t="s">
        <v>14593</v>
      </c>
      <c r="V576" s="5" t="s">
        <v>67</v>
      </c>
      <c r="W576" s="5" t="s">
        <v>6231</v>
      </c>
    </row>
    <row r="577" spans="1:23" ht="12.5">
      <c r="A577" s="5">
        <v>91081</v>
      </c>
      <c r="B577" s="5" t="s">
        <v>6234</v>
      </c>
      <c r="C577" s="5">
        <v>573127248481</v>
      </c>
      <c r="D577" s="5">
        <v>95</v>
      </c>
      <c r="E577" s="5" t="s">
        <v>42</v>
      </c>
      <c r="F577" s="5" t="s">
        <v>33</v>
      </c>
      <c r="G577" s="5" t="s">
        <v>6234</v>
      </c>
      <c r="H577" s="5" t="s">
        <v>34</v>
      </c>
      <c r="I577" s="5">
        <v>3127248481</v>
      </c>
      <c r="J577" s="12">
        <v>46037</v>
      </c>
      <c r="K577" s="11">
        <v>0</v>
      </c>
      <c r="M577" s="10" t="s">
        <v>16145</v>
      </c>
      <c r="N577" s="12">
        <v>46037.588593935187</v>
      </c>
      <c r="O577" s="10" t="s">
        <v>15636</v>
      </c>
      <c r="P577" s="5" t="s">
        <v>14571</v>
      </c>
      <c r="Q577" s="5" t="s">
        <v>14572</v>
      </c>
      <c r="R577" s="5" t="s">
        <v>16146</v>
      </c>
      <c r="T577" s="5" t="s">
        <v>14574</v>
      </c>
      <c r="U577" s="5" t="s">
        <v>33</v>
      </c>
      <c r="V577" s="5" t="s">
        <v>1705</v>
      </c>
    </row>
    <row r="578" spans="1:23" ht="12.5">
      <c r="A578" s="5">
        <v>91082</v>
      </c>
      <c r="B578" s="5" t="s">
        <v>16147</v>
      </c>
      <c r="C578" s="5">
        <v>573014728290</v>
      </c>
      <c r="D578" s="5">
        <v>30</v>
      </c>
      <c r="E578" s="5" t="s">
        <v>156</v>
      </c>
      <c r="F578" s="5" t="s">
        <v>307</v>
      </c>
      <c r="G578" s="5" t="s">
        <v>6236</v>
      </c>
      <c r="H578" s="5" t="s">
        <v>6237</v>
      </c>
      <c r="I578" s="5">
        <v>3014728290</v>
      </c>
      <c r="J578" s="12">
        <v>46037</v>
      </c>
      <c r="K578" s="11">
        <v>0.64583333333212067</v>
      </c>
      <c r="M578" s="10" t="s">
        <v>14627</v>
      </c>
      <c r="N578" s="12">
        <v>46037.590080995375</v>
      </c>
      <c r="O578" s="10" t="s">
        <v>16148</v>
      </c>
      <c r="P578" s="5" t="s">
        <v>14571</v>
      </c>
      <c r="Q578" s="5" t="s">
        <v>14612</v>
      </c>
      <c r="R578" s="5" t="s">
        <v>16149</v>
      </c>
      <c r="T578" s="5" t="s">
        <v>5994</v>
      </c>
      <c r="U578" s="5" t="s">
        <v>14618</v>
      </c>
      <c r="V578" s="5" t="s">
        <v>83</v>
      </c>
      <c r="W578" s="5" t="s">
        <v>6239</v>
      </c>
    </row>
    <row r="579" spans="1:23" ht="12.5">
      <c r="A579" s="5">
        <v>91083</v>
      </c>
      <c r="B579" s="5" t="s">
        <v>12073</v>
      </c>
      <c r="C579" s="5">
        <v>573166212722</v>
      </c>
      <c r="D579" s="5">
        <v>53</v>
      </c>
      <c r="E579" s="5" t="s">
        <v>75</v>
      </c>
      <c r="F579" s="5" t="s">
        <v>185</v>
      </c>
      <c r="G579" s="5" t="s">
        <v>6240</v>
      </c>
      <c r="H579" s="5" t="s">
        <v>6241</v>
      </c>
      <c r="I579" s="5">
        <v>3166212722</v>
      </c>
      <c r="J579" s="12">
        <v>46037</v>
      </c>
      <c r="K579" s="11">
        <v>0.66666666666787933</v>
      </c>
      <c r="M579" s="10" t="s">
        <v>14850</v>
      </c>
      <c r="N579" s="12">
        <v>46037.651848217589</v>
      </c>
      <c r="O579" s="10" t="s">
        <v>16150</v>
      </c>
      <c r="P579" s="5" t="s">
        <v>14571</v>
      </c>
      <c r="Q579" s="5" t="s">
        <v>14572</v>
      </c>
      <c r="R579" s="5" t="s">
        <v>16151</v>
      </c>
      <c r="T579" s="5" t="s">
        <v>5994</v>
      </c>
      <c r="U579" s="5" t="s">
        <v>14580</v>
      </c>
      <c r="V579" s="5" t="s">
        <v>196</v>
      </c>
    </row>
    <row r="580" spans="1:23" ht="12.5">
      <c r="A580" s="5">
        <v>91084</v>
      </c>
      <c r="B580" s="5" t="s">
        <v>6244</v>
      </c>
      <c r="C580" s="5">
        <v>573003900766</v>
      </c>
      <c r="D580" s="5">
        <v>52</v>
      </c>
      <c r="E580" s="5" t="s">
        <v>178</v>
      </c>
      <c r="F580" s="5" t="s">
        <v>33</v>
      </c>
      <c r="G580" s="5" t="s">
        <v>6244</v>
      </c>
      <c r="H580" s="5" t="s">
        <v>34</v>
      </c>
      <c r="I580" s="5">
        <v>3003900766</v>
      </c>
      <c r="J580" s="12">
        <v>46037</v>
      </c>
      <c r="K580" s="11">
        <v>0</v>
      </c>
      <c r="M580" s="10" t="s">
        <v>15161</v>
      </c>
      <c r="N580" s="12">
        <v>46037.673826365739</v>
      </c>
      <c r="O580" s="10" t="s">
        <v>16152</v>
      </c>
      <c r="P580" s="5" t="s">
        <v>14571</v>
      </c>
      <c r="Q580" s="5" t="s">
        <v>14612</v>
      </c>
      <c r="R580" s="5" t="s">
        <v>16153</v>
      </c>
      <c r="T580" s="5" t="s">
        <v>14574</v>
      </c>
      <c r="U580" s="5" t="s">
        <v>33</v>
      </c>
      <c r="V580" s="5" t="s">
        <v>43</v>
      </c>
    </row>
    <row r="581" spans="1:23" ht="12.5">
      <c r="A581" s="5">
        <v>91085</v>
      </c>
      <c r="B581" s="5" t="s">
        <v>16154</v>
      </c>
      <c r="C581" s="5">
        <v>573153490919</v>
      </c>
      <c r="D581" s="5">
        <v>43</v>
      </c>
      <c r="E581" s="5" t="s">
        <v>679</v>
      </c>
      <c r="F581" s="5" t="s">
        <v>2865</v>
      </c>
      <c r="G581" s="5" t="s">
        <v>6247</v>
      </c>
      <c r="H581" s="5" t="s">
        <v>6248</v>
      </c>
      <c r="I581" s="5" t="s">
        <v>6249</v>
      </c>
      <c r="J581" s="12">
        <v>46038</v>
      </c>
      <c r="K581" s="11">
        <v>0.375</v>
      </c>
      <c r="M581" s="10" t="s">
        <v>16155</v>
      </c>
      <c r="N581" s="12">
        <v>46037.68591487268</v>
      </c>
      <c r="O581" s="10" t="s">
        <v>15360</v>
      </c>
      <c r="P581" s="5" t="s">
        <v>14571</v>
      </c>
      <c r="Q581" s="5" t="s">
        <v>14578</v>
      </c>
      <c r="R581" s="5" t="s">
        <v>16156</v>
      </c>
      <c r="T581" s="5" t="s">
        <v>5994</v>
      </c>
      <c r="U581" s="5" t="s">
        <v>14775</v>
      </c>
      <c r="V581" s="5" t="s">
        <v>67</v>
      </c>
      <c r="W581" s="5" t="s">
        <v>6251</v>
      </c>
    </row>
    <row r="582" spans="1:23" ht="12.5">
      <c r="A582" s="5">
        <v>91086</v>
      </c>
      <c r="B582" s="5" t="s">
        <v>16157</v>
      </c>
      <c r="C582" s="5">
        <v>573014550986</v>
      </c>
      <c r="D582" s="5">
        <v>29</v>
      </c>
      <c r="E582" s="5" t="s">
        <v>309</v>
      </c>
      <c r="F582" s="5" t="s">
        <v>103</v>
      </c>
      <c r="G582" s="5" t="s">
        <v>6253</v>
      </c>
      <c r="H582" s="5" t="s">
        <v>6254</v>
      </c>
      <c r="I582" s="5">
        <v>3002385894</v>
      </c>
      <c r="J582" s="12">
        <v>46038</v>
      </c>
      <c r="K582" s="11">
        <v>0</v>
      </c>
      <c r="M582" s="10" t="s">
        <v>15064</v>
      </c>
      <c r="N582" s="12">
        <v>46037.683322488425</v>
      </c>
      <c r="O582" s="10" t="s">
        <v>16034</v>
      </c>
      <c r="P582" s="5" t="s">
        <v>14571</v>
      </c>
      <c r="Q582" s="5" t="s">
        <v>14572</v>
      </c>
      <c r="R582" s="5" t="s">
        <v>16158</v>
      </c>
      <c r="T582" s="5" t="s">
        <v>5994</v>
      </c>
      <c r="U582" s="5" t="s">
        <v>14593</v>
      </c>
      <c r="V582" s="5" t="s">
        <v>67</v>
      </c>
      <c r="W582" s="5" t="s">
        <v>6257</v>
      </c>
    </row>
    <row r="583" spans="1:23" ht="12.5">
      <c r="A583" s="5">
        <v>91087</v>
      </c>
      <c r="B583" s="5" t="s">
        <v>6260</v>
      </c>
      <c r="C583" s="5">
        <v>573016616953</v>
      </c>
      <c r="D583" s="5">
        <v>29</v>
      </c>
      <c r="E583" s="5" t="s">
        <v>309</v>
      </c>
      <c r="F583" s="5" t="s">
        <v>33</v>
      </c>
      <c r="G583" s="5" t="s">
        <v>6260</v>
      </c>
      <c r="H583" s="5" t="s">
        <v>34</v>
      </c>
      <c r="I583" s="5">
        <v>3016616953</v>
      </c>
      <c r="J583" s="12">
        <v>46038</v>
      </c>
      <c r="K583" s="11">
        <v>0.33333333333212067</v>
      </c>
      <c r="M583" s="10" t="s">
        <v>14850</v>
      </c>
      <c r="N583" s="12">
        <v>46037.715902268523</v>
      </c>
      <c r="O583" s="10" t="s">
        <v>16159</v>
      </c>
      <c r="P583" s="5" t="s">
        <v>14571</v>
      </c>
      <c r="Q583" s="5" t="s">
        <v>14572</v>
      </c>
      <c r="R583" s="5" t="s">
        <v>16160</v>
      </c>
      <c r="T583" s="5" t="s">
        <v>14574</v>
      </c>
      <c r="U583" s="5" t="s">
        <v>33</v>
      </c>
      <c r="V583" s="5" t="s">
        <v>1705</v>
      </c>
    </row>
    <row r="584" spans="1:23" ht="12.5">
      <c r="A584" s="5">
        <v>91088</v>
      </c>
      <c r="B584" s="5" t="s">
        <v>16161</v>
      </c>
      <c r="C584" s="10" t="s">
        <v>16162</v>
      </c>
      <c r="D584" s="5">
        <v>67</v>
      </c>
      <c r="E584" s="5" t="s">
        <v>542</v>
      </c>
      <c r="F584" s="5" t="s">
        <v>161</v>
      </c>
      <c r="G584" s="5" t="s">
        <v>6264</v>
      </c>
      <c r="H584" s="5" t="s">
        <v>6265</v>
      </c>
      <c r="J584" s="12">
        <v>46038</v>
      </c>
      <c r="K584" s="11">
        <v>0.375</v>
      </c>
      <c r="M584" s="10" t="s">
        <v>14602</v>
      </c>
      <c r="N584" s="12">
        <v>46037</v>
      </c>
      <c r="O584" s="10" t="s">
        <v>15575</v>
      </c>
      <c r="P584" s="5" t="s">
        <v>14571</v>
      </c>
      <c r="Q584" s="5" t="s">
        <v>14572</v>
      </c>
      <c r="R584" s="5" t="s">
        <v>16163</v>
      </c>
      <c r="T584" s="5" t="s">
        <v>5994</v>
      </c>
      <c r="U584" s="5" t="s">
        <v>14593</v>
      </c>
      <c r="V584" s="5" t="s">
        <v>1705</v>
      </c>
      <c r="W584" s="5" t="s">
        <v>6266</v>
      </c>
    </row>
    <row r="585" spans="1:23" ht="12.5">
      <c r="A585" s="5">
        <v>91089</v>
      </c>
      <c r="B585" s="5" t="s">
        <v>6268</v>
      </c>
      <c r="C585" s="5">
        <v>570000</v>
      </c>
      <c r="D585" s="5">
        <v>95</v>
      </c>
      <c r="E585" s="5" t="s">
        <v>42</v>
      </c>
      <c r="F585" s="5" t="s">
        <v>33</v>
      </c>
      <c r="G585" s="5" t="s">
        <v>6268</v>
      </c>
      <c r="H585" s="5" t="s">
        <v>34</v>
      </c>
      <c r="J585" s="12">
        <v>46037</v>
      </c>
      <c r="K585" s="11">
        <v>0</v>
      </c>
      <c r="M585" s="10" t="s">
        <v>2686</v>
      </c>
      <c r="N585" s="12">
        <v>46037.768322847223</v>
      </c>
      <c r="O585" s="10" t="s">
        <v>16164</v>
      </c>
      <c r="P585" s="5" t="s">
        <v>14571</v>
      </c>
      <c r="Q585" s="5" t="s">
        <v>14572</v>
      </c>
      <c r="R585" s="5" t="s">
        <v>16165</v>
      </c>
      <c r="T585" s="5" t="s">
        <v>14574</v>
      </c>
      <c r="U585" s="5" t="s">
        <v>33</v>
      </c>
      <c r="V585" s="5" t="s">
        <v>1705</v>
      </c>
    </row>
    <row r="586" spans="1:23" ht="12.5">
      <c r="A586" s="5">
        <v>91090</v>
      </c>
      <c r="B586" s="5" t="s">
        <v>16166</v>
      </c>
      <c r="C586" s="5">
        <v>5741987931757</v>
      </c>
      <c r="D586" s="5">
        <v>64</v>
      </c>
      <c r="E586" s="5" t="s">
        <v>133</v>
      </c>
      <c r="F586" s="5" t="s">
        <v>33</v>
      </c>
      <c r="G586" s="5" t="s">
        <v>16166</v>
      </c>
      <c r="H586" s="5" t="s">
        <v>34</v>
      </c>
      <c r="I586" s="5">
        <v>41987931757</v>
      </c>
      <c r="J586" s="12">
        <v>46038</v>
      </c>
      <c r="K586" s="11">
        <v>0</v>
      </c>
      <c r="M586" s="10" t="s">
        <v>14646</v>
      </c>
      <c r="N586" s="12">
        <v>46038.291180798609</v>
      </c>
      <c r="O586" s="10" t="s">
        <v>16167</v>
      </c>
      <c r="P586" s="5" t="s">
        <v>14571</v>
      </c>
      <c r="Q586" s="5" t="s">
        <v>14578</v>
      </c>
      <c r="R586" s="5" t="s">
        <v>16168</v>
      </c>
      <c r="T586" s="5" t="s">
        <v>14574</v>
      </c>
      <c r="U586" s="5" t="s">
        <v>33</v>
      </c>
      <c r="V586" s="5" t="s">
        <v>37</v>
      </c>
      <c r="W586" s="5" t="s">
        <v>16169</v>
      </c>
    </row>
    <row r="587" spans="1:23" ht="12.5">
      <c r="A587" s="5">
        <v>91091</v>
      </c>
      <c r="B587" s="5" t="s">
        <v>16170</v>
      </c>
      <c r="C587" s="5">
        <v>573023523898</v>
      </c>
      <c r="D587" s="5">
        <v>50</v>
      </c>
      <c r="E587" s="5" t="s">
        <v>347</v>
      </c>
      <c r="F587" s="5" t="s">
        <v>2880</v>
      </c>
      <c r="G587" s="5" t="s">
        <v>6269</v>
      </c>
      <c r="H587" s="5" t="s">
        <v>6270</v>
      </c>
      <c r="I587" s="5">
        <v>3013174686</v>
      </c>
      <c r="J587" s="12">
        <v>46038</v>
      </c>
      <c r="K587" s="11">
        <v>0.41666666666787933</v>
      </c>
      <c r="M587" s="10" t="s">
        <v>14927</v>
      </c>
      <c r="N587" s="12">
        <v>46038.253968680554</v>
      </c>
      <c r="O587" s="10" t="s">
        <v>16171</v>
      </c>
      <c r="P587" s="5" t="s">
        <v>14571</v>
      </c>
      <c r="Q587" s="5" t="s">
        <v>14612</v>
      </c>
      <c r="R587" s="5" t="s">
        <v>16172</v>
      </c>
      <c r="T587" s="5" t="s">
        <v>5994</v>
      </c>
      <c r="U587" s="5" t="s">
        <v>14691</v>
      </c>
      <c r="V587" s="5" t="s">
        <v>83</v>
      </c>
    </row>
    <row r="588" spans="1:23" ht="12.5">
      <c r="A588" s="5">
        <v>91092</v>
      </c>
      <c r="B588" s="5" t="s">
        <v>5104</v>
      </c>
      <c r="C588" s="5">
        <v>573215896376</v>
      </c>
      <c r="D588" s="5">
        <v>18</v>
      </c>
      <c r="E588" s="5" t="s">
        <v>370</v>
      </c>
      <c r="F588" s="5" t="s">
        <v>5574</v>
      </c>
      <c r="G588" s="5" t="s">
        <v>6273</v>
      </c>
      <c r="H588" s="5" t="s">
        <v>6274</v>
      </c>
      <c r="J588" s="12">
        <v>46038</v>
      </c>
      <c r="K588" s="11">
        <v>0.45833333333212067</v>
      </c>
      <c r="M588" s="10" t="s">
        <v>15235</v>
      </c>
      <c r="N588" s="12">
        <v>46038.320513553241</v>
      </c>
      <c r="O588" s="10" t="s">
        <v>16173</v>
      </c>
      <c r="P588" s="5" t="s">
        <v>14571</v>
      </c>
      <c r="Q588" s="5" t="s">
        <v>14572</v>
      </c>
      <c r="R588" s="5" t="s">
        <v>16174</v>
      </c>
      <c r="T588" s="5" t="s">
        <v>5994</v>
      </c>
      <c r="U588" s="5" t="s">
        <v>14593</v>
      </c>
      <c r="V588" s="5" t="s">
        <v>83</v>
      </c>
      <c r="W588" s="5" t="s">
        <v>6275</v>
      </c>
    </row>
    <row r="589" spans="1:23" ht="12.5">
      <c r="A589" s="5">
        <v>91093</v>
      </c>
      <c r="B589" s="5" t="s">
        <v>16175</v>
      </c>
      <c r="C589" s="5">
        <v>573107439266</v>
      </c>
      <c r="D589" s="5">
        <v>32</v>
      </c>
      <c r="E589" s="5" t="s">
        <v>65</v>
      </c>
      <c r="F589" s="5" t="s">
        <v>161</v>
      </c>
      <c r="G589" s="5" t="s">
        <v>6276</v>
      </c>
      <c r="H589" s="5" t="s">
        <v>6277</v>
      </c>
      <c r="I589" s="5">
        <v>3107439266</v>
      </c>
      <c r="J589" s="12">
        <v>46038</v>
      </c>
      <c r="K589" s="11">
        <v>0.375</v>
      </c>
      <c r="M589" s="10" t="s">
        <v>14850</v>
      </c>
      <c r="N589" s="12">
        <v>46038.345438136574</v>
      </c>
      <c r="O589" s="10" t="s">
        <v>16176</v>
      </c>
      <c r="P589" s="5" t="s">
        <v>14571</v>
      </c>
      <c r="Q589" s="5" t="s">
        <v>14578</v>
      </c>
      <c r="R589" s="5" t="s">
        <v>16177</v>
      </c>
      <c r="T589" s="5" t="s">
        <v>5994</v>
      </c>
      <c r="U589" s="5" t="s">
        <v>14593</v>
      </c>
      <c r="V589" s="5" t="s">
        <v>83</v>
      </c>
    </row>
    <row r="590" spans="1:23" ht="12.5">
      <c r="A590" s="5">
        <v>91094</v>
      </c>
      <c r="B590" s="5" t="s">
        <v>16178</v>
      </c>
      <c r="C590" s="5">
        <v>573203473047</v>
      </c>
      <c r="D590" s="5">
        <v>51</v>
      </c>
      <c r="E590" s="5" t="s">
        <v>384</v>
      </c>
      <c r="F590" s="5" t="s">
        <v>79</v>
      </c>
      <c r="G590" s="5" t="s">
        <v>6282</v>
      </c>
      <c r="H590" s="5" t="s">
        <v>6283</v>
      </c>
      <c r="I590" s="5">
        <v>3203473047</v>
      </c>
      <c r="J590" s="12">
        <v>46038</v>
      </c>
      <c r="K590" s="11">
        <v>0</v>
      </c>
      <c r="M590" s="10" t="s">
        <v>14777</v>
      </c>
      <c r="N590" s="12">
        <v>46038.349795312504</v>
      </c>
      <c r="O590" s="10" t="s">
        <v>15332</v>
      </c>
      <c r="P590" s="5" t="s">
        <v>14571</v>
      </c>
      <c r="Q590" s="5" t="s">
        <v>14612</v>
      </c>
      <c r="R590" s="5" t="s">
        <v>16179</v>
      </c>
      <c r="T590" s="5" t="s">
        <v>5994</v>
      </c>
      <c r="U590" s="5" t="s">
        <v>14593</v>
      </c>
      <c r="V590" s="5" t="s">
        <v>83</v>
      </c>
      <c r="W590" s="5" t="s">
        <v>6286</v>
      </c>
    </row>
    <row r="591" spans="1:23" ht="12.5">
      <c r="A591" s="5">
        <v>91095</v>
      </c>
      <c r="B591" s="5" t="s">
        <v>14256</v>
      </c>
      <c r="C591" s="5">
        <v>573147737274</v>
      </c>
      <c r="D591" s="5">
        <v>45</v>
      </c>
      <c r="E591" s="5" t="s">
        <v>210</v>
      </c>
      <c r="F591" s="5" t="s">
        <v>2090</v>
      </c>
      <c r="G591" s="5" t="s">
        <v>6288</v>
      </c>
      <c r="H591" s="5" t="s">
        <v>6289</v>
      </c>
      <c r="I591" s="5">
        <v>3147737274</v>
      </c>
      <c r="J591" s="12">
        <v>46038</v>
      </c>
      <c r="K591" s="11">
        <v>0.41666666666787933</v>
      </c>
      <c r="M591" s="10" t="s">
        <v>14740</v>
      </c>
      <c r="N591" s="12">
        <v>46038.362977777782</v>
      </c>
      <c r="O591" s="10" t="s">
        <v>15184</v>
      </c>
      <c r="P591" s="5" t="s">
        <v>14571</v>
      </c>
      <c r="Q591" s="5" t="s">
        <v>14572</v>
      </c>
      <c r="R591" s="5" t="s">
        <v>16180</v>
      </c>
      <c r="T591" s="5" t="s">
        <v>5994</v>
      </c>
      <c r="U591" s="5" t="s">
        <v>14618</v>
      </c>
      <c r="V591" s="5" t="s">
        <v>83</v>
      </c>
      <c r="W591" s="5" t="s">
        <v>6292</v>
      </c>
    </row>
    <row r="592" spans="1:23" ht="12.5">
      <c r="A592" s="5">
        <v>91096</v>
      </c>
      <c r="B592" s="5" t="s">
        <v>12268</v>
      </c>
      <c r="C592" s="5">
        <v>573106113291</v>
      </c>
      <c r="D592" s="5">
        <v>69</v>
      </c>
      <c r="E592" s="5" t="s">
        <v>335</v>
      </c>
      <c r="F592" s="5" t="s">
        <v>930</v>
      </c>
      <c r="G592" s="5" t="s">
        <v>6295</v>
      </c>
      <c r="H592" s="5" t="s">
        <v>6296</v>
      </c>
      <c r="I592" s="5">
        <v>3017115577</v>
      </c>
      <c r="J592" s="12">
        <v>46038</v>
      </c>
      <c r="K592" s="11">
        <v>0.41666666666787933</v>
      </c>
      <c r="M592" s="10" t="s">
        <v>14646</v>
      </c>
      <c r="N592" s="12">
        <v>46038.357557430558</v>
      </c>
      <c r="O592" s="10" t="s">
        <v>15184</v>
      </c>
      <c r="P592" s="5" t="s">
        <v>14571</v>
      </c>
      <c r="Q592" s="5" t="s">
        <v>14578</v>
      </c>
      <c r="R592" s="5" t="s">
        <v>16181</v>
      </c>
      <c r="T592" s="5" t="s">
        <v>5994</v>
      </c>
      <c r="U592" s="5" t="s">
        <v>14598</v>
      </c>
      <c r="V592" s="5" t="s">
        <v>1481</v>
      </c>
      <c r="W592" s="5" t="s">
        <v>6299</v>
      </c>
    </row>
    <row r="593" spans="1:23" ht="12.5">
      <c r="A593" s="5">
        <v>91097</v>
      </c>
      <c r="B593" s="5" t="s">
        <v>6304</v>
      </c>
      <c r="C593" s="5">
        <v>18298293545629</v>
      </c>
      <c r="D593" s="5">
        <v>62</v>
      </c>
      <c r="E593" s="5" t="s">
        <v>2586</v>
      </c>
      <c r="F593" s="5" t="s">
        <v>1815</v>
      </c>
      <c r="G593" s="5" t="s">
        <v>6301</v>
      </c>
      <c r="H593" s="5" t="s">
        <v>6302</v>
      </c>
      <c r="I593" s="5">
        <v>573017405738</v>
      </c>
      <c r="J593" s="12">
        <v>46038</v>
      </c>
      <c r="K593" s="11">
        <v>0.41666666666787933</v>
      </c>
      <c r="M593" s="10" t="s">
        <v>15140</v>
      </c>
      <c r="N593" s="12">
        <v>46038.371314525459</v>
      </c>
      <c r="O593" s="10" t="s">
        <v>15491</v>
      </c>
      <c r="P593" s="5" t="s">
        <v>14571</v>
      </c>
      <c r="Q593" s="5" t="s">
        <v>14578</v>
      </c>
      <c r="R593" s="5" t="s">
        <v>16182</v>
      </c>
      <c r="T593" s="5" t="s">
        <v>5994</v>
      </c>
      <c r="U593" s="5" t="s">
        <v>14580</v>
      </c>
      <c r="V593" s="5" t="s">
        <v>1937</v>
      </c>
      <c r="W593" s="5" t="s">
        <v>6305</v>
      </c>
    </row>
    <row r="594" spans="1:23" ht="12.5">
      <c r="A594" s="5">
        <v>91098</v>
      </c>
      <c r="B594" s="5" t="s">
        <v>6306</v>
      </c>
      <c r="C594" s="5">
        <v>573004142863</v>
      </c>
      <c r="D594" s="5">
        <v>42</v>
      </c>
      <c r="E594" s="5" t="s">
        <v>649</v>
      </c>
      <c r="F594" s="5" t="s">
        <v>33</v>
      </c>
      <c r="G594" s="5" t="s">
        <v>6306</v>
      </c>
      <c r="H594" s="5" t="s">
        <v>34</v>
      </c>
      <c r="I594" s="5">
        <v>3004142863</v>
      </c>
      <c r="J594" s="12">
        <v>46039</v>
      </c>
      <c r="K594" s="11">
        <v>0.625</v>
      </c>
      <c r="M594" s="10" t="s">
        <v>14712</v>
      </c>
      <c r="N594" s="12">
        <v>46038.399352754626</v>
      </c>
      <c r="O594" s="10" t="s">
        <v>15755</v>
      </c>
      <c r="P594" s="5" t="s">
        <v>14571</v>
      </c>
      <c r="Q594" s="5" t="s">
        <v>14578</v>
      </c>
      <c r="R594" s="5" t="s">
        <v>16183</v>
      </c>
      <c r="T594" s="5" t="s">
        <v>14574</v>
      </c>
      <c r="U594" s="5" t="s">
        <v>33</v>
      </c>
      <c r="V594" s="5" t="s">
        <v>67</v>
      </c>
      <c r="W594" s="5" t="s">
        <v>6307</v>
      </c>
    </row>
    <row r="595" spans="1:23" ht="12.5">
      <c r="A595" s="5">
        <v>91099</v>
      </c>
      <c r="B595" s="5" t="s">
        <v>6309</v>
      </c>
      <c r="C595" s="5">
        <v>573156331359</v>
      </c>
      <c r="D595" s="5">
        <v>32</v>
      </c>
      <c r="E595" s="5" t="s">
        <v>65</v>
      </c>
      <c r="F595" s="5" t="s">
        <v>33</v>
      </c>
      <c r="G595" s="5" t="s">
        <v>6309</v>
      </c>
      <c r="H595" s="5" t="s">
        <v>34</v>
      </c>
      <c r="I595" s="5">
        <v>3156331359</v>
      </c>
      <c r="J595" s="12">
        <v>46038</v>
      </c>
      <c r="K595" s="11">
        <v>0.60416666666787933</v>
      </c>
      <c r="M595" s="10" t="s">
        <v>14585</v>
      </c>
      <c r="N595" s="12">
        <v>46038.396058587961</v>
      </c>
      <c r="O595" s="10" t="s">
        <v>16184</v>
      </c>
      <c r="P595" s="5" t="s">
        <v>14571</v>
      </c>
      <c r="Q595" s="5" t="s">
        <v>14572</v>
      </c>
      <c r="R595" s="5" t="s">
        <v>16185</v>
      </c>
      <c r="T595" s="5" t="s">
        <v>14574</v>
      </c>
      <c r="U595" s="5" t="s">
        <v>33</v>
      </c>
      <c r="V595" s="5" t="s">
        <v>83</v>
      </c>
      <c r="W595" s="5" t="s">
        <v>6312</v>
      </c>
    </row>
    <row r="596" spans="1:23" ht="12.5">
      <c r="A596" s="5">
        <v>91100</v>
      </c>
      <c r="B596" s="5" t="s">
        <v>6314</v>
      </c>
      <c r="C596" s="5">
        <v>573008810305</v>
      </c>
      <c r="D596" s="5">
        <v>95</v>
      </c>
      <c r="E596" s="5" t="s">
        <v>42</v>
      </c>
      <c r="F596" s="5" t="s">
        <v>33</v>
      </c>
      <c r="G596" s="5" t="s">
        <v>6314</v>
      </c>
      <c r="H596" s="5" t="s">
        <v>34</v>
      </c>
      <c r="I596" s="5">
        <v>3008810305</v>
      </c>
      <c r="J596" s="12">
        <v>46038</v>
      </c>
      <c r="K596" s="11">
        <v>0</v>
      </c>
      <c r="M596" s="10" t="s">
        <v>2686</v>
      </c>
      <c r="N596" s="12">
        <v>46038.407536747683</v>
      </c>
      <c r="O596" s="10" t="s">
        <v>16186</v>
      </c>
      <c r="P596" s="5" t="s">
        <v>14571</v>
      </c>
      <c r="Q596" s="5" t="s">
        <v>14572</v>
      </c>
      <c r="R596" s="5" t="s">
        <v>16187</v>
      </c>
      <c r="T596" s="5" t="s">
        <v>14574</v>
      </c>
      <c r="U596" s="5" t="s">
        <v>33</v>
      </c>
      <c r="V596" s="5" t="s">
        <v>1705</v>
      </c>
    </row>
    <row r="597" spans="1:23" ht="12.5">
      <c r="A597" s="5">
        <v>91101</v>
      </c>
      <c r="B597" s="5" t="s">
        <v>6316</v>
      </c>
      <c r="C597" s="5">
        <v>573115689875</v>
      </c>
      <c r="D597" s="5">
        <v>53</v>
      </c>
      <c r="E597" s="5" t="s">
        <v>1139</v>
      </c>
      <c r="F597" s="5" t="s">
        <v>33</v>
      </c>
      <c r="G597" s="5" t="s">
        <v>6316</v>
      </c>
      <c r="H597" s="5" t="s">
        <v>34</v>
      </c>
      <c r="I597" s="5">
        <v>3115689875</v>
      </c>
      <c r="J597" s="12">
        <v>46038</v>
      </c>
      <c r="K597" s="11">
        <v>0</v>
      </c>
      <c r="M597" s="10" t="s">
        <v>15384</v>
      </c>
      <c r="N597" s="12">
        <v>46038.418550208335</v>
      </c>
      <c r="O597" s="10" t="s">
        <v>15103</v>
      </c>
      <c r="P597" s="5" t="s">
        <v>14571</v>
      </c>
      <c r="Q597" s="5" t="s">
        <v>14572</v>
      </c>
      <c r="R597" s="5" t="s">
        <v>16188</v>
      </c>
      <c r="T597" s="5" t="s">
        <v>14574</v>
      </c>
      <c r="U597" s="5" t="s">
        <v>33</v>
      </c>
      <c r="V597" s="5" t="s">
        <v>1705</v>
      </c>
      <c r="W597" s="5" t="s">
        <v>6317</v>
      </c>
    </row>
    <row r="598" spans="1:23" ht="12.5">
      <c r="A598" s="5">
        <v>91102</v>
      </c>
      <c r="B598" s="5" t="s">
        <v>6320</v>
      </c>
      <c r="C598" s="5">
        <v>573022265815</v>
      </c>
      <c r="D598" s="5">
        <v>32</v>
      </c>
      <c r="E598" s="5" t="s">
        <v>16189</v>
      </c>
      <c r="F598" s="5" t="s">
        <v>33</v>
      </c>
      <c r="G598" s="5" t="s">
        <v>6320</v>
      </c>
      <c r="H598" s="5" t="s">
        <v>6321</v>
      </c>
      <c r="I598" s="5">
        <v>3022265815</v>
      </c>
      <c r="J598" s="12">
        <v>46041</v>
      </c>
      <c r="K598" s="11">
        <v>0.29166666666787933</v>
      </c>
      <c r="M598" s="10" t="s">
        <v>14585</v>
      </c>
      <c r="N598" s="12">
        <v>46038.424897465273</v>
      </c>
      <c r="O598" s="10" t="s">
        <v>15088</v>
      </c>
      <c r="P598" s="5" t="s">
        <v>14571</v>
      </c>
      <c r="Q598" s="5" t="s">
        <v>14572</v>
      </c>
      <c r="R598" s="5" t="s">
        <v>16190</v>
      </c>
      <c r="T598" s="5" t="s">
        <v>14574</v>
      </c>
      <c r="U598" s="5" t="s">
        <v>33</v>
      </c>
      <c r="V598" s="5" t="s">
        <v>83</v>
      </c>
      <c r="W598" s="5" t="s">
        <v>6323</v>
      </c>
    </row>
    <row r="599" spans="1:23" ht="12.5">
      <c r="A599" s="5">
        <v>91103</v>
      </c>
      <c r="B599" s="5" t="s">
        <v>16191</v>
      </c>
      <c r="C599" s="5">
        <v>573216414503</v>
      </c>
      <c r="D599" s="5">
        <v>38</v>
      </c>
      <c r="E599" s="5" t="s">
        <v>458</v>
      </c>
      <c r="F599" s="5" t="s">
        <v>154</v>
      </c>
      <c r="G599" s="5" t="s">
        <v>6325</v>
      </c>
      <c r="H599" s="5" t="s">
        <v>6326</v>
      </c>
      <c r="I599" s="5">
        <v>3135142698</v>
      </c>
      <c r="J599" s="12">
        <v>46038</v>
      </c>
      <c r="K599" s="11">
        <v>0.5</v>
      </c>
      <c r="M599" s="10" t="s">
        <v>16192</v>
      </c>
      <c r="N599" s="12">
        <v>46038.43905601852</v>
      </c>
      <c r="O599" s="10" t="s">
        <v>15760</v>
      </c>
      <c r="P599" s="5" t="s">
        <v>14571</v>
      </c>
      <c r="Q599" s="5" t="s">
        <v>14572</v>
      </c>
      <c r="R599" s="5" t="s">
        <v>16193</v>
      </c>
      <c r="T599" s="5" t="s">
        <v>5994</v>
      </c>
      <c r="U599" s="5" t="s">
        <v>14593</v>
      </c>
      <c r="V599" s="5" t="s">
        <v>83</v>
      </c>
    </row>
    <row r="600" spans="1:23" ht="12.5">
      <c r="A600" s="5">
        <v>91104</v>
      </c>
      <c r="B600" s="5" t="s">
        <v>16194</v>
      </c>
      <c r="C600" s="5">
        <v>573226803890</v>
      </c>
      <c r="D600" s="5">
        <v>20</v>
      </c>
      <c r="E600" s="5" t="s">
        <v>187</v>
      </c>
      <c r="F600" s="5" t="s">
        <v>63</v>
      </c>
      <c r="G600" s="5" t="s">
        <v>6330</v>
      </c>
      <c r="H600" s="5" t="s">
        <v>6331</v>
      </c>
      <c r="J600" s="12">
        <v>46038</v>
      </c>
      <c r="K600" s="11">
        <v>0.60416666666787933</v>
      </c>
      <c r="M600" s="10" t="s">
        <v>14953</v>
      </c>
      <c r="N600" s="12">
        <v>46038.463952152779</v>
      </c>
      <c r="O600" s="10" t="s">
        <v>16195</v>
      </c>
      <c r="P600" s="5" t="s">
        <v>14571</v>
      </c>
      <c r="Q600" s="5" t="s">
        <v>14578</v>
      </c>
      <c r="R600" s="5" t="s">
        <v>16196</v>
      </c>
      <c r="T600" s="5" t="s">
        <v>5994</v>
      </c>
      <c r="U600" s="5" t="s">
        <v>14598</v>
      </c>
      <c r="V600" s="5" t="s">
        <v>83</v>
      </c>
      <c r="W600" s="5" t="s">
        <v>6334</v>
      </c>
    </row>
    <row r="601" spans="1:23" ht="12.5">
      <c r="A601" s="5">
        <v>91105</v>
      </c>
      <c r="B601" s="5" t="s">
        <v>6336</v>
      </c>
      <c r="C601" s="5">
        <v>573113191571</v>
      </c>
      <c r="D601" s="5">
        <v>41</v>
      </c>
      <c r="E601" s="5" t="s">
        <v>6338</v>
      </c>
      <c r="F601" s="5" t="s">
        <v>307</v>
      </c>
      <c r="G601" s="5" t="s">
        <v>6336</v>
      </c>
      <c r="H601" s="5" t="s">
        <v>6337</v>
      </c>
      <c r="J601" s="12">
        <v>46038</v>
      </c>
      <c r="K601" s="11">
        <v>0.54166666666787933</v>
      </c>
      <c r="M601" s="10" t="s">
        <v>15480</v>
      </c>
      <c r="N601" s="12">
        <v>46038.477331898146</v>
      </c>
      <c r="O601" s="10" t="s">
        <v>14756</v>
      </c>
      <c r="P601" s="5" t="s">
        <v>14571</v>
      </c>
      <c r="Q601" s="5" t="s">
        <v>14572</v>
      </c>
      <c r="R601" s="5" t="s">
        <v>16197</v>
      </c>
      <c r="T601" s="5" t="s">
        <v>5994</v>
      </c>
      <c r="U601" s="5" t="s">
        <v>14618</v>
      </c>
      <c r="V601" s="5" t="s">
        <v>83</v>
      </c>
    </row>
    <row r="602" spans="1:23" ht="12.5">
      <c r="A602" s="5">
        <v>91106</v>
      </c>
      <c r="B602" s="5" t="s">
        <v>16198</v>
      </c>
      <c r="C602" s="5">
        <v>573004966065</v>
      </c>
      <c r="D602" s="5">
        <v>31</v>
      </c>
      <c r="E602" s="5" t="s">
        <v>375</v>
      </c>
      <c r="F602" s="5" t="s">
        <v>249</v>
      </c>
      <c r="G602" s="5" t="s">
        <v>6341</v>
      </c>
      <c r="H602" s="5" t="s">
        <v>6342</v>
      </c>
      <c r="I602" s="5">
        <v>3054833197</v>
      </c>
      <c r="J602" s="12">
        <v>46038</v>
      </c>
      <c r="K602" s="11">
        <v>0.625</v>
      </c>
      <c r="M602" s="10" t="s">
        <v>14627</v>
      </c>
      <c r="N602" s="12">
        <v>46038.513156655092</v>
      </c>
      <c r="O602" s="10" t="s">
        <v>15853</v>
      </c>
      <c r="P602" s="5" t="s">
        <v>14571</v>
      </c>
      <c r="Q602" s="5" t="s">
        <v>14612</v>
      </c>
      <c r="R602" s="5" t="s">
        <v>16199</v>
      </c>
      <c r="T602" s="5" t="s">
        <v>5994</v>
      </c>
      <c r="U602" s="5" t="s">
        <v>14593</v>
      </c>
      <c r="V602" s="5" t="s">
        <v>180</v>
      </c>
    </row>
    <row r="603" spans="1:23" ht="12.5">
      <c r="A603" s="5">
        <v>91107</v>
      </c>
      <c r="B603" s="5" t="s">
        <v>6347</v>
      </c>
      <c r="C603" s="5">
        <v>570000</v>
      </c>
      <c r="D603" s="5">
        <v>95</v>
      </c>
      <c r="E603" s="5" t="s">
        <v>42</v>
      </c>
      <c r="F603" s="5" t="s">
        <v>33</v>
      </c>
      <c r="G603" s="5" t="s">
        <v>6347</v>
      </c>
      <c r="H603" s="5" t="s">
        <v>34</v>
      </c>
      <c r="I603" s="10" t="s">
        <v>2686</v>
      </c>
      <c r="J603" s="12">
        <v>46038</v>
      </c>
      <c r="K603" s="11">
        <v>0</v>
      </c>
      <c r="M603" s="10" t="s">
        <v>14627</v>
      </c>
      <c r="N603" s="12">
        <v>46045.551342592589</v>
      </c>
      <c r="O603" s="10" t="s">
        <v>16200</v>
      </c>
      <c r="P603" s="5" t="s">
        <v>14571</v>
      </c>
      <c r="Q603" s="5" t="s">
        <v>14572</v>
      </c>
      <c r="R603" s="5" t="s">
        <v>16201</v>
      </c>
      <c r="T603" s="5" t="s">
        <v>14574</v>
      </c>
      <c r="U603" s="5" t="s">
        <v>33</v>
      </c>
      <c r="V603" s="5" t="s">
        <v>67</v>
      </c>
      <c r="W603" s="5" t="s">
        <v>525</v>
      </c>
    </row>
    <row r="604" spans="1:23" ht="12.5">
      <c r="A604" s="5">
        <v>91108</v>
      </c>
      <c r="B604" s="5" t="s">
        <v>16202</v>
      </c>
      <c r="C604" s="5">
        <v>573184094610</v>
      </c>
      <c r="D604" s="5">
        <v>46</v>
      </c>
      <c r="E604" s="5" t="s">
        <v>1126</v>
      </c>
      <c r="F604" s="5" t="s">
        <v>63</v>
      </c>
      <c r="G604" s="5" t="s">
        <v>6350</v>
      </c>
      <c r="H604" s="5" t="s">
        <v>6351</v>
      </c>
      <c r="I604" s="5" t="s">
        <v>16203</v>
      </c>
      <c r="J604" s="12">
        <v>46038</v>
      </c>
      <c r="K604" s="11">
        <v>0.66666666666787933</v>
      </c>
      <c r="M604" s="10" t="s">
        <v>16204</v>
      </c>
      <c r="N604" s="12">
        <v>46038.565862407406</v>
      </c>
      <c r="O604" s="10" t="s">
        <v>15267</v>
      </c>
      <c r="P604" s="5" t="s">
        <v>14571</v>
      </c>
      <c r="Q604" s="5" t="s">
        <v>14572</v>
      </c>
      <c r="R604" s="5" t="s">
        <v>16205</v>
      </c>
      <c r="T604" s="5" t="s">
        <v>5994</v>
      </c>
      <c r="U604" s="5" t="s">
        <v>14598</v>
      </c>
      <c r="V604" s="5" t="s">
        <v>180</v>
      </c>
    </row>
    <row r="605" spans="1:23" ht="12.5">
      <c r="A605" s="5">
        <v>91109</v>
      </c>
      <c r="B605" s="5" t="s">
        <v>16206</v>
      </c>
      <c r="C605" s="5">
        <v>573006470265</v>
      </c>
      <c r="D605" s="5">
        <v>45</v>
      </c>
      <c r="E605" s="5" t="s">
        <v>2270</v>
      </c>
      <c r="G605" s="5" t="s">
        <v>6355</v>
      </c>
      <c r="H605" s="5" t="s">
        <v>579</v>
      </c>
      <c r="J605" s="12">
        <v>46039</v>
      </c>
      <c r="K605" s="11">
        <v>0.64583333333333337</v>
      </c>
      <c r="M605" s="10" t="s">
        <v>14734</v>
      </c>
      <c r="N605" s="12">
        <v>46037.388746666664</v>
      </c>
      <c r="O605" s="10" t="s">
        <v>16074</v>
      </c>
      <c r="P605" s="5" t="s">
        <v>14571</v>
      </c>
      <c r="Q605" s="5" t="s">
        <v>14572</v>
      </c>
      <c r="R605" s="5" t="s">
        <v>16207</v>
      </c>
      <c r="T605" s="5" t="s">
        <v>5994</v>
      </c>
      <c r="V605" s="5" t="s">
        <v>67</v>
      </c>
    </row>
    <row r="606" spans="1:23" ht="12.5">
      <c r="A606" s="5">
        <v>91110</v>
      </c>
      <c r="B606" s="5" t="s">
        <v>16208</v>
      </c>
      <c r="C606" s="5">
        <v>573104123627</v>
      </c>
      <c r="D606" s="5">
        <v>31</v>
      </c>
      <c r="E606" s="5" t="s">
        <v>375</v>
      </c>
      <c r="F606" s="5" t="s">
        <v>73</v>
      </c>
      <c r="G606" s="5" t="s">
        <v>6360</v>
      </c>
      <c r="H606" s="5" t="s">
        <v>6361</v>
      </c>
      <c r="I606" s="5">
        <v>3104123627</v>
      </c>
      <c r="J606" s="12">
        <v>46038</v>
      </c>
      <c r="K606" s="11">
        <v>0.625</v>
      </c>
      <c r="M606" s="10" t="s">
        <v>14850</v>
      </c>
      <c r="N606" s="12">
        <v>46038.58768084491</v>
      </c>
      <c r="O606" s="10" t="s">
        <v>16209</v>
      </c>
      <c r="P606" s="5" t="s">
        <v>14571</v>
      </c>
      <c r="Q606" s="5" t="s">
        <v>14612</v>
      </c>
      <c r="R606" s="5" t="s">
        <v>16210</v>
      </c>
      <c r="T606" s="5" t="s">
        <v>5994</v>
      </c>
      <c r="U606" s="5" t="s">
        <v>14593</v>
      </c>
      <c r="V606" s="5" t="s">
        <v>83</v>
      </c>
    </row>
    <row r="607" spans="1:23" ht="12.5">
      <c r="A607" s="5">
        <v>91111</v>
      </c>
      <c r="B607" s="5" t="s">
        <v>6365</v>
      </c>
      <c r="C607" s="5">
        <v>573003006459</v>
      </c>
      <c r="D607" s="5">
        <v>44</v>
      </c>
      <c r="E607" s="5" t="s">
        <v>1111</v>
      </c>
      <c r="F607" s="5" t="s">
        <v>33</v>
      </c>
      <c r="G607" s="5" t="s">
        <v>6365</v>
      </c>
      <c r="H607" s="5" t="s">
        <v>34</v>
      </c>
      <c r="I607" s="5" t="s">
        <v>6366</v>
      </c>
      <c r="J607" s="12">
        <v>46038</v>
      </c>
      <c r="K607" s="11">
        <v>0.64583333333212067</v>
      </c>
      <c r="M607" s="10" t="s">
        <v>16211</v>
      </c>
      <c r="N607" s="12">
        <v>46038.611822499995</v>
      </c>
      <c r="O607" s="10" t="s">
        <v>16212</v>
      </c>
      <c r="P607" s="5" t="s">
        <v>14571</v>
      </c>
      <c r="Q607" s="5" t="s">
        <v>14578</v>
      </c>
      <c r="R607" s="5" t="s">
        <v>16213</v>
      </c>
      <c r="T607" s="5" t="s">
        <v>14574</v>
      </c>
      <c r="U607" s="5" t="s">
        <v>33</v>
      </c>
      <c r="V607" s="5" t="s">
        <v>1705</v>
      </c>
      <c r="W607" s="5" t="s">
        <v>6367</v>
      </c>
    </row>
    <row r="608" spans="1:23" ht="12.5">
      <c r="A608" s="5">
        <v>91112</v>
      </c>
      <c r="B608" s="5" t="s">
        <v>6369</v>
      </c>
      <c r="C608" s="5">
        <v>573215599552</v>
      </c>
      <c r="D608" s="5" t="s">
        <v>14589</v>
      </c>
      <c r="E608" s="5" t="s">
        <v>6370</v>
      </c>
      <c r="F608" s="5" t="s">
        <v>33</v>
      </c>
      <c r="G608" s="5" t="s">
        <v>6369</v>
      </c>
      <c r="H608" s="5" t="s">
        <v>34</v>
      </c>
      <c r="I608" s="5">
        <v>3215599552</v>
      </c>
      <c r="J608" s="12">
        <v>46038</v>
      </c>
      <c r="K608" s="11">
        <v>0.625</v>
      </c>
      <c r="M608" s="10" t="s">
        <v>15663</v>
      </c>
      <c r="N608" s="12">
        <v>46038.624567997686</v>
      </c>
      <c r="O608" s="10" t="s">
        <v>15243</v>
      </c>
      <c r="P608" s="5" t="s">
        <v>14571</v>
      </c>
      <c r="Q608" s="5" t="s">
        <v>14612</v>
      </c>
      <c r="R608" s="5" t="s">
        <v>16214</v>
      </c>
      <c r="T608" s="5" t="s">
        <v>14574</v>
      </c>
      <c r="U608" s="5" t="s">
        <v>33</v>
      </c>
      <c r="V608" s="5" t="s">
        <v>196</v>
      </c>
    </row>
    <row r="609" spans="1:23" ht="12.5">
      <c r="A609" s="5">
        <v>91113</v>
      </c>
      <c r="B609" s="5" t="s">
        <v>16215</v>
      </c>
      <c r="C609" s="5">
        <v>573002466767</v>
      </c>
      <c r="D609" s="5">
        <v>31</v>
      </c>
      <c r="E609" s="5" t="s">
        <v>375</v>
      </c>
      <c r="F609" s="5" t="s">
        <v>124</v>
      </c>
      <c r="G609" s="5" t="s">
        <v>6372</v>
      </c>
      <c r="H609" s="5" t="s">
        <v>6373</v>
      </c>
      <c r="I609" s="5">
        <v>3006795505</v>
      </c>
      <c r="J609" s="12">
        <v>46039</v>
      </c>
      <c r="K609" s="11">
        <v>0.375</v>
      </c>
      <c r="M609" s="10" t="s">
        <v>14832</v>
      </c>
      <c r="N609" s="12">
        <v>46038.633918067135</v>
      </c>
      <c r="O609" s="10" t="s">
        <v>16216</v>
      </c>
      <c r="P609" s="5" t="s">
        <v>14571</v>
      </c>
      <c r="Q609" s="5" t="s">
        <v>14578</v>
      </c>
      <c r="R609" s="5" t="s">
        <v>16217</v>
      </c>
      <c r="T609" s="5" t="s">
        <v>5994</v>
      </c>
      <c r="U609" s="5" t="s">
        <v>14775</v>
      </c>
      <c r="V609" s="5" t="s">
        <v>83</v>
      </c>
      <c r="W609" s="5" t="s">
        <v>6376</v>
      </c>
    </row>
    <row r="610" spans="1:23" ht="12.5">
      <c r="A610" s="5">
        <v>91114</v>
      </c>
      <c r="B610" s="5" t="s">
        <v>16218</v>
      </c>
      <c r="C610" s="10" t="s">
        <v>16219</v>
      </c>
      <c r="D610" s="5">
        <v>5</v>
      </c>
      <c r="E610" s="5" t="s">
        <v>3111</v>
      </c>
      <c r="F610" s="5" t="s">
        <v>249</v>
      </c>
      <c r="G610" s="5" t="s">
        <v>6379</v>
      </c>
      <c r="H610" s="5" t="s">
        <v>6380</v>
      </c>
      <c r="J610" s="12">
        <v>46046</v>
      </c>
      <c r="K610" s="11">
        <v>0</v>
      </c>
      <c r="M610" s="10" t="s">
        <v>14649</v>
      </c>
      <c r="N610" s="12">
        <v>46038</v>
      </c>
      <c r="O610" s="10" t="s">
        <v>15714</v>
      </c>
      <c r="P610" s="5" t="s">
        <v>14571</v>
      </c>
      <c r="Q610" s="5" t="s">
        <v>14612</v>
      </c>
      <c r="R610" s="5" t="s">
        <v>16220</v>
      </c>
      <c r="T610" s="5" t="s">
        <v>5994</v>
      </c>
      <c r="U610" s="5" t="s">
        <v>14593</v>
      </c>
      <c r="V610" s="5" t="s">
        <v>1705</v>
      </c>
      <c r="W610" s="5" t="s">
        <v>6382</v>
      </c>
    </row>
    <row r="611" spans="1:23" ht="12.5">
      <c r="A611" s="5">
        <v>91115</v>
      </c>
      <c r="B611" s="5" t="s">
        <v>6385</v>
      </c>
      <c r="C611" s="10" t="s">
        <v>16221</v>
      </c>
      <c r="D611" s="5">
        <v>95</v>
      </c>
      <c r="E611" s="5" t="s">
        <v>42</v>
      </c>
      <c r="F611" s="5" t="s">
        <v>33</v>
      </c>
      <c r="G611" s="5" t="s">
        <v>6385</v>
      </c>
      <c r="H611" s="5" t="s">
        <v>34</v>
      </c>
      <c r="J611" s="12">
        <v>46038</v>
      </c>
      <c r="K611" s="11">
        <v>0</v>
      </c>
      <c r="M611" s="10" t="s">
        <v>16222</v>
      </c>
      <c r="N611" s="12">
        <v>46038</v>
      </c>
      <c r="O611" s="10" t="s">
        <v>16223</v>
      </c>
      <c r="P611" s="5" t="s">
        <v>14571</v>
      </c>
      <c r="Q611" s="5" t="s">
        <v>14612</v>
      </c>
      <c r="R611" s="5" t="s">
        <v>16224</v>
      </c>
      <c r="T611" s="5" t="s">
        <v>14574</v>
      </c>
      <c r="U611" s="5" t="s">
        <v>33</v>
      </c>
      <c r="V611" s="5" t="s">
        <v>1705</v>
      </c>
      <c r="W611" s="5" t="s">
        <v>525</v>
      </c>
    </row>
    <row r="612" spans="1:23" ht="12.5">
      <c r="A612" s="5">
        <v>91116</v>
      </c>
      <c r="B612" s="5" t="s">
        <v>6387</v>
      </c>
      <c r="C612" s="10" t="s">
        <v>16225</v>
      </c>
      <c r="D612" s="5">
        <v>95</v>
      </c>
      <c r="E612" s="5" t="s">
        <v>42</v>
      </c>
      <c r="F612" s="5" t="s">
        <v>33</v>
      </c>
      <c r="G612" s="5" t="s">
        <v>6387</v>
      </c>
      <c r="H612" s="5" t="s">
        <v>34</v>
      </c>
      <c r="I612" s="5" t="s">
        <v>2474</v>
      </c>
      <c r="J612" s="12">
        <v>46038</v>
      </c>
      <c r="K612" s="11">
        <v>0</v>
      </c>
      <c r="M612" s="10" t="s">
        <v>14817</v>
      </c>
      <c r="N612" s="12">
        <v>46038</v>
      </c>
      <c r="O612" s="10" t="s">
        <v>16226</v>
      </c>
      <c r="P612" s="5" t="s">
        <v>14571</v>
      </c>
      <c r="Q612" s="5" t="s">
        <v>14612</v>
      </c>
      <c r="R612" s="5" t="s">
        <v>16227</v>
      </c>
      <c r="T612" s="5" t="s">
        <v>14574</v>
      </c>
      <c r="U612" s="5" t="s">
        <v>33</v>
      </c>
      <c r="V612" s="5" t="s">
        <v>1705</v>
      </c>
      <c r="W612" s="5" t="s">
        <v>525</v>
      </c>
    </row>
    <row r="613" spans="1:23" ht="12.5">
      <c r="A613" s="5">
        <v>91117</v>
      </c>
      <c r="B613" s="5" t="s">
        <v>3738</v>
      </c>
      <c r="C613" s="5">
        <v>576956024</v>
      </c>
      <c r="D613" s="5">
        <v>95</v>
      </c>
      <c r="E613" s="5" t="s">
        <v>42</v>
      </c>
      <c r="F613" s="5" t="s">
        <v>33</v>
      </c>
      <c r="G613" s="5" t="s">
        <v>3738</v>
      </c>
      <c r="H613" s="5" t="s">
        <v>34</v>
      </c>
      <c r="I613" s="5">
        <v>6956024</v>
      </c>
      <c r="J613" s="12">
        <v>46038</v>
      </c>
      <c r="K613" s="11">
        <v>0</v>
      </c>
      <c r="M613" s="10" t="s">
        <v>16228</v>
      </c>
      <c r="N613" s="12">
        <v>46038.66665835648</v>
      </c>
      <c r="O613" s="10" t="s">
        <v>16226</v>
      </c>
      <c r="P613" s="5" t="s">
        <v>14571</v>
      </c>
      <c r="Q613" s="5" t="s">
        <v>14612</v>
      </c>
      <c r="R613" s="5" t="s">
        <v>16229</v>
      </c>
      <c r="T613" s="5" t="s">
        <v>14574</v>
      </c>
      <c r="U613" s="5" t="s">
        <v>33</v>
      </c>
      <c r="V613" s="5" t="s">
        <v>196</v>
      </c>
      <c r="W613" s="5" t="s">
        <v>525</v>
      </c>
    </row>
    <row r="614" spans="1:23" ht="12.5">
      <c r="A614" s="5">
        <v>91118</v>
      </c>
      <c r="B614" s="5" t="s">
        <v>6390</v>
      </c>
      <c r="C614" s="5">
        <v>573155827751</v>
      </c>
      <c r="D614" s="5">
        <v>95</v>
      </c>
      <c r="E614" s="5" t="s">
        <v>42</v>
      </c>
      <c r="F614" s="5" t="s">
        <v>33</v>
      </c>
      <c r="G614" s="5" t="s">
        <v>6390</v>
      </c>
      <c r="H614" s="5" t="s">
        <v>34</v>
      </c>
      <c r="I614" s="5">
        <v>3155827751</v>
      </c>
      <c r="J614" s="12">
        <v>46038</v>
      </c>
      <c r="K614" s="11">
        <v>0.67638888888905058</v>
      </c>
      <c r="M614" s="10" t="s">
        <v>16230</v>
      </c>
      <c r="N614" s="12">
        <v>46038.67640055556</v>
      </c>
      <c r="O614" s="10" t="s">
        <v>16083</v>
      </c>
      <c r="P614" s="5" t="s">
        <v>14571</v>
      </c>
      <c r="Q614" s="5" t="s">
        <v>14572</v>
      </c>
      <c r="R614" s="5" t="s">
        <v>16231</v>
      </c>
      <c r="T614" s="5" t="s">
        <v>14574</v>
      </c>
      <c r="U614" s="5" t="s">
        <v>33</v>
      </c>
      <c r="V614" s="5" t="s">
        <v>196</v>
      </c>
      <c r="W614" s="5" t="s">
        <v>525</v>
      </c>
    </row>
    <row r="615" spans="1:23" ht="12.5">
      <c r="A615" s="5">
        <v>91119</v>
      </c>
      <c r="B615" s="5" t="s">
        <v>6390</v>
      </c>
      <c r="C615" s="5">
        <v>573155827751</v>
      </c>
      <c r="D615" s="5">
        <v>95</v>
      </c>
      <c r="E615" s="5" t="s">
        <v>42</v>
      </c>
      <c r="F615" s="5" t="s">
        <v>33</v>
      </c>
      <c r="G615" s="5" t="s">
        <v>6390</v>
      </c>
      <c r="H615" s="5" t="s">
        <v>34</v>
      </c>
      <c r="I615" s="5">
        <v>3155827751</v>
      </c>
      <c r="J615" s="12">
        <v>46038</v>
      </c>
      <c r="K615" s="11">
        <v>0</v>
      </c>
      <c r="M615" s="10" t="s">
        <v>16232</v>
      </c>
      <c r="N615" s="12">
        <v>46038.687643564816</v>
      </c>
      <c r="O615" s="10" t="s">
        <v>16085</v>
      </c>
      <c r="P615" s="5" t="s">
        <v>14571</v>
      </c>
      <c r="Q615" s="5" t="s">
        <v>14572</v>
      </c>
      <c r="R615" s="5" t="s">
        <v>16233</v>
      </c>
      <c r="T615" s="5" t="s">
        <v>14574</v>
      </c>
      <c r="U615" s="5" t="s">
        <v>33</v>
      </c>
      <c r="V615" s="5" t="s">
        <v>196</v>
      </c>
      <c r="W615" s="5" t="s">
        <v>1143</v>
      </c>
    </row>
    <row r="616" spans="1:23" ht="12.5">
      <c r="A616" s="5">
        <v>91120</v>
      </c>
      <c r="B616" s="5" t="s">
        <v>6392</v>
      </c>
      <c r="C616" s="5">
        <v>573150472213</v>
      </c>
      <c r="D616" s="5">
        <v>95</v>
      </c>
      <c r="E616" s="5" t="s">
        <v>42</v>
      </c>
      <c r="F616" s="5" t="s">
        <v>33</v>
      </c>
      <c r="G616" s="5" t="s">
        <v>6392</v>
      </c>
      <c r="H616" s="5" t="s">
        <v>34</v>
      </c>
      <c r="I616" s="5">
        <v>3150472213</v>
      </c>
      <c r="J616" s="12">
        <v>46038</v>
      </c>
      <c r="K616" s="11">
        <v>0.69374999999854481</v>
      </c>
      <c r="M616" s="10" t="s">
        <v>14835</v>
      </c>
      <c r="N616" s="12">
        <v>46038.692857777773</v>
      </c>
      <c r="O616" s="10" t="s">
        <v>14809</v>
      </c>
      <c r="P616" s="5" t="s">
        <v>14571</v>
      </c>
      <c r="Q616" s="5" t="s">
        <v>14572</v>
      </c>
      <c r="R616" s="5"/>
      <c r="T616" s="5" t="s">
        <v>14574</v>
      </c>
      <c r="U616" s="5" t="s">
        <v>33</v>
      </c>
      <c r="V616" s="5" t="s">
        <v>67</v>
      </c>
    </row>
    <row r="617" spans="1:23" ht="12.5">
      <c r="A617" s="5">
        <v>91121</v>
      </c>
      <c r="B617" s="5" t="s">
        <v>16234</v>
      </c>
      <c r="C617" s="10" t="s">
        <v>16235</v>
      </c>
      <c r="D617" s="5">
        <v>51</v>
      </c>
      <c r="E617" s="5" t="s">
        <v>384</v>
      </c>
      <c r="F617" s="5" t="s">
        <v>124</v>
      </c>
      <c r="G617" s="5" t="s">
        <v>6395</v>
      </c>
      <c r="H617" s="5" t="s">
        <v>6396</v>
      </c>
      <c r="I617" s="5" t="s">
        <v>16236</v>
      </c>
      <c r="J617" s="12">
        <v>46043</v>
      </c>
      <c r="K617" s="11">
        <v>0.375</v>
      </c>
      <c r="M617" s="10" t="s">
        <v>15301</v>
      </c>
      <c r="N617" s="12">
        <v>46038</v>
      </c>
      <c r="O617" s="10" t="s">
        <v>15223</v>
      </c>
      <c r="P617" s="5" t="s">
        <v>14571</v>
      </c>
      <c r="Q617" s="5" t="s">
        <v>14578</v>
      </c>
      <c r="R617" s="5" t="s">
        <v>16237</v>
      </c>
      <c r="T617" s="5" t="s">
        <v>5994</v>
      </c>
      <c r="U617" s="5" t="s">
        <v>14775</v>
      </c>
      <c r="V617" s="5" t="s">
        <v>1937</v>
      </c>
      <c r="W617" s="5" t="s">
        <v>6399</v>
      </c>
    </row>
    <row r="618" spans="1:23" ht="12.5">
      <c r="A618" s="5">
        <v>91122</v>
      </c>
      <c r="B618" s="5" t="s">
        <v>2940</v>
      </c>
      <c r="C618" s="5">
        <v>573158063644</v>
      </c>
      <c r="D618" s="5">
        <v>95</v>
      </c>
      <c r="E618" s="5" t="s">
        <v>42</v>
      </c>
      <c r="F618" s="5" t="s">
        <v>33</v>
      </c>
      <c r="G618" s="5" t="s">
        <v>2940</v>
      </c>
      <c r="H618" s="5" t="s">
        <v>34</v>
      </c>
      <c r="I618" s="5">
        <v>3158063644</v>
      </c>
      <c r="J618" s="12">
        <v>46038</v>
      </c>
      <c r="K618" s="11">
        <v>0.70833333333212067</v>
      </c>
      <c r="M618" s="10" t="s">
        <v>16238</v>
      </c>
      <c r="N618" s="12">
        <v>46038.707623402777</v>
      </c>
      <c r="O618" s="10" t="s">
        <v>16239</v>
      </c>
      <c r="P618" s="5" t="s">
        <v>14571</v>
      </c>
      <c r="Q618" s="5" t="s">
        <v>14612</v>
      </c>
      <c r="R618" s="5" t="s">
        <v>16240</v>
      </c>
      <c r="T618" s="5" t="s">
        <v>14574</v>
      </c>
      <c r="U618" s="5" t="s">
        <v>33</v>
      </c>
      <c r="V618" s="5" t="s">
        <v>83</v>
      </c>
      <c r="W618" s="5" t="s">
        <v>525</v>
      </c>
    </row>
    <row r="619" spans="1:23" ht="12.5">
      <c r="A619" s="5">
        <v>91123</v>
      </c>
      <c r="B619" s="5" t="s">
        <v>16241</v>
      </c>
      <c r="C619" s="5">
        <v>573116035211</v>
      </c>
      <c r="D619" s="5">
        <v>45</v>
      </c>
      <c r="E619" s="5" t="s">
        <v>210</v>
      </c>
      <c r="F619" s="5" t="s">
        <v>886</v>
      </c>
      <c r="G619" s="5" t="s">
        <v>6401</v>
      </c>
      <c r="H619" s="5" t="s">
        <v>6402</v>
      </c>
      <c r="I619" s="5">
        <v>3233439360</v>
      </c>
      <c r="J619" s="12">
        <v>46041</v>
      </c>
      <c r="K619" s="11">
        <v>0.375</v>
      </c>
      <c r="M619" s="10" t="s">
        <v>14602</v>
      </c>
      <c r="N619" s="12">
        <v>46038.701827500001</v>
      </c>
      <c r="O619" s="10" t="s">
        <v>15661</v>
      </c>
      <c r="P619" s="5" t="s">
        <v>14571</v>
      </c>
      <c r="Q619" s="5" t="s">
        <v>14572</v>
      </c>
      <c r="R619" s="5" t="s">
        <v>16242</v>
      </c>
      <c r="T619" s="5" t="s">
        <v>5994</v>
      </c>
      <c r="U619" s="5" t="s">
        <v>14618</v>
      </c>
      <c r="V619" s="5" t="s">
        <v>83</v>
      </c>
    </row>
    <row r="620" spans="1:23" ht="12.5">
      <c r="A620" s="5">
        <v>91124</v>
      </c>
      <c r="B620" s="5" t="s">
        <v>6406</v>
      </c>
      <c r="C620" s="5">
        <v>573152358173</v>
      </c>
      <c r="D620" s="5">
        <v>95</v>
      </c>
      <c r="E620" s="5" t="s">
        <v>42</v>
      </c>
      <c r="F620" s="5" t="s">
        <v>33</v>
      </c>
      <c r="G620" s="5" t="s">
        <v>6406</v>
      </c>
      <c r="H620" s="5" t="s">
        <v>34</v>
      </c>
      <c r="I620" s="5">
        <v>3152358173</v>
      </c>
      <c r="J620" s="12">
        <v>46038</v>
      </c>
      <c r="K620" s="11">
        <v>0.71388888888759539</v>
      </c>
      <c r="M620" s="10" t="s">
        <v>16243</v>
      </c>
      <c r="N620" s="12">
        <v>46038.713856898146</v>
      </c>
      <c r="O620" s="10" t="s">
        <v>16244</v>
      </c>
      <c r="P620" s="5" t="s">
        <v>14571</v>
      </c>
      <c r="Q620" s="5" t="s">
        <v>14572</v>
      </c>
      <c r="R620" s="5" t="s">
        <v>16245</v>
      </c>
      <c r="T620" s="5" t="s">
        <v>14574</v>
      </c>
      <c r="U620" s="5" t="s">
        <v>33</v>
      </c>
      <c r="V620" s="5" t="s">
        <v>67</v>
      </c>
      <c r="W620" s="5" t="s">
        <v>6407</v>
      </c>
    </row>
    <row r="621" spans="1:23" ht="12.5">
      <c r="A621" s="5">
        <v>91125</v>
      </c>
      <c r="B621" s="5" t="s">
        <v>6409</v>
      </c>
      <c r="C621" s="10" t="s">
        <v>16246</v>
      </c>
      <c r="D621" s="5">
        <v>95</v>
      </c>
      <c r="E621" s="5" t="s">
        <v>42</v>
      </c>
      <c r="F621" s="5" t="s">
        <v>33</v>
      </c>
      <c r="G621" s="5" t="s">
        <v>6409</v>
      </c>
      <c r="H621" s="5" t="s">
        <v>34</v>
      </c>
      <c r="I621" s="5" t="s">
        <v>6410</v>
      </c>
      <c r="J621" s="12">
        <v>46038</v>
      </c>
      <c r="K621" s="11">
        <v>0.71597222222222223</v>
      </c>
      <c r="M621" s="10" t="s">
        <v>14870</v>
      </c>
      <c r="N621" s="12">
        <v>46038</v>
      </c>
      <c r="O621" s="10" t="s">
        <v>15041</v>
      </c>
      <c r="P621" s="5" t="s">
        <v>14571</v>
      </c>
      <c r="Q621" s="5" t="s">
        <v>14572</v>
      </c>
      <c r="R621" s="5" t="s">
        <v>16247</v>
      </c>
      <c r="T621" s="5" t="s">
        <v>14574</v>
      </c>
      <c r="U621" s="5" t="s">
        <v>33</v>
      </c>
      <c r="V621" s="5" t="s">
        <v>196</v>
      </c>
      <c r="W621" s="5" t="s">
        <v>525</v>
      </c>
    </row>
    <row r="622" spans="1:23" ht="12.5">
      <c r="A622" s="5">
        <v>91126</v>
      </c>
      <c r="B622" s="5" t="s">
        <v>6412</v>
      </c>
      <c r="C622" s="10" t="s">
        <v>16248</v>
      </c>
      <c r="D622" s="5">
        <v>95</v>
      </c>
      <c r="E622" s="5" t="s">
        <v>42</v>
      </c>
      <c r="F622" s="5" t="s">
        <v>33</v>
      </c>
      <c r="G622" s="5" t="s">
        <v>6412</v>
      </c>
      <c r="H622" s="5" t="s">
        <v>34</v>
      </c>
      <c r="I622" s="5">
        <v>3157354515</v>
      </c>
      <c r="J622" s="12">
        <v>46038</v>
      </c>
      <c r="K622" s="11">
        <v>0</v>
      </c>
      <c r="M622" s="10" t="s">
        <v>14619</v>
      </c>
      <c r="N622" s="12">
        <v>46038</v>
      </c>
      <c r="O622" s="10" t="s">
        <v>15732</v>
      </c>
      <c r="P622" s="5" t="s">
        <v>14571</v>
      </c>
      <c r="Q622" s="5" t="s">
        <v>14572</v>
      </c>
      <c r="R622" s="5" t="s">
        <v>16249</v>
      </c>
      <c r="T622" s="5" t="s">
        <v>14574</v>
      </c>
      <c r="U622" s="5" t="s">
        <v>33</v>
      </c>
      <c r="V622" s="5" t="s">
        <v>1705</v>
      </c>
      <c r="W622" s="5" t="s">
        <v>120</v>
      </c>
    </row>
    <row r="623" spans="1:23" ht="12.5">
      <c r="A623" s="5">
        <v>91127</v>
      </c>
      <c r="B623" s="5" t="s">
        <v>16250</v>
      </c>
      <c r="C623" s="5">
        <v>573013892260</v>
      </c>
      <c r="D623" s="5">
        <v>40</v>
      </c>
      <c r="E623" s="5" t="s">
        <v>3142</v>
      </c>
      <c r="F623" s="5" t="s">
        <v>4558</v>
      </c>
      <c r="G623" s="5" t="s">
        <v>6414</v>
      </c>
      <c r="H623" s="5" t="s">
        <v>6415</v>
      </c>
      <c r="I623" s="5">
        <v>3013892260</v>
      </c>
      <c r="J623" s="12">
        <v>46039</v>
      </c>
      <c r="K623" s="11">
        <v>0.375</v>
      </c>
      <c r="M623" s="10" t="s">
        <v>15128</v>
      </c>
      <c r="N623" s="12">
        <v>46038.717899583338</v>
      </c>
      <c r="O623" s="10" t="s">
        <v>16251</v>
      </c>
      <c r="P623" s="5" t="s">
        <v>14571</v>
      </c>
      <c r="Q623" s="5" t="s">
        <v>14578</v>
      </c>
      <c r="R623" s="5" t="s">
        <v>16252</v>
      </c>
      <c r="T623" s="5" t="s">
        <v>5994</v>
      </c>
      <c r="U623" s="5" t="s">
        <v>14593</v>
      </c>
      <c r="V623" s="5" t="s">
        <v>83</v>
      </c>
    </row>
    <row r="624" spans="1:23" ht="12.5">
      <c r="A624" s="5">
        <v>91128</v>
      </c>
      <c r="B624" s="5" t="s">
        <v>16253</v>
      </c>
      <c r="C624" s="5" t="s">
        <v>6420</v>
      </c>
      <c r="D624" s="5">
        <v>49</v>
      </c>
      <c r="E624" s="5" t="s">
        <v>380</v>
      </c>
      <c r="F624" s="5" t="s">
        <v>249</v>
      </c>
      <c r="G624" s="5" t="s">
        <v>6421</v>
      </c>
      <c r="H624" s="5" t="s">
        <v>6422</v>
      </c>
      <c r="I624" s="5" t="s">
        <v>6423</v>
      </c>
      <c r="J624" s="12">
        <v>46038</v>
      </c>
      <c r="K624" s="11">
        <v>0.75</v>
      </c>
      <c r="M624" s="10" t="s">
        <v>15480</v>
      </c>
      <c r="N624" s="12">
        <v>46038.729815613427</v>
      </c>
      <c r="O624" s="10" t="s">
        <v>15028</v>
      </c>
      <c r="P624" s="5" t="s">
        <v>14571</v>
      </c>
      <c r="Q624" s="5" t="s">
        <v>14572</v>
      </c>
      <c r="R624" s="5" t="s">
        <v>16254</v>
      </c>
      <c r="T624" s="5" t="s">
        <v>5994</v>
      </c>
      <c r="U624" s="5" t="s">
        <v>14593</v>
      </c>
      <c r="V624" s="5" t="s">
        <v>83</v>
      </c>
    </row>
    <row r="625" spans="1:23" ht="12.5">
      <c r="A625" s="5">
        <v>91129</v>
      </c>
      <c r="B625" s="5" t="s">
        <v>16255</v>
      </c>
      <c r="C625" s="5">
        <v>573003978829</v>
      </c>
      <c r="D625" s="5">
        <v>66</v>
      </c>
      <c r="E625" s="5" t="s">
        <v>576</v>
      </c>
      <c r="F625" s="5" t="s">
        <v>351</v>
      </c>
      <c r="G625" s="5" t="s">
        <v>6427</v>
      </c>
      <c r="H625" s="5" t="s">
        <v>6428</v>
      </c>
      <c r="I625" s="5">
        <v>3008237221</v>
      </c>
      <c r="J625" s="12">
        <v>46039</v>
      </c>
      <c r="K625" s="11">
        <v>0.45833333333212067</v>
      </c>
      <c r="M625" s="10" t="s">
        <v>16256</v>
      </c>
      <c r="N625" s="12">
        <v>46038.772594722221</v>
      </c>
      <c r="O625" s="10" t="s">
        <v>14786</v>
      </c>
      <c r="P625" s="5" t="s">
        <v>14571</v>
      </c>
      <c r="Q625" s="5" t="s">
        <v>14572</v>
      </c>
      <c r="R625" s="5" t="s">
        <v>16257</v>
      </c>
      <c r="T625" s="5" t="s">
        <v>5994</v>
      </c>
      <c r="U625" s="5" t="s">
        <v>14580</v>
      </c>
      <c r="V625" s="5" t="s">
        <v>83</v>
      </c>
    </row>
    <row r="626" spans="1:23" ht="12.5">
      <c r="A626" s="5">
        <v>91130</v>
      </c>
      <c r="B626" s="5" t="s">
        <v>16258</v>
      </c>
      <c r="C626" s="5">
        <v>573024528978</v>
      </c>
      <c r="D626" s="5">
        <v>38</v>
      </c>
      <c r="E626" s="5" t="s">
        <v>458</v>
      </c>
      <c r="F626" s="5" t="s">
        <v>307</v>
      </c>
      <c r="G626" s="5" t="s">
        <v>2856</v>
      </c>
      <c r="H626" s="5" t="s">
        <v>6433</v>
      </c>
      <c r="I626" s="5">
        <v>3017866052</v>
      </c>
      <c r="J626" s="12">
        <v>46039</v>
      </c>
      <c r="K626" s="11">
        <v>0.41666666666787933</v>
      </c>
      <c r="M626" s="10" t="s">
        <v>15278</v>
      </c>
      <c r="N626" s="12">
        <v>46039.328447037042</v>
      </c>
      <c r="O626" s="10" t="s">
        <v>15432</v>
      </c>
      <c r="P626" s="5" t="s">
        <v>14571</v>
      </c>
      <c r="Q626" s="5" t="s">
        <v>14578</v>
      </c>
      <c r="R626" s="5" t="s">
        <v>16259</v>
      </c>
      <c r="T626" s="5" t="s">
        <v>5994</v>
      </c>
      <c r="U626" s="5" t="s">
        <v>14618</v>
      </c>
      <c r="V626" s="5" t="s">
        <v>83</v>
      </c>
    </row>
    <row r="627" spans="1:23" ht="12.5">
      <c r="A627" s="5">
        <v>91131</v>
      </c>
      <c r="B627" s="5" t="s">
        <v>16260</v>
      </c>
      <c r="C627" s="5">
        <v>573235855703</v>
      </c>
      <c r="D627" s="5">
        <v>29</v>
      </c>
      <c r="E627" s="5" t="s">
        <v>309</v>
      </c>
      <c r="F627" s="5" t="s">
        <v>1047</v>
      </c>
      <c r="G627" s="5" t="s">
        <v>6437</v>
      </c>
      <c r="H627" s="5" t="s">
        <v>6438</v>
      </c>
      <c r="I627" s="5">
        <v>3005154140</v>
      </c>
      <c r="J627" s="12">
        <v>46039</v>
      </c>
      <c r="K627" s="11">
        <v>0.45833333333333331</v>
      </c>
      <c r="M627" s="10" t="s">
        <v>14899</v>
      </c>
      <c r="N627" s="12">
        <v>46039.340882141201</v>
      </c>
      <c r="O627" s="10" t="s">
        <v>15747</v>
      </c>
      <c r="P627" s="5" t="s">
        <v>14571</v>
      </c>
      <c r="Q627" s="5" t="s">
        <v>14612</v>
      </c>
      <c r="R627" s="5" t="s">
        <v>16261</v>
      </c>
      <c r="T627" s="5" t="s">
        <v>5994</v>
      </c>
      <c r="U627" s="5" t="s">
        <v>14580</v>
      </c>
      <c r="V627" s="5" t="s">
        <v>83</v>
      </c>
    </row>
    <row r="628" spans="1:23" ht="12.5">
      <c r="A628" s="5">
        <v>91132</v>
      </c>
      <c r="B628" s="5" t="s">
        <v>12734</v>
      </c>
      <c r="C628" s="5">
        <v>573041481574</v>
      </c>
      <c r="D628" s="5">
        <v>31</v>
      </c>
      <c r="E628" s="5" t="s">
        <v>375</v>
      </c>
      <c r="F628" s="5" t="s">
        <v>892</v>
      </c>
      <c r="G628" s="5" t="s">
        <v>2347</v>
      </c>
      <c r="H628" s="5" t="s">
        <v>6442</v>
      </c>
      <c r="I628" s="5">
        <v>3008082769</v>
      </c>
      <c r="J628" s="12">
        <v>46039</v>
      </c>
      <c r="K628" s="11">
        <v>0.45833333333212067</v>
      </c>
      <c r="M628" s="10" t="s">
        <v>14627</v>
      </c>
      <c r="N628" s="12">
        <v>46039.342461481487</v>
      </c>
      <c r="O628" s="10" t="s">
        <v>16262</v>
      </c>
      <c r="P628" s="5" t="s">
        <v>14571</v>
      </c>
      <c r="Q628" s="5" t="s">
        <v>14572</v>
      </c>
      <c r="R628" s="5" t="s">
        <v>16263</v>
      </c>
      <c r="T628" s="5" t="s">
        <v>5994</v>
      </c>
      <c r="U628" s="5" t="s">
        <v>14593</v>
      </c>
      <c r="V628" s="5" t="s">
        <v>83</v>
      </c>
    </row>
    <row r="629" spans="1:23" ht="12.5">
      <c r="A629" s="5">
        <v>91133</v>
      </c>
      <c r="B629" s="5" t="s">
        <v>16264</v>
      </c>
      <c r="C629" s="5">
        <v>573004631989</v>
      </c>
      <c r="D629" s="5">
        <v>45</v>
      </c>
      <c r="E629" s="5" t="s">
        <v>210</v>
      </c>
      <c r="F629" s="5" t="s">
        <v>229</v>
      </c>
      <c r="G629" s="5" t="s">
        <v>6445</v>
      </c>
      <c r="H629" s="5" t="s">
        <v>6446</v>
      </c>
      <c r="I629" s="5">
        <v>3013548310</v>
      </c>
      <c r="J629" s="12">
        <v>46045</v>
      </c>
      <c r="K629" s="11">
        <v>0.375</v>
      </c>
      <c r="M629" s="10" t="s">
        <v>16265</v>
      </c>
      <c r="N629" s="12">
        <v>46039.36839231482</v>
      </c>
      <c r="O629" s="10" t="s">
        <v>15909</v>
      </c>
      <c r="P629" s="5" t="s">
        <v>14571</v>
      </c>
      <c r="Q629" s="5" t="s">
        <v>14578</v>
      </c>
      <c r="R629" s="5" t="s">
        <v>16266</v>
      </c>
      <c r="T629" s="5" t="s">
        <v>5994</v>
      </c>
      <c r="U629" s="5"/>
      <c r="V629" s="5" t="s">
        <v>83</v>
      </c>
    </row>
    <row r="630" spans="1:23" ht="12.5">
      <c r="A630" s="5">
        <v>91134</v>
      </c>
      <c r="B630" s="5" t="s">
        <v>16267</v>
      </c>
      <c r="C630" s="5">
        <v>573106327688</v>
      </c>
      <c r="D630" s="5">
        <v>53</v>
      </c>
      <c r="E630" s="5" t="s">
        <v>75</v>
      </c>
      <c r="F630" s="5" t="s">
        <v>185</v>
      </c>
      <c r="G630" s="5" t="s">
        <v>6450</v>
      </c>
      <c r="H630" s="5" t="s">
        <v>6451</v>
      </c>
      <c r="J630" s="12">
        <v>46039</v>
      </c>
      <c r="K630" s="11">
        <v>0.66666666666787933</v>
      </c>
      <c r="M630" s="10" t="s">
        <v>14850</v>
      </c>
      <c r="N630" s="12">
        <v>46039.40782508102</v>
      </c>
      <c r="O630" s="10" t="s">
        <v>16268</v>
      </c>
      <c r="P630" s="5" t="s">
        <v>14571</v>
      </c>
      <c r="Q630" s="5" t="s">
        <v>14578</v>
      </c>
      <c r="R630" s="5" t="s">
        <v>16269</v>
      </c>
      <c r="T630" s="5" t="s">
        <v>5994</v>
      </c>
      <c r="U630" s="5" t="s">
        <v>14580</v>
      </c>
      <c r="V630" s="5" t="s">
        <v>1705</v>
      </c>
    </row>
    <row r="631" spans="1:23" ht="12.5">
      <c r="A631" s="5">
        <v>91135</v>
      </c>
      <c r="B631" s="5" t="s">
        <v>16270</v>
      </c>
      <c r="C631" s="5">
        <v>576552436</v>
      </c>
      <c r="D631" s="5">
        <v>62</v>
      </c>
      <c r="E631" s="5" t="s">
        <v>2586</v>
      </c>
      <c r="F631" s="5" t="s">
        <v>124</v>
      </c>
      <c r="G631" s="5" t="s">
        <v>6453</v>
      </c>
      <c r="H631" s="5" t="s">
        <v>6454</v>
      </c>
      <c r="I631" s="5">
        <v>3168248436</v>
      </c>
      <c r="J631" s="12">
        <v>46039</v>
      </c>
      <c r="K631" s="11">
        <v>0.45833333333212067</v>
      </c>
      <c r="M631" s="10" t="s">
        <v>15767</v>
      </c>
      <c r="N631" s="12">
        <v>46039.384228854164</v>
      </c>
      <c r="O631" s="10" t="s">
        <v>15597</v>
      </c>
      <c r="P631" s="5" t="s">
        <v>14571</v>
      </c>
      <c r="Q631" s="5" t="s">
        <v>14612</v>
      </c>
      <c r="R631" s="5" t="s">
        <v>16271</v>
      </c>
      <c r="T631" s="5" t="s">
        <v>5994</v>
      </c>
      <c r="U631" s="5" t="s">
        <v>14775</v>
      </c>
      <c r="V631" s="5" t="s">
        <v>83</v>
      </c>
    </row>
    <row r="632" spans="1:23" ht="12.5">
      <c r="A632" s="5">
        <v>91136</v>
      </c>
      <c r="B632" s="5" t="s">
        <v>16272</v>
      </c>
      <c r="C632" s="5">
        <v>573164388124</v>
      </c>
      <c r="D632" s="5" t="s">
        <v>16273</v>
      </c>
      <c r="E632" s="5" t="s">
        <v>6459</v>
      </c>
      <c r="F632" s="5" t="s">
        <v>2631</v>
      </c>
      <c r="G632" s="5" t="s">
        <v>6457</v>
      </c>
      <c r="H632" s="5" t="s">
        <v>6458</v>
      </c>
      <c r="I632" s="5"/>
      <c r="J632" s="12">
        <v>46039</v>
      </c>
      <c r="K632" s="11">
        <v>0.45833333333212067</v>
      </c>
      <c r="M632" s="10" t="s">
        <v>16274</v>
      </c>
      <c r="N632" s="12">
        <v>46038.858429467597</v>
      </c>
      <c r="O632" s="10" t="s">
        <v>16275</v>
      </c>
      <c r="P632" s="5" t="s">
        <v>14571</v>
      </c>
      <c r="Q632" s="5" t="s">
        <v>14572</v>
      </c>
      <c r="R632" s="5" t="s">
        <v>16276</v>
      </c>
      <c r="T632" s="5" t="s">
        <v>5994</v>
      </c>
      <c r="U632" s="5" t="s">
        <v>14618</v>
      </c>
      <c r="V632" s="5" t="s">
        <v>83</v>
      </c>
      <c r="W632" s="5" t="s">
        <v>6462</v>
      </c>
    </row>
    <row r="633" spans="1:23" ht="12.5">
      <c r="A633" s="5">
        <v>91137</v>
      </c>
      <c r="B633" s="5" t="s">
        <v>6463</v>
      </c>
      <c r="C633" s="5">
        <v>573005587285</v>
      </c>
      <c r="D633" s="5">
        <v>95</v>
      </c>
      <c r="E633" s="5" t="s">
        <v>42</v>
      </c>
      <c r="F633" s="5" t="s">
        <v>33</v>
      </c>
      <c r="G633" s="5" t="s">
        <v>6463</v>
      </c>
      <c r="H633" s="5" t="s">
        <v>34</v>
      </c>
      <c r="I633" s="5">
        <v>3005587285</v>
      </c>
      <c r="J633" s="12">
        <v>46039</v>
      </c>
      <c r="K633" s="11">
        <v>0</v>
      </c>
      <c r="M633" s="10" t="s">
        <v>16073</v>
      </c>
      <c r="N633" s="12">
        <v>46039.435186145834</v>
      </c>
      <c r="O633" s="10" t="s">
        <v>16277</v>
      </c>
      <c r="P633" s="5" t="s">
        <v>14571</v>
      </c>
      <c r="Q633" s="5" t="s">
        <v>14578</v>
      </c>
      <c r="R633" s="5" t="s">
        <v>16278</v>
      </c>
      <c r="T633" s="5" t="s">
        <v>14574</v>
      </c>
      <c r="U633" s="5" t="s">
        <v>33</v>
      </c>
      <c r="V633" s="5" t="s">
        <v>83</v>
      </c>
    </row>
    <row r="634" spans="1:23" ht="12.5">
      <c r="A634" s="5">
        <v>91138</v>
      </c>
      <c r="B634" s="5" t="s">
        <v>6406</v>
      </c>
      <c r="C634" s="5">
        <v>573152358173</v>
      </c>
      <c r="D634" s="5" t="s">
        <v>14589</v>
      </c>
      <c r="E634" s="5" t="s">
        <v>525</v>
      </c>
      <c r="G634" s="5" t="s">
        <v>6406</v>
      </c>
      <c r="H634" s="5" t="s">
        <v>6464</v>
      </c>
      <c r="I634" s="5">
        <v>3152358173</v>
      </c>
      <c r="J634" s="12">
        <v>46039</v>
      </c>
      <c r="K634" s="11">
        <v>0</v>
      </c>
      <c r="M634" s="10" t="s">
        <v>16279</v>
      </c>
      <c r="N634" s="12">
        <v>46039.437372083332</v>
      </c>
      <c r="O634" s="10" t="s">
        <v>15091</v>
      </c>
      <c r="P634" s="5" t="s">
        <v>14571</v>
      </c>
      <c r="Q634" s="5" t="s">
        <v>14578</v>
      </c>
      <c r="R634" s="5" t="s">
        <v>16280</v>
      </c>
      <c r="T634" s="5" t="s">
        <v>5994</v>
      </c>
      <c r="V634" s="5" t="s">
        <v>67</v>
      </c>
    </row>
    <row r="635" spans="1:23" ht="12.5">
      <c r="A635" s="5">
        <v>91139</v>
      </c>
      <c r="B635" s="5" t="s">
        <v>16281</v>
      </c>
      <c r="C635" s="5">
        <v>13054292214</v>
      </c>
      <c r="D635" s="5">
        <v>23</v>
      </c>
      <c r="E635" s="5" t="s">
        <v>50</v>
      </c>
      <c r="F635" s="5" t="s">
        <v>161</v>
      </c>
      <c r="G635" s="5" t="s">
        <v>6467</v>
      </c>
      <c r="H635" s="5" t="s">
        <v>6468</v>
      </c>
      <c r="I635" s="5"/>
      <c r="J635" s="12">
        <v>46039</v>
      </c>
      <c r="K635" s="11">
        <v>0.47916666666787933</v>
      </c>
      <c r="M635" s="10" t="s">
        <v>14890</v>
      </c>
      <c r="N635" s="12">
        <v>46039.419760486111</v>
      </c>
      <c r="O635" s="10" t="s">
        <v>15412</v>
      </c>
      <c r="P635" s="5" t="s">
        <v>14571</v>
      </c>
      <c r="Q635" s="5" t="s">
        <v>14572</v>
      </c>
      <c r="R635" s="5" t="s">
        <v>16282</v>
      </c>
      <c r="T635" s="5" t="s">
        <v>5994</v>
      </c>
      <c r="U635" s="5" t="s">
        <v>14593</v>
      </c>
      <c r="V635" s="5" t="s">
        <v>1705</v>
      </c>
    </row>
    <row r="636" spans="1:23" ht="12.5">
      <c r="A636" s="5">
        <v>91140</v>
      </c>
      <c r="B636" s="5" t="s">
        <v>16283</v>
      </c>
      <c r="C636" s="5">
        <v>570000</v>
      </c>
      <c r="D636" s="5">
        <v>95</v>
      </c>
      <c r="E636" s="5" t="s">
        <v>42</v>
      </c>
      <c r="F636" s="5" t="s">
        <v>33</v>
      </c>
      <c r="G636" s="5" t="s">
        <v>6471</v>
      </c>
      <c r="H636" s="5" t="s">
        <v>34</v>
      </c>
      <c r="I636" s="10" t="s">
        <v>2686</v>
      </c>
      <c r="J636" s="12">
        <v>46039</v>
      </c>
      <c r="K636" s="11">
        <v>0</v>
      </c>
      <c r="M636" s="10" t="s">
        <v>14702</v>
      </c>
      <c r="N636" s="12">
        <v>46039.461186793982</v>
      </c>
      <c r="O636" s="10" t="s">
        <v>16284</v>
      </c>
      <c r="P636" s="5" t="s">
        <v>14571</v>
      </c>
      <c r="Q636" s="5" t="s">
        <v>14612</v>
      </c>
      <c r="R636" s="5" t="s">
        <v>16285</v>
      </c>
      <c r="T636" s="5" t="s">
        <v>14574</v>
      </c>
      <c r="U636" s="5" t="s">
        <v>33</v>
      </c>
      <c r="V636" s="5" t="s">
        <v>196</v>
      </c>
      <c r="W636" s="5" t="s">
        <v>5325</v>
      </c>
    </row>
    <row r="637" spans="1:23" ht="12.5">
      <c r="A637" s="5">
        <v>91141</v>
      </c>
      <c r="B637" s="5" t="s">
        <v>16286</v>
      </c>
      <c r="C637" s="5">
        <v>573017540552</v>
      </c>
      <c r="D637" s="5">
        <v>52</v>
      </c>
      <c r="E637" s="5" t="s">
        <v>178</v>
      </c>
      <c r="F637" s="5" t="s">
        <v>185</v>
      </c>
      <c r="G637" s="5" t="s">
        <v>6472</v>
      </c>
      <c r="H637" s="5" t="s">
        <v>6473</v>
      </c>
      <c r="J637" s="12">
        <v>46039</v>
      </c>
      <c r="K637" s="11">
        <v>0.54166666666787933</v>
      </c>
      <c r="M637" s="10" t="s">
        <v>15043</v>
      </c>
      <c r="N637" s="12">
        <v>46039.462384513885</v>
      </c>
      <c r="O637" s="10" t="s">
        <v>16287</v>
      </c>
      <c r="P637" s="5" t="s">
        <v>14571</v>
      </c>
      <c r="Q637" s="5" t="s">
        <v>14572</v>
      </c>
      <c r="R637" s="5" t="s">
        <v>16288</v>
      </c>
      <c r="T637" s="5" t="s">
        <v>5994</v>
      </c>
      <c r="U637" s="5" t="s">
        <v>14580</v>
      </c>
      <c r="V637" s="5" t="s">
        <v>67</v>
      </c>
    </row>
    <row r="638" spans="1:23" ht="12.5">
      <c r="A638" s="5">
        <v>91142</v>
      </c>
      <c r="B638" s="5" t="s">
        <v>6478</v>
      </c>
      <c r="C638" s="5">
        <v>573008496429</v>
      </c>
      <c r="D638" s="5">
        <v>95</v>
      </c>
      <c r="E638" s="5" t="s">
        <v>42</v>
      </c>
      <c r="F638" s="5" t="s">
        <v>33</v>
      </c>
      <c r="G638" s="5" t="s">
        <v>6478</v>
      </c>
      <c r="H638" s="5" t="s">
        <v>34</v>
      </c>
      <c r="I638" s="5">
        <v>3008496429</v>
      </c>
      <c r="J638" s="12">
        <v>46039</v>
      </c>
      <c r="K638" s="11">
        <v>0</v>
      </c>
      <c r="M638" s="10" t="s">
        <v>14585</v>
      </c>
      <c r="N638" s="12">
        <v>46039.491496111106</v>
      </c>
      <c r="O638" s="10" t="s">
        <v>16289</v>
      </c>
      <c r="P638" s="5" t="s">
        <v>14571</v>
      </c>
      <c r="Q638" s="5" t="s">
        <v>14572</v>
      </c>
      <c r="R638" s="5" t="s">
        <v>16290</v>
      </c>
      <c r="T638" s="5" t="s">
        <v>14574</v>
      </c>
      <c r="U638" s="5" t="s">
        <v>33</v>
      </c>
      <c r="V638" s="5" t="s">
        <v>1705</v>
      </c>
      <c r="W638" s="5" t="s">
        <v>525</v>
      </c>
    </row>
    <row r="639" spans="1:23" ht="12.5">
      <c r="A639" s="5">
        <v>91143</v>
      </c>
      <c r="B639" s="5" t="s">
        <v>6481</v>
      </c>
      <c r="C639" s="5">
        <v>573122546838</v>
      </c>
      <c r="D639" s="5">
        <v>95</v>
      </c>
      <c r="E639" s="5" t="s">
        <v>42</v>
      </c>
      <c r="F639" s="5" t="s">
        <v>33</v>
      </c>
      <c r="G639" s="5" t="s">
        <v>6481</v>
      </c>
      <c r="H639" s="5" t="s">
        <v>34</v>
      </c>
      <c r="I639" s="5">
        <v>3122546838</v>
      </c>
      <c r="J639" s="12">
        <v>46039</v>
      </c>
      <c r="K639" s="11">
        <v>0</v>
      </c>
      <c r="M639" s="10" t="s">
        <v>16003</v>
      </c>
      <c r="N639" s="12">
        <v>46039.493529293977</v>
      </c>
      <c r="O639" s="10" t="s">
        <v>14752</v>
      </c>
      <c r="P639" s="5" t="s">
        <v>16291</v>
      </c>
      <c r="Q639" s="5" t="s">
        <v>14699</v>
      </c>
      <c r="R639" s="5" t="s">
        <v>16292</v>
      </c>
      <c r="T639" s="5" t="s">
        <v>14574</v>
      </c>
      <c r="U639" s="5" t="s">
        <v>33</v>
      </c>
      <c r="V639" s="5" t="s">
        <v>1705</v>
      </c>
      <c r="W639" s="5" t="s">
        <v>525</v>
      </c>
    </row>
    <row r="640" spans="1:23" ht="12.5">
      <c r="A640" s="5">
        <v>91144</v>
      </c>
      <c r="B640" s="5" t="s">
        <v>16293</v>
      </c>
      <c r="C640" s="5">
        <v>573203854828</v>
      </c>
      <c r="D640" s="5">
        <v>66</v>
      </c>
      <c r="E640" s="5" t="s">
        <v>576</v>
      </c>
      <c r="F640" s="5" t="s">
        <v>154</v>
      </c>
      <c r="G640" s="5" t="s">
        <v>6483</v>
      </c>
      <c r="H640" s="5" t="s">
        <v>6484</v>
      </c>
      <c r="J640" s="12">
        <v>46039</v>
      </c>
      <c r="K640" s="11">
        <v>0.54166666666787933</v>
      </c>
      <c r="M640" s="10" t="s">
        <v>15248</v>
      </c>
      <c r="N640" s="12">
        <v>46039.468191527776</v>
      </c>
      <c r="O640" s="10" t="s">
        <v>16294</v>
      </c>
      <c r="P640" s="5" t="s">
        <v>14571</v>
      </c>
      <c r="Q640" s="5" t="s">
        <v>14578</v>
      </c>
      <c r="R640" s="5" t="s">
        <v>16295</v>
      </c>
      <c r="T640" s="5" t="s">
        <v>5994</v>
      </c>
      <c r="U640" s="5" t="s">
        <v>14593</v>
      </c>
      <c r="V640" s="5" t="s">
        <v>83</v>
      </c>
    </row>
    <row r="641" spans="1:23" ht="12.5">
      <c r="A641" s="5">
        <v>91145</v>
      </c>
      <c r="B641" s="5" t="s">
        <v>6489</v>
      </c>
      <c r="C641" s="5">
        <v>573122995559</v>
      </c>
      <c r="D641" s="5">
        <v>95</v>
      </c>
      <c r="E641" s="5" t="s">
        <v>42</v>
      </c>
      <c r="F641" s="5" t="s">
        <v>33</v>
      </c>
      <c r="G641" s="5" t="s">
        <v>6489</v>
      </c>
      <c r="H641" s="5" t="s">
        <v>34</v>
      </c>
      <c r="I641" s="5">
        <v>3122995559</v>
      </c>
      <c r="J641" s="12">
        <v>46039</v>
      </c>
      <c r="K641" s="11">
        <v>0</v>
      </c>
      <c r="M641" s="10" t="s">
        <v>14835</v>
      </c>
      <c r="N641" s="12">
        <v>46039.502993344911</v>
      </c>
      <c r="O641" s="10" t="s">
        <v>15404</v>
      </c>
      <c r="P641" s="5" t="s">
        <v>14571</v>
      </c>
      <c r="Q641" s="5" t="s">
        <v>14578</v>
      </c>
      <c r="R641" s="5" t="s">
        <v>16296</v>
      </c>
      <c r="T641" s="5" t="s">
        <v>14574</v>
      </c>
      <c r="U641" s="5" t="s">
        <v>33</v>
      </c>
      <c r="V641" s="5" t="s">
        <v>83</v>
      </c>
      <c r="W641" s="5" t="s">
        <v>525</v>
      </c>
    </row>
    <row r="642" spans="1:23" ht="12.5">
      <c r="A642" s="5">
        <v>91146</v>
      </c>
      <c r="B642" s="5" t="s">
        <v>12263</v>
      </c>
      <c r="C642" s="5">
        <v>573136478008</v>
      </c>
      <c r="D642" s="5" t="s">
        <v>14589</v>
      </c>
      <c r="E642" s="5" t="s">
        <v>6493</v>
      </c>
      <c r="F642" s="5" t="s">
        <v>249</v>
      </c>
      <c r="G642" s="5" t="s">
        <v>6491</v>
      </c>
      <c r="H642" s="5" t="s">
        <v>6492</v>
      </c>
      <c r="I642" s="5">
        <v>3104032481</v>
      </c>
      <c r="J642" s="12">
        <v>46039</v>
      </c>
      <c r="K642" s="11">
        <v>0</v>
      </c>
      <c r="M642" s="10" t="s">
        <v>15594</v>
      </c>
      <c r="N642" s="12">
        <v>46039.504222511576</v>
      </c>
      <c r="O642" s="10" t="s">
        <v>16297</v>
      </c>
      <c r="P642" s="5" t="s">
        <v>14571</v>
      </c>
      <c r="Q642" s="5" t="s">
        <v>14612</v>
      </c>
      <c r="R642" s="5" t="s">
        <v>16298</v>
      </c>
      <c r="T642" s="5" t="s">
        <v>5994</v>
      </c>
      <c r="U642" s="5" t="s">
        <v>14593</v>
      </c>
      <c r="V642" s="5" t="s">
        <v>83</v>
      </c>
      <c r="W642" s="5" t="s">
        <v>6495</v>
      </c>
    </row>
    <row r="643" spans="1:23" ht="12.5">
      <c r="A643" s="5">
        <v>91147</v>
      </c>
      <c r="B643" s="5" t="s">
        <v>6498</v>
      </c>
      <c r="C643" s="5">
        <v>573162790617</v>
      </c>
      <c r="D643" s="5">
        <v>1</v>
      </c>
      <c r="E643" s="5" t="s">
        <v>5730</v>
      </c>
      <c r="G643" s="5" t="s">
        <v>6498</v>
      </c>
      <c r="H643" s="5" t="s">
        <v>6499</v>
      </c>
      <c r="I643" s="5"/>
      <c r="J643" s="12">
        <v>46039</v>
      </c>
      <c r="K643" s="11">
        <v>0.625</v>
      </c>
      <c r="M643" s="10" t="s">
        <v>15480</v>
      </c>
      <c r="N643" s="12">
        <v>46039.503574108792</v>
      </c>
      <c r="O643" s="10" t="s">
        <v>14744</v>
      </c>
      <c r="P643" s="5" t="s">
        <v>14571</v>
      </c>
      <c r="Q643" s="5" t="s">
        <v>14612</v>
      </c>
      <c r="R643" s="5" t="s">
        <v>16299</v>
      </c>
      <c r="T643" s="5" t="s">
        <v>5994</v>
      </c>
      <c r="V643" s="5" t="s">
        <v>83</v>
      </c>
    </row>
    <row r="644" spans="1:23" ht="12.5">
      <c r="A644" s="5">
        <v>91148</v>
      </c>
      <c r="B644" s="5" t="s">
        <v>6502</v>
      </c>
      <c r="C644" s="10" t="s">
        <v>16300</v>
      </c>
      <c r="D644" s="5">
        <v>42</v>
      </c>
      <c r="E644" s="5" t="s">
        <v>649</v>
      </c>
      <c r="F644" s="5" t="s">
        <v>33</v>
      </c>
      <c r="G644" s="5" t="s">
        <v>6502</v>
      </c>
      <c r="H644" s="5" t="s">
        <v>34</v>
      </c>
      <c r="I644" s="5">
        <v>3002182349</v>
      </c>
      <c r="J644" s="12">
        <v>46039</v>
      </c>
      <c r="K644" s="11">
        <v>0.58333333333333337</v>
      </c>
      <c r="M644" s="10" t="s">
        <v>14712</v>
      </c>
      <c r="N644" s="12">
        <v>46039</v>
      </c>
      <c r="O644" s="10" t="s">
        <v>14738</v>
      </c>
      <c r="P644" s="5" t="s">
        <v>14571</v>
      </c>
      <c r="Q644" s="5" t="s">
        <v>14572</v>
      </c>
      <c r="R644" s="5" t="s">
        <v>16301</v>
      </c>
      <c r="T644" s="5" t="s">
        <v>14574</v>
      </c>
      <c r="U644" s="5" t="s">
        <v>33</v>
      </c>
      <c r="V644" s="5" t="s">
        <v>83</v>
      </c>
    </row>
    <row r="645" spans="1:23" ht="12.5">
      <c r="A645" s="5">
        <v>91149</v>
      </c>
      <c r="B645" s="5" t="s">
        <v>6506</v>
      </c>
      <c r="C645" s="5">
        <v>573185530632</v>
      </c>
      <c r="D645" s="5">
        <v>95</v>
      </c>
      <c r="E645" s="5" t="s">
        <v>42</v>
      </c>
      <c r="F645" s="5" t="s">
        <v>33</v>
      </c>
      <c r="G645" s="5" t="s">
        <v>6506</v>
      </c>
      <c r="H645" s="5" t="s">
        <v>34</v>
      </c>
      <c r="I645" s="5">
        <v>3185530632</v>
      </c>
      <c r="J645" s="12">
        <v>46039</v>
      </c>
      <c r="K645" s="11">
        <v>0</v>
      </c>
      <c r="M645" s="10" t="s">
        <v>15179</v>
      </c>
      <c r="N645" s="12">
        <v>46039.527586712968</v>
      </c>
      <c r="O645" s="10" t="s">
        <v>16302</v>
      </c>
      <c r="P645" s="5" t="s">
        <v>14571</v>
      </c>
      <c r="Q645" s="5" t="s">
        <v>14572</v>
      </c>
      <c r="R645" s="5" t="s">
        <v>16303</v>
      </c>
      <c r="T645" s="5" t="s">
        <v>14574</v>
      </c>
      <c r="U645" s="5" t="s">
        <v>33</v>
      </c>
      <c r="V645" s="5" t="s">
        <v>1705</v>
      </c>
      <c r="W645" s="5" t="s">
        <v>6507</v>
      </c>
    </row>
    <row r="646" spans="1:23" ht="12.5">
      <c r="A646" s="5">
        <v>91150</v>
      </c>
      <c r="B646" s="5" t="s">
        <v>16304</v>
      </c>
      <c r="C646" s="5">
        <v>573143302416</v>
      </c>
      <c r="D646" s="5">
        <v>95</v>
      </c>
      <c r="E646" s="5" t="s">
        <v>42</v>
      </c>
      <c r="F646" s="5" t="s">
        <v>103</v>
      </c>
      <c r="G646" s="5" t="s">
        <v>6510</v>
      </c>
      <c r="H646" s="5" t="s">
        <v>6511</v>
      </c>
      <c r="I646" s="5" t="s">
        <v>6512</v>
      </c>
      <c r="J646" s="12">
        <v>46039</v>
      </c>
      <c r="K646" s="11">
        <v>0</v>
      </c>
      <c r="M646" s="10" t="s">
        <v>14873</v>
      </c>
      <c r="N646" s="12">
        <v>46039.532401562501</v>
      </c>
      <c r="O646" s="10" t="s">
        <v>16305</v>
      </c>
      <c r="P646" s="5" t="s">
        <v>14571</v>
      </c>
      <c r="Q646" s="5" t="s">
        <v>14572</v>
      </c>
      <c r="R646" s="5" t="s">
        <v>16306</v>
      </c>
      <c r="T646" s="5" t="s">
        <v>5994</v>
      </c>
      <c r="U646" s="5" t="s">
        <v>14593</v>
      </c>
      <c r="V646" s="5" t="s">
        <v>83</v>
      </c>
      <c r="W646" s="5" t="s">
        <v>6513</v>
      </c>
    </row>
    <row r="647" spans="1:23" ht="12.5">
      <c r="A647" s="5">
        <v>91151</v>
      </c>
      <c r="B647" s="5" t="s">
        <v>6516</v>
      </c>
      <c r="C647" s="5">
        <v>57000000</v>
      </c>
      <c r="D647" s="5">
        <v>95</v>
      </c>
      <c r="E647" s="5" t="s">
        <v>42</v>
      </c>
      <c r="F647" s="5" t="s">
        <v>33</v>
      </c>
      <c r="G647" s="5" t="s">
        <v>6516</v>
      </c>
      <c r="H647" s="5" t="s">
        <v>34</v>
      </c>
      <c r="J647" s="12">
        <v>46039</v>
      </c>
      <c r="K647" s="11">
        <v>0</v>
      </c>
      <c r="M647" s="10" t="s">
        <v>14705</v>
      </c>
      <c r="N647" s="12">
        <v>46039.537875358801</v>
      </c>
      <c r="O647" s="10" t="s">
        <v>15620</v>
      </c>
      <c r="P647" s="5" t="s">
        <v>16291</v>
      </c>
      <c r="Q647" s="5" t="s">
        <v>14572</v>
      </c>
      <c r="R647" s="5" t="s">
        <v>16307</v>
      </c>
      <c r="T647" s="5" t="s">
        <v>14574</v>
      </c>
      <c r="U647" s="5" t="s">
        <v>33</v>
      </c>
      <c r="V647" s="5" t="s">
        <v>1705</v>
      </c>
      <c r="W647" s="5" t="s">
        <v>120</v>
      </c>
    </row>
    <row r="648" spans="1:23" ht="12.5">
      <c r="A648" s="5">
        <v>91152</v>
      </c>
      <c r="B648" s="5" t="s">
        <v>6518</v>
      </c>
      <c r="C648" s="10" t="s">
        <v>14799</v>
      </c>
      <c r="D648" s="5">
        <v>95</v>
      </c>
      <c r="E648" s="5" t="s">
        <v>42</v>
      </c>
      <c r="F648" s="5" t="s">
        <v>33</v>
      </c>
      <c r="G648" s="5" t="s">
        <v>6518</v>
      </c>
      <c r="H648" s="5" t="s">
        <v>34</v>
      </c>
      <c r="I648" s="10" t="s">
        <v>2686</v>
      </c>
      <c r="J648" s="12">
        <v>46039</v>
      </c>
      <c r="K648" s="11">
        <v>0</v>
      </c>
      <c r="M648" s="10" t="s">
        <v>16308</v>
      </c>
      <c r="N648" s="12">
        <v>46039</v>
      </c>
      <c r="O648" s="10" t="s">
        <v>14628</v>
      </c>
      <c r="P648" s="5" t="s">
        <v>16291</v>
      </c>
      <c r="Q648" s="5" t="s">
        <v>14699</v>
      </c>
      <c r="R648" s="5" t="s">
        <v>16309</v>
      </c>
      <c r="T648" s="5" t="s">
        <v>14574</v>
      </c>
      <c r="U648" s="5" t="s">
        <v>33</v>
      </c>
      <c r="V648" s="5" t="s">
        <v>196</v>
      </c>
      <c r="W648" s="5" t="s">
        <v>525</v>
      </c>
    </row>
    <row r="649" spans="1:23" ht="12.5">
      <c r="A649" s="5">
        <v>91153</v>
      </c>
      <c r="B649" s="5" t="s">
        <v>16310</v>
      </c>
      <c r="C649" s="10" t="s">
        <v>16311</v>
      </c>
      <c r="D649" s="5">
        <v>59</v>
      </c>
      <c r="E649" s="5" t="s">
        <v>148</v>
      </c>
      <c r="F649" s="5" t="s">
        <v>124</v>
      </c>
      <c r="G649" s="5" t="s">
        <v>6521</v>
      </c>
      <c r="H649" s="5" t="s">
        <v>6522</v>
      </c>
      <c r="I649" s="5"/>
      <c r="J649" s="12">
        <v>46039</v>
      </c>
      <c r="K649" s="11">
        <v>0.58333333333333337</v>
      </c>
      <c r="M649" s="10" t="s">
        <v>16312</v>
      </c>
      <c r="N649" s="12">
        <v>46039</v>
      </c>
      <c r="O649" s="10" t="s">
        <v>16313</v>
      </c>
      <c r="P649" s="5" t="s">
        <v>14571</v>
      </c>
      <c r="Q649" s="5" t="s">
        <v>14578</v>
      </c>
      <c r="R649" s="5" t="s">
        <v>16314</v>
      </c>
      <c r="T649" s="5" t="s">
        <v>5994</v>
      </c>
      <c r="U649" s="5" t="s">
        <v>14775</v>
      </c>
      <c r="V649" s="5" t="s">
        <v>83</v>
      </c>
      <c r="W649" s="5" t="s">
        <v>6525</v>
      </c>
    </row>
    <row r="650" spans="1:23" ht="12.5">
      <c r="A650" s="5">
        <v>91154</v>
      </c>
      <c r="B650" s="5" t="s">
        <v>6528</v>
      </c>
      <c r="C650" s="5">
        <v>573015587628</v>
      </c>
      <c r="D650" s="5" t="s">
        <v>14711</v>
      </c>
      <c r="E650" s="5" t="s">
        <v>6530</v>
      </c>
      <c r="F650" s="5" t="s">
        <v>73</v>
      </c>
      <c r="G650" s="5" t="s">
        <v>6528</v>
      </c>
      <c r="H650" s="5" t="s">
        <v>6529</v>
      </c>
      <c r="J650" s="12">
        <v>46039</v>
      </c>
      <c r="K650" s="11">
        <v>0.625</v>
      </c>
      <c r="M650" s="10" t="s">
        <v>14576</v>
      </c>
      <c r="N650" s="12">
        <v>46039.531579363422</v>
      </c>
      <c r="O650" s="10" t="s">
        <v>14731</v>
      </c>
      <c r="P650" s="5" t="s">
        <v>14571</v>
      </c>
      <c r="Q650" s="5" t="s">
        <v>14578</v>
      </c>
      <c r="R650" s="5" t="s">
        <v>16315</v>
      </c>
      <c r="T650" s="5" t="s">
        <v>5994</v>
      </c>
      <c r="U650" s="5" t="s">
        <v>14593</v>
      </c>
      <c r="V650" s="5" t="s">
        <v>180</v>
      </c>
    </row>
    <row r="651" spans="1:23" ht="12.5">
      <c r="A651" s="5">
        <v>91155</v>
      </c>
      <c r="B651" s="5" t="s">
        <v>16316</v>
      </c>
      <c r="C651" s="5">
        <v>573008463114</v>
      </c>
      <c r="D651" s="5">
        <v>20</v>
      </c>
      <c r="E651" s="5" t="s">
        <v>187</v>
      </c>
      <c r="F651" s="5" t="s">
        <v>103</v>
      </c>
      <c r="G651" s="5" t="s">
        <v>6531</v>
      </c>
      <c r="H651" s="5" t="s">
        <v>6532</v>
      </c>
      <c r="I651" s="5">
        <v>3008463114</v>
      </c>
      <c r="J651" s="12">
        <v>46040</v>
      </c>
      <c r="K651" s="11">
        <v>0.66666666666787933</v>
      </c>
      <c r="M651" s="10" t="s">
        <v>16317</v>
      </c>
      <c r="N651" s="12">
        <v>46039.498756597226</v>
      </c>
      <c r="O651" s="10" t="s">
        <v>16200</v>
      </c>
      <c r="P651" s="5" t="s">
        <v>14571</v>
      </c>
      <c r="Q651" s="5" t="s">
        <v>14612</v>
      </c>
      <c r="R651" s="5" t="s">
        <v>16318</v>
      </c>
      <c r="T651" s="5" t="s">
        <v>5994</v>
      </c>
      <c r="U651" s="5" t="s">
        <v>14593</v>
      </c>
      <c r="V651" s="5" t="s">
        <v>67</v>
      </c>
    </row>
    <row r="652" spans="1:23" ht="12.5">
      <c r="A652" s="5">
        <v>91156</v>
      </c>
      <c r="B652" s="5" t="s">
        <v>6535</v>
      </c>
      <c r="C652" s="10" t="s">
        <v>16319</v>
      </c>
      <c r="D652" s="5">
        <v>95</v>
      </c>
      <c r="E652" s="5" t="s">
        <v>42</v>
      </c>
      <c r="F652" s="5" t="s">
        <v>33</v>
      </c>
      <c r="G652" s="5" t="s">
        <v>6535</v>
      </c>
      <c r="H652" s="5" t="s">
        <v>34</v>
      </c>
      <c r="I652" s="5">
        <v>3015021488</v>
      </c>
      <c r="J652" s="12">
        <v>46039</v>
      </c>
      <c r="K652" s="11">
        <v>0</v>
      </c>
      <c r="M652" s="10" t="s">
        <v>14619</v>
      </c>
      <c r="N652" s="12">
        <v>46039</v>
      </c>
      <c r="O652" s="10" t="s">
        <v>16320</v>
      </c>
      <c r="P652" s="5" t="s">
        <v>14571</v>
      </c>
      <c r="Q652" s="5" t="s">
        <v>14612</v>
      </c>
      <c r="R652" s="5" t="s">
        <v>16321</v>
      </c>
      <c r="T652" s="5" t="s">
        <v>14574</v>
      </c>
      <c r="U652" s="5" t="s">
        <v>33</v>
      </c>
      <c r="V652" s="5" t="s">
        <v>1705</v>
      </c>
    </row>
    <row r="653" spans="1:23" ht="12.5">
      <c r="A653" s="5">
        <v>91157</v>
      </c>
      <c r="B653" s="5" t="s">
        <v>16322</v>
      </c>
      <c r="C653" s="5">
        <v>573205438136</v>
      </c>
      <c r="D653" s="5">
        <v>18</v>
      </c>
      <c r="E653" s="5" t="s">
        <v>370</v>
      </c>
      <c r="F653" s="5" t="s">
        <v>1047</v>
      </c>
      <c r="G653" s="5" t="s">
        <v>6538</v>
      </c>
      <c r="H653" s="5" t="s">
        <v>6539</v>
      </c>
      <c r="J653" s="12">
        <v>46039</v>
      </c>
      <c r="K653" s="11">
        <v>0.70833333333212067</v>
      </c>
      <c r="M653" s="10" t="s">
        <v>16323</v>
      </c>
      <c r="N653" s="12">
        <v>46039.586172881944</v>
      </c>
      <c r="O653" s="10" t="s">
        <v>15257</v>
      </c>
      <c r="P653" s="5" t="s">
        <v>14571</v>
      </c>
      <c r="Q653" s="5" t="s">
        <v>14572</v>
      </c>
      <c r="R653" s="5" t="s">
        <v>16324</v>
      </c>
      <c r="T653" s="5" t="s">
        <v>5994</v>
      </c>
      <c r="U653" s="5" t="s">
        <v>14580</v>
      </c>
      <c r="V653" s="5" t="s">
        <v>1705</v>
      </c>
    </row>
    <row r="654" spans="1:23" ht="12.5">
      <c r="A654" s="5">
        <v>91158</v>
      </c>
      <c r="B654" s="5" t="s">
        <v>16325</v>
      </c>
      <c r="C654" s="5">
        <v>573045405174</v>
      </c>
      <c r="D654" s="5">
        <v>22</v>
      </c>
      <c r="E654" s="5" t="s">
        <v>874</v>
      </c>
      <c r="F654" s="5" t="s">
        <v>73</v>
      </c>
      <c r="G654" s="5" t="s">
        <v>6543</v>
      </c>
      <c r="H654" s="5" t="s">
        <v>6544</v>
      </c>
      <c r="J654" s="12">
        <v>46041</v>
      </c>
      <c r="K654" s="11">
        <v>0.375</v>
      </c>
      <c r="M654" s="10" t="s">
        <v>14697</v>
      </c>
      <c r="N654" s="12">
        <v>46039.610381168983</v>
      </c>
      <c r="O654" s="10" t="s">
        <v>15547</v>
      </c>
      <c r="P654" s="5" t="s">
        <v>14571</v>
      </c>
      <c r="Q654" s="5" t="s">
        <v>14572</v>
      </c>
      <c r="R654" s="5" t="s">
        <v>16326</v>
      </c>
      <c r="T654" s="5" t="s">
        <v>5994</v>
      </c>
      <c r="U654" s="5" t="s">
        <v>14593</v>
      </c>
      <c r="V654" s="5" t="s">
        <v>67</v>
      </c>
      <c r="W654" s="5" t="s">
        <v>6546</v>
      </c>
    </row>
    <row r="655" spans="1:23" ht="12.5">
      <c r="A655" s="5">
        <v>91159</v>
      </c>
      <c r="B655" s="5" t="s">
        <v>16327</v>
      </c>
      <c r="C655" s="5">
        <v>573006377973</v>
      </c>
      <c r="D655" s="5">
        <v>95</v>
      </c>
      <c r="E655" s="5" t="s">
        <v>42</v>
      </c>
      <c r="F655" s="5" t="s">
        <v>964</v>
      </c>
      <c r="G655" s="5" t="s">
        <v>6548</v>
      </c>
      <c r="H655" s="5" t="s">
        <v>6549</v>
      </c>
      <c r="J655" s="12">
        <v>46043</v>
      </c>
      <c r="K655" s="11">
        <v>0.375</v>
      </c>
      <c r="M655" s="10" t="s">
        <v>15304</v>
      </c>
      <c r="N655" s="12">
        <v>46039.629806249999</v>
      </c>
      <c r="O655" s="10" t="s">
        <v>15947</v>
      </c>
      <c r="P655" s="5" t="s">
        <v>14571</v>
      </c>
      <c r="Q655" s="5" t="s">
        <v>14612</v>
      </c>
      <c r="R655" s="5" t="s">
        <v>16328</v>
      </c>
      <c r="T655" s="5" t="s">
        <v>5994</v>
      </c>
      <c r="U655" s="5" t="s">
        <v>14618</v>
      </c>
      <c r="V655" s="5" t="s">
        <v>67</v>
      </c>
      <c r="W655" s="5" t="s">
        <v>6551</v>
      </c>
    </row>
    <row r="656" spans="1:23" ht="12.5">
      <c r="A656" s="5">
        <v>91160</v>
      </c>
      <c r="B656" s="5" t="s">
        <v>11349</v>
      </c>
      <c r="C656" s="5">
        <v>573166569808</v>
      </c>
      <c r="D656" s="5">
        <v>41</v>
      </c>
      <c r="E656" s="5" t="s">
        <v>89</v>
      </c>
      <c r="F656" s="5" t="s">
        <v>265</v>
      </c>
      <c r="G656" s="5" t="s">
        <v>6552</v>
      </c>
      <c r="H656" s="5" t="s">
        <v>6553</v>
      </c>
      <c r="I656" s="5">
        <v>3166569808</v>
      </c>
      <c r="J656" s="12">
        <v>46041</v>
      </c>
      <c r="K656" s="11">
        <v>0.41666666666787933</v>
      </c>
      <c r="M656" s="10" t="s">
        <v>16329</v>
      </c>
      <c r="N656" s="12">
        <v>46039.570704143523</v>
      </c>
      <c r="O656" s="10" t="s">
        <v>16330</v>
      </c>
      <c r="P656" s="5" t="s">
        <v>14571</v>
      </c>
      <c r="Q656" s="5" t="s">
        <v>14572</v>
      </c>
      <c r="R656" s="5" t="s">
        <v>16331</v>
      </c>
      <c r="T656" s="5" t="s">
        <v>5994</v>
      </c>
      <c r="U656" s="5" t="s">
        <v>14691</v>
      </c>
      <c r="V656" s="5" t="s">
        <v>1705</v>
      </c>
      <c r="W656" s="5" t="s">
        <v>6556</v>
      </c>
    </row>
    <row r="657" spans="1:23" ht="12.5">
      <c r="A657" s="5">
        <v>91161</v>
      </c>
      <c r="B657" s="5" t="s">
        <v>6558</v>
      </c>
      <c r="C657" s="5">
        <v>573103616155</v>
      </c>
      <c r="D657" s="5">
        <v>95</v>
      </c>
      <c r="E657" s="5" t="s">
        <v>42</v>
      </c>
      <c r="F657" s="5" t="s">
        <v>33</v>
      </c>
      <c r="G657" s="5" t="s">
        <v>6558</v>
      </c>
      <c r="H657" s="5" t="s">
        <v>34</v>
      </c>
      <c r="I657" s="5">
        <v>3103616155</v>
      </c>
      <c r="J657" s="12">
        <v>46039</v>
      </c>
      <c r="K657" s="11">
        <v>0.66666666666787933</v>
      </c>
      <c r="M657" s="10" t="s">
        <v>14619</v>
      </c>
      <c r="N657" s="12">
        <v>46039.651800740743</v>
      </c>
      <c r="O657" s="10" t="s">
        <v>15882</v>
      </c>
      <c r="P657" s="5" t="s">
        <v>14571</v>
      </c>
      <c r="Q657" s="5" t="s">
        <v>14612</v>
      </c>
      <c r="R657" s="5" t="s">
        <v>16332</v>
      </c>
      <c r="T657" s="5" t="s">
        <v>14574</v>
      </c>
      <c r="U657" s="5" t="s">
        <v>33</v>
      </c>
      <c r="V657" s="5" t="s">
        <v>1705</v>
      </c>
      <c r="W657" s="5" t="s">
        <v>6559</v>
      </c>
    </row>
    <row r="658" spans="1:23" ht="12.5">
      <c r="A658" s="5">
        <v>91162</v>
      </c>
      <c r="B658" s="5" t="s">
        <v>6561</v>
      </c>
      <c r="C658" s="5">
        <v>573103633466</v>
      </c>
      <c r="D658" s="5">
        <v>95</v>
      </c>
      <c r="E658" s="5" t="s">
        <v>42</v>
      </c>
      <c r="G658" s="5" t="s">
        <v>6561</v>
      </c>
      <c r="H658" s="5" t="s">
        <v>6562</v>
      </c>
      <c r="J658" s="12">
        <v>46041</v>
      </c>
      <c r="K658" s="11">
        <v>0.375</v>
      </c>
      <c r="M658" s="10" t="s">
        <v>2686</v>
      </c>
      <c r="N658" s="12">
        <v>46044.659560185188</v>
      </c>
      <c r="O658" s="10" t="s">
        <v>15887</v>
      </c>
      <c r="P658" s="5" t="s">
        <v>14571</v>
      </c>
      <c r="Q658" s="5" t="s">
        <v>14572</v>
      </c>
      <c r="R658" s="5" t="s">
        <v>16333</v>
      </c>
      <c r="T658" s="5" t="s">
        <v>5994</v>
      </c>
      <c r="V658" s="5" t="s">
        <v>1705</v>
      </c>
      <c r="W658" s="5" t="s">
        <v>6563</v>
      </c>
    </row>
    <row r="659" spans="1:23" ht="12.5">
      <c r="A659" s="5">
        <v>91163</v>
      </c>
      <c r="B659" s="5" t="s">
        <v>16334</v>
      </c>
      <c r="C659" s="5">
        <v>573013390482</v>
      </c>
      <c r="D659" s="5">
        <v>32</v>
      </c>
      <c r="E659" s="5" t="s">
        <v>65</v>
      </c>
      <c r="F659" s="5" t="s">
        <v>63</v>
      </c>
      <c r="G659" s="5" t="s">
        <v>6565</v>
      </c>
      <c r="H659" s="5" t="s">
        <v>6566</v>
      </c>
      <c r="J659" s="12">
        <v>46039</v>
      </c>
      <c r="K659" s="11">
        <v>0</v>
      </c>
      <c r="M659" s="10" t="s">
        <v>14595</v>
      </c>
      <c r="N659" s="12">
        <v>46039.674713703702</v>
      </c>
      <c r="O659" s="10" t="s">
        <v>16335</v>
      </c>
      <c r="P659" s="5" t="s">
        <v>14571</v>
      </c>
      <c r="Q659" s="5" t="s">
        <v>14572</v>
      </c>
      <c r="R659" s="5" t="s">
        <v>16336</v>
      </c>
      <c r="T659" s="5" t="s">
        <v>5994</v>
      </c>
      <c r="U659" s="5" t="s">
        <v>14598</v>
      </c>
      <c r="V659" s="5" t="s">
        <v>67</v>
      </c>
    </row>
    <row r="660" spans="1:23" ht="12.5">
      <c r="A660" s="5">
        <v>91164</v>
      </c>
      <c r="B660" s="5" t="s">
        <v>16337</v>
      </c>
      <c r="C660" s="5">
        <v>19549946278</v>
      </c>
      <c r="D660" s="5">
        <v>30</v>
      </c>
      <c r="E660" s="5" t="s">
        <v>156</v>
      </c>
      <c r="F660" s="5" t="s">
        <v>401</v>
      </c>
      <c r="G660" s="5" t="s">
        <v>6570</v>
      </c>
      <c r="H660" s="5" t="s">
        <v>6571</v>
      </c>
      <c r="I660" s="5" t="s">
        <v>6572</v>
      </c>
      <c r="J660" s="12">
        <v>46039</v>
      </c>
      <c r="K660" s="11">
        <v>0.70833333333212067</v>
      </c>
      <c r="M660" s="10" t="s">
        <v>14832</v>
      </c>
      <c r="N660" s="12">
        <v>46039.674348993052</v>
      </c>
      <c r="O660" s="10" t="s">
        <v>14928</v>
      </c>
      <c r="P660" s="5" t="s">
        <v>14571</v>
      </c>
      <c r="Q660" s="5" t="s">
        <v>14612</v>
      </c>
      <c r="R660" s="5" t="s">
        <v>16338</v>
      </c>
      <c r="T660" s="5" t="s">
        <v>5994</v>
      </c>
      <c r="U660" s="5" t="s">
        <v>14618</v>
      </c>
      <c r="V660" s="5" t="s">
        <v>67</v>
      </c>
    </row>
    <row r="661" spans="1:23" ht="12.5">
      <c r="A661" s="5">
        <v>91165</v>
      </c>
      <c r="B661" s="5" t="s">
        <v>16339</v>
      </c>
      <c r="C661" s="5">
        <v>573006237979</v>
      </c>
      <c r="D661" s="5">
        <v>95</v>
      </c>
      <c r="E661" s="5" t="s">
        <v>42</v>
      </c>
      <c r="F661" s="5" t="s">
        <v>185</v>
      </c>
      <c r="G661" s="5" t="s">
        <v>6577</v>
      </c>
      <c r="H661" s="5" t="s">
        <v>6578</v>
      </c>
      <c r="J661" s="12">
        <v>46039</v>
      </c>
      <c r="K661" s="11">
        <v>0</v>
      </c>
      <c r="M661" s="10" t="s">
        <v>16340</v>
      </c>
      <c r="N661" s="12">
        <v>46039.691324861109</v>
      </c>
      <c r="O661" s="10" t="s">
        <v>14811</v>
      </c>
      <c r="P661" s="5" t="s">
        <v>14571</v>
      </c>
      <c r="Q661" s="5" t="s">
        <v>14578</v>
      </c>
      <c r="R661" s="5" t="s">
        <v>16341</v>
      </c>
      <c r="T661" s="5" t="s">
        <v>5994</v>
      </c>
      <c r="U661" s="5" t="s">
        <v>14580</v>
      </c>
      <c r="V661" s="5" t="s">
        <v>180</v>
      </c>
    </row>
    <row r="662" spans="1:23" ht="12.5">
      <c r="A662" s="5">
        <v>91166</v>
      </c>
      <c r="B662" s="5" t="s">
        <v>6581</v>
      </c>
      <c r="C662" s="5">
        <v>573232844922</v>
      </c>
      <c r="D662" s="5">
        <v>28</v>
      </c>
      <c r="E662" s="5" t="s">
        <v>435</v>
      </c>
      <c r="F662" s="5" t="s">
        <v>33</v>
      </c>
      <c r="G662" s="5" t="s">
        <v>6581</v>
      </c>
      <c r="H662" s="5" t="s">
        <v>34</v>
      </c>
      <c r="I662" s="5">
        <v>3232844922</v>
      </c>
      <c r="J662" s="12">
        <v>46041</v>
      </c>
      <c r="K662" s="11">
        <v>0.35416666666787933</v>
      </c>
      <c r="M662" s="10" t="s">
        <v>16222</v>
      </c>
      <c r="N662" s="12">
        <v>46041.291885949075</v>
      </c>
      <c r="O662" s="10" t="s">
        <v>16342</v>
      </c>
      <c r="P662" s="5" t="s">
        <v>14571</v>
      </c>
      <c r="Q662" s="5" t="s">
        <v>14572</v>
      </c>
      <c r="R662" s="5" t="s">
        <v>16343</v>
      </c>
      <c r="T662" s="5" t="s">
        <v>14574</v>
      </c>
      <c r="U662" s="5" t="s">
        <v>33</v>
      </c>
      <c r="V662" s="5" t="s">
        <v>43</v>
      </c>
      <c r="W662" s="5" t="s">
        <v>6582</v>
      </c>
    </row>
    <row r="663" spans="1:23" ht="12.5">
      <c r="A663" s="5">
        <v>91167</v>
      </c>
      <c r="B663" s="5" t="s">
        <v>6584</v>
      </c>
      <c r="C663" s="5"/>
      <c r="D663" s="5">
        <v>64</v>
      </c>
      <c r="E663" s="5" t="s">
        <v>133</v>
      </c>
      <c r="F663" s="5" t="s">
        <v>33</v>
      </c>
      <c r="G663" s="5" t="s">
        <v>6584</v>
      </c>
      <c r="H663" s="5" t="s">
        <v>34</v>
      </c>
      <c r="I663" s="5" t="s">
        <v>6585</v>
      </c>
      <c r="J663" s="12">
        <v>46041</v>
      </c>
      <c r="K663" s="11">
        <v>0</v>
      </c>
      <c r="M663" s="10" t="s">
        <v>14646</v>
      </c>
      <c r="N663" s="12">
        <v>46041.294515833331</v>
      </c>
      <c r="O663" s="10" t="s">
        <v>16344</v>
      </c>
      <c r="P663" s="5" t="s">
        <v>14571</v>
      </c>
      <c r="Q663" s="5" t="s">
        <v>14572</v>
      </c>
      <c r="R663" s="5" t="s">
        <v>16345</v>
      </c>
      <c r="T663" s="5" t="s">
        <v>14574</v>
      </c>
      <c r="U663" s="5" t="s">
        <v>33</v>
      </c>
      <c r="V663" s="5" t="s">
        <v>43</v>
      </c>
      <c r="W663" s="5" t="s">
        <v>6586</v>
      </c>
    </row>
    <row r="664" spans="1:23" ht="12.5">
      <c r="A664" s="5">
        <v>91168</v>
      </c>
      <c r="B664" s="5" t="s">
        <v>16346</v>
      </c>
      <c r="C664" s="5">
        <v>573016380968</v>
      </c>
      <c r="D664" s="5">
        <v>52</v>
      </c>
      <c r="E664" s="5" t="s">
        <v>178</v>
      </c>
      <c r="F664" s="5" t="s">
        <v>103</v>
      </c>
      <c r="G664" s="5" t="s">
        <v>6587</v>
      </c>
      <c r="H664" s="5" t="s">
        <v>6588</v>
      </c>
      <c r="I664" s="5">
        <v>3232936869</v>
      </c>
      <c r="J664" s="12">
        <v>46041</v>
      </c>
      <c r="K664" s="11">
        <v>0.375</v>
      </c>
      <c r="M664" s="10" t="s">
        <v>15594</v>
      </c>
      <c r="N664" s="12">
        <v>46040.532207951386</v>
      </c>
      <c r="O664" s="10" t="s">
        <v>16347</v>
      </c>
      <c r="P664" s="5" t="s">
        <v>14571</v>
      </c>
      <c r="Q664" s="5" t="s">
        <v>14572</v>
      </c>
      <c r="R664" s="5" t="s">
        <v>16348</v>
      </c>
      <c r="T664" s="5" t="s">
        <v>5994</v>
      </c>
      <c r="U664" s="5" t="s">
        <v>14593</v>
      </c>
      <c r="V664" s="5" t="s">
        <v>83</v>
      </c>
    </row>
    <row r="665" spans="1:23" ht="12.5">
      <c r="A665" s="5">
        <v>91169</v>
      </c>
      <c r="B665" s="5" t="s">
        <v>16349</v>
      </c>
      <c r="C665" s="5">
        <v>393518417532</v>
      </c>
      <c r="D665" s="5">
        <v>46</v>
      </c>
      <c r="E665" s="5" t="s">
        <v>1126</v>
      </c>
      <c r="F665" s="5" t="s">
        <v>229</v>
      </c>
      <c r="G665" s="5" t="s">
        <v>6593</v>
      </c>
      <c r="H665" s="5" t="s">
        <v>6594</v>
      </c>
      <c r="I665" s="5">
        <v>3156764196</v>
      </c>
      <c r="J665" s="12">
        <v>46045</v>
      </c>
      <c r="K665" s="11">
        <v>0</v>
      </c>
      <c r="M665" s="10" t="s">
        <v>16350</v>
      </c>
      <c r="N665" s="12">
        <v>46041.318000694446</v>
      </c>
      <c r="O665" s="10" t="s">
        <v>16351</v>
      </c>
      <c r="P665" s="5" t="s">
        <v>14571</v>
      </c>
      <c r="Q665" s="5" t="s">
        <v>14572</v>
      </c>
      <c r="R665" s="5" t="s">
        <v>16352</v>
      </c>
      <c r="T665" s="5" t="s">
        <v>5994</v>
      </c>
      <c r="U665" s="5"/>
      <c r="V665" s="5" t="s">
        <v>83</v>
      </c>
    </row>
    <row r="666" spans="1:23" ht="12.5">
      <c r="A666" s="5">
        <v>91170</v>
      </c>
      <c r="B666" s="5" t="s">
        <v>16353</v>
      </c>
      <c r="C666" s="5">
        <v>573148213832</v>
      </c>
      <c r="D666" s="5" t="s">
        <v>16354</v>
      </c>
      <c r="E666" s="5" t="s">
        <v>6601</v>
      </c>
      <c r="F666" s="5" t="s">
        <v>103</v>
      </c>
      <c r="G666" s="5" t="s">
        <v>6599</v>
      </c>
      <c r="H666" s="5" t="s">
        <v>6600</v>
      </c>
      <c r="J666" s="12">
        <v>46041</v>
      </c>
      <c r="K666" s="11">
        <v>0.58333333333212067</v>
      </c>
      <c r="M666" s="10" t="s">
        <v>15615</v>
      </c>
      <c r="N666" s="12">
        <v>46041.361003981481</v>
      </c>
      <c r="O666" s="10" t="s">
        <v>16355</v>
      </c>
      <c r="P666" s="5" t="s">
        <v>14571</v>
      </c>
      <c r="Q666" s="5" t="s">
        <v>14612</v>
      </c>
      <c r="R666" s="5" t="s">
        <v>16356</v>
      </c>
      <c r="T666" s="5" t="s">
        <v>5994</v>
      </c>
      <c r="U666" s="5" t="s">
        <v>14593</v>
      </c>
      <c r="V666" s="5" t="s">
        <v>196</v>
      </c>
    </row>
    <row r="667" spans="1:23" ht="12.5">
      <c r="A667" s="5">
        <v>91171</v>
      </c>
      <c r="B667" s="5" t="s">
        <v>16357</v>
      </c>
      <c r="C667" s="5">
        <v>573137458850</v>
      </c>
      <c r="D667" s="5">
        <v>63</v>
      </c>
      <c r="E667" s="5" t="s">
        <v>294</v>
      </c>
      <c r="F667" s="5" t="s">
        <v>73</v>
      </c>
      <c r="G667" s="5" t="s">
        <v>6605</v>
      </c>
      <c r="H667" s="5" t="s">
        <v>6606</v>
      </c>
      <c r="I667" s="5">
        <v>3002054429</v>
      </c>
      <c r="J667" s="12">
        <v>46041</v>
      </c>
      <c r="K667" s="11">
        <v>0.41666666666787933</v>
      </c>
      <c r="M667" s="10" t="s">
        <v>14657</v>
      </c>
      <c r="N667" s="12">
        <v>46041.365883032406</v>
      </c>
      <c r="O667" s="10" t="s">
        <v>16358</v>
      </c>
      <c r="P667" s="5" t="s">
        <v>14571</v>
      </c>
      <c r="Q667" s="5" t="s">
        <v>14578</v>
      </c>
      <c r="R667" s="5" t="s">
        <v>16359</v>
      </c>
      <c r="T667" s="5" t="s">
        <v>5994</v>
      </c>
      <c r="U667" s="5" t="s">
        <v>14593</v>
      </c>
      <c r="V667" s="5" t="s">
        <v>83</v>
      </c>
    </row>
    <row r="668" spans="1:23" ht="12.5">
      <c r="A668" s="5">
        <v>91172</v>
      </c>
      <c r="B668" s="5" t="s">
        <v>16360</v>
      </c>
      <c r="C668" s="5">
        <v>573008396748</v>
      </c>
      <c r="D668" s="5">
        <v>65</v>
      </c>
      <c r="E668" s="5" t="s">
        <v>322</v>
      </c>
      <c r="F668" s="5" t="s">
        <v>6612</v>
      </c>
      <c r="G668" s="5" t="s">
        <v>6611</v>
      </c>
      <c r="H668" s="5" t="s">
        <v>6613</v>
      </c>
      <c r="I668" s="5">
        <v>3008396748</v>
      </c>
      <c r="J668" s="12">
        <v>46041</v>
      </c>
      <c r="K668" s="11">
        <v>0.45833333333212067</v>
      </c>
      <c r="M668" s="10" t="s">
        <v>15384</v>
      </c>
      <c r="N668" s="12">
        <v>46041.360961076389</v>
      </c>
      <c r="O668" s="10" t="s">
        <v>15589</v>
      </c>
      <c r="P668" s="5" t="s">
        <v>14571</v>
      </c>
      <c r="Q668" s="5" t="s">
        <v>14572</v>
      </c>
      <c r="R668" s="5" t="s">
        <v>16361</v>
      </c>
      <c r="T668" s="5" t="s">
        <v>5994</v>
      </c>
      <c r="U668" s="5" t="s">
        <v>14593</v>
      </c>
      <c r="V668" s="5" t="s">
        <v>83</v>
      </c>
    </row>
    <row r="669" spans="1:23" ht="12.5">
      <c r="A669" s="5">
        <v>91173</v>
      </c>
      <c r="B669" s="5" t="s">
        <v>16362</v>
      </c>
      <c r="C669" s="5">
        <v>573022132088</v>
      </c>
      <c r="D669" s="5">
        <v>32</v>
      </c>
      <c r="E669" s="5" t="s">
        <v>65</v>
      </c>
      <c r="F669" s="5" t="s">
        <v>185</v>
      </c>
      <c r="G669" s="5" t="s">
        <v>6618</v>
      </c>
      <c r="H669" s="5" t="s">
        <v>6619</v>
      </c>
      <c r="I669" s="5">
        <v>3022132088</v>
      </c>
      <c r="J669" s="12">
        <v>46046</v>
      </c>
      <c r="K669" s="11">
        <v>0.41666666666787933</v>
      </c>
      <c r="M669" s="10" t="s">
        <v>14850</v>
      </c>
      <c r="N669" s="12">
        <v>46041.361103831019</v>
      </c>
      <c r="O669" s="10" t="s">
        <v>14677</v>
      </c>
      <c r="P669" s="5" t="s">
        <v>14571</v>
      </c>
      <c r="Q669" s="5" t="s">
        <v>14572</v>
      </c>
      <c r="R669" s="5" t="s">
        <v>16363</v>
      </c>
      <c r="T669" s="5" t="s">
        <v>5994</v>
      </c>
      <c r="U669" s="5" t="s">
        <v>14580</v>
      </c>
      <c r="V669" s="5" t="s">
        <v>83</v>
      </c>
      <c r="W669" s="5" t="s">
        <v>6622</v>
      </c>
    </row>
    <row r="670" spans="1:23" ht="12.5">
      <c r="A670" s="5">
        <v>91174</v>
      </c>
      <c r="B670" s="5" t="s">
        <v>16364</v>
      </c>
      <c r="C670" s="5">
        <v>573003289100</v>
      </c>
      <c r="D670" s="5">
        <v>30</v>
      </c>
      <c r="E670" s="5" t="s">
        <v>156</v>
      </c>
      <c r="F670" s="5" t="s">
        <v>185</v>
      </c>
      <c r="G670" s="5" t="s">
        <v>6625</v>
      </c>
      <c r="H670" s="5" t="s">
        <v>6626</v>
      </c>
      <c r="I670" s="5">
        <v>3003289100</v>
      </c>
      <c r="J670" s="12">
        <v>46041</v>
      </c>
      <c r="K670" s="11">
        <v>0</v>
      </c>
      <c r="M670" s="10" t="s">
        <v>14850</v>
      </c>
      <c r="N670" s="12">
        <v>46041.379091192124</v>
      </c>
      <c r="O670" s="10" t="s">
        <v>15173</v>
      </c>
      <c r="P670" s="5" t="s">
        <v>14571</v>
      </c>
      <c r="Q670" s="5" t="s">
        <v>14612</v>
      </c>
      <c r="R670" s="5" t="s">
        <v>16365</v>
      </c>
      <c r="T670" s="5" t="s">
        <v>5994</v>
      </c>
      <c r="U670" s="5" t="s">
        <v>14580</v>
      </c>
      <c r="V670" s="5" t="s">
        <v>196</v>
      </c>
      <c r="W670" s="5" t="s">
        <v>6629</v>
      </c>
    </row>
    <row r="671" spans="1:23" ht="12.5">
      <c r="A671" s="5">
        <v>91175</v>
      </c>
      <c r="B671" s="5" t="s">
        <v>16366</v>
      </c>
      <c r="C671" s="5">
        <v>573004520064</v>
      </c>
      <c r="D671" s="5">
        <v>26</v>
      </c>
      <c r="E671" s="5" t="s">
        <v>422</v>
      </c>
      <c r="F671" s="5" t="s">
        <v>4558</v>
      </c>
      <c r="G671" s="5" t="s">
        <v>6630</v>
      </c>
      <c r="H671" s="5" t="s">
        <v>6631</v>
      </c>
      <c r="I671" s="5" t="s">
        <v>6632</v>
      </c>
      <c r="J671" s="12">
        <v>46041</v>
      </c>
      <c r="K671" s="11">
        <v>0.41666666666787933</v>
      </c>
      <c r="M671" s="10" t="s">
        <v>15384</v>
      </c>
      <c r="N671" s="12">
        <v>46041.373937928242</v>
      </c>
      <c r="O671" s="10" t="s">
        <v>14673</v>
      </c>
      <c r="P671" s="5" t="s">
        <v>14571</v>
      </c>
      <c r="Q671" s="5" t="s">
        <v>14578</v>
      </c>
      <c r="R671" s="5" t="s">
        <v>16367</v>
      </c>
      <c r="T671" s="5" t="s">
        <v>5994</v>
      </c>
      <c r="U671" s="5" t="s">
        <v>14593</v>
      </c>
      <c r="V671" s="5" t="s">
        <v>1937</v>
      </c>
    </row>
    <row r="672" spans="1:23" ht="12.5">
      <c r="A672" s="5">
        <v>91176</v>
      </c>
      <c r="B672" s="5" t="s">
        <v>16368</v>
      </c>
      <c r="C672" s="5">
        <v>573004079805</v>
      </c>
      <c r="D672" s="5">
        <v>51</v>
      </c>
      <c r="E672" s="5" t="s">
        <v>384</v>
      </c>
      <c r="F672" s="5" t="s">
        <v>249</v>
      </c>
      <c r="G672" s="5" t="s">
        <v>6636</v>
      </c>
      <c r="H672" s="5" t="s">
        <v>6637</v>
      </c>
      <c r="I672" s="5">
        <v>3183976746</v>
      </c>
      <c r="J672" s="12">
        <v>46041</v>
      </c>
      <c r="K672" s="11">
        <v>0.41666666666787933</v>
      </c>
      <c r="M672" s="10" t="s">
        <v>14777</v>
      </c>
      <c r="N672" s="12">
        <v>46041.377170613428</v>
      </c>
      <c r="O672" s="10" t="s">
        <v>15678</v>
      </c>
      <c r="P672" s="5" t="s">
        <v>14571</v>
      </c>
      <c r="Q672" s="5" t="s">
        <v>14612</v>
      </c>
      <c r="R672" s="5" t="s">
        <v>16369</v>
      </c>
      <c r="T672" s="5" t="s">
        <v>5994</v>
      </c>
      <c r="U672" s="5" t="s">
        <v>14593</v>
      </c>
      <c r="V672" s="5" t="s">
        <v>83</v>
      </c>
    </row>
    <row r="673" spans="1:23" ht="12.5">
      <c r="A673" s="5">
        <v>91177</v>
      </c>
      <c r="B673" s="5" t="s">
        <v>6640</v>
      </c>
      <c r="C673" s="5">
        <v>5700000</v>
      </c>
      <c r="D673" s="5">
        <v>52</v>
      </c>
      <c r="E673" s="5" t="s">
        <v>178</v>
      </c>
      <c r="F673" s="5" t="s">
        <v>33</v>
      </c>
      <c r="G673" s="5" t="s">
        <v>6640</v>
      </c>
      <c r="H673" s="5" t="s">
        <v>34</v>
      </c>
      <c r="J673" s="12">
        <v>46041</v>
      </c>
      <c r="K673" s="11">
        <v>0</v>
      </c>
      <c r="M673" s="10" t="s">
        <v>15161</v>
      </c>
      <c r="N673" s="12">
        <v>46041.400025405092</v>
      </c>
      <c r="O673" s="10" t="s">
        <v>15755</v>
      </c>
      <c r="P673" s="5" t="s">
        <v>14571</v>
      </c>
      <c r="Q673" s="5" t="s">
        <v>14699</v>
      </c>
      <c r="R673" s="5" t="s">
        <v>16370</v>
      </c>
      <c r="T673" s="5" t="s">
        <v>14574</v>
      </c>
      <c r="U673" s="5" t="s">
        <v>33</v>
      </c>
      <c r="V673" s="5" t="s">
        <v>37</v>
      </c>
      <c r="W673" s="5" t="s">
        <v>6641</v>
      </c>
    </row>
    <row r="674" spans="1:23" ht="12.5">
      <c r="A674" s="5">
        <v>91178</v>
      </c>
      <c r="B674" s="5" t="s">
        <v>6643</v>
      </c>
      <c r="C674" s="5">
        <v>5711111</v>
      </c>
      <c r="D674" s="5">
        <v>53</v>
      </c>
      <c r="E674" s="5" t="s">
        <v>75</v>
      </c>
      <c r="F674" s="5" t="s">
        <v>33</v>
      </c>
      <c r="G674" s="5" t="s">
        <v>6643</v>
      </c>
      <c r="H674" s="5" t="s">
        <v>34</v>
      </c>
      <c r="I674" s="5">
        <v>11111</v>
      </c>
      <c r="J674" s="12">
        <v>46041</v>
      </c>
      <c r="K674" s="11">
        <v>0</v>
      </c>
      <c r="M674" s="10" t="s">
        <v>14585</v>
      </c>
      <c r="N674" s="12">
        <v>46041.408882002317</v>
      </c>
      <c r="O674" s="10" t="s">
        <v>16268</v>
      </c>
      <c r="P674" s="5" t="s">
        <v>14571</v>
      </c>
      <c r="Q674" s="5" t="s">
        <v>14699</v>
      </c>
      <c r="R674" s="5" t="s">
        <v>16371</v>
      </c>
      <c r="T674" s="5" t="s">
        <v>14574</v>
      </c>
      <c r="U674" s="5" t="s">
        <v>33</v>
      </c>
      <c r="V674" s="5" t="s">
        <v>1705</v>
      </c>
    </row>
    <row r="675" spans="1:23" ht="12.5">
      <c r="A675" s="5">
        <v>91179</v>
      </c>
      <c r="B675" s="5" t="s">
        <v>12230</v>
      </c>
      <c r="C675" s="5">
        <v>573218046491</v>
      </c>
      <c r="D675" s="5">
        <v>37</v>
      </c>
      <c r="E675" s="5" t="s">
        <v>1696</v>
      </c>
      <c r="G675" s="5" t="s">
        <v>6646</v>
      </c>
      <c r="H675" s="5" t="s">
        <v>6647</v>
      </c>
      <c r="J675" s="12">
        <v>46041</v>
      </c>
      <c r="K675" s="11">
        <v>0</v>
      </c>
      <c r="M675" s="10" t="s">
        <v>15002</v>
      </c>
      <c r="N675" s="12">
        <v>46041.425358865745</v>
      </c>
      <c r="O675" s="10" t="s">
        <v>14767</v>
      </c>
      <c r="P675" s="5" t="s">
        <v>14571</v>
      </c>
      <c r="Q675" s="5" t="s">
        <v>14572</v>
      </c>
      <c r="R675" s="5" t="s">
        <v>16372</v>
      </c>
      <c r="T675" s="5" t="s">
        <v>5994</v>
      </c>
      <c r="V675" s="5" t="s">
        <v>180</v>
      </c>
    </row>
    <row r="676" spans="1:23" ht="12.5">
      <c r="A676" s="5">
        <v>91180</v>
      </c>
      <c r="B676" s="5" t="s">
        <v>16373</v>
      </c>
      <c r="C676" s="5">
        <v>573002805372</v>
      </c>
      <c r="D676" s="5">
        <v>95</v>
      </c>
      <c r="E676" s="5" t="s">
        <v>42</v>
      </c>
      <c r="F676" s="5" t="s">
        <v>73</v>
      </c>
      <c r="G676" s="5" t="s">
        <v>6650</v>
      </c>
      <c r="H676" s="5" t="s">
        <v>6651</v>
      </c>
      <c r="I676" s="5"/>
      <c r="J676" s="12">
        <v>46041</v>
      </c>
      <c r="K676" s="11">
        <v>0.45833333333212067</v>
      </c>
      <c r="M676" s="10" t="s">
        <v>15845</v>
      </c>
      <c r="N676" s="12">
        <v>46041.414976365741</v>
      </c>
      <c r="O676" s="10" t="s">
        <v>16111</v>
      </c>
      <c r="P676" s="5" t="s">
        <v>14571</v>
      </c>
      <c r="Q676" s="5" t="s">
        <v>14578</v>
      </c>
      <c r="R676" s="5" t="s">
        <v>16374</v>
      </c>
      <c r="T676" s="5" t="s">
        <v>5994</v>
      </c>
      <c r="U676" s="5" t="s">
        <v>14593</v>
      </c>
      <c r="V676" s="5" t="s">
        <v>83</v>
      </c>
    </row>
    <row r="677" spans="1:23" ht="12.5">
      <c r="A677" s="5">
        <v>91181</v>
      </c>
      <c r="B677" s="5" t="s">
        <v>16375</v>
      </c>
      <c r="C677" s="5">
        <v>573150669065</v>
      </c>
      <c r="D677" s="5">
        <v>95</v>
      </c>
      <c r="E677" s="5" t="s">
        <v>42</v>
      </c>
      <c r="F677" s="5" t="s">
        <v>124</v>
      </c>
      <c r="G677" s="5" t="s">
        <v>6656</v>
      </c>
      <c r="H677" s="5" t="s">
        <v>6657</v>
      </c>
      <c r="I677" s="5">
        <v>3002349492</v>
      </c>
      <c r="J677" s="12">
        <v>46042</v>
      </c>
      <c r="K677" s="11">
        <v>0.375</v>
      </c>
      <c r="M677" s="10" t="s">
        <v>16376</v>
      </c>
      <c r="N677" s="12">
        <v>46041.393184618057</v>
      </c>
      <c r="O677" s="10" t="s">
        <v>16377</v>
      </c>
      <c r="P677" s="5" t="s">
        <v>14571</v>
      </c>
      <c r="Q677" s="5" t="s">
        <v>14578</v>
      </c>
      <c r="R677" s="5" t="s">
        <v>16378</v>
      </c>
      <c r="T677" s="5" t="s">
        <v>5994</v>
      </c>
      <c r="U677" s="5" t="s">
        <v>14775</v>
      </c>
      <c r="V677" s="5" t="s">
        <v>83</v>
      </c>
      <c r="W677" s="5" t="s">
        <v>6660</v>
      </c>
    </row>
    <row r="678" spans="1:23" ht="12.5">
      <c r="A678" s="5">
        <v>91182</v>
      </c>
      <c r="B678" s="5" t="s">
        <v>16379</v>
      </c>
      <c r="C678" s="5">
        <v>573006906441</v>
      </c>
      <c r="D678" s="5" t="s">
        <v>16380</v>
      </c>
      <c r="E678" s="5" t="s">
        <v>6664</v>
      </c>
      <c r="F678" s="5" t="s">
        <v>6662</v>
      </c>
      <c r="G678" s="5" t="s">
        <v>6661</v>
      </c>
      <c r="H678" s="5" t="s">
        <v>6663</v>
      </c>
      <c r="I678" s="5">
        <v>3006906441</v>
      </c>
      <c r="J678" s="12">
        <v>46042</v>
      </c>
      <c r="K678" s="11">
        <v>0.72916666666787933</v>
      </c>
      <c r="M678" s="10" t="s">
        <v>15102</v>
      </c>
      <c r="N678" s="12">
        <v>46041.446288344909</v>
      </c>
      <c r="O678" s="10" t="s">
        <v>14891</v>
      </c>
      <c r="P678" s="5" t="s">
        <v>14571</v>
      </c>
      <c r="Q678" s="5" t="s">
        <v>14572</v>
      </c>
      <c r="R678" s="5" t="s">
        <v>16381</v>
      </c>
      <c r="T678" s="5" t="s">
        <v>5994</v>
      </c>
      <c r="U678" s="5" t="s">
        <v>14580</v>
      </c>
      <c r="V678" s="5" t="s">
        <v>83</v>
      </c>
    </row>
    <row r="679" spans="1:23" ht="12.5">
      <c r="A679" s="5">
        <v>91183</v>
      </c>
      <c r="B679" s="5" t="s">
        <v>6668</v>
      </c>
      <c r="C679" s="5">
        <v>573212304332</v>
      </c>
      <c r="D679" s="5">
        <v>53</v>
      </c>
      <c r="E679" s="5" t="s">
        <v>75</v>
      </c>
      <c r="F679" s="5" t="s">
        <v>110</v>
      </c>
      <c r="G679" s="5" t="s">
        <v>6668</v>
      </c>
      <c r="H679" s="5" t="s">
        <v>6669</v>
      </c>
      <c r="I679" s="5">
        <v>3212304332</v>
      </c>
      <c r="J679" s="12">
        <v>46042</v>
      </c>
      <c r="K679" s="11">
        <v>0</v>
      </c>
      <c r="M679" s="10" t="s">
        <v>14817</v>
      </c>
      <c r="N679" s="12">
        <v>46041.467198240745</v>
      </c>
      <c r="O679" s="10" t="s">
        <v>15509</v>
      </c>
      <c r="P679" s="5" t="s">
        <v>14571</v>
      </c>
      <c r="Q679" s="5" t="s">
        <v>14578</v>
      </c>
      <c r="R679" s="5" t="s">
        <v>16382</v>
      </c>
      <c r="T679" s="5" t="s">
        <v>5994</v>
      </c>
      <c r="U679" s="5" t="s">
        <v>14593</v>
      </c>
      <c r="V679" s="5" t="s">
        <v>1481</v>
      </c>
      <c r="W679" s="5" t="s">
        <v>6672</v>
      </c>
    </row>
    <row r="680" spans="1:23" ht="12.5">
      <c r="A680" s="5">
        <v>91184</v>
      </c>
      <c r="B680" s="5" t="s">
        <v>16383</v>
      </c>
      <c r="C680" s="5">
        <v>573143649035</v>
      </c>
      <c r="D680" s="5">
        <v>67</v>
      </c>
      <c r="E680" s="5" t="s">
        <v>542</v>
      </c>
      <c r="F680" s="5" t="s">
        <v>103</v>
      </c>
      <c r="G680" s="5" t="s">
        <v>6674</v>
      </c>
      <c r="H680" s="5" t="s">
        <v>6675</v>
      </c>
      <c r="J680" s="12">
        <v>46041</v>
      </c>
      <c r="K680" s="11">
        <v>0</v>
      </c>
      <c r="M680" s="10" t="s">
        <v>15384</v>
      </c>
      <c r="N680" s="12">
        <v>46041.472287766199</v>
      </c>
      <c r="O680" s="10" t="s">
        <v>15687</v>
      </c>
      <c r="P680" s="5" t="s">
        <v>14571</v>
      </c>
      <c r="Q680" s="5" t="s">
        <v>14578</v>
      </c>
      <c r="R680" s="5" t="s">
        <v>16384</v>
      </c>
      <c r="T680" s="5" t="s">
        <v>5994</v>
      </c>
      <c r="U680" s="5" t="s">
        <v>14593</v>
      </c>
      <c r="V680" s="5" t="s">
        <v>1705</v>
      </c>
    </row>
    <row r="681" spans="1:23" ht="12.5">
      <c r="A681" s="5">
        <v>91185</v>
      </c>
      <c r="B681" s="5" t="s">
        <v>6680</v>
      </c>
      <c r="C681" s="5">
        <v>573042717531</v>
      </c>
      <c r="D681" s="5">
        <v>70</v>
      </c>
      <c r="E681" s="5" t="s">
        <v>559</v>
      </c>
      <c r="G681" s="5" t="s">
        <v>6680</v>
      </c>
      <c r="H681" s="5" t="s">
        <v>34</v>
      </c>
      <c r="I681" s="5">
        <v>3042717531</v>
      </c>
      <c r="J681" s="12">
        <v>46041</v>
      </c>
      <c r="K681" s="11">
        <v>0.54166666666787933</v>
      </c>
      <c r="M681" s="10" t="s">
        <v>16385</v>
      </c>
      <c r="N681" s="12">
        <v>46041.498200532413</v>
      </c>
      <c r="O681" s="10" t="s">
        <v>14974</v>
      </c>
      <c r="P681" s="5" t="s">
        <v>14571</v>
      </c>
      <c r="Q681" s="5" t="s">
        <v>14578</v>
      </c>
      <c r="R681" s="5" t="s">
        <v>16386</v>
      </c>
      <c r="T681" s="5" t="s">
        <v>5994</v>
      </c>
      <c r="V681" s="5" t="s">
        <v>196</v>
      </c>
    </row>
    <row r="682" spans="1:23" ht="12.5">
      <c r="A682" s="5">
        <v>91186</v>
      </c>
      <c r="B682" s="5" t="s">
        <v>16387</v>
      </c>
      <c r="C682" s="5">
        <v>573004473832</v>
      </c>
      <c r="D682" s="5">
        <v>29</v>
      </c>
      <c r="E682" s="5" t="s">
        <v>309</v>
      </c>
      <c r="F682" s="5" t="s">
        <v>401</v>
      </c>
      <c r="G682" s="5" t="s">
        <v>6685</v>
      </c>
      <c r="H682" s="5" t="s">
        <v>6686</v>
      </c>
      <c r="I682" s="5">
        <v>3143663864</v>
      </c>
      <c r="J682" s="12">
        <v>46041</v>
      </c>
      <c r="K682" s="11">
        <v>0</v>
      </c>
      <c r="M682" s="10" t="s">
        <v>14705</v>
      </c>
      <c r="N682" s="12">
        <v>46041.501207997688</v>
      </c>
      <c r="O682" s="10" t="s">
        <v>14741</v>
      </c>
      <c r="P682" s="5" t="s">
        <v>14571</v>
      </c>
      <c r="Q682" s="5" t="s">
        <v>14578</v>
      </c>
      <c r="R682" s="5" t="s">
        <v>16388</v>
      </c>
      <c r="T682" s="5" t="s">
        <v>5994</v>
      </c>
      <c r="U682" s="5" t="s">
        <v>14618</v>
      </c>
      <c r="V682" s="5" t="s">
        <v>83</v>
      </c>
    </row>
    <row r="683" spans="1:23" ht="12.5">
      <c r="A683" s="5">
        <v>91187</v>
      </c>
      <c r="B683" s="5" t="s">
        <v>16389</v>
      </c>
      <c r="C683" s="5">
        <v>573234404745</v>
      </c>
      <c r="D683" s="5">
        <v>31</v>
      </c>
      <c r="E683" s="5" t="s">
        <v>375</v>
      </c>
      <c r="F683" s="5" t="s">
        <v>6692</v>
      </c>
      <c r="G683" s="5" t="s">
        <v>6691</v>
      </c>
      <c r="H683" s="5" t="s">
        <v>6693</v>
      </c>
      <c r="I683" s="5"/>
      <c r="J683" s="12">
        <v>46041</v>
      </c>
      <c r="K683" s="11">
        <v>0.625</v>
      </c>
      <c r="M683" s="10" t="s">
        <v>14705</v>
      </c>
      <c r="N683" s="12">
        <v>46041.498349131944</v>
      </c>
      <c r="O683" s="10" t="s">
        <v>16390</v>
      </c>
      <c r="P683" s="5" t="s">
        <v>16291</v>
      </c>
      <c r="Q683" s="5" t="s">
        <v>14572</v>
      </c>
      <c r="R683" s="5" t="s">
        <v>16391</v>
      </c>
      <c r="T683" s="5" t="s">
        <v>5994</v>
      </c>
      <c r="U683" s="5" t="s">
        <v>14580</v>
      </c>
      <c r="V683" s="5" t="s">
        <v>83</v>
      </c>
    </row>
    <row r="684" spans="1:23" ht="12.5">
      <c r="A684" s="5">
        <v>91188</v>
      </c>
      <c r="B684" s="5" t="s">
        <v>16392</v>
      </c>
      <c r="C684" s="5">
        <v>573104712536</v>
      </c>
      <c r="D684" s="5">
        <v>51</v>
      </c>
      <c r="E684" s="5" t="s">
        <v>384</v>
      </c>
      <c r="F684" s="5" t="s">
        <v>73</v>
      </c>
      <c r="G684" s="5" t="s">
        <v>6698</v>
      </c>
      <c r="H684" s="5" t="s">
        <v>6699</v>
      </c>
      <c r="I684" s="5">
        <v>3214568515</v>
      </c>
      <c r="J684" s="12">
        <v>46041</v>
      </c>
      <c r="K684" s="11">
        <v>0.625</v>
      </c>
      <c r="M684" s="10" t="s">
        <v>15140</v>
      </c>
      <c r="N684" s="12">
        <v>46041.513912187496</v>
      </c>
      <c r="O684" s="10" t="s">
        <v>15613</v>
      </c>
      <c r="P684" s="5" t="s">
        <v>14571</v>
      </c>
      <c r="Q684" s="5" t="s">
        <v>14572</v>
      </c>
      <c r="R684" s="5" t="s">
        <v>16393</v>
      </c>
      <c r="T684" s="5" t="s">
        <v>5994</v>
      </c>
      <c r="U684" s="5" t="s">
        <v>14593</v>
      </c>
      <c r="V684" s="5" t="s">
        <v>83</v>
      </c>
    </row>
    <row r="685" spans="1:23" ht="12.5">
      <c r="A685" s="5">
        <v>91189</v>
      </c>
      <c r="B685" s="5" t="s">
        <v>16394</v>
      </c>
      <c r="C685" s="5">
        <v>573162121020</v>
      </c>
      <c r="D685" s="5">
        <v>44</v>
      </c>
      <c r="E685" s="5" t="s">
        <v>1111</v>
      </c>
      <c r="F685" s="5" t="s">
        <v>307</v>
      </c>
      <c r="G685" s="5" t="s">
        <v>6704</v>
      </c>
      <c r="H685" s="5" t="s">
        <v>6705</v>
      </c>
      <c r="I685" s="5">
        <v>3162121020</v>
      </c>
      <c r="J685" s="12">
        <v>46043</v>
      </c>
      <c r="K685" s="11">
        <v>0.375</v>
      </c>
      <c r="M685" s="10" t="s">
        <v>14646</v>
      </c>
      <c r="N685" s="12">
        <v>46041.567781921302</v>
      </c>
      <c r="O685" s="10" t="s">
        <v>16395</v>
      </c>
      <c r="P685" s="5" t="s">
        <v>14571</v>
      </c>
      <c r="Q685" s="5" t="s">
        <v>14572</v>
      </c>
      <c r="R685" s="5" t="s">
        <v>16396</v>
      </c>
      <c r="T685" s="5" t="s">
        <v>5994</v>
      </c>
      <c r="U685" s="5" t="s">
        <v>14618</v>
      </c>
      <c r="V685" s="5" t="s">
        <v>83</v>
      </c>
      <c r="W685" s="5" t="s">
        <v>6708</v>
      </c>
    </row>
    <row r="686" spans="1:23" ht="12.5">
      <c r="A686" s="5">
        <v>91190</v>
      </c>
      <c r="B686" s="5" t="s">
        <v>6709</v>
      </c>
      <c r="C686" s="10" t="s">
        <v>16397</v>
      </c>
      <c r="D686" s="5">
        <v>31</v>
      </c>
      <c r="E686" s="5" t="s">
        <v>375</v>
      </c>
      <c r="F686" s="5" t="s">
        <v>33</v>
      </c>
      <c r="G686" s="5" t="s">
        <v>6709</v>
      </c>
      <c r="H686" s="5" t="s">
        <v>34</v>
      </c>
      <c r="I686" s="5">
        <v>3024496529</v>
      </c>
      <c r="J686" s="12">
        <v>46042</v>
      </c>
      <c r="K686" s="11">
        <v>0.66666666666666663</v>
      </c>
      <c r="M686" s="10" t="s">
        <v>14585</v>
      </c>
      <c r="N686" s="12">
        <v>46041</v>
      </c>
      <c r="O686" s="10" t="s">
        <v>16398</v>
      </c>
      <c r="P686" s="5" t="s">
        <v>14571</v>
      </c>
      <c r="Q686" s="5" t="s">
        <v>14572</v>
      </c>
      <c r="R686" s="5" t="s">
        <v>16399</v>
      </c>
      <c r="T686" s="5" t="s">
        <v>14574</v>
      </c>
      <c r="U686" s="5" t="s">
        <v>33</v>
      </c>
      <c r="V686" s="5" t="s">
        <v>83</v>
      </c>
    </row>
    <row r="687" spans="1:23" ht="12.5">
      <c r="A687" s="5">
        <v>91191</v>
      </c>
      <c r="B687" s="5" t="s">
        <v>16400</v>
      </c>
      <c r="C687" s="5">
        <v>573015406760</v>
      </c>
      <c r="D687" s="5">
        <v>69</v>
      </c>
      <c r="E687" s="5" t="s">
        <v>335</v>
      </c>
      <c r="F687" s="5" t="s">
        <v>73</v>
      </c>
      <c r="G687" s="5" t="s">
        <v>6712</v>
      </c>
      <c r="H687" s="5" t="s">
        <v>6713</v>
      </c>
      <c r="I687" s="5">
        <v>3022456820</v>
      </c>
      <c r="J687" s="12">
        <v>46041</v>
      </c>
      <c r="K687" s="11">
        <v>0.66666666666787933</v>
      </c>
      <c r="M687" s="10" t="s">
        <v>14885</v>
      </c>
      <c r="N687" s="12">
        <v>46041.576439444441</v>
      </c>
      <c r="O687" s="10" t="s">
        <v>16320</v>
      </c>
      <c r="P687" s="5" t="s">
        <v>14571</v>
      </c>
      <c r="Q687" s="5" t="s">
        <v>14572</v>
      </c>
      <c r="R687" s="5" t="s">
        <v>16401</v>
      </c>
      <c r="T687" s="5" t="s">
        <v>5994</v>
      </c>
      <c r="U687" s="5" t="s">
        <v>14593</v>
      </c>
      <c r="V687" s="5" t="s">
        <v>204</v>
      </c>
      <c r="W687" s="5" t="s">
        <v>6716</v>
      </c>
    </row>
    <row r="688" spans="1:23" ht="12.5">
      <c r="A688" s="5">
        <v>91192</v>
      </c>
      <c r="B688" s="5" t="s">
        <v>2063</v>
      </c>
      <c r="C688" s="5">
        <v>573106304282</v>
      </c>
      <c r="D688" s="5">
        <v>95</v>
      </c>
      <c r="E688" s="5" t="s">
        <v>42</v>
      </c>
      <c r="F688" s="5" t="s">
        <v>33</v>
      </c>
      <c r="G688" s="5" t="s">
        <v>2063</v>
      </c>
      <c r="H688" s="5" t="s">
        <v>34</v>
      </c>
      <c r="I688" s="5">
        <v>3106304282</v>
      </c>
      <c r="J688" s="12">
        <v>46041</v>
      </c>
      <c r="K688" s="11">
        <v>0</v>
      </c>
      <c r="M688" s="10" t="s">
        <v>14619</v>
      </c>
      <c r="N688" s="12">
        <v>46041.615649687505</v>
      </c>
      <c r="O688" s="10" t="s">
        <v>16402</v>
      </c>
      <c r="P688" s="5" t="s">
        <v>14571</v>
      </c>
      <c r="Q688" s="5" t="s">
        <v>14612</v>
      </c>
      <c r="R688" s="5" t="s">
        <v>16403</v>
      </c>
      <c r="T688" s="5" t="s">
        <v>14574</v>
      </c>
      <c r="U688" s="5" t="s">
        <v>33</v>
      </c>
      <c r="V688" s="5" t="s">
        <v>196</v>
      </c>
    </row>
    <row r="689" spans="1:23" ht="12.5">
      <c r="A689" s="5">
        <v>91193</v>
      </c>
      <c r="B689" s="5" t="s">
        <v>16404</v>
      </c>
      <c r="C689" s="5">
        <v>573006254255</v>
      </c>
      <c r="D689" s="5">
        <v>37</v>
      </c>
      <c r="E689" s="5" t="s">
        <v>1696</v>
      </c>
      <c r="F689" s="5" t="s">
        <v>307</v>
      </c>
      <c r="G689" s="5" t="s">
        <v>6718</v>
      </c>
      <c r="H689" s="5" t="s">
        <v>6719</v>
      </c>
      <c r="J689" s="12">
        <v>46041</v>
      </c>
      <c r="K689" s="11">
        <v>0.6875</v>
      </c>
      <c r="M689" s="10" t="s">
        <v>16405</v>
      </c>
      <c r="N689" s="12">
        <v>46041.628404583331</v>
      </c>
      <c r="O689" s="10" t="s">
        <v>15556</v>
      </c>
      <c r="P689" s="5" t="s">
        <v>14571</v>
      </c>
      <c r="Q689" s="5" t="s">
        <v>14578</v>
      </c>
      <c r="R689" s="5" t="s">
        <v>16406</v>
      </c>
      <c r="T689" s="5" t="s">
        <v>5994</v>
      </c>
      <c r="U689" s="5" t="s">
        <v>14618</v>
      </c>
      <c r="V689" s="5" t="s">
        <v>83</v>
      </c>
    </row>
    <row r="690" spans="1:23" ht="12.5">
      <c r="A690" s="5">
        <v>91194</v>
      </c>
      <c r="B690" s="5" t="s">
        <v>16407</v>
      </c>
      <c r="C690" s="5">
        <v>573012238829</v>
      </c>
      <c r="D690" s="5">
        <v>52</v>
      </c>
      <c r="E690" s="5" t="s">
        <v>178</v>
      </c>
      <c r="F690" s="5" t="s">
        <v>63</v>
      </c>
      <c r="G690" s="5" t="s">
        <v>1461</v>
      </c>
      <c r="H690" s="5" t="s">
        <v>6720</v>
      </c>
      <c r="I690" s="5">
        <v>3012238829</v>
      </c>
      <c r="J690" s="12">
        <v>46042</v>
      </c>
      <c r="K690" s="11">
        <v>0.875</v>
      </c>
      <c r="M690" s="10" t="s">
        <v>16408</v>
      </c>
      <c r="N690" s="12">
        <v>46041.617760752313</v>
      </c>
      <c r="O690" s="10" t="s">
        <v>16409</v>
      </c>
      <c r="P690" s="5" t="s">
        <v>14571</v>
      </c>
      <c r="Q690" s="5" t="s">
        <v>14612</v>
      </c>
      <c r="R690" s="5" t="s">
        <v>16410</v>
      </c>
      <c r="T690" s="5" t="s">
        <v>5994</v>
      </c>
      <c r="U690" s="5" t="s">
        <v>14598</v>
      </c>
      <c r="V690" s="5" t="s">
        <v>83</v>
      </c>
    </row>
    <row r="691" spans="1:23" ht="12.5">
      <c r="A691" s="5">
        <v>91195</v>
      </c>
      <c r="B691" s="5" t="s">
        <v>6723</v>
      </c>
      <c r="C691" s="5">
        <v>573003476056</v>
      </c>
      <c r="D691" s="5">
        <v>95</v>
      </c>
      <c r="E691" s="5" t="s">
        <v>42</v>
      </c>
      <c r="F691" s="5" t="s">
        <v>33</v>
      </c>
      <c r="G691" s="5" t="s">
        <v>6723</v>
      </c>
      <c r="H691" s="5" t="s">
        <v>34</v>
      </c>
      <c r="I691" s="5" t="s">
        <v>6724</v>
      </c>
      <c r="J691" s="12">
        <v>46041</v>
      </c>
      <c r="K691" s="11">
        <v>0</v>
      </c>
      <c r="M691" s="10" t="s">
        <v>14863</v>
      </c>
      <c r="N691" s="12">
        <v>46041.64882667824</v>
      </c>
      <c r="O691" s="10" t="s">
        <v>15879</v>
      </c>
      <c r="P691" s="5" t="s">
        <v>14571</v>
      </c>
      <c r="Q691" s="5" t="s">
        <v>14578</v>
      </c>
      <c r="R691" s="5" t="s">
        <v>16411</v>
      </c>
      <c r="T691" s="5" t="s">
        <v>14574</v>
      </c>
      <c r="U691" s="5" t="s">
        <v>33</v>
      </c>
      <c r="V691" s="5" t="s">
        <v>83</v>
      </c>
    </row>
    <row r="692" spans="1:23" ht="12.5">
      <c r="A692" s="5">
        <v>91196</v>
      </c>
      <c r="B692" s="5" t="s">
        <v>16412</v>
      </c>
      <c r="C692" s="5">
        <v>573004593474</v>
      </c>
      <c r="D692" s="5">
        <v>31</v>
      </c>
      <c r="E692" s="5" t="s">
        <v>375</v>
      </c>
      <c r="F692" s="5" t="s">
        <v>1647</v>
      </c>
      <c r="G692" s="5" t="s">
        <v>6726</v>
      </c>
      <c r="H692" s="5" t="s">
        <v>6727</v>
      </c>
      <c r="I692" s="5"/>
      <c r="J692" s="12">
        <v>46041</v>
      </c>
      <c r="K692" s="11">
        <v>0.75</v>
      </c>
      <c r="M692" s="10" t="s">
        <v>15064</v>
      </c>
      <c r="N692" s="12">
        <v>46041.654959467589</v>
      </c>
      <c r="O692" s="10" t="s">
        <v>15956</v>
      </c>
      <c r="P692" s="5" t="s">
        <v>14571</v>
      </c>
      <c r="Q692" s="5" t="s">
        <v>14572</v>
      </c>
      <c r="R692" s="5" t="s">
        <v>16413</v>
      </c>
      <c r="T692" s="5" t="s">
        <v>5994</v>
      </c>
      <c r="U692" s="5" t="s">
        <v>14580</v>
      </c>
      <c r="V692" s="5" t="s">
        <v>83</v>
      </c>
    </row>
    <row r="693" spans="1:23" ht="12.5">
      <c r="A693" s="5">
        <v>91197</v>
      </c>
      <c r="B693" s="5" t="s">
        <v>6731</v>
      </c>
      <c r="C693" s="5">
        <v>573003862231</v>
      </c>
      <c r="D693" s="5">
        <v>58</v>
      </c>
      <c r="E693" s="5" t="s">
        <v>57</v>
      </c>
      <c r="F693" s="5" t="s">
        <v>33</v>
      </c>
      <c r="G693" s="5" t="s">
        <v>6731</v>
      </c>
      <c r="H693" s="5" t="s">
        <v>34</v>
      </c>
      <c r="I693" s="5">
        <v>3003862231</v>
      </c>
      <c r="J693" s="12">
        <v>46041</v>
      </c>
      <c r="K693" s="11">
        <v>0</v>
      </c>
      <c r="M693" s="10" t="s">
        <v>15594</v>
      </c>
      <c r="N693" s="12">
        <v>46041.664516597222</v>
      </c>
      <c r="O693" s="10" t="s">
        <v>14931</v>
      </c>
      <c r="P693" s="5" t="s">
        <v>14571</v>
      </c>
      <c r="Q693" s="5" t="s">
        <v>14612</v>
      </c>
      <c r="R693" s="5" t="s">
        <v>16414</v>
      </c>
      <c r="T693" s="5" t="s">
        <v>14574</v>
      </c>
      <c r="U693" s="5" t="s">
        <v>33</v>
      </c>
      <c r="V693" s="5" t="s">
        <v>1705</v>
      </c>
    </row>
    <row r="694" spans="1:23" ht="12.5">
      <c r="A694" s="5">
        <v>91198</v>
      </c>
      <c r="B694" s="5" t="s">
        <v>14405</v>
      </c>
      <c r="C694" s="5">
        <v>573014135878</v>
      </c>
      <c r="D694" s="5">
        <v>26</v>
      </c>
      <c r="E694" s="5" t="s">
        <v>422</v>
      </c>
      <c r="F694" s="5" t="s">
        <v>783</v>
      </c>
      <c r="G694" s="5" t="s">
        <v>6733</v>
      </c>
      <c r="H694" s="5" t="s">
        <v>6734</v>
      </c>
      <c r="I694" s="5">
        <v>3006836054</v>
      </c>
      <c r="J694" s="12">
        <v>46042</v>
      </c>
      <c r="K694" s="11">
        <v>0.77083333333212067</v>
      </c>
      <c r="M694" s="10" t="s">
        <v>15356</v>
      </c>
      <c r="N694" s="12">
        <v>46041.663734224538</v>
      </c>
      <c r="O694" s="10" t="s">
        <v>15363</v>
      </c>
      <c r="P694" s="5" t="s">
        <v>14571</v>
      </c>
      <c r="Q694" s="5" t="s">
        <v>14612</v>
      </c>
      <c r="R694" s="5" t="s">
        <v>16415</v>
      </c>
      <c r="T694" s="5" t="s">
        <v>5994</v>
      </c>
      <c r="U694" s="5"/>
      <c r="V694" s="5" t="s">
        <v>180</v>
      </c>
      <c r="W694" s="5" t="s">
        <v>6737</v>
      </c>
    </row>
    <row r="695" spans="1:23" ht="12.5">
      <c r="A695" s="5">
        <v>91199</v>
      </c>
      <c r="B695" s="5" t="s">
        <v>16416</v>
      </c>
      <c r="C695" s="5">
        <v>573228890463</v>
      </c>
      <c r="D695" s="5">
        <v>24</v>
      </c>
      <c r="E695" s="5" t="s">
        <v>251</v>
      </c>
      <c r="F695" s="5" t="s">
        <v>73</v>
      </c>
      <c r="G695" s="5" t="s">
        <v>6739</v>
      </c>
      <c r="H695" s="5" t="s">
        <v>6740</v>
      </c>
      <c r="I695" s="5">
        <v>3107164602</v>
      </c>
      <c r="J695" s="12">
        <v>46041</v>
      </c>
      <c r="K695" s="11">
        <v>0.7312500000007276</v>
      </c>
      <c r="M695" s="10" t="s">
        <v>16417</v>
      </c>
      <c r="N695" s="12">
        <v>46041.701827129626</v>
      </c>
      <c r="O695" s="10" t="s">
        <v>16418</v>
      </c>
      <c r="P695" s="5" t="s">
        <v>14571</v>
      </c>
      <c r="Q695" s="5"/>
      <c r="R695" s="5"/>
      <c r="T695" s="5" t="s">
        <v>5994</v>
      </c>
      <c r="U695" s="5" t="s">
        <v>14593</v>
      </c>
      <c r="V695" s="5" t="s">
        <v>1705</v>
      </c>
      <c r="W695" s="5" t="s">
        <v>6741</v>
      </c>
    </row>
    <row r="696" spans="1:23" ht="12.5">
      <c r="A696" s="5">
        <v>91200</v>
      </c>
      <c r="B696" s="5" t="s">
        <v>1473</v>
      </c>
      <c r="C696" s="5">
        <v>57164531944</v>
      </c>
      <c r="D696" s="5">
        <v>53</v>
      </c>
      <c r="E696" s="5" t="s">
        <v>75</v>
      </c>
      <c r="F696" s="5" t="s">
        <v>33</v>
      </c>
      <c r="G696" s="5" t="s">
        <v>1473</v>
      </c>
      <c r="H696" s="5" t="s">
        <v>34</v>
      </c>
      <c r="I696" s="5">
        <v>164531944</v>
      </c>
      <c r="J696" s="12">
        <v>46041</v>
      </c>
      <c r="K696" s="11">
        <v>0.75</v>
      </c>
      <c r="M696" s="10" t="s">
        <v>14585</v>
      </c>
      <c r="N696" s="12">
        <v>46041.71320726852</v>
      </c>
      <c r="O696" s="10" t="s">
        <v>16244</v>
      </c>
      <c r="P696" s="5" t="s">
        <v>14571</v>
      </c>
      <c r="Q696" s="5" t="s">
        <v>14612</v>
      </c>
      <c r="R696" s="5" t="s">
        <v>16419</v>
      </c>
      <c r="T696" s="5" t="s">
        <v>14574</v>
      </c>
      <c r="U696" s="5" t="s">
        <v>33</v>
      </c>
      <c r="V696" s="5" t="s">
        <v>196</v>
      </c>
    </row>
    <row r="697" spans="1:23" ht="12.5">
      <c r="A697" s="5">
        <v>91201</v>
      </c>
      <c r="B697" s="5" t="s">
        <v>16420</v>
      </c>
      <c r="C697" s="5">
        <v>573057058660</v>
      </c>
      <c r="D697" s="5">
        <v>31</v>
      </c>
      <c r="E697" s="5" t="s">
        <v>375</v>
      </c>
      <c r="F697" s="5" t="s">
        <v>307</v>
      </c>
      <c r="G697" s="5" t="s">
        <v>6742</v>
      </c>
      <c r="H697" s="5" t="s">
        <v>6743</v>
      </c>
      <c r="I697" s="5">
        <v>3122171909</v>
      </c>
      <c r="J697" s="12">
        <v>46044</v>
      </c>
      <c r="K697" s="11">
        <v>0.33333333333212067</v>
      </c>
      <c r="M697" s="10" t="s">
        <v>14627</v>
      </c>
      <c r="N697" s="12">
        <v>46041.650376157406</v>
      </c>
      <c r="O697" s="10" t="s">
        <v>16421</v>
      </c>
      <c r="P697" s="5" t="s">
        <v>14571</v>
      </c>
      <c r="Q697" s="5" t="s">
        <v>14572</v>
      </c>
      <c r="R697" s="5" t="s">
        <v>16422</v>
      </c>
      <c r="T697" s="5" t="s">
        <v>5994</v>
      </c>
      <c r="U697" s="5" t="s">
        <v>14618</v>
      </c>
      <c r="V697" s="5" t="s">
        <v>83</v>
      </c>
      <c r="W697" s="5" t="s">
        <v>6746</v>
      </c>
    </row>
    <row r="698" spans="1:23" ht="12.5">
      <c r="A698" s="5">
        <v>91202</v>
      </c>
      <c r="B698" s="5" t="s">
        <v>6748</v>
      </c>
      <c r="C698" s="5">
        <v>573008305726</v>
      </c>
      <c r="D698" s="5">
        <v>95</v>
      </c>
      <c r="E698" s="5" t="s">
        <v>42</v>
      </c>
      <c r="F698" s="5" t="s">
        <v>33</v>
      </c>
      <c r="G698" s="5" t="s">
        <v>6748</v>
      </c>
      <c r="H698" s="5" t="s">
        <v>34</v>
      </c>
      <c r="I698" s="5" t="s">
        <v>6749</v>
      </c>
      <c r="J698" s="12">
        <v>46041</v>
      </c>
      <c r="K698" s="11">
        <v>0.75</v>
      </c>
      <c r="M698" s="10" t="s">
        <v>15011</v>
      </c>
      <c r="N698" s="12">
        <v>46041.738869363428</v>
      </c>
      <c r="O698" s="10" t="s">
        <v>16423</v>
      </c>
      <c r="P698" s="5" t="s">
        <v>14571</v>
      </c>
      <c r="Q698" s="5" t="s">
        <v>14578</v>
      </c>
      <c r="R698" s="5" t="s">
        <v>16424</v>
      </c>
      <c r="T698" s="5" t="s">
        <v>14574</v>
      </c>
      <c r="U698" s="5" t="s">
        <v>33</v>
      </c>
      <c r="V698" s="5" t="s">
        <v>196</v>
      </c>
      <c r="W698" s="5" t="s">
        <v>6750</v>
      </c>
    </row>
    <row r="699" spans="1:23" ht="12.5">
      <c r="A699" s="5">
        <v>91203</v>
      </c>
      <c r="B699" s="5" t="s">
        <v>6752</v>
      </c>
      <c r="C699" s="5">
        <v>573215063580</v>
      </c>
      <c r="D699" s="5">
        <v>45</v>
      </c>
      <c r="E699" s="5" t="s">
        <v>210</v>
      </c>
      <c r="F699" s="5" t="s">
        <v>33</v>
      </c>
      <c r="G699" s="5" t="s">
        <v>6752</v>
      </c>
      <c r="H699" s="5" t="s">
        <v>34</v>
      </c>
      <c r="I699" s="5">
        <v>3215063580</v>
      </c>
      <c r="J699" s="12">
        <v>46041</v>
      </c>
      <c r="K699" s="11">
        <v>0.75</v>
      </c>
      <c r="M699" s="10" t="s">
        <v>14734</v>
      </c>
      <c r="N699" s="12">
        <v>46041.73718246528</v>
      </c>
      <c r="O699" s="10" t="s">
        <v>16425</v>
      </c>
      <c r="P699" s="5" t="s">
        <v>14571</v>
      </c>
      <c r="Q699" s="5" t="s">
        <v>14578</v>
      </c>
      <c r="R699" s="5" t="s">
        <v>16426</v>
      </c>
      <c r="T699" s="5" t="s">
        <v>14574</v>
      </c>
      <c r="U699" s="5" t="s">
        <v>33</v>
      </c>
      <c r="V699" s="5" t="s">
        <v>196</v>
      </c>
    </row>
    <row r="700" spans="1:23" ht="12.5">
      <c r="A700" s="5">
        <v>91204</v>
      </c>
      <c r="B700" s="5" t="s">
        <v>16427</v>
      </c>
      <c r="C700" s="5">
        <v>573184154455</v>
      </c>
      <c r="D700" s="5" t="s">
        <v>14711</v>
      </c>
      <c r="E700" s="5" t="s">
        <v>6755</v>
      </c>
      <c r="F700" s="5" t="s">
        <v>5574</v>
      </c>
      <c r="G700" s="5" t="s">
        <v>6753</v>
      </c>
      <c r="H700" s="5" t="s">
        <v>16428</v>
      </c>
      <c r="I700" s="5"/>
      <c r="J700" s="12">
        <v>46042</v>
      </c>
      <c r="K700" s="11">
        <v>0.33333333333212067</v>
      </c>
      <c r="M700" s="10" t="s">
        <v>16429</v>
      </c>
      <c r="N700" s="12">
        <v>46041.726922638889</v>
      </c>
      <c r="O700" s="10" t="s">
        <v>16430</v>
      </c>
      <c r="P700" s="5" t="s">
        <v>14571</v>
      </c>
      <c r="Q700" s="5" t="s">
        <v>14572</v>
      </c>
      <c r="R700" s="5" t="s">
        <v>16431</v>
      </c>
      <c r="T700" s="5" t="s">
        <v>5994</v>
      </c>
      <c r="U700" s="5" t="s">
        <v>14593</v>
      </c>
      <c r="V700" s="5" t="s">
        <v>83</v>
      </c>
    </row>
    <row r="701" spans="1:23" ht="12.5">
      <c r="A701" s="5">
        <v>91205</v>
      </c>
      <c r="B701" s="5" t="s">
        <v>16432</v>
      </c>
      <c r="C701" s="5">
        <v>573188267302</v>
      </c>
      <c r="D701" s="5">
        <v>16</v>
      </c>
      <c r="E701" s="5" t="s">
        <v>2556</v>
      </c>
      <c r="F701" s="5" t="s">
        <v>185</v>
      </c>
      <c r="G701" s="5" t="s">
        <v>3398</v>
      </c>
      <c r="H701" s="5" t="s">
        <v>6759</v>
      </c>
      <c r="I701" s="5" t="s">
        <v>10505</v>
      </c>
      <c r="J701" s="12">
        <v>46042</v>
      </c>
      <c r="K701" s="11">
        <v>0</v>
      </c>
      <c r="M701" s="10" t="s">
        <v>15335</v>
      </c>
      <c r="N701" s="12">
        <v>46042.325674803244</v>
      </c>
      <c r="O701" s="10" t="s">
        <v>15017</v>
      </c>
      <c r="P701" s="5" t="s">
        <v>14571</v>
      </c>
      <c r="Q701" s="5" t="s">
        <v>14612</v>
      </c>
      <c r="R701" s="5" t="s">
        <v>16433</v>
      </c>
      <c r="T701" s="5" t="s">
        <v>5994</v>
      </c>
      <c r="U701" s="5" t="s">
        <v>14580</v>
      </c>
      <c r="V701" s="5" t="s">
        <v>83</v>
      </c>
    </row>
    <row r="702" spans="1:23" ht="12.5">
      <c r="A702" s="5">
        <v>91206</v>
      </c>
      <c r="B702" s="5" t="s">
        <v>16434</v>
      </c>
      <c r="C702" s="5">
        <v>573117099721</v>
      </c>
      <c r="D702" s="5">
        <v>21</v>
      </c>
      <c r="E702" s="5" t="s">
        <v>330</v>
      </c>
      <c r="F702" s="5" t="s">
        <v>892</v>
      </c>
      <c r="G702" s="5" t="s">
        <v>6762</v>
      </c>
      <c r="H702" s="5" t="s">
        <v>6763</v>
      </c>
      <c r="I702" s="5">
        <v>3117099721</v>
      </c>
      <c r="J702" s="12">
        <v>46042</v>
      </c>
      <c r="K702" s="11">
        <v>0.41666666666787933</v>
      </c>
      <c r="M702" s="10" t="s">
        <v>14777</v>
      </c>
      <c r="N702" s="12">
        <v>46041.783367476848</v>
      </c>
      <c r="O702" s="10" t="s">
        <v>16262</v>
      </c>
      <c r="P702" s="5" t="s">
        <v>14571</v>
      </c>
      <c r="Q702" s="5" t="s">
        <v>14572</v>
      </c>
      <c r="R702" s="5" t="s">
        <v>16435</v>
      </c>
      <c r="T702" s="5" t="s">
        <v>5994</v>
      </c>
      <c r="U702" s="5" t="s">
        <v>14593</v>
      </c>
      <c r="V702" s="5" t="s">
        <v>83</v>
      </c>
    </row>
    <row r="703" spans="1:23" ht="12.5">
      <c r="A703" s="5">
        <v>91207</v>
      </c>
      <c r="B703" s="5" t="s">
        <v>5104</v>
      </c>
      <c r="C703" s="5">
        <v>573215896376</v>
      </c>
      <c r="D703" s="5">
        <v>95</v>
      </c>
      <c r="E703" s="5" t="s">
        <v>42</v>
      </c>
      <c r="F703" s="5" t="s">
        <v>1815</v>
      </c>
      <c r="G703" s="5" t="s">
        <v>6765</v>
      </c>
      <c r="H703" s="5" t="s">
        <v>6766</v>
      </c>
      <c r="J703" s="12">
        <v>46042</v>
      </c>
      <c r="K703" s="11">
        <v>0</v>
      </c>
      <c r="M703" s="10" t="s">
        <v>16436</v>
      </c>
      <c r="N703" s="12">
        <v>46042.36534704861</v>
      </c>
      <c r="O703" s="10" t="s">
        <v>14781</v>
      </c>
      <c r="P703" s="5" t="s">
        <v>14571</v>
      </c>
      <c r="Q703" s="5" t="s">
        <v>14572</v>
      </c>
      <c r="R703" s="5" t="s">
        <v>16437</v>
      </c>
      <c r="T703" s="5" t="s">
        <v>5994</v>
      </c>
      <c r="U703" s="5" t="s">
        <v>14580</v>
      </c>
      <c r="V703" s="5" t="s">
        <v>83</v>
      </c>
      <c r="W703" s="5" t="s">
        <v>6768</v>
      </c>
    </row>
    <row r="704" spans="1:23" ht="12.5">
      <c r="A704" s="5">
        <v>91208</v>
      </c>
      <c r="B704" s="5" t="s">
        <v>16438</v>
      </c>
      <c r="C704" s="5">
        <v>573002739717</v>
      </c>
      <c r="D704" s="5">
        <v>1</v>
      </c>
      <c r="E704" s="5" t="s">
        <v>5730</v>
      </c>
      <c r="G704" s="5" t="s">
        <v>6769</v>
      </c>
      <c r="H704" s="5" t="s">
        <v>6770</v>
      </c>
      <c r="J704" s="12">
        <v>46045</v>
      </c>
      <c r="K704" s="11">
        <v>0.58333333333212067</v>
      </c>
      <c r="M704" s="10" t="s">
        <v>15480</v>
      </c>
      <c r="N704" s="12">
        <v>46042.374637847221</v>
      </c>
      <c r="O704" s="10" t="s">
        <v>16358</v>
      </c>
      <c r="P704" s="5" t="s">
        <v>14571</v>
      </c>
      <c r="Q704" s="5" t="s">
        <v>14612</v>
      </c>
      <c r="R704" s="5" t="s">
        <v>16439</v>
      </c>
      <c r="T704" s="5" t="s">
        <v>5994</v>
      </c>
      <c r="V704" s="5" t="s">
        <v>196</v>
      </c>
    </row>
    <row r="705" spans="1:23" ht="12.5">
      <c r="A705" s="5">
        <v>91209</v>
      </c>
      <c r="B705" s="5" t="s">
        <v>16440</v>
      </c>
      <c r="C705" s="5">
        <v>573187169314</v>
      </c>
      <c r="D705" s="5">
        <v>26</v>
      </c>
      <c r="E705" s="5" t="s">
        <v>422</v>
      </c>
      <c r="F705" s="5" t="s">
        <v>103</v>
      </c>
      <c r="G705" s="5" t="s">
        <v>4128</v>
      </c>
      <c r="H705" s="5" t="s">
        <v>6773</v>
      </c>
      <c r="I705" s="5">
        <v>3187164778</v>
      </c>
      <c r="J705" s="12">
        <v>46042</v>
      </c>
      <c r="K705" s="11">
        <v>0.45833333333212067</v>
      </c>
      <c r="M705" s="10" t="s">
        <v>15384</v>
      </c>
      <c r="N705" s="12">
        <v>46042.385486400468</v>
      </c>
      <c r="O705" s="10" t="s">
        <v>15826</v>
      </c>
      <c r="P705" s="5" t="s">
        <v>14571</v>
      </c>
      <c r="Q705" s="5" t="s">
        <v>14578</v>
      </c>
      <c r="R705" s="5" t="s">
        <v>16441</v>
      </c>
      <c r="T705" s="5" t="s">
        <v>5994</v>
      </c>
      <c r="U705" s="5" t="s">
        <v>14593</v>
      </c>
      <c r="V705" s="5" t="s">
        <v>83</v>
      </c>
      <c r="W705" s="5" t="s">
        <v>6776</v>
      </c>
    </row>
    <row r="706" spans="1:23" ht="12.5">
      <c r="A706" s="5">
        <v>91210</v>
      </c>
      <c r="B706" s="5" t="s">
        <v>16442</v>
      </c>
      <c r="C706" s="5">
        <v>573105095725</v>
      </c>
      <c r="D706" s="5">
        <v>51</v>
      </c>
      <c r="E706" s="5" t="s">
        <v>384</v>
      </c>
      <c r="F706" s="5" t="s">
        <v>229</v>
      </c>
      <c r="G706" s="5" t="s">
        <v>6779</v>
      </c>
      <c r="H706" s="5" t="s">
        <v>6780</v>
      </c>
      <c r="I706" s="5" t="s">
        <v>6781</v>
      </c>
      <c r="J706" s="12">
        <v>46043</v>
      </c>
      <c r="K706" s="11">
        <v>0.35416666666787933</v>
      </c>
      <c r="M706" s="10" t="s">
        <v>16443</v>
      </c>
      <c r="N706" s="12">
        <v>46042.378519004633</v>
      </c>
      <c r="O706" s="10" t="s">
        <v>15678</v>
      </c>
      <c r="P706" s="5" t="s">
        <v>14571</v>
      </c>
      <c r="Q706" s="5" t="s">
        <v>14572</v>
      </c>
      <c r="R706" s="5" t="s">
        <v>16444</v>
      </c>
      <c r="T706" s="5" t="s">
        <v>5994</v>
      </c>
      <c r="U706" s="5"/>
      <c r="V706" s="5" t="s">
        <v>83</v>
      </c>
      <c r="W706" s="5" t="s">
        <v>6784</v>
      </c>
    </row>
    <row r="707" spans="1:23" ht="12.5">
      <c r="A707" s="5">
        <v>91211</v>
      </c>
      <c r="B707" s="5" t="s">
        <v>16445</v>
      </c>
      <c r="C707" s="5">
        <v>573144650611</v>
      </c>
      <c r="D707" s="5">
        <v>95</v>
      </c>
      <c r="E707" s="5" t="s">
        <v>42</v>
      </c>
      <c r="F707" s="5" t="s">
        <v>161</v>
      </c>
      <c r="G707" s="5" t="s">
        <v>6787</v>
      </c>
      <c r="H707" s="5" t="s">
        <v>6788</v>
      </c>
      <c r="I707" s="5">
        <v>3144650611</v>
      </c>
      <c r="J707" s="12">
        <v>46042</v>
      </c>
      <c r="K707" s="11">
        <v>0.45833333333212067</v>
      </c>
      <c r="M707" s="10" t="s">
        <v>15656</v>
      </c>
      <c r="N707" s="12">
        <v>46042.396408275468</v>
      </c>
      <c r="O707" s="10" t="s">
        <v>16446</v>
      </c>
      <c r="P707" s="5" t="s">
        <v>14571</v>
      </c>
      <c r="Q707" s="5" t="s">
        <v>14612</v>
      </c>
      <c r="R707" s="5" t="s">
        <v>16447</v>
      </c>
      <c r="T707" s="5" t="s">
        <v>5994</v>
      </c>
      <c r="U707" s="5" t="s">
        <v>14593</v>
      </c>
      <c r="V707" s="5" t="s">
        <v>1937</v>
      </c>
    </row>
    <row r="708" spans="1:23" ht="12.5">
      <c r="A708" s="5">
        <v>91212</v>
      </c>
      <c r="B708" s="5" t="s">
        <v>16448</v>
      </c>
      <c r="C708" s="5">
        <v>573002040326</v>
      </c>
      <c r="D708" s="5">
        <v>23</v>
      </c>
      <c r="E708" s="5" t="s">
        <v>50</v>
      </c>
      <c r="F708" s="5" t="s">
        <v>33</v>
      </c>
      <c r="G708" s="5" t="s">
        <v>6790</v>
      </c>
      <c r="H708" s="5" t="s">
        <v>34</v>
      </c>
      <c r="I708" s="5">
        <v>3002040326</v>
      </c>
      <c r="J708" s="12">
        <v>46042</v>
      </c>
      <c r="K708" s="11">
        <v>0.45833333333212067</v>
      </c>
      <c r="M708" s="10" t="s">
        <v>14569</v>
      </c>
      <c r="N708" s="12">
        <v>46042.386332037036</v>
      </c>
      <c r="O708" s="10" t="s">
        <v>15316</v>
      </c>
      <c r="P708" s="5" t="s">
        <v>14571</v>
      </c>
      <c r="Q708" s="5" t="s">
        <v>14578</v>
      </c>
      <c r="R708" s="5" t="s">
        <v>16449</v>
      </c>
      <c r="T708" s="5" t="s">
        <v>14574</v>
      </c>
      <c r="U708" s="5" t="s">
        <v>33</v>
      </c>
      <c r="V708" s="5" t="s">
        <v>83</v>
      </c>
    </row>
    <row r="709" spans="1:23" ht="12.5">
      <c r="A709" s="5">
        <v>91213</v>
      </c>
      <c r="B709" s="5" t="s">
        <v>8860</v>
      </c>
      <c r="C709" s="5">
        <v>5717864269698</v>
      </c>
      <c r="D709" s="5">
        <v>95</v>
      </c>
      <c r="E709" s="5" t="s">
        <v>42</v>
      </c>
      <c r="F709" s="5" t="s">
        <v>103</v>
      </c>
      <c r="G709" s="5" t="s">
        <v>6794</v>
      </c>
      <c r="H709" s="5" t="s">
        <v>6795</v>
      </c>
      <c r="J709" s="12">
        <v>46042</v>
      </c>
      <c r="K709" s="11">
        <v>0.45833333333212067</v>
      </c>
      <c r="M709" s="10" t="s">
        <v>16450</v>
      </c>
      <c r="N709" s="12">
        <v>46042.402290543978</v>
      </c>
      <c r="O709" s="10" t="s">
        <v>14669</v>
      </c>
      <c r="P709" s="5" t="s">
        <v>14571</v>
      </c>
      <c r="Q709" s="5" t="s">
        <v>14612</v>
      </c>
      <c r="R709" s="5" t="s">
        <v>16451</v>
      </c>
      <c r="T709" s="5" t="s">
        <v>5994</v>
      </c>
      <c r="U709" s="5" t="s">
        <v>14593</v>
      </c>
      <c r="V709" s="5" t="s">
        <v>83</v>
      </c>
      <c r="W709" s="5" t="s">
        <v>6797</v>
      </c>
    </row>
    <row r="710" spans="1:23" ht="12.5">
      <c r="A710" s="5">
        <v>91214</v>
      </c>
      <c r="B710" s="5" t="s">
        <v>6798</v>
      </c>
      <c r="C710" s="5">
        <v>5703600187</v>
      </c>
      <c r="D710" s="5">
        <v>69</v>
      </c>
      <c r="E710" s="5" t="s">
        <v>335</v>
      </c>
      <c r="F710" s="5" t="s">
        <v>33</v>
      </c>
      <c r="G710" s="5" t="s">
        <v>6798</v>
      </c>
      <c r="H710" s="5" t="s">
        <v>34</v>
      </c>
      <c r="I710" s="5">
        <v>3600187</v>
      </c>
      <c r="J710" s="12">
        <v>46042</v>
      </c>
      <c r="K710" s="11">
        <v>0</v>
      </c>
      <c r="M710" s="10" t="s">
        <v>15594</v>
      </c>
      <c r="N710" s="12">
        <v>46042.407950381945</v>
      </c>
      <c r="O710" s="10" t="s">
        <v>16186</v>
      </c>
      <c r="P710" s="5" t="s">
        <v>14571</v>
      </c>
      <c r="Q710" s="5" t="s">
        <v>14572</v>
      </c>
      <c r="R710" s="5" t="s">
        <v>16452</v>
      </c>
      <c r="T710" s="5" t="s">
        <v>14574</v>
      </c>
      <c r="U710" s="5" t="s">
        <v>33</v>
      </c>
      <c r="V710" s="5" t="s">
        <v>204</v>
      </c>
    </row>
    <row r="711" spans="1:23" ht="12.5">
      <c r="A711" s="5">
        <v>91215</v>
      </c>
      <c r="B711" s="5" t="s">
        <v>16453</v>
      </c>
      <c r="C711" s="5">
        <v>573228844381</v>
      </c>
      <c r="D711" s="5">
        <v>95</v>
      </c>
      <c r="E711" s="5" t="s">
        <v>42</v>
      </c>
      <c r="F711" s="5" t="s">
        <v>103</v>
      </c>
      <c r="G711" s="5" t="s">
        <v>6801</v>
      </c>
      <c r="H711" s="5" t="s">
        <v>6802</v>
      </c>
      <c r="I711" s="5">
        <v>3004048148</v>
      </c>
      <c r="J711" s="12">
        <v>46042</v>
      </c>
      <c r="K711" s="11">
        <v>0</v>
      </c>
      <c r="M711" s="10" t="s">
        <v>15032</v>
      </c>
      <c r="N711" s="12">
        <v>46042.416483969908</v>
      </c>
      <c r="O711" s="10" t="s">
        <v>16454</v>
      </c>
      <c r="P711" s="5" t="s">
        <v>14571</v>
      </c>
      <c r="Q711" s="5" t="s">
        <v>14572</v>
      </c>
      <c r="R711" s="5" t="s">
        <v>16455</v>
      </c>
      <c r="T711" s="5" t="s">
        <v>5994</v>
      </c>
      <c r="U711" s="5" t="s">
        <v>14593</v>
      </c>
      <c r="V711" s="5" t="s">
        <v>83</v>
      </c>
    </row>
    <row r="712" spans="1:23" ht="12.5">
      <c r="A712" s="5">
        <v>91216</v>
      </c>
      <c r="B712" s="5" t="s">
        <v>6807</v>
      </c>
      <c r="C712" s="5">
        <v>570000</v>
      </c>
      <c r="D712" s="5">
        <v>95</v>
      </c>
      <c r="E712" s="5" t="s">
        <v>42</v>
      </c>
      <c r="F712" s="5" t="s">
        <v>33</v>
      </c>
      <c r="G712" s="5" t="s">
        <v>6807</v>
      </c>
      <c r="H712" s="5" t="s">
        <v>34</v>
      </c>
      <c r="J712" s="12">
        <v>46042</v>
      </c>
      <c r="K712" s="11">
        <v>0</v>
      </c>
      <c r="M712" s="10" t="s">
        <v>16456</v>
      </c>
      <c r="N712" s="12">
        <v>46042.482199837963</v>
      </c>
      <c r="O712" s="10" t="s">
        <v>14979</v>
      </c>
      <c r="P712" s="5" t="s">
        <v>14571</v>
      </c>
      <c r="Q712" s="5" t="s">
        <v>14578</v>
      </c>
      <c r="R712" s="5" t="s">
        <v>16457</v>
      </c>
      <c r="T712" s="5" t="s">
        <v>14574</v>
      </c>
      <c r="U712" s="5" t="s">
        <v>33</v>
      </c>
      <c r="V712" s="5" t="s">
        <v>1705</v>
      </c>
      <c r="W712" s="5" t="s">
        <v>525</v>
      </c>
    </row>
    <row r="713" spans="1:23" ht="12.5">
      <c r="A713" s="5">
        <v>91217</v>
      </c>
      <c r="B713" s="5" t="s">
        <v>15746</v>
      </c>
      <c r="C713" s="5">
        <v>573012805057</v>
      </c>
      <c r="D713" s="5">
        <v>56</v>
      </c>
      <c r="E713" s="5" t="s">
        <v>1102</v>
      </c>
      <c r="F713" s="5" t="s">
        <v>307</v>
      </c>
      <c r="G713" s="5" t="s">
        <v>5495</v>
      </c>
      <c r="H713" s="5" t="s">
        <v>648</v>
      </c>
      <c r="I713" s="5">
        <v>3003946615</v>
      </c>
      <c r="J713" s="12">
        <v>46043</v>
      </c>
      <c r="K713" s="11">
        <v>0.375</v>
      </c>
      <c r="M713" s="10" t="s">
        <v>14649</v>
      </c>
      <c r="N713" s="12">
        <v>46042.508207777777</v>
      </c>
      <c r="O713" s="10" t="s">
        <v>16458</v>
      </c>
      <c r="P713" s="5" t="s">
        <v>14571</v>
      </c>
      <c r="Q713" s="5" t="s">
        <v>14612</v>
      </c>
      <c r="R713" s="5" t="s">
        <v>16459</v>
      </c>
      <c r="T713" s="5" t="s">
        <v>5994</v>
      </c>
      <c r="U713" s="5" t="s">
        <v>14618</v>
      </c>
      <c r="V713" s="5" t="s">
        <v>83</v>
      </c>
    </row>
    <row r="714" spans="1:23" ht="12.5">
      <c r="A714" s="5">
        <v>91218</v>
      </c>
      <c r="B714" s="5" t="s">
        <v>16460</v>
      </c>
      <c r="C714" s="5">
        <v>573007139209</v>
      </c>
      <c r="D714" s="5">
        <v>31</v>
      </c>
      <c r="E714" s="5" t="s">
        <v>375</v>
      </c>
      <c r="F714" s="5" t="s">
        <v>63</v>
      </c>
      <c r="G714" s="5" t="s">
        <v>6811</v>
      </c>
      <c r="H714" s="5" t="s">
        <v>6812</v>
      </c>
      <c r="I714" s="5">
        <v>3007139209</v>
      </c>
      <c r="J714" s="12">
        <v>46042</v>
      </c>
      <c r="K714" s="11">
        <v>0.625</v>
      </c>
      <c r="M714" s="10" t="s">
        <v>14595</v>
      </c>
      <c r="N714" s="12">
        <v>46042.514660902772</v>
      </c>
      <c r="O714" s="10" t="s">
        <v>15401</v>
      </c>
      <c r="P714" s="5" t="s">
        <v>14571</v>
      </c>
      <c r="Q714" s="5" t="s">
        <v>14612</v>
      </c>
      <c r="R714" s="5" t="s">
        <v>16461</v>
      </c>
      <c r="T714" s="5" t="s">
        <v>5994</v>
      </c>
      <c r="U714" s="5" t="s">
        <v>14598</v>
      </c>
      <c r="V714" s="5" t="s">
        <v>196</v>
      </c>
    </row>
    <row r="715" spans="1:23" ht="12.5">
      <c r="A715" s="5">
        <v>91219</v>
      </c>
      <c r="B715" s="5" t="s">
        <v>6816</v>
      </c>
      <c r="C715" s="5">
        <v>573003958306</v>
      </c>
      <c r="D715" s="5">
        <v>28</v>
      </c>
      <c r="E715" s="5" t="s">
        <v>435</v>
      </c>
      <c r="F715" s="5" t="s">
        <v>33</v>
      </c>
      <c r="G715" s="5" t="s">
        <v>6816</v>
      </c>
      <c r="H715" s="5" t="s">
        <v>34</v>
      </c>
      <c r="I715" s="5">
        <v>3003958306</v>
      </c>
      <c r="J715" s="12">
        <v>46042</v>
      </c>
      <c r="K715" s="11">
        <v>0</v>
      </c>
      <c r="M715" s="10" t="s">
        <v>15308</v>
      </c>
      <c r="N715" s="12">
        <v>46042.530510277778</v>
      </c>
      <c r="O715" s="10" t="s">
        <v>15133</v>
      </c>
      <c r="P715" s="5" t="s">
        <v>16291</v>
      </c>
      <c r="Q715" s="5" t="s">
        <v>14699</v>
      </c>
      <c r="R715" s="5" t="s">
        <v>16462</v>
      </c>
      <c r="T715" s="5" t="s">
        <v>14574</v>
      </c>
      <c r="U715" s="5" t="s">
        <v>33</v>
      </c>
      <c r="V715" s="5" t="s">
        <v>1705</v>
      </c>
    </row>
    <row r="716" spans="1:23" ht="12.5">
      <c r="A716" s="5">
        <v>91220</v>
      </c>
      <c r="B716" s="5" t="s">
        <v>16463</v>
      </c>
      <c r="C716" s="10" t="s">
        <v>16464</v>
      </c>
      <c r="D716" s="5">
        <v>45</v>
      </c>
      <c r="E716" s="5" t="s">
        <v>210</v>
      </c>
      <c r="F716" s="5" t="s">
        <v>33</v>
      </c>
      <c r="G716" s="5" t="s">
        <v>16465</v>
      </c>
      <c r="H716" s="5" t="s">
        <v>6820</v>
      </c>
      <c r="I716" s="5">
        <v>3013383487</v>
      </c>
      <c r="J716" s="12">
        <v>46043</v>
      </c>
      <c r="K716" s="11">
        <v>0.54166666666666663</v>
      </c>
      <c r="M716" s="10" t="s">
        <v>14734</v>
      </c>
      <c r="N716" s="12">
        <v>46042</v>
      </c>
      <c r="O716" s="10" t="s">
        <v>14965</v>
      </c>
      <c r="P716" s="5" t="s">
        <v>14571</v>
      </c>
      <c r="Q716" s="5" t="s">
        <v>14578</v>
      </c>
      <c r="R716" s="5" t="s">
        <v>16466</v>
      </c>
      <c r="T716" s="5" t="s">
        <v>14574</v>
      </c>
      <c r="U716" s="5" t="s">
        <v>33</v>
      </c>
      <c r="V716" s="5" t="s">
        <v>83</v>
      </c>
    </row>
    <row r="717" spans="1:23" ht="12.5">
      <c r="A717" s="5">
        <v>91221</v>
      </c>
      <c r="B717" s="5" t="s">
        <v>16467</v>
      </c>
      <c r="C717" s="5">
        <v>573137182283</v>
      </c>
      <c r="D717" s="5">
        <v>52</v>
      </c>
      <c r="E717" s="5" t="s">
        <v>178</v>
      </c>
      <c r="F717" s="5" t="s">
        <v>73</v>
      </c>
      <c r="G717" s="5" t="s">
        <v>6825</v>
      </c>
      <c r="H717" s="5" t="s">
        <v>6826</v>
      </c>
      <c r="I717" s="5">
        <v>3208683259</v>
      </c>
      <c r="J717" s="12">
        <v>46042</v>
      </c>
      <c r="K717" s="11">
        <v>0.625</v>
      </c>
      <c r="M717" s="10" t="s">
        <v>15043</v>
      </c>
      <c r="N717" s="12">
        <v>46042.499489224538</v>
      </c>
      <c r="O717" s="10" t="s">
        <v>15625</v>
      </c>
      <c r="P717" s="5" t="s">
        <v>14571</v>
      </c>
      <c r="Q717" s="5" t="s">
        <v>14572</v>
      </c>
      <c r="R717" s="5" t="s">
        <v>16468</v>
      </c>
      <c r="T717" s="5" t="s">
        <v>5994</v>
      </c>
      <c r="U717" s="5" t="s">
        <v>14593</v>
      </c>
      <c r="V717" s="5" t="s">
        <v>83</v>
      </c>
    </row>
    <row r="718" spans="1:23" ht="12.5">
      <c r="A718" s="5">
        <v>91222</v>
      </c>
      <c r="B718" s="5" t="s">
        <v>16469</v>
      </c>
      <c r="C718" s="5">
        <v>13057938232</v>
      </c>
      <c r="D718" s="5">
        <v>31</v>
      </c>
      <c r="E718" s="5" t="s">
        <v>375</v>
      </c>
      <c r="F718" s="5" t="s">
        <v>6831</v>
      </c>
      <c r="G718" s="5" t="s">
        <v>6830</v>
      </c>
      <c r="H718" s="5" t="s">
        <v>6832</v>
      </c>
      <c r="I718" s="5">
        <v>13059047883</v>
      </c>
      <c r="J718" s="12">
        <v>46042</v>
      </c>
      <c r="K718" s="11">
        <v>0.625</v>
      </c>
      <c r="M718" s="10" t="s">
        <v>16470</v>
      </c>
      <c r="N718" s="12">
        <v>46042.54908921296</v>
      </c>
      <c r="O718" s="10" t="s">
        <v>16471</v>
      </c>
      <c r="P718" s="5" t="s">
        <v>14571</v>
      </c>
      <c r="Q718" s="5" t="s">
        <v>14572</v>
      </c>
      <c r="R718" s="5" t="s">
        <v>16472</v>
      </c>
      <c r="T718" s="5" t="s">
        <v>5994</v>
      </c>
      <c r="U718" s="5"/>
      <c r="V718" s="5" t="s">
        <v>83</v>
      </c>
      <c r="W718" s="5" t="s">
        <v>6835</v>
      </c>
    </row>
    <row r="719" spans="1:23" ht="12.5">
      <c r="A719" s="5">
        <v>91223</v>
      </c>
      <c r="B719" s="5" t="s">
        <v>6840</v>
      </c>
      <c r="C719" s="5">
        <v>573012548335</v>
      </c>
      <c r="D719" s="5">
        <v>57</v>
      </c>
      <c r="E719" s="5" t="s">
        <v>1085</v>
      </c>
      <c r="F719" s="5" t="s">
        <v>3764</v>
      </c>
      <c r="G719" s="5" t="s">
        <v>6837</v>
      </c>
      <c r="H719" s="5" t="s">
        <v>6838</v>
      </c>
      <c r="I719" s="5">
        <v>3163199000</v>
      </c>
      <c r="J719" s="12">
        <v>46042</v>
      </c>
      <c r="K719" s="11">
        <v>0.66666666666787933</v>
      </c>
      <c r="M719" s="10" t="s">
        <v>15783</v>
      </c>
      <c r="N719" s="12">
        <v>46042.579715590276</v>
      </c>
      <c r="O719" s="10" t="s">
        <v>16473</v>
      </c>
      <c r="P719" s="5" t="s">
        <v>14571</v>
      </c>
      <c r="Q719" s="5" t="s">
        <v>14612</v>
      </c>
      <c r="R719" s="5" t="s">
        <v>16474</v>
      </c>
      <c r="T719" s="5" t="s">
        <v>5994</v>
      </c>
      <c r="U719" s="5" t="s">
        <v>14618</v>
      </c>
      <c r="V719" s="5" t="s">
        <v>83</v>
      </c>
    </row>
    <row r="720" spans="1:23" ht="12.5">
      <c r="A720" s="5">
        <v>91224</v>
      </c>
      <c r="B720" s="5" t="s">
        <v>15423</v>
      </c>
      <c r="C720" s="5">
        <v>573167483308</v>
      </c>
      <c r="D720" s="5">
        <v>20</v>
      </c>
      <c r="E720" s="5" t="s">
        <v>6843</v>
      </c>
      <c r="F720" s="5" t="s">
        <v>1124</v>
      </c>
      <c r="G720" s="5" t="s">
        <v>6841</v>
      </c>
      <c r="H720" s="5" t="s">
        <v>6842</v>
      </c>
      <c r="I720" s="5">
        <v>3053816242</v>
      </c>
      <c r="J720" s="12">
        <v>46044</v>
      </c>
      <c r="K720" s="11">
        <v>0.375</v>
      </c>
      <c r="M720" s="10" t="s">
        <v>14842</v>
      </c>
      <c r="N720" s="12">
        <v>46042.58686974537</v>
      </c>
      <c r="O720" s="10" t="s">
        <v>14611</v>
      </c>
      <c r="P720" s="5" t="s">
        <v>14571</v>
      </c>
      <c r="Q720" s="5" t="s">
        <v>14578</v>
      </c>
      <c r="R720" s="5" t="s">
        <v>16475</v>
      </c>
      <c r="T720" s="5" t="s">
        <v>5994</v>
      </c>
      <c r="U720" s="5" t="s">
        <v>14691</v>
      </c>
      <c r="V720" s="5" t="s">
        <v>83</v>
      </c>
    </row>
    <row r="721" spans="1:23" ht="12.5">
      <c r="A721" s="5">
        <v>91225</v>
      </c>
      <c r="B721" s="5" t="s">
        <v>6848</v>
      </c>
      <c r="C721" s="5">
        <v>573054397088</v>
      </c>
      <c r="D721" s="5">
        <v>53</v>
      </c>
      <c r="E721" s="5" t="s">
        <v>75</v>
      </c>
      <c r="F721" s="5" t="s">
        <v>33</v>
      </c>
      <c r="G721" s="5" t="s">
        <v>6848</v>
      </c>
      <c r="H721" s="5" t="s">
        <v>34</v>
      </c>
      <c r="I721" s="5">
        <v>3054397088</v>
      </c>
      <c r="J721" s="12">
        <v>46042</v>
      </c>
      <c r="K721" s="11">
        <v>0.75</v>
      </c>
      <c r="M721" s="10" t="s">
        <v>14585</v>
      </c>
      <c r="N721" s="12">
        <v>46042.598910347224</v>
      </c>
      <c r="O721" s="10" t="s">
        <v>15065</v>
      </c>
      <c r="P721" s="5" t="s">
        <v>14571</v>
      </c>
      <c r="Q721" s="5" t="s">
        <v>14572</v>
      </c>
      <c r="R721" s="5" t="s">
        <v>16476</v>
      </c>
      <c r="T721" s="5" t="s">
        <v>14574</v>
      </c>
      <c r="U721" s="5" t="s">
        <v>33</v>
      </c>
      <c r="V721" s="5" t="s">
        <v>1705</v>
      </c>
    </row>
    <row r="722" spans="1:23" ht="12.5">
      <c r="A722" s="5">
        <v>91226</v>
      </c>
      <c r="B722" s="5" t="s">
        <v>6849</v>
      </c>
      <c r="C722" s="5">
        <v>573243095056</v>
      </c>
      <c r="D722" s="5">
        <v>95</v>
      </c>
      <c r="E722" s="5" t="s">
        <v>42</v>
      </c>
      <c r="F722" s="5" t="s">
        <v>33</v>
      </c>
      <c r="G722" s="5" t="s">
        <v>6849</v>
      </c>
      <c r="H722" s="5" t="s">
        <v>34</v>
      </c>
      <c r="I722" s="5">
        <v>3243095056</v>
      </c>
      <c r="J722" s="12">
        <v>46042</v>
      </c>
      <c r="K722" s="11">
        <v>0</v>
      </c>
      <c r="M722" s="10" t="s">
        <v>14740</v>
      </c>
      <c r="N722" s="12">
        <v>46042.650717604163</v>
      </c>
      <c r="O722" s="10" t="s">
        <v>16477</v>
      </c>
      <c r="P722" s="5" t="s">
        <v>14571</v>
      </c>
      <c r="Q722" s="5" t="s">
        <v>14578</v>
      </c>
      <c r="R722" s="5" t="s">
        <v>16478</v>
      </c>
      <c r="T722" s="5" t="s">
        <v>14574</v>
      </c>
      <c r="U722" s="5" t="s">
        <v>33</v>
      </c>
      <c r="V722" s="5" t="s">
        <v>196</v>
      </c>
    </row>
    <row r="723" spans="1:23" ht="12.5">
      <c r="A723" s="5">
        <v>91227</v>
      </c>
      <c r="B723" s="5" t="s">
        <v>16479</v>
      </c>
      <c r="C723" s="5">
        <v>573151760837</v>
      </c>
      <c r="D723" s="5">
        <v>24</v>
      </c>
      <c r="E723" s="5" t="s">
        <v>251</v>
      </c>
      <c r="F723" s="5" t="s">
        <v>103</v>
      </c>
      <c r="G723" s="5" t="s">
        <v>6852</v>
      </c>
      <c r="H723" s="5" t="s">
        <v>6853</v>
      </c>
      <c r="I723" s="5">
        <v>3004657077</v>
      </c>
      <c r="J723" s="12">
        <v>46042</v>
      </c>
      <c r="K723" s="11">
        <v>0.70833333333212067</v>
      </c>
      <c r="M723" s="10" t="s">
        <v>16480</v>
      </c>
      <c r="N723" s="12">
        <v>46042.635515104164</v>
      </c>
      <c r="O723" s="10" t="s">
        <v>15884</v>
      </c>
      <c r="P723" s="5" t="s">
        <v>14571</v>
      </c>
      <c r="Q723" s="5" t="s">
        <v>14572</v>
      </c>
      <c r="R723" s="5" t="s">
        <v>16481</v>
      </c>
      <c r="T723" s="5" t="s">
        <v>5994</v>
      </c>
      <c r="U723" s="5" t="s">
        <v>14593</v>
      </c>
      <c r="V723" s="5" t="s">
        <v>67</v>
      </c>
    </row>
    <row r="724" spans="1:23" ht="12.5">
      <c r="A724" s="5">
        <v>91228</v>
      </c>
      <c r="B724" s="5" t="s">
        <v>10506</v>
      </c>
      <c r="C724" s="5">
        <v>34675382414</v>
      </c>
      <c r="D724" s="5">
        <v>31</v>
      </c>
      <c r="E724" s="5" t="s">
        <v>375</v>
      </c>
      <c r="F724" s="5" t="s">
        <v>249</v>
      </c>
      <c r="G724" s="5" t="s">
        <v>6857</v>
      </c>
      <c r="H724" s="5" t="s">
        <v>6858</v>
      </c>
      <c r="I724" s="5">
        <v>3506573758</v>
      </c>
      <c r="J724" s="12">
        <v>46042</v>
      </c>
      <c r="K724" s="11">
        <v>0</v>
      </c>
      <c r="M724" s="10" t="s">
        <v>14627</v>
      </c>
      <c r="N724" s="12">
        <v>46042.64836457176</v>
      </c>
      <c r="O724" s="10" t="s">
        <v>15236</v>
      </c>
      <c r="P724" s="5" t="s">
        <v>14571</v>
      </c>
      <c r="Q724" s="5" t="s">
        <v>14578</v>
      </c>
      <c r="R724" s="5" t="s">
        <v>16482</v>
      </c>
      <c r="T724" s="5" t="s">
        <v>5994</v>
      </c>
      <c r="U724" s="5" t="s">
        <v>14593</v>
      </c>
      <c r="V724" s="5" t="s">
        <v>83</v>
      </c>
    </row>
    <row r="725" spans="1:23" ht="12.5">
      <c r="A725" s="5">
        <v>91229</v>
      </c>
      <c r="B725" s="5" t="s">
        <v>16483</v>
      </c>
      <c r="C725" s="5">
        <v>573003598301</v>
      </c>
      <c r="D725" s="5">
        <v>95</v>
      </c>
      <c r="E725" s="5" t="s">
        <v>42</v>
      </c>
      <c r="F725" s="5" t="s">
        <v>964</v>
      </c>
      <c r="G725" s="5" t="s">
        <v>6861</v>
      </c>
      <c r="H725" s="5" t="s">
        <v>6862</v>
      </c>
      <c r="I725" s="5">
        <v>3183379722</v>
      </c>
      <c r="J725" s="12">
        <v>46043</v>
      </c>
      <c r="K725" s="11">
        <v>0.375</v>
      </c>
      <c r="M725" s="10" t="s">
        <v>16484</v>
      </c>
      <c r="N725" s="12">
        <v>46042.667875960644</v>
      </c>
      <c r="O725" s="10" t="s">
        <v>15372</v>
      </c>
      <c r="P725" s="5" t="s">
        <v>14571</v>
      </c>
      <c r="Q725" s="5" t="s">
        <v>14578</v>
      </c>
      <c r="R725" s="5" t="s">
        <v>16485</v>
      </c>
      <c r="T725" s="5" t="s">
        <v>5994</v>
      </c>
      <c r="U725" s="5" t="s">
        <v>14618</v>
      </c>
      <c r="V725" s="5" t="s">
        <v>43</v>
      </c>
      <c r="W725" s="5" t="s">
        <v>6863</v>
      </c>
    </row>
    <row r="726" spans="1:23" ht="12.5">
      <c r="A726" s="5">
        <v>91230</v>
      </c>
      <c r="B726" s="5" t="s">
        <v>6865</v>
      </c>
      <c r="C726" s="5">
        <v>573005594993</v>
      </c>
      <c r="D726" s="5">
        <v>95</v>
      </c>
      <c r="E726" s="5" t="s">
        <v>42</v>
      </c>
      <c r="F726" s="5" t="s">
        <v>33</v>
      </c>
      <c r="G726" s="5" t="s">
        <v>6865</v>
      </c>
      <c r="H726" s="5" t="s">
        <v>34</v>
      </c>
      <c r="I726" s="5">
        <v>3005594993</v>
      </c>
      <c r="J726" s="12">
        <v>46042</v>
      </c>
      <c r="K726" s="11">
        <v>0.7194444444430701</v>
      </c>
      <c r="M726" s="10" t="s">
        <v>15352</v>
      </c>
      <c r="N726" s="12">
        <v>46042.708443807875</v>
      </c>
      <c r="O726" s="10" t="s">
        <v>14703</v>
      </c>
      <c r="P726" s="5" t="s">
        <v>14571</v>
      </c>
      <c r="Q726" s="5" t="s">
        <v>14578</v>
      </c>
      <c r="R726" s="5" t="s">
        <v>16486</v>
      </c>
      <c r="T726" s="5" t="s">
        <v>14574</v>
      </c>
      <c r="U726" s="5" t="s">
        <v>33</v>
      </c>
      <c r="V726" s="5" t="s">
        <v>1705</v>
      </c>
      <c r="W726" s="5" t="s">
        <v>120</v>
      </c>
    </row>
    <row r="727" spans="1:23" ht="12.5">
      <c r="A727" s="5">
        <v>91231</v>
      </c>
      <c r="B727" s="5" t="s">
        <v>1685</v>
      </c>
      <c r="C727" s="5">
        <v>573173672739</v>
      </c>
      <c r="D727" s="5">
        <v>95</v>
      </c>
      <c r="E727" s="5" t="s">
        <v>42</v>
      </c>
      <c r="F727" s="5" t="s">
        <v>33</v>
      </c>
      <c r="G727" s="5" t="s">
        <v>1685</v>
      </c>
      <c r="H727" s="5" t="s">
        <v>34</v>
      </c>
      <c r="I727" s="5">
        <v>3173672739</v>
      </c>
      <c r="J727" s="12">
        <v>46043</v>
      </c>
      <c r="K727" s="11">
        <v>0.41666666666787933</v>
      </c>
      <c r="M727" s="10" t="s">
        <v>2686</v>
      </c>
      <c r="N727" s="12">
        <v>46043.71570601852</v>
      </c>
      <c r="O727" s="10" t="s">
        <v>15041</v>
      </c>
      <c r="P727" s="5" t="s">
        <v>14571</v>
      </c>
      <c r="Q727" s="5" t="s">
        <v>14578</v>
      </c>
      <c r="R727" s="5" t="s">
        <v>16487</v>
      </c>
      <c r="T727" s="5" t="s">
        <v>14574</v>
      </c>
      <c r="U727" s="5" t="s">
        <v>33</v>
      </c>
      <c r="V727" s="5" t="s">
        <v>83</v>
      </c>
      <c r="W727" s="5" t="s">
        <v>6866</v>
      </c>
    </row>
    <row r="728" spans="1:23" ht="12.5">
      <c r="A728" s="5">
        <v>91232</v>
      </c>
      <c r="B728" s="5" t="s">
        <v>16488</v>
      </c>
      <c r="C728" s="5">
        <v>573057525677</v>
      </c>
      <c r="D728" s="5">
        <v>68</v>
      </c>
      <c r="E728" s="5" t="s">
        <v>361</v>
      </c>
      <c r="F728" s="5" t="s">
        <v>930</v>
      </c>
      <c r="G728" s="5" t="s">
        <v>6868</v>
      </c>
      <c r="H728" s="5" t="s">
        <v>6869</v>
      </c>
      <c r="I728" s="5">
        <v>3217578008</v>
      </c>
      <c r="J728" s="12">
        <v>46043</v>
      </c>
      <c r="K728" s="11">
        <v>0.375</v>
      </c>
      <c r="M728" s="10" t="s">
        <v>14649</v>
      </c>
      <c r="N728" s="12">
        <v>46042.414355497684</v>
      </c>
      <c r="O728" s="10" t="s">
        <v>15732</v>
      </c>
      <c r="P728" s="5" t="s">
        <v>14571</v>
      </c>
      <c r="Q728" s="5" t="s">
        <v>14612</v>
      </c>
      <c r="R728" s="5" t="s">
        <v>16489</v>
      </c>
      <c r="T728" s="5" t="s">
        <v>5994</v>
      </c>
      <c r="U728" s="5" t="s">
        <v>14598</v>
      </c>
      <c r="V728" s="5" t="s">
        <v>204</v>
      </c>
      <c r="W728" s="5" t="s">
        <v>6872</v>
      </c>
    </row>
    <row r="729" spans="1:23" ht="12.5">
      <c r="A729" s="5">
        <v>91233</v>
      </c>
      <c r="B729" s="5" t="s">
        <v>16490</v>
      </c>
      <c r="C729" s="5">
        <v>573106333999</v>
      </c>
      <c r="D729" s="5">
        <v>10</v>
      </c>
      <c r="E729" s="5" t="s">
        <v>6874</v>
      </c>
      <c r="F729" s="5" t="s">
        <v>229</v>
      </c>
      <c r="G729" s="5" t="s">
        <v>228</v>
      </c>
      <c r="H729" s="5" t="s">
        <v>230</v>
      </c>
      <c r="I729" s="5" t="s">
        <v>6873</v>
      </c>
      <c r="J729" s="12">
        <v>46043</v>
      </c>
      <c r="K729" s="11">
        <v>0.35277777777810115</v>
      </c>
      <c r="M729" s="10" t="s">
        <v>16491</v>
      </c>
      <c r="N729" s="12">
        <v>46042.701556643515</v>
      </c>
      <c r="O729" s="10" t="s">
        <v>16492</v>
      </c>
      <c r="P729" s="5" t="s">
        <v>14571</v>
      </c>
      <c r="Q729" s="5" t="s">
        <v>14572</v>
      </c>
      <c r="R729" s="5" t="s">
        <v>16493</v>
      </c>
      <c r="T729" s="5" t="s">
        <v>5994</v>
      </c>
      <c r="U729" s="5"/>
      <c r="V729" s="5" t="s">
        <v>83</v>
      </c>
      <c r="W729" s="5" t="s">
        <v>6877</v>
      </c>
    </row>
    <row r="730" spans="1:23" ht="12.5">
      <c r="A730" s="5">
        <v>91234</v>
      </c>
      <c r="B730" s="5" t="s">
        <v>16494</v>
      </c>
      <c r="C730" s="5">
        <v>573002627762</v>
      </c>
      <c r="D730" s="5">
        <v>95</v>
      </c>
      <c r="E730" s="5" t="s">
        <v>42</v>
      </c>
      <c r="F730" s="5" t="s">
        <v>33</v>
      </c>
      <c r="G730" s="5" t="s">
        <v>4674</v>
      </c>
      <c r="H730" s="5" t="s">
        <v>34</v>
      </c>
      <c r="I730" s="5">
        <v>3002627762</v>
      </c>
      <c r="J730" s="12">
        <v>46042</v>
      </c>
      <c r="K730" s="11">
        <v>0</v>
      </c>
      <c r="M730" s="10" t="s">
        <v>14740</v>
      </c>
      <c r="N730" s="12">
        <v>46042.767676990741</v>
      </c>
      <c r="O730" s="10" t="s">
        <v>16495</v>
      </c>
      <c r="P730" s="5" t="s">
        <v>14571</v>
      </c>
      <c r="Q730" s="5" t="s">
        <v>14578</v>
      </c>
      <c r="R730" s="5" t="s">
        <v>16496</v>
      </c>
      <c r="T730" s="5" t="s">
        <v>14574</v>
      </c>
      <c r="U730" s="5" t="s">
        <v>33</v>
      </c>
      <c r="V730" s="5" t="s">
        <v>43</v>
      </c>
      <c r="W730" s="5" t="s">
        <v>525</v>
      </c>
    </row>
    <row r="731" spans="1:23" ht="12.5">
      <c r="A731" s="5">
        <v>91235</v>
      </c>
      <c r="B731" s="5" t="s">
        <v>16497</v>
      </c>
      <c r="C731" s="10" t="s">
        <v>16498</v>
      </c>
      <c r="D731" s="5">
        <v>31</v>
      </c>
      <c r="E731" s="5" t="s">
        <v>375</v>
      </c>
      <c r="F731" s="5" t="s">
        <v>79</v>
      </c>
      <c r="G731" s="5" t="s">
        <v>6879</v>
      </c>
      <c r="H731" s="5" t="s">
        <v>6880</v>
      </c>
      <c r="J731" s="12">
        <v>46043</v>
      </c>
      <c r="K731" s="11">
        <v>0</v>
      </c>
      <c r="M731" s="10" t="s">
        <v>14627</v>
      </c>
      <c r="N731" s="12">
        <v>46043</v>
      </c>
      <c r="O731" s="10" t="s">
        <v>16499</v>
      </c>
      <c r="P731" s="5" t="s">
        <v>14571</v>
      </c>
      <c r="Q731" s="5" t="s">
        <v>14578</v>
      </c>
      <c r="R731" s="5" t="s">
        <v>16500</v>
      </c>
      <c r="T731" s="5" t="s">
        <v>5994</v>
      </c>
      <c r="U731" s="5" t="s">
        <v>14593</v>
      </c>
      <c r="V731" s="5" t="s">
        <v>180</v>
      </c>
      <c r="W731" s="5" t="s">
        <v>6883</v>
      </c>
    </row>
    <row r="732" spans="1:23" ht="12.5">
      <c r="A732" s="5">
        <v>91236</v>
      </c>
      <c r="B732" s="5" t="s">
        <v>16501</v>
      </c>
      <c r="C732" s="5">
        <v>573017457818</v>
      </c>
      <c r="D732" s="5" t="s">
        <v>14589</v>
      </c>
      <c r="E732" s="5" t="s">
        <v>6888</v>
      </c>
      <c r="F732" s="5" t="s">
        <v>249</v>
      </c>
      <c r="G732" s="5" t="s">
        <v>6886</v>
      </c>
      <c r="H732" s="5" t="s">
        <v>6887</v>
      </c>
      <c r="J732" s="12">
        <v>46043</v>
      </c>
      <c r="K732" s="11">
        <v>0.41666666666787933</v>
      </c>
      <c r="M732" s="10" t="s">
        <v>15480</v>
      </c>
      <c r="N732" s="12">
        <v>46043.353433356482</v>
      </c>
      <c r="O732" s="10" t="s">
        <v>16502</v>
      </c>
      <c r="P732" s="5" t="s">
        <v>14571</v>
      </c>
      <c r="Q732" s="5" t="s">
        <v>14572</v>
      </c>
      <c r="R732" s="5" t="s">
        <v>16503</v>
      </c>
      <c r="T732" s="5" t="s">
        <v>5994</v>
      </c>
      <c r="U732" s="5" t="s">
        <v>14593</v>
      </c>
      <c r="V732" s="5" t="s">
        <v>83</v>
      </c>
      <c r="W732" s="5" t="s">
        <v>6890</v>
      </c>
    </row>
    <row r="733" spans="1:23" ht="12.5">
      <c r="A733" s="5">
        <v>91237</v>
      </c>
      <c r="B733" s="5" t="s">
        <v>6892</v>
      </c>
      <c r="C733" s="5">
        <v>573205937079</v>
      </c>
      <c r="D733" s="5">
        <v>42</v>
      </c>
      <c r="E733" s="5" t="s">
        <v>649</v>
      </c>
      <c r="F733" s="5" t="s">
        <v>154</v>
      </c>
      <c r="G733" s="5" t="s">
        <v>6892</v>
      </c>
      <c r="H733" s="5" t="s">
        <v>6893</v>
      </c>
      <c r="I733" s="5">
        <v>3205937079</v>
      </c>
      <c r="J733" s="12">
        <v>46043</v>
      </c>
      <c r="K733" s="11">
        <v>0.45833333333212067</v>
      </c>
      <c r="M733" s="10" t="s">
        <v>15140</v>
      </c>
      <c r="N733" s="12">
        <v>46043.337033518517</v>
      </c>
      <c r="O733" s="10" t="s">
        <v>15906</v>
      </c>
      <c r="P733" s="5" t="s">
        <v>14571</v>
      </c>
      <c r="Q733" s="5" t="s">
        <v>14578</v>
      </c>
      <c r="R733" s="5" t="s">
        <v>16504</v>
      </c>
      <c r="T733" s="5" t="s">
        <v>5994</v>
      </c>
      <c r="U733" s="5" t="s">
        <v>14593</v>
      </c>
      <c r="V733" s="5" t="s">
        <v>1937</v>
      </c>
    </row>
    <row r="734" spans="1:23" ht="12.5">
      <c r="A734" s="5">
        <v>91238</v>
      </c>
      <c r="B734" s="5" t="s">
        <v>16505</v>
      </c>
      <c r="C734" s="5">
        <v>5783257758</v>
      </c>
      <c r="D734" s="5" t="s">
        <v>14589</v>
      </c>
      <c r="E734" s="5" t="s">
        <v>6899</v>
      </c>
      <c r="F734" s="5" t="s">
        <v>1815</v>
      </c>
      <c r="G734" s="5" t="s">
        <v>6897</v>
      </c>
      <c r="H734" s="5" t="s">
        <v>6898</v>
      </c>
      <c r="I734" s="5">
        <v>3013141562</v>
      </c>
      <c r="J734" s="12">
        <v>46043</v>
      </c>
      <c r="K734" s="11">
        <v>0.45833333333212067</v>
      </c>
      <c r="M734" s="10" t="s">
        <v>14859</v>
      </c>
      <c r="N734" s="12">
        <v>46043.363445104165</v>
      </c>
      <c r="O734" s="10" t="s">
        <v>15909</v>
      </c>
      <c r="P734" s="5" t="s">
        <v>14571</v>
      </c>
      <c r="Q734" s="5" t="s">
        <v>14612</v>
      </c>
      <c r="R734" s="5" t="s">
        <v>16506</v>
      </c>
      <c r="T734" s="5" t="s">
        <v>5994</v>
      </c>
      <c r="U734" s="5" t="s">
        <v>14580</v>
      </c>
      <c r="V734" s="5" t="s">
        <v>83</v>
      </c>
    </row>
    <row r="735" spans="1:23" ht="12.5">
      <c r="A735" s="5">
        <v>91239</v>
      </c>
      <c r="B735" s="5" t="s">
        <v>16507</v>
      </c>
      <c r="C735" s="5">
        <v>573155204525</v>
      </c>
      <c r="D735" s="5" t="s">
        <v>16354</v>
      </c>
      <c r="E735" s="5" t="s">
        <v>6601</v>
      </c>
      <c r="F735" s="5" t="s">
        <v>6905</v>
      </c>
      <c r="G735" s="5" t="s">
        <v>6904</v>
      </c>
      <c r="H735" s="5" t="s">
        <v>6906</v>
      </c>
      <c r="J735" s="12">
        <v>46043</v>
      </c>
      <c r="K735" s="11">
        <v>0</v>
      </c>
      <c r="M735" s="10" t="s">
        <v>16508</v>
      </c>
      <c r="N735" s="12">
        <v>46043.42675875</v>
      </c>
      <c r="O735" s="10" t="s">
        <v>16509</v>
      </c>
      <c r="P735" s="5" t="s">
        <v>14571</v>
      </c>
      <c r="Q735" s="5" t="s">
        <v>14612</v>
      </c>
      <c r="R735" s="5" t="s">
        <v>16510</v>
      </c>
      <c r="T735" s="5" t="s">
        <v>5994</v>
      </c>
      <c r="U735" s="5" t="s">
        <v>14598</v>
      </c>
      <c r="V735" s="5" t="s">
        <v>180</v>
      </c>
    </row>
    <row r="736" spans="1:23" ht="12.5">
      <c r="A736" s="5">
        <v>91240</v>
      </c>
      <c r="B736" s="5" t="s">
        <v>16511</v>
      </c>
      <c r="C736" s="5">
        <v>573102238676</v>
      </c>
      <c r="D736" s="5">
        <v>26</v>
      </c>
      <c r="E736" s="5" t="s">
        <v>422</v>
      </c>
      <c r="F736" s="5" t="s">
        <v>103</v>
      </c>
      <c r="G736" s="5" t="s">
        <v>6910</v>
      </c>
      <c r="H736" s="5" t="s">
        <v>6911</v>
      </c>
      <c r="I736" s="5">
        <v>3162755172</v>
      </c>
      <c r="J736" s="12">
        <v>46043</v>
      </c>
      <c r="K736" s="11">
        <v>0</v>
      </c>
      <c r="M736" s="10" t="s">
        <v>15384</v>
      </c>
      <c r="N736" s="12">
        <v>46043.441145219906</v>
      </c>
      <c r="O736" s="10" t="s">
        <v>16512</v>
      </c>
      <c r="P736" s="5" t="s">
        <v>14571</v>
      </c>
      <c r="Q736" s="5" t="s">
        <v>14572</v>
      </c>
      <c r="R736" s="5" t="s">
        <v>16513</v>
      </c>
      <c r="T736" s="5" t="s">
        <v>5994</v>
      </c>
      <c r="U736" s="5" t="s">
        <v>14593</v>
      </c>
      <c r="V736" s="5" t="s">
        <v>83</v>
      </c>
      <c r="W736" s="5" t="s">
        <v>3907</v>
      </c>
    </row>
    <row r="737" spans="1:23" ht="12.5">
      <c r="A737" s="5">
        <v>91241</v>
      </c>
      <c r="B737" s="5" t="s">
        <v>16514</v>
      </c>
      <c r="C737" s="5">
        <v>573218387622</v>
      </c>
      <c r="D737" s="5">
        <v>68</v>
      </c>
      <c r="E737" s="5" t="s">
        <v>361</v>
      </c>
      <c r="F737" s="5" t="s">
        <v>63</v>
      </c>
      <c r="G737" s="5" t="s">
        <v>6916</v>
      </c>
      <c r="H737" s="5" t="s">
        <v>6917</v>
      </c>
      <c r="I737" s="5">
        <v>3002574672</v>
      </c>
      <c r="J737" s="12">
        <v>46043</v>
      </c>
      <c r="K737" s="11">
        <v>0</v>
      </c>
      <c r="M737" s="10" t="s">
        <v>15359</v>
      </c>
      <c r="N737" s="12">
        <v>46043.447441782409</v>
      </c>
      <c r="O737" s="10" t="s">
        <v>16056</v>
      </c>
      <c r="P737" s="5" t="s">
        <v>14571</v>
      </c>
      <c r="Q737" s="5" t="s">
        <v>14572</v>
      </c>
      <c r="R737" s="5" t="s">
        <v>16515</v>
      </c>
      <c r="T737" s="5" t="s">
        <v>5994</v>
      </c>
      <c r="U737" s="5" t="s">
        <v>14598</v>
      </c>
      <c r="V737" s="5" t="s">
        <v>204</v>
      </c>
    </row>
    <row r="738" spans="1:23" ht="12.5">
      <c r="A738" s="5">
        <v>91242</v>
      </c>
      <c r="B738" s="5" t="s">
        <v>16516</v>
      </c>
      <c r="C738" s="5">
        <v>573153083288</v>
      </c>
      <c r="D738" s="5">
        <v>63</v>
      </c>
      <c r="E738" s="5" t="s">
        <v>294</v>
      </c>
      <c r="F738" s="5" t="s">
        <v>930</v>
      </c>
      <c r="G738" s="5" t="s">
        <v>6922</v>
      </c>
      <c r="H738" s="5" t="s">
        <v>6923</v>
      </c>
      <c r="I738" s="5">
        <v>3142402578</v>
      </c>
      <c r="J738" s="12">
        <v>46043</v>
      </c>
      <c r="K738" s="11">
        <v>0</v>
      </c>
      <c r="M738" s="10" t="s">
        <v>14777</v>
      </c>
      <c r="N738" s="12">
        <v>46043.466845474541</v>
      </c>
      <c r="O738" s="10" t="s">
        <v>16517</v>
      </c>
      <c r="P738" s="5" t="s">
        <v>14571</v>
      </c>
      <c r="Q738" s="5" t="s">
        <v>14572</v>
      </c>
      <c r="R738" s="5" t="s">
        <v>16518</v>
      </c>
      <c r="T738" s="5" t="s">
        <v>5994</v>
      </c>
      <c r="U738" s="5" t="s">
        <v>14598</v>
      </c>
      <c r="V738" s="5" t="s">
        <v>1937</v>
      </c>
      <c r="W738" s="5" t="s">
        <v>6925</v>
      </c>
    </row>
    <row r="739" spans="1:23" ht="12.5">
      <c r="A739" s="5">
        <v>91243</v>
      </c>
      <c r="B739" s="5" t="s">
        <v>6928</v>
      </c>
      <c r="C739" s="5">
        <v>573127908264</v>
      </c>
      <c r="D739" s="5">
        <v>95</v>
      </c>
      <c r="E739" s="5" t="s">
        <v>42</v>
      </c>
      <c r="F739" s="5" t="s">
        <v>33</v>
      </c>
      <c r="G739" s="5" t="s">
        <v>6928</v>
      </c>
      <c r="H739" s="5" t="s">
        <v>34</v>
      </c>
      <c r="I739" s="5">
        <v>3127908264</v>
      </c>
      <c r="J739" s="12">
        <v>46043</v>
      </c>
      <c r="K739" s="11">
        <v>0</v>
      </c>
      <c r="M739" s="10" t="s">
        <v>16519</v>
      </c>
      <c r="N739" s="12">
        <v>46043.474354942126</v>
      </c>
      <c r="O739" s="10" t="s">
        <v>16520</v>
      </c>
      <c r="P739" s="5" t="s">
        <v>14571</v>
      </c>
      <c r="Q739" s="5" t="s">
        <v>14572</v>
      </c>
      <c r="R739" s="5" t="s">
        <v>16521</v>
      </c>
      <c r="T739" s="5" t="s">
        <v>14574</v>
      </c>
      <c r="U739" s="5" t="s">
        <v>33</v>
      </c>
      <c r="V739" s="5" t="s">
        <v>196</v>
      </c>
      <c r="W739" s="5" t="s">
        <v>525</v>
      </c>
    </row>
    <row r="740" spans="1:23" ht="12.5">
      <c r="A740" s="5">
        <v>91244</v>
      </c>
      <c r="B740" s="5" t="s">
        <v>16522</v>
      </c>
      <c r="C740" s="5">
        <v>573012943870</v>
      </c>
      <c r="D740" s="5">
        <v>29</v>
      </c>
      <c r="E740" s="5" t="s">
        <v>309</v>
      </c>
      <c r="F740" s="5" t="s">
        <v>328</v>
      </c>
      <c r="G740" s="5" t="s">
        <v>6931</v>
      </c>
      <c r="H740" s="5" t="s">
        <v>6932</v>
      </c>
      <c r="I740" s="5">
        <v>3008920618</v>
      </c>
      <c r="J740" s="12">
        <v>46044</v>
      </c>
      <c r="K740" s="11">
        <v>0.60416666666787933</v>
      </c>
      <c r="M740" s="10" t="s">
        <v>14705</v>
      </c>
      <c r="N740" s="12">
        <v>46043.458128217593</v>
      </c>
      <c r="O740" s="10" t="s">
        <v>16523</v>
      </c>
      <c r="P740" s="5" t="s">
        <v>14571</v>
      </c>
      <c r="Q740" s="5" t="s">
        <v>14612</v>
      </c>
      <c r="R740" s="5" t="s">
        <v>16524</v>
      </c>
      <c r="T740" s="5" t="s">
        <v>5994</v>
      </c>
      <c r="U740" s="5"/>
      <c r="V740" s="5" t="s">
        <v>83</v>
      </c>
    </row>
    <row r="741" spans="1:23" ht="12.5">
      <c r="A741" s="5">
        <v>91245</v>
      </c>
      <c r="B741" s="5" t="s">
        <v>16525</v>
      </c>
      <c r="C741" s="5">
        <v>573015418841</v>
      </c>
      <c r="D741" s="5">
        <v>31</v>
      </c>
      <c r="E741" s="5" t="s">
        <v>375</v>
      </c>
      <c r="F741" s="5" t="s">
        <v>249</v>
      </c>
      <c r="G741" s="5" t="s">
        <v>6936</v>
      </c>
      <c r="H741" s="5" t="s">
        <v>6937</v>
      </c>
      <c r="I741" s="5">
        <v>3245446843</v>
      </c>
      <c r="J741" s="12">
        <v>46043</v>
      </c>
      <c r="K741" s="11">
        <v>0.60416666666787933</v>
      </c>
      <c r="M741" s="10" t="s">
        <v>14627</v>
      </c>
      <c r="N741" s="12">
        <v>46043.480217129632</v>
      </c>
      <c r="O741" s="10" t="s">
        <v>16526</v>
      </c>
      <c r="P741" s="5" t="s">
        <v>14571</v>
      </c>
      <c r="Q741" s="5" t="s">
        <v>14572</v>
      </c>
      <c r="R741" s="5" t="s">
        <v>16527</v>
      </c>
      <c r="T741" s="5" t="s">
        <v>5994</v>
      </c>
      <c r="U741" s="5" t="s">
        <v>14593</v>
      </c>
      <c r="V741" s="5" t="s">
        <v>83</v>
      </c>
    </row>
    <row r="742" spans="1:23" ht="12.5">
      <c r="A742" s="5">
        <v>91246</v>
      </c>
      <c r="B742" s="5" t="s">
        <v>16528</v>
      </c>
      <c r="C742" s="5">
        <v>573233994044</v>
      </c>
      <c r="D742" s="5" t="s">
        <v>14589</v>
      </c>
      <c r="E742" s="5" t="s">
        <v>6943</v>
      </c>
      <c r="F742" s="5" t="s">
        <v>185</v>
      </c>
      <c r="G742" s="5" t="s">
        <v>6941</v>
      </c>
      <c r="H742" s="5" t="s">
        <v>6942</v>
      </c>
      <c r="I742" s="5">
        <v>3004322432</v>
      </c>
      <c r="J742" s="12">
        <v>46043</v>
      </c>
      <c r="K742" s="11">
        <v>0.58333333333212067</v>
      </c>
      <c r="M742" s="10" t="s">
        <v>14576</v>
      </c>
      <c r="N742" s="12">
        <v>46043.484764143519</v>
      </c>
      <c r="O742" s="10" t="s">
        <v>15856</v>
      </c>
      <c r="P742" s="5" t="s">
        <v>14571</v>
      </c>
      <c r="Q742" s="5" t="s">
        <v>14578</v>
      </c>
      <c r="R742" s="5" t="s">
        <v>16529</v>
      </c>
      <c r="T742" s="5" t="s">
        <v>5994</v>
      </c>
      <c r="U742" s="5" t="s">
        <v>14580</v>
      </c>
      <c r="V742" s="5" t="s">
        <v>83</v>
      </c>
    </row>
    <row r="743" spans="1:23" ht="12.5">
      <c r="A743" s="5">
        <v>91247</v>
      </c>
      <c r="B743" s="5" t="s">
        <v>16530</v>
      </c>
      <c r="C743" s="5">
        <v>573004873611</v>
      </c>
      <c r="D743" s="5">
        <v>41</v>
      </c>
      <c r="E743" s="5" t="s">
        <v>89</v>
      </c>
      <c r="F743" s="5" t="s">
        <v>185</v>
      </c>
      <c r="G743" s="5" t="s">
        <v>6946</v>
      </c>
      <c r="H743" s="5" t="s">
        <v>6947</v>
      </c>
      <c r="I743" s="5">
        <v>3008760327</v>
      </c>
      <c r="J743" s="12">
        <v>46043</v>
      </c>
      <c r="K743" s="11">
        <v>0.625</v>
      </c>
      <c r="L743" s="10" t="s">
        <v>16531</v>
      </c>
      <c r="M743" s="10" t="s">
        <v>16429</v>
      </c>
      <c r="N743" s="12">
        <v>46043.524287152773</v>
      </c>
      <c r="O743" s="10" t="s">
        <v>15133</v>
      </c>
      <c r="P743" s="5" t="s">
        <v>14571</v>
      </c>
      <c r="Q743" s="5" t="s">
        <v>14572</v>
      </c>
      <c r="R743" s="5" t="s">
        <v>16532</v>
      </c>
      <c r="T743" s="5" t="s">
        <v>5994</v>
      </c>
      <c r="U743" s="5" t="s">
        <v>14580</v>
      </c>
      <c r="V743" s="5" t="s">
        <v>83</v>
      </c>
      <c r="W743" s="5" t="s">
        <v>6950</v>
      </c>
    </row>
    <row r="744" spans="1:23" ht="12.5">
      <c r="A744" s="5">
        <v>91248</v>
      </c>
      <c r="B744" s="5" t="s">
        <v>16533</v>
      </c>
      <c r="C744" s="5">
        <v>573004663960</v>
      </c>
      <c r="D744" s="5">
        <v>68</v>
      </c>
      <c r="E744" s="5" t="s">
        <v>361</v>
      </c>
      <c r="G744" s="5" t="s">
        <v>6952</v>
      </c>
      <c r="H744" s="5" t="s">
        <v>6953</v>
      </c>
      <c r="J744" s="12">
        <v>46044</v>
      </c>
      <c r="K744" s="11">
        <v>0.375</v>
      </c>
      <c r="M744" s="10" t="s">
        <v>14712</v>
      </c>
      <c r="N744" s="12">
        <v>46043.537195439814</v>
      </c>
      <c r="O744" s="10" t="s">
        <v>16534</v>
      </c>
      <c r="P744" s="5" t="s">
        <v>14571</v>
      </c>
      <c r="Q744" s="5" t="s">
        <v>14578</v>
      </c>
      <c r="R744" s="5" t="s">
        <v>16535</v>
      </c>
      <c r="T744" s="5" t="s">
        <v>5994</v>
      </c>
      <c r="V744" s="5" t="s">
        <v>1705</v>
      </c>
    </row>
    <row r="745" spans="1:23" ht="12.5">
      <c r="A745" s="5">
        <v>91249</v>
      </c>
      <c r="B745" s="5" t="s">
        <v>6928</v>
      </c>
      <c r="C745" s="5">
        <v>573127908264</v>
      </c>
      <c r="D745" s="5">
        <v>95</v>
      </c>
      <c r="E745" s="5" t="s">
        <v>42</v>
      </c>
      <c r="F745" s="5" t="s">
        <v>33</v>
      </c>
      <c r="G745" s="5">
        <v>0</v>
      </c>
      <c r="H745" s="5" t="s">
        <v>34</v>
      </c>
      <c r="J745" s="12">
        <v>46043</v>
      </c>
      <c r="K745" s="11">
        <v>0</v>
      </c>
      <c r="M745" s="10" t="s">
        <v>16536</v>
      </c>
      <c r="N745" s="12">
        <v>46043.553153761575</v>
      </c>
      <c r="O745" s="10" t="s">
        <v>15393</v>
      </c>
      <c r="P745" s="5" t="s">
        <v>14571</v>
      </c>
      <c r="Q745" s="5" t="s">
        <v>14578</v>
      </c>
      <c r="R745" s="5" t="s">
        <v>16537</v>
      </c>
      <c r="T745" s="5" t="s">
        <v>14574</v>
      </c>
      <c r="U745" s="5" t="s">
        <v>33</v>
      </c>
      <c r="V745" s="5" t="s">
        <v>196</v>
      </c>
    </row>
    <row r="746" spans="1:23" ht="12.5">
      <c r="A746" s="5">
        <v>91250</v>
      </c>
      <c r="B746" s="5" t="s">
        <v>16093</v>
      </c>
      <c r="C746" s="5">
        <v>573017925741</v>
      </c>
      <c r="D746" s="5">
        <v>55</v>
      </c>
      <c r="E746" s="5" t="s">
        <v>1203</v>
      </c>
      <c r="F746" s="5" t="s">
        <v>229</v>
      </c>
      <c r="G746" s="5" t="s">
        <v>6955</v>
      </c>
      <c r="H746" s="5" t="s">
        <v>6956</v>
      </c>
      <c r="I746" s="5">
        <v>3226042812</v>
      </c>
      <c r="J746" s="12">
        <v>46043</v>
      </c>
      <c r="K746" s="11">
        <v>0.625</v>
      </c>
      <c r="M746" s="10" t="s">
        <v>16538</v>
      </c>
      <c r="N746" s="12">
        <v>46043.57353011574</v>
      </c>
      <c r="O746" s="10" t="s">
        <v>16539</v>
      </c>
      <c r="P746" s="5" t="s">
        <v>14571</v>
      </c>
      <c r="Q746" s="5" t="s">
        <v>14572</v>
      </c>
      <c r="R746" s="5" t="s">
        <v>16540</v>
      </c>
      <c r="T746" s="5" t="s">
        <v>5994</v>
      </c>
      <c r="U746" s="5"/>
      <c r="V746" s="5" t="s">
        <v>83</v>
      </c>
    </row>
    <row r="747" spans="1:23" ht="12.5">
      <c r="A747" s="5">
        <v>91251</v>
      </c>
      <c r="B747" s="5" t="s">
        <v>16541</v>
      </c>
      <c r="C747" s="5">
        <v>573004404722</v>
      </c>
      <c r="D747" s="5" t="s">
        <v>14589</v>
      </c>
      <c r="E747" s="5" t="s">
        <v>6961</v>
      </c>
      <c r="F747" s="5" t="s">
        <v>73</v>
      </c>
      <c r="G747" s="5" t="s">
        <v>6959</v>
      </c>
      <c r="H747" s="5" t="s">
        <v>6960</v>
      </c>
      <c r="I747" s="5">
        <v>3004404722</v>
      </c>
      <c r="J747" s="12">
        <v>46044</v>
      </c>
      <c r="K747" s="11">
        <v>0.375</v>
      </c>
      <c r="M747" s="10" t="s">
        <v>14850</v>
      </c>
      <c r="N747" s="12">
        <v>46043.580514155095</v>
      </c>
      <c r="O747" s="10" t="s">
        <v>14843</v>
      </c>
      <c r="P747" s="5" t="s">
        <v>14571</v>
      </c>
      <c r="Q747" s="5" t="s">
        <v>14612</v>
      </c>
      <c r="R747" s="5" t="s">
        <v>16542</v>
      </c>
      <c r="T747" s="5" t="s">
        <v>5994</v>
      </c>
      <c r="U747" s="5" t="s">
        <v>14593</v>
      </c>
      <c r="V747" s="5" t="s">
        <v>83</v>
      </c>
    </row>
    <row r="748" spans="1:23" ht="12.5">
      <c r="A748" s="5">
        <v>91252</v>
      </c>
      <c r="B748" s="5" t="s">
        <v>15307</v>
      </c>
      <c r="C748" s="10" t="s">
        <v>16543</v>
      </c>
      <c r="D748" s="5">
        <v>95</v>
      </c>
      <c r="E748" s="5" t="s">
        <v>42</v>
      </c>
      <c r="F748" s="5" t="s">
        <v>185</v>
      </c>
      <c r="G748" s="5" t="s">
        <v>4071</v>
      </c>
      <c r="H748" s="5" t="s">
        <v>6964</v>
      </c>
      <c r="I748" s="5">
        <v>3192835538</v>
      </c>
      <c r="J748" s="12">
        <v>46046</v>
      </c>
      <c r="K748" s="11">
        <v>0.66666666666666663</v>
      </c>
      <c r="M748" s="10" t="s">
        <v>14850</v>
      </c>
      <c r="N748" s="12">
        <v>46043</v>
      </c>
      <c r="O748" s="10" t="s">
        <v>15453</v>
      </c>
      <c r="P748" s="5" t="s">
        <v>14571</v>
      </c>
      <c r="Q748" s="5" t="s">
        <v>14578</v>
      </c>
      <c r="R748" s="5" t="s">
        <v>16544</v>
      </c>
      <c r="T748" s="5" t="s">
        <v>5994</v>
      </c>
      <c r="U748" s="5" t="s">
        <v>14580</v>
      </c>
      <c r="V748" s="5" t="s">
        <v>1937</v>
      </c>
      <c r="W748" s="5" t="s">
        <v>6966</v>
      </c>
    </row>
    <row r="749" spans="1:23" ht="12.5">
      <c r="A749" s="5">
        <v>91253</v>
      </c>
      <c r="B749" s="5" t="s">
        <v>16545</v>
      </c>
      <c r="C749" s="5">
        <v>573128933100</v>
      </c>
      <c r="D749" s="5">
        <v>18</v>
      </c>
      <c r="E749" s="5" t="s">
        <v>370</v>
      </c>
      <c r="F749" s="5" t="s">
        <v>879</v>
      </c>
      <c r="G749" s="5" t="s">
        <v>6969</v>
      </c>
      <c r="H749" s="5" t="s">
        <v>6970</v>
      </c>
      <c r="I749" s="5" t="s">
        <v>6971</v>
      </c>
      <c r="J749" s="12">
        <v>46043</v>
      </c>
      <c r="K749" s="11">
        <v>0.75</v>
      </c>
      <c r="M749" s="10" t="s">
        <v>15128</v>
      </c>
      <c r="N749" s="12">
        <v>46043.650903159723</v>
      </c>
      <c r="O749" s="10" t="s">
        <v>15803</v>
      </c>
      <c r="P749" s="5" t="s">
        <v>14571</v>
      </c>
      <c r="Q749" s="5" t="s">
        <v>14578</v>
      </c>
      <c r="R749" s="5" t="s">
        <v>16546</v>
      </c>
      <c r="T749" s="5" t="s">
        <v>5994</v>
      </c>
      <c r="U749" s="5" t="s">
        <v>14580</v>
      </c>
      <c r="V749" s="5" t="s">
        <v>83</v>
      </c>
      <c r="W749" s="5" t="s">
        <v>6974</v>
      </c>
    </row>
    <row r="750" spans="1:23" ht="12.5">
      <c r="A750" s="5">
        <v>91254</v>
      </c>
      <c r="B750" s="5" t="s">
        <v>6977</v>
      </c>
      <c r="C750" s="5">
        <v>573505575430</v>
      </c>
      <c r="D750" s="5">
        <v>95</v>
      </c>
      <c r="E750" s="5" t="s">
        <v>42</v>
      </c>
      <c r="F750" s="5" t="s">
        <v>33</v>
      </c>
      <c r="G750" s="5" t="s">
        <v>6977</v>
      </c>
      <c r="H750" s="10" t="s">
        <v>3187</v>
      </c>
      <c r="I750" s="5">
        <v>3505575430</v>
      </c>
      <c r="J750" s="12">
        <v>46043</v>
      </c>
      <c r="K750" s="11">
        <v>0</v>
      </c>
      <c r="M750" s="10" t="s">
        <v>15011</v>
      </c>
      <c r="N750" s="12">
        <v>46043.662014236106</v>
      </c>
      <c r="O750" s="10" t="s">
        <v>15236</v>
      </c>
      <c r="P750" s="5" t="s">
        <v>14571</v>
      </c>
      <c r="Q750" s="5" t="s">
        <v>14572</v>
      </c>
      <c r="R750" s="5" t="s">
        <v>16547</v>
      </c>
      <c r="T750" s="5" t="s">
        <v>14574</v>
      </c>
      <c r="U750" s="5" t="s">
        <v>33</v>
      </c>
      <c r="V750" s="5" t="s">
        <v>196</v>
      </c>
      <c r="W750" s="5" t="s">
        <v>1554</v>
      </c>
    </row>
    <row r="751" spans="1:23" ht="12.5">
      <c r="A751" s="5">
        <v>91255</v>
      </c>
      <c r="B751" s="5" t="s">
        <v>16548</v>
      </c>
      <c r="C751" s="5">
        <v>573003526130</v>
      </c>
      <c r="D751" s="5">
        <v>95</v>
      </c>
      <c r="E751" s="5" t="s">
        <v>42</v>
      </c>
      <c r="G751" s="5" t="s">
        <v>6980</v>
      </c>
      <c r="H751" s="5" t="s">
        <v>6981</v>
      </c>
      <c r="J751" s="12">
        <v>46043</v>
      </c>
      <c r="K751" s="11">
        <v>0</v>
      </c>
      <c r="M751" s="10" t="s">
        <v>16549</v>
      </c>
      <c r="N751" s="12">
        <v>46043.672297789351</v>
      </c>
      <c r="O751" s="10" t="s">
        <v>16550</v>
      </c>
      <c r="P751" s="5" t="s">
        <v>14571</v>
      </c>
      <c r="Q751" s="5" t="s">
        <v>14612</v>
      </c>
      <c r="R751" s="5" t="s">
        <v>16551</v>
      </c>
      <c r="T751" s="5" t="s">
        <v>5994</v>
      </c>
      <c r="V751" s="5" t="s">
        <v>43</v>
      </c>
      <c r="W751" s="5" t="s">
        <v>1286</v>
      </c>
    </row>
    <row r="752" spans="1:23" ht="12.5">
      <c r="A752" s="5">
        <v>91256</v>
      </c>
      <c r="B752" s="5" t="s">
        <v>16552</v>
      </c>
      <c r="C752" s="5">
        <v>573116303372</v>
      </c>
      <c r="D752" s="5" t="s">
        <v>14589</v>
      </c>
      <c r="E752" s="5" t="s">
        <v>6984</v>
      </c>
      <c r="F752" s="5" t="s">
        <v>307</v>
      </c>
      <c r="G752" s="5" t="s">
        <v>6982</v>
      </c>
      <c r="H752" s="5" t="s">
        <v>6983</v>
      </c>
      <c r="J752" s="12">
        <v>46046</v>
      </c>
      <c r="K752" s="11">
        <v>0.64583333333212067</v>
      </c>
      <c r="M752" s="10" t="s">
        <v>14653</v>
      </c>
      <c r="N752" s="12">
        <v>46043.680413310183</v>
      </c>
      <c r="O752" s="10" t="s">
        <v>16553</v>
      </c>
      <c r="P752" s="5" t="s">
        <v>14571</v>
      </c>
      <c r="Q752" s="5" t="s">
        <v>14572</v>
      </c>
      <c r="R752" s="5" t="s">
        <v>16554</v>
      </c>
      <c r="T752" s="5" t="s">
        <v>5994</v>
      </c>
      <c r="U752" s="5" t="s">
        <v>14618</v>
      </c>
      <c r="V752" s="5" t="s">
        <v>83</v>
      </c>
    </row>
    <row r="753" spans="1:23" ht="12.5">
      <c r="A753" s="5">
        <v>91257</v>
      </c>
      <c r="B753" s="5" t="s">
        <v>6987</v>
      </c>
      <c r="C753" s="5">
        <v>573017717509</v>
      </c>
      <c r="D753" s="5">
        <v>25</v>
      </c>
      <c r="E753" s="5" t="s">
        <v>1792</v>
      </c>
      <c r="F753" s="5" t="s">
        <v>33</v>
      </c>
      <c r="G753" s="5" t="s">
        <v>6987</v>
      </c>
      <c r="H753" s="5" t="s">
        <v>34</v>
      </c>
      <c r="I753" s="5">
        <v>3017717509</v>
      </c>
      <c r="J753" s="12">
        <v>46043</v>
      </c>
      <c r="K753" s="11">
        <v>0.75</v>
      </c>
      <c r="M753" s="10" t="s">
        <v>15384</v>
      </c>
      <c r="N753" s="12">
        <v>46043.751954710649</v>
      </c>
      <c r="O753" s="10" t="s">
        <v>16555</v>
      </c>
      <c r="P753" s="5" t="s">
        <v>14571</v>
      </c>
      <c r="Q753" s="5" t="s">
        <v>14612</v>
      </c>
      <c r="R753" s="5" t="s">
        <v>16556</v>
      </c>
      <c r="T753" s="5" t="s">
        <v>14574</v>
      </c>
      <c r="U753" s="5" t="s">
        <v>33</v>
      </c>
      <c r="V753" s="5" t="s">
        <v>196</v>
      </c>
    </row>
    <row r="754" spans="1:23" ht="12.5">
      <c r="A754" s="5">
        <v>91258</v>
      </c>
      <c r="B754" s="5" t="s">
        <v>16557</v>
      </c>
      <c r="C754" s="5">
        <v>573013812886</v>
      </c>
      <c r="D754" s="5">
        <v>2</v>
      </c>
      <c r="E754" s="5" t="s">
        <v>1251</v>
      </c>
      <c r="F754" s="5" t="s">
        <v>185</v>
      </c>
      <c r="G754" s="5" t="s">
        <v>6988</v>
      </c>
      <c r="H754" s="5" t="s">
        <v>6989</v>
      </c>
      <c r="I754" s="5">
        <v>3013812886</v>
      </c>
      <c r="J754" s="12">
        <v>46044</v>
      </c>
      <c r="K754" s="11">
        <v>0.33333333333212067</v>
      </c>
      <c r="M754" s="10" t="s">
        <v>16558</v>
      </c>
      <c r="N754" s="12">
        <v>46043.760545879632</v>
      </c>
      <c r="O754" s="10" t="s">
        <v>16559</v>
      </c>
      <c r="P754" s="5" t="s">
        <v>14571</v>
      </c>
      <c r="Q754" s="5" t="s">
        <v>14572</v>
      </c>
      <c r="R754" s="5" t="s">
        <v>16560</v>
      </c>
      <c r="T754" s="5" t="s">
        <v>5994</v>
      </c>
      <c r="U754" s="5" t="s">
        <v>14580</v>
      </c>
      <c r="V754" s="5" t="s">
        <v>196</v>
      </c>
    </row>
    <row r="755" spans="1:23" ht="12.5">
      <c r="A755" s="5">
        <v>91259</v>
      </c>
      <c r="B755" s="5" t="s">
        <v>16561</v>
      </c>
      <c r="C755" s="5">
        <v>573005507682</v>
      </c>
      <c r="D755" s="5" t="s">
        <v>14589</v>
      </c>
      <c r="E755" s="5" t="s">
        <v>6995</v>
      </c>
      <c r="F755" s="5" t="s">
        <v>1057</v>
      </c>
      <c r="G755" s="5" t="s">
        <v>6993</v>
      </c>
      <c r="H755" s="5" t="s">
        <v>6994</v>
      </c>
      <c r="I755" s="5">
        <v>3135238805</v>
      </c>
      <c r="J755" s="12">
        <v>46044</v>
      </c>
      <c r="K755" s="11">
        <v>0.33888888888759539</v>
      </c>
      <c r="M755" s="10" t="s">
        <v>16562</v>
      </c>
      <c r="N755" s="12">
        <v>46044.71873842593</v>
      </c>
      <c r="O755" s="10" t="s">
        <v>16563</v>
      </c>
      <c r="P755" s="5" t="s">
        <v>14571</v>
      </c>
      <c r="Q755" s="5" t="s">
        <v>14572</v>
      </c>
      <c r="R755" s="5" t="s">
        <v>16564</v>
      </c>
      <c r="T755" s="5" t="s">
        <v>5994</v>
      </c>
      <c r="U755" s="5" t="s">
        <v>14580</v>
      </c>
      <c r="V755" s="5" t="s">
        <v>83</v>
      </c>
    </row>
    <row r="756" spans="1:23" ht="12.5">
      <c r="A756" s="5">
        <v>91260</v>
      </c>
      <c r="B756" s="5" t="s">
        <v>16565</v>
      </c>
      <c r="C756" s="5">
        <v>573205173778</v>
      </c>
      <c r="D756" s="5">
        <v>15</v>
      </c>
      <c r="E756" s="5" t="s">
        <v>707</v>
      </c>
      <c r="F756" s="5" t="s">
        <v>161</v>
      </c>
      <c r="G756" s="5" t="s">
        <v>6999</v>
      </c>
      <c r="H756" s="5" t="s">
        <v>7000</v>
      </c>
      <c r="I756" s="5">
        <v>3107243152</v>
      </c>
      <c r="J756" s="12">
        <v>46044</v>
      </c>
      <c r="K756" s="11">
        <v>0.33333333333212067</v>
      </c>
      <c r="M756" s="10" t="s">
        <v>16192</v>
      </c>
      <c r="N756" s="12">
        <v>46043.75967486111</v>
      </c>
      <c r="O756" s="10" t="s">
        <v>15206</v>
      </c>
      <c r="P756" s="5" t="s">
        <v>14571</v>
      </c>
      <c r="Q756" s="5" t="s">
        <v>14572</v>
      </c>
      <c r="R756" s="5" t="s">
        <v>16566</v>
      </c>
      <c r="T756" s="5" t="s">
        <v>5994</v>
      </c>
      <c r="U756" s="5" t="s">
        <v>14593</v>
      </c>
      <c r="V756" s="5" t="s">
        <v>83</v>
      </c>
    </row>
    <row r="757" spans="1:23" ht="12.5">
      <c r="A757" s="5">
        <v>91261</v>
      </c>
      <c r="B757" s="5" t="s">
        <v>16567</v>
      </c>
      <c r="C757" s="5">
        <v>573014566336</v>
      </c>
      <c r="D757" s="5">
        <v>47</v>
      </c>
      <c r="E757" s="5" t="s">
        <v>1610</v>
      </c>
      <c r="F757" s="5" t="s">
        <v>73</v>
      </c>
      <c r="G757" s="5" t="s">
        <v>7004</v>
      </c>
      <c r="H757" s="5" t="s">
        <v>7005</v>
      </c>
      <c r="I757" s="5">
        <v>3014566336</v>
      </c>
      <c r="J757" s="12">
        <v>46044</v>
      </c>
      <c r="K757" s="11">
        <v>0.41666666666787933</v>
      </c>
      <c r="M757" s="10" t="s">
        <v>14697</v>
      </c>
      <c r="N757" s="12">
        <v>46044.287215034725</v>
      </c>
      <c r="O757" s="10" t="s">
        <v>14591</v>
      </c>
      <c r="P757" s="5" t="s">
        <v>14571</v>
      </c>
      <c r="Q757" s="5" t="s">
        <v>14572</v>
      </c>
      <c r="R757" s="5" t="s">
        <v>16568</v>
      </c>
      <c r="T757" s="5" t="s">
        <v>5994</v>
      </c>
      <c r="U757" s="5" t="s">
        <v>14593</v>
      </c>
      <c r="V757" s="5" t="s">
        <v>83</v>
      </c>
    </row>
    <row r="758" spans="1:23" ht="12.5">
      <c r="A758" s="5">
        <v>91262</v>
      </c>
      <c r="B758" s="5" t="s">
        <v>16569</v>
      </c>
      <c r="C758" s="10" t="s">
        <v>16570</v>
      </c>
      <c r="D758" s="5">
        <v>95</v>
      </c>
      <c r="E758" s="5" t="s">
        <v>42</v>
      </c>
      <c r="F758" s="5" t="s">
        <v>103</v>
      </c>
      <c r="G758" s="5" t="s">
        <v>16571</v>
      </c>
      <c r="H758" s="5" t="s">
        <v>7010</v>
      </c>
      <c r="I758" s="5">
        <v>3215638486</v>
      </c>
      <c r="J758" s="12">
        <v>46044</v>
      </c>
      <c r="K758" s="11">
        <v>0.41666666666666669</v>
      </c>
      <c r="M758" s="10" t="s">
        <v>14599</v>
      </c>
      <c r="N758" s="12">
        <v>46044</v>
      </c>
      <c r="O758" s="10" t="s">
        <v>16572</v>
      </c>
      <c r="P758" s="5" t="s">
        <v>14571</v>
      </c>
      <c r="Q758" s="5" t="s">
        <v>14612</v>
      </c>
      <c r="R758" s="5" t="s">
        <v>16573</v>
      </c>
      <c r="T758" s="5" t="s">
        <v>5994</v>
      </c>
      <c r="U758" s="5" t="s">
        <v>14593</v>
      </c>
      <c r="V758" s="5" t="s">
        <v>83</v>
      </c>
      <c r="W758" s="5" t="s">
        <v>7012</v>
      </c>
    </row>
    <row r="759" spans="1:23" ht="12.5">
      <c r="A759" s="5">
        <v>91263</v>
      </c>
      <c r="B759" s="5" t="s">
        <v>16574</v>
      </c>
      <c r="C759" s="5">
        <v>573013119871</v>
      </c>
      <c r="D759" s="5">
        <v>41</v>
      </c>
      <c r="E759" s="5" t="s">
        <v>89</v>
      </c>
      <c r="F759" s="5" t="s">
        <v>5574</v>
      </c>
      <c r="G759" s="5" t="s">
        <v>7015</v>
      </c>
      <c r="H759" s="5" t="s">
        <v>7016</v>
      </c>
      <c r="I759" s="5"/>
      <c r="J759" s="12">
        <v>46044</v>
      </c>
      <c r="K759" s="11">
        <v>0.45833333333212067</v>
      </c>
      <c r="M759" s="10" t="s">
        <v>14740</v>
      </c>
      <c r="N759" s="12">
        <v>46044.32273</v>
      </c>
      <c r="O759" s="10" t="s">
        <v>15118</v>
      </c>
      <c r="P759" s="5" t="s">
        <v>14571</v>
      </c>
      <c r="Q759" s="5" t="s">
        <v>14578</v>
      </c>
      <c r="R759" s="5" t="s">
        <v>16575</v>
      </c>
      <c r="T759" s="5" t="s">
        <v>5994</v>
      </c>
      <c r="U759" s="5" t="s">
        <v>14593</v>
      </c>
      <c r="V759" s="5" t="s">
        <v>1937</v>
      </c>
    </row>
    <row r="760" spans="1:23" ht="12.5">
      <c r="A760" s="5">
        <v>91264</v>
      </c>
      <c r="B760" s="5" t="s">
        <v>7019</v>
      </c>
      <c r="C760" s="5">
        <v>57351919397039</v>
      </c>
      <c r="D760" s="5" t="s">
        <v>14589</v>
      </c>
      <c r="E760" s="5" t="s">
        <v>7020</v>
      </c>
      <c r="F760" s="5" t="s">
        <v>33</v>
      </c>
      <c r="G760" s="5" t="s">
        <v>7019</v>
      </c>
      <c r="H760" s="5" t="s">
        <v>34</v>
      </c>
      <c r="I760" s="5">
        <v>351919397039</v>
      </c>
      <c r="J760" s="12">
        <v>46046</v>
      </c>
      <c r="K760" s="11">
        <v>0.66666666666787933</v>
      </c>
      <c r="M760" s="10" t="s">
        <v>15384</v>
      </c>
      <c r="N760" s="12">
        <v>46044.350851550931</v>
      </c>
      <c r="O760" s="10" t="s">
        <v>16576</v>
      </c>
      <c r="P760" s="5" t="s">
        <v>14571</v>
      </c>
      <c r="Q760" s="5" t="s">
        <v>14572</v>
      </c>
      <c r="R760" s="5" t="s">
        <v>16577</v>
      </c>
      <c r="T760" s="5" t="s">
        <v>14574</v>
      </c>
      <c r="U760" s="5" t="s">
        <v>33</v>
      </c>
      <c r="V760" s="5" t="s">
        <v>1705</v>
      </c>
      <c r="W760" s="5" t="s">
        <v>7021</v>
      </c>
    </row>
    <row r="761" spans="1:23" ht="12.5">
      <c r="A761" s="5">
        <v>91265</v>
      </c>
      <c r="B761" s="5" t="s">
        <v>12156</v>
      </c>
      <c r="C761" s="5">
        <v>573017429329</v>
      </c>
      <c r="D761" s="5" t="s">
        <v>14589</v>
      </c>
      <c r="E761" s="5" t="s">
        <v>7024</v>
      </c>
      <c r="F761" s="5" t="s">
        <v>63</v>
      </c>
      <c r="G761" s="5" t="s">
        <v>7022</v>
      </c>
      <c r="H761" s="5" t="s">
        <v>7023</v>
      </c>
      <c r="I761" s="5">
        <v>3502830859</v>
      </c>
      <c r="J761" s="12">
        <v>46044</v>
      </c>
      <c r="K761" s="11">
        <v>0.45833333333212067</v>
      </c>
      <c r="M761" s="10" t="s">
        <v>15569</v>
      </c>
      <c r="N761" s="12">
        <v>46043.841363321757</v>
      </c>
      <c r="O761" s="10" t="s">
        <v>15916</v>
      </c>
      <c r="P761" s="5" t="s">
        <v>14571</v>
      </c>
      <c r="Q761" s="5" t="s">
        <v>14578</v>
      </c>
      <c r="R761" s="5" t="s">
        <v>16578</v>
      </c>
      <c r="T761" s="5" t="s">
        <v>5994</v>
      </c>
      <c r="U761" s="5" t="s">
        <v>14598</v>
      </c>
      <c r="V761" s="5" t="s">
        <v>83</v>
      </c>
    </row>
    <row r="762" spans="1:23" ht="12.5">
      <c r="A762" s="5">
        <v>91266</v>
      </c>
      <c r="B762" s="5" t="s">
        <v>16579</v>
      </c>
      <c r="C762" s="10" t="s">
        <v>16580</v>
      </c>
      <c r="D762" s="5">
        <v>44</v>
      </c>
      <c r="E762" s="5" t="s">
        <v>16581</v>
      </c>
      <c r="F762" s="5" t="s">
        <v>208</v>
      </c>
      <c r="G762" s="5" t="s">
        <v>7029</v>
      </c>
      <c r="H762" s="5" t="s">
        <v>7030</v>
      </c>
      <c r="I762" s="5">
        <v>3004311075</v>
      </c>
      <c r="J762" s="12">
        <v>46044</v>
      </c>
      <c r="K762" s="11">
        <v>0.45833333333333331</v>
      </c>
      <c r="M762" s="10" t="s">
        <v>14646</v>
      </c>
      <c r="N762" s="12">
        <v>46044</v>
      </c>
      <c r="O762" s="10" t="s">
        <v>16582</v>
      </c>
      <c r="P762" s="5" t="s">
        <v>14571</v>
      </c>
      <c r="Q762" s="5" t="s">
        <v>14572</v>
      </c>
      <c r="R762" s="5" t="s">
        <v>16583</v>
      </c>
      <c r="T762" s="5" t="s">
        <v>5994</v>
      </c>
      <c r="U762" s="5" t="s">
        <v>14593</v>
      </c>
      <c r="V762" s="5" t="s">
        <v>83</v>
      </c>
    </row>
    <row r="763" spans="1:23" ht="12.5">
      <c r="A763" s="5">
        <v>91267</v>
      </c>
      <c r="B763" s="5" t="s">
        <v>7034</v>
      </c>
      <c r="C763" s="5">
        <v>573185234008</v>
      </c>
      <c r="D763" s="5">
        <v>44</v>
      </c>
      <c r="E763" s="5" t="s">
        <v>1111</v>
      </c>
      <c r="F763" s="5" t="s">
        <v>33</v>
      </c>
      <c r="G763" s="5" t="s">
        <v>7034</v>
      </c>
      <c r="H763" s="5" t="s">
        <v>34</v>
      </c>
      <c r="I763" s="5">
        <v>3185234008</v>
      </c>
      <c r="J763" s="12">
        <v>46060</v>
      </c>
      <c r="K763" s="11">
        <v>0</v>
      </c>
      <c r="M763" s="10" t="s">
        <v>14599</v>
      </c>
      <c r="N763" s="12">
        <v>46044.40548799769</v>
      </c>
      <c r="O763" s="10" t="s">
        <v>15099</v>
      </c>
      <c r="P763" s="5" t="s">
        <v>14571</v>
      </c>
      <c r="Q763" s="5" t="s">
        <v>14578</v>
      </c>
      <c r="R763" s="5" t="s">
        <v>16584</v>
      </c>
      <c r="T763" s="5" t="s">
        <v>14574</v>
      </c>
      <c r="U763" s="5" t="s">
        <v>33</v>
      </c>
      <c r="V763" s="5" t="s">
        <v>83</v>
      </c>
      <c r="W763" s="5" t="s">
        <v>7037</v>
      </c>
    </row>
    <row r="764" spans="1:23" ht="12.5">
      <c r="A764" s="5">
        <v>91268</v>
      </c>
      <c r="B764" s="5" t="s">
        <v>14884</v>
      </c>
      <c r="C764" s="5">
        <v>573186670707</v>
      </c>
      <c r="D764" s="5">
        <v>52</v>
      </c>
      <c r="E764" s="5" t="s">
        <v>178</v>
      </c>
      <c r="F764" s="5" t="s">
        <v>103</v>
      </c>
      <c r="G764" s="5" t="s">
        <v>7039</v>
      </c>
      <c r="H764" s="5" t="s">
        <v>7040</v>
      </c>
      <c r="J764" s="12">
        <v>46044</v>
      </c>
      <c r="K764" s="11">
        <v>0.45833333333212067</v>
      </c>
      <c r="M764" s="10" t="s">
        <v>15594</v>
      </c>
      <c r="N764" s="12">
        <v>46044.425602418982</v>
      </c>
      <c r="O764" s="10" t="s">
        <v>14663</v>
      </c>
      <c r="P764" s="5" t="s">
        <v>14571</v>
      </c>
      <c r="Q764" s="5" t="s">
        <v>14612</v>
      </c>
      <c r="R764" s="5" t="s">
        <v>16585</v>
      </c>
      <c r="T764" s="5" t="s">
        <v>5994</v>
      </c>
      <c r="U764" s="5" t="s">
        <v>14593</v>
      </c>
      <c r="V764" s="5" t="s">
        <v>83</v>
      </c>
    </row>
    <row r="765" spans="1:23" ht="12.5">
      <c r="A765" s="5">
        <v>91269</v>
      </c>
      <c r="B765" s="5" t="s">
        <v>5023</v>
      </c>
      <c r="C765" s="5">
        <v>573157264794</v>
      </c>
      <c r="D765" s="5">
        <v>95</v>
      </c>
      <c r="E765" s="5" t="s">
        <v>42</v>
      </c>
      <c r="F765" s="5" t="s">
        <v>33</v>
      </c>
      <c r="G765" s="5" t="s">
        <v>5023</v>
      </c>
      <c r="H765" s="5" t="s">
        <v>34</v>
      </c>
      <c r="I765" s="5">
        <v>3157264794</v>
      </c>
      <c r="J765" s="12">
        <v>46044</v>
      </c>
      <c r="K765" s="11">
        <v>0</v>
      </c>
      <c r="M765" s="10" t="s">
        <v>14646</v>
      </c>
      <c r="N765" s="12">
        <v>46044.436043645837</v>
      </c>
      <c r="O765" s="10" t="s">
        <v>16586</v>
      </c>
      <c r="P765" s="5" t="s">
        <v>14571</v>
      </c>
      <c r="Q765" s="5" t="s">
        <v>14572</v>
      </c>
      <c r="R765" s="5" t="s">
        <v>16587</v>
      </c>
      <c r="T765" s="5" t="s">
        <v>14574</v>
      </c>
      <c r="U765" s="5" t="s">
        <v>33</v>
      </c>
      <c r="V765" s="5" t="s">
        <v>196</v>
      </c>
      <c r="W765" s="5" t="s">
        <v>525</v>
      </c>
    </row>
    <row r="766" spans="1:23" ht="12.5">
      <c r="A766" s="5">
        <v>91270</v>
      </c>
      <c r="B766" s="5" t="s">
        <v>16588</v>
      </c>
      <c r="C766" s="5">
        <v>573226927831</v>
      </c>
      <c r="D766" s="5">
        <v>49</v>
      </c>
      <c r="E766" s="5" t="s">
        <v>380</v>
      </c>
      <c r="F766" s="5" t="s">
        <v>73</v>
      </c>
      <c r="G766" s="5" t="s">
        <v>7044</v>
      </c>
      <c r="H766" s="5" t="s">
        <v>7045</v>
      </c>
      <c r="I766" s="5">
        <v>3014177805</v>
      </c>
      <c r="J766" s="12">
        <v>46044</v>
      </c>
      <c r="K766" s="11">
        <v>0.45833333333212067</v>
      </c>
      <c r="M766" s="10" t="s">
        <v>16589</v>
      </c>
      <c r="N766" s="12">
        <v>46044.428022835651</v>
      </c>
      <c r="O766" s="10" t="s">
        <v>15500</v>
      </c>
      <c r="P766" s="5" t="s">
        <v>14571</v>
      </c>
      <c r="Q766" s="5" t="s">
        <v>14572</v>
      </c>
      <c r="R766" s="5" t="s">
        <v>16590</v>
      </c>
      <c r="T766" s="5" t="s">
        <v>5994</v>
      </c>
      <c r="U766" s="5" t="s">
        <v>14593</v>
      </c>
      <c r="V766" s="5" t="s">
        <v>83</v>
      </c>
      <c r="W766" s="5" t="s">
        <v>7047</v>
      </c>
    </row>
    <row r="767" spans="1:23" ht="12.5">
      <c r="A767" s="5">
        <v>91271</v>
      </c>
      <c r="B767" s="5" t="s">
        <v>16591</v>
      </c>
      <c r="C767" s="5">
        <v>15714409464</v>
      </c>
      <c r="D767" s="5">
        <v>46</v>
      </c>
      <c r="E767" s="5" t="s">
        <v>1126</v>
      </c>
      <c r="F767" s="5" t="s">
        <v>185</v>
      </c>
      <c r="G767" s="5" t="s">
        <v>7050</v>
      </c>
      <c r="H767" s="5" t="s">
        <v>7051</v>
      </c>
      <c r="J767" s="12">
        <v>46044</v>
      </c>
      <c r="K767" s="11">
        <v>0</v>
      </c>
      <c r="M767" s="10" t="s">
        <v>16589</v>
      </c>
      <c r="N767" s="12">
        <v>46044.429164884263</v>
      </c>
      <c r="O767" s="10" t="s">
        <v>16113</v>
      </c>
      <c r="P767" s="5" t="s">
        <v>14571</v>
      </c>
      <c r="Q767" s="5" t="s">
        <v>14578</v>
      </c>
      <c r="R767" s="5" t="s">
        <v>16592</v>
      </c>
      <c r="T767" s="5" t="s">
        <v>5994</v>
      </c>
      <c r="U767" s="5" t="s">
        <v>14580</v>
      </c>
      <c r="V767" s="5" t="s">
        <v>83</v>
      </c>
    </row>
    <row r="768" spans="1:23" ht="12.5">
      <c r="A768" s="5">
        <v>91272</v>
      </c>
      <c r="B768" s="5" t="s">
        <v>8450</v>
      </c>
      <c r="C768" s="5">
        <v>573045422750</v>
      </c>
      <c r="D768" s="5">
        <v>47</v>
      </c>
      <c r="E768" s="5" t="s">
        <v>1610</v>
      </c>
      <c r="F768" s="5" t="s">
        <v>103</v>
      </c>
      <c r="G768" s="5" t="s">
        <v>7056</v>
      </c>
      <c r="H768" s="5" t="s">
        <v>7057</v>
      </c>
      <c r="I768" s="5">
        <v>3008104804</v>
      </c>
      <c r="J768" s="12">
        <v>46045</v>
      </c>
      <c r="K768" s="11">
        <v>0.375</v>
      </c>
      <c r="M768" s="10" t="s">
        <v>14842</v>
      </c>
      <c r="N768" s="12">
        <v>46044.446775150464</v>
      </c>
      <c r="O768" s="10" t="s">
        <v>16593</v>
      </c>
      <c r="P768" s="5" t="s">
        <v>14571</v>
      </c>
      <c r="Q768" s="5" t="s">
        <v>14572</v>
      </c>
      <c r="R768" s="5" t="s">
        <v>16594</v>
      </c>
      <c r="T768" s="5" t="s">
        <v>5994</v>
      </c>
      <c r="U768" s="5" t="s">
        <v>14593</v>
      </c>
      <c r="V768" s="5" t="s">
        <v>83</v>
      </c>
    </row>
    <row r="769" spans="1:23" ht="12.5">
      <c r="A769" s="5">
        <v>91273</v>
      </c>
      <c r="B769" s="5" t="s">
        <v>16595</v>
      </c>
      <c r="C769" s="10" t="s">
        <v>16596</v>
      </c>
      <c r="D769" s="5">
        <v>31</v>
      </c>
      <c r="E769" s="5" t="s">
        <v>375</v>
      </c>
      <c r="F769" s="5" t="s">
        <v>103</v>
      </c>
      <c r="G769" s="5" t="s">
        <v>7060</v>
      </c>
      <c r="H769" s="5" t="s">
        <v>7061</v>
      </c>
      <c r="J769" s="12">
        <v>46045</v>
      </c>
      <c r="K769" s="11">
        <v>0</v>
      </c>
      <c r="M769" s="10" t="s">
        <v>14627</v>
      </c>
      <c r="N769" s="12">
        <v>46044</v>
      </c>
      <c r="O769" s="10" t="s">
        <v>16597</v>
      </c>
      <c r="P769" s="5" t="s">
        <v>14571</v>
      </c>
      <c r="Q769" s="5" t="s">
        <v>14612</v>
      </c>
      <c r="R769" s="5" t="s">
        <v>16598</v>
      </c>
      <c r="T769" s="5" t="s">
        <v>5994</v>
      </c>
      <c r="U769" s="5" t="s">
        <v>14593</v>
      </c>
      <c r="V769" s="5" t="s">
        <v>67</v>
      </c>
    </row>
    <row r="770" spans="1:23" ht="12.5">
      <c r="A770" s="5">
        <v>91274</v>
      </c>
      <c r="B770" s="5" t="s">
        <v>7064</v>
      </c>
      <c r="C770" s="5">
        <v>57</v>
      </c>
      <c r="D770" s="5">
        <v>95</v>
      </c>
      <c r="E770" s="5" t="s">
        <v>42</v>
      </c>
      <c r="F770" s="5" t="s">
        <v>33</v>
      </c>
      <c r="G770" s="5" t="s">
        <v>7064</v>
      </c>
      <c r="H770" s="5" t="s">
        <v>34</v>
      </c>
      <c r="I770" s="10" t="s">
        <v>2686</v>
      </c>
      <c r="J770" s="12">
        <v>46044</v>
      </c>
      <c r="K770" s="11">
        <v>0</v>
      </c>
      <c r="M770" s="10" t="s">
        <v>14712</v>
      </c>
      <c r="N770" s="12">
        <v>46044.561066539347</v>
      </c>
      <c r="O770" s="10" t="s">
        <v>16134</v>
      </c>
      <c r="P770" s="5" t="s">
        <v>14571</v>
      </c>
      <c r="Q770" s="5" t="s">
        <v>14578</v>
      </c>
      <c r="R770" s="5" t="s">
        <v>16599</v>
      </c>
      <c r="T770" s="5" t="s">
        <v>14574</v>
      </c>
      <c r="U770" s="5" t="s">
        <v>33</v>
      </c>
      <c r="V770" s="5" t="s">
        <v>2151</v>
      </c>
    </row>
    <row r="771" spans="1:23" ht="12.5">
      <c r="A771" s="5">
        <v>91275</v>
      </c>
      <c r="B771" s="5" t="s">
        <v>16600</v>
      </c>
      <c r="C771" s="10" t="s">
        <v>16601</v>
      </c>
      <c r="D771" s="5">
        <v>31</v>
      </c>
      <c r="E771" s="5" t="s">
        <v>375</v>
      </c>
      <c r="F771" s="5" t="s">
        <v>229</v>
      </c>
      <c r="G771" s="5" t="s">
        <v>7066</v>
      </c>
      <c r="H771" s="5" t="s">
        <v>7067</v>
      </c>
      <c r="I771" s="5">
        <v>3168285148</v>
      </c>
      <c r="J771" s="12">
        <v>46052</v>
      </c>
      <c r="K771" s="11">
        <v>0.33333333333333331</v>
      </c>
      <c r="M771" s="10" t="s">
        <v>14792</v>
      </c>
      <c r="N771" s="12">
        <v>46044</v>
      </c>
      <c r="O771" s="10" t="s">
        <v>16602</v>
      </c>
      <c r="P771" s="5" t="s">
        <v>14571</v>
      </c>
      <c r="Q771" s="5" t="s">
        <v>14578</v>
      </c>
      <c r="R771" s="5" t="s">
        <v>16603</v>
      </c>
      <c r="T771" s="5" t="s">
        <v>5994</v>
      </c>
      <c r="U771" s="5"/>
      <c r="V771" s="5" t="s">
        <v>67</v>
      </c>
    </row>
    <row r="772" spans="1:23" ht="12.5">
      <c r="A772" s="5">
        <v>91276</v>
      </c>
      <c r="B772" s="5" t="s">
        <v>16604</v>
      </c>
      <c r="C772" s="5">
        <v>575144309591</v>
      </c>
      <c r="D772" s="5">
        <v>12</v>
      </c>
      <c r="E772" s="5" t="s">
        <v>239</v>
      </c>
      <c r="F772" s="5" t="s">
        <v>307</v>
      </c>
      <c r="G772" s="5" t="s">
        <v>7071</v>
      </c>
      <c r="H772" s="5" t="s">
        <v>7072</v>
      </c>
      <c r="I772" s="5"/>
      <c r="J772" s="12">
        <v>46045</v>
      </c>
      <c r="K772" s="11">
        <v>0.375</v>
      </c>
      <c r="M772" s="10" t="s">
        <v>16605</v>
      </c>
      <c r="N772" s="12">
        <v>46044.614780729171</v>
      </c>
      <c r="O772" s="10" t="s">
        <v>14954</v>
      </c>
      <c r="P772" s="5" t="s">
        <v>14571</v>
      </c>
      <c r="Q772" s="5" t="s">
        <v>14578</v>
      </c>
      <c r="R772" s="5" t="s">
        <v>16606</v>
      </c>
      <c r="T772" s="5" t="s">
        <v>5994</v>
      </c>
      <c r="U772" s="5" t="s">
        <v>14618</v>
      </c>
      <c r="V772" s="5" t="s">
        <v>180</v>
      </c>
    </row>
    <row r="773" spans="1:23" ht="12.5">
      <c r="A773" s="5">
        <v>91277</v>
      </c>
      <c r="B773" s="5" t="s">
        <v>16607</v>
      </c>
      <c r="C773" s="5">
        <v>573145448072</v>
      </c>
      <c r="D773" s="5">
        <v>64</v>
      </c>
      <c r="E773" s="5" t="s">
        <v>133</v>
      </c>
      <c r="F773" s="5" t="s">
        <v>307</v>
      </c>
      <c r="G773" s="5" t="s">
        <v>7074</v>
      </c>
      <c r="H773" s="5" t="s">
        <v>7075</v>
      </c>
      <c r="I773" s="5">
        <v>3008674617</v>
      </c>
      <c r="J773" s="12">
        <v>46046</v>
      </c>
      <c r="K773" s="11">
        <v>0.375</v>
      </c>
      <c r="M773" s="10" t="s">
        <v>15384</v>
      </c>
      <c r="N773" s="12">
        <v>46044.631595995372</v>
      </c>
      <c r="O773" s="10" t="s">
        <v>15560</v>
      </c>
      <c r="P773" s="5" t="s">
        <v>14571</v>
      </c>
      <c r="Q773" s="5" t="s">
        <v>14572</v>
      </c>
      <c r="R773" s="5" t="s">
        <v>16608</v>
      </c>
      <c r="T773" s="5" t="s">
        <v>5994</v>
      </c>
      <c r="U773" s="5" t="s">
        <v>14618</v>
      </c>
      <c r="V773" s="5" t="s">
        <v>67</v>
      </c>
      <c r="W773" s="5" t="s">
        <v>7078</v>
      </c>
    </row>
    <row r="774" spans="1:23" ht="12.5">
      <c r="A774" s="5">
        <v>91278</v>
      </c>
      <c r="B774" s="5" t="s">
        <v>16609</v>
      </c>
      <c r="C774" s="5">
        <v>573176683426</v>
      </c>
      <c r="D774" s="5">
        <v>68</v>
      </c>
      <c r="E774" s="5" t="s">
        <v>361</v>
      </c>
      <c r="F774" s="5" t="s">
        <v>4749</v>
      </c>
      <c r="G774" s="5" t="s">
        <v>7081</v>
      </c>
      <c r="H774" s="5" t="s">
        <v>7082</v>
      </c>
      <c r="I774" s="5">
        <v>3183379722</v>
      </c>
      <c r="J774" s="12">
        <v>46045</v>
      </c>
      <c r="K774" s="11">
        <v>0.33333333333212067</v>
      </c>
      <c r="M774" s="10" t="s">
        <v>16610</v>
      </c>
      <c r="N774" s="12">
        <v>46043.761476400468</v>
      </c>
      <c r="O774" s="10" t="s">
        <v>16611</v>
      </c>
      <c r="P774" s="5" t="s">
        <v>14571</v>
      </c>
      <c r="Q774" s="5" t="s">
        <v>14612</v>
      </c>
      <c r="R774" s="5" t="s">
        <v>16612</v>
      </c>
      <c r="T774" s="5" t="s">
        <v>5994</v>
      </c>
      <c r="U774" s="5" t="s">
        <v>14618</v>
      </c>
      <c r="V774" s="5" t="s">
        <v>67</v>
      </c>
    </row>
    <row r="775" spans="1:23" ht="12.5">
      <c r="A775" s="5">
        <v>91279</v>
      </c>
      <c r="B775" s="5" t="s">
        <v>16613</v>
      </c>
      <c r="C775" s="5">
        <v>573003200692</v>
      </c>
      <c r="D775" s="5">
        <v>28</v>
      </c>
      <c r="E775" s="5" t="s">
        <v>435</v>
      </c>
      <c r="F775" s="5" t="s">
        <v>185</v>
      </c>
      <c r="G775" s="5" t="s">
        <v>7087</v>
      </c>
      <c r="H775" s="5" t="s">
        <v>7088</v>
      </c>
      <c r="I775" s="5">
        <v>3003200692</v>
      </c>
      <c r="J775" s="12">
        <v>46045</v>
      </c>
      <c r="K775" s="11">
        <v>0.625</v>
      </c>
      <c r="M775" s="10" t="s">
        <v>15674</v>
      </c>
      <c r="N775" s="12">
        <v>46044.695937048615</v>
      </c>
      <c r="O775" s="10" t="s">
        <v>16614</v>
      </c>
      <c r="P775" s="5" t="s">
        <v>14571</v>
      </c>
      <c r="Q775" s="5" t="s">
        <v>14612</v>
      </c>
      <c r="R775" s="5" t="s">
        <v>16615</v>
      </c>
      <c r="T775" s="5" t="s">
        <v>5994</v>
      </c>
      <c r="U775" s="5" t="s">
        <v>14580</v>
      </c>
      <c r="V775" s="5" t="s">
        <v>2163</v>
      </c>
      <c r="W775" s="5" t="s">
        <v>7091</v>
      </c>
    </row>
    <row r="776" spans="1:23" ht="12.5">
      <c r="A776" s="5">
        <v>91280</v>
      </c>
      <c r="B776" s="5" t="s">
        <v>16616</v>
      </c>
      <c r="C776" s="5">
        <v>573007266661</v>
      </c>
      <c r="D776" s="5">
        <v>32</v>
      </c>
      <c r="E776" s="5" t="s">
        <v>65</v>
      </c>
      <c r="F776" s="5" t="s">
        <v>2865</v>
      </c>
      <c r="G776" s="5" t="s">
        <v>7092</v>
      </c>
      <c r="H776" s="5" t="s">
        <v>7093</v>
      </c>
      <c r="I776" s="5">
        <v>3157820343</v>
      </c>
      <c r="J776" s="12">
        <v>46044</v>
      </c>
      <c r="K776" s="11">
        <v>0.70972222222189885</v>
      </c>
      <c r="M776" s="10" t="s">
        <v>14832</v>
      </c>
      <c r="N776" s="12">
        <v>46044.638056875003</v>
      </c>
      <c r="O776" s="10" t="s">
        <v>15963</v>
      </c>
      <c r="P776" s="5" t="s">
        <v>14571</v>
      </c>
      <c r="Q776" s="5" t="s">
        <v>14578</v>
      </c>
      <c r="R776" s="5" t="s">
        <v>16617</v>
      </c>
      <c r="T776" s="5" t="s">
        <v>5994</v>
      </c>
      <c r="U776" s="5" t="s">
        <v>14775</v>
      </c>
      <c r="V776" s="5" t="s">
        <v>2163</v>
      </c>
    </row>
    <row r="777" spans="1:23" ht="12.5">
      <c r="A777" s="5">
        <v>91281</v>
      </c>
      <c r="B777" s="5" t="s">
        <v>16618</v>
      </c>
      <c r="C777" s="5">
        <v>573246871637</v>
      </c>
      <c r="D777" s="5">
        <v>95</v>
      </c>
      <c r="E777" s="5" t="s">
        <v>42</v>
      </c>
      <c r="F777" s="5" t="s">
        <v>307</v>
      </c>
      <c r="G777" s="5" t="s">
        <v>7097</v>
      </c>
      <c r="H777" s="5" t="s">
        <v>7098</v>
      </c>
      <c r="I777" s="5">
        <v>3246871637</v>
      </c>
      <c r="J777" s="12">
        <v>46045</v>
      </c>
      <c r="K777" s="11">
        <v>0.35069444444525288</v>
      </c>
      <c r="M777" s="10" t="s">
        <v>15384</v>
      </c>
      <c r="N777" s="12">
        <v>46044.717510011571</v>
      </c>
      <c r="O777" s="10" t="s">
        <v>16619</v>
      </c>
      <c r="P777" s="5" t="s">
        <v>14571</v>
      </c>
      <c r="Q777" s="5" t="s">
        <v>14612</v>
      </c>
      <c r="R777" s="5" t="s">
        <v>16620</v>
      </c>
      <c r="T777" s="5" t="s">
        <v>5994</v>
      </c>
      <c r="U777" s="5" t="s">
        <v>14618</v>
      </c>
      <c r="V777" s="5" t="s">
        <v>67</v>
      </c>
      <c r="W777" s="5" t="s">
        <v>7101</v>
      </c>
    </row>
    <row r="778" spans="1:23" ht="12.5">
      <c r="A778" s="5">
        <v>91282</v>
      </c>
      <c r="B778" s="5" t="s">
        <v>6685</v>
      </c>
      <c r="C778" s="5">
        <v>573143663864</v>
      </c>
      <c r="D778" s="5">
        <v>95</v>
      </c>
      <c r="E778" s="5" t="s">
        <v>42</v>
      </c>
      <c r="F778" s="5" t="s">
        <v>265</v>
      </c>
      <c r="G778" s="5" t="s">
        <v>7103</v>
      </c>
      <c r="H778" s="5" t="s">
        <v>7104</v>
      </c>
      <c r="I778" s="5">
        <v>3004473832</v>
      </c>
      <c r="J778" s="12">
        <v>46045</v>
      </c>
      <c r="K778" s="11">
        <v>0.375</v>
      </c>
      <c r="M778" s="10" t="s">
        <v>16470</v>
      </c>
      <c r="N778" s="12">
        <v>46044.716887523144</v>
      </c>
      <c r="O778" s="10" t="s">
        <v>14698</v>
      </c>
      <c r="P778" s="5" t="s">
        <v>14571</v>
      </c>
      <c r="Q778" s="5" t="s">
        <v>14572</v>
      </c>
      <c r="R778" s="5" t="s">
        <v>16621</v>
      </c>
      <c r="T778" s="5" t="s">
        <v>5994</v>
      </c>
      <c r="U778" s="5" t="s">
        <v>14691</v>
      </c>
      <c r="V778" s="5" t="s">
        <v>67</v>
      </c>
      <c r="W778" s="5" t="s">
        <v>7107</v>
      </c>
    </row>
    <row r="779" spans="1:23" ht="12.5">
      <c r="A779" s="5">
        <v>91283</v>
      </c>
      <c r="B779" s="5" t="s">
        <v>16622</v>
      </c>
      <c r="C779" s="5">
        <v>573188278550</v>
      </c>
      <c r="D779" s="5">
        <v>95</v>
      </c>
      <c r="E779" s="5" t="s">
        <v>42</v>
      </c>
      <c r="G779" s="5" t="s">
        <v>7110</v>
      </c>
      <c r="H779" s="5" t="s">
        <v>16623</v>
      </c>
      <c r="I779" s="5">
        <v>3188278550</v>
      </c>
      <c r="J779" s="12">
        <v>46046</v>
      </c>
      <c r="K779" s="11">
        <v>0.66666666666787933</v>
      </c>
      <c r="M779" s="10" t="s">
        <v>15352</v>
      </c>
      <c r="N779" s="12">
        <v>46044.764831759254</v>
      </c>
      <c r="O779" s="10" t="s">
        <v>15575</v>
      </c>
      <c r="P779" s="5" t="s">
        <v>14571</v>
      </c>
      <c r="Q779" s="5" t="s">
        <v>14612</v>
      </c>
      <c r="R779" s="5" t="s">
        <v>16624</v>
      </c>
      <c r="T779" s="5" t="s">
        <v>5994</v>
      </c>
      <c r="V779" s="5" t="s">
        <v>2163</v>
      </c>
      <c r="W779" s="5" t="s">
        <v>7112</v>
      </c>
    </row>
    <row r="780" spans="1:23" ht="12.5">
      <c r="A780" s="5">
        <v>91284</v>
      </c>
      <c r="B780" s="5" t="s">
        <v>16387</v>
      </c>
      <c r="C780" s="10" t="s">
        <v>16625</v>
      </c>
      <c r="D780" s="5">
        <v>42</v>
      </c>
      <c r="E780" s="5" t="s">
        <v>649</v>
      </c>
      <c r="F780" s="5" t="s">
        <v>401</v>
      </c>
      <c r="G780" s="5" t="s">
        <v>6685</v>
      </c>
      <c r="H780" s="5" t="s">
        <v>6686</v>
      </c>
      <c r="I780" s="5">
        <v>3143663864</v>
      </c>
      <c r="J780" s="12">
        <v>46045</v>
      </c>
      <c r="K780" s="11">
        <v>0.41666666666666669</v>
      </c>
      <c r="M780" s="10" t="s">
        <v>14615</v>
      </c>
      <c r="N780" s="12">
        <v>46045</v>
      </c>
      <c r="O780" s="10" t="s">
        <v>16262</v>
      </c>
      <c r="P780" s="5" t="s">
        <v>14571</v>
      </c>
      <c r="Q780" s="5" t="s">
        <v>14578</v>
      </c>
      <c r="R780" s="5" t="s">
        <v>16626</v>
      </c>
      <c r="T780" s="5" t="s">
        <v>5994</v>
      </c>
      <c r="U780" s="5" t="s">
        <v>14618</v>
      </c>
      <c r="V780" s="5" t="s">
        <v>67</v>
      </c>
    </row>
    <row r="781" spans="1:23" ht="12.5">
      <c r="A781" s="5">
        <v>91285</v>
      </c>
      <c r="B781" s="5" t="s">
        <v>16627</v>
      </c>
      <c r="C781" s="5">
        <v>573008719083</v>
      </c>
      <c r="D781" s="5">
        <v>32</v>
      </c>
      <c r="E781" s="5" t="s">
        <v>65</v>
      </c>
      <c r="F781" s="5" t="s">
        <v>1057</v>
      </c>
      <c r="G781" s="5" t="s">
        <v>7117</v>
      </c>
      <c r="H781" s="5" t="s">
        <v>7118</v>
      </c>
      <c r="I781" s="5">
        <v>3008719083</v>
      </c>
      <c r="J781" s="12">
        <v>46045</v>
      </c>
      <c r="K781" s="11">
        <v>0.41666666666787933</v>
      </c>
      <c r="M781" s="10" t="s">
        <v>16628</v>
      </c>
      <c r="N781" s="12">
        <v>46045.340267118052</v>
      </c>
      <c r="O781" s="10" t="s">
        <v>15193</v>
      </c>
      <c r="P781" s="5" t="s">
        <v>14571</v>
      </c>
      <c r="Q781" s="5" t="s">
        <v>14572</v>
      </c>
      <c r="R781" s="5" t="s">
        <v>16629</v>
      </c>
      <c r="T781" s="5" t="s">
        <v>5994</v>
      </c>
      <c r="U781" s="5" t="s">
        <v>14580</v>
      </c>
      <c r="V781" s="5" t="s">
        <v>67</v>
      </c>
    </row>
    <row r="782" spans="1:23" ht="12.5">
      <c r="A782" s="5">
        <v>91286</v>
      </c>
      <c r="B782" s="5" t="s">
        <v>7123</v>
      </c>
      <c r="C782" s="5">
        <v>573022464356</v>
      </c>
      <c r="D782" s="5">
        <v>31</v>
      </c>
      <c r="E782" s="5" t="s">
        <v>375</v>
      </c>
      <c r="F782" s="5" t="s">
        <v>33</v>
      </c>
      <c r="G782" s="5" t="s">
        <v>7123</v>
      </c>
      <c r="H782" s="5" t="s">
        <v>34</v>
      </c>
      <c r="I782" s="5">
        <v>3022464356</v>
      </c>
      <c r="J782" s="12">
        <v>46045</v>
      </c>
      <c r="K782" s="11">
        <v>0</v>
      </c>
      <c r="M782" s="10" t="s">
        <v>14585</v>
      </c>
      <c r="N782" s="12">
        <v>46045.374090717596</v>
      </c>
      <c r="O782" s="10" t="s">
        <v>15911</v>
      </c>
      <c r="P782" s="5" t="s">
        <v>14571</v>
      </c>
      <c r="Q782" s="5" t="s">
        <v>14578</v>
      </c>
      <c r="R782" s="5" t="s">
        <v>16630</v>
      </c>
      <c r="T782" s="5" t="s">
        <v>14574</v>
      </c>
      <c r="U782" s="5" t="s">
        <v>33</v>
      </c>
      <c r="V782" s="5" t="s">
        <v>67</v>
      </c>
      <c r="W782" s="5" t="s">
        <v>7126</v>
      </c>
    </row>
    <row r="783" spans="1:23" ht="12.5">
      <c r="A783" s="5">
        <v>91287</v>
      </c>
      <c r="B783" s="5" t="s">
        <v>16631</v>
      </c>
      <c r="C783" s="10" t="s">
        <v>16632</v>
      </c>
      <c r="D783" s="5">
        <v>32</v>
      </c>
      <c r="E783" s="5" t="s">
        <v>65</v>
      </c>
      <c r="F783" s="5" t="s">
        <v>185</v>
      </c>
      <c r="G783" s="5" t="s">
        <v>7129</v>
      </c>
      <c r="H783" s="5" t="s">
        <v>7130</v>
      </c>
      <c r="I783" s="5">
        <v>3003007032</v>
      </c>
      <c r="J783" s="12">
        <v>46045</v>
      </c>
      <c r="K783" s="11">
        <v>0.45833333333333331</v>
      </c>
      <c r="M783" s="10" t="s">
        <v>14850</v>
      </c>
      <c r="N783" s="12">
        <v>46045</v>
      </c>
      <c r="O783" s="10" t="s">
        <v>15170</v>
      </c>
      <c r="P783" s="5" t="s">
        <v>14571</v>
      </c>
      <c r="Q783" s="5" t="s">
        <v>14578</v>
      </c>
      <c r="R783" s="5" t="s">
        <v>16633</v>
      </c>
      <c r="T783" s="5" t="s">
        <v>5994</v>
      </c>
      <c r="U783" s="5" t="s">
        <v>14580</v>
      </c>
      <c r="V783" s="5" t="s">
        <v>67</v>
      </c>
    </row>
    <row r="784" spans="1:23" ht="12.5">
      <c r="A784" s="5">
        <v>91288</v>
      </c>
      <c r="B784" s="5" t="s">
        <v>16634</v>
      </c>
      <c r="C784" s="5">
        <v>113322874387</v>
      </c>
      <c r="D784" s="5">
        <v>41</v>
      </c>
      <c r="E784" s="5" t="s">
        <v>89</v>
      </c>
      <c r="F784" s="5" t="s">
        <v>73</v>
      </c>
      <c r="G784" s="5" t="s">
        <v>7133</v>
      </c>
      <c r="H784" s="5" t="s">
        <v>7134</v>
      </c>
      <c r="J784" s="12">
        <v>46045</v>
      </c>
      <c r="K784" s="11">
        <v>0.45833333333212067</v>
      </c>
      <c r="M784" s="10" t="s">
        <v>16429</v>
      </c>
      <c r="N784" s="12">
        <v>46045.391575127316</v>
      </c>
      <c r="O784" s="10" t="s">
        <v>15755</v>
      </c>
      <c r="P784" s="5" t="s">
        <v>14571</v>
      </c>
      <c r="Q784" s="5" t="s">
        <v>14612</v>
      </c>
      <c r="R784" s="5" t="s">
        <v>16635</v>
      </c>
      <c r="T784" s="5" t="s">
        <v>5994</v>
      </c>
      <c r="U784" s="5" t="s">
        <v>14593</v>
      </c>
      <c r="V784" s="5" t="s">
        <v>67</v>
      </c>
      <c r="W784" s="5" t="s">
        <v>7136</v>
      </c>
    </row>
    <row r="785" spans="1:23" ht="12.5">
      <c r="A785" s="5">
        <v>91289</v>
      </c>
      <c r="B785" s="5" t="s">
        <v>16636</v>
      </c>
      <c r="C785" s="10" t="s">
        <v>16637</v>
      </c>
      <c r="D785" s="5">
        <v>31</v>
      </c>
      <c r="E785" s="5" t="s">
        <v>375</v>
      </c>
      <c r="F785" s="5" t="s">
        <v>420</v>
      </c>
      <c r="G785" s="5" t="s">
        <v>7137</v>
      </c>
      <c r="H785" s="5" t="s">
        <v>7138</v>
      </c>
      <c r="J785" s="12">
        <v>46045</v>
      </c>
      <c r="K785" s="11">
        <v>0.45833333333333331</v>
      </c>
      <c r="M785" s="10" t="s">
        <v>15585</v>
      </c>
      <c r="N785" s="12">
        <v>46045</v>
      </c>
      <c r="O785" s="10" t="s">
        <v>15103</v>
      </c>
      <c r="P785" s="5" t="s">
        <v>14571</v>
      </c>
      <c r="Q785" s="5" t="s">
        <v>14572</v>
      </c>
      <c r="R785" s="5" t="s">
        <v>16638</v>
      </c>
      <c r="T785" s="5" t="s">
        <v>5994</v>
      </c>
      <c r="U785" s="5" t="s">
        <v>14580</v>
      </c>
      <c r="V785" s="5" t="s">
        <v>67</v>
      </c>
    </row>
    <row r="786" spans="1:23" ht="12.5">
      <c r="A786" s="5">
        <v>91290</v>
      </c>
      <c r="B786" s="5" t="s">
        <v>16639</v>
      </c>
      <c r="C786" s="5">
        <v>57981388055</v>
      </c>
      <c r="D786" s="5">
        <v>31</v>
      </c>
      <c r="E786" s="5" t="s">
        <v>375</v>
      </c>
      <c r="F786" s="5" t="s">
        <v>161</v>
      </c>
      <c r="G786" s="5" t="s">
        <v>7142</v>
      </c>
      <c r="H786" s="5" t="s">
        <v>7143</v>
      </c>
      <c r="I786" s="10" t="s">
        <v>2686</v>
      </c>
      <c r="J786" s="12">
        <v>46045</v>
      </c>
      <c r="K786" s="11">
        <v>0.45833333333212067</v>
      </c>
      <c r="M786" s="10" t="s">
        <v>14850</v>
      </c>
      <c r="N786" s="12">
        <v>46045.419199942131</v>
      </c>
      <c r="O786" s="10" t="s">
        <v>16582</v>
      </c>
      <c r="P786" s="5" t="s">
        <v>14571</v>
      </c>
      <c r="Q786" s="5" t="s">
        <v>14572</v>
      </c>
      <c r="R786" s="5" t="s">
        <v>16640</v>
      </c>
      <c r="T786" s="5" t="s">
        <v>5994</v>
      </c>
      <c r="U786" s="5" t="s">
        <v>14593</v>
      </c>
      <c r="V786" s="5" t="s">
        <v>67</v>
      </c>
    </row>
    <row r="787" spans="1:23" ht="12.5">
      <c r="A787" s="5">
        <v>91291</v>
      </c>
      <c r="B787" s="5" t="s">
        <v>16641</v>
      </c>
      <c r="C787" s="5">
        <v>573159274731</v>
      </c>
      <c r="D787" s="5" t="s">
        <v>16642</v>
      </c>
      <c r="E787" s="5" t="s">
        <v>7150</v>
      </c>
      <c r="G787" s="5" t="s">
        <v>7147</v>
      </c>
      <c r="H787" s="5" t="s">
        <v>7148</v>
      </c>
      <c r="I787" s="10" t="s">
        <v>7149</v>
      </c>
      <c r="J787" s="12">
        <v>46045</v>
      </c>
      <c r="K787" s="11">
        <v>0.58333333333212067</v>
      </c>
      <c r="M787" s="10" t="s">
        <v>14734</v>
      </c>
      <c r="N787" s="12">
        <v>46045.428214166663</v>
      </c>
      <c r="O787" s="10" t="s">
        <v>16277</v>
      </c>
      <c r="P787" s="5" t="s">
        <v>14571</v>
      </c>
      <c r="Q787" s="5" t="s">
        <v>14612</v>
      </c>
      <c r="R787" s="5" t="s">
        <v>16643</v>
      </c>
      <c r="T787" s="5" t="s">
        <v>5994</v>
      </c>
      <c r="V787" s="5" t="s">
        <v>67</v>
      </c>
    </row>
    <row r="788" spans="1:23" ht="12.5">
      <c r="A788" s="5">
        <v>91292</v>
      </c>
      <c r="B788" s="5" t="s">
        <v>16644</v>
      </c>
      <c r="C788" s="10" t="s">
        <v>16645</v>
      </c>
      <c r="D788" s="5">
        <v>39</v>
      </c>
      <c r="E788" s="5" t="s">
        <v>96</v>
      </c>
      <c r="F788" s="5" t="s">
        <v>73</v>
      </c>
      <c r="G788" s="5" t="s">
        <v>16646</v>
      </c>
      <c r="H788" s="5" t="s">
        <v>7155</v>
      </c>
      <c r="I788" s="5">
        <v>3004423543</v>
      </c>
      <c r="J788" s="12">
        <v>46045</v>
      </c>
      <c r="K788" s="11">
        <v>0</v>
      </c>
      <c r="M788" s="10" t="s">
        <v>16647</v>
      </c>
      <c r="N788" s="12">
        <v>46045</v>
      </c>
      <c r="O788" s="10" t="s">
        <v>16512</v>
      </c>
      <c r="P788" s="5" t="s">
        <v>14571</v>
      </c>
      <c r="Q788" s="5" t="s">
        <v>14612</v>
      </c>
      <c r="R788" s="5" t="s">
        <v>16648</v>
      </c>
      <c r="T788" s="5" t="s">
        <v>5994</v>
      </c>
      <c r="U788" s="5" t="s">
        <v>14593</v>
      </c>
      <c r="V788" s="5" t="s">
        <v>1481</v>
      </c>
    </row>
    <row r="789" spans="1:23" ht="12.5">
      <c r="A789" s="5">
        <v>91293</v>
      </c>
      <c r="B789" s="5" t="s">
        <v>16649</v>
      </c>
      <c r="C789" s="5">
        <v>573052960945</v>
      </c>
      <c r="D789" s="5">
        <v>58</v>
      </c>
      <c r="E789" s="5" t="s">
        <v>57</v>
      </c>
      <c r="F789" s="5" t="s">
        <v>79</v>
      </c>
      <c r="G789" s="5" t="s">
        <v>7159</v>
      </c>
      <c r="H789" s="5" t="s">
        <v>7160</v>
      </c>
      <c r="I789" s="5"/>
      <c r="J789" s="12">
        <v>46045</v>
      </c>
      <c r="K789" s="11">
        <v>0</v>
      </c>
      <c r="M789" s="10" t="s">
        <v>10581</v>
      </c>
      <c r="N789" s="12">
        <v>46045.451906597227</v>
      </c>
      <c r="O789" s="10" t="s">
        <v>16056</v>
      </c>
      <c r="P789" s="5" t="s">
        <v>14571</v>
      </c>
      <c r="Q789" s="5" t="s">
        <v>14572</v>
      </c>
      <c r="R789" s="5" t="s">
        <v>16650</v>
      </c>
      <c r="T789" s="5" t="s">
        <v>5994</v>
      </c>
      <c r="U789" s="5" t="s">
        <v>14593</v>
      </c>
      <c r="V789" s="5" t="s">
        <v>1481</v>
      </c>
      <c r="W789" s="5" t="s">
        <v>7163</v>
      </c>
    </row>
    <row r="790" spans="1:23" ht="12.5">
      <c r="A790" s="5">
        <v>91294</v>
      </c>
      <c r="B790" s="5" t="s">
        <v>7166</v>
      </c>
      <c r="C790" s="5">
        <v>573153325830</v>
      </c>
      <c r="D790" s="5" t="s">
        <v>14589</v>
      </c>
      <c r="E790" s="5" t="s">
        <v>525</v>
      </c>
      <c r="F790" s="5" t="s">
        <v>33</v>
      </c>
      <c r="G790" s="5" t="s">
        <v>7166</v>
      </c>
      <c r="H790" s="5" t="s">
        <v>34</v>
      </c>
      <c r="I790" s="5">
        <v>3153325830</v>
      </c>
      <c r="J790" s="12">
        <v>46045</v>
      </c>
      <c r="K790" s="11">
        <v>0.625</v>
      </c>
      <c r="M790" s="10" t="s">
        <v>16628</v>
      </c>
      <c r="N790" s="12">
        <v>46045.408808518521</v>
      </c>
      <c r="O790" s="10" t="s">
        <v>14650</v>
      </c>
      <c r="P790" s="5" t="s">
        <v>14571</v>
      </c>
      <c r="Q790" s="5" t="s">
        <v>14572</v>
      </c>
      <c r="R790" s="5" t="s">
        <v>16651</v>
      </c>
      <c r="T790" s="5" t="s">
        <v>14574</v>
      </c>
      <c r="U790" s="5" t="s">
        <v>33</v>
      </c>
      <c r="V790" s="5" t="s">
        <v>43</v>
      </c>
      <c r="W790" s="5" t="s">
        <v>7167</v>
      </c>
    </row>
    <row r="791" spans="1:23" ht="12.5">
      <c r="A791" s="5">
        <v>91295</v>
      </c>
      <c r="B791" s="5" t="s">
        <v>7169</v>
      </c>
      <c r="C791" s="5">
        <v>573007290599</v>
      </c>
      <c r="D791" s="5" t="s">
        <v>14589</v>
      </c>
      <c r="E791" s="5" t="s">
        <v>7170</v>
      </c>
      <c r="F791" s="5" t="s">
        <v>33</v>
      </c>
      <c r="G791" s="5" t="s">
        <v>7169</v>
      </c>
      <c r="H791" s="5" t="s">
        <v>34</v>
      </c>
      <c r="J791" s="12">
        <v>46045</v>
      </c>
      <c r="K791" s="11">
        <v>0</v>
      </c>
      <c r="M791" s="10" t="s">
        <v>14734</v>
      </c>
      <c r="N791" s="12">
        <v>46045.461121412038</v>
      </c>
      <c r="O791" s="10" t="s">
        <v>16195</v>
      </c>
      <c r="P791" s="5" t="s">
        <v>14571</v>
      </c>
      <c r="Q791" s="5" t="s">
        <v>14578</v>
      </c>
      <c r="R791" s="5" t="s">
        <v>16652</v>
      </c>
      <c r="T791" s="5" t="s">
        <v>14574</v>
      </c>
      <c r="U791" s="5" t="s">
        <v>33</v>
      </c>
      <c r="V791" s="5" t="s">
        <v>1705</v>
      </c>
      <c r="W791" s="5" t="s">
        <v>7173</v>
      </c>
    </row>
    <row r="792" spans="1:23" ht="12.5">
      <c r="A792" s="5">
        <v>91296</v>
      </c>
      <c r="B792" s="5" t="s">
        <v>7175</v>
      </c>
      <c r="C792" s="5">
        <v>57795430</v>
      </c>
      <c r="D792" s="5">
        <v>52</v>
      </c>
      <c r="E792" s="5" t="s">
        <v>178</v>
      </c>
      <c r="F792" s="5" t="s">
        <v>33</v>
      </c>
      <c r="G792" s="5" t="s">
        <v>7175</v>
      </c>
      <c r="H792" s="5" t="s">
        <v>34</v>
      </c>
      <c r="I792" s="5">
        <v>795430</v>
      </c>
      <c r="J792" s="12">
        <v>46045</v>
      </c>
      <c r="K792" s="11">
        <v>0</v>
      </c>
      <c r="M792" s="10" t="s">
        <v>15161</v>
      </c>
      <c r="N792" s="12">
        <v>46045.478872638894</v>
      </c>
      <c r="O792" s="10" t="s">
        <v>16526</v>
      </c>
      <c r="P792" s="5" t="s">
        <v>14571</v>
      </c>
      <c r="Q792" s="5" t="s">
        <v>14578</v>
      </c>
      <c r="R792" s="5" t="s">
        <v>16653</v>
      </c>
      <c r="T792" s="5" t="s">
        <v>14574</v>
      </c>
      <c r="U792" s="5" t="s">
        <v>33</v>
      </c>
      <c r="V792" s="5" t="s">
        <v>2636</v>
      </c>
    </row>
    <row r="793" spans="1:23" ht="12.5">
      <c r="A793" s="5">
        <v>91297</v>
      </c>
      <c r="B793" s="5" t="s">
        <v>5734</v>
      </c>
      <c r="C793" s="10" t="s">
        <v>14917</v>
      </c>
      <c r="D793" s="5">
        <v>95</v>
      </c>
      <c r="E793" s="5" t="s">
        <v>42</v>
      </c>
      <c r="F793" s="5" t="s">
        <v>33</v>
      </c>
      <c r="G793" s="5" t="s">
        <v>5734</v>
      </c>
      <c r="H793" s="5" t="s">
        <v>34</v>
      </c>
      <c r="I793" s="5">
        <v>3007682024</v>
      </c>
      <c r="J793" s="12">
        <v>46046</v>
      </c>
      <c r="K793" s="11">
        <v>0.375</v>
      </c>
      <c r="M793" s="10" t="s">
        <v>2686</v>
      </c>
      <c r="N793" s="12">
        <v>46045</v>
      </c>
      <c r="O793" s="10" t="s">
        <v>16654</v>
      </c>
      <c r="P793" s="5" t="s">
        <v>14571</v>
      </c>
      <c r="Q793" s="5" t="s">
        <v>14578</v>
      </c>
      <c r="R793" s="5" t="s">
        <v>16655</v>
      </c>
      <c r="T793" s="5" t="s">
        <v>14574</v>
      </c>
      <c r="U793" s="5" t="s">
        <v>33</v>
      </c>
      <c r="V793" s="5" t="s">
        <v>43</v>
      </c>
      <c r="W793" s="5" t="s">
        <v>7176</v>
      </c>
    </row>
    <row r="794" spans="1:23" ht="12.5">
      <c r="A794" s="5">
        <v>91298</v>
      </c>
      <c r="B794" s="5" t="s">
        <v>3526</v>
      </c>
      <c r="C794" s="5">
        <v>573174289182</v>
      </c>
      <c r="D794" s="5">
        <v>95</v>
      </c>
      <c r="E794" s="5" t="s">
        <v>42</v>
      </c>
      <c r="G794" s="5" t="s">
        <v>3526</v>
      </c>
      <c r="H794" s="5" t="s">
        <v>7177</v>
      </c>
      <c r="J794" s="12">
        <v>46045</v>
      </c>
      <c r="K794" s="11">
        <v>0</v>
      </c>
      <c r="M794" s="10" t="s">
        <v>15785</v>
      </c>
      <c r="N794" s="12">
        <v>46045.547395902773</v>
      </c>
      <c r="O794" s="10" t="s">
        <v>15861</v>
      </c>
      <c r="P794" s="5" t="s">
        <v>14571</v>
      </c>
      <c r="Q794" s="5" t="s">
        <v>14572</v>
      </c>
      <c r="R794" s="5" t="s">
        <v>16656</v>
      </c>
      <c r="T794" s="5" t="s">
        <v>5994</v>
      </c>
      <c r="V794" s="5" t="s">
        <v>1481</v>
      </c>
      <c r="W794" s="5" t="s">
        <v>7178</v>
      </c>
    </row>
    <row r="795" spans="1:23" ht="12.5">
      <c r="A795" s="5">
        <v>91299</v>
      </c>
      <c r="B795" s="5" t="s">
        <v>16657</v>
      </c>
      <c r="C795" s="5">
        <v>573017604108</v>
      </c>
      <c r="D795" s="5" t="s">
        <v>14589</v>
      </c>
      <c r="E795" s="5" t="s">
        <v>7182</v>
      </c>
      <c r="F795" s="5" t="s">
        <v>7180</v>
      </c>
      <c r="G795" s="5" t="s">
        <v>7179</v>
      </c>
      <c r="H795" s="5" t="s">
        <v>7181</v>
      </c>
      <c r="I795" s="5">
        <v>3017604108</v>
      </c>
      <c r="J795" s="12">
        <v>46045</v>
      </c>
      <c r="K795" s="11">
        <v>0.60416666666787933</v>
      </c>
      <c r="M795" s="10" t="s">
        <v>14595</v>
      </c>
      <c r="N795" s="12">
        <v>46045.550765856482</v>
      </c>
      <c r="O795" s="10" t="s">
        <v>15789</v>
      </c>
      <c r="P795" s="5" t="s">
        <v>14571</v>
      </c>
      <c r="Q795" s="5" t="s">
        <v>14572</v>
      </c>
      <c r="R795" s="5" t="s">
        <v>16658</v>
      </c>
      <c r="T795" s="5" t="s">
        <v>5994</v>
      </c>
      <c r="U795" s="5"/>
      <c r="V795" s="5" t="s">
        <v>180</v>
      </c>
    </row>
    <row r="796" spans="1:23" ht="12.5">
      <c r="A796" s="5">
        <v>91300</v>
      </c>
      <c r="B796" s="5" t="s">
        <v>16659</v>
      </c>
      <c r="C796" s="10" t="s">
        <v>16660</v>
      </c>
      <c r="D796" s="5">
        <v>25</v>
      </c>
      <c r="E796" s="5" t="s">
        <v>1792</v>
      </c>
      <c r="F796" s="5" t="s">
        <v>937</v>
      </c>
      <c r="G796" s="5" t="s">
        <v>15965</v>
      </c>
      <c r="H796" s="5" t="s">
        <v>7186</v>
      </c>
      <c r="I796" s="5">
        <v>3206886831</v>
      </c>
      <c r="J796" s="12">
        <v>46049</v>
      </c>
      <c r="K796" s="11">
        <v>0</v>
      </c>
      <c r="M796" s="10" t="s">
        <v>16003</v>
      </c>
      <c r="N796" s="12">
        <v>46045</v>
      </c>
      <c r="O796" s="10" t="s">
        <v>15390</v>
      </c>
      <c r="P796" s="5" t="s">
        <v>14571</v>
      </c>
      <c r="Q796" s="5" t="s">
        <v>14578</v>
      </c>
      <c r="R796" s="5" t="s">
        <v>16661</v>
      </c>
      <c r="T796" s="5" t="s">
        <v>5994</v>
      </c>
      <c r="U796" s="5"/>
      <c r="V796" s="5" t="s">
        <v>1481</v>
      </c>
    </row>
    <row r="797" spans="1:23" ht="12.5">
      <c r="A797" s="5">
        <v>91301</v>
      </c>
      <c r="B797" s="5" t="s">
        <v>16662</v>
      </c>
      <c r="C797" s="5">
        <v>573012791979</v>
      </c>
      <c r="D797" s="5" t="s">
        <v>14589</v>
      </c>
      <c r="E797" s="5" t="s">
        <v>7190</v>
      </c>
      <c r="F797" s="5" t="s">
        <v>103</v>
      </c>
      <c r="G797" s="5" t="s">
        <v>7188</v>
      </c>
      <c r="H797" s="5" t="s">
        <v>7189</v>
      </c>
      <c r="I797" s="5">
        <v>3012791979</v>
      </c>
      <c r="J797" s="12">
        <v>46046</v>
      </c>
      <c r="K797" s="11">
        <v>0.66666666666787933</v>
      </c>
      <c r="M797" s="10" t="s">
        <v>15161</v>
      </c>
      <c r="N797" s="12">
        <v>46045.560195798607</v>
      </c>
      <c r="O797" s="10" t="s">
        <v>14961</v>
      </c>
      <c r="P797" s="5" t="s">
        <v>14571</v>
      </c>
      <c r="Q797" s="5" t="s">
        <v>14578</v>
      </c>
      <c r="R797" s="5" t="s">
        <v>16663</v>
      </c>
      <c r="T797" s="5" t="s">
        <v>5994</v>
      </c>
      <c r="U797" s="5" t="s">
        <v>14593</v>
      </c>
      <c r="V797" s="5" t="s">
        <v>1481</v>
      </c>
      <c r="W797" s="5" t="s">
        <v>7192</v>
      </c>
    </row>
    <row r="798" spans="1:23" ht="12.5">
      <c r="A798" s="5">
        <v>91302</v>
      </c>
      <c r="B798" s="5" t="s">
        <v>16664</v>
      </c>
      <c r="C798" s="5">
        <v>573215242839</v>
      </c>
      <c r="D798" s="5">
        <v>51</v>
      </c>
      <c r="E798" s="5" t="s">
        <v>384</v>
      </c>
      <c r="F798" s="5" t="s">
        <v>154</v>
      </c>
      <c r="G798" s="5" t="s">
        <v>7195</v>
      </c>
      <c r="H798" s="5" t="s">
        <v>7196</v>
      </c>
      <c r="J798" s="12">
        <v>46045</v>
      </c>
      <c r="K798" s="11">
        <v>0</v>
      </c>
      <c r="M798" s="10" t="s">
        <v>15140</v>
      </c>
      <c r="N798" s="12">
        <v>46045.596991712962</v>
      </c>
      <c r="O798" s="10" t="s">
        <v>15253</v>
      </c>
      <c r="P798" s="5" t="s">
        <v>14571</v>
      </c>
      <c r="Q798" s="5"/>
      <c r="R798" s="5" t="s">
        <v>16665</v>
      </c>
      <c r="T798" s="5" t="s">
        <v>5994</v>
      </c>
      <c r="U798" s="5" t="s">
        <v>14593</v>
      </c>
      <c r="V798" s="5" t="s">
        <v>1481</v>
      </c>
    </row>
    <row r="799" spans="1:23" ht="12.5">
      <c r="A799" s="5">
        <v>91303</v>
      </c>
      <c r="B799" s="5" t="s">
        <v>7199</v>
      </c>
      <c r="C799" s="5">
        <v>573108181272</v>
      </c>
      <c r="D799" s="5">
        <v>21</v>
      </c>
      <c r="E799" s="5" t="s">
        <v>330</v>
      </c>
      <c r="F799" s="5" t="s">
        <v>33</v>
      </c>
      <c r="G799" s="5" t="s">
        <v>7199</v>
      </c>
      <c r="H799" s="5" t="s">
        <v>34</v>
      </c>
      <c r="I799" s="5" t="s">
        <v>7200</v>
      </c>
      <c r="J799" s="12">
        <v>46045</v>
      </c>
      <c r="K799" s="11">
        <v>0.66666666666787933</v>
      </c>
      <c r="M799" s="10" t="s">
        <v>14712</v>
      </c>
      <c r="N799" s="12">
        <v>46045.610870081015</v>
      </c>
      <c r="O799" s="10" t="s">
        <v>16024</v>
      </c>
      <c r="P799" s="5" t="s">
        <v>14571</v>
      </c>
      <c r="Q799" s="5" t="s">
        <v>14578</v>
      </c>
      <c r="R799" s="5" t="s">
        <v>16666</v>
      </c>
      <c r="T799" s="5" t="s">
        <v>14574</v>
      </c>
      <c r="U799" s="5" t="s">
        <v>33</v>
      </c>
      <c r="V799" s="5" t="s">
        <v>1481</v>
      </c>
    </row>
    <row r="800" spans="1:23" ht="12.5">
      <c r="A800" s="5">
        <v>91304</v>
      </c>
      <c r="B800" s="5" t="s">
        <v>7204</v>
      </c>
      <c r="C800" s="5">
        <v>573008183491</v>
      </c>
      <c r="D800" s="5">
        <v>95</v>
      </c>
      <c r="E800" s="5" t="s">
        <v>42</v>
      </c>
      <c r="G800" s="5" t="s">
        <v>7204</v>
      </c>
      <c r="H800" s="5" t="s">
        <v>7205</v>
      </c>
      <c r="J800" s="12">
        <v>46045</v>
      </c>
      <c r="K800" s="11">
        <v>0.66666666666787933</v>
      </c>
      <c r="M800" s="10" t="s">
        <v>15656</v>
      </c>
      <c r="N800" s="12">
        <v>46045.617871064816</v>
      </c>
      <c r="O800" s="10" t="s">
        <v>16667</v>
      </c>
      <c r="P800" s="5" t="s">
        <v>14571</v>
      </c>
      <c r="Q800" s="5" t="s">
        <v>14572</v>
      </c>
      <c r="R800" s="5" t="s">
        <v>16668</v>
      </c>
      <c r="T800" s="5" t="s">
        <v>5994</v>
      </c>
      <c r="V800" s="5" t="s">
        <v>1481</v>
      </c>
      <c r="W800" s="5" t="s">
        <v>7206</v>
      </c>
    </row>
    <row r="801" spans="1:23" ht="12.5">
      <c r="A801" s="5">
        <v>91305</v>
      </c>
      <c r="B801" s="5" t="s">
        <v>16669</v>
      </c>
      <c r="C801" s="5">
        <v>50763123762</v>
      </c>
      <c r="D801" s="5">
        <v>26</v>
      </c>
      <c r="E801" s="5" t="s">
        <v>422</v>
      </c>
      <c r="F801" s="5" t="s">
        <v>33</v>
      </c>
      <c r="G801" s="5" t="s">
        <v>7209</v>
      </c>
      <c r="H801" s="5" t="s">
        <v>34</v>
      </c>
      <c r="I801" s="5">
        <v>63123762</v>
      </c>
      <c r="J801" s="12">
        <v>46046</v>
      </c>
      <c r="K801" s="11">
        <v>0.375</v>
      </c>
      <c r="M801" s="10" t="s">
        <v>14646</v>
      </c>
      <c r="N801" s="12">
        <v>46045.598834155091</v>
      </c>
      <c r="O801" s="10" t="s">
        <v>14716</v>
      </c>
      <c r="P801" s="5" t="s">
        <v>14571</v>
      </c>
      <c r="Q801" s="5" t="s">
        <v>14572</v>
      </c>
      <c r="R801" s="5" t="s">
        <v>16670</v>
      </c>
      <c r="T801" s="5" t="s">
        <v>14574</v>
      </c>
      <c r="U801" s="5" t="s">
        <v>33</v>
      </c>
      <c r="V801" s="5" t="s">
        <v>1481</v>
      </c>
      <c r="W801" s="5" t="s">
        <v>7211</v>
      </c>
    </row>
    <row r="802" spans="1:23" ht="12.5">
      <c r="A802" s="5">
        <v>91306</v>
      </c>
      <c r="B802" s="5" t="s">
        <v>7214</v>
      </c>
      <c r="C802" s="5">
        <v>573164705834</v>
      </c>
      <c r="D802" s="5">
        <v>95</v>
      </c>
      <c r="E802" s="5" t="s">
        <v>42</v>
      </c>
      <c r="F802" s="5" t="s">
        <v>33</v>
      </c>
      <c r="G802" s="5" t="s">
        <v>7214</v>
      </c>
      <c r="H802" s="5" t="s">
        <v>34</v>
      </c>
      <c r="J802" s="12">
        <v>46045</v>
      </c>
      <c r="K802" s="11">
        <v>0.70833333333212067</v>
      </c>
      <c r="M802" s="10" t="s">
        <v>14863</v>
      </c>
      <c r="N802" s="12">
        <v>46045.632132986109</v>
      </c>
      <c r="O802" s="10" t="s">
        <v>15558</v>
      </c>
      <c r="P802" s="5" t="s">
        <v>14571</v>
      </c>
      <c r="Q802" s="5" t="s">
        <v>14578</v>
      </c>
      <c r="R802" s="5" t="s">
        <v>16671</v>
      </c>
      <c r="T802" s="5" t="s">
        <v>14574</v>
      </c>
      <c r="U802" s="5" t="s">
        <v>33</v>
      </c>
      <c r="V802" s="5" t="s">
        <v>1705</v>
      </c>
      <c r="W802" s="5" t="s">
        <v>7215</v>
      </c>
    </row>
    <row r="803" spans="1:23" ht="12.5">
      <c r="A803" s="5">
        <v>91307</v>
      </c>
      <c r="B803" s="5" t="s">
        <v>16672</v>
      </c>
      <c r="C803" s="5">
        <v>573106623313</v>
      </c>
      <c r="D803" s="5">
        <v>95</v>
      </c>
      <c r="E803" s="5" t="s">
        <v>42</v>
      </c>
      <c r="F803" s="5" t="s">
        <v>33</v>
      </c>
      <c r="G803" s="5" t="s">
        <v>2376</v>
      </c>
      <c r="H803" s="5" t="s">
        <v>34</v>
      </c>
      <c r="I803" s="5">
        <v>3106623313</v>
      </c>
      <c r="J803" s="12">
        <v>46046</v>
      </c>
      <c r="K803" s="11">
        <v>0.58333333333212067</v>
      </c>
      <c r="M803" s="10" t="s">
        <v>10581</v>
      </c>
      <c r="N803" s="12">
        <v>46052.634189814809</v>
      </c>
      <c r="O803" s="10" t="s">
        <v>15560</v>
      </c>
      <c r="P803" s="5" t="s">
        <v>14571</v>
      </c>
      <c r="Q803" s="5" t="s">
        <v>14612</v>
      </c>
      <c r="R803" s="5" t="s">
        <v>16673</v>
      </c>
      <c r="T803" s="5" t="s">
        <v>14574</v>
      </c>
      <c r="U803" s="5" t="s">
        <v>33</v>
      </c>
      <c r="V803" s="5" t="s">
        <v>2636</v>
      </c>
      <c r="W803" s="5" t="s">
        <v>7216</v>
      </c>
    </row>
    <row r="804" spans="1:23" ht="12.5">
      <c r="A804" s="5">
        <v>91308</v>
      </c>
      <c r="B804" s="5" t="s">
        <v>16674</v>
      </c>
      <c r="C804" s="5">
        <v>573106306991</v>
      </c>
      <c r="D804" s="5">
        <v>16</v>
      </c>
      <c r="E804" s="5" t="s">
        <v>2556</v>
      </c>
      <c r="F804" s="5" t="s">
        <v>110</v>
      </c>
      <c r="G804" s="5" t="s">
        <v>1573</v>
      </c>
      <c r="H804" s="5" t="s">
        <v>7219</v>
      </c>
      <c r="I804" s="5">
        <v>3148289986</v>
      </c>
      <c r="J804" s="12">
        <v>46045</v>
      </c>
      <c r="K804" s="11">
        <v>0.6875</v>
      </c>
      <c r="M804" s="10" t="s">
        <v>16675</v>
      </c>
      <c r="N804" s="12">
        <v>46045.641707152783</v>
      </c>
      <c r="O804" s="10" t="s">
        <v>16150</v>
      </c>
      <c r="P804" s="5" t="s">
        <v>14571</v>
      </c>
      <c r="Q804" s="5" t="s">
        <v>14612</v>
      </c>
      <c r="R804" s="5" t="s">
        <v>16676</v>
      </c>
      <c r="T804" s="5" t="s">
        <v>5994</v>
      </c>
      <c r="U804" s="5" t="s">
        <v>14593</v>
      </c>
      <c r="V804" s="5" t="s">
        <v>1481</v>
      </c>
      <c r="W804" s="5" t="s">
        <v>7222</v>
      </c>
    </row>
    <row r="805" spans="1:23" ht="12.5">
      <c r="A805" s="5">
        <v>91309</v>
      </c>
      <c r="B805" s="5" t="s">
        <v>7225</v>
      </c>
      <c r="C805" s="5">
        <v>573243155454</v>
      </c>
      <c r="D805" s="5" t="s">
        <v>16677</v>
      </c>
      <c r="E805" s="5" t="s">
        <v>7227</v>
      </c>
      <c r="F805" s="5" t="s">
        <v>33</v>
      </c>
      <c r="G805" s="5" t="s">
        <v>7225</v>
      </c>
      <c r="H805" s="5" t="s">
        <v>34</v>
      </c>
      <c r="I805" s="5" t="s">
        <v>7226</v>
      </c>
      <c r="J805" s="12">
        <v>46045</v>
      </c>
      <c r="K805" s="11">
        <v>0.70833333333212067</v>
      </c>
      <c r="M805" s="10" t="s">
        <v>15301</v>
      </c>
      <c r="N805" s="12">
        <v>46045.724435405093</v>
      </c>
      <c r="O805" s="10" t="s">
        <v>16678</v>
      </c>
      <c r="P805" s="5" t="s">
        <v>14571</v>
      </c>
      <c r="Q805" s="5" t="s">
        <v>14612</v>
      </c>
      <c r="R805" s="5" t="s">
        <v>16679</v>
      </c>
      <c r="T805" s="5" t="s">
        <v>14574</v>
      </c>
      <c r="U805" s="5" t="s">
        <v>33</v>
      </c>
      <c r="V805" s="5" t="s">
        <v>1481</v>
      </c>
    </row>
    <row r="806" spans="1:23" ht="12.5">
      <c r="A806" s="5">
        <v>91310</v>
      </c>
      <c r="B806" s="5" t="s">
        <v>16680</v>
      </c>
      <c r="C806" s="5">
        <v>573157357860</v>
      </c>
      <c r="D806" s="5">
        <v>64</v>
      </c>
      <c r="E806" s="5" t="s">
        <v>133</v>
      </c>
      <c r="F806" s="5" t="s">
        <v>63</v>
      </c>
      <c r="G806" s="5" t="s">
        <v>7230</v>
      </c>
      <c r="H806" s="5" t="s">
        <v>7231</v>
      </c>
      <c r="I806" s="5">
        <v>3145245715</v>
      </c>
      <c r="J806" s="12">
        <v>46046</v>
      </c>
      <c r="K806" s="11">
        <v>0.33333333333212067</v>
      </c>
      <c r="M806" s="10" t="s">
        <v>15356</v>
      </c>
      <c r="N806" s="12">
        <v>46045.738548310183</v>
      </c>
      <c r="O806" s="10" t="s">
        <v>16681</v>
      </c>
      <c r="P806" s="5" t="s">
        <v>14571</v>
      </c>
      <c r="Q806" s="5" t="s">
        <v>14612</v>
      </c>
      <c r="R806" s="5" t="s">
        <v>16682</v>
      </c>
      <c r="T806" s="5" t="s">
        <v>5994</v>
      </c>
      <c r="U806" s="5" t="s">
        <v>14598</v>
      </c>
      <c r="V806" s="5" t="s">
        <v>1481</v>
      </c>
    </row>
    <row r="807" spans="1:23" ht="12.5">
      <c r="A807" s="5">
        <v>91311</v>
      </c>
      <c r="B807" s="5" t="s">
        <v>16683</v>
      </c>
      <c r="C807" s="5">
        <v>51967202285</v>
      </c>
      <c r="D807" s="5">
        <v>32</v>
      </c>
      <c r="E807" s="5" t="s">
        <v>65</v>
      </c>
      <c r="F807" s="5" t="s">
        <v>249</v>
      </c>
      <c r="G807" s="5" t="s">
        <v>7236</v>
      </c>
      <c r="H807" s="5" t="s">
        <v>7237</v>
      </c>
      <c r="I807" s="5"/>
      <c r="J807" s="12">
        <v>46046</v>
      </c>
      <c r="K807" s="11">
        <v>0.33333333333212067</v>
      </c>
      <c r="M807" s="10" t="s">
        <v>16684</v>
      </c>
      <c r="N807" s="12">
        <v>46045.759209560187</v>
      </c>
      <c r="O807" s="10" t="s">
        <v>16685</v>
      </c>
      <c r="P807" s="5" t="s">
        <v>14571</v>
      </c>
      <c r="Q807" s="5" t="s">
        <v>14572</v>
      </c>
      <c r="R807" s="5" t="s">
        <v>16686</v>
      </c>
      <c r="T807" s="5" t="s">
        <v>5994</v>
      </c>
      <c r="U807" s="5" t="s">
        <v>14593</v>
      </c>
      <c r="V807" s="5" t="s">
        <v>1937</v>
      </c>
      <c r="W807" s="5" t="s">
        <v>7238</v>
      </c>
    </row>
    <row r="808" spans="1:23" ht="12.5">
      <c r="A808" s="5">
        <v>91312</v>
      </c>
      <c r="B808" s="5" t="s">
        <v>16687</v>
      </c>
      <c r="C808" s="5">
        <v>573166922664</v>
      </c>
      <c r="D808" s="5">
        <v>29</v>
      </c>
      <c r="E808" s="5" t="s">
        <v>309</v>
      </c>
      <c r="F808" s="5" t="s">
        <v>110</v>
      </c>
      <c r="G808" s="5" t="s">
        <v>7239</v>
      </c>
      <c r="H808" s="5" t="s">
        <v>7240</v>
      </c>
      <c r="I808" s="5">
        <v>3162905977</v>
      </c>
      <c r="J808" s="12">
        <v>46046</v>
      </c>
      <c r="K808" s="11">
        <v>0.45833333333212067</v>
      </c>
      <c r="M808" s="10" t="s">
        <v>16628</v>
      </c>
      <c r="N808" s="12">
        <v>46046.366331180558</v>
      </c>
      <c r="O808" s="10" t="s">
        <v>15319</v>
      </c>
      <c r="P808" s="5" t="s">
        <v>14571</v>
      </c>
      <c r="Q808" s="5" t="s">
        <v>14572</v>
      </c>
      <c r="R808" s="5" t="s">
        <v>16688</v>
      </c>
      <c r="T808" s="5" t="s">
        <v>5994</v>
      </c>
      <c r="U808" s="5" t="s">
        <v>14593</v>
      </c>
      <c r="V808" s="5" t="s">
        <v>1481</v>
      </c>
      <c r="W808" s="5" t="s">
        <v>7243</v>
      </c>
    </row>
    <row r="809" spans="1:23" ht="12.5">
      <c r="A809" s="5">
        <v>91313</v>
      </c>
      <c r="B809" s="5" t="s">
        <v>16689</v>
      </c>
      <c r="C809" s="10" t="s">
        <v>16690</v>
      </c>
      <c r="D809" s="5">
        <v>70</v>
      </c>
      <c r="E809" s="5" t="s">
        <v>559</v>
      </c>
      <c r="F809" s="5" t="s">
        <v>103</v>
      </c>
      <c r="G809" s="5" t="s">
        <v>7244</v>
      </c>
      <c r="H809" s="5" t="s">
        <v>7245</v>
      </c>
      <c r="J809" s="12">
        <v>46046</v>
      </c>
      <c r="K809" s="11">
        <v>0</v>
      </c>
      <c r="M809" s="10" t="s">
        <v>14653</v>
      </c>
      <c r="N809" s="12">
        <v>46046</v>
      </c>
      <c r="O809" s="10" t="s">
        <v>16691</v>
      </c>
      <c r="P809" s="5" t="s">
        <v>14571</v>
      </c>
      <c r="Q809" s="5" t="s">
        <v>14578</v>
      </c>
      <c r="R809" s="5" t="s">
        <v>16692</v>
      </c>
      <c r="T809" s="5" t="s">
        <v>5994</v>
      </c>
      <c r="U809" s="5" t="s">
        <v>14593</v>
      </c>
      <c r="V809" s="5" t="s">
        <v>180</v>
      </c>
    </row>
    <row r="810" spans="1:23" ht="12.5">
      <c r="A810" s="5">
        <v>91314</v>
      </c>
      <c r="B810" s="5" t="s">
        <v>12429</v>
      </c>
      <c r="C810" s="10" t="s">
        <v>16693</v>
      </c>
      <c r="D810" s="5">
        <v>41</v>
      </c>
      <c r="E810" s="5" t="s">
        <v>89</v>
      </c>
      <c r="F810" s="5" t="s">
        <v>249</v>
      </c>
      <c r="G810" s="5" t="s">
        <v>16694</v>
      </c>
      <c r="H810" s="5" t="s">
        <v>7249</v>
      </c>
      <c r="I810" s="5">
        <v>3104311662</v>
      </c>
      <c r="J810" s="12">
        <v>46046</v>
      </c>
      <c r="K810" s="11">
        <v>0</v>
      </c>
      <c r="M810" s="10" t="s">
        <v>14740</v>
      </c>
      <c r="N810" s="12">
        <v>46046</v>
      </c>
      <c r="O810" s="10" t="s">
        <v>16053</v>
      </c>
      <c r="P810" s="5" t="s">
        <v>14571</v>
      </c>
      <c r="Q810" s="5" t="s">
        <v>14612</v>
      </c>
      <c r="R810" s="5" t="s">
        <v>16695</v>
      </c>
      <c r="T810" s="5" t="s">
        <v>5994</v>
      </c>
      <c r="U810" s="5" t="s">
        <v>14593</v>
      </c>
      <c r="V810" s="5" t="s">
        <v>83</v>
      </c>
    </row>
    <row r="811" spans="1:23" ht="12.5">
      <c r="A811" s="5">
        <v>91315</v>
      </c>
      <c r="B811" s="5" t="s">
        <v>2150</v>
      </c>
      <c r="C811" s="5">
        <v>573012394343</v>
      </c>
      <c r="D811" s="5">
        <v>95</v>
      </c>
      <c r="E811" s="5" t="s">
        <v>42</v>
      </c>
      <c r="F811" s="5" t="s">
        <v>33</v>
      </c>
      <c r="G811" s="5" t="s">
        <v>2150</v>
      </c>
      <c r="H811" s="5" t="s">
        <v>34</v>
      </c>
      <c r="I811" s="5">
        <v>3012394343</v>
      </c>
      <c r="J811" s="12">
        <v>46046</v>
      </c>
      <c r="K811" s="11">
        <v>0.33333333333212067</v>
      </c>
      <c r="M811" s="10" t="s">
        <v>16696</v>
      </c>
      <c r="N811" s="12">
        <v>46046.441845254631</v>
      </c>
      <c r="O811" s="10" t="s">
        <v>16512</v>
      </c>
      <c r="P811" s="5" t="s">
        <v>14571</v>
      </c>
      <c r="Q811" s="5" t="s">
        <v>14612</v>
      </c>
      <c r="R811" s="5" t="s">
        <v>16697</v>
      </c>
      <c r="T811" s="5" t="s">
        <v>14574</v>
      </c>
      <c r="U811" s="5" t="s">
        <v>33</v>
      </c>
      <c r="V811" s="5" t="s">
        <v>43</v>
      </c>
      <c r="W811" s="5" t="s">
        <v>7252</v>
      </c>
    </row>
    <row r="812" spans="1:23" ht="12.5">
      <c r="A812" s="5">
        <v>91316</v>
      </c>
      <c r="B812" s="5" t="s">
        <v>16698</v>
      </c>
      <c r="C812" s="5">
        <v>573006141481</v>
      </c>
      <c r="D812" s="5">
        <v>63</v>
      </c>
      <c r="E812" s="5" t="s">
        <v>294</v>
      </c>
      <c r="F812" s="5" t="s">
        <v>161</v>
      </c>
      <c r="G812" s="5" t="s">
        <v>7254</v>
      </c>
      <c r="H812" s="5" t="s">
        <v>16699</v>
      </c>
      <c r="J812" s="12">
        <v>46046</v>
      </c>
      <c r="K812" s="11">
        <v>0.60416666666787933</v>
      </c>
      <c r="M812" s="10" t="s">
        <v>14657</v>
      </c>
      <c r="N812" s="12">
        <v>46046.431294594906</v>
      </c>
      <c r="O812" s="10" t="s">
        <v>16700</v>
      </c>
      <c r="P812" s="5" t="s">
        <v>14571</v>
      </c>
      <c r="Q812" s="5" t="s">
        <v>14578</v>
      </c>
      <c r="R812" s="5" t="s">
        <v>16701</v>
      </c>
      <c r="T812" s="5" t="s">
        <v>5994</v>
      </c>
      <c r="U812" s="5" t="s">
        <v>14593</v>
      </c>
      <c r="V812" s="5" t="s">
        <v>83</v>
      </c>
    </row>
    <row r="813" spans="1:23" ht="12.5">
      <c r="A813" s="5">
        <v>91317</v>
      </c>
      <c r="B813" s="5" t="s">
        <v>16702</v>
      </c>
      <c r="C813" s="5">
        <v>573002167124</v>
      </c>
      <c r="D813" s="5">
        <v>55</v>
      </c>
      <c r="E813" s="5" t="s">
        <v>1203</v>
      </c>
      <c r="F813" s="5" t="s">
        <v>79</v>
      </c>
      <c r="G813" s="5" t="s">
        <v>7260</v>
      </c>
      <c r="H813" s="5" t="s">
        <v>16703</v>
      </c>
      <c r="I813" s="5" t="s">
        <v>16704</v>
      </c>
      <c r="J813" s="12">
        <v>46046</v>
      </c>
      <c r="K813" s="11">
        <v>0.54166666666787933</v>
      </c>
      <c r="M813" s="10" t="s">
        <v>15128</v>
      </c>
      <c r="N813" s="12">
        <v>46046.468601967594</v>
      </c>
      <c r="O813" s="10" t="s">
        <v>16124</v>
      </c>
      <c r="P813" s="5" t="s">
        <v>14571</v>
      </c>
      <c r="Q813" s="5" t="s">
        <v>14612</v>
      </c>
      <c r="R813" s="5" t="s">
        <v>16705</v>
      </c>
      <c r="T813" s="5" t="s">
        <v>5994</v>
      </c>
      <c r="U813" s="5" t="s">
        <v>14593</v>
      </c>
      <c r="V813" s="5" t="s">
        <v>180</v>
      </c>
    </row>
    <row r="814" spans="1:23" ht="12.5">
      <c r="A814" s="5">
        <v>91318</v>
      </c>
      <c r="B814" s="5" t="s">
        <v>7266</v>
      </c>
      <c r="C814" s="5">
        <v>573008773600</v>
      </c>
      <c r="D814" s="5">
        <v>95</v>
      </c>
      <c r="E814" s="5" t="s">
        <v>42</v>
      </c>
      <c r="F814" s="5" t="s">
        <v>33</v>
      </c>
      <c r="G814" s="5" t="s">
        <v>7266</v>
      </c>
      <c r="H814" s="5" t="s">
        <v>34</v>
      </c>
      <c r="I814" s="5">
        <v>3008773600</v>
      </c>
      <c r="J814" s="12">
        <v>46046</v>
      </c>
      <c r="K814" s="11">
        <v>0</v>
      </c>
      <c r="M814" s="10" t="s">
        <v>2686</v>
      </c>
      <c r="N814" s="12">
        <v>46046.490897037038</v>
      </c>
      <c r="O814" s="10" t="s">
        <v>14744</v>
      </c>
      <c r="P814" s="5" t="s">
        <v>14571</v>
      </c>
      <c r="Q814" s="5" t="s">
        <v>14572</v>
      </c>
      <c r="R814" s="5" t="s">
        <v>16706</v>
      </c>
      <c r="T814" s="5" t="s">
        <v>14574</v>
      </c>
      <c r="U814" s="5" t="s">
        <v>33</v>
      </c>
      <c r="V814" s="5" t="s">
        <v>83</v>
      </c>
      <c r="W814" s="5" t="s">
        <v>7267</v>
      </c>
    </row>
    <row r="815" spans="1:23" ht="12.5">
      <c r="A815" s="5">
        <v>91319</v>
      </c>
      <c r="B815" s="5" t="s">
        <v>7268</v>
      </c>
      <c r="C815" s="5">
        <v>573106623313</v>
      </c>
      <c r="D815" s="5">
        <v>95</v>
      </c>
      <c r="E815" s="5" t="s">
        <v>42</v>
      </c>
      <c r="F815" s="5" t="s">
        <v>33</v>
      </c>
      <c r="G815" s="5" t="s">
        <v>7268</v>
      </c>
      <c r="H815" s="5" t="s">
        <v>34</v>
      </c>
      <c r="I815" s="5">
        <v>3106623313</v>
      </c>
      <c r="J815" s="12">
        <v>46046</v>
      </c>
      <c r="K815" s="11">
        <v>0.58333333333212067</v>
      </c>
      <c r="M815" s="10" t="s">
        <v>16707</v>
      </c>
      <c r="N815" s="12">
        <v>46052.50782407407</v>
      </c>
      <c r="O815" s="10" t="s">
        <v>15849</v>
      </c>
      <c r="P815" s="5" t="s">
        <v>14571</v>
      </c>
      <c r="Q815" s="5" t="s">
        <v>14612</v>
      </c>
      <c r="R815" s="5" t="s">
        <v>16708</v>
      </c>
      <c r="T815" s="5" t="s">
        <v>14574</v>
      </c>
      <c r="U815" s="5" t="s">
        <v>33</v>
      </c>
      <c r="V815" s="5" t="s">
        <v>2636</v>
      </c>
      <c r="W815" s="5" t="s">
        <v>7269</v>
      </c>
    </row>
    <row r="816" spans="1:23" ht="12.5">
      <c r="A816" s="5">
        <v>91320</v>
      </c>
      <c r="B816" s="5" t="s">
        <v>7166</v>
      </c>
      <c r="C816" s="5">
        <v>573153325830</v>
      </c>
      <c r="D816" s="5">
        <v>95</v>
      </c>
      <c r="E816" s="5" t="s">
        <v>42</v>
      </c>
      <c r="F816" s="5" t="s">
        <v>33</v>
      </c>
      <c r="G816" s="5" t="s">
        <v>7166</v>
      </c>
      <c r="H816" s="5" t="s">
        <v>34</v>
      </c>
      <c r="I816" s="5">
        <v>3153325830</v>
      </c>
      <c r="J816" s="12">
        <v>46046</v>
      </c>
      <c r="K816" s="11">
        <v>0</v>
      </c>
      <c r="M816" s="10" t="s">
        <v>14766</v>
      </c>
      <c r="N816" s="12">
        <v>46046.39640633102</v>
      </c>
      <c r="O816" s="10" t="s">
        <v>16065</v>
      </c>
      <c r="P816" s="5" t="s">
        <v>14571</v>
      </c>
      <c r="Q816" s="5" t="s">
        <v>14572</v>
      </c>
      <c r="R816" s="5" t="s">
        <v>16709</v>
      </c>
      <c r="T816" s="5" t="s">
        <v>14574</v>
      </c>
      <c r="U816" s="5" t="s">
        <v>33</v>
      </c>
      <c r="V816" s="5" t="s">
        <v>1705</v>
      </c>
      <c r="W816" s="5" t="s">
        <v>7270</v>
      </c>
    </row>
    <row r="817" spans="1:23" ht="12.5">
      <c r="A817" s="5">
        <v>91321</v>
      </c>
      <c r="B817" s="5" t="s">
        <v>16710</v>
      </c>
      <c r="C817" s="5">
        <v>573002963878</v>
      </c>
      <c r="D817" s="5">
        <v>31</v>
      </c>
      <c r="E817" s="5" t="s">
        <v>375</v>
      </c>
      <c r="F817" s="5" t="s">
        <v>351</v>
      </c>
      <c r="G817" s="5" t="s">
        <v>7272</v>
      </c>
      <c r="H817" s="5" t="s">
        <v>7273</v>
      </c>
      <c r="I817" s="5">
        <v>3002963878</v>
      </c>
      <c r="J817" s="12">
        <v>46046</v>
      </c>
      <c r="K817" s="11">
        <v>0</v>
      </c>
      <c r="M817" s="10" t="s">
        <v>14832</v>
      </c>
      <c r="N817" s="12">
        <v>46046.51077547454</v>
      </c>
      <c r="O817" s="10" t="s">
        <v>16390</v>
      </c>
      <c r="P817" s="5" t="s">
        <v>14571</v>
      </c>
      <c r="Q817" s="5" t="s">
        <v>14578</v>
      </c>
      <c r="R817" s="5" t="s">
        <v>16711</v>
      </c>
      <c r="T817" s="5" t="s">
        <v>5994</v>
      </c>
      <c r="U817" s="5" t="s">
        <v>14580</v>
      </c>
      <c r="V817" s="5" t="s">
        <v>83</v>
      </c>
    </row>
    <row r="818" spans="1:23" ht="12.5">
      <c r="A818" s="5">
        <v>91322</v>
      </c>
      <c r="B818" s="5" t="s">
        <v>7279</v>
      </c>
      <c r="C818" s="10" t="s">
        <v>16712</v>
      </c>
      <c r="D818" s="5" t="s">
        <v>16713</v>
      </c>
      <c r="E818" s="5" t="s">
        <v>7277</v>
      </c>
      <c r="F818" s="5" t="s">
        <v>79</v>
      </c>
      <c r="G818" s="5" t="s">
        <v>16714</v>
      </c>
      <c r="H818" s="5" t="s">
        <v>7276</v>
      </c>
      <c r="I818" s="5">
        <v>3002864979</v>
      </c>
      <c r="J818" s="12">
        <v>46046</v>
      </c>
      <c r="K818" s="11">
        <v>0.58333333333333337</v>
      </c>
      <c r="M818" s="10" t="s">
        <v>14720</v>
      </c>
      <c r="N818" s="12">
        <v>46046</v>
      </c>
      <c r="O818" s="10" t="s">
        <v>15399</v>
      </c>
      <c r="P818" s="5" t="s">
        <v>14571</v>
      </c>
      <c r="Q818" s="5" t="s">
        <v>14572</v>
      </c>
      <c r="R818" s="5" t="s">
        <v>16715</v>
      </c>
      <c r="T818" s="5" t="s">
        <v>5994</v>
      </c>
      <c r="U818" s="5" t="s">
        <v>14593</v>
      </c>
      <c r="V818" s="5" t="s">
        <v>83</v>
      </c>
      <c r="W818" s="5" t="s">
        <v>7280</v>
      </c>
    </row>
    <row r="819" spans="1:23" ht="12.5">
      <c r="A819" s="5">
        <v>91323</v>
      </c>
      <c r="B819" s="5" t="s">
        <v>16716</v>
      </c>
      <c r="C819" s="5">
        <v>573017951042</v>
      </c>
      <c r="D819" s="5">
        <v>52</v>
      </c>
      <c r="E819" s="5" t="s">
        <v>178</v>
      </c>
      <c r="F819" s="5" t="s">
        <v>401</v>
      </c>
      <c r="G819" s="5" t="s">
        <v>963</v>
      </c>
      <c r="H819" s="5" t="s">
        <v>16717</v>
      </c>
      <c r="I819" s="5">
        <v>3015303170</v>
      </c>
      <c r="J819" s="12">
        <v>46046</v>
      </c>
      <c r="K819" s="11">
        <v>0.59375</v>
      </c>
      <c r="M819" s="10" t="s">
        <v>16718</v>
      </c>
      <c r="N819" s="12">
        <v>46046.514967199073</v>
      </c>
      <c r="O819" s="10" t="s">
        <v>16719</v>
      </c>
      <c r="P819" s="5" t="s">
        <v>14571</v>
      </c>
      <c r="Q819" s="5" t="s">
        <v>14572</v>
      </c>
      <c r="R819" s="5" t="s">
        <v>16720</v>
      </c>
      <c r="T819" s="5" t="s">
        <v>5994</v>
      </c>
      <c r="U819" s="5" t="s">
        <v>14618</v>
      </c>
      <c r="V819" s="5" t="s">
        <v>83</v>
      </c>
    </row>
    <row r="820" spans="1:23" ht="12.5">
      <c r="A820" s="5">
        <v>91324</v>
      </c>
      <c r="B820" s="5" t="s">
        <v>7284</v>
      </c>
      <c r="C820" s="10" t="s">
        <v>16721</v>
      </c>
      <c r="D820" s="5">
        <v>45</v>
      </c>
      <c r="E820" s="5" t="s">
        <v>210</v>
      </c>
      <c r="F820" s="5" t="s">
        <v>33</v>
      </c>
      <c r="G820" s="5" t="s">
        <v>7284</v>
      </c>
      <c r="H820" s="5" t="s">
        <v>34</v>
      </c>
      <c r="I820" s="5">
        <v>3053230353</v>
      </c>
      <c r="J820" s="12">
        <v>46046</v>
      </c>
      <c r="K820" s="11">
        <v>0</v>
      </c>
      <c r="M820" s="10" t="s">
        <v>14734</v>
      </c>
      <c r="N820" s="12">
        <v>46046</v>
      </c>
      <c r="O820" s="10" t="s">
        <v>16722</v>
      </c>
      <c r="P820" s="5" t="s">
        <v>14571</v>
      </c>
      <c r="Q820" s="5" t="s">
        <v>14578</v>
      </c>
      <c r="R820" s="5" t="s">
        <v>16723</v>
      </c>
      <c r="T820" s="5" t="s">
        <v>14574</v>
      </c>
      <c r="U820" s="5" t="s">
        <v>33</v>
      </c>
      <c r="V820" s="5" t="s">
        <v>196</v>
      </c>
    </row>
    <row r="821" spans="1:23" ht="12.5">
      <c r="A821" s="5">
        <v>91325</v>
      </c>
      <c r="B821" s="5" t="s">
        <v>7287</v>
      </c>
      <c r="C821" s="5">
        <v>573106144621</v>
      </c>
      <c r="D821" s="5">
        <v>95</v>
      </c>
      <c r="E821" s="5" t="s">
        <v>42</v>
      </c>
      <c r="F821" s="5" t="s">
        <v>33</v>
      </c>
      <c r="G821" s="5" t="s">
        <v>7287</v>
      </c>
      <c r="H821" s="5" t="s">
        <v>34</v>
      </c>
      <c r="I821" s="5">
        <v>3106144621</v>
      </c>
      <c r="J821" s="12">
        <v>46046</v>
      </c>
      <c r="K821" s="11">
        <v>0.54166666666787933</v>
      </c>
      <c r="M821" s="10" t="s">
        <v>16724</v>
      </c>
      <c r="N821" s="12">
        <v>46046.541159594912</v>
      </c>
      <c r="O821" s="10" t="s">
        <v>15131</v>
      </c>
      <c r="P821" s="5" t="s">
        <v>14571</v>
      </c>
      <c r="Q821" s="5" t="s">
        <v>14578</v>
      </c>
      <c r="R821" s="5" t="s">
        <v>16725</v>
      </c>
      <c r="T821" s="5" t="s">
        <v>14574</v>
      </c>
      <c r="U821" s="5" t="s">
        <v>33</v>
      </c>
      <c r="V821" s="5" t="s">
        <v>1705</v>
      </c>
      <c r="W821" s="5" t="s">
        <v>525</v>
      </c>
    </row>
    <row r="822" spans="1:23" ht="12.5">
      <c r="A822" s="5">
        <v>91326</v>
      </c>
      <c r="B822" s="5" t="s">
        <v>7289</v>
      </c>
      <c r="C822" s="5">
        <v>573156280239</v>
      </c>
      <c r="D822" s="5" t="s">
        <v>14589</v>
      </c>
      <c r="E822" s="5" t="s">
        <v>7290</v>
      </c>
      <c r="F822" s="5" t="s">
        <v>33</v>
      </c>
      <c r="G822" s="5" t="s">
        <v>7289</v>
      </c>
      <c r="H822" s="5" t="s">
        <v>34</v>
      </c>
      <c r="I822" s="5">
        <v>3156280239</v>
      </c>
      <c r="J822" s="12">
        <v>46046</v>
      </c>
      <c r="K822" s="11">
        <v>0.56111111111022183</v>
      </c>
      <c r="M822" s="10" t="s">
        <v>15594</v>
      </c>
      <c r="N822" s="12">
        <v>46046.553634942131</v>
      </c>
      <c r="O822" s="10" t="s">
        <v>16726</v>
      </c>
      <c r="P822" s="5" t="s">
        <v>14571</v>
      </c>
      <c r="Q822" s="5" t="s">
        <v>14572</v>
      </c>
      <c r="R822" s="5" t="s">
        <v>16727</v>
      </c>
      <c r="T822" s="5" t="s">
        <v>14574</v>
      </c>
      <c r="U822" s="5" t="s">
        <v>33</v>
      </c>
      <c r="V822" s="5" t="s">
        <v>83</v>
      </c>
      <c r="W822" s="5" t="s">
        <v>7291</v>
      </c>
    </row>
    <row r="823" spans="1:23" ht="12.5">
      <c r="A823" s="5">
        <v>91327</v>
      </c>
      <c r="B823" s="5" t="s">
        <v>7293</v>
      </c>
      <c r="C823" s="5">
        <v>573232891009</v>
      </c>
      <c r="D823" s="5">
        <v>52</v>
      </c>
      <c r="E823" s="5" t="s">
        <v>178</v>
      </c>
      <c r="F823" s="5" t="s">
        <v>33</v>
      </c>
      <c r="G823" s="5" t="s">
        <v>7293</v>
      </c>
      <c r="H823" s="5" t="s">
        <v>34</v>
      </c>
      <c r="I823" s="5">
        <v>3232891009</v>
      </c>
      <c r="J823" s="12">
        <v>46046</v>
      </c>
      <c r="K823" s="11">
        <v>0.58333333333212067</v>
      </c>
      <c r="M823" s="10" t="s">
        <v>15161</v>
      </c>
      <c r="N823" s="12">
        <v>46046.574383182873</v>
      </c>
      <c r="O823" s="10" t="s">
        <v>16728</v>
      </c>
      <c r="P823" s="5" t="s">
        <v>14571</v>
      </c>
      <c r="Q823" s="5" t="s">
        <v>14572</v>
      </c>
      <c r="R823" s="5" t="s">
        <v>16729</v>
      </c>
      <c r="T823" s="5" t="s">
        <v>14574</v>
      </c>
      <c r="U823" s="5" t="s">
        <v>33</v>
      </c>
      <c r="V823" s="5" t="s">
        <v>1705</v>
      </c>
    </row>
    <row r="824" spans="1:23" ht="12.5">
      <c r="A824" s="5">
        <v>91328</v>
      </c>
      <c r="B824" s="5" t="s">
        <v>7296</v>
      </c>
      <c r="C824" s="5">
        <v>573174406045</v>
      </c>
      <c r="D824" s="5">
        <v>95</v>
      </c>
      <c r="E824" s="5" t="s">
        <v>42</v>
      </c>
      <c r="F824" s="5" t="s">
        <v>33</v>
      </c>
      <c r="G824" s="5" t="s">
        <v>7296</v>
      </c>
      <c r="H824" s="5" t="s">
        <v>34</v>
      </c>
      <c r="I824" s="5">
        <v>3174406045</v>
      </c>
      <c r="J824" s="12">
        <v>46046</v>
      </c>
      <c r="K824" s="11">
        <v>0</v>
      </c>
      <c r="M824" s="10" t="s">
        <v>2686</v>
      </c>
      <c r="N824" s="12">
        <v>46046.599115231482</v>
      </c>
      <c r="O824" s="10" t="s">
        <v>15065</v>
      </c>
      <c r="P824" s="5" t="s">
        <v>14571</v>
      </c>
      <c r="Q824" s="5" t="s">
        <v>14572</v>
      </c>
      <c r="R824" s="5" t="s">
        <v>16730</v>
      </c>
      <c r="T824" s="5" t="s">
        <v>14574</v>
      </c>
      <c r="U824" s="5" t="s">
        <v>33</v>
      </c>
      <c r="V824" s="5" t="s">
        <v>1705</v>
      </c>
      <c r="W824" s="5" t="s">
        <v>120</v>
      </c>
    </row>
    <row r="825" spans="1:23" ht="12.5">
      <c r="A825" s="5">
        <v>91329</v>
      </c>
      <c r="B825" s="5" t="s">
        <v>16731</v>
      </c>
      <c r="C825" s="5">
        <v>573104186705</v>
      </c>
      <c r="D825" s="5">
        <v>20</v>
      </c>
      <c r="E825" s="5" t="s">
        <v>187</v>
      </c>
      <c r="F825" s="5" t="s">
        <v>6905</v>
      </c>
      <c r="G825" s="5" t="s">
        <v>7299</v>
      </c>
      <c r="H825" s="5" t="s">
        <v>7300</v>
      </c>
      <c r="I825" s="5">
        <v>3016505481</v>
      </c>
      <c r="J825" s="12">
        <v>46046</v>
      </c>
      <c r="K825" s="11">
        <v>0</v>
      </c>
      <c r="M825" s="10" t="s">
        <v>16732</v>
      </c>
      <c r="N825" s="12">
        <v>46046.592101759263</v>
      </c>
      <c r="O825" s="10" t="s">
        <v>16602</v>
      </c>
      <c r="P825" s="5" t="s">
        <v>14571</v>
      </c>
      <c r="Q825" s="5" t="s">
        <v>14578</v>
      </c>
      <c r="R825" s="5" t="s">
        <v>16733</v>
      </c>
      <c r="T825" s="5" t="s">
        <v>5994</v>
      </c>
      <c r="U825" s="5" t="s">
        <v>14598</v>
      </c>
      <c r="V825" s="5" t="s">
        <v>83</v>
      </c>
      <c r="W825" s="5" t="s">
        <v>7303</v>
      </c>
    </row>
    <row r="826" spans="1:23" ht="12.5">
      <c r="A826" s="5">
        <v>91330</v>
      </c>
      <c r="B826" s="5" t="s">
        <v>16734</v>
      </c>
      <c r="C826" s="5">
        <v>573186297234</v>
      </c>
      <c r="D826" s="5">
        <v>23</v>
      </c>
      <c r="E826" s="5" t="s">
        <v>50</v>
      </c>
      <c r="F826" s="5" t="s">
        <v>161</v>
      </c>
      <c r="G826" s="5" t="s">
        <v>7306</v>
      </c>
      <c r="H826" s="5" t="s">
        <v>7307</v>
      </c>
      <c r="J826" s="12">
        <v>46046</v>
      </c>
      <c r="K826" s="11">
        <v>0.66666666666787933</v>
      </c>
      <c r="M826" s="10" t="s">
        <v>14890</v>
      </c>
      <c r="N826" s="12">
        <v>46046.620232488422</v>
      </c>
      <c r="O826" s="10" t="s">
        <v>14716</v>
      </c>
      <c r="P826" s="5" t="s">
        <v>14571</v>
      </c>
      <c r="Q826" s="5" t="s">
        <v>14612</v>
      </c>
      <c r="R826" s="5" t="s">
        <v>16735</v>
      </c>
      <c r="T826" s="5" t="s">
        <v>5994</v>
      </c>
      <c r="U826" s="5" t="s">
        <v>14593</v>
      </c>
      <c r="V826" s="5" t="s">
        <v>83</v>
      </c>
    </row>
    <row r="827" spans="1:23" ht="12.5">
      <c r="A827" s="5">
        <v>91331</v>
      </c>
      <c r="B827" s="5" t="s">
        <v>16736</v>
      </c>
      <c r="C827" s="5">
        <v>573157350200</v>
      </c>
      <c r="D827" s="5">
        <v>29</v>
      </c>
      <c r="E827" s="5" t="s">
        <v>309</v>
      </c>
      <c r="F827" s="5" t="s">
        <v>185</v>
      </c>
      <c r="G827" s="5" t="s">
        <v>7310</v>
      </c>
      <c r="H827" s="5" t="s">
        <v>7311</v>
      </c>
      <c r="I827" s="5">
        <v>3008161372</v>
      </c>
      <c r="J827" s="12">
        <v>46046</v>
      </c>
      <c r="K827" s="11">
        <v>0</v>
      </c>
      <c r="M827" s="10" t="s">
        <v>15585</v>
      </c>
      <c r="N827" s="12">
        <v>46046.649527453701</v>
      </c>
      <c r="O827" s="10" t="s">
        <v>15382</v>
      </c>
      <c r="P827" s="5" t="s">
        <v>14571</v>
      </c>
      <c r="Q827" s="5" t="s">
        <v>14572</v>
      </c>
      <c r="R827" s="5" t="s">
        <v>16737</v>
      </c>
      <c r="T827" s="5" t="s">
        <v>5994</v>
      </c>
      <c r="U827" s="5" t="s">
        <v>14580</v>
      </c>
      <c r="V827" s="5" t="s">
        <v>83</v>
      </c>
      <c r="W827" s="5" t="s">
        <v>7314</v>
      </c>
    </row>
    <row r="828" spans="1:23" ht="12.5">
      <c r="A828" s="5">
        <v>91332</v>
      </c>
      <c r="B828" s="5" t="s">
        <v>7317</v>
      </c>
      <c r="C828" s="10" t="s">
        <v>16738</v>
      </c>
      <c r="D828" s="5">
        <v>44</v>
      </c>
      <c r="E828" s="5" t="s">
        <v>7319</v>
      </c>
      <c r="F828" s="5" t="s">
        <v>33</v>
      </c>
      <c r="G828" s="5" t="s">
        <v>7317</v>
      </c>
      <c r="H828" s="5" t="s">
        <v>34</v>
      </c>
      <c r="I828" s="5" t="s">
        <v>7318</v>
      </c>
      <c r="J828" s="12">
        <v>46046</v>
      </c>
      <c r="K828" s="11">
        <v>0</v>
      </c>
      <c r="M828" s="10" t="s">
        <v>14599</v>
      </c>
      <c r="N828" s="12">
        <v>46046</v>
      </c>
      <c r="O828" s="10" t="s">
        <v>16739</v>
      </c>
      <c r="P828" s="5" t="s">
        <v>14571</v>
      </c>
      <c r="Q828" s="5" t="s">
        <v>14572</v>
      </c>
      <c r="R828" s="5" t="s">
        <v>16740</v>
      </c>
      <c r="T828" s="5" t="s">
        <v>14574</v>
      </c>
      <c r="U828" s="5" t="s">
        <v>33</v>
      </c>
      <c r="V828" s="5" t="s">
        <v>83</v>
      </c>
    </row>
    <row r="829" spans="1:23" ht="12.5">
      <c r="A829" s="5">
        <v>91333</v>
      </c>
      <c r="B829" s="5" t="s">
        <v>7323</v>
      </c>
      <c r="C829" s="5">
        <v>573022203516</v>
      </c>
      <c r="D829" s="5">
        <v>95</v>
      </c>
      <c r="E829" s="5" t="s">
        <v>42</v>
      </c>
      <c r="F829" s="5" t="s">
        <v>33</v>
      </c>
      <c r="G829" s="5" t="s">
        <v>7323</v>
      </c>
      <c r="H829" s="5" t="s">
        <v>34</v>
      </c>
      <c r="I829" s="5">
        <v>3022203516</v>
      </c>
      <c r="J829" s="12">
        <v>46046</v>
      </c>
      <c r="K829" s="11">
        <v>0</v>
      </c>
      <c r="M829" s="10" t="s">
        <v>15179</v>
      </c>
      <c r="N829" s="12">
        <v>46046.700694270832</v>
      </c>
      <c r="O829" s="10" t="s">
        <v>14914</v>
      </c>
      <c r="P829" s="5" t="s">
        <v>14571</v>
      </c>
      <c r="Q829" s="5" t="s">
        <v>14612</v>
      </c>
      <c r="R829" s="5" t="s">
        <v>16741</v>
      </c>
      <c r="T829" s="5" t="s">
        <v>14574</v>
      </c>
      <c r="U829" s="5" t="s">
        <v>33</v>
      </c>
      <c r="V829" s="5" t="s">
        <v>1705</v>
      </c>
      <c r="W829" s="5" t="s">
        <v>7324</v>
      </c>
    </row>
    <row r="830" spans="1:23" ht="12.5">
      <c r="A830" s="5">
        <v>91334</v>
      </c>
      <c r="B830" s="5" t="s">
        <v>16742</v>
      </c>
      <c r="C830" s="5">
        <v>573002089175</v>
      </c>
      <c r="D830" s="5">
        <v>70</v>
      </c>
      <c r="E830" s="5" t="s">
        <v>559</v>
      </c>
      <c r="F830" s="5" t="s">
        <v>1595</v>
      </c>
      <c r="G830" s="5" t="s">
        <v>7326</v>
      </c>
      <c r="H830" s="5" t="s">
        <v>7327</v>
      </c>
      <c r="I830" s="5">
        <v>3053523401</v>
      </c>
      <c r="J830" s="12">
        <v>46050</v>
      </c>
      <c r="K830" s="11">
        <v>0.41666666666787933</v>
      </c>
      <c r="M830" s="10" t="s">
        <v>16743</v>
      </c>
      <c r="N830" s="12">
        <v>46048.329281168983</v>
      </c>
      <c r="O830" s="10" t="s">
        <v>16744</v>
      </c>
      <c r="P830" s="5" t="s">
        <v>14571</v>
      </c>
      <c r="Q830" s="5" t="s">
        <v>14612</v>
      </c>
      <c r="R830" s="5" t="s">
        <v>16745</v>
      </c>
      <c r="T830" s="5" t="s">
        <v>5994</v>
      </c>
      <c r="U830" s="5" t="s">
        <v>14580</v>
      </c>
      <c r="V830" s="5" t="s">
        <v>67</v>
      </c>
    </row>
    <row r="831" spans="1:23" ht="12.5">
      <c r="A831" s="5">
        <v>91335</v>
      </c>
      <c r="B831" s="5" t="s">
        <v>16746</v>
      </c>
      <c r="C831" s="5">
        <v>573219480585</v>
      </c>
      <c r="D831" s="5">
        <v>32</v>
      </c>
      <c r="E831" s="5" t="s">
        <v>65</v>
      </c>
      <c r="F831" s="5" t="s">
        <v>249</v>
      </c>
      <c r="G831" s="5" t="s">
        <v>7332</v>
      </c>
      <c r="H831" s="5" t="s">
        <v>7333</v>
      </c>
      <c r="I831" s="5">
        <v>3182852312</v>
      </c>
      <c r="J831" s="12">
        <v>46050</v>
      </c>
      <c r="K831" s="11">
        <v>0.32291666666787933</v>
      </c>
      <c r="M831" s="10" t="s">
        <v>14627</v>
      </c>
      <c r="N831" s="12">
        <v>46048.325938275462</v>
      </c>
      <c r="O831" s="10" t="s">
        <v>16747</v>
      </c>
      <c r="P831" s="5" t="s">
        <v>14571</v>
      </c>
      <c r="Q831" s="5" t="s">
        <v>14572</v>
      </c>
      <c r="R831" s="5" t="s">
        <v>16748</v>
      </c>
      <c r="T831" s="5" t="s">
        <v>5994</v>
      </c>
      <c r="U831" s="5" t="s">
        <v>14593</v>
      </c>
      <c r="V831" s="5" t="s">
        <v>67</v>
      </c>
      <c r="W831" s="5" t="s">
        <v>7336</v>
      </c>
    </row>
    <row r="832" spans="1:23" ht="12.5">
      <c r="A832" s="5">
        <v>91336</v>
      </c>
      <c r="B832" s="5" t="s">
        <v>16749</v>
      </c>
      <c r="C832" s="5">
        <v>573117821540</v>
      </c>
      <c r="D832" s="5">
        <v>53</v>
      </c>
      <c r="E832" s="5" t="s">
        <v>75</v>
      </c>
      <c r="F832" s="5" t="s">
        <v>185</v>
      </c>
      <c r="G832" s="5" t="s">
        <v>7337</v>
      </c>
      <c r="H832" s="5" t="s">
        <v>7338</v>
      </c>
      <c r="I832" s="5">
        <v>3117821540</v>
      </c>
      <c r="J832" s="12">
        <v>46048</v>
      </c>
      <c r="K832" s="11">
        <v>0.375</v>
      </c>
      <c r="M832" s="10" t="s">
        <v>14850</v>
      </c>
      <c r="N832" s="12">
        <v>46048.357283900463</v>
      </c>
      <c r="O832" s="10" t="s">
        <v>15906</v>
      </c>
      <c r="P832" s="5" t="s">
        <v>14571</v>
      </c>
      <c r="Q832" s="5" t="s">
        <v>14578</v>
      </c>
      <c r="R832" s="5" t="s">
        <v>16750</v>
      </c>
      <c r="T832" s="5" t="s">
        <v>5994</v>
      </c>
      <c r="U832" s="5" t="s">
        <v>14580</v>
      </c>
      <c r="V832" s="5" t="s">
        <v>67</v>
      </c>
    </row>
    <row r="833" spans="1:23" ht="12.5">
      <c r="A833" s="5">
        <v>91337</v>
      </c>
      <c r="B833" s="5" t="s">
        <v>16751</v>
      </c>
      <c r="C833" s="5">
        <v>573104556702</v>
      </c>
      <c r="D833" s="5">
        <v>7</v>
      </c>
      <c r="E833" s="5" t="s">
        <v>112</v>
      </c>
      <c r="F833" s="5" t="s">
        <v>307</v>
      </c>
      <c r="G833" s="5" t="s">
        <v>7343</v>
      </c>
      <c r="H833" s="5" t="s">
        <v>7344</v>
      </c>
      <c r="I833" s="5">
        <v>3104556702</v>
      </c>
      <c r="J833" s="12">
        <v>46052</v>
      </c>
      <c r="K833" s="11">
        <v>0.33333333333212067</v>
      </c>
      <c r="M833" s="10" t="s">
        <v>15128</v>
      </c>
      <c r="N833" s="12">
        <v>46048.344871041671</v>
      </c>
      <c r="O833" s="10" t="s">
        <v>15824</v>
      </c>
      <c r="P833" s="5" t="s">
        <v>14571</v>
      </c>
      <c r="Q833" s="5" t="s">
        <v>14572</v>
      </c>
      <c r="R833" s="5" t="s">
        <v>16752</v>
      </c>
      <c r="T833" s="5" t="s">
        <v>5994</v>
      </c>
      <c r="U833" s="5" t="s">
        <v>14618</v>
      </c>
      <c r="V833" s="5" t="s">
        <v>83</v>
      </c>
      <c r="W833" s="5" t="s">
        <v>7347</v>
      </c>
    </row>
    <row r="834" spans="1:23" ht="12.5">
      <c r="A834" s="5">
        <v>91338</v>
      </c>
      <c r="B834" s="5" t="s">
        <v>16753</v>
      </c>
      <c r="C834" s="5" t="s">
        <v>7350</v>
      </c>
      <c r="D834" s="5">
        <v>7</v>
      </c>
      <c r="E834" s="5" t="s">
        <v>112</v>
      </c>
      <c r="F834" s="5" t="s">
        <v>229</v>
      </c>
      <c r="G834" s="5" t="s">
        <v>7351</v>
      </c>
      <c r="H834" s="5" t="s">
        <v>7352</v>
      </c>
      <c r="I834" s="5">
        <v>3005042875</v>
      </c>
      <c r="J834" s="12">
        <v>46052</v>
      </c>
      <c r="K834" s="11">
        <v>0.31874999999854481</v>
      </c>
      <c r="M834" s="10" t="s">
        <v>16538</v>
      </c>
      <c r="N834" s="12">
        <v>46048.384520057865</v>
      </c>
      <c r="O834" s="10" t="s">
        <v>16754</v>
      </c>
      <c r="P834" s="5" t="s">
        <v>14571</v>
      </c>
      <c r="Q834" s="5" t="s">
        <v>14578</v>
      </c>
      <c r="R834" s="5" t="s">
        <v>16755</v>
      </c>
      <c r="T834" s="5" t="s">
        <v>5994</v>
      </c>
      <c r="U834" s="5"/>
      <c r="V834" s="5" t="s">
        <v>67</v>
      </c>
      <c r="W834" s="5" t="s">
        <v>7355</v>
      </c>
    </row>
    <row r="835" spans="1:23" ht="12.5">
      <c r="A835" s="5">
        <v>91339</v>
      </c>
      <c r="B835" s="5" t="s">
        <v>16756</v>
      </c>
      <c r="C835" s="5">
        <v>573046367532</v>
      </c>
      <c r="D835" s="5">
        <v>29</v>
      </c>
      <c r="E835" s="5" t="s">
        <v>7358</v>
      </c>
      <c r="F835" s="5" t="s">
        <v>103</v>
      </c>
      <c r="G835" s="5" t="s">
        <v>7357</v>
      </c>
      <c r="H835" s="5" t="s">
        <v>1609</v>
      </c>
      <c r="I835" s="5">
        <v>3046367532</v>
      </c>
      <c r="J835" s="12">
        <v>46048</v>
      </c>
      <c r="K835" s="11">
        <v>0.40277777777737356</v>
      </c>
      <c r="M835" s="10" t="s">
        <v>14653</v>
      </c>
      <c r="N835" s="12">
        <v>46048.375238136578</v>
      </c>
      <c r="O835" s="10" t="s">
        <v>16757</v>
      </c>
      <c r="P835" s="5" t="s">
        <v>14571</v>
      </c>
      <c r="Q835" s="5" t="s">
        <v>14572</v>
      </c>
      <c r="R835" s="5" t="s">
        <v>16758</v>
      </c>
      <c r="T835" s="5" t="s">
        <v>5994</v>
      </c>
      <c r="U835" s="5" t="s">
        <v>14593</v>
      </c>
      <c r="V835" s="5" t="s">
        <v>67</v>
      </c>
    </row>
    <row r="836" spans="1:23" ht="12.5">
      <c r="A836" s="5">
        <v>91340</v>
      </c>
      <c r="B836" s="5" t="s">
        <v>7361</v>
      </c>
      <c r="C836" s="10" t="s">
        <v>16759</v>
      </c>
      <c r="D836" s="5">
        <v>56</v>
      </c>
      <c r="E836" s="5" t="s">
        <v>1102</v>
      </c>
      <c r="F836" s="5" t="s">
        <v>33</v>
      </c>
      <c r="G836" s="5" t="s">
        <v>7361</v>
      </c>
      <c r="H836" s="5" t="s">
        <v>34</v>
      </c>
      <c r="I836" s="5">
        <v>3002605603</v>
      </c>
      <c r="J836" s="12">
        <v>46048</v>
      </c>
      <c r="K836" s="11">
        <v>0.41666666666666669</v>
      </c>
      <c r="M836" s="10" t="s">
        <v>14569</v>
      </c>
      <c r="N836" s="12">
        <v>46048</v>
      </c>
      <c r="O836" s="10" t="s">
        <v>16757</v>
      </c>
      <c r="P836" s="5" t="s">
        <v>14571</v>
      </c>
      <c r="Q836" s="5" t="s">
        <v>14578</v>
      </c>
      <c r="R836" s="5" t="s">
        <v>16760</v>
      </c>
      <c r="T836" s="5" t="s">
        <v>14574</v>
      </c>
      <c r="U836" s="5" t="s">
        <v>33</v>
      </c>
      <c r="V836" s="5" t="s">
        <v>67</v>
      </c>
      <c r="W836" s="5" t="s">
        <v>7362</v>
      </c>
    </row>
    <row r="837" spans="1:23" ht="12.5">
      <c r="A837" s="5">
        <v>91341</v>
      </c>
      <c r="B837" s="5" t="s">
        <v>15819</v>
      </c>
      <c r="C837" s="5">
        <v>573003716174</v>
      </c>
      <c r="D837" s="5">
        <v>71</v>
      </c>
      <c r="E837" s="5" t="s">
        <v>734</v>
      </c>
      <c r="F837" s="5" t="s">
        <v>73</v>
      </c>
      <c r="G837" s="5" t="s">
        <v>7363</v>
      </c>
      <c r="H837" s="5" t="s">
        <v>7364</v>
      </c>
      <c r="I837" s="5"/>
      <c r="J837" s="12">
        <v>46048</v>
      </c>
      <c r="K837" s="11">
        <v>0.45833333333212067</v>
      </c>
      <c r="M837" s="10" t="s">
        <v>16470</v>
      </c>
      <c r="N837" s="12">
        <v>46048.442338344903</v>
      </c>
      <c r="O837" s="10" t="s">
        <v>15503</v>
      </c>
      <c r="P837" s="5" t="s">
        <v>14571</v>
      </c>
      <c r="Q837" s="5" t="s">
        <v>14578</v>
      </c>
      <c r="R837" s="5" t="s">
        <v>16761</v>
      </c>
      <c r="T837" s="5" t="s">
        <v>5994</v>
      </c>
      <c r="U837" s="5" t="s">
        <v>14593</v>
      </c>
      <c r="V837" s="5" t="s">
        <v>83</v>
      </c>
    </row>
    <row r="838" spans="1:23" ht="12.5">
      <c r="A838" s="5">
        <v>91342</v>
      </c>
      <c r="B838" s="5" t="s">
        <v>16762</v>
      </c>
      <c r="C838" s="5">
        <v>573233385903</v>
      </c>
      <c r="D838" s="5">
        <v>52</v>
      </c>
      <c r="E838" s="5" t="s">
        <v>178</v>
      </c>
      <c r="F838" s="5" t="s">
        <v>73</v>
      </c>
      <c r="G838" s="5" t="s">
        <v>7367</v>
      </c>
      <c r="H838" s="5" t="s">
        <v>7368</v>
      </c>
      <c r="I838" s="5">
        <v>3233385903</v>
      </c>
      <c r="J838" s="12">
        <v>46048</v>
      </c>
      <c r="K838" s="11">
        <v>0.49166666666496894</v>
      </c>
      <c r="M838" s="10" t="s">
        <v>15043</v>
      </c>
      <c r="N838" s="12">
        <v>46048.463866747683</v>
      </c>
      <c r="O838" s="10" t="s">
        <v>16287</v>
      </c>
      <c r="P838" s="5" t="s">
        <v>14571</v>
      </c>
      <c r="Q838" s="5" t="s">
        <v>14572</v>
      </c>
      <c r="R838" s="5" t="s">
        <v>16763</v>
      </c>
      <c r="T838" s="5" t="s">
        <v>5994</v>
      </c>
      <c r="U838" s="5" t="s">
        <v>14593</v>
      </c>
      <c r="V838" s="5" t="s">
        <v>67</v>
      </c>
    </row>
    <row r="839" spans="1:23" ht="12.5">
      <c r="A839" s="5">
        <v>91343</v>
      </c>
      <c r="B839" s="5" t="s">
        <v>16764</v>
      </c>
      <c r="C839" s="5">
        <v>573008100866</v>
      </c>
      <c r="D839" s="5">
        <v>30</v>
      </c>
      <c r="E839" s="5" t="s">
        <v>156</v>
      </c>
      <c r="F839" s="5" t="s">
        <v>975</v>
      </c>
      <c r="G839" s="5" t="s">
        <v>2891</v>
      </c>
      <c r="H839" s="5" t="s">
        <v>7370</v>
      </c>
      <c r="I839" s="5">
        <v>3007274584</v>
      </c>
      <c r="J839" s="12">
        <v>46049</v>
      </c>
      <c r="K839" s="11">
        <v>0</v>
      </c>
      <c r="M839" s="10" t="s">
        <v>14627</v>
      </c>
      <c r="N839" s="12">
        <v>46048.452606469902</v>
      </c>
      <c r="O839" s="10" t="s">
        <v>16004</v>
      </c>
      <c r="P839" s="5" t="s">
        <v>14571</v>
      </c>
      <c r="Q839" s="5" t="s">
        <v>14612</v>
      </c>
      <c r="R839" s="5" t="s">
        <v>16765</v>
      </c>
      <c r="T839" s="5" t="s">
        <v>5994</v>
      </c>
      <c r="U839" s="5" t="s">
        <v>14593</v>
      </c>
      <c r="V839" s="5" t="s">
        <v>1937</v>
      </c>
      <c r="W839" s="5" t="s">
        <v>7373</v>
      </c>
    </row>
    <row r="840" spans="1:23" ht="12.5">
      <c r="A840" s="5">
        <v>91344</v>
      </c>
      <c r="B840" s="5" t="s">
        <v>7376</v>
      </c>
      <c r="C840" s="10" t="s">
        <v>16766</v>
      </c>
      <c r="D840" s="5">
        <v>95</v>
      </c>
      <c r="E840" s="5" t="s">
        <v>42</v>
      </c>
      <c r="F840" s="5" t="s">
        <v>33</v>
      </c>
      <c r="G840" s="5" t="s">
        <v>7376</v>
      </c>
      <c r="H840" s="5" t="s">
        <v>34</v>
      </c>
      <c r="I840" s="5">
        <v>58917936</v>
      </c>
      <c r="J840" s="12">
        <v>46048</v>
      </c>
      <c r="K840" s="11">
        <v>0</v>
      </c>
      <c r="M840" s="10" t="s">
        <v>15881</v>
      </c>
      <c r="N840" s="12">
        <v>46048</v>
      </c>
      <c r="O840" s="10" t="s">
        <v>15288</v>
      </c>
      <c r="P840" s="5" t="s">
        <v>14571</v>
      </c>
      <c r="Q840" s="5" t="s">
        <v>14572</v>
      </c>
      <c r="R840" s="5" t="s">
        <v>16767</v>
      </c>
      <c r="T840" s="5" t="s">
        <v>14574</v>
      </c>
      <c r="U840" s="5" t="s">
        <v>33</v>
      </c>
      <c r="V840" s="5" t="s">
        <v>196</v>
      </c>
    </row>
    <row r="841" spans="1:23" ht="12.5">
      <c r="A841" s="5">
        <v>91345</v>
      </c>
      <c r="B841" s="5" t="s">
        <v>16768</v>
      </c>
      <c r="C841" s="5">
        <v>573107083669</v>
      </c>
      <c r="D841" s="5">
        <v>31</v>
      </c>
      <c r="E841" s="5" t="s">
        <v>375</v>
      </c>
      <c r="F841" s="5" t="s">
        <v>2509</v>
      </c>
      <c r="G841" s="5" t="s">
        <v>7379</v>
      </c>
      <c r="H841" s="5" t="s">
        <v>7380</v>
      </c>
      <c r="I841" s="5" t="s">
        <v>7381</v>
      </c>
      <c r="J841" s="12">
        <v>46048</v>
      </c>
      <c r="K841" s="11">
        <v>2.0833333328482695E-3</v>
      </c>
      <c r="M841" s="10" t="s">
        <v>14627</v>
      </c>
      <c r="N841" s="12">
        <v>46048.48103520833</v>
      </c>
      <c r="O841" s="10" t="s">
        <v>15288</v>
      </c>
      <c r="P841" s="5" t="s">
        <v>14571</v>
      </c>
      <c r="Q841" s="5" t="s">
        <v>14612</v>
      </c>
      <c r="R841" s="5" t="s">
        <v>16769</v>
      </c>
      <c r="T841" s="5" t="s">
        <v>5994</v>
      </c>
      <c r="U841" s="5" t="s">
        <v>16770</v>
      </c>
      <c r="V841" s="5" t="s">
        <v>67</v>
      </c>
      <c r="W841" s="5" t="s">
        <v>7383</v>
      </c>
    </row>
    <row r="842" spans="1:23" ht="12.5">
      <c r="A842" s="5">
        <v>91346</v>
      </c>
      <c r="B842" s="5" t="s">
        <v>7385</v>
      </c>
      <c r="C842" s="5">
        <v>573107676333</v>
      </c>
      <c r="D842" s="5">
        <v>95</v>
      </c>
      <c r="E842" s="5" t="s">
        <v>42</v>
      </c>
      <c r="F842" s="5" t="s">
        <v>33</v>
      </c>
      <c r="G842" s="5" t="s">
        <v>7385</v>
      </c>
      <c r="H842" s="5" t="s">
        <v>34</v>
      </c>
      <c r="I842" s="5" t="s">
        <v>7386</v>
      </c>
      <c r="J842" s="12">
        <v>46048</v>
      </c>
      <c r="K842" s="11">
        <v>0</v>
      </c>
      <c r="M842" s="10" t="s">
        <v>14863</v>
      </c>
      <c r="N842" s="12">
        <v>46048.490657037037</v>
      </c>
      <c r="O842" s="10" t="s">
        <v>14644</v>
      </c>
      <c r="P842" s="5" t="s">
        <v>14571</v>
      </c>
      <c r="Q842" s="5" t="s">
        <v>14572</v>
      </c>
      <c r="R842" s="5" t="s">
        <v>16771</v>
      </c>
      <c r="T842" s="5" t="s">
        <v>14574</v>
      </c>
      <c r="U842" s="5" t="s">
        <v>33</v>
      </c>
      <c r="V842" s="5" t="s">
        <v>196</v>
      </c>
      <c r="W842" s="5" t="s">
        <v>7387</v>
      </c>
    </row>
    <row r="843" spans="1:23" ht="12.5">
      <c r="A843" s="5">
        <v>91347</v>
      </c>
      <c r="B843" s="5" t="s">
        <v>16772</v>
      </c>
      <c r="C843" s="5">
        <v>57216624895</v>
      </c>
      <c r="D843" s="5">
        <v>25</v>
      </c>
      <c r="E843" s="5" t="s">
        <v>1792</v>
      </c>
      <c r="F843" s="5" t="s">
        <v>33</v>
      </c>
      <c r="G843" s="5" t="s">
        <v>7390</v>
      </c>
      <c r="H843" s="5" t="s">
        <v>7391</v>
      </c>
      <c r="I843" s="5">
        <v>3216624895</v>
      </c>
      <c r="J843" s="12">
        <v>46048</v>
      </c>
      <c r="K843" s="11">
        <v>1.5277777776645962E-2</v>
      </c>
      <c r="M843" s="10" t="s">
        <v>15384</v>
      </c>
      <c r="N843" s="12">
        <v>46048.485503229167</v>
      </c>
      <c r="O843" s="10" t="s">
        <v>14977</v>
      </c>
      <c r="P843" s="5" t="s">
        <v>14571</v>
      </c>
      <c r="Q843" s="5" t="s">
        <v>14578</v>
      </c>
      <c r="R843" s="5" t="s">
        <v>16773</v>
      </c>
      <c r="T843" s="5" t="s">
        <v>14574</v>
      </c>
      <c r="U843" s="5" t="s">
        <v>33</v>
      </c>
      <c r="V843" s="5" t="s">
        <v>67</v>
      </c>
    </row>
    <row r="844" spans="1:23" ht="12.5">
      <c r="A844" s="5">
        <v>91348</v>
      </c>
      <c r="B844" s="5" t="s">
        <v>16774</v>
      </c>
      <c r="C844" s="5">
        <v>573133463333</v>
      </c>
      <c r="D844" s="5">
        <v>64</v>
      </c>
      <c r="E844" s="5" t="s">
        <v>133</v>
      </c>
      <c r="F844" s="5" t="s">
        <v>103</v>
      </c>
      <c r="G844" s="5" t="s">
        <v>7396</v>
      </c>
      <c r="H844" s="5" t="s">
        <v>7397</v>
      </c>
      <c r="J844" s="12">
        <v>46048</v>
      </c>
      <c r="K844" s="11">
        <v>0.54166666666787933</v>
      </c>
      <c r="M844" s="10" t="s">
        <v>15384</v>
      </c>
      <c r="N844" s="12">
        <v>46048.496961608791</v>
      </c>
      <c r="O844" s="10" t="s">
        <v>15690</v>
      </c>
      <c r="P844" s="5" t="s">
        <v>14571</v>
      </c>
      <c r="Q844" s="5" t="s">
        <v>14572</v>
      </c>
      <c r="R844" s="5" t="s">
        <v>16775</v>
      </c>
      <c r="T844" s="5" t="s">
        <v>5994</v>
      </c>
      <c r="U844" s="5" t="s">
        <v>14593</v>
      </c>
      <c r="V844" s="5" t="s">
        <v>83</v>
      </c>
      <c r="W844" s="5" t="s">
        <v>7400</v>
      </c>
    </row>
    <row r="845" spans="1:23" ht="12.5">
      <c r="A845" s="5">
        <v>91349</v>
      </c>
      <c r="B845" s="5" t="s">
        <v>6561</v>
      </c>
      <c r="C845" s="5">
        <v>573103633466</v>
      </c>
      <c r="D845" s="5">
        <v>95</v>
      </c>
      <c r="E845" s="5" t="s">
        <v>42</v>
      </c>
      <c r="G845" s="5" t="s">
        <v>6561</v>
      </c>
      <c r="H845" s="5" t="s">
        <v>7401</v>
      </c>
      <c r="J845" s="12">
        <v>46049</v>
      </c>
      <c r="K845" s="11">
        <v>0</v>
      </c>
      <c r="M845" s="10" t="s">
        <v>2686</v>
      </c>
      <c r="N845" s="12">
        <v>46055.510381944448</v>
      </c>
      <c r="O845" s="10" t="s">
        <v>15141</v>
      </c>
      <c r="P845" s="5" t="s">
        <v>14571</v>
      </c>
      <c r="Q845" s="5" t="s">
        <v>14572</v>
      </c>
      <c r="R845" s="5" t="s">
        <v>16776</v>
      </c>
      <c r="T845" s="5" t="s">
        <v>5994</v>
      </c>
      <c r="V845" s="5" t="s">
        <v>43</v>
      </c>
      <c r="W845" s="5" t="s">
        <v>7402</v>
      </c>
    </row>
    <row r="846" spans="1:23" ht="12.5">
      <c r="A846" s="5">
        <v>91350</v>
      </c>
      <c r="B846" s="5" t="s">
        <v>16777</v>
      </c>
      <c r="C846" s="5">
        <v>573244058616</v>
      </c>
      <c r="D846" s="5" t="s">
        <v>16778</v>
      </c>
      <c r="E846" s="5" t="s">
        <v>7407</v>
      </c>
      <c r="F846" s="5" t="s">
        <v>63</v>
      </c>
      <c r="G846" s="5" t="s">
        <v>7404</v>
      </c>
      <c r="H846" s="5" t="s">
        <v>7405</v>
      </c>
      <c r="I846" s="5" t="s">
        <v>7406</v>
      </c>
      <c r="J846" s="12">
        <v>46049</v>
      </c>
      <c r="K846" s="11">
        <v>0.32361111111094942</v>
      </c>
      <c r="M846" s="10" t="s">
        <v>16003</v>
      </c>
      <c r="N846" s="12">
        <v>46048.528553587967</v>
      </c>
      <c r="O846" s="10" t="s">
        <v>16597</v>
      </c>
      <c r="P846" s="5" t="s">
        <v>14571</v>
      </c>
      <c r="Q846" s="5" t="s">
        <v>14612</v>
      </c>
      <c r="R846" s="5" t="s">
        <v>16779</v>
      </c>
      <c r="T846" s="5" t="s">
        <v>5994</v>
      </c>
      <c r="U846" s="5" t="s">
        <v>14598</v>
      </c>
      <c r="V846" s="5" t="s">
        <v>83</v>
      </c>
      <c r="W846" s="5" t="s">
        <v>7410</v>
      </c>
    </row>
    <row r="847" spans="1:23" ht="12.5">
      <c r="A847" s="5">
        <v>91351</v>
      </c>
      <c r="B847" s="5" t="s">
        <v>7415</v>
      </c>
      <c r="C847" s="5">
        <v>573007656538</v>
      </c>
      <c r="D847" s="5">
        <v>41</v>
      </c>
      <c r="E847" s="5" t="s">
        <v>89</v>
      </c>
      <c r="F847" s="5" t="s">
        <v>249</v>
      </c>
      <c r="G847" s="5" t="s">
        <v>7412</v>
      </c>
      <c r="H847" s="5" t="s">
        <v>7413</v>
      </c>
      <c r="I847" s="5">
        <v>3005032782</v>
      </c>
      <c r="J847" s="12">
        <v>46049</v>
      </c>
      <c r="K847" s="11">
        <v>0.33333333333212067</v>
      </c>
      <c r="M847" s="10" t="s">
        <v>14740</v>
      </c>
      <c r="N847" s="12">
        <v>46048.58004325231</v>
      </c>
      <c r="O847" s="10" t="s">
        <v>16074</v>
      </c>
      <c r="P847" s="5" t="s">
        <v>14571</v>
      </c>
      <c r="Q847" s="5" t="s">
        <v>14578</v>
      </c>
      <c r="R847" s="5" t="s">
        <v>16780</v>
      </c>
      <c r="T847" s="5" t="s">
        <v>5994</v>
      </c>
      <c r="U847" s="5" t="s">
        <v>14593</v>
      </c>
      <c r="V847" s="5" t="s">
        <v>67</v>
      </c>
      <c r="W847" s="5" t="s">
        <v>7416</v>
      </c>
    </row>
    <row r="848" spans="1:23" ht="12.5">
      <c r="A848" s="5">
        <v>91352</v>
      </c>
      <c r="B848" s="5" t="s">
        <v>16781</v>
      </c>
      <c r="C848" s="5">
        <v>573114032961</v>
      </c>
      <c r="D848" s="5">
        <v>25</v>
      </c>
      <c r="E848" s="5" t="s">
        <v>1792</v>
      </c>
      <c r="F848" s="5" t="s">
        <v>161</v>
      </c>
      <c r="G848" s="5" t="s">
        <v>7419</v>
      </c>
      <c r="H848" s="5" t="s">
        <v>7420</v>
      </c>
      <c r="I848" s="5">
        <v>3017425195</v>
      </c>
      <c r="J848" s="12">
        <v>46048</v>
      </c>
      <c r="K848" s="11">
        <v>0.3125</v>
      </c>
      <c r="M848" s="10" t="s">
        <v>14576</v>
      </c>
      <c r="N848" s="12">
        <v>46048.587428969906</v>
      </c>
      <c r="O848" s="10" t="s">
        <v>16782</v>
      </c>
      <c r="P848" s="5" t="s">
        <v>14571</v>
      </c>
      <c r="Q848" s="5" t="s">
        <v>14572</v>
      </c>
      <c r="R848" s="5" t="s">
        <v>16783</v>
      </c>
      <c r="T848" s="5" t="s">
        <v>5994</v>
      </c>
      <c r="U848" s="5" t="s">
        <v>14593</v>
      </c>
      <c r="V848" s="5" t="s">
        <v>2438</v>
      </c>
    </row>
    <row r="849" spans="1:23" ht="12.5">
      <c r="A849" s="5">
        <v>91353</v>
      </c>
      <c r="B849" s="5" t="s">
        <v>16784</v>
      </c>
      <c r="C849" s="5">
        <v>573057936226</v>
      </c>
      <c r="D849" s="5">
        <v>30</v>
      </c>
      <c r="E849" s="5" t="s">
        <v>156</v>
      </c>
      <c r="F849" s="5" t="s">
        <v>33</v>
      </c>
      <c r="G849" s="5" t="s">
        <v>7421</v>
      </c>
      <c r="H849" s="5" t="s">
        <v>34</v>
      </c>
      <c r="J849" s="12">
        <v>46048</v>
      </c>
      <c r="K849" s="11">
        <v>0.66666666666787933</v>
      </c>
      <c r="M849" s="10" t="s">
        <v>14585</v>
      </c>
      <c r="N849" s="12">
        <v>46048.597084027773</v>
      </c>
      <c r="O849" s="10" t="s">
        <v>16785</v>
      </c>
      <c r="P849" s="5" t="s">
        <v>14571</v>
      </c>
      <c r="Q849" s="5" t="s">
        <v>14578</v>
      </c>
      <c r="R849" s="5" t="s">
        <v>16786</v>
      </c>
      <c r="T849" s="5" t="s">
        <v>14574</v>
      </c>
      <c r="U849" s="5" t="s">
        <v>33</v>
      </c>
      <c r="V849" s="5" t="s">
        <v>67</v>
      </c>
    </row>
    <row r="850" spans="1:23" ht="12.5">
      <c r="A850" s="5">
        <v>91354</v>
      </c>
      <c r="B850" s="5" t="s">
        <v>16787</v>
      </c>
      <c r="C850" s="5">
        <v>573002627762</v>
      </c>
      <c r="D850" s="5" t="s">
        <v>14589</v>
      </c>
      <c r="E850" s="5" t="s">
        <v>7424</v>
      </c>
      <c r="F850" s="5" t="s">
        <v>33</v>
      </c>
      <c r="G850" s="5" t="s">
        <v>4674</v>
      </c>
      <c r="H850" s="5" t="s">
        <v>34</v>
      </c>
      <c r="I850" s="5">
        <v>3002627762</v>
      </c>
      <c r="J850" s="12">
        <v>46048</v>
      </c>
      <c r="K850" s="11">
        <v>0</v>
      </c>
      <c r="M850" s="10" t="s">
        <v>16788</v>
      </c>
      <c r="N850" s="12">
        <v>46048.638365057872</v>
      </c>
      <c r="O850" s="10" t="s">
        <v>15947</v>
      </c>
      <c r="P850" s="5" t="s">
        <v>14571</v>
      </c>
      <c r="Q850" s="5" t="s">
        <v>14612</v>
      </c>
      <c r="R850" s="5" t="s">
        <v>16789</v>
      </c>
      <c r="T850" s="5" t="s">
        <v>14574</v>
      </c>
      <c r="U850" s="5" t="s">
        <v>33</v>
      </c>
      <c r="V850" s="5" t="s">
        <v>43</v>
      </c>
      <c r="W850" s="5" t="s">
        <v>7425</v>
      </c>
    </row>
    <row r="851" spans="1:23" ht="12.5">
      <c r="A851" s="5">
        <v>91355</v>
      </c>
      <c r="B851" s="5" t="s">
        <v>7427</v>
      </c>
      <c r="C851" s="5">
        <v>573197596099</v>
      </c>
      <c r="D851" s="5">
        <v>53</v>
      </c>
      <c r="E851" s="5" t="s">
        <v>75</v>
      </c>
      <c r="F851" s="5" t="s">
        <v>33</v>
      </c>
      <c r="G851" s="5" t="s">
        <v>7427</v>
      </c>
      <c r="H851" s="5" t="s">
        <v>34</v>
      </c>
      <c r="I851" s="5">
        <v>3197596099</v>
      </c>
      <c r="J851" s="12">
        <v>46048</v>
      </c>
      <c r="K851" s="11">
        <v>0</v>
      </c>
      <c r="M851" s="10" t="s">
        <v>14585</v>
      </c>
      <c r="N851" s="12">
        <v>46048.642140787037</v>
      </c>
      <c r="O851" s="10" t="s">
        <v>16790</v>
      </c>
      <c r="P851" s="5" t="s">
        <v>14571</v>
      </c>
      <c r="Q851" s="5" t="s">
        <v>14572</v>
      </c>
      <c r="R851" s="5" t="s">
        <v>16791</v>
      </c>
      <c r="T851" s="5" t="s">
        <v>14574</v>
      </c>
      <c r="U851" s="5" t="s">
        <v>33</v>
      </c>
      <c r="V851" s="5" t="s">
        <v>196</v>
      </c>
    </row>
    <row r="852" spans="1:23" ht="12.5">
      <c r="A852" s="5">
        <v>91356</v>
      </c>
      <c r="B852" s="5" t="s">
        <v>3007</v>
      </c>
      <c r="C852" s="5">
        <v>573157132910</v>
      </c>
      <c r="D852" s="5">
        <v>53</v>
      </c>
      <c r="E852" s="5" t="s">
        <v>75</v>
      </c>
      <c r="F852" s="5" t="s">
        <v>33</v>
      </c>
      <c r="G852" s="5" t="s">
        <v>3007</v>
      </c>
      <c r="H852" s="5" t="s">
        <v>34</v>
      </c>
      <c r="I852" s="5">
        <v>3157132910</v>
      </c>
      <c r="J852" s="12">
        <v>46048</v>
      </c>
      <c r="K852" s="11">
        <v>0.70833333333212067</v>
      </c>
      <c r="M852" s="10" t="s">
        <v>14585</v>
      </c>
      <c r="N852" s="12">
        <v>46048.677154606485</v>
      </c>
      <c r="O852" s="10" t="s">
        <v>16792</v>
      </c>
      <c r="P852" s="5" t="s">
        <v>14571</v>
      </c>
      <c r="Q852" s="5" t="s">
        <v>14578</v>
      </c>
      <c r="R852" s="5" t="s">
        <v>16793</v>
      </c>
      <c r="T852" s="5" t="s">
        <v>14574</v>
      </c>
      <c r="U852" s="5" t="s">
        <v>33</v>
      </c>
      <c r="V852" s="5" t="s">
        <v>1705</v>
      </c>
    </row>
    <row r="853" spans="1:23" ht="12.5">
      <c r="A853" s="5">
        <v>91357</v>
      </c>
      <c r="B853" s="5" t="s">
        <v>7430</v>
      </c>
      <c r="C853" s="5">
        <v>573023473900</v>
      </c>
      <c r="D853" s="5">
        <v>53</v>
      </c>
      <c r="E853" s="5" t="s">
        <v>75</v>
      </c>
      <c r="F853" s="5" t="s">
        <v>33</v>
      </c>
      <c r="G853" s="5" t="s">
        <v>7430</v>
      </c>
      <c r="H853" s="5" t="s">
        <v>34</v>
      </c>
      <c r="I853" s="5">
        <v>3023473900</v>
      </c>
      <c r="J853" s="12">
        <v>46048</v>
      </c>
      <c r="K853" s="11">
        <v>0</v>
      </c>
      <c r="M853" s="10" t="s">
        <v>14585</v>
      </c>
      <c r="N853" s="12">
        <v>46048.70926664352</v>
      </c>
      <c r="O853" s="10" t="s">
        <v>15216</v>
      </c>
      <c r="P853" s="5" t="s">
        <v>14571</v>
      </c>
      <c r="Q853" s="5" t="s">
        <v>14699</v>
      </c>
      <c r="R853" s="5" t="s">
        <v>16794</v>
      </c>
      <c r="T853" s="5" t="s">
        <v>14574</v>
      </c>
      <c r="U853" s="5" t="s">
        <v>33</v>
      </c>
      <c r="V853" s="5" t="s">
        <v>1705</v>
      </c>
    </row>
    <row r="854" spans="1:23" ht="12.5">
      <c r="A854" s="5">
        <v>91358</v>
      </c>
      <c r="B854" s="5" t="s">
        <v>8664</v>
      </c>
      <c r="C854" s="5">
        <v>573147791720</v>
      </c>
      <c r="D854" s="5" t="s">
        <v>14589</v>
      </c>
      <c r="E854" s="5" t="s">
        <v>525</v>
      </c>
      <c r="F854" s="5" t="s">
        <v>33</v>
      </c>
      <c r="G854" s="5" t="s">
        <v>2159</v>
      </c>
      <c r="H854" s="5" t="s">
        <v>34</v>
      </c>
      <c r="I854" s="5" t="s">
        <v>7432</v>
      </c>
      <c r="J854" s="12">
        <v>46048</v>
      </c>
      <c r="K854" s="11">
        <v>0</v>
      </c>
      <c r="M854" s="10" t="s">
        <v>16795</v>
      </c>
      <c r="N854" s="12">
        <v>46048.724487719912</v>
      </c>
      <c r="O854" s="10" t="s">
        <v>15213</v>
      </c>
      <c r="P854" s="5" t="s">
        <v>14571</v>
      </c>
      <c r="Q854" s="5" t="s">
        <v>14578</v>
      </c>
      <c r="R854" s="5" t="s">
        <v>16796</v>
      </c>
      <c r="T854" s="5" t="s">
        <v>14574</v>
      </c>
      <c r="U854" s="5" t="s">
        <v>33</v>
      </c>
      <c r="V854" s="5" t="s">
        <v>43</v>
      </c>
    </row>
    <row r="855" spans="1:23" ht="12.5">
      <c r="A855" s="5">
        <v>91359</v>
      </c>
      <c r="B855" s="5" t="s">
        <v>3054</v>
      </c>
      <c r="C855" s="5">
        <v>573157740283</v>
      </c>
      <c r="D855" s="5">
        <v>49</v>
      </c>
      <c r="E855" s="5" t="s">
        <v>380</v>
      </c>
      <c r="F855" s="5" t="s">
        <v>33</v>
      </c>
      <c r="G855" s="5" t="s">
        <v>3054</v>
      </c>
      <c r="H855" s="5" t="s">
        <v>34</v>
      </c>
      <c r="I855" s="5">
        <v>3157740283</v>
      </c>
      <c r="J855" s="12">
        <v>46048</v>
      </c>
      <c r="K855" s="11">
        <v>0</v>
      </c>
      <c r="M855" s="10" t="s">
        <v>16797</v>
      </c>
      <c r="N855" s="12">
        <v>46048.768299594907</v>
      </c>
      <c r="O855" s="10" t="s">
        <v>15742</v>
      </c>
      <c r="P855" s="5" t="s">
        <v>14571</v>
      </c>
      <c r="Q855" s="5" t="s">
        <v>14572</v>
      </c>
      <c r="R855" s="5" t="s">
        <v>16798</v>
      </c>
      <c r="T855" s="5" t="s">
        <v>14574</v>
      </c>
      <c r="U855" s="5" t="s">
        <v>33</v>
      </c>
      <c r="V855" s="5" t="s">
        <v>196</v>
      </c>
    </row>
    <row r="856" spans="1:23" ht="12.5">
      <c r="A856" s="5">
        <v>91360</v>
      </c>
      <c r="B856" s="5" t="s">
        <v>16799</v>
      </c>
      <c r="C856" s="5">
        <v>573229149552</v>
      </c>
      <c r="D856" s="5">
        <v>2</v>
      </c>
      <c r="E856" s="5" t="s">
        <v>1251</v>
      </c>
      <c r="F856" s="5" t="s">
        <v>73</v>
      </c>
      <c r="G856" s="5" t="s">
        <v>7435</v>
      </c>
      <c r="H856" s="5" t="s">
        <v>7436</v>
      </c>
      <c r="J856" s="12">
        <v>46049</v>
      </c>
      <c r="K856" s="11">
        <v>0</v>
      </c>
      <c r="M856" s="10" t="s">
        <v>16558</v>
      </c>
      <c r="N856" s="12">
        <v>46048.77954581019</v>
      </c>
      <c r="O856" s="10" t="s">
        <v>16800</v>
      </c>
      <c r="P856" s="5" t="s">
        <v>14571</v>
      </c>
      <c r="Q856" s="5" t="s">
        <v>14578</v>
      </c>
      <c r="R856" s="5" t="s">
        <v>16801</v>
      </c>
      <c r="T856" s="5" t="s">
        <v>5994</v>
      </c>
      <c r="U856" s="5" t="s">
        <v>14593</v>
      </c>
      <c r="V856" s="5" t="s">
        <v>83</v>
      </c>
      <c r="W856" s="5" t="s">
        <v>7437</v>
      </c>
    </row>
    <row r="857" spans="1:23" ht="12.5">
      <c r="A857" s="5">
        <v>91361</v>
      </c>
      <c r="B857" s="5" t="s">
        <v>7439</v>
      </c>
      <c r="C857" s="5">
        <v>573015789870</v>
      </c>
      <c r="D857" s="5">
        <v>52</v>
      </c>
      <c r="E857" s="5" t="s">
        <v>178</v>
      </c>
      <c r="F857" s="5" t="s">
        <v>33</v>
      </c>
      <c r="G857" s="5" t="s">
        <v>7439</v>
      </c>
      <c r="H857" s="5" t="s">
        <v>34</v>
      </c>
      <c r="I857" s="5">
        <v>3015789870</v>
      </c>
      <c r="J857" s="12">
        <v>46049</v>
      </c>
      <c r="K857" s="11">
        <v>0</v>
      </c>
      <c r="M857" s="10" t="s">
        <v>15161</v>
      </c>
      <c r="N857" s="12">
        <v>46049.311509594903</v>
      </c>
      <c r="O857" s="10" t="s">
        <v>16802</v>
      </c>
      <c r="P857" s="5" t="s">
        <v>14571</v>
      </c>
      <c r="Q857" s="5" t="s">
        <v>14699</v>
      </c>
      <c r="R857" s="5" t="s">
        <v>16803</v>
      </c>
      <c r="T857" s="5" t="s">
        <v>14574</v>
      </c>
      <c r="U857" s="5" t="s">
        <v>33</v>
      </c>
      <c r="V857" s="5" t="s">
        <v>1705</v>
      </c>
      <c r="W857" s="5"/>
    </row>
    <row r="858" spans="1:23" ht="12.5">
      <c r="A858" s="5">
        <v>91362</v>
      </c>
      <c r="B858" s="5" t="s">
        <v>7441</v>
      </c>
      <c r="C858" s="5">
        <v>570000</v>
      </c>
      <c r="D858" s="5">
        <v>95</v>
      </c>
      <c r="E858" s="5" t="s">
        <v>42</v>
      </c>
      <c r="F858" s="5" t="s">
        <v>33</v>
      </c>
      <c r="G858" s="5" t="s">
        <v>7441</v>
      </c>
      <c r="H858" s="5" t="s">
        <v>34</v>
      </c>
      <c r="I858" s="10" t="s">
        <v>2686</v>
      </c>
      <c r="J858" s="12">
        <v>46049</v>
      </c>
      <c r="K858" s="11">
        <v>0</v>
      </c>
      <c r="M858" s="10" t="s">
        <v>15011</v>
      </c>
      <c r="N858" s="12">
        <v>46049.315144305554</v>
      </c>
      <c r="O858" s="10" t="s">
        <v>16804</v>
      </c>
      <c r="P858" s="5" t="s">
        <v>14571</v>
      </c>
      <c r="Q858" s="5" t="s">
        <v>14699</v>
      </c>
      <c r="R858" s="5" t="s">
        <v>16805</v>
      </c>
      <c r="T858" s="5" t="s">
        <v>14574</v>
      </c>
      <c r="U858" s="5" t="s">
        <v>33</v>
      </c>
      <c r="V858" s="5" t="s">
        <v>67</v>
      </c>
      <c r="W858" s="5" t="s">
        <v>1286</v>
      </c>
    </row>
    <row r="859" spans="1:23" ht="12.5">
      <c r="A859" s="5">
        <v>91363</v>
      </c>
      <c r="B859" s="5" t="s">
        <v>4232</v>
      </c>
      <c r="C859" s="5">
        <v>573013638788</v>
      </c>
      <c r="D859" s="5">
        <v>95</v>
      </c>
      <c r="E859" s="5" t="s">
        <v>42</v>
      </c>
      <c r="G859" s="5" t="s">
        <v>4232</v>
      </c>
      <c r="H859" s="5" t="s">
        <v>7443</v>
      </c>
      <c r="I859" s="5" t="s">
        <v>7444</v>
      </c>
      <c r="J859" s="12">
        <v>46049</v>
      </c>
      <c r="K859" s="11">
        <v>0</v>
      </c>
      <c r="M859" s="10" t="s">
        <v>14850</v>
      </c>
      <c r="N859" s="12">
        <v>46049.342054004628</v>
      </c>
      <c r="O859" s="10" t="s">
        <v>16806</v>
      </c>
      <c r="P859" s="5" t="s">
        <v>14571</v>
      </c>
      <c r="Q859" s="5" t="s">
        <v>14572</v>
      </c>
      <c r="R859" s="5" t="s">
        <v>16807</v>
      </c>
      <c r="T859" s="5" t="s">
        <v>5994</v>
      </c>
      <c r="V859" s="5" t="s">
        <v>67</v>
      </c>
      <c r="W859" s="5" t="s">
        <v>7445</v>
      </c>
    </row>
    <row r="860" spans="1:23" ht="12.5">
      <c r="A860" s="5">
        <v>91364</v>
      </c>
      <c r="B860" s="5" t="s">
        <v>7446</v>
      </c>
      <c r="C860" s="5">
        <v>573182278250</v>
      </c>
      <c r="D860" s="5">
        <v>95</v>
      </c>
      <c r="E860" s="5" t="s">
        <v>42</v>
      </c>
      <c r="F860" s="5" t="s">
        <v>33</v>
      </c>
      <c r="G860" s="5" t="s">
        <v>7446</v>
      </c>
      <c r="H860" s="5" t="s">
        <v>34</v>
      </c>
      <c r="I860" s="5">
        <v>3182278250</v>
      </c>
      <c r="J860" s="12">
        <v>46049</v>
      </c>
      <c r="K860" s="11">
        <v>0.375</v>
      </c>
      <c r="M860" s="10" t="s">
        <v>14863</v>
      </c>
      <c r="N860" s="12">
        <v>46049.387940127315</v>
      </c>
      <c r="O860" s="10" t="s">
        <v>16754</v>
      </c>
      <c r="P860" s="5" t="s">
        <v>14571</v>
      </c>
      <c r="Q860" s="5" t="s">
        <v>14612</v>
      </c>
      <c r="R860" s="5" t="s">
        <v>16808</v>
      </c>
      <c r="T860" s="5" t="s">
        <v>14574</v>
      </c>
      <c r="U860" s="5" t="s">
        <v>33</v>
      </c>
      <c r="V860" s="5" t="s">
        <v>196</v>
      </c>
      <c r="W860" s="5" t="s">
        <v>7447</v>
      </c>
    </row>
    <row r="861" spans="1:23" ht="12.5">
      <c r="A861" s="5">
        <v>91365</v>
      </c>
      <c r="B861" s="5" t="s">
        <v>16809</v>
      </c>
      <c r="C861" s="5">
        <v>573168348918</v>
      </c>
      <c r="D861" s="5" t="s">
        <v>16273</v>
      </c>
      <c r="E861" s="5" t="s">
        <v>7449</v>
      </c>
      <c r="F861" s="5" t="s">
        <v>73</v>
      </c>
      <c r="G861" s="5" t="s">
        <v>4557</v>
      </c>
      <c r="H861" s="5" t="s">
        <v>7448</v>
      </c>
      <c r="I861" s="5">
        <v>3003479586</v>
      </c>
      <c r="J861" s="12">
        <v>46049</v>
      </c>
      <c r="K861" s="11">
        <v>0.56388888888977817</v>
      </c>
      <c r="M861" s="10" t="s">
        <v>16647</v>
      </c>
      <c r="N861" s="12">
        <v>46049.381600578708</v>
      </c>
      <c r="O861" s="10" t="s">
        <v>15321</v>
      </c>
      <c r="P861" s="5" t="s">
        <v>14571</v>
      </c>
      <c r="Q861" s="5" t="s">
        <v>14578</v>
      </c>
      <c r="R861" s="5" t="s">
        <v>16810</v>
      </c>
      <c r="T861" s="5" t="s">
        <v>5994</v>
      </c>
      <c r="U861" s="5" t="s">
        <v>14593</v>
      </c>
      <c r="V861" s="5" t="s">
        <v>1937</v>
      </c>
      <c r="W861" s="5" t="s">
        <v>7452</v>
      </c>
    </row>
    <row r="862" spans="1:23" ht="12.5">
      <c r="A862" s="5">
        <v>91366</v>
      </c>
      <c r="B862" s="5" t="s">
        <v>16811</v>
      </c>
      <c r="C862" s="5">
        <v>573246807716</v>
      </c>
      <c r="D862" s="5">
        <v>67</v>
      </c>
      <c r="E862" s="5" t="s">
        <v>542</v>
      </c>
      <c r="G862" s="5" t="s">
        <v>5182</v>
      </c>
      <c r="H862" s="5" t="s">
        <v>7455</v>
      </c>
      <c r="I862" s="5">
        <v>3006601998</v>
      </c>
      <c r="J862" s="12">
        <v>46049</v>
      </c>
      <c r="K862" s="11">
        <v>0</v>
      </c>
      <c r="M862" s="10" t="s">
        <v>14646</v>
      </c>
      <c r="N862" s="12">
        <v>46049.427489664347</v>
      </c>
      <c r="O862" s="10" t="s">
        <v>15412</v>
      </c>
      <c r="P862" s="5" t="s">
        <v>14571</v>
      </c>
      <c r="Q862" s="5" t="s">
        <v>14578</v>
      </c>
      <c r="R862" s="5" t="s">
        <v>16812</v>
      </c>
      <c r="T862" s="5" t="s">
        <v>5994</v>
      </c>
      <c r="V862" s="5" t="s">
        <v>67</v>
      </c>
    </row>
    <row r="863" spans="1:23" ht="12.5">
      <c r="A863" s="5">
        <v>91367</v>
      </c>
      <c r="B863" s="5" t="s">
        <v>16813</v>
      </c>
      <c r="C863" s="5">
        <v>573006264849</v>
      </c>
      <c r="D863" s="5">
        <v>29</v>
      </c>
      <c r="E863" s="5" t="s">
        <v>309</v>
      </c>
      <c r="F863" s="5" t="s">
        <v>103</v>
      </c>
      <c r="G863" s="5" t="s">
        <v>7460</v>
      </c>
      <c r="H863" s="5" t="s">
        <v>7461</v>
      </c>
      <c r="I863" s="5">
        <v>3148137274</v>
      </c>
      <c r="J863" s="12">
        <v>46049</v>
      </c>
      <c r="K863" s="11">
        <v>0.58333333333212067</v>
      </c>
      <c r="M863" s="10" t="s">
        <v>15064</v>
      </c>
      <c r="N863" s="12">
        <v>46049.496089386579</v>
      </c>
      <c r="O863" s="10" t="s">
        <v>14977</v>
      </c>
      <c r="P863" s="5" t="s">
        <v>14571</v>
      </c>
      <c r="Q863" s="5" t="s">
        <v>14578</v>
      </c>
      <c r="R863" s="5" t="s">
        <v>16814</v>
      </c>
      <c r="T863" s="5" t="s">
        <v>5994</v>
      </c>
      <c r="U863" s="5" t="s">
        <v>14593</v>
      </c>
      <c r="V863" s="5" t="s">
        <v>67</v>
      </c>
    </row>
    <row r="864" spans="1:23" ht="12.5">
      <c r="A864" s="5">
        <v>91368</v>
      </c>
      <c r="B864" s="5" t="s">
        <v>16815</v>
      </c>
      <c r="C864" s="5">
        <v>573232954869</v>
      </c>
      <c r="D864" s="5">
        <v>28</v>
      </c>
      <c r="E864" s="5" t="s">
        <v>435</v>
      </c>
      <c r="F864" s="5" t="s">
        <v>265</v>
      </c>
      <c r="G864" s="5" t="s">
        <v>7464</v>
      </c>
      <c r="H864" s="5" t="s">
        <v>7465</v>
      </c>
      <c r="I864" s="5"/>
      <c r="J864" s="12">
        <v>46049</v>
      </c>
      <c r="K864" s="11">
        <v>0.58333333333212067</v>
      </c>
      <c r="M864" s="10" t="s">
        <v>14881</v>
      </c>
      <c r="N864" s="12">
        <v>46049.503621226853</v>
      </c>
      <c r="O864" s="10" t="s">
        <v>15849</v>
      </c>
      <c r="P864" s="5" t="s">
        <v>14571</v>
      </c>
      <c r="Q864" s="5" t="s">
        <v>14572</v>
      </c>
      <c r="R864" s="5" t="s">
        <v>16816</v>
      </c>
      <c r="T864" s="5" t="s">
        <v>5994</v>
      </c>
      <c r="U864" s="5" t="s">
        <v>14691</v>
      </c>
      <c r="V864" s="5" t="s">
        <v>67</v>
      </c>
      <c r="W864" s="5" t="s">
        <v>7468</v>
      </c>
    </row>
    <row r="865" spans="1:23" ht="12.5">
      <c r="A865" s="5">
        <v>91369</v>
      </c>
      <c r="B865" s="5" t="s">
        <v>16817</v>
      </c>
      <c r="C865" s="5">
        <v>573016271535</v>
      </c>
      <c r="D865" s="5">
        <v>31</v>
      </c>
      <c r="E865" s="5" t="s">
        <v>375</v>
      </c>
      <c r="F865" s="5" t="s">
        <v>33</v>
      </c>
      <c r="G865" s="5" t="s">
        <v>7470</v>
      </c>
      <c r="H865" s="5" t="s">
        <v>34</v>
      </c>
      <c r="I865" s="5"/>
      <c r="J865" s="12">
        <v>46050</v>
      </c>
      <c r="K865" s="11">
        <v>0.375</v>
      </c>
      <c r="M865" s="10" t="s">
        <v>14585</v>
      </c>
      <c r="N865" s="12">
        <v>46049.525955798614</v>
      </c>
      <c r="O865" s="10" t="s">
        <v>16818</v>
      </c>
      <c r="P865" s="5" t="s">
        <v>14571</v>
      </c>
      <c r="Q865" s="5" t="s">
        <v>14578</v>
      </c>
      <c r="R865" s="5" t="s">
        <v>16819</v>
      </c>
      <c r="T865" s="5" t="s">
        <v>14574</v>
      </c>
      <c r="U865" s="5" t="s">
        <v>33</v>
      </c>
      <c r="V865" s="5" t="s">
        <v>67</v>
      </c>
      <c r="W865" s="5" t="s">
        <v>7472</v>
      </c>
    </row>
    <row r="866" spans="1:23" ht="12.5">
      <c r="A866" s="5">
        <v>91370</v>
      </c>
      <c r="B866" s="5" t="s">
        <v>16820</v>
      </c>
      <c r="C866" s="10" t="s">
        <v>16821</v>
      </c>
      <c r="D866" s="5">
        <v>95</v>
      </c>
      <c r="E866" s="5" t="s">
        <v>42</v>
      </c>
      <c r="F866" s="5" t="s">
        <v>7476</v>
      </c>
      <c r="G866" s="5" t="s">
        <v>7475</v>
      </c>
      <c r="H866" s="5" t="s">
        <v>7477</v>
      </c>
      <c r="I866" s="5">
        <v>3183622707</v>
      </c>
      <c r="J866" s="12">
        <v>46065</v>
      </c>
      <c r="K866" s="11">
        <v>0.66666666666666663</v>
      </c>
      <c r="M866" s="10" t="s">
        <v>10581</v>
      </c>
      <c r="N866" s="12">
        <v>46049</v>
      </c>
      <c r="O866" s="10" t="s">
        <v>14965</v>
      </c>
      <c r="P866" s="5" t="s">
        <v>14571</v>
      </c>
      <c r="Q866" s="5" t="s">
        <v>14572</v>
      </c>
      <c r="R866" s="5" t="s">
        <v>16822</v>
      </c>
      <c r="T866" s="5" t="s">
        <v>5994</v>
      </c>
      <c r="U866" s="5" t="s">
        <v>15349</v>
      </c>
      <c r="V866" s="5" t="s">
        <v>180</v>
      </c>
      <c r="W866" s="5" t="s">
        <v>7478</v>
      </c>
    </row>
    <row r="867" spans="1:23" ht="12.5">
      <c r="A867" s="5">
        <v>91371</v>
      </c>
      <c r="B867" s="5" t="s">
        <v>3580</v>
      </c>
      <c r="C867" s="5">
        <v>573003182878</v>
      </c>
      <c r="D867" s="5">
        <v>58</v>
      </c>
      <c r="E867" s="5" t="s">
        <v>57</v>
      </c>
      <c r="G867" s="5" t="s">
        <v>7479</v>
      </c>
      <c r="H867" s="5" t="s">
        <v>7480</v>
      </c>
      <c r="J867" s="12">
        <v>46049</v>
      </c>
      <c r="K867" s="11">
        <v>0.625</v>
      </c>
      <c r="M867" s="10" t="s">
        <v>15594</v>
      </c>
      <c r="N867" s="12">
        <v>46049.549386319442</v>
      </c>
      <c r="O867" s="10" t="s">
        <v>15275</v>
      </c>
      <c r="P867" s="5" t="s">
        <v>14571</v>
      </c>
      <c r="Q867" s="5" t="s">
        <v>14572</v>
      </c>
      <c r="R867" s="5" t="s">
        <v>16823</v>
      </c>
      <c r="T867" s="5" t="s">
        <v>5994</v>
      </c>
      <c r="V867" s="5" t="s">
        <v>43</v>
      </c>
      <c r="W867" s="5" t="s">
        <v>7482</v>
      </c>
    </row>
    <row r="868" spans="1:23" ht="12.5">
      <c r="A868" s="5">
        <v>91372</v>
      </c>
      <c r="B868" s="5" t="s">
        <v>16824</v>
      </c>
      <c r="C868" s="10" t="s">
        <v>16825</v>
      </c>
      <c r="D868" s="5">
        <v>59</v>
      </c>
      <c r="E868" s="5" t="s">
        <v>148</v>
      </c>
      <c r="F868" s="5" t="s">
        <v>401</v>
      </c>
      <c r="G868" s="5" t="s">
        <v>7485</v>
      </c>
      <c r="H868" s="5" t="s">
        <v>648</v>
      </c>
      <c r="I868" s="5">
        <v>3114757844</v>
      </c>
      <c r="J868" s="12">
        <v>46050</v>
      </c>
      <c r="K868" s="11">
        <v>0.375</v>
      </c>
      <c r="M868" s="10" t="s">
        <v>16312</v>
      </c>
      <c r="N868" s="12">
        <v>46049</v>
      </c>
      <c r="O868" s="10" t="s">
        <v>15535</v>
      </c>
      <c r="P868" s="5" t="s">
        <v>14571</v>
      </c>
      <c r="Q868" s="5" t="s">
        <v>14578</v>
      </c>
      <c r="R868" s="5" t="s">
        <v>16826</v>
      </c>
      <c r="T868" s="5" t="s">
        <v>5994</v>
      </c>
      <c r="U868" s="5" t="s">
        <v>14618</v>
      </c>
      <c r="V868" s="5" t="s">
        <v>180</v>
      </c>
    </row>
    <row r="869" spans="1:23" ht="12.5">
      <c r="A869" s="5">
        <v>91373</v>
      </c>
      <c r="B869" s="5" t="s">
        <v>16827</v>
      </c>
      <c r="C869" s="10" t="s">
        <v>16828</v>
      </c>
      <c r="D869" s="5">
        <v>52</v>
      </c>
      <c r="E869" s="5" t="s">
        <v>178</v>
      </c>
      <c r="F869" s="5" t="s">
        <v>124</v>
      </c>
      <c r="G869" s="5" t="s">
        <v>16829</v>
      </c>
      <c r="H869" s="5" t="s">
        <v>7489</v>
      </c>
      <c r="I869" s="5">
        <v>3052660359</v>
      </c>
      <c r="J869" s="12">
        <v>46049</v>
      </c>
      <c r="K869" s="11">
        <v>0.625</v>
      </c>
      <c r="M869" s="10" t="s">
        <v>16718</v>
      </c>
      <c r="N869" s="12">
        <v>46049</v>
      </c>
      <c r="O869" s="10" t="s">
        <v>15273</v>
      </c>
      <c r="P869" s="5" t="s">
        <v>14571</v>
      </c>
      <c r="Q869" s="5" t="s">
        <v>14572</v>
      </c>
      <c r="R869" s="5" t="s">
        <v>16830</v>
      </c>
      <c r="T869" s="5" t="s">
        <v>5994</v>
      </c>
      <c r="U869" s="5" t="s">
        <v>14775</v>
      </c>
      <c r="V869" s="5" t="s">
        <v>67</v>
      </c>
      <c r="W869" s="5" t="s">
        <v>7491</v>
      </c>
    </row>
    <row r="870" spans="1:23" ht="12.5">
      <c r="A870" s="5">
        <v>91374</v>
      </c>
      <c r="B870" s="5" t="s">
        <v>7493</v>
      </c>
      <c r="C870" s="5">
        <v>573218807949</v>
      </c>
      <c r="D870" s="5">
        <v>57</v>
      </c>
      <c r="E870" s="5" t="s">
        <v>1085</v>
      </c>
      <c r="F870" s="5" t="s">
        <v>33</v>
      </c>
      <c r="G870" s="5" t="s">
        <v>7493</v>
      </c>
      <c r="H870" s="5" t="s">
        <v>34</v>
      </c>
      <c r="I870" s="5">
        <v>3218807949</v>
      </c>
      <c r="J870" s="12">
        <v>46049</v>
      </c>
      <c r="K870" s="11">
        <v>0.58333333333212067</v>
      </c>
      <c r="M870" s="10" t="s">
        <v>10581</v>
      </c>
      <c r="N870" s="12">
        <v>46049.558743217596</v>
      </c>
      <c r="O870" s="10" t="s">
        <v>16726</v>
      </c>
      <c r="P870" s="5" t="s">
        <v>14571</v>
      </c>
      <c r="Q870" s="5" t="s">
        <v>14612</v>
      </c>
      <c r="R870" s="5" t="s">
        <v>16831</v>
      </c>
      <c r="T870" s="5" t="s">
        <v>14574</v>
      </c>
      <c r="U870" s="5" t="s">
        <v>33</v>
      </c>
      <c r="V870" s="5" t="s">
        <v>43</v>
      </c>
      <c r="W870" s="5" t="s">
        <v>7494</v>
      </c>
    </row>
    <row r="871" spans="1:23" ht="12.5">
      <c r="A871" s="5">
        <v>91375</v>
      </c>
      <c r="B871" s="5" t="s">
        <v>16832</v>
      </c>
      <c r="C871" s="10" t="s">
        <v>16833</v>
      </c>
      <c r="D871" s="5" t="s">
        <v>16117</v>
      </c>
      <c r="E871" s="5" t="s">
        <v>7499</v>
      </c>
      <c r="F871" s="5" t="s">
        <v>1047</v>
      </c>
      <c r="G871" s="5" t="s">
        <v>7497</v>
      </c>
      <c r="H871" s="5" t="s">
        <v>7498</v>
      </c>
      <c r="I871" s="5">
        <v>3235851516</v>
      </c>
      <c r="J871" s="12">
        <v>46049</v>
      </c>
      <c r="K871" s="11">
        <v>0.625</v>
      </c>
      <c r="M871" s="10" t="s">
        <v>14789</v>
      </c>
      <c r="N871" s="12">
        <v>46049</v>
      </c>
      <c r="O871" s="10" t="s">
        <v>16834</v>
      </c>
      <c r="P871" s="5" t="s">
        <v>14571</v>
      </c>
      <c r="Q871" s="5" t="s">
        <v>14578</v>
      </c>
      <c r="R871" s="5" t="s">
        <v>16835</v>
      </c>
      <c r="T871" s="5" t="s">
        <v>5994</v>
      </c>
      <c r="U871" s="5" t="s">
        <v>14580</v>
      </c>
      <c r="V871" s="5" t="s">
        <v>67</v>
      </c>
      <c r="W871" s="5" t="s">
        <v>5294</v>
      </c>
    </row>
    <row r="872" spans="1:23" ht="12.5">
      <c r="A872" s="5">
        <v>91376</v>
      </c>
      <c r="B872" s="5" t="s">
        <v>16836</v>
      </c>
      <c r="C872" s="5">
        <v>573219127915</v>
      </c>
      <c r="D872" s="5">
        <v>29</v>
      </c>
      <c r="E872" s="5" t="s">
        <v>309</v>
      </c>
      <c r="F872" s="5" t="s">
        <v>630</v>
      </c>
      <c r="G872" s="5" t="s">
        <v>7501</v>
      </c>
      <c r="H872" s="5" t="s">
        <v>7502</v>
      </c>
      <c r="J872" s="12">
        <v>46049</v>
      </c>
      <c r="K872" s="11">
        <v>0.66666666666787933</v>
      </c>
      <c r="M872" s="10" t="s">
        <v>14859</v>
      </c>
      <c r="N872" s="12">
        <v>46049.558168263888</v>
      </c>
      <c r="O872" s="10" t="s">
        <v>16016</v>
      </c>
      <c r="P872" s="5" t="s">
        <v>14571</v>
      </c>
      <c r="Q872" s="5" t="s">
        <v>14612</v>
      </c>
      <c r="R872" s="5" t="s">
        <v>16837</v>
      </c>
      <c r="T872" s="5" t="s">
        <v>5994</v>
      </c>
      <c r="U872" s="5" t="s">
        <v>14580</v>
      </c>
      <c r="V872" s="5" t="s">
        <v>67</v>
      </c>
    </row>
    <row r="873" spans="1:23" ht="12.5">
      <c r="A873" s="5">
        <v>91377</v>
      </c>
      <c r="B873" s="5" t="s">
        <v>16838</v>
      </c>
      <c r="C873" s="10" t="s">
        <v>16839</v>
      </c>
      <c r="D873" s="5" t="s">
        <v>16840</v>
      </c>
      <c r="E873" s="5" t="s">
        <v>1551</v>
      </c>
      <c r="F873" s="5" t="s">
        <v>516</v>
      </c>
      <c r="G873" s="5" t="s">
        <v>16841</v>
      </c>
      <c r="H873" s="5" t="s">
        <v>7507</v>
      </c>
      <c r="I873" s="5">
        <v>3208877279</v>
      </c>
      <c r="J873" s="12">
        <v>46049</v>
      </c>
      <c r="K873" s="11">
        <v>0.66666666666666663</v>
      </c>
      <c r="M873" s="10" t="s">
        <v>15859</v>
      </c>
      <c r="N873" s="12">
        <v>46049</v>
      </c>
      <c r="O873" s="10" t="s">
        <v>14603</v>
      </c>
      <c r="P873" s="5" t="s">
        <v>14571</v>
      </c>
      <c r="Q873" s="5" t="s">
        <v>14578</v>
      </c>
      <c r="R873" s="5" t="s">
        <v>16842</v>
      </c>
      <c r="T873" s="5" t="s">
        <v>5994</v>
      </c>
      <c r="U873" s="5" t="s">
        <v>14580</v>
      </c>
      <c r="V873" s="5" t="s">
        <v>67</v>
      </c>
    </row>
    <row r="874" spans="1:23" ht="12.5">
      <c r="A874" s="5">
        <v>91378</v>
      </c>
      <c r="B874" s="5" t="s">
        <v>16843</v>
      </c>
      <c r="C874" s="5">
        <v>57909484</v>
      </c>
      <c r="D874" s="5">
        <v>52</v>
      </c>
      <c r="E874" s="5" t="s">
        <v>178</v>
      </c>
      <c r="F874" s="5" t="s">
        <v>73</v>
      </c>
      <c r="G874" s="5" t="s">
        <v>7511</v>
      </c>
      <c r="H874" s="5" t="s">
        <v>7512</v>
      </c>
      <c r="I874" s="5">
        <v>3004919087</v>
      </c>
      <c r="J874" s="12">
        <v>46049</v>
      </c>
      <c r="K874" s="11">
        <v>0.66666666666787933</v>
      </c>
      <c r="M874" s="10" t="s">
        <v>15043</v>
      </c>
      <c r="N874" s="12">
        <v>46049.604075439813</v>
      </c>
      <c r="O874" s="10" t="s">
        <v>15801</v>
      </c>
      <c r="P874" s="5" t="s">
        <v>14571</v>
      </c>
      <c r="Q874" s="5" t="s">
        <v>14572</v>
      </c>
      <c r="R874" s="5" t="s">
        <v>16844</v>
      </c>
      <c r="T874" s="5" t="s">
        <v>5994</v>
      </c>
      <c r="U874" s="5" t="s">
        <v>14593</v>
      </c>
      <c r="V874" s="5" t="s">
        <v>180</v>
      </c>
    </row>
    <row r="875" spans="1:23" ht="12.5">
      <c r="A875" s="5">
        <v>91379</v>
      </c>
      <c r="B875" s="5" t="s">
        <v>7517</v>
      </c>
      <c r="C875" s="5">
        <v>573002566594</v>
      </c>
      <c r="D875" s="5">
        <v>31</v>
      </c>
      <c r="E875" s="5" t="s">
        <v>375</v>
      </c>
      <c r="F875" s="5" t="s">
        <v>33</v>
      </c>
      <c r="G875" s="5" t="s">
        <v>7517</v>
      </c>
      <c r="H875" s="5" t="s">
        <v>34</v>
      </c>
      <c r="I875" s="5">
        <v>3002566594</v>
      </c>
      <c r="J875" s="12">
        <v>46051</v>
      </c>
      <c r="K875" s="11">
        <v>0.66666666666787933</v>
      </c>
      <c r="M875" s="10" t="s">
        <v>14585</v>
      </c>
      <c r="N875" s="12">
        <v>46049.605156157406</v>
      </c>
      <c r="O875" s="10" t="s">
        <v>15249</v>
      </c>
      <c r="P875" s="5" t="s">
        <v>14571</v>
      </c>
      <c r="Q875" s="5" t="s">
        <v>14612</v>
      </c>
      <c r="R875" s="5" t="s">
        <v>16845</v>
      </c>
      <c r="T875" s="5" t="s">
        <v>14574</v>
      </c>
      <c r="U875" s="5" t="s">
        <v>33</v>
      </c>
      <c r="V875" s="5" t="s">
        <v>1481</v>
      </c>
    </row>
    <row r="876" spans="1:23" ht="12.5">
      <c r="A876" s="5">
        <v>91380</v>
      </c>
      <c r="B876" s="5" t="s">
        <v>14626</v>
      </c>
      <c r="C876" s="5">
        <v>573208162659</v>
      </c>
      <c r="D876" s="5" t="s">
        <v>16846</v>
      </c>
      <c r="E876" s="5" t="s">
        <v>7521</v>
      </c>
      <c r="F876" s="5" t="s">
        <v>103</v>
      </c>
      <c r="G876" s="5" t="s">
        <v>4999</v>
      </c>
      <c r="H876" s="5" t="s">
        <v>7520</v>
      </c>
      <c r="J876" s="12">
        <v>46062</v>
      </c>
      <c r="K876" s="11">
        <v>0.35416666666787933</v>
      </c>
      <c r="M876" s="10" t="s">
        <v>15859</v>
      </c>
      <c r="N876" s="12">
        <v>46049.64302502315</v>
      </c>
      <c r="O876" s="10" t="s">
        <v>14818</v>
      </c>
      <c r="P876" s="5" t="s">
        <v>14571</v>
      </c>
      <c r="Q876" s="5" t="s">
        <v>14578</v>
      </c>
      <c r="R876" s="5" t="s">
        <v>16847</v>
      </c>
      <c r="T876" s="5" t="s">
        <v>5994</v>
      </c>
      <c r="U876" s="5" t="s">
        <v>14593</v>
      </c>
      <c r="V876" s="5" t="s">
        <v>67</v>
      </c>
    </row>
    <row r="877" spans="1:23" ht="12.5">
      <c r="A877" s="5">
        <v>91381</v>
      </c>
      <c r="B877" s="5" t="s">
        <v>16848</v>
      </c>
      <c r="C877" s="5">
        <v>573016285585</v>
      </c>
      <c r="D877" s="5" t="s">
        <v>14589</v>
      </c>
      <c r="E877" s="5" t="s">
        <v>7527</v>
      </c>
      <c r="F877" s="5" t="s">
        <v>161</v>
      </c>
      <c r="G877" s="5" t="s">
        <v>7525</v>
      </c>
      <c r="H877" s="5" t="s">
        <v>7526</v>
      </c>
      <c r="I877" s="5">
        <v>3003258429</v>
      </c>
      <c r="J877" s="12">
        <v>46050</v>
      </c>
      <c r="K877" s="11">
        <v>0.33333333333212067</v>
      </c>
      <c r="M877" s="10" t="s">
        <v>16849</v>
      </c>
      <c r="N877" s="12">
        <v>46049.66818414352</v>
      </c>
      <c r="O877" s="10" t="s">
        <v>15372</v>
      </c>
      <c r="P877" s="5" t="s">
        <v>14571</v>
      </c>
      <c r="Q877" s="5" t="s">
        <v>14572</v>
      </c>
      <c r="R877" s="5" t="s">
        <v>16850</v>
      </c>
      <c r="T877" s="5" t="s">
        <v>5994</v>
      </c>
      <c r="U877" s="5" t="s">
        <v>14593</v>
      </c>
      <c r="V877" s="5" t="s">
        <v>67</v>
      </c>
    </row>
    <row r="878" spans="1:23" ht="12.5">
      <c r="A878" s="5">
        <v>91382</v>
      </c>
      <c r="B878" s="5" t="s">
        <v>16851</v>
      </c>
      <c r="C878" s="5">
        <v>16469372355</v>
      </c>
      <c r="D878" s="5">
        <v>3</v>
      </c>
      <c r="E878" s="5" t="s">
        <v>3248</v>
      </c>
      <c r="F878" s="5" t="s">
        <v>124</v>
      </c>
      <c r="G878" s="5" t="s">
        <v>7531</v>
      </c>
      <c r="H878" s="5" t="s">
        <v>7532</v>
      </c>
      <c r="I878" s="5" t="s">
        <v>16852</v>
      </c>
      <c r="J878" s="12">
        <v>46053</v>
      </c>
      <c r="K878" s="11">
        <v>0.375</v>
      </c>
      <c r="M878" s="10" t="s">
        <v>16853</v>
      </c>
      <c r="N878" s="12">
        <v>46049.68796844907</v>
      </c>
      <c r="O878" s="10" t="s">
        <v>16854</v>
      </c>
      <c r="P878" s="5" t="s">
        <v>14571</v>
      </c>
      <c r="Q878" s="5" t="s">
        <v>14612</v>
      </c>
      <c r="R878" s="5" t="s">
        <v>16855</v>
      </c>
      <c r="T878" s="5" t="s">
        <v>5994</v>
      </c>
      <c r="U878" s="5" t="s">
        <v>14775</v>
      </c>
      <c r="V878" s="5" t="s">
        <v>3754</v>
      </c>
    </row>
    <row r="879" spans="1:23" ht="12.5">
      <c r="A879" s="5">
        <v>91383</v>
      </c>
      <c r="B879" s="5" t="s">
        <v>4351</v>
      </c>
      <c r="C879" s="5">
        <v>573008148314</v>
      </c>
      <c r="D879" s="5">
        <v>95</v>
      </c>
      <c r="E879" s="5" t="s">
        <v>42</v>
      </c>
      <c r="F879" s="5" t="s">
        <v>33</v>
      </c>
      <c r="G879" s="5" t="s">
        <v>4351</v>
      </c>
      <c r="H879" s="5" t="s">
        <v>34</v>
      </c>
      <c r="I879" s="5">
        <v>3008148314</v>
      </c>
      <c r="J879" s="12">
        <v>46049</v>
      </c>
      <c r="K879" s="11">
        <v>0</v>
      </c>
      <c r="M879" s="10" t="s">
        <v>16856</v>
      </c>
      <c r="N879" s="12">
        <v>46049.69860909722</v>
      </c>
      <c r="O879" s="10" t="s">
        <v>16614</v>
      </c>
      <c r="P879" s="5" t="s">
        <v>14571</v>
      </c>
      <c r="Q879" s="5" t="s">
        <v>14612</v>
      </c>
      <c r="R879" s="5" t="s">
        <v>16857</v>
      </c>
      <c r="T879" s="5" t="s">
        <v>14574</v>
      </c>
      <c r="U879" s="5" t="s">
        <v>33</v>
      </c>
      <c r="V879" s="5" t="s">
        <v>2438</v>
      </c>
      <c r="W879" s="5" t="s">
        <v>7535</v>
      </c>
    </row>
    <row r="880" spans="1:23" ht="12.5">
      <c r="A880" s="5">
        <v>91384</v>
      </c>
      <c r="B880" s="5" t="s">
        <v>16858</v>
      </c>
      <c r="C880" s="5">
        <v>575491150150630</v>
      </c>
      <c r="D880" s="5">
        <v>46</v>
      </c>
      <c r="E880" s="5" t="s">
        <v>1126</v>
      </c>
      <c r="F880" s="5" t="s">
        <v>307</v>
      </c>
      <c r="G880" s="5" t="s">
        <v>7537</v>
      </c>
      <c r="H880" s="5" t="s">
        <v>7538</v>
      </c>
      <c r="J880" s="12">
        <v>46059</v>
      </c>
      <c r="K880" s="11">
        <v>0.625</v>
      </c>
      <c r="M880" s="10" t="s">
        <v>15480</v>
      </c>
      <c r="N880" s="12">
        <v>46049.708821631946</v>
      </c>
      <c r="O880" s="10" t="s">
        <v>14703</v>
      </c>
      <c r="P880" s="5" t="s">
        <v>14571</v>
      </c>
      <c r="Q880" s="5" t="s">
        <v>14578</v>
      </c>
      <c r="R880" s="5" t="s">
        <v>16859</v>
      </c>
      <c r="T880" s="5" t="s">
        <v>5994</v>
      </c>
      <c r="U880" s="5" t="s">
        <v>14618</v>
      </c>
      <c r="V880" s="5" t="s">
        <v>83</v>
      </c>
    </row>
    <row r="881" spans="1:23" ht="12.5">
      <c r="A881" s="5">
        <v>91385</v>
      </c>
      <c r="B881" s="5" t="s">
        <v>16860</v>
      </c>
      <c r="C881" s="5">
        <v>573173754408</v>
      </c>
      <c r="D881" s="5">
        <v>23</v>
      </c>
      <c r="E881" s="5" t="s">
        <v>50</v>
      </c>
      <c r="F881" s="5" t="s">
        <v>1317</v>
      </c>
      <c r="G881" s="5" t="s">
        <v>7539</v>
      </c>
      <c r="H881" s="5" t="s">
        <v>7540</v>
      </c>
      <c r="I881" s="5">
        <v>3008168059</v>
      </c>
      <c r="J881" s="12">
        <v>46052</v>
      </c>
      <c r="K881" s="11">
        <v>0.375</v>
      </c>
      <c r="M881" s="10" t="s">
        <v>16312</v>
      </c>
      <c r="N881" s="12">
        <v>46049.719694965279</v>
      </c>
      <c r="O881" s="10" t="s">
        <v>16861</v>
      </c>
      <c r="P881" s="5" t="s">
        <v>14571</v>
      </c>
      <c r="Q881" s="5" t="s">
        <v>14612</v>
      </c>
      <c r="R881" s="5" t="s">
        <v>16862</v>
      </c>
      <c r="T881" s="5" t="s">
        <v>5994</v>
      </c>
      <c r="U881" s="5" t="s">
        <v>15349</v>
      </c>
      <c r="V881" s="5" t="s">
        <v>1481</v>
      </c>
    </row>
    <row r="882" spans="1:23" ht="12.5">
      <c r="A882" s="5">
        <v>91386</v>
      </c>
      <c r="B882" s="5" t="s">
        <v>16863</v>
      </c>
      <c r="C882" s="10" t="s">
        <v>16864</v>
      </c>
      <c r="D882" s="5">
        <v>62</v>
      </c>
      <c r="E882" s="5" t="s">
        <v>2586</v>
      </c>
      <c r="F882" s="5" t="s">
        <v>892</v>
      </c>
      <c r="G882" s="5" t="s">
        <v>4174</v>
      </c>
      <c r="H882" s="5" t="s">
        <v>7545</v>
      </c>
      <c r="I882" s="5">
        <v>3216651554</v>
      </c>
      <c r="J882" s="12">
        <v>46050</v>
      </c>
      <c r="K882" s="11">
        <v>0.375</v>
      </c>
      <c r="M882" s="10" t="s">
        <v>14712</v>
      </c>
      <c r="N882" s="12">
        <v>46049</v>
      </c>
      <c r="O882" s="10" t="s">
        <v>15735</v>
      </c>
      <c r="P882" s="5" t="s">
        <v>14571</v>
      </c>
      <c r="Q882" s="5" t="s">
        <v>14572</v>
      </c>
      <c r="R882" s="5" t="s">
        <v>16865</v>
      </c>
      <c r="T882" s="5" t="s">
        <v>5994</v>
      </c>
      <c r="U882" s="5" t="s">
        <v>14593</v>
      </c>
      <c r="V882" s="5" t="s">
        <v>67</v>
      </c>
    </row>
    <row r="883" spans="1:23" ht="12.5">
      <c r="A883" s="5">
        <v>91387</v>
      </c>
      <c r="B883" s="5" t="s">
        <v>16866</v>
      </c>
      <c r="C883" s="5">
        <v>573106135430</v>
      </c>
      <c r="D883" s="5">
        <v>31</v>
      </c>
      <c r="E883" s="5" t="s">
        <v>375</v>
      </c>
      <c r="F883" s="5" t="s">
        <v>79</v>
      </c>
      <c r="G883" s="5" t="s">
        <v>7549</v>
      </c>
      <c r="H883" s="5" t="s">
        <v>7550</v>
      </c>
      <c r="I883" s="5">
        <v>3106135430</v>
      </c>
      <c r="J883" s="12">
        <v>46050</v>
      </c>
      <c r="K883" s="11">
        <v>0.375</v>
      </c>
      <c r="M883" s="10" t="s">
        <v>14627</v>
      </c>
      <c r="N883" s="12">
        <v>46049.701675694443</v>
      </c>
      <c r="O883" s="10" t="s">
        <v>16867</v>
      </c>
      <c r="P883" s="5" t="s">
        <v>14571</v>
      </c>
      <c r="Q883" s="5" t="s">
        <v>14572</v>
      </c>
      <c r="R883" s="5" t="s">
        <v>16868</v>
      </c>
      <c r="T883" s="5" t="s">
        <v>5994</v>
      </c>
      <c r="U883" s="5" t="s">
        <v>14593</v>
      </c>
      <c r="V883" s="5" t="s">
        <v>180</v>
      </c>
    </row>
    <row r="884" spans="1:23" ht="12.5">
      <c r="A884" s="5">
        <v>91388</v>
      </c>
      <c r="B884" s="5" t="s">
        <v>7555</v>
      </c>
      <c r="C884" s="5">
        <v>13059988217</v>
      </c>
      <c r="D884" s="5">
        <v>20</v>
      </c>
      <c r="E884" s="5" t="s">
        <v>16869</v>
      </c>
      <c r="F884" s="5" t="s">
        <v>185</v>
      </c>
      <c r="G884" s="5" t="s">
        <v>7555</v>
      </c>
      <c r="H884" s="5" t="s">
        <v>7556</v>
      </c>
      <c r="I884" s="5"/>
      <c r="J884" s="12">
        <v>46050</v>
      </c>
      <c r="K884" s="11">
        <v>0.375</v>
      </c>
      <c r="M884" s="10" t="s">
        <v>14890</v>
      </c>
      <c r="N884" s="12">
        <v>46049.727021597224</v>
      </c>
      <c r="O884" s="10" t="s">
        <v>15811</v>
      </c>
      <c r="P884" s="5" t="s">
        <v>14571</v>
      </c>
      <c r="Q884" s="5" t="s">
        <v>14572</v>
      </c>
      <c r="R884" s="5" t="s">
        <v>16870</v>
      </c>
      <c r="T884" s="5" t="s">
        <v>5994</v>
      </c>
      <c r="U884" s="5" t="s">
        <v>14580</v>
      </c>
      <c r="V884" s="5" t="s">
        <v>1937</v>
      </c>
      <c r="W884" s="5" t="s">
        <v>7559</v>
      </c>
    </row>
    <row r="885" spans="1:23" ht="12.5">
      <c r="A885" s="5">
        <v>91389</v>
      </c>
      <c r="B885" s="5" t="s">
        <v>7562</v>
      </c>
      <c r="C885" s="5">
        <v>573145814765</v>
      </c>
      <c r="D885" s="5">
        <v>28</v>
      </c>
      <c r="E885" s="5" t="s">
        <v>435</v>
      </c>
      <c r="F885" s="5" t="s">
        <v>33</v>
      </c>
      <c r="G885" s="5" t="s">
        <v>7562</v>
      </c>
      <c r="H885" s="5" t="s">
        <v>34</v>
      </c>
      <c r="I885" s="5">
        <v>3145814765</v>
      </c>
      <c r="J885" s="12">
        <v>46049</v>
      </c>
      <c r="K885" s="11">
        <v>0</v>
      </c>
      <c r="M885" s="10" t="s">
        <v>16222</v>
      </c>
      <c r="N885" s="12">
        <v>46049.763313113421</v>
      </c>
      <c r="O885" s="10" t="s">
        <v>16871</v>
      </c>
      <c r="P885" s="5" t="s">
        <v>14571</v>
      </c>
      <c r="Q885" s="5" t="s">
        <v>14572</v>
      </c>
      <c r="R885" s="5" t="s">
        <v>16872</v>
      </c>
      <c r="T885" s="5" t="s">
        <v>14574</v>
      </c>
      <c r="U885" s="5" t="s">
        <v>33</v>
      </c>
      <c r="V885" s="5" t="s">
        <v>1705</v>
      </c>
      <c r="W885" s="5" t="s">
        <v>7563</v>
      </c>
    </row>
    <row r="886" spans="1:23" ht="12.5">
      <c r="A886" s="5">
        <v>91390</v>
      </c>
      <c r="B886" s="5" t="s">
        <v>7565</v>
      </c>
      <c r="C886" s="5">
        <v>577863544281</v>
      </c>
      <c r="D886" s="5">
        <v>56</v>
      </c>
      <c r="E886" s="5" t="s">
        <v>1102</v>
      </c>
      <c r="F886" s="5" t="s">
        <v>33</v>
      </c>
      <c r="G886" s="5" t="s">
        <v>7565</v>
      </c>
      <c r="H886" s="5" t="s">
        <v>34</v>
      </c>
      <c r="I886" s="5">
        <v>7863544281</v>
      </c>
      <c r="J886" s="12">
        <v>46050</v>
      </c>
      <c r="K886" s="11">
        <v>0</v>
      </c>
      <c r="M886" s="10" t="s">
        <v>14569</v>
      </c>
      <c r="N886" s="12">
        <v>46050.288912638891</v>
      </c>
      <c r="O886" s="10" t="s">
        <v>16873</v>
      </c>
      <c r="P886" s="5" t="s">
        <v>14571</v>
      </c>
      <c r="Q886" s="5" t="s">
        <v>14578</v>
      </c>
      <c r="R886" s="5" t="s">
        <v>16874</v>
      </c>
      <c r="T886" s="5" t="s">
        <v>14574</v>
      </c>
      <c r="U886" s="5" t="s">
        <v>33</v>
      </c>
      <c r="V886" s="5" t="s">
        <v>37</v>
      </c>
      <c r="W886" s="5" t="s">
        <v>7566</v>
      </c>
    </row>
    <row r="887" spans="1:23" ht="12.5">
      <c r="A887" s="5">
        <v>91391</v>
      </c>
      <c r="B887" s="5" t="s">
        <v>7568</v>
      </c>
      <c r="C887" s="5"/>
      <c r="D887" s="5">
        <v>58</v>
      </c>
      <c r="E887" s="5" t="s">
        <v>57</v>
      </c>
      <c r="F887" s="5" t="s">
        <v>33</v>
      </c>
      <c r="G887" s="5" t="s">
        <v>7568</v>
      </c>
      <c r="H887" s="5" t="s">
        <v>34</v>
      </c>
      <c r="I887" s="5" t="s">
        <v>7569</v>
      </c>
      <c r="J887" s="12">
        <v>46050</v>
      </c>
      <c r="K887" s="11">
        <v>0</v>
      </c>
      <c r="M887" s="10" t="s">
        <v>15594</v>
      </c>
      <c r="N887" s="12">
        <v>46050.292623090281</v>
      </c>
      <c r="O887" s="10" t="s">
        <v>14600</v>
      </c>
      <c r="P887" s="5" t="s">
        <v>16291</v>
      </c>
      <c r="Q887" s="5" t="s">
        <v>14612</v>
      </c>
      <c r="R887" s="5" t="s">
        <v>16875</v>
      </c>
      <c r="T887" s="5" t="s">
        <v>14574</v>
      </c>
      <c r="U887" s="5" t="s">
        <v>33</v>
      </c>
      <c r="V887" s="5" t="s">
        <v>37</v>
      </c>
      <c r="W887" s="5" t="s">
        <v>7570</v>
      </c>
    </row>
    <row r="888" spans="1:23" ht="12.5">
      <c r="A888" s="5">
        <v>91392</v>
      </c>
      <c r="B888" s="5" t="s">
        <v>16876</v>
      </c>
      <c r="C888" s="5">
        <v>573016552449</v>
      </c>
      <c r="D888" s="5">
        <v>29</v>
      </c>
      <c r="E888" s="5" t="s">
        <v>309</v>
      </c>
      <c r="F888" s="5" t="s">
        <v>2090</v>
      </c>
      <c r="G888" s="5" t="s">
        <v>7573</v>
      </c>
      <c r="H888" s="5" t="s">
        <v>7574</v>
      </c>
      <c r="J888" s="12">
        <v>46050</v>
      </c>
      <c r="K888" s="11">
        <v>0.41666666666787933</v>
      </c>
      <c r="M888" s="10" t="s">
        <v>15064</v>
      </c>
      <c r="N888" s="12">
        <v>46050.349700289356</v>
      </c>
      <c r="O888" s="10" t="s">
        <v>16877</v>
      </c>
      <c r="P888" s="5" t="s">
        <v>14571</v>
      </c>
      <c r="Q888" s="5" t="s">
        <v>14578</v>
      </c>
      <c r="R888" s="5" t="s">
        <v>16878</v>
      </c>
      <c r="T888" s="5" t="s">
        <v>5994</v>
      </c>
      <c r="U888" s="5" t="s">
        <v>14618</v>
      </c>
      <c r="V888" s="5" t="s">
        <v>180</v>
      </c>
    </row>
    <row r="889" spans="1:23" ht="12.5">
      <c r="A889" s="5">
        <v>91393</v>
      </c>
      <c r="B889" s="5" t="s">
        <v>7579</v>
      </c>
      <c r="C889" s="10" t="s">
        <v>16879</v>
      </c>
      <c r="D889" s="5">
        <v>14</v>
      </c>
      <c r="E889" s="5" t="s">
        <v>1393</v>
      </c>
      <c r="F889" s="5" t="s">
        <v>33</v>
      </c>
      <c r="G889" s="5" t="s">
        <v>7579</v>
      </c>
      <c r="H889" s="5" t="s">
        <v>34</v>
      </c>
      <c r="I889" s="5" t="s">
        <v>7580</v>
      </c>
      <c r="J889" s="12">
        <v>46050</v>
      </c>
      <c r="K889" s="11">
        <v>0</v>
      </c>
      <c r="M889" s="10" t="s">
        <v>16880</v>
      </c>
      <c r="N889" s="12">
        <v>46050</v>
      </c>
      <c r="O889" s="10" t="s">
        <v>15909</v>
      </c>
      <c r="P889" s="5" t="s">
        <v>16291</v>
      </c>
      <c r="Q889" s="5" t="s">
        <v>14612</v>
      </c>
      <c r="R889" s="5" t="s">
        <v>16881</v>
      </c>
      <c r="T889" s="5" t="s">
        <v>14574</v>
      </c>
      <c r="U889" s="5" t="s">
        <v>33</v>
      </c>
      <c r="V889" s="5" t="s">
        <v>196</v>
      </c>
    </row>
    <row r="890" spans="1:23" ht="12.5">
      <c r="A890" s="5">
        <v>91394</v>
      </c>
      <c r="B890" s="5" t="s">
        <v>16882</v>
      </c>
      <c r="C890" s="5">
        <v>573007335753</v>
      </c>
      <c r="D890" s="5">
        <v>52</v>
      </c>
      <c r="E890" s="5" t="s">
        <v>178</v>
      </c>
      <c r="F890" s="5" t="s">
        <v>185</v>
      </c>
      <c r="G890" s="5" t="s">
        <v>7582</v>
      </c>
      <c r="H890" s="5" t="s">
        <v>7583</v>
      </c>
      <c r="J890" s="12">
        <v>46051</v>
      </c>
      <c r="K890" s="11">
        <v>0.41666666666787933</v>
      </c>
      <c r="M890" s="10" t="s">
        <v>16883</v>
      </c>
      <c r="N890" s="12">
        <v>46050.36235059028</v>
      </c>
      <c r="O890" s="10" t="s">
        <v>16358</v>
      </c>
      <c r="P890" s="5" t="s">
        <v>14571</v>
      </c>
      <c r="Q890" s="5" t="s">
        <v>14612</v>
      </c>
      <c r="R890" s="5" t="s">
        <v>16884</v>
      </c>
      <c r="T890" s="5" t="s">
        <v>5994</v>
      </c>
      <c r="U890" s="5" t="s">
        <v>14580</v>
      </c>
      <c r="V890" s="5" t="s">
        <v>67</v>
      </c>
      <c r="W890" s="5" t="s">
        <v>7586</v>
      </c>
    </row>
    <row r="891" spans="1:23" ht="12.5">
      <c r="A891" s="5">
        <v>91395</v>
      </c>
      <c r="B891" s="5" t="s">
        <v>16885</v>
      </c>
      <c r="C891" s="5">
        <v>573104423243</v>
      </c>
      <c r="D891" s="5">
        <v>29</v>
      </c>
      <c r="E891" s="5" t="s">
        <v>309</v>
      </c>
      <c r="F891" s="5" t="s">
        <v>63</v>
      </c>
      <c r="G891" s="5" t="s">
        <v>7589</v>
      </c>
      <c r="H891" s="5" t="s">
        <v>7590</v>
      </c>
      <c r="I891" s="5"/>
      <c r="J891" s="12">
        <v>46050</v>
      </c>
      <c r="K891" s="11">
        <v>0.41666666666787933</v>
      </c>
      <c r="M891" s="10" t="s">
        <v>15179</v>
      </c>
      <c r="N891" s="12">
        <v>46050.368662847221</v>
      </c>
      <c r="O891" s="10" t="s">
        <v>15824</v>
      </c>
      <c r="P891" s="5" t="s">
        <v>14571</v>
      </c>
      <c r="Q891" s="5" t="s">
        <v>14572</v>
      </c>
      <c r="R891" s="5" t="s">
        <v>16886</v>
      </c>
      <c r="T891" s="5" t="s">
        <v>5994</v>
      </c>
      <c r="U891" s="5" t="s">
        <v>14598</v>
      </c>
      <c r="V891" s="5" t="s">
        <v>1481</v>
      </c>
    </row>
    <row r="892" spans="1:23" ht="12.5">
      <c r="A892" s="5">
        <v>91396</v>
      </c>
      <c r="B892" s="5" t="s">
        <v>16887</v>
      </c>
      <c r="C892" s="5">
        <v>573013450345</v>
      </c>
      <c r="D892" s="5">
        <v>32</v>
      </c>
      <c r="E892" s="5" t="s">
        <v>65</v>
      </c>
      <c r="F892" s="5" t="s">
        <v>79</v>
      </c>
      <c r="G892" s="5" t="s">
        <v>7593</v>
      </c>
      <c r="H892" s="5" t="s">
        <v>7594</v>
      </c>
      <c r="I892" s="5">
        <v>3003215010</v>
      </c>
      <c r="J892" s="12">
        <v>46050</v>
      </c>
      <c r="K892" s="11">
        <v>0.45833333333212067</v>
      </c>
      <c r="M892" s="10" t="s">
        <v>14627</v>
      </c>
      <c r="N892" s="12">
        <v>46050.412035439818</v>
      </c>
      <c r="O892" s="10" t="s">
        <v>16888</v>
      </c>
      <c r="P892" s="5" t="s">
        <v>14571</v>
      </c>
      <c r="Q892" s="5" t="s">
        <v>14578</v>
      </c>
      <c r="R892" s="5" t="s">
        <v>16889</v>
      </c>
      <c r="T892" s="5" t="s">
        <v>5994</v>
      </c>
      <c r="U892" s="5" t="s">
        <v>14593</v>
      </c>
      <c r="V892" s="5" t="s">
        <v>1481</v>
      </c>
    </row>
    <row r="893" spans="1:23" ht="12.5">
      <c r="A893" s="5">
        <v>91397</v>
      </c>
      <c r="B893" s="5" t="s">
        <v>7599</v>
      </c>
      <c r="C893" s="5">
        <v>573002627762</v>
      </c>
      <c r="D893" s="5">
        <v>95</v>
      </c>
      <c r="E893" s="5" t="s">
        <v>42</v>
      </c>
      <c r="F893" s="5" t="s">
        <v>33</v>
      </c>
      <c r="G893" s="5" t="s">
        <v>7599</v>
      </c>
      <c r="H893" s="5" t="s">
        <v>34</v>
      </c>
      <c r="I893" s="5" t="s">
        <v>1452</v>
      </c>
      <c r="J893" s="12">
        <v>46050</v>
      </c>
      <c r="K893" s="11">
        <v>0</v>
      </c>
      <c r="M893" s="10" t="s">
        <v>14619</v>
      </c>
      <c r="N893" s="12">
        <v>46050.454333032409</v>
      </c>
      <c r="O893" s="10" t="s">
        <v>16890</v>
      </c>
      <c r="P893" s="5" t="s">
        <v>14571</v>
      </c>
      <c r="Q893" s="5" t="s">
        <v>14578</v>
      </c>
      <c r="R893" s="5" t="s">
        <v>16891</v>
      </c>
      <c r="T893" s="5" t="s">
        <v>14574</v>
      </c>
      <c r="U893" s="5" t="s">
        <v>33</v>
      </c>
      <c r="V893" s="5" t="s">
        <v>196</v>
      </c>
      <c r="W893" s="5" t="s">
        <v>7600</v>
      </c>
    </row>
    <row r="894" spans="1:23" ht="12.5">
      <c r="A894" s="5">
        <v>91398</v>
      </c>
      <c r="B894" s="5" t="s">
        <v>16892</v>
      </c>
      <c r="C894" s="5">
        <v>5719543974714</v>
      </c>
      <c r="D894" s="5">
        <v>5</v>
      </c>
      <c r="E894" s="5" t="s">
        <v>3111</v>
      </c>
      <c r="F894" s="5" t="s">
        <v>307</v>
      </c>
      <c r="G894" s="5" t="s">
        <v>7602</v>
      </c>
      <c r="H894" s="5" t="s">
        <v>7603</v>
      </c>
      <c r="J894" s="12">
        <v>46050</v>
      </c>
      <c r="K894" s="11">
        <v>0</v>
      </c>
      <c r="M894" s="10" t="s">
        <v>14649</v>
      </c>
      <c r="N894" s="12">
        <v>46050.479670092594</v>
      </c>
      <c r="O894" s="10" t="s">
        <v>14882</v>
      </c>
      <c r="P894" s="5" t="s">
        <v>14571</v>
      </c>
      <c r="Q894" s="5" t="s">
        <v>14572</v>
      </c>
      <c r="R894" s="5" t="s">
        <v>16893</v>
      </c>
      <c r="T894" s="5" t="s">
        <v>5994</v>
      </c>
      <c r="U894" s="5" t="s">
        <v>14618</v>
      </c>
      <c r="V894" s="5" t="s">
        <v>43</v>
      </c>
    </row>
    <row r="895" spans="1:23" ht="12.5">
      <c r="A895" s="5">
        <v>91399</v>
      </c>
      <c r="B895" s="5" t="s">
        <v>7606</v>
      </c>
      <c r="C895" s="5">
        <v>5700000</v>
      </c>
      <c r="D895" s="5">
        <v>52</v>
      </c>
      <c r="E895" s="5" t="s">
        <v>178</v>
      </c>
      <c r="F895" s="5" t="s">
        <v>33</v>
      </c>
      <c r="G895" s="5" t="s">
        <v>7606</v>
      </c>
      <c r="H895" s="5" t="s">
        <v>34</v>
      </c>
      <c r="J895" s="12">
        <v>46050</v>
      </c>
      <c r="K895" s="11">
        <v>0</v>
      </c>
      <c r="M895" s="10" t="s">
        <v>15161</v>
      </c>
      <c r="N895" s="12">
        <v>46050.485309837968</v>
      </c>
      <c r="O895" s="10" t="s">
        <v>14756</v>
      </c>
      <c r="P895" s="5" t="s">
        <v>14571</v>
      </c>
      <c r="Q895" s="5" t="s">
        <v>14578</v>
      </c>
      <c r="R895" s="5"/>
      <c r="T895" s="5" t="s">
        <v>14574</v>
      </c>
      <c r="U895" s="5" t="s">
        <v>33</v>
      </c>
      <c r="V895" s="5" t="s">
        <v>1705</v>
      </c>
    </row>
    <row r="896" spans="1:23" ht="12.5">
      <c r="A896" s="5">
        <v>91400</v>
      </c>
      <c r="B896" s="5" t="s">
        <v>16894</v>
      </c>
      <c r="C896" s="5">
        <v>527491061366</v>
      </c>
      <c r="D896" s="5">
        <v>53</v>
      </c>
      <c r="E896" s="5" t="s">
        <v>75</v>
      </c>
      <c r="F896" s="5" t="s">
        <v>103</v>
      </c>
      <c r="G896" s="5" t="s">
        <v>7609</v>
      </c>
      <c r="H896" s="5" t="s">
        <v>7610</v>
      </c>
      <c r="I896" s="5"/>
      <c r="J896" s="12">
        <v>46050</v>
      </c>
      <c r="K896" s="11">
        <v>0</v>
      </c>
      <c r="M896" s="10" t="s">
        <v>14627</v>
      </c>
      <c r="N896" s="12">
        <v>46050.463701458335</v>
      </c>
      <c r="O896" s="10" t="s">
        <v>16526</v>
      </c>
      <c r="P896" s="5" t="s">
        <v>14571</v>
      </c>
      <c r="Q896" s="5" t="s">
        <v>14578</v>
      </c>
      <c r="R896" s="5" t="s">
        <v>16895</v>
      </c>
      <c r="T896" s="5" t="s">
        <v>5994</v>
      </c>
      <c r="U896" s="5" t="s">
        <v>14593</v>
      </c>
      <c r="V896" s="5" t="s">
        <v>3754</v>
      </c>
      <c r="W896" s="5" t="s">
        <v>7613</v>
      </c>
    </row>
    <row r="897" spans="1:23" ht="12.5">
      <c r="A897" s="5">
        <v>91401</v>
      </c>
      <c r="B897" s="5" t="s">
        <v>7615</v>
      </c>
      <c r="C897" s="5">
        <v>573165222133</v>
      </c>
      <c r="D897" s="5">
        <v>95</v>
      </c>
      <c r="E897" s="5" t="s">
        <v>42</v>
      </c>
      <c r="F897" s="5" t="s">
        <v>33</v>
      </c>
      <c r="G897" s="5" t="s">
        <v>7615</v>
      </c>
      <c r="H897" s="5" t="s">
        <v>34</v>
      </c>
      <c r="I897" s="5" t="s">
        <v>7616</v>
      </c>
      <c r="J897" s="12">
        <v>46088</v>
      </c>
      <c r="K897" s="11">
        <v>0.375</v>
      </c>
      <c r="M897" s="10" t="s">
        <v>2686</v>
      </c>
      <c r="N897" s="12">
        <v>46050.496247511575</v>
      </c>
      <c r="O897" s="10" t="s">
        <v>14977</v>
      </c>
      <c r="P897" s="5" t="s">
        <v>14571</v>
      </c>
      <c r="Q897" s="5" t="s">
        <v>14572</v>
      </c>
      <c r="R897" s="5" t="s">
        <v>16896</v>
      </c>
      <c r="T897" s="5" t="s">
        <v>14574</v>
      </c>
      <c r="U897" s="5" t="s">
        <v>33</v>
      </c>
      <c r="V897" s="5" t="s">
        <v>1481</v>
      </c>
      <c r="W897" s="5" t="s">
        <v>7618</v>
      </c>
    </row>
    <row r="898" spans="1:23" ht="12.5">
      <c r="A898" s="5">
        <v>91402</v>
      </c>
      <c r="B898" s="5" t="s">
        <v>16897</v>
      </c>
      <c r="C898" s="5">
        <v>573104300883</v>
      </c>
      <c r="D898" s="5" t="s">
        <v>15256</v>
      </c>
      <c r="E898" s="5" t="s">
        <v>7621</v>
      </c>
      <c r="F898" s="5" t="s">
        <v>185</v>
      </c>
      <c r="G898" s="5" t="s">
        <v>7619</v>
      </c>
      <c r="H898" s="5" t="s">
        <v>7620</v>
      </c>
      <c r="I898" s="5">
        <v>3104300883</v>
      </c>
      <c r="J898" s="12">
        <v>46050</v>
      </c>
      <c r="K898" s="11">
        <v>0</v>
      </c>
      <c r="M898" s="10" t="s">
        <v>16898</v>
      </c>
      <c r="N898" s="12">
        <v>46050.486530115741</v>
      </c>
      <c r="O898" s="10" t="s">
        <v>15148</v>
      </c>
      <c r="P898" s="5" t="s">
        <v>14571</v>
      </c>
      <c r="Q898" s="5" t="s">
        <v>14578</v>
      </c>
      <c r="R898" s="5" t="s">
        <v>16899</v>
      </c>
      <c r="T898" s="5" t="s">
        <v>5994</v>
      </c>
      <c r="U898" s="5" t="s">
        <v>14580</v>
      </c>
      <c r="V898" s="5" t="s">
        <v>67</v>
      </c>
      <c r="W898" s="5" t="s">
        <v>7623</v>
      </c>
    </row>
    <row r="899" spans="1:23" ht="12.5">
      <c r="A899" s="5">
        <v>91403</v>
      </c>
      <c r="B899" s="5" t="s">
        <v>7626</v>
      </c>
      <c r="C899" s="5">
        <v>577161</v>
      </c>
      <c r="D899" s="5">
        <v>95</v>
      </c>
      <c r="E899" s="5" t="s">
        <v>42</v>
      </c>
      <c r="F899" s="5" t="s">
        <v>33</v>
      </c>
      <c r="G899" s="5" t="s">
        <v>7626</v>
      </c>
      <c r="H899" s="5" t="s">
        <v>34</v>
      </c>
      <c r="I899" s="5">
        <v>7161</v>
      </c>
      <c r="J899" s="12">
        <v>46050</v>
      </c>
      <c r="K899" s="11">
        <v>0</v>
      </c>
      <c r="M899" s="10" t="s">
        <v>16900</v>
      </c>
      <c r="N899" s="12">
        <v>46050.507441249996</v>
      </c>
      <c r="O899" s="10" t="s">
        <v>15696</v>
      </c>
      <c r="P899" s="5" t="s">
        <v>14571</v>
      </c>
      <c r="Q899" s="5" t="s">
        <v>14572</v>
      </c>
      <c r="R899" s="5" t="s">
        <v>16901</v>
      </c>
      <c r="T899" s="5" t="s">
        <v>14574</v>
      </c>
      <c r="U899" s="5" t="s">
        <v>33</v>
      </c>
      <c r="V899" s="5" t="s">
        <v>1705</v>
      </c>
      <c r="W899" s="5" t="s">
        <v>525</v>
      </c>
    </row>
    <row r="900" spans="1:23" ht="12.5">
      <c r="A900" s="5">
        <v>91404</v>
      </c>
      <c r="B900" s="5" t="s">
        <v>16902</v>
      </c>
      <c r="C900" s="5">
        <v>18472260826</v>
      </c>
      <c r="D900" s="5">
        <v>68</v>
      </c>
      <c r="E900" s="5" t="s">
        <v>361</v>
      </c>
      <c r="F900" s="5" t="s">
        <v>1497</v>
      </c>
      <c r="G900" s="5" t="s">
        <v>7628</v>
      </c>
      <c r="H900" s="5" t="s">
        <v>7629</v>
      </c>
      <c r="I900" s="5"/>
      <c r="J900" s="12">
        <v>46050</v>
      </c>
      <c r="K900" s="11">
        <v>0</v>
      </c>
      <c r="M900" s="10" t="s">
        <v>14615</v>
      </c>
      <c r="N900" s="12">
        <v>46050.514397951389</v>
      </c>
      <c r="O900" s="10" t="s">
        <v>15616</v>
      </c>
      <c r="P900" s="5" t="s">
        <v>14571</v>
      </c>
      <c r="Q900" s="5" t="s">
        <v>14578</v>
      </c>
      <c r="R900" s="5" t="s">
        <v>16903</v>
      </c>
      <c r="T900" s="5" t="s">
        <v>5994</v>
      </c>
      <c r="U900" s="5" t="s">
        <v>14593</v>
      </c>
      <c r="V900" s="5" t="s">
        <v>204</v>
      </c>
    </row>
    <row r="901" spans="1:23" ht="12.5">
      <c r="A901" s="5">
        <v>91405</v>
      </c>
      <c r="B901" s="5" t="s">
        <v>13465</v>
      </c>
      <c r="C901" s="5">
        <v>50497268800</v>
      </c>
      <c r="D901" s="5">
        <v>20</v>
      </c>
      <c r="E901" s="5" t="s">
        <v>187</v>
      </c>
      <c r="F901" s="5" t="s">
        <v>73</v>
      </c>
      <c r="G901" s="5" t="s">
        <v>7633</v>
      </c>
      <c r="H901" s="5" t="s">
        <v>7634</v>
      </c>
      <c r="I901" s="5"/>
      <c r="J901" s="12">
        <v>46050</v>
      </c>
      <c r="K901" s="11">
        <v>0.625</v>
      </c>
      <c r="M901" s="10" t="s">
        <v>14890</v>
      </c>
      <c r="N901" s="12">
        <v>46050.526022754631</v>
      </c>
      <c r="O901" s="10" t="s">
        <v>16654</v>
      </c>
      <c r="P901" s="5" t="s">
        <v>14571</v>
      </c>
      <c r="Q901" s="5" t="s">
        <v>14572</v>
      </c>
      <c r="R901" s="5" t="s">
        <v>16904</v>
      </c>
      <c r="T901" s="5" t="s">
        <v>5994</v>
      </c>
      <c r="U901" s="5" t="s">
        <v>14593</v>
      </c>
      <c r="V901" s="5" t="s">
        <v>1937</v>
      </c>
      <c r="W901" s="5" t="s">
        <v>7637</v>
      </c>
    </row>
    <row r="902" spans="1:23" ht="12.5">
      <c r="A902" s="5">
        <v>91406</v>
      </c>
      <c r="B902" s="5" t="s">
        <v>7640</v>
      </c>
      <c r="C902" s="5">
        <v>573024083398</v>
      </c>
      <c r="D902" s="5" t="s">
        <v>16905</v>
      </c>
      <c r="E902" s="5" t="s">
        <v>7643</v>
      </c>
      <c r="G902" s="5" t="s">
        <v>7640</v>
      </c>
      <c r="H902" s="5" t="s">
        <v>7641</v>
      </c>
      <c r="I902" s="5" t="s">
        <v>7642</v>
      </c>
      <c r="J902" s="12">
        <v>46067</v>
      </c>
      <c r="K902" s="11">
        <v>0.54166666666787933</v>
      </c>
      <c r="M902" s="10" t="s">
        <v>16906</v>
      </c>
      <c r="N902" s="12">
        <v>46050.561123101856</v>
      </c>
      <c r="O902" s="10" t="s">
        <v>14961</v>
      </c>
      <c r="P902" s="5" t="s">
        <v>14571</v>
      </c>
      <c r="Q902" s="5" t="s">
        <v>16907</v>
      </c>
      <c r="R902" s="5" t="s">
        <v>16908</v>
      </c>
      <c r="T902" s="5" t="s">
        <v>5994</v>
      </c>
      <c r="V902" s="5" t="s">
        <v>7644</v>
      </c>
      <c r="W902" s="5" t="s">
        <v>7645</v>
      </c>
    </row>
    <row r="903" spans="1:23" ht="12.5">
      <c r="A903" s="5">
        <v>91407</v>
      </c>
      <c r="B903" s="5" t="s">
        <v>16909</v>
      </c>
      <c r="C903" s="5">
        <v>573005514268</v>
      </c>
      <c r="D903" s="5">
        <v>31</v>
      </c>
      <c r="E903" s="5" t="s">
        <v>375</v>
      </c>
      <c r="F903" s="5" t="s">
        <v>63</v>
      </c>
      <c r="G903" s="5" t="s">
        <v>7646</v>
      </c>
      <c r="H903" s="5" t="s">
        <v>7647</v>
      </c>
      <c r="I903" s="5">
        <v>3005514268</v>
      </c>
      <c r="J903" s="12">
        <v>46050</v>
      </c>
      <c r="K903" s="11">
        <v>0.625</v>
      </c>
      <c r="M903" s="10" t="s">
        <v>15525</v>
      </c>
      <c r="N903" s="12">
        <v>46050.572605277775</v>
      </c>
      <c r="O903" s="10" t="s">
        <v>16539</v>
      </c>
      <c r="P903" s="5" t="s">
        <v>14571</v>
      </c>
      <c r="Q903" s="5" t="s">
        <v>14612</v>
      </c>
      <c r="R903" s="5" t="s">
        <v>16910</v>
      </c>
      <c r="T903" s="5" t="s">
        <v>5994</v>
      </c>
      <c r="U903" s="5" t="s">
        <v>14598</v>
      </c>
      <c r="V903" s="5" t="s">
        <v>67</v>
      </c>
    </row>
    <row r="904" spans="1:23" ht="12.5">
      <c r="A904" s="5">
        <v>91408</v>
      </c>
      <c r="B904" s="5" t="s">
        <v>16911</v>
      </c>
      <c r="C904" s="5">
        <v>573003793231</v>
      </c>
      <c r="D904" s="5">
        <v>31</v>
      </c>
      <c r="E904" s="5" t="s">
        <v>375</v>
      </c>
      <c r="F904" s="5" t="s">
        <v>154</v>
      </c>
      <c r="G904" s="5" t="s">
        <v>2856</v>
      </c>
      <c r="H904" s="5" t="s">
        <v>7651</v>
      </c>
      <c r="I904" s="5" t="s">
        <v>7652</v>
      </c>
      <c r="J904" s="12">
        <v>46050</v>
      </c>
      <c r="K904" s="11">
        <v>0.16666666666787933</v>
      </c>
      <c r="M904" s="10" t="s">
        <v>14850</v>
      </c>
      <c r="N904" s="12">
        <v>46050.604766087963</v>
      </c>
      <c r="O904" s="10" t="s">
        <v>15547</v>
      </c>
      <c r="P904" s="5" t="s">
        <v>14571</v>
      </c>
      <c r="Q904" s="5" t="s">
        <v>14612</v>
      </c>
      <c r="R904" s="5" t="s">
        <v>16912</v>
      </c>
      <c r="T904" s="5" t="s">
        <v>5994</v>
      </c>
      <c r="U904" s="5" t="s">
        <v>14593</v>
      </c>
      <c r="V904" s="5" t="s">
        <v>1937</v>
      </c>
    </row>
    <row r="905" spans="1:23" ht="12.5">
      <c r="A905" s="5">
        <v>91409</v>
      </c>
      <c r="B905" s="5" t="s">
        <v>16913</v>
      </c>
      <c r="C905" s="5">
        <v>573046814886</v>
      </c>
      <c r="D905" s="5">
        <v>29</v>
      </c>
      <c r="E905" s="5" t="s">
        <v>309</v>
      </c>
      <c r="F905" s="5" t="s">
        <v>73</v>
      </c>
      <c r="G905" s="5" t="s">
        <v>7656</v>
      </c>
      <c r="H905" s="5" t="s">
        <v>7657</v>
      </c>
      <c r="I905" s="5">
        <v>3222690652</v>
      </c>
      <c r="J905" s="12">
        <v>46050</v>
      </c>
      <c r="K905" s="11">
        <v>0.66666666666787933</v>
      </c>
      <c r="M905" s="10" t="s">
        <v>15585</v>
      </c>
      <c r="N905" s="12">
        <v>46050.611046655089</v>
      </c>
      <c r="O905" s="10" t="s">
        <v>16667</v>
      </c>
      <c r="P905" s="5" t="s">
        <v>14571</v>
      </c>
      <c r="Q905" s="5" t="s">
        <v>14572</v>
      </c>
      <c r="R905" s="5" t="s">
        <v>16914</v>
      </c>
      <c r="T905" s="5" t="s">
        <v>5994</v>
      </c>
      <c r="U905" s="5" t="s">
        <v>14593</v>
      </c>
      <c r="V905" s="5" t="s">
        <v>83</v>
      </c>
    </row>
    <row r="906" spans="1:23" ht="12.5">
      <c r="A906" s="5">
        <v>91410</v>
      </c>
      <c r="B906" s="5" t="s">
        <v>16915</v>
      </c>
      <c r="C906" s="5">
        <v>573112173067</v>
      </c>
      <c r="D906" s="5" t="s">
        <v>14711</v>
      </c>
      <c r="E906" s="5" t="s">
        <v>7664</v>
      </c>
      <c r="F906" s="5" t="s">
        <v>124</v>
      </c>
      <c r="G906" s="5" t="s">
        <v>7662</v>
      </c>
      <c r="H906" s="5" t="s">
        <v>7663</v>
      </c>
      <c r="I906" s="5">
        <v>3024475628</v>
      </c>
      <c r="J906" s="12">
        <v>46050</v>
      </c>
      <c r="K906" s="11">
        <v>0.66666666666787933</v>
      </c>
      <c r="M906" s="10" t="s">
        <v>15076</v>
      </c>
      <c r="N906" s="12">
        <v>46050.592226863431</v>
      </c>
      <c r="O906" s="10" t="s">
        <v>15550</v>
      </c>
      <c r="P906" s="5" t="s">
        <v>14571</v>
      </c>
      <c r="Q906" s="5" t="s">
        <v>14578</v>
      </c>
      <c r="R906" s="5" t="s">
        <v>16916</v>
      </c>
      <c r="T906" s="5" t="s">
        <v>5994</v>
      </c>
      <c r="U906" s="5" t="s">
        <v>14775</v>
      </c>
      <c r="V906" s="5" t="s">
        <v>83</v>
      </c>
    </row>
    <row r="907" spans="1:23" ht="12.5">
      <c r="A907" s="5">
        <v>91411</v>
      </c>
      <c r="B907" s="5" t="s">
        <v>16917</v>
      </c>
      <c r="C907" s="5">
        <v>17542682125</v>
      </c>
      <c r="D907" s="5">
        <v>26</v>
      </c>
      <c r="E907" s="5" t="s">
        <v>422</v>
      </c>
      <c r="F907" s="5" t="s">
        <v>5574</v>
      </c>
      <c r="G907" s="5" t="s">
        <v>7668</v>
      </c>
      <c r="H907" s="5" t="s">
        <v>7669</v>
      </c>
      <c r="I907" s="5"/>
      <c r="J907" s="12">
        <v>46050</v>
      </c>
      <c r="K907" s="11">
        <v>0.66666666666787933</v>
      </c>
      <c r="M907" s="10" t="s">
        <v>15384</v>
      </c>
      <c r="N907" s="12">
        <v>46050.617683321761</v>
      </c>
      <c r="O907" s="10" t="s">
        <v>15246</v>
      </c>
      <c r="P907" s="5" t="s">
        <v>14571</v>
      </c>
      <c r="Q907" s="5" t="s">
        <v>14572</v>
      </c>
      <c r="R907" s="5" t="s">
        <v>16918</v>
      </c>
      <c r="T907" s="5" t="s">
        <v>5994</v>
      </c>
      <c r="U907" s="5" t="s">
        <v>14593</v>
      </c>
      <c r="V907" s="5" t="s">
        <v>1937</v>
      </c>
    </row>
    <row r="908" spans="1:23" ht="12.5">
      <c r="A908" s="5">
        <v>91412</v>
      </c>
      <c r="B908" s="5" t="s">
        <v>14622</v>
      </c>
      <c r="C908" s="5">
        <v>573015669546</v>
      </c>
      <c r="D908" s="5">
        <v>95</v>
      </c>
      <c r="E908" s="5" t="s">
        <v>42</v>
      </c>
      <c r="G908" s="5" t="s">
        <v>5004</v>
      </c>
      <c r="H908" s="5" t="s">
        <v>7672</v>
      </c>
      <c r="I908" s="10" t="s">
        <v>2686</v>
      </c>
      <c r="J908" s="12">
        <v>46051</v>
      </c>
      <c r="K908" s="11">
        <v>0</v>
      </c>
      <c r="M908" s="10" t="s">
        <v>2686</v>
      </c>
      <c r="N908" s="12">
        <v>46050.632927962964</v>
      </c>
      <c r="O908" s="10" t="s">
        <v>16919</v>
      </c>
      <c r="P908" s="10" t="s">
        <v>16920</v>
      </c>
      <c r="Q908" s="5" t="s">
        <v>14612</v>
      </c>
      <c r="R908" s="5" t="s">
        <v>16921</v>
      </c>
      <c r="T908" s="5" t="s">
        <v>5994</v>
      </c>
      <c r="V908" s="5" t="s">
        <v>43</v>
      </c>
      <c r="W908" s="5" t="s">
        <v>525</v>
      </c>
    </row>
    <row r="909" spans="1:23" ht="12.5">
      <c r="A909" s="5">
        <v>91413</v>
      </c>
      <c r="B909" s="5" t="s">
        <v>16922</v>
      </c>
      <c r="C909" s="5">
        <v>573007389560</v>
      </c>
      <c r="D909" s="5">
        <v>29</v>
      </c>
      <c r="E909" s="5" t="s">
        <v>309</v>
      </c>
      <c r="G909" s="5" t="s">
        <v>7675</v>
      </c>
      <c r="H909" s="5" t="s">
        <v>7676</v>
      </c>
      <c r="I909" s="5"/>
      <c r="J909" s="12">
        <v>46050</v>
      </c>
      <c r="K909" s="11">
        <v>0.66666666666787933</v>
      </c>
      <c r="M909" s="10" t="s">
        <v>14850</v>
      </c>
      <c r="N909" s="12">
        <v>46050.642221875001</v>
      </c>
      <c r="O909" s="10" t="s">
        <v>16790</v>
      </c>
      <c r="P909" s="5" t="s">
        <v>14571</v>
      </c>
      <c r="Q909" s="5" t="s">
        <v>14578</v>
      </c>
      <c r="R909" s="5" t="s">
        <v>16923</v>
      </c>
      <c r="T909" s="5" t="s">
        <v>5994</v>
      </c>
      <c r="V909" s="5" t="s">
        <v>67</v>
      </c>
    </row>
    <row r="910" spans="1:23" ht="12.5">
      <c r="A910" s="5">
        <v>91414</v>
      </c>
      <c r="B910" s="5" t="s">
        <v>16924</v>
      </c>
      <c r="C910" s="5">
        <v>575756135617</v>
      </c>
      <c r="D910" s="5">
        <v>64</v>
      </c>
      <c r="E910" s="5" t="s">
        <v>133</v>
      </c>
      <c r="F910" s="5" t="s">
        <v>249</v>
      </c>
      <c r="G910" s="5" t="s">
        <v>7678</v>
      </c>
      <c r="H910" s="5" t="s">
        <v>7679</v>
      </c>
      <c r="I910" s="5" t="s">
        <v>7680</v>
      </c>
      <c r="J910" s="12">
        <v>46050</v>
      </c>
      <c r="K910" s="11">
        <v>0.66666666666787933</v>
      </c>
      <c r="M910" s="10" t="s">
        <v>15384</v>
      </c>
      <c r="N910" s="12">
        <v>46050.613754699079</v>
      </c>
      <c r="O910" s="10" t="s">
        <v>16925</v>
      </c>
      <c r="P910" s="5" t="s">
        <v>14571</v>
      </c>
      <c r="Q910" s="5" t="s">
        <v>14612</v>
      </c>
      <c r="R910" s="5" t="s">
        <v>16926</v>
      </c>
      <c r="T910" s="5" t="s">
        <v>5994</v>
      </c>
      <c r="U910" s="5" t="s">
        <v>14593</v>
      </c>
      <c r="V910" s="5" t="s">
        <v>67</v>
      </c>
    </row>
    <row r="911" spans="1:23" ht="12.5">
      <c r="A911" s="5">
        <v>91415</v>
      </c>
      <c r="B911" s="5" t="s">
        <v>16927</v>
      </c>
      <c r="C911" s="10" t="s">
        <v>16928</v>
      </c>
      <c r="D911" s="5">
        <v>38</v>
      </c>
      <c r="E911" s="5" t="s">
        <v>458</v>
      </c>
      <c r="F911" s="5" t="s">
        <v>448</v>
      </c>
      <c r="G911" s="5" t="s">
        <v>7684</v>
      </c>
      <c r="H911" s="5" t="s">
        <v>7685</v>
      </c>
      <c r="I911" s="5"/>
      <c r="J911" s="12">
        <v>46052</v>
      </c>
      <c r="K911" s="11">
        <v>0.375</v>
      </c>
      <c r="M911" s="10" t="s">
        <v>14789</v>
      </c>
      <c r="N911" s="12">
        <v>46050</v>
      </c>
      <c r="O911" s="10" t="s">
        <v>15717</v>
      </c>
      <c r="P911" s="5" t="s">
        <v>14571</v>
      </c>
      <c r="Q911" s="5" t="s">
        <v>14612</v>
      </c>
      <c r="R911" s="5" t="s">
        <v>16929</v>
      </c>
      <c r="T911" s="5" t="s">
        <v>5994</v>
      </c>
      <c r="U911" s="5" t="s">
        <v>14580</v>
      </c>
      <c r="V911" s="5" t="s">
        <v>3754</v>
      </c>
    </row>
    <row r="912" spans="1:23" ht="12.5">
      <c r="A912" s="5">
        <v>91416</v>
      </c>
      <c r="B912" s="5" t="s">
        <v>16930</v>
      </c>
      <c r="C912" s="5">
        <v>573002039141</v>
      </c>
      <c r="D912" s="5" t="s">
        <v>14589</v>
      </c>
      <c r="E912" s="5" t="s">
        <v>7691</v>
      </c>
      <c r="F912" s="5" t="s">
        <v>79</v>
      </c>
      <c r="G912" s="5" t="s">
        <v>7689</v>
      </c>
      <c r="H912" s="5" t="s">
        <v>7690</v>
      </c>
      <c r="I912" s="5">
        <v>3002039141</v>
      </c>
      <c r="J912" s="12">
        <v>46050</v>
      </c>
      <c r="K912" s="11">
        <v>0.75</v>
      </c>
      <c r="M912" s="10" t="s">
        <v>14910</v>
      </c>
      <c r="N912" s="12">
        <v>46050.683377743058</v>
      </c>
      <c r="O912" s="10" t="s">
        <v>16931</v>
      </c>
      <c r="P912" s="5" t="s">
        <v>14571</v>
      </c>
      <c r="Q912" s="5" t="s">
        <v>14572</v>
      </c>
      <c r="R912" s="5" t="s">
        <v>16932</v>
      </c>
      <c r="T912" s="5" t="s">
        <v>5994</v>
      </c>
      <c r="U912" s="5" t="s">
        <v>14593</v>
      </c>
      <c r="V912" s="5" t="s">
        <v>67</v>
      </c>
    </row>
    <row r="913" spans="1:23" ht="12.5">
      <c r="A913" s="5">
        <v>91417</v>
      </c>
      <c r="B913" s="5" t="s">
        <v>7696</v>
      </c>
      <c r="C913" s="5">
        <v>573207590396</v>
      </c>
      <c r="D913" s="5">
        <v>95</v>
      </c>
      <c r="E913" s="5" t="s">
        <v>42</v>
      </c>
      <c r="F913" s="5" t="s">
        <v>33</v>
      </c>
      <c r="G913" s="5" t="s">
        <v>7696</v>
      </c>
      <c r="H913" s="5" t="s">
        <v>34</v>
      </c>
      <c r="I913" s="5">
        <v>3207590396</v>
      </c>
      <c r="J913" s="12">
        <v>46050</v>
      </c>
      <c r="K913" s="11">
        <v>0.75</v>
      </c>
      <c r="M913" s="10" t="s">
        <v>16222</v>
      </c>
      <c r="N913" s="12">
        <v>46050.709276585651</v>
      </c>
      <c r="O913" s="10" t="s">
        <v>16239</v>
      </c>
      <c r="P913" s="5" t="s">
        <v>14571</v>
      </c>
      <c r="Q913" s="5" t="s">
        <v>14572</v>
      </c>
      <c r="R913" s="5" t="s">
        <v>16933</v>
      </c>
      <c r="T913" s="5" t="s">
        <v>14574</v>
      </c>
      <c r="U913" s="5" t="s">
        <v>33</v>
      </c>
      <c r="V913" s="5" t="s">
        <v>67</v>
      </c>
    </row>
    <row r="914" spans="1:23" ht="12.5">
      <c r="A914" s="5">
        <v>91418</v>
      </c>
      <c r="B914" s="5" t="s">
        <v>16934</v>
      </c>
      <c r="C914" s="5">
        <v>447554027109</v>
      </c>
      <c r="D914" s="5">
        <v>36</v>
      </c>
      <c r="E914" s="5" t="s">
        <v>222</v>
      </c>
      <c r="F914" s="5" t="s">
        <v>73</v>
      </c>
      <c r="G914" s="5" t="s">
        <v>7698</v>
      </c>
      <c r="H914" s="5" t="s">
        <v>7699</v>
      </c>
      <c r="J914" s="12">
        <v>46052</v>
      </c>
      <c r="K914" s="11">
        <v>0.375</v>
      </c>
      <c r="M914" s="10" t="s">
        <v>14903</v>
      </c>
      <c r="N914" s="12">
        <v>46050.690471134258</v>
      </c>
      <c r="O914" s="10" t="s">
        <v>15033</v>
      </c>
      <c r="P914" s="5" t="s">
        <v>14571</v>
      </c>
      <c r="Q914" s="5" t="s">
        <v>14572</v>
      </c>
      <c r="R914" s="5" t="s">
        <v>16935</v>
      </c>
      <c r="T914" s="5" t="s">
        <v>5994</v>
      </c>
      <c r="U914" s="5" t="s">
        <v>14593</v>
      </c>
      <c r="V914" s="5" t="s">
        <v>67</v>
      </c>
      <c r="W914" s="5" t="s">
        <v>7702</v>
      </c>
    </row>
    <row r="915" spans="1:23" ht="12.5">
      <c r="A915" s="5">
        <v>91419</v>
      </c>
      <c r="B915" s="5" t="s">
        <v>16936</v>
      </c>
      <c r="C915" s="5">
        <v>573017892923</v>
      </c>
      <c r="D915" s="5">
        <v>38</v>
      </c>
      <c r="E915" s="5" t="s">
        <v>458</v>
      </c>
      <c r="F915" s="5" t="s">
        <v>103</v>
      </c>
      <c r="G915" s="5" t="s">
        <v>7704</v>
      </c>
      <c r="H915" s="5" t="s">
        <v>7705</v>
      </c>
      <c r="I915" s="5">
        <v>3004708070</v>
      </c>
      <c r="J915" s="12">
        <v>46051</v>
      </c>
      <c r="K915" s="11">
        <v>0.375</v>
      </c>
      <c r="M915" s="10" t="s">
        <v>15278</v>
      </c>
      <c r="N915" s="12">
        <v>46051.309631180557</v>
      </c>
      <c r="O915" s="10" t="s">
        <v>16937</v>
      </c>
      <c r="P915" s="5" t="s">
        <v>14571</v>
      </c>
      <c r="Q915" s="5" t="s">
        <v>14572</v>
      </c>
      <c r="R915" s="5" t="s">
        <v>16938</v>
      </c>
      <c r="T915" s="5" t="s">
        <v>5994</v>
      </c>
      <c r="U915" s="5" t="s">
        <v>14593</v>
      </c>
      <c r="V915" s="5" t="s">
        <v>67</v>
      </c>
    </row>
    <row r="916" spans="1:23" ht="12.5">
      <c r="A916" s="5">
        <v>91420</v>
      </c>
      <c r="B916" s="5" t="s">
        <v>16939</v>
      </c>
      <c r="C916" s="5">
        <v>573103851418</v>
      </c>
      <c r="D916" s="5">
        <v>31</v>
      </c>
      <c r="E916" s="5" t="s">
        <v>375</v>
      </c>
      <c r="F916" s="5" t="s">
        <v>726</v>
      </c>
      <c r="G916" s="5" t="s">
        <v>7708</v>
      </c>
      <c r="H916" s="5" t="s">
        <v>7709</v>
      </c>
      <c r="I916" s="5">
        <v>3103851418</v>
      </c>
      <c r="J916" s="12">
        <v>46053</v>
      </c>
      <c r="K916" s="11">
        <v>0.33333333333212067</v>
      </c>
      <c r="M916" s="10" t="s">
        <v>16101</v>
      </c>
      <c r="N916" s="12">
        <v>46051.33110625</v>
      </c>
      <c r="O916" s="10" t="s">
        <v>15583</v>
      </c>
      <c r="P916" s="5" t="s">
        <v>14571</v>
      </c>
      <c r="Q916" s="5" t="s">
        <v>14578</v>
      </c>
      <c r="R916" s="5" t="s">
        <v>16940</v>
      </c>
      <c r="T916" s="5" t="s">
        <v>5994</v>
      </c>
      <c r="U916" s="5" t="s">
        <v>14618</v>
      </c>
      <c r="V916" s="5" t="s">
        <v>67</v>
      </c>
      <c r="W916" s="5" t="s">
        <v>7712</v>
      </c>
    </row>
    <row r="917" spans="1:23" ht="12.5">
      <c r="A917" s="5">
        <v>91421</v>
      </c>
      <c r="B917" s="5" t="s">
        <v>7715</v>
      </c>
      <c r="C917" s="5">
        <v>573157545734</v>
      </c>
      <c r="D917" s="5">
        <v>95</v>
      </c>
      <c r="E917" s="5" t="s">
        <v>42</v>
      </c>
      <c r="F917" s="5" t="s">
        <v>73</v>
      </c>
      <c r="G917" s="5" t="s">
        <v>7715</v>
      </c>
      <c r="H917" s="5" t="s">
        <v>7716</v>
      </c>
      <c r="I917" s="5">
        <v>3157545734</v>
      </c>
      <c r="J917" s="12">
        <v>46053</v>
      </c>
      <c r="K917" s="11">
        <v>0.66666666666787933</v>
      </c>
      <c r="M917" s="10" t="s">
        <v>15785</v>
      </c>
      <c r="N917" s="12">
        <v>46051.355195833334</v>
      </c>
      <c r="O917" s="10" t="s">
        <v>16941</v>
      </c>
      <c r="P917" s="5" t="s">
        <v>14571</v>
      </c>
      <c r="Q917" s="5" t="s">
        <v>14572</v>
      </c>
      <c r="R917" s="5" t="s">
        <v>16942</v>
      </c>
      <c r="T917" s="5" t="s">
        <v>5994</v>
      </c>
      <c r="U917" s="5" t="s">
        <v>14593</v>
      </c>
      <c r="V917" s="5" t="s">
        <v>67</v>
      </c>
      <c r="W917" s="5" t="s">
        <v>7717</v>
      </c>
    </row>
    <row r="918" spans="1:23" ht="12.5">
      <c r="A918" s="5">
        <v>91422</v>
      </c>
      <c r="B918" s="5" t="s">
        <v>15993</v>
      </c>
      <c r="C918" s="5">
        <v>573006624819</v>
      </c>
      <c r="D918" s="5">
        <v>51</v>
      </c>
      <c r="E918" s="5" t="s">
        <v>384</v>
      </c>
      <c r="F918" s="5" t="s">
        <v>110</v>
      </c>
      <c r="G918" s="5" t="s">
        <v>7718</v>
      </c>
      <c r="H918" s="5" t="s">
        <v>7719</v>
      </c>
      <c r="J918" s="12">
        <v>46051</v>
      </c>
      <c r="K918" s="11">
        <v>0.40833333333284827</v>
      </c>
      <c r="M918" s="10" t="s">
        <v>15377</v>
      </c>
      <c r="N918" s="12">
        <v>46051.387152557872</v>
      </c>
      <c r="O918" s="10" t="s">
        <v>15321</v>
      </c>
      <c r="P918" s="5" t="s">
        <v>14571</v>
      </c>
      <c r="Q918" s="5" t="s">
        <v>14578</v>
      </c>
      <c r="R918" s="5" t="s">
        <v>16943</v>
      </c>
      <c r="T918" s="5" t="s">
        <v>5994</v>
      </c>
      <c r="U918" s="5" t="s">
        <v>14593</v>
      </c>
      <c r="V918" s="5" t="s">
        <v>1937</v>
      </c>
    </row>
    <row r="919" spans="1:23" ht="12.5">
      <c r="A919" s="5">
        <v>91423</v>
      </c>
      <c r="B919" s="5" t="s">
        <v>16944</v>
      </c>
      <c r="C919" s="5">
        <v>573171550007</v>
      </c>
      <c r="D919" s="5">
        <v>5</v>
      </c>
      <c r="E919" s="5" t="s">
        <v>4021</v>
      </c>
      <c r="F919" s="5" t="s">
        <v>79</v>
      </c>
      <c r="G919" s="5" t="s">
        <v>7723</v>
      </c>
      <c r="H919" s="5" t="s">
        <v>7724</v>
      </c>
      <c r="I919" s="5" t="s">
        <v>7725</v>
      </c>
      <c r="J919" s="12">
        <v>46052</v>
      </c>
      <c r="K919" s="11">
        <v>0.41666666666787933</v>
      </c>
      <c r="M919" s="10" t="s">
        <v>15301</v>
      </c>
      <c r="N919" s="12">
        <v>46051.391391226847</v>
      </c>
      <c r="O919" s="10" t="s">
        <v>14994</v>
      </c>
      <c r="P919" s="5" t="s">
        <v>14571</v>
      </c>
      <c r="Q919" s="5" t="s">
        <v>14578</v>
      </c>
      <c r="R919" s="5" t="s">
        <v>16945</v>
      </c>
      <c r="T919" s="5" t="s">
        <v>5994</v>
      </c>
      <c r="U919" s="5" t="s">
        <v>14593</v>
      </c>
      <c r="V919" s="5" t="s">
        <v>67</v>
      </c>
    </row>
    <row r="920" spans="1:23" ht="12.5">
      <c r="A920" s="5">
        <v>91424</v>
      </c>
      <c r="B920" s="5" t="s">
        <v>16946</v>
      </c>
      <c r="C920" s="5">
        <v>14438463365</v>
      </c>
      <c r="D920" s="5">
        <v>95</v>
      </c>
      <c r="E920" s="5" t="s">
        <v>42</v>
      </c>
      <c r="F920" s="5" t="s">
        <v>328</v>
      </c>
      <c r="G920" s="5" t="s">
        <v>7729</v>
      </c>
      <c r="H920" s="5" t="s">
        <v>7730</v>
      </c>
      <c r="I920" s="5"/>
      <c r="J920" s="12">
        <v>46054</v>
      </c>
      <c r="K920" s="11">
        <v>0.45833333333212067</v>
      </c>
      <c r="M920" s="10" t="s">
        <v>14832</v>
      </c>
      <c r="N920" s="12">
        <v>46051.390913078707</v>
      </c>
      <c r="O920" s="10" t="s">
        <v>16947</v>
      </c>
      <c r="P920" s="5" t="s">
        <v>14571</v>
      </c>
      <c r="Q920" s="5" t="s">
        <v>14572</v>
      </c>
      <c r="R920" s="5" t="s">
        <v>16948</v>
      </c>
      <c r="T920" s="5" t="s">
        <v>5994</v>
      </c>
      <c r="U920" s="5"/>
      <c r="V920" s="5" t="s">
        <v>1937</v>
      </c>
      <c r="W920" s="5" t="s">
        <v>7733</v>
      </c>
    </row>
    <row r="921" spans="1:23" ht="12.5">
      <c r="A921" s="5">
        <v>91425</v>
      </c>
      <c r="B921" s="5" t="s">
        <v>16949</v>
      </c>
      <c r="C921" s="5">
        <v>573122167615</v>
      </c>
      <c r="D921" s="5">
        <v>32</v>
      </c>
      <c r="E921" s="5" t="s">
        <v>65</v>
      </c>
      <c r="F921" s="5" t="s">
        <v>185</v>
      </c>
      <c r="G921" s="5" t="s">
        <v>7734</v>
      </c>
      <c r="H921" s="5" t="s">
        <v>7735</v>
      </c>
      <c r="I921" s="5">
        <v>6053029538</v>
      </c>
      <c r="J921" s="12">
        <v>46053</v>
      </c>
      <c r="K921" s="11">
        <v>0.45833333333212067</v>
      </c>
      <c r="M921" s="10" t="s">
        <v>14850</v>
      </c>
      <c r="N921" s="12">
        <v>46051.399438541666</v>
      </c>
      <c r="O921" s="10" t="s">
        <v>16268</v>
      </c>
      <c r="P921" s="5" t="s">
        <v>14571</v>
      </c>
      <c r="Q921" s="5" t="s">
        <v>14572</v>
      </c>
      <c r="R921" s="5" t="s">
        <v>16950</v>
      </c>
      <c r="T921" s="5" t="s">
        <v>5994</v>
      </c>
      <c r="U921" s="5" t="s">
        <v>14580</v>
      </c>
      <c r="V921" s="5" t="s">
        <v>67</v>
      </c>
    </row>
    <row r="922" spans="1:23" ht="12.5">
      <c r="A922" s="5">
        <v>91426</v>
      </c>
      <c r="B922" s="5" t="s">
        <v>16951</v>
      </c>
      <c r="C922" s="5">
        <v>573113631663</v>
      </c>
      <c r="D922" s="5">
        <v>51</v>
      </c>
      <c r="E922" s="5" t="s">
        <v>384</v>
      </c>
      <c r="F922" s="5" t="s">
        <v>154</v>
      </c>
      <c r="G922" s="5" t="s">
        <v>7739</v>
      </c>
      <c r="H922" s="5" t="s">
        <v>7740</v>
      </c>
      <c r="I922" s="5">
        <v>3233272297</v>
      </c>
      <c r="J922" s="12">
        <v>46051</v>
      </c>
      <c r="K922" s="11">
        <v>0.45833333333212067</v>
      </c>
      <c r="M922" s="10" t="s">
        <v>15140</v>
      </c>
      <c r="N922" s="12">
        <v>46051.422662268524</v>
      </c>
      <c r="O922" s="10" t="s">
        <v>16952</v>
      </c>
      <c r="P922" s="5" t="s">
        <v>14571</v>
      </c>
      <c r="Q922" s="5" t="s">
        <v>14578</v>
      </c>
      <c r="R922" s="5" t="s">
        <v>16953</v>
      </c>
      <c r="T922" s="5" t="s">
        <v>5994</v>
      </c>
      <c r="U922" s="5" t="s">
        <v>14593</v>
      </c>
      <c r="V922" s="5" t="s">
        <v>196</v>
      </c>
    </row>
    <row r="923" spans="1:23" ht="12.5">
      <c r="A923" s="5">
        <v>91427</v>
      </c>
      <c r="B923" s="5" t="s">
        <v>5365</v>
      </c>
      <c r="C923" s="5">
        <v>573146014820</v>
      </c>
      <c r="D923" s="5">
        <v>95</v>
      </c>
      <c r="E923" s="5" t="s">
        <v>42</v>
      </c>
      <c r="F923" s="5" t="s">
        <v>33</v>
      </c>
      <c r="G923" s="5" t="s">
        <v>5365</v>
      </c>
      <c r="H923" s="5" t="s">
        <v>34</v>
      </c>
      <c r="I923" s="5">
        <v>3146014820</v>
      </c>
      <c r="J923" s="12">
        <v>46051</v>
      </c>
      <c r="K923" s="11">
        <v>0</v>
      </c>
      <c r="M923" s="10" t="s">
        <v>16073</v>
      </c>
      <c r="N923" s="12">
        <v>46051.473158564811</v>
      </c>
      <c r="O923" s="10" t="s">
        <v>15772</v>
      </c>
      <c r="P923" s="5" t="s">
        <v>14571</v>
      </c>
      <c r="Q923" s="5" t="s">
        <v>14572</v>
      </c>
      <c r="R923" s="5" t="s">
        <v>16954</v>
      </c>
      <c r="T923" s="5" t="s">
        <v>14574</v>
      </c>
      <c r="U923" s="5" t="s">
        <v>33</v>
      </c>
      <c r="V923" s="5" t="s">
        <v>1705</v>
      </c>
      <c r="W923" s="5" t="s">
        <v>525</v>
      </c>
    </row>
    <row r="924" spans="1:23" ht="12.5">
      <c r="A924" s="5">
        <v>91428</v>
      </c>
      <c r="B924" s="5" t="s">
        <v>2853</v>
      </c>
      <c r="C924" s="10" t="s">
        <v>16955</v>
      </c>
      <c r="D924" s="5">
        <v>55</v>
      </c>
      <c r="E924" s="5" t="s">
        <v>1203</v>
      </c>
      <c r="F924" s="5" t="s">
        <v>103</v>
      </c>
      <c r="G924" s="5" t="s">
        <v>7742</v>
      </c>
      <c r="H924" s="5" t="s">
        <v>7743</v>
      </c>
      <c r="J924" s="12">
        <v>46053</v>
      </c>
      <c r="K924" s="11">
        <v>0</v>
      </c>
      <c r="M924" s="10" t="s">
        <v>15128</v>
      </c>
      <c r="N924" s="12">
        <v>46051</v>
      </c>
      <c r="O924" s="10" t="s">
        <v>16004</v>
      </c>
      <c r="P924" s="5" t="s">
        <v>14571</v>
      </c>
      <c r="Q924" s="5" t="s">
        <v>14612</v>
      </c>
      <c r="R924" s="5" t="s">
        <v>16956</v>
      </c>
      <c r="T924" s="5" t="s">
        <v>5994</v>
      </c>
      <c r="U924" s="5" t="s">
        <v>14593</v>
      </c>
      <c r="V924" s="5" t="s">
        <v>1705</v>
      </c>
    </row>
    <row r="925" spans="1:23" ht="12.5">
      <c r="A925" s="5">
        <v>91429</v>
      </c>
      <c r="B925" s="5" t="s">
        <v>16957</v>
      </c>
      <c r="C925" s="5">
        <v>573003327114</v>
      </c>
      <c r="D925" s="5" t="s">
        <v>14733</v>
      </c>
      <c r="E925" s="5" t="s">
        <v>7749</v>
      </c>
      <c r="F925" s="5" t="s">
        <v>598</v>
      </c>
      <c r="G925" s="5" t="s">
        <v>7746</v>
      </c>
      <c r="H925" s="5" t="s">
        <v>7747</v>
      </c>
      <c r="I925" s="5" t="s">
        <v>7748</v>
      </c>
      <c r="J925" s="12">
        <v>46053</v>
      </c>
      <c r="K925" s="11">
        <v>0.375</v>
      </c>
      <c r="M925" s="10" t="s">
        <v>15612</v>
      </c>
      <c r="N925" s="12">
        <v>46051.482653032406</v>
      </c>
      <c r="O925" s="10" t="s">
        <v>14874</v>
      </c>
      <c r="P925" s="5" t="s">
        <v>14571</v>
      </c>
      <c r="Q925" s="5" t="s">
        <v>14578</v>
      </c>
      <c r="R925" s="5" t="s">
        <v>16958</v>
      </c>
      <c r="T925" s="5" t="s">
        <v>5994</v>
      </c>
      <c r="U925" s="5" t="s">
        <v>14593</v>
      </c>
      <c r="V925" s="5" t="s">
        <v>67</v>
      </c>
      <c r="W925" s="5" t="s">
        <v>7751</v>
      </c>
    </row>
    <row r="926" spans="1:23" ht="12.5">
      <c r="A926" s="5">
        <v>91430</v>
      </c>
      <c r="B926" s="5" t="s">
        <v>16959</v>
      </c>
      <c r="C926" s="5">
        <v>5717865256179</v>
      </c>
      <c r="D926" s="5">
        <v>95</v>
      </c>
      <c r="E926" s="5" t="s">
        <v>42</v>
      </c>
      <c r="F926" s="5" t="s">
        <v>103</v>
      </c>
      <c r="G926" s="5" t="s">
        <v>7753</v>
      </c>
      <c r="H926" s="5" t="s">
        <v>7754</v>
      </c>
      <c r="J926" s="12">
        <v>46051</v>
      </c>
      <c r="K926" s="11">
        <v>0</v>
      </c>
      <c r="M926" s="10" t="s">
        <v>15460</v>
      </c>
      <c r="N926" s="12">
        <v>46051.476719409722</v>
      </c>
      <c r="O926" s="10" t="s">
        <v>15077</v>
      </c>
      <c r="P926" s="5" t="s">
        <v>14571</v>
      </c>
      <c r="Q926" s="5" t="s">
        <v>14572</v>
      </c>
      <c r="R926" s="5" t="s">
        <v>16960</v>
      </c>
      <c r="T926" s="5" t="s">
        <v>5994</v>
      </c>
      <c r="U926" s="5" t="s">
        <v>14593</v>
      </c>
      <c r="V926" s="5" t="s">
        <v>2151</v>
      </c>
      <c r="W926" s="5" t="s">
        <v>7756</v>
      </c>
    </row>
    <row r="927" spans="1:23" ht="12.5">
      <c r="A927" s="5">
        <v>91431</v>
      </c>
      <c r="B927" s="5" t="s">
        <v>16961</v>
      </c>
      <c r="C927" s="10" t="s">
        <v>16962</v>
      </c>
      <c r="D927" s="5">
        <v>32</v>
      </c>
      <c r="E927" s="5" t="s">
        <v>65</v>
      </c>
      <c r="F927" s="5" t="s">
        <v>185</v>
      </c>
      <c r="G927" s="5" t="s">
        <v>7758</v>
      </c>
      <c r="H927" s="5" t="s">
        <v>7759</v>
      </c>
      <c r="I927" s="5">
        <v>3152500267</v>
      </c>
      <c r="J927" s="12">
        <v>46051</v>
      </c>
      <c r="K927" s="11">
        <v>0.58333333333333337</v>
      </c>
      <c r="M927" s="10" t="s">
        <v>14850</v>
      </c>
      <c r="N927" s="12">
        <v>46051</v>
      </c>
      <c r="O927" s="10" t="s">
        <v>14847</v>
      </c>
      <c r="P927" s="5" t="s">
        <v>14571</v>
      </c>
      <c r="Q927" s="5" t="s">
        <v>14612</v>
      </c>
      <c r="R927" s="5" t="s">
        <v>16963</v>
      </c>
      <c r="T927" s="5" t="s">
        <v>5994</v>
      </c>
      <c r="U927" s="5" t="s">
        <v>14580</v>
      </c>
      <c r="V927" s="5" t="s">
        <v>67</v>
      </c>
      <c r="W927" s="5" t="s">
        <v>1806</v>
      </c>
    </row>
    <row r="928" spans="1:23" ht="12.5">
      <c r="A928" s="5">
        <v>91432</v>
      </c>
      <c r="B928" s="5" t="s">
        <v>16964</v>
      </c>
      <c r="C928" s="5">
        <v>573164868034</v>
      </c>
      <c r="D928" s="5">
        <v>26</v>
      </c>
      <c r="E928" s="5" t="s">
        <v>422</v>
      </c>
      <c r="F928" s="5" t="s">
        <v>124</v>
      </c>
      <c r="G928" s="5" t="s">
        <v>7763</v>
      </c>
      <c r="H928" s="5" t="s">
        <v>7764</v>
      </c>
      <c r="I928" s="5">
        <v>3176690457</v>
      </c>
      <c r="J928" s="12">
        <v>46051</v>
      </c>
      <c r="K928" s="11">
        <v>0.625</v>
      </c>
      <c r="M928" s="10" t="s">
        <v>14708</v>
      </c>
      <c r="N928" s="12">
        <v>46051.583675752314</v>
      </c>
      <c r="O928" s="10" t="s">
        <v>14839</v>
      </c>
      <c r="P928" s="5" t="s">
        <v>14571</v>
      </c>
      <c r="Q928" s="5" t="s">
        <v>14578</v>
      </c>
      <c r="R928" s="5" t="s">
        <v>16965</v>
      </c>
      <c r="T928" s="5" t="s">
        <v>5994</v>
      </c>
      <c r="U928" s="5" t="s">
        <v>14775</v>
      </c>
      <c r="V928" s="5" t="s">
        <v>67</v>
      </c>
      <c r="W928" s="5" t="s">
        <v>7767</v>
      </c>
    </row>
    <row r="929" spans="1:23" ht="12.5">
      <c r="A929" s="5">
        <v>91433</v>
      </c>
      <c r="B929" s="5" t="s">
        <v>7769</v>
      </c>
      <c r="C929" s="5">
        <v>573006748354</v>
      </c>
      <c r="D929" s="5">
        <v>95</v>
      </c>
      <c r="E929" s="5" t="s">
        <v>42</v>
      </c>
      <c r="F929" s="5" t="s">
        <v>33</v>
      </c>
      <c r="G929" s="5" t="s">
        <v>7769</v>
      </c>
      <c r="H929" s="5" t="s">
        <v>34</v>
      </c>
      <c r="I929" s="5">
        <v>3006748354</v>
      </c>
      <c r="J929" s="12">
        <v>46051</v>
      </c>
      <c r="K929" s="11">
        <v>0</v>
      </c>
      <c r="M929" s="10" t="s">
        <v>14923</v>
      </c>
      <c r="N929" s="12">
        <v>46051.599700648148</v>
      </c>
      <c r="O929" s="10" t="s">
        <v>15646</v>
      </c>
      <c r="P929" s="5" t="s">
        <v>14571</v>
      </c>
      <c r="Q929" s="5" t="s">
        <v>14612</v>
      </c>
      <c r="R929" s="5" t="s">
        <v>16966</v>
      </c>
      <c r="T929" s="5" t="s">
        <v>14574</v>
      </c>
      <c r="U929" s="5" t="s">
        <v>33</v>
      </c>
      <c r="V929" s="5" t="s">
        <v>196</v>
      </c>
      <c r="W929" s="5" t="s">
        <v>525</v>
      </c>
    </row>
    <row r="930" spans="1:23" ht="12.5">
      <c r="A930" s="5">
        <v>91434</v>
      </c>
      <c r="B930" s="5" t="s">
        <v>7772</v>
      </c>
      <c r="C930" s="10" t="s">
        <v>16967</v>
      </c>
      <c r="D930" s="5">
        <v>95</v>
      </c>
      <c r="E930" s="5" t="s">
        <v>42</v>
      </c>
      <c r="F930" s="5" t="s">
        <v>33</v>
      </c>
      <c r="G930" s="5" t="s">
        <v>7772</v>
      </c>
      <c r="H930" s="5" t="s">
        <v>34</v>
      </c>
      <c r="I930" s="5">
        <v>3007657567</v>
      </c>
      <c r="J930" s="12">
        <v>46051</v>
      </c>
      <c r="K930" s="11">
        <v>0</v>
      </c>
      <c r="M930" s="10" t="s">
        <v>14740</v>
      </c>
      <c r="N930" s="12">
        <v>46051</v>
      </c>
      <c r="O930" s="10" t="s">
        <v>16024</v>
      </c>
      <c r="P930" s="5" t="s">
        <v>14571</v>
      </c>
      <c r="Q930" s="5" t="s">
        <v>14578</v>
      </c>
      <c r="R930" s="5" t="s">
        <v>16968</v>
      </c>
      <c r="T930" s="5" t="s">
        <v>14574</v>
      </c>
      <c r="U930" s="5" t="s">
        <v>33</v>
      </c>
      <c r="V930" s="5" t="s">
        <v>1481</v>
      </c>
      <c r="W930" s="5" t="s">
        <v>7773</v>
      </c>
    </row>
    <row r="931" spans="1:23" ht="12.5">
      <c r="A931" s="5">
        <v>91435</v>
      </c>
      <c r="B931" s="5" t="s">
        <v>7774</v>
      </c>
      <c r="C931" s="5">
        <v>573019193099</v>
      </c>
      <c r="D931" s="5">
        <v>95</v>
      </c>
      <c r="E931" s="5" t="s">
        <v>42</v>
      </c>
      <c r="F931" s="5" t="s">
        <v>33</v>
      </c>
      <c r="G931" s="5" t="s">
        <v>7774</v>
      </c>
      <c r="H931" s="5" t="s">
        <v>34</v>
      </c>
      <c r="I931" s="5">
        <v>3019193099</v>
      </c>
      <c r="J931" s="12">
        <v>46051</v>
      </c>
      <c r="K931" s="11">
        <v>0</v>
      </c>
      <c r="M931" s="10" t="s">
        <v>14740</v>
      </c>
      <c r="N931" s="12">
        <v>46051.61190340278</v>
      </c>
      <c r="O931" s="10" t="s">
        <v>14721</v>
      </c>
      <c r="P931" s="5" t="s">
        <v>14571</v>
      </c>
      <c r="Q931" s="5" t="s">
        <v>14572</v>
      </c>
      <c r="R931" s="5" t="s">
        <v>16969</v>
      </c>
      <c r="T931" s="5" t="s">
        <v>14574</v>
      </c>
      <c r="U931" s="5" t="s">
        <v>33</v>
      </c>
      <c r="V931" s="5" t="s">
        <v>1481</v>
      </c>
      <c r="W931" s="5" t="s">
        <v>7775</v>
      </c>
    </row>
    <row r="932" spans="1:23" ht="12.5">
      <c r="A932" s="5">
        <v>91436</v>
      </c>
      <c r="B932" s="5" t="s">
        <v>1337</v>
      </c>
      <c r="C932" s="5">
        <v>573158853901</v>
      </c>
      <c r="D932" s="5">
        <v>95</v>
      </c>
      <c r="E932" s="5" t="s">
        <v>42</v>
      </c>
      <c r="F932" s="5" t="s">
        <v>33</v>
      </c>
      <c r="G932" s="5" t="s">
        <v>1337</v>
      </c>
      <c r="H932" s="5" t="s">
        <v>34</v>
      </c>
      <c r="I932" s="5">
        <v>3158853901</v>
      </c>
      <c r="J932" s="12">
        <v>46051</v>
      </c>
      <c r="K932" s="11">
        <v>0.375</v>
      </c>
      <c r="M932" s="10" t="s">
        <v>2686</v>
      </c>
      <c r="N932" s="12">
        <v>46051.622857766204</v>
      </c>
      <c r="O932" s="10" t="s">
        <v>15246</v>
      </c>
      <c r="P932" s="5" t="s">
        <v>14571</v>
      </c>
      <c r="Q932" s="5" t="s">
        <v>14578</v>
      </c>
      <c r="R932" s="5" t="s">
        <v>16970</v>
      </c>
      <c r="T932" s="5" t="s">
        <v>14574</v>
      </c>
      <c r="U932" s="5" t="s">
        <v>33</v>
      </c>
      <c r="V932" s="5" t="s">
        <v>1937</v>
      </c>
      <c r="W932" s="5" t="s">
        <v>7776</v>
      </c>
    </row>
    <row r="933" spans="1:23" ht="12.5">
      <c r="A933" s="5">
        <v>91437</v>
      </c>
      <c r="B933" s="5" t="s">
        <v>4906</v>
      </c>
      <c r="C933" s="5">
        <v>573183607759</v>
      </c>
      <c r="D933" s="5">
        <v>95</v>
      </c>
      <c r="E933" s="5" t="s">
        <v>42</v>
      </c>
      <c r="F933" s="5" t="s">
        <v>33</v>
      </c>
      <c r="G933" s="5" t="s">
        <v>4906</v>
      </c>
      <c r="H933" s="5" t="s">
        <v>34</v>
      </c>
      <c r="I933" s="5">
        <v>3183607759</v>
      </c>
      <c r="J933" s="12">
        <v>46052</v>
      </c>
      <c r="K933" s="11">
        <v>0.33333333333212067</v>
      </c>
      <c r="M933" s="10" t="s">
        <v>2686</v>
      </c>
      <c r="N933" s="12">
        <v>46052.628206018519</v>
      </c>
      <c r="O933" s="10" t="s">
        <v>16971</v>
      </c>
      <c r="P933" s="5" t="s">
        <v>14571</v>
      </c>
      <c r="Q933" s="5" t="s">
        <v>14572</v>
      </c>
      <c r="R933" s="5" t="s">
        <v>16972</v>
      </c>
      <c r="T933" s="5" t="s">
        <v>14574</v>
      </c>
      <c r="U933" s="5" t="s">
        <v>33</v>
      </c>
      <c r="V933" s="5" t="s">
        <v>1705</v>
      </c>
      <c r="W933" s="5" t="s">
        <v>7777</v>
      </c>
    </row>
    <row r="934" spans="1:23" ht="12.5">
      <c r="A934" s="5">
        <v>91438</v>
      </c>
      <c r="B934" s="5" t="s">
        <v>16973</v>
      </c>
      <c r="C934" s="5">
        <v>573152425248</v>
      </c>
      <c r="D934" s="5">
        <v>28</v>
      </c>
      <c r="E934" s="5" t="s">
        <v>435</v>
      </c>
      <c r="F934" s="5" t="s">
        <v>33</v>
      </c>
      <c r="G934" s="5" t="s">
        <v>7778</v>
      </c>
      <c r="H934" s="5" t="s">
        <v>34</v>
      </c>
      <c r="I934" s="5">
        <v>3152425248</v>
      </c>
      <c r="J934" s="12">
        <v>46051</v>
      </c>
      <c r="K934" s="11">
        <v>0.66666666666787933</v>
      </c>
      <c r="M934" s="10" t="s">
        <v>16222</v>
      </c>
      <c r="N934" s="12">
        <v>46051.625239594912</v>
      </c>
      <c r="O934" s="10" t="s">
        <v>15556</v>
      </c>
      <c r="P934" s="5" t="s">
        <v>14571</v>
      </c>
      <c r="Q934" s="5" t="s">
        <v>14572</v>
      </c>
      <c r="R934" s="5" t="s">
        <v>16974</v>
      </c>
      <c r="T934" s="5" t="s">
        <v>14574</v>
      </c>
      <c r="U934" s="5" t="s">
        <v>33</v>
      </c>
      <c r="V934" s="5" t="s">
        <v>196</v>
      </c>
      <c r="W934" s="5" t="s">
        <v>7781</v>
      </c>
    </row>
    <row r="935" spans="1:23" ht="12.5">
      <c r="A935" s="5">
        <v>91439</v>
      </c>
      <c r="B935" s="5" t="s">
        <v>7782</v>
      </c>
      <c r="C935" s="5">
        <v>15617974204</v>
      </c>
      <c r="D935" s="5" t="s">
        <v>14589</v>
      </c>
      <c r="E935" s="5" t="s">
        <v>7783</v>
      </c>
      <c r="F935" s="5" t="s">
        <v>33</v>
      </c>
      <c r="G935" s="5" t="s">
        <v>7782</v>
      </c>
      <c r="H935" s="5" t="s">
        <v>34</v>
      </c>
      <c r="I935" s="5"/>
      <c r="J935" s="12">
        <v>46066</v>
      </c>
      <c r="K935" s="11">
        <v>0.375</v>
      </c>
      <c r="M935" s="10" t="s">
        <v>14712</v>
      </c>
      <c r="N935" s="12">
        <v>46051.632074525463</v>
      </c>
      <c r="O935" s="10" t="s">
        <v>15558</v>
      </c>
      <c r="P935" s="5" t="s">
        <v>14571</v>
      </c>
      <c r="Q935" s="5" t="s">
        <v>14578</v>
      </c>
      <c r="R935" s="5" t="s">
        <v>16975</v>
      </c>
      <c r="T935" s="5" t="s">
        <v>14574</v>
      </c>
      <c r="U935" s="5" t="s">
        <v>33</v>
      </c>
      <c r="V935" s="5" t="s">
        <v>7644</v>
      </c>
    </row>
    <row r="936" spans="1:23" ht="12.5">
      <c r="A936" s="5">
        <v>91440</v>
      </c>
      <c r="B936" s="5" t="s">
        <v>3526</v>
      </c>
      <c r="C936" s="10" t="s">
        <v>16976</v>
      </c>
      <c r="D936" s="5">
        <v>95</v>
      </c>
      <c r="E936" s="5" t="s">
        <v>42</v>
      </c>
      <c r="F936" s="5" t="s">
        <v>33</v>
      </c>
      <c r="G936" s="5" t="s">
        <v>3526</v>
      </c>
      <c r="H936" s="5" t="s">
        <v>34</v>
      </c>
      <c r="I936" s="5">
        <v>3174289182</v>
      </c>
      <c r="J936" s="12">
        <v>46051</v>
      </c>
      <c r="K936" s="11">
        <v>0</v>
      </c>
      <c r="M936" s="10" t="s">
        <v>14923</v>
      </c>
      <c r="N936" s="12">
        <v>46051</v>
      </c>
      <c r="O936" s="10" t="s">
        <v>14937</v>
      </c>
      <c r="P936" s="5" t="s">
        <v>14571</v>
      </c>
      <c r="Q936" s="5" t="s">
        <v>14578</v>
      </c>
      <c r="R936" s="5" t="s">
        <v>16977</v>
      </c>
      <c r="T936" s="5" t="s">
        <v>14574</v>
      </c>
      <c r="U936" s="5" t="s">
        <v>33</v>
      </c>
      <c r="V936" s="5" t="s">
        <v>1481</v>
      </c>
      <c r="W936" s="5" t="s">
        <v>7785</v>
      </c>
    </row>
    <row r="937" spans="1:23" ht="12.5">
      <c r="A937" s="5">
        <v>91441</v>
      </c>
      <c r="B937" s="5" t="s">
        <v>7787</v>
      </c>
      <c r="C937" s="5">
        <v>570000</v>
      </c>
      <c r="D937" s="5">
        <v>52</v>
      </c>
      <c r="E937" s="5" t="s">
        <v>178</v>
      </c>
      <c r="F937" s="5" t="s">
        <v>33</v>
      </c>
      <c r="G937" s="5" t="s">
        <v>7787</v>
      </c>
      <c r="H937" s="5" t="s">
        <v>34</v>
      </c>
      <c r="I937" s="10" t="s">
        <v>2686</v>
      </c>
      <c r="J937" s="12">
        <v>46051</v>
      </c>
      <c r="K937" s="11">
        <v>0</v>
      </c>
      <c r="M937" s="10" t="s">
        <v>15161</v>
      </c>
      <c r="N937" s="12">
        <v>46051.667878935186</v>
      </c>
      <c r="O937" s="10" t="s">
        <v>15050</v>
      </c>
      <c r="P937" s="5" t="s">
        <v>14571</v>
      </c>
      <c r="Q937" s="5" t="s">
        <v>14572</v>
      </c>
      <c r="R937" s="5" t="s">
        <v>16978</v>
      </c>
      <c r="T937" s="5" t="s">
        <v>14574</v>
      </c>
      <c r="U937" s="5" t="s">
        <v>33</v>
      </c>
      <c r="V937" s="5" t="s">
        <v>37</v>
      </c>
      <c r="W937" s="5" t="s">
        <v>7788</v>
      </c>
    </row>
    <row r="938" spans="1:23" ht="12.5">
      <c r="A938" s="5">
        <v>91442</v>
      </c>
      <c r="B938" s="5" t="s">
        <v>7789</v>
      </c>
      <c r="C938" s="5">
        <v>573233272355</v>
      </c>
      <c r="D938" s="5">
        <v>55</v>
      </c>
      <c r="E938" s="5" t="s">
        <v>1203</v>
      </c>
      <c r="F938" s="5" t="s">
        <v>33</v>
      </c>
      <c r="G938" s="5" t="s">
        <v>7789</v>
      </c>
      <c r="H938" s="5" t="s">
        <v>34</v>
      </c>
      <c r="I938" s="5">
        <v>3233272355</v>
      </c>
      <c r="J938" s="12">
        <v>46051</v>
      </c>
      <c r="K938" s="11">
        <v>0</v>
      </c>
      <c r="M938" s="10" t="s">
        <v>14910</v>
      </c>
      <c r="N938" s="12">
        <v>46051.673031597224</v>
      </c>
      <c r="O938" s="10" t="s">
        <v>15367</v>
      </c>
      <c r="P938" s="5" t="s">
        <v>14571</v>
      </c>
      <c r="Q938" s="5" t="s">
        <v>14578</v>
      </c>
      <c r="R938" s="5" t="s">
        <v>16979</v>
      </c>
      <c r="T938" s="5" t="s">
        <v>14574</v>
      </c>
      <c r="U938" s="5" t="s">
        <v>33</v>
      </c>
      <c r="V938" s="5" t="s">
        <v>1705</v>
      </c>
    </row>
    <row r="939" spans="1:23" ht="12.5">
      <c r="A939" s="5">
        <v>91443</v>
      </c>
      <c r="B939" s="5" t="s">
        <v>16980</v>
      </c>
      <c r="C939" s="5">
        <v>573107193674</v>
      </c>
      <c r="D939" s="5">
        <v>62</v>
      </c>
      <c r="E939" s="5" t="s">
        <v>2586</v>
      </c>
      <c r="F939" s="5" t="s">
        <v>892</v>
      </c>
      <c r="G939" s="5" t="s">
        <v>7791</v>
      </c>
      <c r="H939" s="5" t="s">
        <v>7792</v>
      </c>
      <c r="J939" s="12">
        <v>46051</v>
      </c>
      <c r="K939" s="11">
        <v>0.70833333333212067</v>
      </c>
      <c r="M939" s="10" t="s">
        <v>14712</v>
      </c>
      <c r="N939" s="12">
        <v>46051.689689756946</v>
      </c>
      <c r="O939" s="10" t="s">
        <v>16854</v>
      </c>
      <c r="P939" s="5" t="s">
        <v>14571</v>
      </c>
      <c r="Q939" s="5" t="s">
        <v>14572</v>
      </c>
      <c r="R939" s="5" t="s">
        <v>16981</v>
      </c>
      <c r="T939" s="5" t="s">
        <v>5994</v>
      </c>
      <c r="U939" s="5" t="s">
        <v>14593</v>
      </c>
      <c r="V939" s="5" t="s">
        <v>196</v>
      </c>
    </row>
    <row r="940" spans="1:23" ht="12.5">
      <c r="A940" s="5">
        <v>91444</v>
      </c>
      <c r="B940" s="5" t="s">
        <v>16982</v>
      </c>
      <c r="C940" s="5">
        <v>573002839116</v>
      </c>
      <c r="D940" s="5">
        <v>30</v>
      </c>
      <c r="E940" s="5" t="s">
        <v>156</v>
      </c>
      <c r="F940" s="5" t="s">
        <v>73</v>
      </c>
      <c r="G940" s="5" t="s">
        <v>7795</v>
      </c>
      <c r="H940" s="5" t="s">
        <v>7796</v>
      </c>
      <c r="I940" s="5">
        <v>3043867003</v>
      </c>
      <c r="J940" s="12">
        <v>46051</v>
      </c>
      <c r="K940" s="11">
        <v>0.75</v>
      </c>
      <c r="M940" s="10" t="s">
        <v>14850</v>
      </c>
      <c r="N940" s="12">
        <v>46051.676815775463</v>
      </c>
      <c r="O940" s="10" t="s">
        <v>14811</v>
      </c>
      <c r="P940" s="5" t="s">
        <v>14571</v>
      </c>
      <c r="Q940" s="5" t="s">
        <v>14572</v>
      </c>
      <c r="R940" s="5" t="s">
        <v>16983</v>
      </c>
      <c r="T940" s="5" t="s">
        <v>5994</v>
      </c>
      <c r="U940" s="5" t="s">
        <v>14593</v>
      </c>
      <c r="V940" s="5" t="s">
        <v>67</v>
      </c>
    </row>
    <row r="941" spans="1:23" ht="12.5">
      <c r="A941" s="5">
        <v>91445</v>
      </c>
      <c r="B941" s="5" t="s">
        <v>16984</v>
      </c>
      <c r="C941" s="5">
        <v>573006928918</v>
      </c>
      <c r="D941" s="5">
        <v>28</v>
      </c>
      <c r="E941" s="5" t="s">
        <v>435</v>
      </c>
      <c r="F941" s="5" t="s">
        <v>3764</v>
      </c>
      <c r="G941" s="5" t="s">
        <v>7801</v>
      </c>
      <c r="H941" s="5" t="s">
        <v>7802</v>
      </c>
      <c r="I941" s="5">
        <v>3006928918</v>
      </c>
      <c r="J941" s="12">
        <v>46051</v>
      </c>
      <c r="K941" s="11">
        <v>0.75</v>
      </c>
      <c r="M941" s="10" t="s">
        <v>16985</v>
      </c>
      <c r="N941" s="12">
        <v>46051.68736369213</v>
      </c>
      <c r="O941" s="10" t="s">
        <v>15223</v>
      </c>
      <c r="P941" s="5" t="s">
        <v>14571</v>
      </c>
      <c r="Q941" s="5" t="s">
        <v>14572</v>
      </c>
      <c r="R941" s="5" t="s">
        <v>16986</v>
      </c>
      <c r="T941" s="5" t="s">
        <v>5994</v>
      </c>
      <c r="U941" s="5" t="s">
        <v>14618</v>
      </c>
      <c r="V941" s="5" t="s">
        <v>67</v>
      </c>
      <c r="W941" s="5" t="s">
        <v>7805</v>
      </c>
    </row>
    <row r="942" spans="1:23" ht="12.5">
      <c r="A942" s="5">
        <v>91446</v>
      </c>
      <c r="B942" s="5" t="s">
        <v>7807</v>
      </c>
      <c r="C942" s="10" t="s">
        <v>16987</v>
      </c>
      <c r="D942" s="5">
        <v>31</v>
      </c>
      <c r="E942" s="5" t="s">
        <v>375</v>
      </c>
      <c r="F942" s="5" t="s">
        <v>33</v>
      </c>
      <c r="G942" s="5" t="s">
        <v>7807</v>
      </c>
      <c r="H942" s="5" t="s">
        <v>34</v>
      </c>
      <c r="I942" s="5">
        <v>3002112147</v>
      </c>
      <c r="J942" s="12">
        <v>46052</v>
      </c>
      <c r="K942" s="11">
        <v>0.375</v>
      </c>
      <c r="M942" s="10" t="s">
        <v>14585</v>
      </c>
      <c r="N942" s="12">
        <v>46051</v>
      </c>
      <c r="O942" s="10" t="s">
        <v>16988</v>
      </c>
      <c r="P942" s="5" t="s">
        <v>14571</v>
      </c>
      <c r="Q942" s="5" t="s">
        <v>14578</v>
      </c>
      <c r="R942" s="5" t="s">
        <v>16989</v>
      </c>
      <c r="T942" s="5" t="s">
        <v>14574</v>
      </c>
      <c r="U942" s="5" t="s">
        <v>33</v>
      </c>
      <c r="V942" s="5" t="s">
        <v>1937</v>
      </c>
    </row>
    <row r="943" spans="1:23" ht="12.5">
      <c r="A943" s="5">
        <v>91447</v>
      </c>
      <c r="B943" s="5" t="s">
        <v>7810</v>
      </c>
      <c r="C943" s="5">
        <v>573007357473</v>
      </c>
      <c r="D943" s="5">
        <v>52</v>
      </c>
      <c r="E943" s="5" t="s">
        <v>178</v>
      </c>
      <c r="F943" s="5" t="s">
        <v>33</v>
      </c>
      <c r="G943" s="5" t="s">
        <v>7810</v>
      </c>
      <c r="H943" s="5" t="s">
        <v>34</v>
      </c>
      <c r="I943" s="5">
        <v>3007357473</v>
      </c>
      <c r="J943" s="12">
        <v>46051</v>
      </c>
      <c r="K943" s="11">
        <v>0</v>
      </c>
      <c r="M943" s="10" t="s">
        <v>15161</v>
      </c>
      <c r="N943" s="12">
        <v>46051.745046296295</v>
      </c>
      <c r="O943" s="10" t="s">
        <v>16990</v>
      </c>
      <c r="P943" s="5" t="s">
        <v>14571</v>
      </c>
      <c r="Q943" s="5" t="s">
        <v>14572</v>
      </c>
      <c r="R943" s="5" t="s">
        <v>16991</v>
      </c>
      <c r="T943" s="5" t="s">
        <v>14574</v>
      </c>
      <c r="U943" s="5" t="s">
        <v>33</v>
      </c>
      <c r="V943" s="5" t="s">
        <v>1705</v>
      </c>
    </row>
    <row r="944" spans="1:23" ht="12.5">
      <c r="A944" s="5">
        <v>91448</v>
      </c>
      <c r="B944" s="5" t="s">
        <v>7812</v>
      </c>
      <c r="C944" s="5">
        <v>573016797831</v>
      </c>
      <c r="D944" s="5">
        <v>95</v>
      </c>
      <c r="E944" s="5" t="s">
        <v>42</v>
      </c>
      <c r="F944" s="5" t="s">
        <v>33</v>
      </c>
      <c r="G944" s="5" t="s">
        <v>7812</v>
      </c>
      <c r="H944" s="5" t="s">
        <v>34</v>
      </c>
      <c r="I944" s="5">
        <v>3016797831</v>
      </c>
      <c r="J944" s="12">
        <v>46051</v>
      </c>
      <c r="K944" s="11">
        <v>0</v>
      </c>
      <c r="M944" s="10" t="s">
        <v>14702</v>
      </c>
      <c r="N944" s="12">
        <v>46051.746536909719</v>
      </c>
      <c r="O944" s="10" t="s">
        <v>15811</v>
      </c>
      <c r="P944" s="5" t="s">
        <v>14571</v>
      </c>
      <c r="Q944" s="5" t="s">
        <v>14572</v>
      </c>
      <c r="R944" s="5" t="s">
        <v>16992</v>
      </c>
      <c r="T944" s="5" t="s">
        <v>14574</v>
      </c>
      <c r="U944" s="5" t="s">
        <v>33</v>
      </c>
      <c r="V944" s="5" t="s">
        <v>1705</v>
      </c>
      <c r="W944" s="5" t="s">
        <v>7813</v>
      </c>
    </row>
    <row r="945" spans="1:23" ht="12.5">
      <c r="A945" s="5">
        <v>91449</v>
      </c>
      <c r="B945" s="5" t="s">
        <v>2824</v>
      </c>
      <c r="C945" s="5">
        <v>573105407812</v>
      </c>
      <c r="D945" s="5">
        <v>20</v>
      </c>
      <c r="E945" s="5" t="s">
        <v>187</v>
      </c>
      <c r="F945" s="5" t="s">
        <v>161</v>
      </c>
      <c r="G945" s="5" t="s">
        <v>7814</v>
      </c>
      <c r="H945" s="5" t="s">
        <v>2825</v>
      </c>
      <c r="J945" s="12">
        <v>46051</v>
      </c>
      <c r="K945" s="11">
        <v>0.75</v>
      </c>
      <c r="M945" s="10" t="s">
        <v>14890</v>
      </c>
      <c r="N945" s="12">
        <v>46051.747765057866</v>
      </c>
      <c r="O945" s="10" t="s">
        <v>15210</v>
      </c>
      <c r="P945" s="5" t="s">
        <v>14571</v>
      </c>
      <c r="Q945" s="5" t="s">
        <v>14572</v>
      </c>
      <c r="R945" s="5" t="s">
        <v>16993</v>
      </c>
      <c r="T945" s="5" t="s">
        <v>5994</v>
      </c>
      <c r="U945" s="5" t="s">
        <v>14593</v>
      </c>
      <c r="V945" s="5" t="s">
        <v>67</v>
      </c>
    </row>
    <row r="946" spans="1:23" ht="12.5">
      <c r="A946" s="5">
        <v>91450</v>
      </c>
      <c r="B946" s="5" t="s">
        <v>7819</v>
      </c>
      <c r="C946" s="10" t="s">
        <v>16994</v>
      </c>
      <c r="D946" s="5">
        <v>95</v>
      </c>
      <c r="E946" s="5" t="s">
        <v>42</v>
      </c>
      <c r="F946" s="5" t="s">
        <v>33</v>
      </c>
      <c r="G946" s="5" t="s">
        <v>7819</v>
      </c>
      <c r="H946" s="5" t="s">
        <v>34</v>
      </c>
      <c r="I946" s="5">
        <v>3195545411</v>
      </c>
      <c r="J946" s="12">
        <v>46051</v>
      </c>
      <c r="K946" s="11">
        <v>0.75</v>
      </c>
      <c r="M946" s="10" t="s">
        <v>14702</v>
      </c>
      <c r="N946" s="12">
        <v>46051</v>
      </c>
      <c r="O946" s="10" t="s">
        <v>16995</v>
      </c>
      <c r="P946" s="5" t="s">
        <v>14571</v>
      </c>
      <c r="Q946" s="5" t="s">
        <v>14572</v>
      </c>
      <c r="R946" s="5" t="s">
        <v>16996</v>
      </c>
      <c r="T946" s="5" t="s">
        <v>14574</v>
      </c>
      <c r="U946" s="5" t="s">
        <v>33</v>
      </c>
      <c r="V946" s="5" t="s">
        <v>196</v>
      </c>
      <c r="W946" s="5" t="s">
        <v>1554</v>
      </c>
    </row>
    <row r="947" spans="1:23" ht="12.5">
      <c r="A947" s="5">
        <v>91451</v>
      </c>
      <c r="B947" s="5" t="s">
        <v>16997</v>
      </c>
      <c r="C947" s="5">
        <v>573117029774</v>
      </c>
      <c r="D947" s="5">
        <v>52</v>
      </c>
      <c r="E947" s="5" t="s">
        <v>178</v>
      </c>
      <c r="F947" s="5" t="s">
        <v>328</v>
      </c>
      <c r="G947" s="5" t="s">
        <v>7821</v>
      </c>
      <c r="H947" s="5" t="s">
        <v>7822</v>
      </c>
      <c r="I947" s="5">
        <v>3117029774</v>
      </c>
      <c r="J947" s="12">
        <v>46052</v>
      </c>
      <c r="K947" s="11">
        <v>0.375</v>
      </c>
      <c r="M947" s="10" t="s">
        <v>16718</v>
      </c>
      <c r="N947" s="12">
        <v>46052.047976331014</v>
      </c>
      <c r="O947" s="10" t="s">
        <v>16998</v>
      </c>
      <c r="P947" s="5" t="s">
        <v>14571</v>
      </c>
      <c r="Q947" s="5" t="s">
        <v>14578</v>
      </c>
      <c r="R947" s="5" t="s">
        <v>16999</v>
      </c>
      <c r="T947" s="5" t="s">
        <v>5994</v>
      </c>
      <c r="U947" s="5"/>
      <c r="V947" s="5" t="s">
        <v>67</v>
      </c>
      <c r="W947" s="5" t="s">
        <v>7825</v>
      </c>
    </row>
    <row r="948" spans="1:23" ht="12.5">
      <c r="A948" s="5">
        <v>91452</v>
      </c>
      <c r="B948" s="5" t="s">
        <v>17000</v>
      </c>
      <c r="C948" s="10" t="s">
        <v>17001</v>
      </c>
      <c r="D948" s="5" t="s">
        <v>17002</v>
      </c>
      <c r="E948" s="5" t="s">
        <v>7829</v>
      </c>
      <c r="F948" s="5" t="s">
        <v>63</v>
      </c>
      <c r="G948" s="5" t="s">
        <v>7827</v>
      </c>
      <c r="H948" s="5" t="s">
        <v>7828</v>
      </c>
      <c r="I948" s="5" t="s">
        <v>7827</v>
      </c>
      <c r="J948" s="12">
        <v>46052</v>
      </c>
      <c r="K948" s="11">
        <v>0.41666666666666669</v>
      </c>
      <c r="M948" s="10" t="s">
        <v>15754</v>
      </c>
      <c r="N948" s="12">
        <v>46052</v>
      </c>
      <c r="O948" s="10" t="s">
        <v>15428</v>
      </c>
      <c r="P948" s="5" t="s">
        <v>14571</v>
      </c>
      <c r="Q948" s="5" t="s">
        <v>14612</v>
      </c>
      <c r="R948" s="5" t="s">
        <v>17003</v>
      </c>
      <c r="T948" s="5" t="s">
        <v>5994</v>
      </c>
      <c r="U948" s="5" t="s">
        <v>14598</v>
      </c>
      <c r="V948" s="5" t="s">
        <v>1937</v>
      </c>
      <c r="W948" s="5" t="s">
        <v>7827</v>
      </c>
    </row>
    <row r="949" spans="1:23" ht="12.5">
      <c r="A949" s="5">
        <v>91453</v>
      </c>
      <c r="B949" s="5" t="s">
        <v>17004</v>
      </c>
      <c r="C949" s="5">
        <v>573002296004</v>
      </c>
      <c r="D949" s="5">
        <v>7</v>
      </c>
      <c r="E949" s="5" t="s">
        <v>112</v>
      </c>
      <c r="F949" s="5" t="s">
        <v>1595</v>
      </c>
      <c r="G949" s="5" t="s">
        <v>7832</v>
      </c>
      <c r="H949" s="5" t="s">
        <v>7833</v>
      </c>
      <c r="I949" s="5">
        <v>3043654747</v>
      </c>
      <c r="J949" s="12">
        <v>46052</v>
      </c>
      <c r="K949" s="11">
        <v>0.41666666666787933</v>
      </c>
      <c r="M949" s="10" t="s">
        <v>15420</v>
      </c>
      <c r="N949" s="12">
        <v>46052.354664525468</v>
      </c>
      <c r="O949" s="10" t="s">
        <v>16747</v>
      </c>
      <c r="P949" s="5" t="s">
        <v>14571</v>
      </c>
      <c r="Q949" s="5" t="s">
        <v>14572</v>
      </c>
      <c r="R949" s="5" t="s">
        <v>17005</v>
      </c>
      <c r="T949" s="5" t="s">
        <v>5994</v>
      </c>
      <c r="U949" s="5" t="s">
        <v>14580</v>
      </c>
      <c r="V949" s="5" t="s">
        <v>1705</v>
      </c>
    </row>
    <row r="950" spans="1:23" ht="12.5">
      <c r="A950" s="5">
        <v>91454</v>
      </c>
      <c r="B950" s="5" t="s">
        <v>17006</v>
      </c>
      <c r="C950" s="5">
        <v>573013727119</v>
      </c>
      <c r="D950" s="5">
        <v>32</v>
      </c>
      <c r="E950" s="5" t="s">
        <v>65</v>
      </c>
      <c r="F950" s="5" t="s">
        <v>307</v>
      </c>
      <c r="G950" s="5" t="s">
        <v>7837</v>
      </c>
      <c r="H950" s="5" t="s">
        <v>7838</v>
      </c>
      <c r="I950" s="5">
        <v>3165346126</v>
      </c>
      <c r="J950" s="12">
        <v>46052</v>
      </c>
      <c r="K950" s="11">
        <v>0.41666666666787933</v>
      </c>
      <c r="M950" s="10" t="s">
        <v>14627</v>
      </c>
      <c r="N950" s="12">
        <v>46052.351808946754</v>
      </c>
      <c r="O950" s="10" t="s">
        <v>15332</v>
      </c>
      <c r="P950" s="5" t="s">
        <v>14571</v>
      </c>
      <c r="Q950" s="5" t="s">
        <v>14572</v>
      </c>
      <c r="R950" s="5" t="s">
        <v>17007</v>
      </c>
      <c r="T950" s="5" t="s">
        <v>5994</v>
      </c>
      <c r="U950" s="5" t="s">
        <v>14618</v>
      </c>
      <c r="V950" s="5" t="s">
        <v>1481</v>
      </c>
    </row>
    <row r="951" spans="1:23" ht="12.5">
      <c r="A951" s="5">
        <v>91455</v>
      </c>
      <c r="B951" s="5" t="s">
        <v>7841</v>
      </c>
      <c r="C951" s="5">
        <v>572405707114</v>
      </c>
      <c r="D951" s="5">
        <v>52</v>
      </c>
      <c r="E951" s="5" t="s">
        <v>178</v>
      </c>
      <c r="F951" s="5" t="s">
        <v>33</v>
      </c>
      <c r="G951" s="5" t="s">
        <v>7841</v>
      </c>
      <c r="H951" s="5" t="s">
        <v>34</v>
      </c>
      <c r="I951" s="5">
        <v>2405707114</v>
      </c>
      <c r="J951" s="12">
        <v>46052</v>
      </c>
      <c r="K951" s="11">
        <v>0.375</v>
      </c>
      <c r="M951" s="10" t="s">
        <v>15161</v>
      </c>
      <c r="N951" s="12">
        <v>46052.360761099539</v>
      </c>
      <c r="O951" s="10" t="s">
        <v>16355</v>
      </c>
      <c r="P951" s="5" t="s">
        <v>14571</v>
      </c>
      <c r="Q951" s="5" t="s">
        <v>14699</v>
      </c>
      <c r="R951" s="5" t="s">
        <v>17008</v>
      </c>
      <c r="T951" s="5" t="s">
        <v>14574</v>
      </c>
      <c r="U951" s="5" t="s">
        <v>33</v>
      </c>
      <c r="V951" s="5" t="s">
        <v>43</v>
      </c>
      <c r="W951" s="5" t="s">
        <v>7843</v>
      </c>
    </row>
    <row r="952" spans="1:23" ht="12.5">
      <c r="A952" s="5">
        <v>91456</v>
      </c>
      <c r="B952" s="5" t="s">
        <v>17009</v>
      </c>
      <c r="C952" s="5">
        <v>573013058892</v>
      </c>
      <c r="D952" s="5">
        <v>52</v>
      </c>
      <c r="E952" s="5" t="s">
        <v>178</v>
      </c>
      <c r="F952" s="5" t="s">
        <v>185</v>
      </c>
      <c r="G952" s="5" t="s">
        <v>7846</v>
      </c>
      <c r="H952" s="5" t="s">
        <v>7847</v>
      </c>
      <c r="I952" s="5">
        <v>3013058892</v>
      </c>
      <c r="J952" s="12">
        <v>46052</v>
      </c>
      <c r="K952" s="11">
        <v>0.41666666666787933</v>
      </c>
      <c r="M952" s="10" t="s">
        <v>15043</v>
      </c>
      <c r="N952" s="12">
        <v>46052.264376250001</v>
      </c>
      <c r="O952" s="10" t="s">
        <v>17010</v>
      </c>
      <c r="P952" s="5" t="s">
        <v>14571</v>
      </c>
      <c r="Q952" s="5" t="s">
        <v>14612</v>
      </c>
      <c r="R952" s="5" t="s">
        <v>17011</v>
      </c>
      <c r="T952" s="5" t="s">
        <v>5994</v>
      </c>
      <c r="U952" s="5" t="s">
        <v>14580</v>
      </c>
      <c r="V952" s="5" t="s">
        <v>1481</v>
      </c>
      <c r="W952" s="5" t="s">
        <v>7848</v>
      </c>
    </row>
    <row r="953" spans="1:23" ht="12.5">
      <c r="A953" s="5">
        <v>91457</v>
      </c>
      <c r="B953" s="5" t="s">
        <v>16616</v>
      </c>
      <c r="C953" s="5">
        <v>573007266661</v>
      </c>
      <c r="D953" s="5">
        <v>10</v>
      </c>
      <c r="E953" s="5" t="s">
        <v>747</v>
      </c>
      <c r="F953" s="5" t="s">
        <v>124</v>
      </c>
      <c r="G953" s="5" t="s">
        <v>7850</v>
      </c>
      <c r="H953" s="5" t="s">
        <v>7851</v>
      </c>
      <c r="I953" s="5">
        <v>3013385676</v>
      </c>
      <c r="J953" s="12">
        <v>46052</v>
      </c>
      <c r="K953" s="11">
        <v>0.41666666666787933</v>
      </c>
      <c r="M953" s="10" t="s">
        <v>17012</v>
      </c>
      <c r="N953" s="12">
        <v>46052.319468506947</v>
      </c>
      <c r="O953" s="10" t="s">
        <v>15909</v>
      </c>
      <c r="P953" s="5" t="s">
        <v>14571</v>
      </c>
      <c r="Q953" s="5" t="s">
        <v>14578</v>
      </c>
      <c r="R953" s="5" t="s">
        <v>17013</v>
      </c>
      <c r="T953" s="5" t="s">
        <v>5994</v>
      </c>
      <c r="U953" s="5" t="s">
        <v>14775</v>
      </c>
      <c r="V953" s="5" t="s">
        <v>1937</v>
      </c>
    </row>
    <row r="954" spans="1:23" ht="12.5">
      <c r="A954" s="5">
        <v>91458</v>
      </c>
      <c r="B954" s="5" t="s">
        <v>17014</v>
      </c>
      <c r="C954" s="5">
        <v>573205195139</v>
      </c>
      <c r="D954" s="5">
        <v>62</v>
      </c>
      <c r="E954" s="5" t="s">
        <v>2586</v>
      </c>
      <c r="F954" s="5" t="s">
        <v>229</v>
      </c>
      <c r="G954" s="5" t="s">
        <v>7854</v>
      </c>
      <c r="H954" s="5" t="s">
        <v>7352</v>
      </c>
      <c r="I954" s="5">
        <v>3005042875</v>
      </c>
      <c r="J954" s="12">
        <v>46052</v>
      </c>
      <c r="K954" s="11">
        <v>0.45833333333212067</v>
      </c>
      <c r="M954" s="10" t="s">
        <v>17015</v>
      </c>
      <c r="N954" s="12">
        <v>46052.379030763885</v>
      </c>
      <c r="O954" s="10" t="s">
        <v>17016</v>
      </c>
      <c r="P954" s="5" t="s">
        <v>14571</v>
      </c>
      <c r="Q954" s="5" t="s">
        <v>14572</v>
      </c>
      <c r="R954" s="5" t="s">
        <v>17017</v>
      </c>
      <c r="T954" s="5" t="s">
        <v>5994</v>
      </c>
      <c r="U954" s="5"/>
      <c r="V954" s="5" t="s">
        <v>180</v>
      </c>
    </row>
    <row r="955" spans="1:23" ht="12.5">
      <c r="A955" s="5">
        <v>91459</v>
      </c>
      <c r="B955" s="5" t="s">
        <v>16616</v>
      </c>
      <c r="C955" s="5">
        <v>573007266661</v>
      </c>
      <c r="D955" s="5">
        <v>29</v>
      </c>
      <c r="E955" s="5" t="s">
        <v>309</v>
      </c>
      <c r="F955" s="5" t="s">
        <v>1057</v>
      </c>
      <c r="G955" s="5" t="s">
        <v>7857</v>
      </c>
      <c r="H955" s="5" t="s">
        <v>7858</v>
      </c>
      <c r="I955" s="5">
        <v>3174178493</v>
      </c>
      <c r="J955" s="12">
        <v>46052</v>
      </c>
      <c r="K955" s="11">
        <v>0</v>
      </c>
      <c r="M955" s="10" t="s">
        <v>15632</v>
      </c>
      <c r="N955" s="12">
        <v>46052.393150185184</v>
      </c>
      <c r="O955" s="10" t="s">
        <v>15755</v>
      </c>
      <c r="P955" s="5" t="s">
        <v>14571</v>
      </c>
      <c r="Q955" s="5" t="s">
        <v>14578</v>
      </c>
      <c r="R955" s="5" t="s">
        <v>17018</v>
      </c>
      <c r="T955" s="5" t="s">
        <v>5994</v>
      </c>
      <c r="U955" s="5" t="s">
        <v>14580</v>
      </c>
      <c r="V955" s="5" t="s">
        <v>1937</v>
      </c>
    </row>
    <row r="956" spans="1:23" ht="12.5">
      <c r="A956" s="5">
        <v>91460</v>
      </c>
      <c r="B956" s="5" t="s">
        <v>7862</v>
      </c>
      <c r="C956" s="5">
        <v>1463303994</v>
      </c>
      <c r="D956" s="5">
        <v>64</v>
      </c>
      <c r="E956" s="5" t="s">
        <v>133</v>
      </c>
      <c r="F956" s="5" t="s">
        <v>33</v>
      </c>
      <c r="G956" s="5" t="s">
        <v>7862</v>
      </c>
      <c r="H956" s="5" t="s">
        <v>34</v>
      </c>
      <c r="I956" s="5">
        <v>1463303994</v>
      </c>
      <c r="J956" s="12">
        <v>46052</v>
      </c>
      <c r="K956" s="11">
        <v>0</v>
      </c>
      <c r="M956" s="10" t="s">
        <v>14646</v>
      </c>
      <c r="N956" s="12">
        <v>46052.401784733796</v>
      </c>
      <c r="O956" s="10" t="s">
        <v>15983</v>
      </c>
      <c r="P956" s="5" t="s">
        <v>14571</v>
      </c>
      <c r="Q956" s="5" t="s">
        <v>14578</v>
      </c>
      <c r="R956" s="5" t="s">
        <v>17019</v>
      </c>
      <c r="T956" s="5" t="s">
        <v>14574</v>
      </c>
      <c r="U956" s="5" t="s">
        <v>33</v>
      </c>
      <c r="V956" s="5" t="s">
        <v>1705</v>
      </c>
    </row>
    <row r="957" spans="1:23" ht="12.5">
      <c r="A957" s="5">
        <v>91461</v>
      </c>
      <c r="B957" s="5" t="s">
        <v>7863</v>
      </c>
      <c r="C957" s="5">
        <v>573126008597</v>
      </c>
      <c r="D957" s="5" t="s">
        <v>15979</v>
      </c>
      <c r="E957" s="5" t="s">
        <v>7865</v>
      </c>
      <c r="F957" s="5" t="s">
        <v>103</v>
      </c>
      <c r="G957" s="5" t="s">
        <v>7863</v>
      </c>
      <c r="H957" s="5" t="s">
        <v>7864</v>
      </c>
      <c r="I957" s="5">
        <v>3126008597</v>
      </c>
      <c r="J957" s="12">
        <v>46053</v>
      </c>
      <c r="K957" s="11">
        <v>0.45833333333212067</v>
      </c>
      <c r="M957" s="10" t="s">
        <v>15420</v>
      </c>
      <c r="N957" s="12">
        <v>46053</v>
      </c>
      <c r="O957" s="10" t="s">
        <v>17020</v>
      </c>
      <c r="P957" s="5" t="s">
        <v>14571</v>
      </c>
      <c r="Q957" s="5" t="s">
        <v>14578</v>
      </c>
      <c r="R957" s="5" t="s">
        <v>17021</v>
      </c>
      <c r="T957" s="5" t="s">
        <v>5994</v>
      </c>
      <c r="U957" s="5" t="s">
        <v>14593</v>
      </c>
      <c r="V957" s="5" t="s">
        <v>1481</v>
      </c>
    </row>
    <row r="958" spans="1:23" ht="12.5">
      <c r="A958" s="5">
        <v>91462</v>
      </c>
      <c r="B958" s="5" t="s">
        <v>17022</v>
      </c>
      <c r="C958" s="5">
        <v>573105365759</v>
      </c>
      <c r="D958" s="5">
        <v>16</v>
      </c>
      <c r="E958" s="5" t="s">
        <v>2556</v>
      </c>
      <c r="F958" s="5" t="s">
        <v>401</v>
      </c>
      <c r="G958" s="5" t="s">
        <v>7868</v>
      </c>
      <c r="H958" s="5" t="s">
        <v>7869</v>
      </c>
      <c r="I958" s="5">
        <v>3005182766</v>
      </c>
      <c r="J958" s="12">
        <v>46052</v>
      </c>
      <c r="K958" s="11">
        <v>0</v>
      </c>
      <c r="M958" s="10" t="s">
        <v>17023</v>
      </c>
      <c r="N958" s="12">
        <v>46052.396799837967</v>
      </c>
      <c r="O958" s="10" t="s">
        <v>16186</v>
      </c>
      <c r="P958" s="5" t="s">
        <v>14571</v>
      </c>
      <c r="Q958" s="5" t="s">
        <v>14612</v>
      </c>
      <c r="R958" s="5" t="s">
        <v>17024</v>
      </c>
      <c r="T958" s="5" t="s">
        <v>5994</v>
      </c>
      <c r="U958" s="5" t="s">
        <v>14618</v>
      </c>
      <c r="V958" s="5" t="s">
        <v>1481</v>
      </c>
    </row>
    <row r="959" spans="1:23" ht="12.5">
      <c r="A959" s="5">
        <v>91463</v>
      </c>
      <c r="B959" s="5" t="s">
        <v>17025</v>
      </c>
      <c r="C959" s="5">
        <v>573001598282</v>
      </c>
      <c r="D959" s="5">
        <v>70</v>
      </c>
      <c r="E959" s="5" t="s">
        <v>559</v>
      </c>
      <c r="F959" s="5" t="s">
        <v>1047</v>
      </c>
      <c r="G959" s="5" t="s">
        <v>7874</v>
      </c>
      <c r="H959" s="5" t="s">
        <v>7875</v>
      </c>
      <c r="I959" s="5" t="s">
        <v>7876</v>
      </c>
      <c r="J959" s="12">
        <v>46052</v>
      </c>
      <c r="K959" s="11">
        <v>0.6875</v>
      </c>
      <c r="M959" s="10" t="s">
        <v>17026</v>
      </c>
      <c r="N959" s="12">
        <v>46052.377850335644</v>
      </c>
      <c r="O959" s="10" t="s">
        <v>15916</v>
      </c>
      <c r="P959" s="5" t="s">
        <v>14571</v>
      </c>
      <c r="Q959" s="5" t="s">
        <v>14578</v>
      </c>
      <c r="R959" s="5" t="s">
        <v>17027</v>
      </c>
      <c r="T959" s="5" t="s">
        <v>5994</v>
      </c>
      <c r="U959" s="5" t="s">
        <v>14580</v>
      </c>
      <c r="V959" s="5" t="s">
        <v>1481</v>
      </c>
    </row>
    <row r="960" spans="1:23" ht="12.5">
      <c r="A960" s="5">
        <v>91464</v>
      </c>
      <c r="B960" s="5" t="s">
        <v>11201</v>
      </c>
      <c r="C960" s="5">
        <v>573046304222</v>
      </c>
      <c r="D960" s="5">
        <v>32</v>
      </c>
      <c r="E960" s="5" t="s">
        <v>65</v>
      </c>
      <c r="F960" s="5" t="s">
        <v>563</v>
      </c>
      <c r="G960" s="5" t="s">
        <v>7881</v>
      </c>
      <c r="H960" s="5" t="s">
        <v>7882</v>
      </c>
      <c r="I960" s="5">
        <v>3046304222</v>
      </c>
      <c r="J960" s="12">
        <v>46052</v>
      </c>
      <c r="K960" s="11">
        <v>0</v>
      </c>
      <c r="M960" s="10" t="s">
        <v>14832</v>
      </c>
      <c r="N960" s="12">
        <v>46052.405867106485</v>
      </c>
      <c r="O960" s="10" t="s">
        <v>17028</v>
      </c>
      <c r="P960" s="5" t="s">
        <v>14571</v>
      </c>
      <c r="Q960" s="5" t="s">
        <v>14572</v>
      </c>
      <c r="R960" s="5" t="s">
        <v>17029</v>
      </c>
      <c r="T960" s="5" t="s">
        <v>5994</v>
      </c>
      <c r="U960" s="5" t="s">
        <v>14775</v>
      </c>
      <c r="V960" s="5" t="s">
        <v>1481</v>
      </c>
    </row>
    <row r="961" spans="1:23" ht="12.5">
      <c r="A961" s="5">
        <v>91465</v>
      </c>
      <c r="B961" s="5" t="s">
        <v>6387</v>
      </c>
      <c r="C961" s="5">
        <v>573113043191</v>
      </c>
      <c r="D961" s="5">
        <v>95</v>
      </c>
      <c r="E961" s="5" t="s">
        <v>42</v>
      </c>
      <c r="F961" s="5" t="s">
        <v>33</v>
      </c>
      <c r="G961" s="5" t="s">
        <v>6387</v>
      </c>
      <c r="H961" s="5" t="s">
        <v>34</v>
      </c>
      <c r="I961" s="5" t="s">
        <v>2474</v>
      </c>
      <c r="J961" s="12">
        <v>46052</v>
      </c>
      <c r="K961" s="11">
        <v>0</v>
      </c>
      <c r="M961" s="10" t="s">
        <v>17030</v>
      </c>
      <c r="N961" s="12">
        <v>46052.43693585648</v>
      </c>
      <c r="O961" s="10" t="s">
        <v>15500</v>
      </c>
      <c r="P961" s="5" t="s">
        <v>14571</v>
      </c>
      <c r="Q961" s="5" t="s">
        <v>14578</v>
      </c>
      <c r="R961" s="5" t="s">
        <v>17031</v>
      </c>
      <c r="T961" s="5" t="s">
        <v>14574</v>
      </c>
      <c r="U961" s="5" t="s">
        <v>33</v>
      </c>
      <c r="V961" s="5" t="s">
        <v>1705</v>
      </c>
      <c r="W961" s="5" t="s">
        <v>525</v>
      </c>
    </row>
    <row r="962" spans="1:23" ht="12.5">
      <c r="A962" s="5">
        <v>91466</v>
      </c>
      <c r="B962" s="5" t="s">
        <v>17032</v>
      </c>
      <c r="C962" s="5">
        <v>573043828685</v>
      </c>
      <c r="D962" s="5">
        <v>21</v>
      </c>
      <c r="E962" s="5" t="s">
        <v>330</v>
      </c>
      <c r="F962" s="5" t="s">
        <v>185</v>
      </c>
      <c r="G962" s="5" t="s">
        <v>7886</v>
      </c>
      <c r="H962" s="5" t="s">
        <v>7887</v>
      </c>
      <c r="I962" s="5" t="s">
        <v>7888</v>
      </c>
      <c r="J962" s="12">
        <v>46052</v>
      </c>
      <c r="K962" s="11">
        <v>0</v>
      </c>
      <c r="M962" s="10" t="s">
        <v>15140</v>
      </c>
      <c r="N962" s="12">
        <v>46052.325810775466</v>
      </c>
      <c r="O962" s="10" t="s">
        <v>16053</v>
      </c>
      <c r="P962" s="5" t="s">
        <v>14571</v>
      </c>
      <c r="Q962" s="5" t="s">
        <v>14612</v>
      </c>
      <c r="R962" s="5" t="s">
        <v>17033</v>
      </c>
      <c r="T962" s="5" t="s">
        <v>5994</v>
      </c>
      <c r="U962" s="5" t="s">
        <v>14580</v>
      </c>
      <c r="V962" s="5" t="s">
        <v>1937</v>
      </c>
    </row>
    <row r="963" spans="1:23" ht="12.5">
      <c r="A963" s="5">
        <v>91467</v>
      </c>
      <c r="B963" s="5" t="s">
        <v>17034</v>
      </c>
      <c r="C963" s="5">
        <v>573165398651</v>
      </c>
      <c r="D963" s="5">
        <v>68</v>
      </c>
      <c r="E963" s="5" t="s">
        <v>361</v>
      </c>
      <c r="F963" s="5" t="s">
        <v>63</v>
      </c>
      <c r="G963" s="5" t="s">
        <v>7892</v>
      </c>
      <c r="H963" s="5" t="s">
        <v>7893</v>
      </c>
      <c r="I963" s="5">
        <v>3005583071</v>
      </c>
      <c r="J963" s="12">
        <v>46052</v>
      </c>
      <c r="K963" s="11">
        <v>0</v>
      </c>
      <c r="M963" s="10" t="s">
        <v>15359</v>
      </c>
      <c r="N963" s="12">
        <v>46052.411668854169</v>
      </c>
      <c r="O963" s="10" t="s">
        <v>15764</v>
      </c>
      <c r="P963" s="5" t="s">
        <v>14571</v>
      </c>
      <c r="Q963" s="5" t="s">
        <v>14578</v>
      </c>
      <c r="R963" s="5" t="s">
        <v>17035</v>
      </c>
      <c r="T963" s="5" t="s">
        <v>5994</v>
      </c>
      <c r="U963" s="5" t="s">
        <v>14598</v>
      </c>
      <c r="V963" s="5" t="s">
        <v>204</v>
      </c>
      <c r="W963" s="5" t="s">
        <v>7896</v>
      </c>
    </row>
    <row r="964" spans="1:23" ht="12.5">
      <c r="A964" s="5">
        <v>91468</v>
      </c>
      <c r="B964" s="5" t="s">
        <v>7897</v>
      </c>
      <c r="C964" s="5">
        <v>573022964478</v>
      </c>
      <c r="D964" s="5">
        <v>95</v>
      </c>
      <c r="E964" s="5" t="s">
        <v>42</v>
      </c>
      <c r="F964" s="5" t="s">
        <v>33</v>
      </c>
      <c r="G964" s="5" t="s">
        <v>7897</v>
      </c>
      <c r="H964" s="5" t="s">
        <v>34</v>
      </c>
      <c r="I964" s="5">
        <v>3022964478</v>
      </c>
      <c r="J964" s="12">
        <v>46052</v>
      </c>
      <c r="K964" s="11">
        <v>0</v>
      </c>
      <c r="M964" s="10" t="s">
        <v>14923</v>
      </c>
      <c r="N964" s="12">
        <v>46052.489118622689</v>
      </c>
      <c r="O964" s="10" t="s">
        <v>16289</v>
      </c>
      <c r="P964" s="5" t="s">
        <v>14571</v>
      </c>
      <c r="Q964" s="5" t="s">
        <v>14612</v>
      </c>
      <c r="R964" s="5" t="s">
        <v>17036</v>
      </c>
      <c r="T964" s="5" t="s">
        <v>14574</v>
      </c>
      <c r="U964" s="5" t="s">
        <v>33</v>
      </c>
      <c r="V964" s="5" t="s">
        <v>1937</v>
      </c>
      <c r="W964" s="5" t="s">
        <v>525</v>
      </c>
    </row>
    <row r="965" spans="1:23" ht="12.5">
      <c r="A965" s="5">
        <v>91469</v>
      </c>
      <c r="B965" s="5" t="s">
        <v>7899</v>
      </c>
      <c r="C965" s="10" t="s">
        <v>17037</v>
      </c>
      <c r="D965" s="5">
        <v>21</v>
      </c>
      <c r="E965" s="5" t="s">
        <v>330</v>
      </c>
      <c r="G965" s="5" t="s">
        <v>7899</v>
      </c>
      <c r="H965" s="5" t="s">
        <v>7900</v>
      </c>
      <c r="I965" s="5">
        <v>3183752045</v>
      </c>
      <c r="J965" s="12">
        <v>46052</v>
      </c>
      <c r="K965" s="11">
        <v>0.58333333333333337</v>
      </c>
      <c r="M965" s="10" t="s">
        <v>14712</v>
      </c>
      <c r="N965" s="12">
        <v>46052</v>
      </c>
      <c r="O965" s="10" t="s">
        <v>15073</v>
      </c>
      <c r="P965" s="5" t="s">
        <v>14571</v>
      </c>
      <c r="Q965" s="5" t="s">
        <v>14572</v>
      </c>
      <c r="R965" s="5" t="s">
        <v>17038</v>
      </c>
      <c r="T965" s="5" t="s">
        <v>5994</v>
      </c>
      <c r="V965" s="5" t="s">
        <v>1481</v>
      </c>
    </row>
    <row r="966" spans="1:23" ht="12.5">
      <c r="A966" s="5">
        <v>91470</v>
      </c>
      <c r="B966" s="5" t="s">
        <v>7903</v>
      </c>
      <c r="C966" s="5">
        <v>573005099650</v>
      </c>
      <c r="D966" s="5">
        <v>45</v>
      </c>
      <c r="E966" s="5" t="s">
        <v>210</v>
      </c>
      <c r="F966" s="5" t="s">
        <v>33</v>
      </c>
      <c r="G966" s="5" t="s">
        <v>7903</v>
      </c>
      <c r="H966" s="5" t="s">
        <v>34</v>
      </c>
      <c r="I966" s="5">
        <v>3005099650</v>
      </c>
      <c r="J966" s="12">
        <v>46052</v>
      </c>
      <c r="K966" s="11">
        <v>0.58333333333212067</v>
      </c>
      <c r="M966" s="10" t="s">
        <v>14734</v>
      </c>
      <c r="N966" s="12">
        <v>46052.512230196764</v>
      </c>
      <c r="O966" s="10" t="s">
        <v>17039</v>
      </c>
      <c r="P966" s="5" t="s">
        <v>14571</v>
      </c>
      <c r="Q966" s="5" t="s">
        <v>14572</v>
      </c>
      <c r="R966" s="5" t="s">
        <v>17040</v>
      </c>
      <c r="T966" s="5" t="s">
        <v>14574</v>
      </c>
      <c r="U966" s="5" t="s">
        <v>33</v>
      </c>
      <c r="V966" s="5" t="s">
        <v>1481</v>
      </c>
    </row>
    <row r="967" spans="1:23" ht="12.5">
      <c r="A967" s="5">
        <v>91471</v>
      </c>
      <c r="B967" s="5" t="s">
        <v>17041</v>
      </c>
      <c r="C967" s="5">
        <v>573104267039</v>
      </c>
      <c r="D967" s="5">
        <v>50</v>
      </c>
      <c r="E967" s="5" t="s">
        <v>347</v>
      </c>
      <c r="F967" s="5" t="s">
        <v>249</v>
      </c>
      <c r="G967" s="5" t="s">
        <v>7904</v>
      </c>
      <c r="H967" s="5" t="s">
        <v>7905</v>
      </c>
      <c r="I967" s="5">
        <v>3104267039</v>
      </c>
      <c r="J967" s="12">
        <v>46052</v>
      </c>
      <c r="K967" s="11">
        <v>0.625</v>
      </c>
      <c r="M967" s="10" t="s">
        <v>15859</v>
      </c>
      <c r="N967" s="12">
        <v>46052.510780648146</v>
      </c>
      <c r="O967" s="10" t="s">
        <v>14738</v>
      </c>
      <c r="P967" s="5" t="s">
        <v>14571</v>
      </c>
      <c r="Q967" s="5" t="s">
        <v>14572</v>
      </c>
      <c r="R967" s="5" t="s">
        <v>17042</v>
      </c>
      <c r="T967" s="5" t="s">
        <v>5994</v>
      </c>
      <c r="U967" s="5" t="s">
        <v>14593</v>
      </c>
      <c r="V967" s="5" t="s">
        <v>1481</v>
      </c>
      <c r="W967" s="5" t="s">
        <v>3330</v>
      </c>
    </row>
    <row r="968" spans="1:23" ht="12.5">
      <c r="A968" s="5">
        <v>91472</v>
      </c>
      <c r="B968" s="5" t="s">
        <v>7910</v>
      </c>
      <c r="C968" s="5">
        <v>573168338127</v>
      </c>
      <c r="D968" s="5">
        <v>95</v>
      </c>
      <c r="E968" s="5" t="s">
        <v>42</v>
      </c>
      <c r="G968" s="5" t="s">
        <v>7910</v>
      </c>
      <c r="H968" s="5" t="s">
        <v>7911</v>
      </c>
      <c r="J968" s="12">
        <v>46052</v>
      </c>
      <c r="K968" s="11">
        <v>0.58333333333212067</v>
      </c>
      <c r="M968" s="10" t="s">
        <v>14708</v>
      </c>
      <c r="N968" s="12">
        <v>46052.533592453707</v>
      </c>
      <c r="O968" s="10" t="s">
        <v>15531</v>
      </c>
      <c r="P968" s="5" t="s">
        <v>14571</v>
      </c>
      <c r="Q968" s="5" t="s">
        <v>14572</v>
      </c>
      <c r="R968" s="5" t="s">
        <v>17043</v>
      </c>
      <c r="T968" s="5" t="s">
        <v>5994</v>
      </c>
      <c r="V968" s="5" t="s">
        <v>1481</v>
      </c>
      <c r="W968" s="5" t="s">
        <v>7912</v>
      </c>
    </row>
    <row r="969" spans="1:23" ht="12.5">
      <c r="A969" s="5">
        <v>91473</v>
      </c>
      <c r="B969" s="5" t="s">
        <v>17044</v>
      </c>
      <c r="C969" s="5">
        <v>573135952833</v>
      </c>
      <c r="D969" s="5">
        <v>53</v>
      </c>
      <c r="E969" s="5" t="s">
        <v>75</v>
      </c>
      <c r="F969" s="5" t="s">
        <v>79</v>
      </c>
      <c r="G969" s="5" t="s">
        <v>7915</v>
      </c>
      <c r="H969" s="5" t="s">
        <v>7916</v>
      </c>
      <c r="I969" s="5" t="s">
        <v>7917</v>
      </c>
      <c r="J969" s="12">
        <v>46052</v>
      </c>
      <c r="K969" s="11">
        <v>0.58333333333212067</v>
      </c>
      <c r="M969" s="10" t="s">
        <v>14627</v>
      </c>
      <c r="N969" s="12">
        <v>46052.527717500001</v>
      </c>
      <c r="O969" s="10" t="s">
        <v>14968</v>
      </c>
      <c r="P969" s="5" t="s">
        <v>14571</v>
      </c>
      <c r="Q969" s="5" t="s">
        <v>14612</v>
      </c>
      <c r="R969" s="5" t="s">
        <v>17045</v>
      </c>
      <c r="T969" s="5" t="s">
        <v>5994</v>
      </c>
      <c r="U969" s="5" t="s">
        <v>14593</v>
      </c>
      <c r="V969" s="5" t="s">
        <v>1481</v>
      </c>
    </row>
    <row r="970" spans="1:23" ht="12.5">
      <c r="A970" s="5">
        <v>91474</v>
      </c>
      <c r="B970" s="5" t="s">
        <v>17046</v>
      </c>
      <c r="C970" s="5">
        <v>573166838074</v>
      </c>
      <c r="D970" s="5">
        <v>73</v>
      </c>
      <c r="E970" s="5" t="s">
        <v>918</v>
      </c>
      <c r="F970" s="5" t="s">
        <v>185</v>
      </c>
      <c r="G970" s="5" t="s">
        <v>7921</v>
      </c>
      <c r="H970" s="5" t="s">
        <v>7922</v>
      </c>
      <c r="I970" s="5"/>
      <c r="J970" s="12">
        <v>46052</v>
      </c>
      <c r="K970" s="11">
        <v>0.625</v>
      </c>
      <c r="M970" s="10" t="s">
        <v>16647</v>
      </c>
      <c r="N970" s="12">
        <v>46052.533687835647</v>
      </c>
      <c r="O970" s="10" t="s">
        <v>15620</v>
      </c>
      <c r="P970" s="5" t="s">
        <v>14571</v>
      </c>
      <c r="Q970" s="5" t="s">
        <v>14578</v>
      </c>
      <c r="R970" s="5" t="s">
        <v>17047</v>
      </c>
      <c r="T970" s="5" t="s">
        <v>5994</v>
      </c>
      <c r="U970" s="5" t="s">
        <v>14580</v>
      </c>
      <c r="V970" s="5" t="s">
        <v>1481</v>
      </c>
    </row>
    <row r="971" spans="1:23" ht="12.5">
      <c r="A971" s="5">
        <v>91475</v>
      </c>
      <c r="B971" s="5" t="s">
        <v>7926</v>
      </c>
      <c r="C971" s="5">
        <v>573004783152</v>
      </c>
      <c r="D971" s="5">
        <v>29</v>
      </c>
      <c r="E971" s="5" t="s">
        <v>309</v>
      </c>
      <c r="F971" s="5" t="s">
        <v>33</v>
      </c>
      <c r="G971" s="5" t="s">
        <v>7926</v>
      </c>
      <c r="H971" s="5" t="s">
        <v>34</v>
      </c>
      <c r="I971" s="5">
        <v>3004783152</v>
      </c>
      <c r="J971" s="12">
        <v>46052</v>
      </c>
      <c r="K971" s="11">
        <v>0</v>
      </c>
      <c r="M971" s="10" t="s">
        <v>14850</v>
      </c>
      <c r="N971" s="12">
        <v>46052.560902488425</v>
      </c>
      <c r="O971" s="10" t="s">
        <v>16134</v>
      </c>
      <c r="P971" s="5" t="s">
        <v>14571</v>
      </c>
      <c r="Q971" s="5" t="s">
        <v>14612</v>
      </c>
      <c r="R971" s="5" t="s">
        <v>17048</v>
      </c>
      <c r="T971" s="5" t="s">
        <v>14574</v>
      </c>
      <c r="U971" s="5" t="s">
        <v>33</v>
      </c>
      <c r="V971" s="5" t="s">
        <v>1705</v>
      </c>
    </row>
    <row r="972" spans="1:23" ht="12.5">
      <c r="A972" s="5">
        <v>91476</v>
      </c>
      <c r="B972" s="5" t="s">
        <v>14127</v>
      </c>
      <c r="C972" s="5">
        <v>573054498222</v>
      </c>
      <c r="D972" s="5">
        <v>25</v>
      </c>
      <c r="E972" s="5" t="s">
        <v>1792</v>
      </c>
      <c r="F972" s="5" t="s">
        <v>448</v>
      </c>
      <c r="G972" s="5" t="s">
        <v>7929</v>
      </c>
      <c r="H972" s="5" t="s">
        <v>7930</v>
      </c>
      <c r="I972" s="5">
        <v>3054498222</v>
      </c>
      <c r="J972" s="12">
        <v>46052</v>
      </c>
      <c r="K972" s="11">
        <v>0.64583333333212067</v>
      </c>
      <c r="M972" s="10" t="s">
        <v>15619</v>
      </c>
      <c r="N972" s="12">
        <v>46052.537167106479</v>
      </c>
      <c r="O972" s="10" t="s">
        <v>16138</v>
      </c>
      <c r="P972" s="5" t="s">
        <v>14571</v>
      </c>
      <c r="Q972" s="5" t="s">
        <v>14578</v>
      </c>
      <c r="R972" s="5" t="s">
        <v>17049</v>
      </c>
      <c r="T972" s="5" t="s">
        <v>5994</v>
      </c>
      <c r="U972" s="5" t="s">
        <v>14580</v>
      </c>
      <c r="V972" s="5" t="s">
        <v>67</v>
      </c>
      <c r="W972" s="5" t="s">
        <v>7933</v>
      </c>
    </row>
    <row r="973" spans="1:23" ht="12.5">
      <c r="A973" s="5">
        <v>91477</v>
      </c>
      <c r="B973" s="5" t="s">
        <v>17050</v>
      </c>
      <c r="C973" s="5">
        <v>573156128028</v>
      </c>
      <c r="D973" s="5" t="s">
        <v>14589</v>
      </c>
      <c r="E973" s="5" t="s">
        <v>7938</v>
      </c>
      <c r="F973" s="5" t="s">
        <v>73</v>
      </c>
      <c r="G973" s="5" t="s">
        <v>7936</v>
      </c>
      <c r="H973" s="5" t="s">
        <v>7937</v>
      </c>
      <c r="J973" s="12">
        <v>46052</v>
      </c>
      <c r="K973" s="11">
        <v>0.64583333333212067</v>
      </c>
      <c r="M973" s="10" t="s">
        <v>16647</v>
      </c>
      <c r="N973" s="12">
        <v>46052.583035439813</v>
      </c>
      <c r="O973" s="10" t="s">
        <v>17051</v>
      </c>
      <c r="P973" s="5" t="s">
        <v>14571</v>
      </c>
      <c r="Q973" s="5" t="s">
        <v>14572</v>
      </c>
      <c r="R973" s="5" t="s">
        <v>17052</v>
      </c>
      <c r="T973" s="5" t="s">
        <v>5994</v>
      </c>
      <c r="U973" s="5" t="s">
        <v>14593</v>
      </c>
      <c r="V973" s="5" t="s">
        <v>67</v>
      </c>
    </row>
    <row r="974" spans="1:23" ht="12.5">
      <c r="A974" s="5">
        <v>91478</v>
      </c>
      <c r="B974" s="5" t="s">
        <v>17053</v>
      </c>
      <c r="C974" s="5">
        <v>584140137146</v>
      </c>
      <c r="D974" s="5">
        <v>29</v>
      </c>
      <c r="E974" s="5" t="s">
        <v>309</v>
      </c>
      <c r="F974" s="5" t="s">
        <v>124</v>
      </c>
      <c r="G974" s="5" t="s">
        <v>7941</v>
      </c>
      <c r="H974" s="5" t="s">
        <v>7942</v>
      </c>
      <c r="I974" s="5"/>
      <c r="J974" s="12">
        <v>46052</v>
      </c>
      <c r="K974" s="11">
        <v>0</v>
      </c>
      <c r="M974" s="10" t="s">
        <v>15632</v>
      </c>
      <c r="N974" s="12">
        <v>46052.552629108795</v>
      </c>
      <c r="O974" s="10" t="s">
        <v>15701</v>
      </c>
      <c r="P974" s="5" t="s">
        <v>14571</v>
      </c>
      <c r="Q974" s="5" t="s">
        <v>14578</v>
      </c>
      <c r="R974" s="5" t="s">
        <v>17054</v>
      </c>
      <c r="T974" s="5" t="s">
        <v>5994</v>
      </c>
      <c r="U974" s="5" t="s">
        <v>14775</v>
      </c>
      <c r="V974" s="5" t="s">
        <v>67</v>
      </c>
      <c r="W974" s="5" t="s">
        <v>7945</v>
      </c>
    </row>
    <row r="975" spans="1:23" ht="12.5">
      <c r="A975" s="5">
        <v>91479</v>
      </c>
      <c r="B975" s="5" t="s">
        <v>17055</v>
      </c>
      <c r="C975" s="5">
        <v>34638612865</v>
      </c>
      <c r="D975" s="5">
        <v>26</v>
      </c>
      <c r="E975" s="5" t="s">
        <v>422</v>
      </c>
      <c r="F975" s="5" t="s">
        <v>161</v>
      </c>
      <c r="G975" s="5" t="s">
        <v>7947</v>
      </c>
      <c r="H975" s="5" t="s">
        <v>7948</v>
      </c>
      <c r="I975" s="5">
        <v>3052775887</v>
      </c>
      <c r="J975" s="12">
        <v>46052</v>
      </c>
      <c r="K975" s="11">
        <v>0.66666666666787933</v>
      </c>
      <c r="M975" s="10" t="s">
        <v>15623</v>
      </c>
      <c r="N975" s="12">
        <v>46052.577203252316</v>
      </c>
      <c r="O975" s="10" t="s">
        <v>16074</v>
      </c>
      <c r="P975" s="5" t="s">
        <v>14571</v>
      </c>
      <c r="Q975" s="5" t="s">
        <v>14612</v>
      </c>
      <c r="R975" s="5" t="s">
        <v>17056</v>
      </c>
      <c r="T975" s="5" t="s">
        <v>5994</v>
      </c>
      <c r="U975" s="5" t="s">
        <v>14593</v>
      </c>
      <c r="V975" s="5" t="s">
        <v>67</v>
      </c>
    </row>
    <row r="976" spans="1:23" ht="12.5">
      <c r="A976" s="5">
        <v>91480</v>
      </c>
      <c r="B976" s="5" t="s">
        <v>7951</v>
      </c>
      <c r="C976" s="5">
        <v>573004245282</v>
      </c>
      <c r="D976" s="5">
        <v>29</v>
      </c>
      <c r="E976" s="5" t="s">
        <v>309</v>
      </c>
      <c r="F976" s="5" t="s">
        <v>33</v>
      </c>
      <c r="G976" s="5" t="s">
        <v>7951</v>
      </c>
      <c r="H976" s="5" t="s">
        <v>34</v>
      </c>
      <c r="J976" s="12">
        <v>46052</v>
      </c>
      <c r="K976" s="11">
        <v>0</v>
      </c>
      <c r="M976" s="10" t="s">
        <v>14850</v>
      </c>
      <c r="N976" s="12">
        <v>46052.599256018519</v>
      </c>
      <c r="O976" s="10" t="s">
        <v>15065</v>
      </c>
      <c r="P976" s="5" t="s">
        <v>14571</v>
      </c>
      <c r="Q976" s="5" t="s">
        <v>14578</v>
      </c>
      <c r="R976" s="5" t="s">
        <v>17057</v>
      </c>
      <c r="T976" s="5" t="s">
        <v>14574</v>
      </c>
      <c r="U976" s="5" t="s">
        <v>33</v>
      </c>
      <c r="V976" s="5" t="s">
        <v>37</v>
      </c>
      <c r="W976" s="5" t="s">
        <v>7952</v>
      </c>
    </row>
    <row r="977" spans="1:23" ht="12.5">
      <c r="A977" s="5">
        <v>91481</v>
      </c>
      <c r="B977" s="5" t="s">
        <v>17058</v>
      </c>
      <c r="C977" s="5">
        <v>5804123420008</v>
      </c>
      <c r="D977" s="5">
        <v>29</v>
      </c>
      <c r="E977" s="5" t="s">
        <v>309</v>
      </c>
      <c r="F977" s="5" t="s">
        <v>185</v>
      </c>
      <c r="G977" s="5" t="s">
        <v>7954</v>
      </c>
      <c r="H977" s="5" t="s">
        <v>7955</v>
      </c>
      <c r="I977" s="5"/>
      <c r="J977" s="12">
        <v>46052</v>
      </c>
      <c r="K977" s="11">
        <v>0</v>
      </c>
      <c r="M977" s="10" t="s">
        <v>15585</v>
      </c>
      <c r="N977" s="12">
        <v>46052.586028692131</v>
      </c>
      <c r="O977" s="10" t="s">
        <v>17059</v>
      </c>
      <c r="P977" s="5" t="s">
        <v>14571</v>
      </c>
      <c r="Q977" s="5" t="s">
        <v>14572</v>
      </c>
      <c r="R977" s="5" t="s">
        <v>17060</v>
      </c>
      <c r="T977" s="5" t="s">
        <v>5994</v>
      </c>
      <c r="U977" s="5" t="s">
        <v>14580</v>
      </c>
      <c r="V977" s="5" t="s">
        <v>1937</v>
      </c>
      <c r="W977" s="5" t="s">
        <v>7958</v>
      </c>
    </row>
    <row r="978" spans="1:23" ht="12.5">
      <c r="A978" s="5">
        <v>91482</v>
      </c>
      <c r="B978" s="5" t="s">
        <v>7960</v>
      </c>
      <c r="C978" s="5">
        <v>573004397253</v>
      </c>
      <c r="D978" s="5">
        <v>52</v>
      </c>
      <c r="E978" s="5" t="s">
        <v>178</v>
      </c>
      <c r="F978" s="5" t="s">
        <v>33</v>
      </c>
      <c r="G978" s="5" t="s">
        <v>7960</v>
      </c>
      <c r="H978" s="5" t="s">
        <v>34</v>
      </c>
      <c r="I978" s="5" t="s">
        <v>7961</v>
      </c>
      <c r="J978" s="12">
        <v>46052</v>
      </c>
      <c r="K978" s="11">
        <v>0.70833333333212067</v>
      </c>
      <c r="M978" s="10" t="s">
        <v>15161</v>
      </c>
      <c r="N978" s="12">
        <v>46052.629684097221</v>
      </c>
      <c r="O978" s="10" t="s">
        <v>16785</v>
      </c>
      <c r="P978" s="5" t="s">
        <v>14571</v>
      </c>
      <c r="Q978" s="5" t="s">
        <v>14612</v>
      </c>
      <c r="R978" s="5" t="s">
        <v>17061</v>
      </c>
      <c r="T978" s="5" t="s">
        <v>14574</v>
      </c>
      <c r="U978" s="5" t="s">
        <v>33</v>
      </c>
      <c r="V978" s="5" t="s">
        <v>1705</v>
      </c>
    </row>
    <row r="979" spans="1:23" ht="12.5">
      <c r="A979" s="5">
        <v>91483</v>
      </c>
      <c r="B979" s="5" t="s">
        <v>7963</v>
      </c>
      <c r="C979" s="5">
        <v>570000</v>
      </c>
      <c r="D979" s="5">
        <v>95</v>
      </c>
      <c r="E979" s="5" t="s">
        <v>42</v>
      </c>
      <c r="F979" s="5" t="s">
        <v>33</v>
      </c>
      <c r="G979" s="5" t="s">
        <v>7963</v>
      </c>
      <c r="H979" s="5" t="s">
        <v>34</v>
      </c>
      <c r="I979" s="10" t="s">
        <v>2686</v>
      </c>
      <c r="J979" s="12">
        <v>46052</v>
      </c>
      <c r="K979" s="11">
        <v>0</v>
      </c>
      <c r="M979" s="10" t="s">
        <v>14585</v>
      </c>
      <c r="N979" s="12">
        <v>46052.643599733798</v>
      </c>
      <c r="O979" s="10" t="s">
        <v>16925</v>
      </c>
      <c r="P979" s="5" t="s">
        <v>14571</v>
      </c>
      <c r="Q979" s="5" t="s">
        <v>14572</v>
      </c>
      <c r="R979" s="5" t="s">
        <v>17062</v>
      </c>
      <c r="T979" s="5" t="s">
        <v>14574</v>
      </c>
      <c r="U979" s="5" t="s">
        <v>33</v>
      </c>
      <c r="V979" s="5" t="s">
        <v>67</v>
      </c>
    </row>
    <row r="980" spans="1:23" ht="12.5">
      <c r="A980" s="5">
        <v>91484</v>
      </c>
      <c r="B980" s="5" t="s">
        <v>7966</v>
      </c>
      <c r="C980" s="5">
        <v>570000</v>
      </c>
      <c r="D980" s="5">
        <v>95</v>
      </c>
      <c r="E980" s="5" t="s">
        <v>42</v>
      </c>
      <c r="F980" s="5" t="s">
        <v>33</v>
      </c>
      <c r="G980" s="5" t="s">
        <v>7966</v>
      </c>
      <c r="H980" s="5" t="s">
        <v>34</v>
      </c>
      <c r="I980" s="10" t="s">
        <v>2686</v>
      </c>
      <c r="J980" s="12">
        <v>46052</v>
      </c>
      <c r="K980" s="11">
        <v>0</v>
      </c>
      <c r="M980" s="10" t="s">
        <v>2686</v>
      </c>
      <c r="N980" s="12">
        <v>46052.645999155095</v>
      </c>
      <c r="O980" s="10" t="s">
        <v>16216</v>
      </c>
      <c r="P980" s="5" t="s">
        <v>14571</v>
      </c>
      <c r="Q980" s="5" t="s">
        <v>14578</v>
      </c>
      <c r="R980" s="5" t="s">
        <v>17063</v>
      </c>
      <c r="T980" s="5" t="s">
        <v>14574</v>
      </c>
      <c r="U980" s="5" t="s">
        <v>33</v>
      </c>
      <c r="V980" s="5" t="s">
        <v>196</v>
      </c>
      <c r="W980" s="5" t="s">
        <v>7967</v>
      </c>
    </row>
    <row r="981" spans="1:23" ht="12.5">
      <c r="A981" s="5">
        <v>91485</v>
      </c>
      <c r="B981" s="5" t="s">
        <v>17064</v>
      </c>
      <c r="C981" s="5">
        <v>573008332601</v>
      </c>
      <c r="D981" s="5">
        <v>40</v>
      </c>
      <c r="E981" s="5" t="s">
        <v>3142</v>
      </c>
      <c r="F981" s="5" t="s">
        <v>879</v>
      </c>
      <c r="G981" s="5" t="s">
        <v>7970</v>
      </c>
      <c r="H981" s="5" t="s">
        <v>7971</v>
      </c>
      <c r="I981" s="5">
        <v>3053274304</v>
      </c>
      <c r="J981" s="12">
        <v>46053</v>
      </c>
      <c r="K981" s="11">
        <v>0.75</v>
      </c>
      <c r="M981" s="10" t="s">
        <v>15420</v>
      </c>
      <c r="N981" s="12">
        <v>46053.63857638889</v>
      </c>
      <c r="O981" s="10" t="s">
        <v>15449</v>
      </c>
      <c r="P981" s="5" t="s">
        <v>14571</v>
      </c>
      <c r="Q981" s="5" t="s">
        <v>14578</v>
      </c>
      <c r="R981" s="5" t="s">
        <v>17065</v>
      </c>
      <c r="T981" s="5" t="s">
        <v>5994</v>
      </c>
      <c r="U981" s="5" t="s">
        <v>14580</v>
      </c>
      <c r="V981" s="5" t="s">
        <v>196</v>
      </c>
    </row>
    <row r="982" spans="1:23" ht="12.5">
      <c r="A982" s="5">
        <v>91486</v>
      </c>
      <c r="B982" s="5" t="s">
        <v>7493</v>
      </c>
      <c r="C982" s="5">
        <v>573218807949</v>
      </c>
      <c r="D982" s="5">
        <v>28</v>
      </c>
      <c r="E982" s="5" t="s">
        <v>435</v>
      </c>
      <c r="F982" s="5" t="s">
        <v>33</v>
      </c>
      <c r="G982" s="5" t="s">
        <v>7493</v>
      </c>
      <c r="H982" s="5" t="s">
        <v>34</v>
      </c>
      <c r="I982" s="5">
        <v>3218807949</v>
      </c>
      <c r="J982" s="12">
        <v>46052</v>
      </c>
      <c r="K982" s="11">
        <v>0</v>
      </c>
      <c r="M982" s="10" t="s">
        <v>16222</v>
      </c>
      <c r="N982" s="12">
        <v>46052.666168784723</v>
      </c>
      <c r="O982" s="10" t="s">
        <v>16223</v>
      </c>
      <c r="P982" s="5" t="s">
        <v>14571</v>
      </c>
      <c r="Q982" s="5" t="s">
        <v>14612</v>
      </c>
      <c r="R982" s="5" t="s">
        <v>17066</v>
      </c>
      <c r="T982" s="5" t="s">
        <v>14574</v>
      </c>
      <c r="U982" s="5" t="s">
        <v>33</v>
      </c>
      <c r="V982" s="5" t="s">
        <v>37</v>
      </c>
      <c r="W982" s="5" t="s">
        <v>7974</v>
      </c>
    </row>
    <row r="983" spans="1:23" ht="12.5">
      <c r="A983" s="5">
        <v>91487</v>
      </c>
      <c r="B983" s="5" t="s">
        <v>17067</v>
      </c>
      <c r="C983" s="5">
        <v>573242911372</v>
      </c>
      <c r="D983" s="5">
        <v>44</v>
      </c>
      <c r="E983" s="5" t="s">
        <v>1111</v>
      </c>
      <c r="F983" s="5" t="s">
        <v>307</v>
      </c>
      <c r="G983" s="5" t="s">
        <v>7976</v>
      </c>
      <c r="H983" s="5" t="s">
        <v>7977</v>
      </c>
      <c r="I983" s="5">
        <v>3008143839</v>
      </c>
      <c r="J983" s="12">
        <v>46053</v>
      </c>
      <c r="K983" s="11">
        <v>0.66666666666787933</v>
      </c>
      <c r="M983" s="10" t="s">
        <v>14646</v>
      </c>
      <c r="N983" s="12">
        <v>46052.67301392361</v>
      </c>
      <c r="O983" s="10" t="s">
        <v>15370</v>
      </c>
      <c r="P983" s="5" t="s">
        <v>14571</v>
      </c>
      <c r="Q983" s="5" t="s">
        <v>14612</v>
      </c>
      <c r="R983" s="5" t="s">
        <v>17068</v>
      </c>
      <c r="T983" s="5" t="s">
        <v>5994</v>
      </c>
      <c r="U983" s="5" t="s">
        <v>14618</v>
      </c>
      <c r="V983" s="5" t="s">
        <v>83</v>
      </c>
    </row>
    <row r="984" spans="1:23" ht="12.5">
      <c r="A984" s="5">
        <v>91488</v>
      </c>
      <c r="B984" s="5" t="s">
        <v>17069</v>
      </c>
      <c r="C984" s="5">
        <v>573192516630</v>
      </c>
      <c r="D984" s="5">
        <v>32</v>
      </c>
      <c r="E984" s="5" t="s">
        <v>65</v>
      </c>
      <c r="F984" s="5" t="s">
        <v>185</v>
      </c>
      <c r="G984" s="5" t="s">
        <v>7981</v>
      </c>
      <c r="H984" s="5" t="s">
        <v>7982</v>
      </c>
      <c r="I984" s="5">
        <v>3017438641</v>
      </c>
      <c r="J984" s="12">
        <v>46053</v>
      </c>
      <c r="K984" s="11">
        <v>0.375</v>
      </c>
      <c r="M984" s="10" t="s">
        <v>14850</v>
      </c>
      <c r="N984" s="12">
        <v>46052.668651296292</v>
      </c>
      <c r="O984" s="10" t="s">
        <v>15442</v>
      </c>
      <c r="P984" s="5" t="s">
        <v>14571</v>
      </c>
      <c r="Q984" s="5" t="s">
        <v>14572</v>
      </c>
      <c r="R984" s="5" t="s">
        <v>17070</v>
      </c>
      <c r="T984" s="5" t="s">
        <v>5994</v>
      </c>
      <c r="U984" s="5" t="s">
        <v>14580</v>
      </c>
      <c r="V984" s="5" t="s">
        <v>67</v>
      </c>
      <c r="W984" s="5" t="s">
        <v>7985</v>
      </c>
    </row>
    <row r="985" spans="1:23" ht="12.5">
      <c r="A985" s="5">
        <v>91489</v>
      </c>
      <c r="B985" s="5" t="s">
        <v>17071</v>
      </c>
      <c r="C985" s="5">
        <v>573004646038</v>
      </c>
      <c r="D985" s="5">
        <v>18</v>
      </c>
      <c r="E985" s="5" t="s">
        <v>370</v>
      </c>
      <c r="F985" s="5" t="s">
        <v>351</v>
      </c>
      <c r="G985" s="5" t="s">
        <v>1200</v>
      </c>
      <c r="H985" s="5" t="s">
        <v>7988</v>
      </c>
      <c r="J985" s="12">
        <v>46053</v>
      </c>
      <c r="K985" s="11">
        <v>0</v>
      </c>
      <c r="M985" s="10" t="s">
        <v>17072</v>
      </c>
      <c r="N985" s="12">
        <v>46052.697202002309</v>
      </c>
      <c r="O985" s="10" t="s">
        <v>15223</v>
      </c>
      <c r="P985" s="5" t="s">
        <v>14571</v>
      </c>
      <c r="Q985" s="5" t="s">
        <v>14578</v>
      </c>
      <c r="R985" s="5" t="s">
        <v>17073</v>
      </c>
      <c r="T985" s="5" t="s">
        <v>5994</v>
      </c>
      <c r="U985" s="5" t="s">
        <v>14580</v>
      </c>
      <c r="V985" s="5" t="s">
        <v>1705</v>
      </c>
    </row>
    <row r="986" spans="1:23" ht="12.5">
      <c r="A986" s="5">
        <v>91490</v>
      </c>
      <c r="B986" s="5" t="s">
        <v>17074</v>
      </c>
      <c r="C986" s="5">
        <v>573046618575</v>
      </c>
      <c r="D986" s="5">
        <v>31</v>
      </c>
      <c r="E986" s="5" t="s">
        <v>375</v>
      </c>
      <c r="F986" s="5" t="s">
        <v>1722</v>
      </c>
      <c r="G986" s="5" t="s">
        <v>7992</v>
      </c>
      <c r="H986" s="5" t="s">
        <v>7993</v>
      </c>
      <c r="I986" s="5" t="s">
        <v>7994</v>
      </c>
      <c r="J986" s="12">
        <v>46052</v>
      </c>
      <c r="K986" s="11">
        <v>0</v>
      </c>
      <c r="M986" s="10" t="s">
        <v>14595</v>
      </c>
      <c r="N986" s="12">
        <v>46052.703198680552</v>
      </c>
      <c r="O986" s="10" t="s">
        <v>16418</v>
      </c>
      <c r="P986" s="5" t="s">
        <v>14571</v>
      </c>
      <c r="Q986" s="5" t="s">
        <v>14572</v>
      </c>
      <c r="R986" s="5" t="s">
        <v>17075</v>
      </c>
      <c r="T986" s="5" t="s">
        <v>5994</v>
      </c>
      <c r="U986" s="5" t="s">
        <v>14580</v>
      </c>
      <c r="V986" s="5" t="s">
        <v>1481</v>
      </c>
    </row>
    <row r="987" spans="1:23" ht="12.5">
      <c r="A987" s="5">
        <v>91491</v>
      </c>
      <c r="B987" s="5" t="s">
        <v>17076</v>
      </c>
      <c r="C987" s="5">
        <v>573225561246</v>
      </c>
      <c r="D987" s="5">
        <v>2</v>
      </c>
      <c r="E987" s="5" t="s">
        <v>1251</v>
      </c>
      <c r="F987" s="5" t="s">
        <v>516</v>
      </c>
      <c r="G987" s="5" t="s">
        <v>7997</v>
      </c>
      <c r="H987" s="5" t="s">
        <v>7998</v>
      </c>
      <c r="J987" s="12">
        <v>46053</v>
      </c>
      <c r="K987" s="11">
        <v>0.33333333333212067</v>
      </c>
      <c r="M987" s="10" t="s">
        <v>17077</v>
      </c>
      <c r="N987" s="12">
        <v>46052.713180937499</v>
      </c>
      <c r="O987" s="10" t="s">
        <v>17078</v>
      </c>
      <c r="P987" s="5" t="s">
        <v>14571</v>
      </c>
      <c r="Q987" s="5" t="s">
        <v>14572</v>
      </c>
      <c r="R987" s="5" t="s">
        <v>17079</v>
      </c>
      <c r="T987" s="5" t="s">
        <v>5994</v>
      </c>
      <c r="U987" s="5" t="s">
        <v>14580</v>
      </c>
      <c r="V987" s="5" t="s">
        <v>1481</v>
      </c>
      <c r="W987" s="5" t="s">
        <v>8000</v>
      </c>
    </row>
    <row r="988" spans="1:23" ht="12.5">
      <c r="A988" s="5">
        <v>91492</v>
      </c>
      <c r="B988" s="5" t="s">
        <v>7441</v>
      </c>
      <c r="C988" s="5">
        <v>573024694357</v>
      </c>
      <c r="D988" s="5">
        <v>95</v>
      </c>
      <c r="E988" s="5" t="s">
        <v>42</v>
      </c>
      <c r="F988" s="5" t="s">
        <v>33</v>
      </c>
      <c r="G988" s="5" t="s">
        <v>7441</v>
      </c>
      <c r="H988" s="5" t="s">
        <v>34</v>
      </c>
      <c r="J988" s="12">
        <v>46052</v>
      </c>
      <c r="K988" s="11">
        <v>0</v>
      </c>
      <c r="M988" s="10" t="s">
        <v>15011</v>
      </c>
      <c r="N988" s="12">
        <v>46052.752071574076</v>
      </c>
      <c r="O988" s="10" t="s">
        <v>15210</v>
      </c>
      <c r="P988" s="5" t="s">
        <v>14571</v>
      </c>
      <c r="Q988" s="5" t="s">
        <v>14612</v>
      </c>
      <c r="R988" s="5" t="s">
        <v>17080</v>
      </c>
      <c r="T988" s="5" t="s">
        <v>14574</v>
      </c>
      <c r="U988" s="5" t="s">
        <v>33</v>
      </c>
      <c r="V988" s="5" t="s">
        <v>83</v>
      </c>
      <c r="W988" s="5" t="s">
        <v>1286</v>
      </c>
    </row>
    <row r="989" spans="1:23" ht="12.5">
      <c r="A989" s="5">
        <v>91493</v>
      </c>
      <c r="B989" s="5" t="s">
        <v>8003</v>
      </c>
      <c r="C989" s="5">
        <v>573105306014</v>
      </c>
      <c r="D989" s="5">
        <v>68</v>
      </c>
      <c r="E989" s="5" t="s">
        <v>361</v>
      </c>
      <c r="F989" s="5" t="s">
        <v>73</v>
      </c>
      <c r="G989" s="5" t="s">
        <v>8003</v>
      </c>
      <c r="H989" s="5" t="s">
        <v>8004</v>
      </c>
      <c r="J989" s="12">
        <v>46058</v>
      </c>
      <c r="K989" s="11">
        <v>0.375</v>
      </c>
      <c r="M989" s="10" t="s">
        <v>15140</v>
      </c>
      <c r="N989" s="12">
        <v>46052.757386446756</v>
      </c>
      <c r="O989" s="10" t="s">
        <v>17081</v>
      </c>
      <c r="P989" s="5" t="s">
        <v>14571</v>
      </c>
      <c r="Q989" s="5" t="s">
        <v>14578</v>
      </c>
      <c r="R989" s="5" t="s">
        <v>17082</v>
      </c>
      <c r="T989" s="5" t="s">
        <v>5994</v>
      </c>
      <c r="U989" s="5" t="s">
        <v>14593</v>
      </c>
      <c r="V989" s="5" t="s">
        <v>204</v>
      </c>
    </row>
    <row r="990" spans="1:23" ht="12.5">
      <c r="A990" s="5">
        <v>91494</v>
      </c>
      <c r="B990" s="10" t="s">
        <v>17083</v>
      </c>
      <c r="C990" s="5">
        <v>570000</v>
      </c>
      <c r="D990" s="5">
        <v>95</v>
      </c>
      <c r="E990" s="5" t="s">
        <v>42</v>
      </c>
      <c r="F990" s="5" t="s">
        <v>33</v>
      </c>
      <c r="G990" s="5" t="s">
        <v>8006</v>
      </c>
      <c r="H990" s="5" t="s">
        <v>34</v>
      </c>
      <c r="J990" s="12">
        <v>46052</v>
      </c>
      <c r="K990" s="11">
        <v>0</v>
      </c>
      <c r="M990" s="10" t="s">
        <v>15863</v>
      </c>
      <c r="N990" s="12">
        <v>46052.762707766204</v>
      </c>
      <c r="O990" s="10" t="s">
        <v>16871</v>
      </c>
      <c r="P990" s="5" t="s">
        <v>14571</v>
      </c>
      <c r="Q990" s="5" t="s">
        <v>14572</v>
      </c>
      <c r="R990" s="5" t="s">
        <v>17084</v>
      </c>
      <c r="T990" s="5" t="s">
        <v>14574</v>
      </c>
      <c r="U990" s="5" t="s">
        <v>33</v>
      </c>
      <c r="V990" s="5" t="s">
        <v>196</v>
      </c>
    </row>
    <row r="991" spans="1:23" ht="12.5">
      <c r="A991" s="5">
        <v>91495</v>
      </c>
      <c r="B991" s="5" t="s">
        <v>17085</v>
      </c>
      <c r="C991" s="5">
        <v>573022050768</v>
      </c>
      <c r="D991" s="5">
        <v>95</v>
      </c>
      <c r="E991" s="5" t="s">
        <v>42</v>
      </c>
      <c r="F991" s="5" t="s">
        <v>33</v>
      </c>
      <c r="G991" s="5" t="s">
        <v>8009</v>
      </c>
      <c r="H991" s="5" t="s">
        <v>34</v>
      </c>
      <c r="I991" s="5" t="s">
        <v>8010</v>
      </c>
      <c r="J991" s="12">
        <v>46052</v>
      </c>
      <c r="K991" s="11">
        <v>0.375</v>
      </c>
      <c r="M991" s="10" t="s">
        <v>14569</v>
      </c>
      <c r="N991" s="12">
        <v>46052.77045113426</v>
      </c>
      <c r="O991" s="10" t="s">
        <v>14793</v>
      </c>
      <c r="P991" s="5" t="s">
        <v>14571</v>
      </c>
      <c r="Q991" s="5" t="s">
        <v>14612</v>
      </c>
      <c r="R991" s="5" t="s">
        <v>17086</v>
      </c>
      <c r="T991" s="5" t="s">
        <v>14574</v>
      </c>
      <c r="U991" s="5" t="s">
        <v>33</v>
      </c>
      <c r="V991" s="5" t="s">
        <v>196</v>
      </c>
      <c r="W991" s="5" t="s">
        <v>8011</v>
      </c>
    </row>
    <row r="992" spans="1:23" ht="12.5">
      <c r="A992" s="5">
        <v>91496</v>
      </c>
      <c r="B992" s="5" t="s">
        <v>17087</v>
      </c>
      <c r="C992" s="5">
        <v>573168711277</v>
      </c>
      <c r="D992" s="5">
        <v>4</v>
      </c>
      <c r="E992" s="5" t="s">
        <v>81</v>
      </c>
      <c r="F992" s="5" t="s">
        <v>154</v>
      </c>
      <c r="G992" s="5" t="s">
        <v>8014</v>
      </c>
      <c r="H992" s="5" t="s">
        <v>8015</v>
      </c>
      <c r="I992" s="5">
        <v>3103618407</v>
      </c>
      <c r="J992" s="12">
        <v>46053</v>
      </c>
      <c r="K992" s="11">
        <v>0.41666666666787933</v>
      </c>
      <c r="M992" s="10" t="s">
        <v>17088</v>
      </c>
      <c r="N992" s="12">
        <v>46053.35900729167</v>
      </c>
      <c r="O992" s="10" t="s">
        <v>15180</v>
      </c>
      <c r="P992" s="5" t="s">
        <v>14571</v>
      </c>
      <c r="Q992" s="5" t="s">
        <v>14572</v>
      </c>
      <c r="R992" s="5" t="s">
        <v>17089</v>
      </c>
      <c r="T992" s="5" t="s">
        <v>5994</v>
      </c>
      <c r="U992" s="5" t="s">
        <v>14593</v>
      </c>
      <c r="V992" s="5" t="s">
        <v>1481</v>
      </c>
    </row>
    <row r="993" spans="1:23" ht="12.5">
      <c r="A993" s="5">
        <v>91497</v>
      </c>
      <c r="B993" s="5" t="s">
        <v>17090</v>
      </c>
      <c r="C993" s="5">
        <v>573154120772</v>
      </c>
      <c r="D993" s="5">
        <v>52</v>
      </c>
      <c r="E993" s="5" t="s">
        <v>178</v>
      </c>
      <c r="F993" s="5" t="s">
        <v>265</v>
      </c>
      <c r="G993" s="5" t="s">
        <v>8017</v>
      </c>
      <c r="H993" s="5" t="s">
        <v>8018</v>
      </c>
      <c r="I993" s="5">
        <v>3226048269</v>
      </c>
      <c r="J993" s="12">
        <v>46053</v>
      </c>
      <c r="K993" s="11">
        <v>0.45833333333212067</v>
      </c>
      <c r="M993" s="10" t="s">
        <v>17091</v>
      </c>
      <c r="N993" s="12">
        <v>46053.386093425928</v>
      </c>
      <c r="O993" s="10" t="s">
        <v>16757</v>
      </c>
      <c r="P993" s="5" t="s">
        <v>14571</v>
      </c>
      <c r="Q993" s="5" t="s">
        <v>14612</v>
      </c>
      <c r="R993" s="5" t="s">
        <v>17092</v>
      </c>
      <c r="T993" s="5" t="s">
        <v>5994</v>
      </c>
      <c r="U993" s="5" t="s">
        <v>14691</v>
      </c>
      <c r="V993" s="5" t="s">
        <v>1481</v>
      </c>
    </row>
    <row r="994" spans="1:23" ht="12.5">
      <c r="A994" s="5">
        <v>91498</v>
      </c>
      <c r="B994" s="5" t="s">
        <v>17093</v>
      </c>
      <c r="C994" s="5">
        <v>573165244633</v>
      </c>
      <c r="D994" s="5">
        <v>42</v>
      </c>
      <c r="E994" s="5" t="s">
        <v>649</v>
      </c>
      <c r="F994" s="5" t="s">
        <v>103</v>
      </c>
      <c r="G994" s="5" t="s">
        <v>8021</v>
      </c>
      <c r="H994" s="5" t="s">
        <v>8022</v>
      </c>
      <c r="I994" s="5">
        <v>3158270971</v>
      </c>
      <c r="J994" s="12">
        <v>46053</v>
      </c>
      <c r="K994" s="11">
        <v>0.45833333333212067</v>
      </c>
      <c r="M994" s="10" t="s">
        <v>14777</v>
      </c>
      <c r="N994" s="12">
        <v>46053.402119826387</v>
      </c>
      <c r="O994" s="10" t="s">
        <v>17094</v>
      </c>
      <c r="P994" s="5" t="s">
        <v>14571</v>
      </c>
      <c r="Q994" s="5" t="s">
        <v>14572</v>
      </c>
      <c r="R994" s="5" t="s">
        <v>17095</v>
      </c>
      <c r="T994" s="5" t="s">
        <v>5994</v>
      </c>
      <c r="U994" s="5" t="s">
        <v>14593</v>
      </c>
      <c r="V994" s="5" t="s">
        <v>1481</v>
      </c>
    </row>
    <row r="995" spans="1:23" ht="12.5">
      <c r="A995" s="5">
        <v>91499</v>
      </c>
      <c r="B995" s="5" t="s">
        <v>17096</v>
      </c>
      <c r="C995" s="10" t="s">
        <v>17097</v>
      </c>
      <c r="D995" s="5">
        <v>3</v>
      </c>
      <c r="E995" s="5" t="s">
        <v>3248</v>
      </c>
      <c r="F995" s="5" t="s">
        <v>185</v>
      </c>
      <c r="G995" s="5" t="s">
        <v>17098</v>
      </c>
      <c r="H995" s="5" t="s">
        <v>8027</v>
      </c>
      <c r="I995" s="5"/>
      <c r="J995" s="12">
        <v>46053</v>
      </c>
      <c r="K995" s="11">
        <v>0</v>
      </c>
      <c r="M995" s="10" t="s">
        <v>17088</v>
      </c>
      <c r="N995" s="12">
        <v>46053</v>
      </c>
      <c r="O995" s="10" t="s">
        <v>16107</v>
      </c>
      <c r="P995" s="5" t="s">
        <v>14571</v>
      </c>
      <c r="Q995" s="5" t="s">
        <v>14578</v>
      </c>
      <c r="R995" s="5" t="s">
        <v>17099</v>
      </c>
      <c r="T995" s="5" t="s">
        <v>5994</v>
      </c>
      <c r="U995" s="5" t="s">
        <v>14580</v>
      </c>
      <c r="V995" s="5" t="s">
        <v>1937</v>
      </c>
    </row>
    <row r="996" spans="1:23" ht="12.5">
      <c r="A996" s="5">
        <v>91500</v>
      </c>
      <c r="B996" s="5" t="s">
        <v>17096</v>
      </c>
      <c r="C996" s="10" t="s">
        <v>17097</v>
      </c>
      <c r="D996" s="5">
        <v>1</v>
      </c>
      <c r="E996" s="5" t="s">
        <v>5730</v>
      </c>
      <c r="F996" s="5" t="s">
        <v>185</v>
      </c>
      <c r="G996" s="5" t="s">
        <v>17098</v>
      </c>
      <c r="H996" s="5" t="s">
        <v>8027</v>
      </c>
      <c r="I996" s="5"/>
      <c r="J996" s="12">
        <v>46053</v>
      </c>
      <c r="K996" s="11">
        <v>0</v>
      </c>
      <c r="M996" s="10" t="s">
        <v>14903</v>
      </c>
      <c r="N996" s="12">
        <v>46053</v>
      </c>
      <c r="O996" s="10" t="s">
        <v>15989</v>
      </c>
      <c r="P996" s="5" t="s">
        <v>14571</v>
      </c>
      <c r="Q996" s="5" t="s">
        <v>14612</v>
      </c>
      <c r="R996" s="5" t="s">
        <v>17100</v>
      </c>
      <c r="T996" s="5" t="s">
        <v>5994</v>
      </c>
      <c r="U996" s="5" t="s">
        <v>14580</v>
      </c>
      <c r="V996" s="5" t="s">
        <v>1937</v>
      </c>
    </row>
    <row r="997" spans="1:23" ht="12.5">
      <c r="A997" s="5">
        <v>91501</v>
      </c>
      <c r="B997" s="5" t="s">
        <v>17101</v>
      </c>
      <c r="C997" s="10" t="s">
        <v>17102</v>
      </c>
      <c r="D997" s="5" t="s">
        <v>17103</v>
      </c>
      <c r="E997" s="5" t="s">
        <v>8036</v>
      </c>
      <c r="F997" s="5" t="s">
        <v>420</v>
      </c>
      <c r="G997" s="5" t="s">
        <v>8034</v>
      </c>
      <c r="H997" s="5" t="s">
        <v>8035</v>
      </c>
      <c r="I997" s="5">
        <v>3175282587</v>
      </c>
      <c r="J997" s="12">
        <v>46053</v>
      </c>
      <c r="K997" s="11">
        <v>0</v>
      </c>
      <c r="M997" s="10" t="s">
        <v>17104</v>
      </c>
      <c r="N997" s="12">
        <v>46053</v>
      </c>
      <c r="O997" s="10" t="s">
        <v>17105</v>
      </c>
      <c r="P997" s="5" t="s">
        <v>14571</v>
      </c>
      <c r="Q997" s="5" t="s">
        <v>14572</v>
      </c>
      <c r="R997" s="5" t="s">
        <v>17106</v>
      </c>
      <c r="T997" s="5" t="s">
        <v>5994</v>
      </c>
      <c r="U997" s="5" t="s">
        <v>14580</v>
      </c>
      <c r="V997" s="5" t="s">
        <v>1481</v>
      </c>
      <c r="W997" s="5" t="s">
        <v>8038</v>
      </c>
    </row>
    <row r="998" spans="1:23" ht="12.5">
      <c r="A998" s="5">
        <v>91502</v>
      </c>
      <c r="B998" s="5" t="s">
        <v>17096</v>
      </c>
      <c r="C998" s="5">
        <v>19548500270</v>
      </c>
      <c r="D998" s="5">
        <v>2</v>
      </c>
      <c r="E998" s="5" t="s">
        <v>1251</v>
      </c>
      <c r="F998" s="5" t="s">
        <v>185</v>
      </c>
      <c r="G998" s="5" t="s">
        <v>8026</v>
      </c>
      <c r="H998" s="5" t="s">
        <v>8027</v>
      </c>
      <c r="J998" s="12">
        <v>46053</v>
      </c>
      <c r="K998" s="11">
        <v>0</v>
      </c>
      <c r="M998" s="10" t="s">
        <v>16558</v>
      </c>
      <c r="N998" s="12">
        <v>46053.385507673607</v>
      </c>
      <c r="O998" s="10" t="s">
        <v>16582</v>
      </c>
      <c r="P998" s="5" t="s">
        <v>14571</v>
      </c>
      <c r="Q998" s="5" t="s">
        <v>14578</v>
      </c>
      <c r="R998" s="5" t="s">
        <v>17107</v>
      </c>
      <c r="T998" s="5" t="s">
        <v>5994</v>
      </c>
      <c r="U998" s="5" t="s">
        <v>14580</v>
      </c>
      <c r="V998" s="5" t="s">
        <v>1937</v>
      </c>
    </row>
    <row r="999" spans="1:23" ht="12.5">
      <c r="A999" s="5">
        <v>91503</v>
      </c>
      <c r="B999" s="5" t="s">
        <v>17108</v>
      </c>
      <c r="C999" s="5">
        <v>573105736346</v>
      </c>
      <c r="D999" s="5">
        <v>13</v>
      </c>
      <c r="E999" s="5" t="s">
        <v>4516</v>
      </c>
      <c r="F999" s="5" t="s">
        <v>892</v>
      </c>
      <c r="G999" s="5" t="s">
        <v>8042</v>
      </c>
      <c r="H999" s="5" t="s">
        <v>8043</v>
      </c>
      <c r="J999" s="12">
        <v>46053</v>
      </c>
      <c r="K999" s="11">
        <v>0</v>
      </c>
      <c r="M999" s="10" t="s">
        <v>17109</v>
      </c>
      <c r="N999" s="12">
        <v>46053.439483206021</v>
      </c>
      <c r="O999" s="10" t="s">
        <v>17110</v>
      </c>
      <c r="P999" s="5" t="s">
        <v>14571</v>
      </c>
      <c r="Q999" s="5" t="s">
        <v>14612</v>
      </c>
      <c r="R999" s="5" t="s">
        <v>17111</v>
      </c>
      <c r="T999" s="5" t="s">
        <v>5994</v>
      </c>
      <c r="U999" s="5" t="s">
        <v>14593</v>
      </c>
      <c r="V999" s="5" t="s">
        <v>1481</v>
      </c>
    </row>
    <row r="1000" spans="1:23" ht="12.5">
      <c r="A1000" s="5">
        <v>91504</v>
      </c>
      <c r="B1000" s="5" t="s">
        <v>17112</v>
      </c>
      <c r="C1000" s="5">
        <v>18137702085</v>
      </c>
      <c r="D1000" s="5">
        <v>33</v>
      </c>
      <c r="E1000" s="5" t="s">
        <v>4389</v>
      </c>
      <c r="F1000" s="5" t="s">
        <v>249</v>
      </c>
      <c r="G1000" s="5" t="s">
        <v>8046</v>
      </c>
      <c r="H1000" s="5" t="s">
        <v>8047</v>
      </c>
      <c r="I1000" s="5">
        <v>3016336272</v>
      </c>
      <c r="J1000" s="12">
        <v>46053</v>
      </c>
      <c r="K1000" s="11">
        <v>0</v>
      </c>
      <c r="M1000" s="10" t="s">
        <v>17113</v>
      </c>
      <c r="N1000" s="12">
        <v>46053.494639548611</v>
      </c>
      <c r="O1000" s="10" t="s">
        <v>17114</v>
      </c>
      <c r="P1000" s="5" t="s">
        <v>14571</v>
      </c>
      <c r="Q1000" s="5" t="s">
        <v>14612</v>
      </c>
      <c r="R1000" s="5" t="s">
        <v>17115</v>
      </c>
      <c r="T1000" s="5" t="s">
        <v>5994</v>
      </c>
      <c r="U1000" s="5" t="s">
        <v>14593</v>
      </c>
      <c r="V1000" s="5" t="s">
        <v>3754</v>
      </c>
      <c r="W1000" s="5" t="s">
        <v>8049</v>
      </c>
    </row>
    <row r="1001" spans="1:23" ht="12.5">
      <c r="A1001" s="5">
        <v>91505</v>
      </c>
      <c r="B1001" s="5" t="s">
        <v>17116</v>
      </c>
      <c r="C1001" s="5">
        <v>573154701183</v>
      </c>
      <c r="D1001" s="5">
        <v>44</v>
      </c>
      <c r="E1001" s="5" t="s">
        <v>1111</v>
      </c>
      <c r="F1001" s="5" t="s">
        <v>3267</v>
      </c>
      <c r="G1001" s="5" t="s">
        <v>8051</v>
      </c>
      <c r="H1001" s="5" t="s">
        <v>8052</v>
      </c>
      <c r="J1001" s="12">
        <v>46053</v>
      </c>
      <c r="K1001" s="11">
        <v>0</v>
      </c>
      <c r="M1001" s="10" t="s">
        <v>17117</v>
      </c>
      <c r="N1001" s="12">
        <v>46053.456803981477</v>
      </c>
      <c r="O1001" s="10" t="s">
        <v>17118</v>
      </c>
      <c r="P1001" s="5" t="s">
        <v>14571</v>
      </c>
      <c r="Q1001" s="5" t="s">
        <v>14572</v>
      </c>
      <c r="R1001" s="5" t="s">
        <v>17119</v>
      </c>
      <c r="T1001" s="5" t="s">
        <v>5994</v>
      </c>
      <c r="U1001" s="5" t="s">
        <v>14580</v>
      </c>
      <c r="V1001" s="5" t="s">
        <v>1481</v>
      </c>
    </row>
    <row r="1002" spans="1:23" ht="12.5">
      <c r="A1002" s="5">
        <v>91506</v>
      </c>
      <c r="B1002" s="5" t="s">
        <v>17120</v>
      </c>
      <c r="C1002" s="10" t="s">
        <v>17121</v>
      </c>
      <c r="D1002" s="5">
        <v>31</v>
      </c>
      <c r="E1002" s="5" t="s">
        <v>375</v>
      </c>
      <c r="F1002" s="5" t="s">
        <v>1595</v>
      </c>
      <c r="G1002" s="5" t="s">
        <v>17122</v>
      </c>
      <c r="H1002" s="5" t="s">
        <v>8057</v>
      </c>
      <c r="I1002" s="5">
        <v>3248641907</v>
      </c>
      <c r="J1002" s="12">
        <v>46053</v>
      </c>
      <c r="K1002" s="11">
        <v>0</v>
      </c>
      <c r="M1002" s="10" t="s">
        <v>14705</v>
      </c>
      <c r="N1002" s="12">
        <v>46053</v>
      </c>
      <c r="O1002" s="10" t="s">
        <v>15518</v>
      </c>
      <c r="P1002" s="5" t="s">
        <v>14571</v>
      </c>
      <c r="Q1002" s="5" t="s">
        <v>14578</v>
      </c>
      <c r="R1002" s="5" t="s">
        <v>17123</v>
      </c>
      <c r="T1002" s="5" t="s">
        <v>5994</v>
      </c>
      <c r="U1002" s="5" t="s">
        <v>14580</v>
      </c>
      <c r="V1002" s="5" t="s">
        <v>1481</v>
      </c>
      <c r="W1002" s="5" t="s">
        <v>8060</v>
      </c>
    </row>
    <row r="1003" spans="1:23" ht="12.5">
      <c r="A1003" s="5">
        <v>91507</v>
      </c>
      <c r="B1003" s="5" t="s">
        <v>17124</v>
      </c>
      <c r="C1003" s="5">
        <v>573184153355</v>
      </c>
      <c r="D1003" s="5">
        <v>12</v>
      </c>
      <c r="E1003" s="5" t="s">
        <v>239</v>
      </c>
      <c r="F1003" s="5" t="s">
        <v>6905</v>
      </c>
      <c r="G1003" s="5" t="s">
        <v>8061</v>
      </c>
      <c r="H1003" s="5" t="s">
        <v>8062</v>
      </c>
      <c r="I1003" s="5">
        <v>3187070081</v>
      </c>
      <c r="J1003" s="12">
        <v>46053</v>
      </c>
      <c r="K1003" s="11">
        <v>0</v>
      </c>
      <c r="M1003" s="10" t="s">
        <v>17125</v>
      </c>
      <c r="N1003" s="12">
        <v>46053.499203194442</v>
      </c>
      <c r="O1003" s="10" t="s">
        <v>17126</v>
      </c>
      <c r="P1003" s="5" t="s">
        <v>14571</v>
      </c>
      <c r="Q1003" s="5" t="s">
        <v>14572</v>
      </c>
      <c r="R1003" s="5" t="s">
        <v>17127</v>
      </c>
      <c r="T1003" s="5" t="s">
        <v>5994</v>
      </c>
      <c r="U1003" s="5" t="s">
        <v>14598</v>
      </c>
      <c r="V1003" s="5" t="s">
        <v>1481</v>
      </c>
    </row>
    <row r="1004" spans="1:23" ht="12.5">
      <c r="A1004" s="5">
        <v>91508</v>
      </c>
      <c r="B1004" s="5" t="s">
        <v>8068</v>
      </c>
      <c r="C1004" s="5">
        <v>573003890651</v>
      </c>
      <c r="D1004" s="5">
        <v>21</v>
      </c>
      <c r="E1004" s="5" t="s">
        <v>330</v>
      </c>
      <c r="F1004" s="5" t="s">
        <v>516</v>
      </c>
      <c r="G1004" s="5" t="s">
        <v>8065</v>
      </c>
      <c r="H1004" s="5" t="s">
        <v>8066</v>
      </c>
      <c r="I1004" s="5">
        <v>3156764196</v>
      </c>
      <c r="J1004" s="12">
        <v>46053</v>
      </c>
      <c r="K1004" s="11">
        <v>0.625</v>
      </c>
      <c r="M1004" s="10" t="s">
        <v>14777</v>
      </c>
      <c r="N1004" s="12">
        <v>46053.450941932868</v>
      </c>
      <c r="O1004" s="10" t="s">
        <v>17039</v>
      </c>
      <c r="P1004" s="5" t="s">
        <v>14571</v>
      </c>
      <c r="Q1004" s="5" t="s">
        <v>14578</v>
      </c>
      <c r="R1004" s="5" t="s">
        <v>17128</v>
      </c>
      <c r="T1004" s="5" t="s">
        <v>5994</v>
      </c>
      <c r="U1004" s="5" t="s">
        <v>14580</v>
      </c>
      <c r="V1004" s="5" t="s">
        <v>1937</v>
      </c>
    </row>
    <row r="1005" spans="1:23" ht="12.5">
      <c r="A1005" s="5">
        <v>91509</v>
      </c>
      <c r="B1005" s="5" t="s">
        <v>8070</v>
      </c>
      <c r="C1005" s="10" t="s">
        <v>17129</v>
      </c>
      <c r="D1005" s="5">
        <v>29</v>
      </c>
      <c r="E1005" s="5" t="s">
        <v>309</v>
      </c>
      <c r="F1005" s="5" t="s">
        <v>33</v>
      </c>
      <c r="G1005" s="5" t="s">
        <v>8070</v>
      </c>
      <c r="H1005" s="5" t="s">
        <v>34</v>
      </c>
      <c r="I1005" s="5">
        <v>3022876217</v>
      </c>
      <c r="J1005" s="12">
        <v>46053</v>
      </c>
      <c r="K1005" s="11">
        <v>0</v>
      </c>
      <c r="M1005" s="10" t="s">
        <v>14850</v>
      </c>
      <c r="N1005" s="12">
        <v>46053</v>
      </c>
      <c r="O1005" s="10" t="s">
        <v>17130</v>
      </c>
      <c r="P1005" s="5" t="s">
        <v>14571</v>
      </c>
      <c r="Q1005" s="5" t="s">
        <v>14578</v>
      </c>
      <c r="R1005" s="5" t="s">
        <v>17131</v>
      </c>
      <c r="T1005" s="5" t="s">
        <v>14574</v>
      </c>
      <c r="U1005" s="5" t="s">
        <v>33</v>
      </c>
      <c r="V1005" s="5" t="s">
        <v>1705</v>
      </c>
    </row>
    <row r="1006" spans="1:23" ht="12.5">
      <c r="A1006" s="5">
        <v>91510</v>
      </c>
      <c r="B1006" s="5" t="s">
        <v>8073</v>
      </c>
      <c r="C1006" s="5">
        <v>573007472003</v>
      </c>
      <c r="D1006" s="5">
        <v>95</v>
      </c>
      <c r="E1006" s="5" t="s">
        <v>42</v>
      </c>
      <c r="F1006" s="5" t="s">
        <v>33</v>
      </c>
      <c r="G1006" s="5" t="s">
        <v>8073</v>
      </c>
      <c r="H1006" s="5" t="s">
        <v>34</v>
      </c>
      <c r="I1006" s="5">
        <v>3007472003</v>
      </c>
      <c r="J1006" s="12">
        <v>46053</v>
      </c>
      <c r="K1006" s="11">
        <v>0</v>
      </c>
      <c r="M1006" s="10" t="s">
        <v>14702</v>
      </c>
      <c r="N1006" s="12">
        <v>46053.525958344908</v>
      </c>
      <c r="O1006" s="10" t="s">
        <v>15528</v>
      </c>
      <c r="P1006" s="5" t="s">
        <v>14571</v>
      </c>
      <c r="Q1006" s="5" t="s">
        <v>14612</v>
      </c>
      <c r="R1006" s="5" t="s">
        <v>17132</v>
      </c>
      <c r="T1006" s="5" t="s">
        <v>14574</v>
      </c>
      <c r="U1006" s="5" t="s">
        <v>33</v>
      </c>
      <c r="V1006" s="5" t="s">
        <v>67</v>
      </c>
      <c r="W1006" s="5" t="s">
        <v>8074</v>
      </c>
    </row>
    <row r="1007" spans="1:23" ht="12.5">
      <c r="A1007" s="5">
        <v>91511</v>
      </c>
      <c r="B1007" s="5" t="s">
        <v>7268</v>
      </c>
      <c r="C1007" s="5">
        <v>573106623313</v>
      </c>
      <c r="D1007" s="5">
        <v>95</v>
      </c>
      <c r="E1007" s="5" t="s">
        <v>42</v>
      </c>
      <c r="F1007" s="5" t="s">
        <v>33</v>
      </c>
      <c r="G1007" s="5" t="s">
        <v>7268</v>
      </c>
      <c r="H1007" s="5" t="s">
        <v>34</v>
      </c>
      <c r="I1007" s="5">
        <v>3106623313</v>
      </c>
      <c r="J1007" s="12">
        <v>46053</v>
      </c>
      <c r="K1007" s="11">
        <v>0</v>
      </c>
      <c r="M1007" s="10" t="s">
        <v>17133</v>
      </c>
      <c r="N1007" s="12">
        <v>46053.529087361108</v>
      </c>
      <c r="O1007" s="10" t="s">
        <v>17134</v>
      </c>
      <c r="P1007" s="5" t="s">
        <v>14571</v>
      </c>
      <c r="Q1007" s="5" t="s">
        <v>14612</v>
      </c>
      <c r="R1007" s="5" t="s">
        <v>17135</v>
      </c>
      <c r="T1007" s="5" t="s">
        <v>14574</v>
      </c>
      <c r="U1007" s="5" t="s">
        <v>33</v>
      </c>
      <c r="V1007" s="5" t="s">
        <v>43</v>
      </c>
      <c r="W1007" s="5" t="s">
        <v>8075</v>
      </c>
    </row>
    <row r="1008" spans="1:23" ht="12.5">
      <c r="A1008" s="5">
        <v>91512</v>
      </c>
      <c r="B1008" s="5" t="s">
        <v>8076</v>
      </c>
      <c r="C1008" s="5">
        <v>573205420119</v>
      </c>
      <c r="D1008" s="5">
        <v>95</v>
      </c>
      <c r="E1008" s="5" t="s">
        <v>42</v>
      </c>
      <c r="G1008" s="5" t="s">
        <v>8076</v>
      </c>
      <c r="H1008" s="5" t="s">
        <v>8077</v>
      </c>
      <c r="J1008" s="12">
        <v>46053</v>
      </c>
      <c r="K1008" s="11">
        <v>0</v>
      </c>
      <c r="M1008" s="10" t="s">
        <v>16696</v>
      </c>
      <c r="N1008" s="12">
        <v>46053.533817523145</v>
      </c>
      <c r="O1008" s="10" t="s">
        <v>15531</v>
      </c>
      <c r="P1008" s="5" t="s">
        <v>14571</v>
      </c>
      <c r="Q1008" s="5" t="s">
        <v>14578</v>
      </c>
      <c r="R1008" s="5" t="s">
        <v>17136</v>
      </c>
      <c r="T1008" s="5" t="s">
        <v>5994</v>
      </c>
      <c r="V1008" s="5" t="s">
        <v>83</v>
      </c>
      <c r="W1008" s="5" t="s">
        <v>525</v>
      </c>
    </row>
    <row r="1009" spans="1:23" ht="12.5">
      <c r="A1009" s="5">
        <v>91513</v>
      </c>
      <c r="B1009" s="5" t="s">
        <v>17137</v>
      </c>
      <c r="C1009" s="10" t="s">
        <v>17138</v>
      </c>
      <c r="D1009" s="5">
        <v>29</v>
      </c>
      <c r="E1009" s="5" t="s">
        <v>309</v>
      </c>
      <c r="F1009" s="5" t="s">
        <v>563</v>
      </c>
      <c r="G1009" s="5" t="s">
        <v>8079</v>
      </c>
      <c r="H1009" s="5" t="s">
        <v>8080</v>
      </c>
      <c r="I1009" s="5">
        <v>3126947306</v>
      </c>
      <c r="J1009" s="12">
        <v>46053</v>
      </c>
      <c r="K1009" s="11">
        <v>0.625</v>
      </c>
      <c r="M1009" s="10" t="s">
        <v>14705</v>
      </c>
      <c r="N1009" s="12">
        <v>46053</v>
      </c>
      <c r="O1009" s="10" t="s">
        <v>16141</v>
      </c>
      <c r="P1009" s="5" t="s">
        <v>14571</v>
      </c>
      <c r="Q1009" s="5" t="s">
        <v>14612</v>
      </c>
      <c r="R1009" s="5" t="s">
        <v>17139</v>
      </c>
      <c r="T1009" s="5" t="s">
        <v>5994</v>
      </c>
      <c r="U1009" s="5" t="s">
        <v>14775</v>
      </c>
      <c r="V1009" s="5" t="s">
        <v>1481</v>
      </c>
    </row>
    <row r="1010" spans="1:23" ht="12.5">
      <c r="A1010" s="5">
        <v>91514</v>
      </c>
      <c r="B1010" s="5" t="s">
        <v>17140</v>
      </c>
      <c r="C1010" s="5">
        <v>593997661157</v>
      </c>
      <c r="D1010" s="5">
        <v>47</v>
      </c>
      <c r="E1010" s="5" t="s">
        <v>1610</v>
      </c>
      <c r="F1010" s="5" t="s">
        <v>103</v>
      </c>
      <c r="G1010" s="5" t="s">
        <v>8084</v>
      </c>
      <c r="H1010" s="5" t="s">
        <v>8085</v>
      </c>
      <c r="I1010" s="5"/>
      <c r="J1010" s="12">
        <v>46053</v>
      </c>
      <c r="K1010" s="11">
        <v>0</v>
      </c>
      <c r="M1010" s="10" t="s">
        <v>14842</v>
      </c>
      <c r="N1010" s="12">
        <v>46053.580392488424</v>
      </c>
      <c r="O1010" s="10" t="s">
        <v>17141</v>
      </c>
      <c r="P1010" s="5" t="s">
        <v>14571</v>
      </c>
      <c r="Q1010" s="5" t="s">
        <v>14578</v>
      </c>
      <c r="R1010" s="5" t="s">
        <v>17142</v>
      </c>
      <c r="T1010" s="5" t="s">
        <v>5994</v>
      </c>
      <c r="U1010" s="5" t="s">
        <v>14593</v>
      </c>
      <c r="V1010" s="5" t="s">
        <v>1937</v>
      </c>
    </row>
    <row r="1011" spans="1:23" ht="12.5">
      <c r="A1011" s="5">
        <v>91515</v>
      </c>
      <c r="B1011" s="5" t="s">
        <v>17143</v>
      </c>
      <c r="C1011" s="5">
        <v>5718292851600</v>
      </c>
      <c r="D1011" s="5">
        <v>58</v>
      </c>
      <c r="E1011" s="5" t="s">
        <v>57</v>
      </c>
      <c r="F1011" s="5" t="s">
        <v>307</v>
      </c>
      <c r="G1011" s="5" t="s">
        <v>8089</v>
      </c>
      <c r="H1011" s="5" t="s">
        <v>8090</v>
      </c>
      <c r="J1011" s="12">
        <v>46055</v>
      </c>
      <c r="K1011" s="11">
        <v>0.375</v>
      </c>
      <c r="M1011" s="10" t="s">
        <v>10581</v>
      </c>
      <c r="N1011" s="12">
        <v>46053.613406701392</v>
      </c>
      <c r="O1011" s="10" t="s">
        <v>15547</v>
      </c>
      <c r="P1011" s="5" t="s">
        <v>14571</v>
      </c>
      <c r="Q1011" s="5" t="s">
        <v>14572</v>
      </c>
      <c r="R1011" s="5" t="s">
        <v>17144</v>
      </c>
      <c r="T1011" s="5" t="s">
        <v>5994</v>
      </c>
      <c r="U1011" s="5" t="s">
        <v>14618</v>
      </c>
      <c r="V1011" s="5" t="s">
        <v>1481</v>
      </c>
    </row>
    <row r="1012" spans="1:23" ht="12.5">
      <c r="A1012" s="5">
        <v>91516</v>
      </c>
      <c r="B1012" s="5" t="s">
        <v>17145</v>
      </c>
      <c r="C1012" s="10" t="s">
        <v>17146</v>
      </c>
      <c r="D1012" s="5">
        <v>31</v>
      </c>
      <c r="E1012" s="5" t="s">
        <v>375</v>
      </c>
      <c r="F1012" s="5" t="s">
        <v>79</v>
      </c>
      <c r="G1012" s="5" t="s">
        <v>8093</v>
      </c>
      <c r="H1012" s="5" t="s">
        <v>8094</v>
      </c>
      <c r="J1012" s="12">
        <v>46053</v>
      </c>
      <c r="K1012" s="11">
        <v>0.70833333333333337</v>
      </c>
      <c r="M1012" s="10" t="s">
        <v>14627</v>
      </c>
      <c r="N1012" s="12">
        <v>46053</v>
      </c>
      <c r="O1012" s="10" t="s">
        <v>15947</v>
      </c>
      <c r="P1012" s="5" t="s">
        <v>14571</v>
      </c>
      <c r="Q1012" s="5" t="s">
        <v>14572</v>
      </c>
      <c r="R1012" s="5" t="s">
        <v>17147</v>
      </c>
      <c r="T1012" s="5" t="s">
        <v>5994</v>
      </c>
      <c r="U1012" s="5" t="s">
        <v>14593</v>
      </c>
      <c r="V1012" s="5" t="s">
        <v>1481</v>
      </c>
    </row>
    <row r="1013" spans="1:23" ht="12.5">
      <c r="A1013" s="5">
        <v>91517</v>
      </c>
      <c r="B1013" s="5" t="s">
        <v>17148</v>
      </c>
      <c r="C1013" s="10" t="s">
        <v>17149</v>
      </c>
      <c r="D1013" s="5">
        <v>52</v>
      </c>
      <c r="E1013" s="5" t="s">
        <v>178</v>
      </c>
      <c r="F1013" s="5" t="s">
        <v>73</v>
      </c>
      <c r="G1013" s="5" t="s">
        <v>8098</v>
      </c>
      <c r="H1013" s="5" t="s">
        <v>8099</v>
      </c>
      <c r="I1013" s="5">
        <v>3145025835</v>
      </c>
      <c r="J1013" s="12">
        <v>46053</v>
      </c>
      <c r="K1013" s="11">
        <v>0</v>
      </c>
      <c r="M1013" s="10" t="s">
        <v>15043</v>
      </c>
      <c r="N1013" s="12">
        <v>46053</v>
      </c>
      <c r="O1013" s="10" t="s">
        <v>16216</v>
      </c>
      <c r="P1013" s="5" t="s">
        <v>14571</v>
      </c>
      <c r="Q1013" s="5" t="s">
        <v>14612</v>
      </c>
      <c r="R1013" s="5" t="s">
        <v>17150</v>
      </c>
      <c r="T1013" s="5" t="s">
        <v>5994</v>
      </c>
      <c r="U1013" s="5" t="s">
        <v>14593</v>
      </c>
      <c r="V1013" s="5" t="s">
        <v>3754</v>
      </c>
    </row>
    <row r="1014" spans="1:23" ht="12.5">
      <c r="A1014" s="5">
        <v>91518</v>
      </c>
      <c r="B1014" s="5" t="s">
        <v>8103</v>
      </c>
      <c r="C1014" s="5">
        <v>57317436697</v>
      </c>
      <c r="D1014" s="5">
        <v>5</v>
      </c>
      <c r="E1014" s="5" t="s">
        <v>3111</v>
      </c>
      <c r="F1014" s="5" t="s">
        <v>33</v>
      </c>
      <c r="G1014" s="5" t="s">
        <v>8103</v>
      </c>
      <c r="H1014" s="5" t="s">
        <v>34</v>
      </c>
      <c r="I1014" s="5">
        <v>317436697</v>
      </c>
      <c r="J1014" s="12">
        <v>46053</v>
      </c>
      <c r="K1014" s="11">
        <v>0</v>
      </c>
      <c r="M1014" s="10" t="s">
        <v>14569</v>
      </c>
      <c r="N1014" s="12">
        <v>46053.649430787038</v>
      </c>
      <c r="O1014" s="10" t="s">
        <v>14937</v>
      </c>
      <c r="P1014" s="5" t="s">
        <v>14571</v>
      </c>
      <c r="Q1014" s="5" t="s">
        <v>14572</v>
      </c>
      <c r="R1014" s="5" t="s">
        <v>17151</v>
      </c>
      <c r="T1014" s="5" t="s">
        <v>14574</v>
      </c>
      <c r="U1014" s="5" t="s">
        <v>33</v>
      </c>
      <c r="V1014" s="5" t="s">
        <v>1481</v>
      </c>
    </row>
    <row r="1015" spans="1:23" ht="12.5">
      <c r="A1015" s="5">
        <v>91519</v>
      </c>
      <c r="B1015" s="5" t="s">
        <v>17152</v>
      </c>
      <c r="C1015" s="10" t="s">
        <v>17153</v>
      </c>
      <c r="D1015" s="5">
        <v>95</v>
      </c>
      <c r="E1015" s="5" t="s">
        <v>42</v>
      </c>
      <c r="G1015" s="5" t="s">
        <v>8105</v>
      </c>
      <c r="H1015" s="5" t="s">
        <v>8106</v>
      </c>
      <c r="J1015" s="12">
        <v>46053</v>
      </c>
      <c r="K1015" s="11">
        <v>0</v>
      </c>
      <c r="M1015" s="10" t="s">
        <v>14705</v>
      </c>
      <c r="N1015" s="12">
        <v>46053</v>
      </c>
      <c r="O1015" s="10" t="s">
        <v>16854</v>
      </c>
      <c r="P1015" s="5" t="s">
        <v>14571</v>
      </c>
      <c r="Q1015" s="5" t="s">
        <v>14578</v>
      </c>
      <c r="R1015" s="5" t="s">
        <v>17154</v>
      </c>
      <c r="T1015" s="5" t="s">
        <v>5994</v>
      </c>
      <c r="V1015" s="5" t="s">
        <v>43</v>
      </c>
    </row>
    <row r="1016" spans="1:23" ht="12.5">
      <c r="A1016" s="5">
        <v>91520</v>
      </c>
      <c r="B1016" s="5" t="s">
        <v>17155</v>
      </c>
      <c r="C1016" s="10" t="s">
        <v>17156</v>
      </c>
      <c r="D1016" s="5">
        <v>5</v>
      </c>
      <c r="E1016" s="5" t="s">
        <v>4021</v>
      </c>
      <c r="F1016" s="5" t="s">
        <v>63</v>
      </c>
      <c r="G1016" s="5" t="s">
        <v>8110</v>
      </c>
      <c r="H1016" s="5" t="s">
        <v>8111</v>
      </c>
      <c r="I1016" s="5"/>
      <c r="J1016" s="12">
        <v>46055</v>
      </c>
      <c r="K1016" s="11">
        <v>0.35416666666666669</v>
      </c>
      <c r="M1016" s="10" t="s">
        <v>16274</v>
      </c>
      <c r="N1016" s="12">
        <v>46055</v>
      </c>
      <c r="O1016" s="10" t="s">
        <v>15577</v>
      </c>
      <c r="P1016" s="5" t="s">
        <v>16291</v>
      </c>
      <c r="Q1016" s="5" t="s">
        <v>14699</v>
      </c>
      <c r="R1016" s="5" t="s">
        <v>17157</v>
      </c>
      <c r="T1016" s="5" t="s">
        <v>5994</v>
      </c>
      <c r="U1016" s="5" t="s">
        <v>14598</v>
      </c>
      <c r="V1016" s="5" t="s">
        <v>1481</v>
      </c>
    </row>
    <row r="1017" spans="1:23" ht="12.5">
      <c r="A1017" s="5">
        <v>91521</v>
      </c>
      <c r="B1017" s="5" t="s">
        <v>3580</v>
      </c>
      <c r="C1017" s="10" t="s">
        <v>17158</v>
      </c>
      <c r="D1017" s="5">
        <v>78</v>
      </c>
      <c r="E1017" s="5" t="s">
        <v>3892</v>
      </c>
      <c r="F1017" s="5" t="s">
        <v>4403</v>
      </c>
      <c r="G1017" s="5" t="s">
        <v>8113</v>
      </c>
      <c r="H1017" s="5" t="s">
        <v>8114</v>
      </c>
      <c r="J1017" s="12">
        <v>46055</v>
      </c>
      <c r="K1017" s="11">
        <v>0.375</v>
      </c>
      <c r="M1017" s="10" t="s">
        <v>15420</v>
      </c>
      <c r="N1017" s="12">
        <v>46055</v>
      </c>
      <c r="O1017" s="10" t="s">
        <v>17159</v>
      </c>
      <c r="P1017" s="5" t="s">
        <v>14571</v>
      </c>
      <c r="Q1017" s="5" t="s">
        <v>14572</v>
      </c>
      <c r="R1017" s="5" t="s">
        <v>17160</v>
      </c>
      <c r="T1017" s="5" t="s">
        <v>5994</v>
      </c>
      <c r="U1017" s="5" t="s">
        <v>14598</v>
      </c>
      <c r="V1017" s="5" t="s">
        <v>2317</v>
      </c>
    </row>
    <row r="1018" spans="1:23" ht="12.5">
      <c r="A1018" s="5">
        <v>91522</v>
      </c>
      <c r="B1018" s="5" t="s">
        <v>15549</v>
      </c>
      <c r="C1018" s="5">
        <v>573145966560</v>
      </c>
      <c r="D1018" s="5">
        <v>50</v>
      </c>
      <c r="E1018" s="5" t="s">
        <v>347</v>
      </c>
      <c r="G1018" s="5" t="s">
        <v>8116</v>
      </c>
      <c r="H1018" s="5" t="s">
        <v>8117</v>
      </c>
      <c r="I1018" s="5">
        <v>3182066765</v>
      </c>
      <c r="J1018" s="12">
        <v>46055</v>
      </c>
      <c r="K1018" s="11">
        <v>0.375</v>
      </c>
      <c r="M1018" s="10" t="s">
        <v>15301</v>
      </c>
      <c r="N1018" s="12">
        <v>46055.314029421294</v>
      </c>
      <c r="O1018" s="10" t="s">
        <v>16572</v>
      </c>
      <c r="P1018" s="5" t="s">
        <v>16291</v>
      </c>
      <c r="Q1018" s="5" t="s">
        <v>14699</v>
      </c>
      <c r="R1018" s="5" t="s">
        <v>17161</v>
      </c>
      <c r="T1018" s="5" t="s">
        <v>5994</v>
      </c>
      <c r="V1018" s="5" t="s">
        <v>1481</v>
      </c>
    </row>
    <row r="1019" spans="1:23" ht="12.5">
      <c r="A1019" s="5">
        <v>91523</v>
      </c>
      <c r="B1019" s="5" t="s">
        <v>17162</v>
      </c>
      <c r="C1019" s="5">
        <v>34687005253</v>
      </c>
      <c r="D1019" s="5">
        <v>49</v>
      </c>
      <c r="E1019" s="5" t="s">
        <v>380</v>
      </c>
      <c r="F1019" s="5" t="s">
        <v>103</v>
      </c>
      <c r="G1019" s="5" t="s">
        <v>8120</v>
      </c>
      <c r="H1019" s="5" t="s">
        <v>8121</v>
      </c>
      <c r="I1019" s="5">
        <v>3004456744</v>
      </c>
      <c r="J1019" s="12">
        <v>46055</v>
      </c>
      <c r="K1019" s="11">
        <v>0.41666666666787933</v>
      </c>
      <c r="M1019" s="10" t="s">
        <v>15480</v>
      </c>
      <c r="N1019" s="12">
        <v>46055.336985000002</v>
      </c>
      <c r="O1019" s="10" t="s">
        <v>16176</v>
      </c>
      <c r="P1019" s="5" t="s">
        <v>16291</v>
      </c>
      <c r="Q1019" s="5" t="s">
        <v>14699</v>
      </c>
      <c r="R1019" s="5" t="s">
        <v>17163</v>
      </c>
      <c r="T1019" s="5" t="s">
        <v>5994</v>
      </c>
      <c r="U1019" s="5" t="s">
        <v>14593</v>
      </c>
      <c r="V1019" s="5" t="s">
        <v>1481</v>
      </c>
    </row>
    <row r="1020" spans="1:23" ht="12.5">
      <c r="A1020" s="5">
        <v>91524</v>
      </c>
      <c r="B1020" s="5" t="s">
        <v>17164</v>
      </c>
      <c r="C1020" s="5">
        <v>573014889217</v>
      </c>
      <c r="D1020" s="5">
        <v>31</v>
      </c>
      <c r="E1020" s="5" t="s">
        <v>375</v>
      </c>
      <c r="F1020" s="5" t="s">
        <v>249</v>
      </c>
      <c r="G1020" s="5" t="s">
        <v>8125</v>
      </c>
      <c r="H1020" s="5" t="s">
        <v>8126</v>
      </c>
      <c r="I1020" s="5">
        <v>3183181417</v>
      </c>
      <c r="J1020" s="12">
        <v>46055</v>
      </c>
      <c r="K1020" s="11">
        <v>0.41666666666787933</v>
      </c>
      <c r="M1020" s="10" t="s">
        <v>14627</v>
      </c>
      <c r="N1020" s="12">
        <v>46055.364341412038</v>
      </c>
      <c r="O1020" s="10" t="s">
        <v>17165</v>
      </c>
      <c r="P1020" s="5" t="s">
        <v>14571</v>
      </c>
      <c r="Q1020" s="5" t="s">
        <v>14572</v>
      </c>
      <c r="R1020" s="5"/>
      <c r="T1020" s="5" t="s">
        <v>5994</v>
      </c>
      <c r="U1020" s="5" t="s">
        <v>14593</v>
      </c>
      <c r="V1020" s="5" t="s">
        <v>1481</v>
      </c>
    </row>
    <row r="1021" spans="1:23" ht="12.5">
      <c r="A1021" s="5">
        <v>91525</v>
      </c>
      <c r="B1021" s="5" t="s">
        <v>17166</v>
      </c>
      <c r="C1021" s="5">
        <v>573158033385</v>
      </c>
      <c r="D1021" s="5">
        <v>23</v>
      </c>
      <c r="E1021" s="5" t="s">
        <v>50</v>
      </c>
      <c r="F1021" s="5" t="s">
        <v>161</v>
      </c>
      <c r="G1021" s="5" t="s">
        <v>8130</v>
      </c>
      <c r="H1021" s="5" t="s">
        <v>8131</v>
      </c>
      <c r="J1021" s="12">
        <v>46055</v>
      </c>
      <c r="K1021" s="11">
        <v>0.41666666666787933</v>
      </c>
      <c r="M1021" s="10" t="s">
        <v>14890</v>
      </c>
      <c r="N1021" s="12">
        <v>46055.376304224541</v>
      </c>
      <c r="O1021" s="10" t="s">
        <v>15324</v>
      </c>
      <c r="P1021" s="5" t="s">
        <v>14571</v>
      </c>
      <c r="Q1021" s="5" t="s">
        <v>14572</v>
      </c>
      <c r="R1021" s="5" t="s">
        <v>17167</v>
      </c>
      <c r="T1021" s="5" t="s">
        <v>5994</v>
      </c>
      <c r="U1021" s="5" t="s">
        <v>14593</v>
      </c>
      <c r="V1021" s="5" t="s">
        <v>1705</v>
      </c>
    </row>
    <row r="1022" spans="1:23" ht="12.5">
      <c r="A1022" s="5">
        <v>91526</v>
      </c>
      <c r="B1022" s="5" t="s">
        <v>17168</v>
      </c>
      <c r="C1022" s="5">
        <v>573150603371</v>
      </c>
      <c r="D1022" s="5">
        <v>45</v>
      </c>
      <c r="E1022" s="5" t="s">
        <v>210</v>
      </c>
      <c r="F1022" s="5" t="s">
        <v>73</v>
      </c>
      <c r="G1022" s="5" t="s">
        <v>8134</v>
      </c>
      <c r="H1022" s="5" t="s">
        <v>8135</v>
      </c>
      <c r="I1022" s="5">
        <v>3042509664</v>
      </c>
      <c r="J1022" s="12">
        <v>46055</v>
      </c>
      <c r="K1022" s="11">
        <v>0.41666666666787933</v>
      </c>
      <c r="M1022" s="10" t="s">
        <v>16429</v>
      </c>
      <c r="N1022" s="12">
        <v>46055.352763668983</v>
      </c>
      <c r="O1022" s="10" t="s">
        <v>15824</v>
      </c>
      <c r="P1022" s="5" t="s">
        <v>14571</v>
      </c>
      <c r="Q1022" s="5" t="s">
        <v>14578</v>
      </c>
      <c r="R1022" s="5" t="s">
        <v>17169</v>
      </c>
      <c r="T1022" s="5" t="s">
        <v>5994</v>
      </c>
      <c r="U1022" s="5" t="s">
        <v>14593</v>
      </c>
      <c r="V1022" s="5" t="s">
        <v>1481</v>
      </c>
      <c r="W1022" s="5" t="s">
        <v>8138</v>
      </c>
    </row>
    <row r="1023" spans="1:23" ht="12.5">
      <c r="A1023" s="5">
        <v>91527</v>
      </c>
      <c r="B1023" s="5" t="s">
        <v>17170</v>
      </c>
      <c r="C1023" s="5">
        <v>57000</v>
      </c>
      <c r="D1023" s="5">
        <v>23</v>
      </c>
      <c r="E1023" s="5" t="s">
        <v>50</v>
      </c>
      <c r="F1023" s="5" t="s">
        <v>33</v>
      </c>
      <c r="G1023" s="5" t="s">
        <v>8140</v>
      </c>
      <c r="H1023" s="5" t="s">
        <v>34</v>
      </c>
      <c r="J1023" s="12">
        <v>46058</v>
      </c>
      <c r="K1023" s="11">
        <v>0.375</v>
      </c>
      <c r="M1023" s="10" t="s">
        <v>14569</v>
      </c>
      <c r="N1023" s="12">
        <v>46055.387518020834</v>
      </c>
      <c r="O1023" s="10" t="s">
        <v>15595</v>
      </c>
      <c r="P1023" s="5" t="s">
        <v>14571</v>
      </c>
      <c r="Q1023" s="5" t="s">
        <v>14612</v>
      </c>
      <c r="R1023" s="5" t="s">
        <v>17171</v>
      </c>
      <c r="T1023" s="5" t="s">
        <v>14574</v>
      </c>
      <c r="U1023" s="5" t="s">
        <v>33</v>
      </c>
      <c r="V1023" s="5" t="s">
        <v>2317</v>
      </c>
    </row>
    <row r="1024" spans="1:23" ht="12.5">
      <c r="A1024" s="5">
        <v>91528</v>
      </c>
      <c r="B1024" s="5" t="s">
        <v>12287</v>
      </c>
      <c r="C1024" s="5">
        <v>573014591116</v>
      </c>
      <c r="D1024" s="5">
        <v>21</v>
      </c>
      <c r="E1024" s="5" t="s">
        <v>330</v>
      </c>
      <c r="F1024" s="5" t="s">
        <v>8142</v>
      </c>
      <c r="G1024" s="5" t="s">
        <v>8141</v>
      </c>
      <c r="H1024" s="5" t="s">
        <v>8143</v>
      </c>
      <c r="J1024" s="12">
        <v>46055</v>
      </c>
      <c r="K1024" s="11">
        <v>0.45833333333212067</v>
      </c>
      <c r="M1024" s="10" t="s">
        <v>14777</v>
      </c>
      <c r="N1024" s="12">
        <v>46055.406534756941</v>
      </c>
      <c r="O1024" s="10" t="s">
        <v>16186</v>
      </c>
      <c r="P1024" s="5" t="s">
        <v>14571</v>
      </c>
      <c r="Q1024" s="5" t="s">
        <v>14578</v>
      </c>
      <c r="R1024" s="5" t="s">
        <v>17172</v>
      </c>
      <c r="T1024" s="5" t="s">
        <v>5994</v>
      </c>
      <c r="U1024" s="5" t="s">
        <v>14593</v>
      </c>
      <c r="V1024" s="5" t="s">
        <v>1481</v>
      </c>
    </row>
    <row r="1025" spans="1:23" ht="12.5">
      <c r="A1025" s="5">
        <v>91529</v>
      </c>
      <c r="B1025" s="5" t="s">
        <v>8146</v>
      </c>
      <c r="C1025" s="5">
        <v>573205423550</v>
      </c>
      <c r="D1025" s="5" t="s">
        <v>17173</v>
      </c>
      <c r="E1025" s="5" t="s">
        <v>8147</v>
      </c>
      <c r="F1025" s="5" t="s">
        <v>33</v>
      </c>
      <c r="G1025" s="5" t="s">
        <v>8146</v>
      </c>
      <c r="H1025" s="5" t="s">
        <v>34</v>
      </c>
      <c r="I1025" s="5">
        <v>3205423550</v>
      </c>
      <c r="J1025" s="12">
        <v>46055</v>
      </c>
      <c r="K1025" s="11">
        <v>0</v>
      </c>
      <c r="M1025" s="10" t="s">
        <v>14569</v>
      </c>
      <c r="N1025" s="12">
        <v>46055.401688726852</v>
      </c>
      <c r="O1025" s="10" t="s">
        <v>15165</v>
      </c>
      <c r="P1025" s="5" t="s">
        <v>14571</v>
      </c>
      <c r="Q1025" s="5" t="s">
        <v>14572</v>
      </c>
      <c r="R1025" s="5" t="s">
        <v>17174</v>
      </c>
      <c r="T1025" s="5" t="s">
        <v>14574</v>
      </c>
      <c r="U1025" s="5" t="s">
        <v>33</v>
      </c>
      <c r="V1025" s="5" t="s">
        <v>1481</v>
      </c>
    </row>
    <row r="1026" spans="1:23" ht="12.5">
      <c r="A1026" s="5">
        <v>91530</v>
      </c>
      <c r="B1026" s="5" t="s">
        <v>8152</v>
      </c>
      <c r="C1026" s="5">
        <v>573102709637</v>
      </c>
      <c r="D1026" s="5" t="s">
        <v>14589</v>
      </c>
      <c r="E1026" s="5" t="s">
        <v>8153</v>
      </c>
      <c r="F1026" s="5" t="s">
        <v>33</v>
      </c>
      <c r="G1026" s="5" t="s">
        <v>8152</v>
      </c>
      <c r="H1026" s="5" t="s">
        <v>34</v>
      </c>
      <c r="I1026" s="5">
        <v>3102709637</v>
      </c>
      <c r="J1026" s="12">
        <v>46055</v>
      </c>
      <c r="K1026" s="11">
        <v>0</v>
      </c>
      <c r="M1026" s="10" t="s">
        <v>2686</v>
      </c>
      <c r="N1026" s="12">
        <v>46055.4358884838</v>
      </c>
      <c r="O1026" s="10" t="s">
        <v>14762</v>
      </c>
      <c r="P1026" s="5" t="s">
        <v>14571</v>
      </c>
      <c r="Q1026" s="5" t="s">
        <v>14572</v>
      </c>
      <c r="R1026" s="5" t="s">
        <v>17175</v>
      </c>
      <c r="T1026" s="5" t="s">
        <v>14574</v>
      </c>
      <c r="U1026" s="5" t="s">
        <v>33</v>
      </c>
      <c r="V1026" s="5" t="s">
        <v>1705</v>
      </c>
      <c r="W1026" s="5" t="s">
        <v>8154</v>
      </c>
    </row>
    <row r="1027" spans="1:23" ht="12.5">
      <c r="A1027" s="5">
        <v>91531</v>
      </c>
      <c r="B1027" s="5" t="s">
        <v>17176</v>
      </c>
      <c r="C1027" s="5">
        <v>573237737966</v>
      </c>
      <c r="D1027" s="5">
        <v>32</v>
      </c>
      <c r="E1027" s="5" t="s">
        <v>65</v>
      </c>
      <c r="F1027" s="5" t="s">
        <v>307</v>
      </c>
      <c r="G1027" s="5" t="s">
        <v>8157</v>
      </c>
      <c r="H1027" s="5" t="s">
        <v>8158</v>
      </c>
      <c r="I1027" s="5">
        <v>3237737966</v>
      </c>
      <c r="J1027" s="12">
        <v>46056</v>
      </c>
      <c r="K1027" s="11">
        <v>0</v>
      </c>
      <c r="M1027" s="10" t="s">
        <v>14627</v>
      </c>
      <c r="N1027" s="12">
        <v>46055.430591909724</v>
      </c>
      <c r="O1027" s="10" t="s">
        <v>17177</v>
      </c>
      <c r="P1027" s="5" t="s">
        <v>14571</v>
      </c>
      <c r="Q1027" s="5" t="s">
        <v>14572</v>
      </c>
      <c r="R1027" s="5" t="s">
        <v>17178</v>
      </c>
      <c r="T1027" s="5" t="s">
        <v>5994</v>
      </c>
      <c r="U1027" s="5" t="s">
        <v>14618</v>
      </c>
      <c r="V1027" s="5" t="s">
        <v>1481</v>
      </c>
      <c r="W1027" s="5" t="s">
        <v>8160</v>
      </c>
    </row>
    <row r="1028" spans="1:23" ht="12.5">
      <c r="A1028" s="5">
        <v>91532</v>
      </c>
      <c r="B1028" s="5" t="s">
        <v>3183</v>
      </c>
      <c r="C1028" s="5">
        <v>573043190657</v>
      </c>
      <c r="D1028" s="5">
        <v>95</v>
      </c>
      <c r="E1028" s="5" t="s">
        <v>42</v>
      </c>
      <c r="F1028" s="5" t="s">
        <v>33</v>
      </c>
      <c r="G1028" s="5" t="s">
        <v>3183</v>
      </c>
      <c r="H1028" s="5" t="s">
        <v>34</v>
      </c>
      <c r="I1028" s="5">
        <v>3043190657</v>
      </c>
      <c r="J1028" s="12">
        <v>46055</v>
      </c>
      <c r="K1028" s="11">
        <v>0</v>
      </c>
      <c r="M1028" s="10" t="s">
        <v>14755</v>
      </c>
      <c r="N1028" s="12">
        <v>46055.472278877314</v>
      </c>
      <c r="O1028" s="10" t="s">
        <v>14886</v>
      </c>
      <c r="P1028" s="5" t="s">
        <v>14571</v>
      </c>
      <c r="Q1028" s="5" t="s">
        <v>14572</v>
      </c>
      <c r="R1028" s="5" t="s">
        <v>17179</v>
      </c>
      <c r="T1028" s="5" t="s">
        <v>14574</v>
      </c>
      <c r="U1028" s="5" t="s">
        <v>33</v>
      </c>
      <c r="V1028" s="5" t="s">
        <v>1481</v>
      </c>
      <c r="W1028" s="5" t="s">
        <v>8161</v>
      </c>
    </row>
    <row r="1029" spans="1:23" ht="12.5">
      <c r="A1029" s="5">
        <v>91533</v>
      </c>
      <c r="B1029" s="5" t="s">
        <v>8162</v>
      </c>
      <c r="C1029" s="5">
        <v>573024254554</v>
      </c>
      <c r="D1029" s="5">
        <v>53</v>
      </c>
      <c r="E1029" s="5" t="s">
        <v>75</v>
      </c>
      <c r="G1029" s="5" t="s">
        <v>8162</v>
      </c>
      <c r="H1029" s="5" t="s">
        <v>8163</v>
      </c>
      <c r="I1029" s="5">
        <v>3024254554</v>
      </c>
      <c r="J1029" s="12">
        <v>46054</v>
      </c>
      <c r="K1029" s="11">
        <v>0</v>
      </c>
      <c r="M1029" s="10" t="s">
        <v>14585</v>
      </c>
      <c r="N1029" s="12">
        <v>46055.753564814819</v>
      </c>
      <c r="O1029" s="10" t="s">
        <v>15079</v>
      </c>
      <c r="P1029" s="5" t="s">
        <v>14571</v>
      </c>
      <c r="R1029" s="5" t="s">
        <v>17180</v>
      </c>
      <c r="T1029" s="5" t="s">
        <v>5994</v>
      </c>
      <c r="V1029" s="5" t="s">
        <v>1481</v>
      </c>
      <c r="W1029" s="5" t="s">
        <v>4746</v>
      </c>
    </row>
    <row r="1030" spans="1:23" ht="12.5">
      <c r="A1030" s="5">
        <v>91534</v>
      </c>
      <c r="B1030" s="5" t="s">
        <v>17181</v>
      </c>
      <c r="C1030" s="5">
        <v>573214463378</v>
      </c>
      <c r="D1030" s="5">
        <v>42</v>
      </c>
      <c r="E1030" s="5" t="s">
        <v>649</v>
      </c>
      <c r="F1030" s="5" t="s">
        <v>563</v>
      </c>
      <c r="G1030" s="5" t="s">
        <v>8165</v>
      </c>
      <c r="H1030" s="5" t="s">
        <v>8166</v>
      </c>
      <c r="I1030" s="5">
        <v>3219888181</v>
      </c>
      <c r="J1030" s="12">
        <v>46055</v>
      </c>
      <c r="K1030" s="11">
        <v>0.70833333333212067</v>
      </c>
      <c r="M1030" s="10" t="s">
        <v>14615</v>
      </c>
      <c r="N1030" s="12">
        <v>46055.465894895839</v>
      </c>
      <c r="O1030" s="10" t="s">
        <v>15481</v>
      </c>
      <c r="P1030" s="5" t="s">
        <v>14571</v>
      </c>
      <c r="Q1030" s="5" t="s">
        <v>14572</v>
      </c>
      <c r="R1030" s="5" t="s">
        <v>17182</v>
      </c>
      <c r="T1030" s="5" t="s">
        <v>5994</v>
      </c>
      <c r="U1030" s="5" t="s">
        <v>14775</v>
      </c>
      <c r="V1030" s="5" t="s">
        <v>1481</v>
      </c>
    </row>
    <row r="1031" spans="1:23" ht="12.5">
      <c r="A1031" s="5">
        <v>91535</v>
      </c>
      <c r="B1031" s="5" t="s">
        <v>17183</v>
      </c>
      <c r="C1031" s="5">
        <v>573005860158</v>
      </c>
      <c r="D1031" s="5">
        <v>95</v>
      </c>
      <c r="E1031" s="5" t="s">
        <v>42</v>
      </c>
      <c r="F1031" s="5" t="s">
        <v>1595</v>
      </c>
      <c r="G1031" s="5" t="s">
        <v>8170</v>
      </c>
      <c r="H1031" s="5" t="s">
        <v>8171</v>
      </c>
      <c r="J1031" s="12">
        <v>46055</v>
      </c>
      <c r="K1031" s="11">
        <v>0</v>
      </c>
      <c r="M1031" s="10" t="s">
        <v>17184</v>
      </c>
      <c r="N1031" s="12">
        <v>46055.501833298607</v>
      </c>
      <c r="O1031" s="10" t="s">
        <v>14974</v>
      </c>
      <c r="P1031" s="5" t="s">
        <v>14571</v>
      </c>
      <c r="Q1031" s="5" t="s">
        <v>14612</v>
      </c>
      <c r="R1031" s="5" t="s">
        <v>17185</v>
      </c>
      <c r="T1031" s="5" t="s">
        <v>5994</v>
      </c>
      <c r="U1031" s="5" t="s">
        <v>14580</v>
      </c>
      <c r="V1031" s="5" t="s">
        <v>67</v>
      </c>
      <c r="W1031" s="5" t="s">
        <v>8173</v>
      </c>
    </row>
    <row r="1032" spans="1:23" ht="12.5">
      <c r="A1032" s="5">
        <v>91536</v>
      </c>
      <c r="B1032" s="5" t="s">
        <v>17186</v>
      </c>
      <c r="C1032" s="5">
        <v>573025117222</v>
      </c>
      <c r="D1032" s="5" t="s">
        <v>14589</v>
      </c>
      <c r="E1032" s="5" t="s">
        <v>8177</v>
      </c>
      <c r="F1032" s="5" t="s">
        <v>6194</v>
      </c>
      <c r="G1032" s="5" t="s">
        <v>4458</v>
      </c>
      <c r="H1032" s="5" t="s">
        <v>8176</v>
      </c>
      <c r="I1032" s="5">
        <v>3025117222</v>
      </c>
      <c r="J1032" s="12">
        <v>46056</v>
      </c>
      <c r="K1032" s="11">
        <v>0.375</v>
      </c>
      <c r="M1032" s="10" t="s">
        <v>14576</v>
      </c>
      <c r="N1032" s="12">
        <v>46055.485110555557</v>
      </c>
      <c r="O1032" s="10" t="s">
        <v>17126</v>
      </c>
      <c r="P1032" s="5" t="s">
        <v>14571</v>
      </c>
      <c r="Q1032" s="5" t="s">
        <v>14578</v>
      </c>
      <c r="R1032" s="5" t="s">
        <v>17187</v>
      </c>
      <c r="T1032" s="5" t="s">
        <v>5994</v>
      </c>
      <c r="U1032" s="5" t="s">
        <v>14580</v>
      </c>
      <c r="V1032" s="5" t="s">
        <v>1481</v>
      </c>
      <c r="W1032" s="5" t="s">
        <v>8180</v>
      </c>
    </row>
    <row r="1033" spans="1:23" ht="12.5">
      <c r="A1033" s="5">
        <v>91537</v>
      </c>
      <c r="B1033" s="5" t="s">
        <v>8182</v>
      </c>
      <c r="C1033" s="5">
        <v>5700000</v>
      </c>
      <c r="D1033" s="5">
        <v>53</v>
      </c>
      <c r="E1033" s="5" t="s">
        <v>75</v>
      </c>
      <c r="F1033" s="5" t="s">
        <v>33</v>
      </c>
      <c r="G1033" s="5" t="s">
        <v>8182</v>
      </c>
      <c r="H1033" s="5" t="s">
        <v>34</v>
      </c>
      <c r="J1033" s="12">
        <v>46055</v>
      </c>
      <c r="K1033" s="11">
        <v>0</v>
      </c>
      <c r="M1033" s="10" t="s">
        <v>14585</v>
      </c>
      <c r="N1033" s="12">
        <v>46055.538615613426</v>
      </c>
      <c r="O1033" s="10" t="s">
        <v>14628</v>
      </c>
      <c r="P1033" s="5" t="s">
        <v>14571</v>
      </c>
      <c r="Q1033" s="5" t="s">
        <v>14612</v>
      </c>
      <c r="R1033" s="5" t="s">
        <v>17188</v>
      </c>
      <c r="T1033" s="5" t="s">
        <v>14574</v>
      </c>
      <c r="U1033" s="5" t="s">
        <v>33</v>
      </c>
      <c r="V1033" s="5" t="s">
        <v>37</v>
      </c>
      <c r="W1033" s="5" t="s">
        <v>8183</v>
      </c>
    </row>
    <row r="1034" spans="1:23" ht="12.5">
      <c r="A1034" s="5">
        <v>91538</v>
      </c>
      <c r="B1034" s="5" t="s">
        <v>17189</v>
      </c>
      <c r="C1034" s="5">
        <v>573103651978</v>
      </c>
      <c r="D1034" s="5">
        <v>64</v>
      </c>
      <c r="E1034" s="5" t="s">
        <v>133</v>
      </c>
      <c r="F1034" s="5" t="s">
        <v>73</v>
      </c>
      <c r="G1034" s="5" t="s">
        <v>8185</v>
      </c>
      <c r="H1034" s="5" t="s">
        <v>8186</v>
      </c>
      <c r="I1034" s="5">
        <v>3116843168</v>
      </c>
      <c r="J1034" s="12">
        <v>46057</v>
      </c>
      <c r="K1034" s="11">
        <v>0.29166666666787933</v>
      </c>
      <c r="M1034" s="10" t="s">
        <v>15623</v>
      </c>
      <c r="N1034" s="12">
        <v>46057</v>
      </c>
      <c r="O1034" s="10" t="s">
        <v>16726</v>
      </c>
      <c r="P1034" s="5" t="s">
        <v>14571</v>
      </c>
      <c r="Q1034" s="5" t="s">
        <v>14572</v>
      </c>
      <c r="R1034" s="5" t="s">
        <v>17190</v>
      </c>
      <c r="T1034" s="5" t="s">
        <v>5994</v>
      </c>
      <c r="U1034" s="5" t="s">
        <v>14593</v>
      </c>
      <c r="V1034" s="5" t="s">
        <v>1481</v>
      </c>
      <c r="W1034" s="5" t="s">
        <v>8189</v>
      </c>
    </row>
    <row r="1035" spans="1:23" ht="12.5">
      <c r="A1035" s="5">
        <v>91539</v>
      </c>
      <c r="B1035" s="5" t="s">
        <v>6314</v>
      </c>
      <c r="C1035" s="10" t="s">
        <v>17191</v>
      </c>
      <c r="D1035" s="5">
        <v>95</v>
      </c>
      <c r="E1035" s="5" t="s">
        <v>42</v>
      </c>
      <c r="F1035" s="5" t="s">
        <v>33</v>
      </c>
      <c r="G1035" s="5" t="s">
        <v>6314</v>
      </c>
      <c r="H1035" s="5" t="s">
        <v>34</v>
      </c>
      <c r="I1035" s="5">
        <v>3008810305</v>
      </c>
      <c r="J1035" s="12">
        <v>46055</v>
      </c>
      <c r="K1035" s="11">
        <v>0</v>
      </c>
      <c r="M1035" s="10" t="s">
        <v>15384</v>
      </c>
      <c r="N1035" s="12">
        <v>46055</v>
      </c>
      <c r="O1035" s="10" t="s">
        <v>16667</v>
      </c>
      <c r="P1035" s="5" t="s">
        <v>14571</v>
      </c>
      <c r="Q1035" s="5" t="s">
        <v>14572</v>
      </c>
      <c r="R1035" s="5" t="s">
        <v>17192</v>
      </c>
      <c r="T1035" s="5" t="s">
        <v>14574</v>
      </c>
      <c r="U1035" s="5" t="s">
        <v>33</v>
      </c>
      <c r="V1035" s="5" t="s">
        <v>1705</v>
      </c>
    </row>
    <row r="1036" spans="1:23" ht="12.5">
      <c r="A1036" s="5">
        <v>91540</v>
      </c>
      <c r="B1036" s="5" t="s">
        <v>17193</v>
      </c>
      <c r="C1036" s="5">
        <v>527221682089</v>
      </c>
      <c r="D1036" s="5">
        <v>1</v>
      </c>
      <c r="E1036" s="5" t="s">
        <v>5730</v>
      </c>
      <c r="F1036" s="5" t="s">
        <v>161</v>
      </c>
      <c r="G1036" s="5" t="s">
        <v>8192</v>
      </c>
      <c r="H1036" s="5" t="s">
        <v>8193</v>
      </c>
      <c r="I1036" s="5" t="s">
        <v>8194</v>
      </c>
      <c r="J1036" s="12">
        <v>46057</v>
      </c>
      <c r="K1036" s="11">
        <v>0</v>
      </c>
      <c r="M1036" s="10" t="s">
        <v>14903</v>
      </c>
      <c r="N1036" s="12">
        <v>46055.623449895837</v>
      </c>
      <c r="O1036" s="10" t="s">
        <v>15246</v>
      </c>
      <c r="P1036" s="5" t="s">
        <v>14571</v>
      </c>
      <c r="Q1036" s="5" t="s">
        <v>14572</v>
      </c>
      <c r="R1036" s="5" t="s">
        <v>17194</v>
      </c>
      <c r="T1036" s="5" t="s">
        <v>5994</v>
      </c>
      <c r="U1036" s="5" t="s">
        <v>14593</v>
      </c>
      <c r="V1036" s="5" t="s">
        <v>1481</v>
      </c>
    </row>
    <row r="1037" spans="1:23" ht="12.5">
      <c r="A1037" s="5">
        <v>91541</v>
      </c>
      <c r="B1037" s="5" t="s">
        <v>8198</v>
      </c>
      <c r="C1037" s="5">
        <v>573008329249</v>
      </c>
      <c r="D1037" s="5">
        <v>58</v>
      </c>
      <c r="E1037" s="5" t="s">
        <v>57</v>
      </c>
      <c r="F1037" s="5" t="s">
        <v>73</v>
      </c>
      <c r="G1037" s="5" t="s">
        <v>8198</v>
      </c>
      <c r="H1037" s="5" t="s">
        <v>8199</v>
      </c>
      <c r="I1037" s="5">
        <v>3008329249</v>
      </c>
      <c r="J1037" s="12">
        <v>46055</v>
      </c>
      <c r="K1037" s="11">
        <v>0.66666666666787933</v>
      </c>
      <c r="M1037" s="10" t="s">
        <v>14885</v>
      </c>
      <c r="N1037" s="12">
        <v>46055.634271909723</v>
      </c>
      <c r="O1037" s="10" t="s">
        <v>17195</v>
      </c>
      <c r="P1037" s="5" t="s">
        <v>14571</v>
      </c>
      <c r="Q1037" s="5" t="s">
        <v>14612</v>
      </c>
      <c r="R1037" s="5" t="s">
        <v>17196</v>
      </c>
      <c r="T1037" s="5" t="s">
        <v>5994</v>
      </c>
      <c r="U1037" s="5" t="s">
        <v>14593</v>
      </c>
      <c r="V1037" s="5" t="s">
        <v>1481</v>
      </c>
    </row>
    <row r="1038" spans="1:23" ht="12.5">
      <c r="A1038" s="5">
        <v>91542</v>
      </c>
      <c r="B1038" s="5" t="s">
        <v>5734</v>
      </c>
      <c r="C1038" s="5">
        <v>573007682024</v>
      </c>
      <c r="D1038" s="5">
        <v>95</v>
      </c>
      <c r="E1038" s="5" t="s">
        <v>42</v>
      </c>
      <c r="F1038" s="5" t="s">
        <v>124</v>
      </c>
      <c r="G1038" s="5" t="s">
        <v>8202</v>
      </c>
      <c r="H1038" s="5" t="s">
        <v>8203</v>
      </c>
      <c r="J1038" s="12">
        <v>46055</v>
      </c>
      <c r="K1038" s="11">
        <v>0.66944444444379769</v>
      </c>
      <c r="M1038" s="10" t="s">
        <v>17197</v>
      </c>
      <c r="N1038" s="12">
        <v>46055.640354745366</v>
      </c>
      <c r="O1038" s="10" t="s">
        <v>15059</v>
      </c>
      <c r="P1038" s="5" t="s">
        <v>14571</v>
      </c>
      <c r="Q1038" s="5" t="s">
        <v>14578</v>
      </c>
      <c r="R1038" s="5" t="s">
        <v>17198</v>
      </c>
      <c r="T1038" s="5" t="s">
        <v>5994</v>
      </c>
      <c r="U1038" s="5" t="s">
        <v>14775</v>
      </c>
      <c r="V1038" s="5" t="s">
        <v>43</v>
      </c>
      <c r="W1038" s="5" t="s">
        <v>8204</v>
      </c>
    </row>
    <row r="1039" spans="1:23" ht="12.5">
      <c r="A1039" s="5">
        <v>91543</v>
      </c>
      <c r="B1039" s="5" t="s">
        <v>8207</v>
      </c>
      <c r="C1039" s="10" t="s">
        <v>17199</v>
      </c>
      <c r="D1039" s="5">
        <v>95</v>
      </c>
      <c r="E1039" s="5" t="s">
        <v>42</v>
      </c>
      <c r="F1039" s="5" t="s">
        <v>33</v>
      </c>
      <c r="G1039" s="5" t="s">
        <v>8207</v>
      </c>
      <c r="H1039" s="5" t="s">
        <v>34</v>
      </c>
      <c r="I1039" s="5">
        <v>3166913377</v>
      </c>
      <c r="J1039" s="12">
        <v>46055</v>
      </c>
      <c r="K1039" s="11">
        <v>0</v>
      </c>
      <c r="M1039" s="10" t="s">
        <v>17200</v>
      </c>
      <c r="N1039" s="12">
        <v>46055</v>
      </c>
      <c r="O1039" s="10" t="s">
        <v>15442</v>
      </c>
      <c r="P1039" s="5" t="s">
        <v>14571</v>
      </c>
      <c r="Q1039" s="5" t="s">
        <v>14612</v>
      </c>
      <c r="R1039" s="5" t="s">
        <v>17201</v>
      </c>
      <c r="T1039" s="5" t="s">
        <v>14574</v>
      </c>
      <c r="U1039" s="5" t="s">
        <v>33</v>
      </c>
      <c r="V1039" s="5" t="s">
        <v>1705</v>
      </c>
      <c r="W1039" s="5" t="s">
        <v>525</v>
      </c>
    </row>
    <row r="1040" spans="1:23" ht="12.5">
      <c r="A1040" s="5">
        <v>91544</v>
      </c>
      <c r="B1040" s="5" t="s">
        <v>17202</v>
      </c>
      <c r="C1040" s="5">
        <v>573138347371</v>
      </c>
      <c r="D1040" s="5">
        <v>31</v>
      </c>
      <c r="E1040" s="5" t="s">
        <v>375</v>
      </c>
      <c r="F1040" s="5" t="s">
        <v>328</v>
      </c>
      <c r="G1040" s="5" t="s">
        <v>8209</v>
      </c>
      <c r="H1040" s="5" t="s">
        <v>8210</v>
      </c>
      <c r="J1040" s="12">
        <v>46056</v>
      </c>
      <c r="K1040" s="11">
        <v>0.33333333333212067</v>
      </c>
      <c r="M1040" s="10" t="s">
        <v>17203</v>
      </c>
      <c r="N1040" s="12">
        <v>46055.688070578704</v>
      </c>
      <c r="O1040" s="10" t="s">
        <v>16085</v>
      </c>
      <c r="P1040" s="5" t="s">
        <v>14571</v>
      </c>
      <c r="Q1040" s="5" t="s">
        <v>14612</v>
      </c>
      <c r="R1040" s="5" t="s">
        <v>17204</v>
      </c>
      <c r="T1040" s="5" t="s">
        <v>5994</v>
      </c>
      <c r="U1040" s="5"/>
      <c r="V1040" s="5" t="s">
        <v>43</v>
      </c>
    </row>
    <row r="1041" spans="1:23" ht="12.5">
      <c r="A1041" s="5">
        <v>91545</v>
      </c>
      <c r="B1041" s="5" t="s">
        <v>17205</v>
      </c>
      <c r="C1041" s="5">
        <v>573168797009</v>
      </c>
      <c r="D1041" s="5">
        <v>52</v>
      </c>
      <c r="E1041" s="5" t="s">
        <v>178</v>
      </c>
      <c r="F1041" s="5" t="s">
        <v>103</v>
      </c>
      <c r="G1041" s="5" t="s">
        <v>5130</v>
      </c>
      <c r="H1041" s="5" t="s">
        <v>8212</v>
      </c>
      <c r="I1041" s="5">
        <v>3168797009</v>
      </c>
      <c r="J1041" s="12">
        <v>46055</v>
      </c>
      <c r="K1041" s="11">
        <v>0.75</v>
      </c>
      <c r="M1041" s="10" t="s">
        <v>15594</v>
      </c>
      <c r="N1041" s="12">
        <v>46055.716758946757</v>
      </c>
      <c r="O1041" s="10" t="s">
        <v>17206</v>
      </c>
      <c r="P1041" s="5" t="s">
        <v>14571</v>
      </c>
      <c r="Q1041" s="5" t="s">
        <v>14612</v>
      </c>
      <c r="R1041" s="5" t="s">
        <v>17207</v>
      </c>
      <c r="T1041" s="5" t="s">
        <v>5994</v>
      </c>
      <c r="U1041" s="5" t="s">
        <v>14593</v>
      </c>
      <c r="V1041" s="5" t="s">
        <v>1481</v>
      </c>
    </row>
    <row r="1042" spans="1:23" ht="12.5">
      <c r="A1042" s="5">
        <v>91546</v>
      </c>
      <c r="B1042" s="5" t="s">
        <v>17208</v>
      </c>
      <c r="C1042" s="5">
        <v>573105277555</v>
      </c>
      <c r="D1042" s="5">
        <v>29</v>
      </c>
      <c r="E1042" s="5" t="s">
        <v>309</v>
      </c>
      <c r="F1042" s="5" t="s">
        <v>726</v>
      </c>
      <c r="G1042" s="5" t="s">
        <v>8216</v>
      </c>
      <c r="H1042" s="5" t="s">
        <v>8217</v>
      </c>
      <c r="I1042" s="5">
        <v>3174403261</v>
      </c>
      <c r="J1042" s="12">
        <v>46055</v>
      </c>
      <c r="K1042" s="11">
        <v>0</v>
      </c>
      <c r="M1042" s="10" t="s">
        <v>15525</v>
      </c>
      <c r="N1042" s="12">
        <v>46055.70703125</v>
      </c>
      <c r="O1042" s="10" t="s">
        <v>17209</v>
      </c>
      <c r="P1042" s="5" t="s">
        <v>14571</v>
      </c>
      <c r="Q1042" s="5" t="s">
        <v>14578</v>
      </c>
      <c r="R1042" s="5" t="s">
        <v>17210</v>
      </c>
      <c r="T1042" s="5" t="s">
        <v>5994</v>
      </c>
      <c r="U1042" s="5" t="s">
        <v>14618</v>
      </c>
      <c r="V1042" s="5" t="s">
        <v>1481</v>
      </c>
    </row>
    <row r="1043" spans="1:23" ht="12.5">
      <c r="A1043" s="5">
        <v>91547</v>
      </c>
      <c r="B1043" s="5" t="s">
        <v>8222</v>
      </c>
      <c r="C1043" s="5">
        <v>17027429008</v>
      </c>
      <c r="D1043" s="5">
        <v>52</v>
      </c>
      <c r="E1043" s="5" t="s">
        <v>178</v>
      </c>
      <c r="F1043" s="5" t="s">
        <v>33</v>
      </c>
      <c r="G1043" s="5" t="s">
        <v>8222</v>
      </c>
      <c r="H1043" s="5" t="s">
        <v>34</v>
      </c>
      <c r="I1043" s="5">
        <v>7027429008</v>
      </c>
      <c r="J1043" s="12">
        <v>46055</v>
      </c>
      <c r="K1043" s="11">
        <v>0.75347222222262644</v>
      </c>
      <c r="M1043" s="10" t="s">
        <v>15161</v>
      </c>
      <c r="N1043" s="12">
        <v>46055.740644490739</v>
      </c>
      <c r="O1043" s="10" t="s">
        <v>15473</v>
      </c>
      <c r="P1043" s="5" t="s">
        <v>14571</v>
      </c>
      <c r="Q1043" s="5" t="s">
        <v>14612</v>
      </c>
      <c r="R1043" s="5" t="s">
        <v>17211</v>
      </c>
      <c r="T1043" s="5" t="s">
        <v>14574</v>
      </c>
      <c r="U1043" s="5" t="s">
        <v>33</v>
      </c>
      <c r="V1043" s="5" t="s">
        <v>1937</v>
      </c>
    </row>
    <row r="1044" spans="1:23" ht="12.5">
      <c r="A1044" s="5">
        <v>91548</v>
      </c>
      <c r="B1044" s="5" t="s">
        <v>17212</v>
      </c>
      <c r="C1044" s="5">
        <v>573004259835</v>
      </c>
      <c r="D1044" s="5" t="s">
        <v>14589</v>
      </c>
      <c r="E1044" s="5" t="s">
        <v>8227</v>
      </c>
      <c r="F1044" s="5" t="s">
        <v>930</v>
      </c>
      <c r="G1044" s="5" t="s">
        <v>8225</v>
      </c>
      <c r="H1044" s="5" t="s">
        <v>8226</v>
      </c>
      <c r="I1044" s="5">
        <v>3208386517</v>
      </c>
      <c r="J1044" s="12">
        <v>46056</v>
      </c>
      <c r="K1044" s="11">
        <v>0.375</v>
      </c>
      <c r="M1044" s="10" t="s">
        <v>16003</v>
      </c>
      <c r="N1044" s="12">
        <v>46055.768214490745</v>
      </c>
      <c r="O1044" s="10" t="s">
        <v>14694</v>
      </c>
      <c r="P1044" s="5" t="s">
        <v>14571</v>
      </c>
      <c r="Q1044" s="5" t="s">
        <v>14572</v>
      </c>
      <c r="R1044" s="5" t="s">
        <v>17213</v>
      </c>
      <c r="T1044" s="5" t="s">
        <v>5994</v>
      </c>
      <c r="U1044" s="5" t="s">
        <v>14598</v>
      </c>
      <c r="V1044" s="5" t="s">
        <v>1937</v>
      </c>
      <c r="W1044" s="5" t="s">
        <v>8230</v>
      </c>
    </row>
    <row r="1045" spans="1:23" ht="12.5">
      <c r="A1045" s="5">
        <v>91549</v>
      </c>
      <c r="B1045" s="5" t="s">
        <v>8233</v>
      </c>
      <c r="C1045" s="5">
        <v>573244313909</v>
      </c>
      <c r="D1045" s="5">
        <v>53</v>
      </c>
      <c r="E1045" s="5" t="s">
        <v>75</v>
      </c>
      <c r="F1045" s="5" t="s">
        <v>33</v>
      </c>
      <c r="G1045" s="5" t="s">
        <v>8233</v>
      </c>
      <c r="H1045" s="5" t="s">
        <v>34</v>
      </c>
      <c r="I1045" s="5" t="s">
        <v>8234</v>
      </c>
      <c r="J1045" s="12">
        <v>46056</v>
      </c>
      <c r="K1045" s="11">
        <v>0.375</v>
      </c>
      <c r="M1045" s="10" t="s">
        <v>14585</v>
      </c>
      <c r="N1045" s="12">
        <v>46056.30568586805</v>
      </c>
      <c r="O1045" s="10" t="s">
        <v>15202</v>
      </c>
      <c r="P1045" s="5" t="s">
        <v>14571</v>
      </c>
      <c r="Q1045" s="5" t="s">
        <v>14572</v>
      </c>
      <c r="R1045" s="5" t="s">
        <v>17214</v>
      </c>
      <c r="T1045" s="5" t="s">
        <v>14574</v>
      </c>
      <c r="U1045" s="5" t="s">
        <v>33</v>
      </c>
      <c r="V1045" s="5" t="s">
        <v>37</v>
      </c>
      <c r="W1045" s="5" t="s">
        <v>8236</v>
      </c>
    </row>
    <row r="1046" spans="1:23" ht="12.5">
      <c r="A1046" s="5">
        <v>91550</v>
      </c>
      <c r="B1046" s="5" t="s">
        <v>12287</v>
      </c>
      <c r="C1046" s="5">
        <v>573014591116</v>
      </c>
      <c r="D1046" s="5">
        <v>78</v>
      </c>
      <c r="E1046" s="5" t="s">
        <v>3892</v>
      </c>
      <c r="F1046" s="5" t="s">
        <v>4403</v>
      </c>
      <c r="G1046" s="5" t="s">
        <v>8237</v>
      </c>
      <c r="H1046" s="5" t="s">
        <v>8238</v>
      </c>
      <c r="J1046" s="12">
        <v>46056</v>
      </c>
      <c r="K1046" s="11">
        <v>0.41666666666787933</v>
      </c>
      <c r="M1046" s="10" t="s">
        <v>15420</v>
      </c>
      <c r="N1046" s="12">
        <v>46064.348900462966</v>
      </c>
      <c r="O1046" s="10" t="s">
        <v>14907</v>
      </c>
      <c r="P1046" s="5" t="s">
        <v>14571</v>
      </c>
      <c r="Q1046" s="5" t="s">
        <v>14572</v>
      </c>
      <c r="R1046" s="5" t="s">
        <v>17215</v>
      </c>
      <c r="T1046" s="5" t="s">
        <v>5994</v>
      </c>
      <c r="U1046" s="5" t="s">
        <v>14598</v>
      </c>
      <c r="V1046" s="5" t="s">
        <v>1481</v>
      </c>
    </row>
    <row r="1047" spans="1:23" ht="12.5">
      <c r="A1047" s="5">
        <v>91551</v>
      </c>
      <c r="B1047" s="5" t="s">
        <v>8243</v>
      </c>
      <c r="C1047" s="10" t="s">
        <v>17216</v>
      </c>
      <c r="D1047" s="5">
        <v>1</v>
      </c>
      <c r="E1047" s="5" t="s">
        <v>5730</v>
      </c>
      <c r="F1047" s="5" t="s">
        <v>185</v>
      </c>
      <c r="G1047" s="5" t="s">
        <v>8241</v>
      </c>
      <c r="H1047" s="5" t="s">
        <v>8242</v>
      </c>
      <c r="I1047" s="5">
        <v>3205215209</v>
      </c>
      <c r="J1047" s="12">
        <v>46056</v>
      </c>
      <c r="K1047" s="11">
        <v>0.41666666666666669</v>
      </c>
      <c r="M1047" s="10" t="s">
        <v>14903</v>
      </c>
      <c r="N1047" s="12">
        <v>46056</v>
      </c>
      <c r="O1047" s="10" t="s">
        <v>16877</v>
      </c>
      <c r="P1047" s="5" t="s">
        <v>14571</v>
      </c>
      <c r="Q1047" s="5" t="s">
        <v>14578</v>
      </c>
      <c r="R1047" s="5" t="s">
        <v>17217</v>
      </c>
      <c r="T1047" s="5" t="s">
        <v>5994</v>
      </c>
      <c r="U1047" s="5" t="s">
        <v>14580</v>
      </c>
      <c r="V1047" s="5" t="s">
        <v>1481</v>
      </c>
      <c r="W1047" s="5" t="s">
        <v>8244</v>
      </c>
    </row>
    <row r="1048" spans="1:23" ht="12.5">
      <c r="A1048" s="5">
        <v>91552</v>
      </c>
      <c r="B1048" s="5" t="s">
        <v>17218</v>
      </c>
      <c r="C1048" s="10" t="s">
        <v>17219</v>
      </c>
      <c r="D1048" s="5" t="s">
        <v>14589</v>
      </c>
      <c r="E1048" s="5" t="s">
        <v>8249</v>
      </c>
      <c r="F1048" s="5" t="s">
        <v>1317</v>
      </c>
      <c r="G1048" s="5" t="s">
        <v>8247</v>
      </c>
      <c r="H1048" s="5" t="s">
        <v>8248</v>
      </c>
      <c r="I1048" s="5">
        <v>3214452146</v>
      </c>
      <c r="J1048" s="12">
        <v>46056</v>
      </c>
      <c r="K1048" s="11">
        <v>0.41666666666666669</v>
      </c>
      <c r="M1048" s="10" t="s">
        <v>16155</v>
      </c>
      <c r="N1048" s="12">
        <v>46056</v>
      </c>
      <c r="O1048" s="10" t="s">
        <v>15332</v>
      </c>
      <c r="P1048" s="5" t="s">
        <v>14571</v>
      </c>
      <c r="Q1048" s="5" t="s">
        <v>14612</v>
      </c>
      <c r="R1048" s="5" t="s">
        <v>17220</v>
      </c>
      <c r="T1048" s="5" t="s">
        <v>5994</v>
      </c>
      <c r="U1048" s="5" t="s">
        <v>15349</v>
      </c>
      <c r="V1048" s="5" t="s">
        <v>1481</v>
      </c>
    </row>
    <row r="1049" spans="1:23" ht="12.5">
      <c r="A1049" s="5">
        <v>91553</v>
      </c>
      <c r="B1049" s="5" t="s">
        <v>17221</v>
      </c>
      <c r="C1049" s="5">
        <v>18293411451</v>
      </c>
      <c r="D1049" s="5">
        <v>64</v>
      </c>
      <c r="E1049" s="5" t="s">
        <v>133</v>
      </c>
      <c r="F1049" s="5" t="s">
        <v>110</v>
      </c>
      <c r="G1049" s="5" t="s">
        <v>8253</v>
      </c>
      <c r="H1049" s="5" t="s">
        <v>8254</v>
      </c>
      <c r="I1049" s="5">
        <v>573024633361</v>
      </c>
      <c r="J1049" s="12">
        <v>46056</v>
      </c>
      <c r="K1049" s="11">
        <v>0.41666666666787933</v>
      </c>
      <c r="M1049" s="10" t="s">
        <v>17117</v>
      </c>
      <c r="N1049" s="12">
        <v>46055.478103402776</v>
      </c>
      <c r="O1049" s="10" t="s">
        <v>17222</v>
      </c>
      <c r="P1049" s="5" t="s">
        <v>14571</v>
      </c>
      <c r="Q1049" s="5" t="s">
        <v>14572</v>
      </c>
      <c r="R1049" s="5" t="s">
        <v>17223</v>
      </c>
      <c r="T1049" s="5" t="s">
        <v>5994</v>
      </c>
      <c r="U1049" s="5" t="s">
        <v>14593</v>
      </c>
      <c r="V1049" s="5" t="s">
        <v>3754</v>
      </c>
    </row>
    <row r="1050" spans="1:23" ht="12.5">
      <c r="A1050" s="5">
        <v>91554</v>
      </c>
      <c r="B1050" s="5" t="s">
        <v>17224</v>
      </c>
      <c r="C1050" s="5">
        <v>573102372468</v>
      </c>
      <c r="D1050" s="5">
        <v>30</v>
      </c>
      <c r="E1050" s="5" t="s">
        <v>156</v>
      </c>
      <c r="F1050" s="5" t="s">
        <v>161</v>
      </c>
      <c r="G1050" s="5" t="s">
        <v>8258</v>
      </c>
      <c r="H1050" s="5" t="s">
        <v>8259</v>
      </c>
      <c r="I1050" s="5">
        <v>3157547091</v>
      </c>
      <c r="J1050" s="12">
        <v>46056</v>
      </c>
      <c r="K1050" s="11">
        <v>0</v>
      </c>
      <c r="M1050" s="10" t="s">
        <v>14850</v>
      </c>
      <c r="N1050" s="12">
        <v>46056.377698414348</v>
      </c>
      <c r="O1050" s="10" t="s">
        <v>15826</v>
      </c>
      <c r="P1050" s="5" t="s">
        <v>14571</v>
      </c>
      <c r="Q1050" s="5" t="s">
        <v>14578</v>
      </c>
      <c r="R1050" s="5" t="s">
        <v>17225</v>
      </c>
      <c r="T1050" s="5" t="s">
        <v>5994</v>
      </c>
      <c r="U1050" s="5" t="s">
        <v>14593</v>
      </c>
      <c r="V1050" s="5" t="s">
        <v>1481</v>
      </c>
    </row>
    <row r="1051" spans="1:23" ht="12.5">
      <c r="A1051" s="5">
        <v>91555</v>
      </c>
      <c r="B1051" s="5" t="s">
        <v>17226</v>
      </c>
      <c r="C1051" s="5">
        <v>573205493637</v>
      </c>
      <c r="D1051" s="5">
        <v>29</v>
      </c>
      <c r="E1051" s="5" t="s">
        <v>309</v>
      </c>
      <c r="F1051" s="5" t="s">
        <v>185</v>
      </c>
      <c r="G1051" s="5" t="s">
        <v>8264</v>
      </c>
      <c r="H1051" s="5" t="s">
        <v>8265</v>
      </c>
      <c r="I1051" s="5">
        <v>3106515854</v>
      </c>
      <c r="J1051" s="12">
        <v>46056</v>
      </c>
      <c r="K1051" s="11">
        <v>0.45833333333212067</v>
      </c>
      <c r="M1051" s="10" t="s">
        <v>15585</v>
      </c>
      <c r="N1051" s="12">
        <v>46056.39526928241</v>
      </c>
      <c r="O1051" s="10" t="s">
        <v>15170</v>
      </c>
      <c r="P1051" s="5" t="s">
        <v>14571</v>
      </c>
      <c r="Q1051" s="5" t="s">
        <v>14612</v>
      </c>
      <c r="R1051" s="5" t="s">
        <v>17227</v>
      </c>
      <c r="T1051" s="5" t="s">
        <v>5994</v>
      </c>
      <c r="U1051" s="5" t="s">
        <v>14580</v>
      </c>
      <c r="V1051" s="5" t="s">
        <v>1481</v>
      </c>
    </row>
    <row r="1052" spans="1:23" ht="12.5">
      <c r="A1052" s="5">
        <v>91556</v>
      </c>
      <c r="B1052" s="5" t="s">
        <v>17228</v>
      </c>
      <c r="C1052" s="5">
        <v>573043280854</v>
      </c>
      <c r="D1052" s="5">
        <v>53</v>
      </c>
      <c r="E1052" s="5" t="s">
        <v>75</v>
      </c>
      <c r="F1052" s="5" t="s">
        <v>975</v>
      </c>
      <c r="G1052" s="5" t="s">
        <v>8267</v>
      </c>
      <c r="H1052" s="5" t="s">
        <v>8268</v>
      </c>
      <c r="I1052" s="5">
        <v>3215679138</v>
      </c>
      <c r="J1052" s="12">
        <v>46056</v>
      </c>
      <c r="K1052" s="11">
        <v>0.45833333333212067</v>
      </c>
      <c r="M1052" s="10" t="s">
        <v>14627</v>
      </c>
      <c r="N1052" s="12">
        <v>46056.382788136572</v>
      </c>
      <c r="O1052" s="10" t="s">
        <v>14994</v>
      </c>
      <c r="P1052" s="5" t="s">
        <v>14571</v>
      </c>
      <c r="Q1052" s="5" t="s">
        <v>14572</v>
      </c>
      <c r="R1052" s="5" t="s">
        <v>17229</v>
      </c>
      <c r="T1052" s="5" t="s">
        <v>5994</v>
      </c>
      <c r="U1052" s="5" t="s">
        <v>14593</v>
      </c>
      <c r="V1052" s="5" t="s">
        <v>180</v>
      </c>
    </row>
    <row r="1053" spans="1:23" ht="12.5">
      <c r="A1053" s="5">
        <v>91557</v>
      </c>
      <c r="B1053" s="5" t="s">
        <v>17230</v>
      </c>
      <c r="C1053" s="5">
        <v>573104630926</v>
      </c>
      <c r="D1053" s="5">
        <v>20</v>
      </c>
      <c r="E1053" s="5" t="s">
        <v>187</v>
      </c>
      <c r="F1053" s="5" t="s">
        <v>5089</v>
      </c>
      <c r="G1053" s="5" t="s">
        <v>6012</v>
      </c>
      <c r="H1053" s="5" t="s">
        <v>8270</v>
      </c>
      <c r="I1053" s="5">
        <v>3002867136</v>
      </c>
      <c r="J1053" s="12">
        <v>46056</v>
      </c>
      <c r="K1053" s="11">
        <v>0.45833333333212067</v>
      </c>
      <c r="M1053" s="10" t="s">
        <v>16732</v>
      </c>
      <c r="N1053" s="12">
        <v>46055.685335891205</v>
      </c>
      <c r="O1053" s="10" t="s">
        <v>15309</v>
      </c>
      <c r="P1053" s="5" t="s">
        <v>14571</v>
      </c>
      <c r="Q1053" s="5" t="s">
        <v>14578</v>
      </c>
      <c r="R1053" s="5" t="s">
        <v>17231</v>
      </c>
      <c r="T1053" s="5" t="s">
        <v>5994</v>
      </c>
      <c r="U1053" s="5" t="s">
        <v>14580</v>
      </c>
      <c r="V1053" s="5" t="s">
        <v>1481</v>
      </c>
    </row>
    <row r="1054" spans="1:23" ht="12.5">
      <c r="A1054" s="5">
        <v>91558</v>
      </c>
      <c r="B1054" s="5" t="s">
        <v>8274</v>
      </c>
      <c r="C1054" s="5">
        <v>13054972673</v>
      </c>
      <c r="D1054" s="5" t="s">
        <v>14589</v>
      </c>
      <c r="E1054" s="5" t="s">
        <v>8275</v>
      </c>
      <c r="F1054" s="5" t="s">
        <v>33</v>
      </c>
      <c r="G1054" s="5" t="s">
        <v>8274</v>
      </c>
      <c r="H1054" s="5" t="s">
        <v>34</v>
      </c>
      <c r="I1054" s="5">
        <v>13054972673</v>
      </c>
      <c r="J1054" s="12">
        <v>46056</v>
      </c>
      <c r="K1054" s="11">
        <v>0.45833333333212067</v>
      </c>
      <c r="M1054" s="10" t="s">
        <v>15040</v>
      </c>
      <c r="N1054" s="12">
        <v>46056.417450532404</v>
      </c>
      <c r="O1054" s="10" t="s">
        <v>16454</v>
      </c>
      <c r="P1054" s="5" t="s">
        <v>14571</v>
      </c>
      <c r="Q1054" s="5" t="s">
        <v>14572</v>
      </c>
      <c r="R1054" s="5" t="s">
        <v>17232</v>
      </c>
      <c r="T1054" s="5" t="s">
        <v>14574</v>
      </c>
      <c r="U1054" s="5" t="s">
        <v>33</v>
      </c>
      <c r="V1054" s="5" t="s">
        <v>67</v>
      </c>
      <c r="W1054" s="5" t="s">
        <v>8278</v>
      </c>
    </row>
    <row r="1055" spans="1:23" ht="12.5">
      <c r="A1055" s="5">
        <v>91559</v>
      </c>
      <c r="B1055" s="5" t="s">
        <v>17233</v>
      </c>
      <c r="C1055" s="5">
        <v>573165753137</v>
      </c>
      <c r="D1055" s="5">
        <v>31</v>
      </c>
      <c r="E1055" s="5" t="s">
        <v>375</v>
      </c>
      <c r="F1055" s="5" t="s">
        <v>110</v>
      </c>
      <c r="G1055" s="5" t="s">
        <v>8281</v>
      </c>
      <c r="H1055" s="5" t="s">
        <v>8282</v>
      </c>
      <c r="I1055" s="5">
        <v>3004386022</v>
      </c>
      <c r="J1055" s="12">
        <v>46059</v>
      </c>
      <c r="K1055" s="11">
        <v>0</v>
      </c>
      <c r="M1055" s="10" t="s">
        <v>14817</v>
      </c>
      <c r="N1055" s="12">
        <v>46056.429719386579</v>
      </c>
      <c r="O1055" s="10" t="s">
        <v>15760</v>
      </c>
      <c r="P1055" s="5" t="s">
        <v>14571</v>
      </c>
      <c r="Q1055" s="5" t="s">
        <v>14612</v>
      </c>
      <c r="R1055" s="5" t="s">
        <v>17234</v>
      </c>
      <c r="T1055" s="5" t="s">
        <v>5994</v>
      </c>
      <c r="U1055" s="5" t="s">
        <v>14593</v>
      </c>
      <c r="V1055" s="5" t="s">
        <v>180</v>
      </c>
    </row>
    <row r="1056" spans="1:23" ht="12.5">
      <c r="A1056" s="5">
        <v>91560</v>
      </c>
      <c r="B1056" s="5" t="s">
        <v>17235</v>
      </c>
      <c r="C1056" s="5">
        <v>573204899499</v>
      </c>
      <c r="D1056" s="5">
        <v>95</v>
      </c>
      <c r="E1056" s="5" t="s">
        <v>42</v>
      </c>
      <c r="F1056" s="5" t="s">
        <v>73</v>
      </c>
      <c r="G1056" s="5" t="s">
        <v>8286</v>
      </c>
      <c r="H1056" s="5" t="s">
        <v>8287</v>
      </c>
      <c r="J1056" s="12">
        <v>46056</v>
      </c>
      <c r="K1056" s="11">
        <v>0</v>
      </c>
      <c r="M1056" s="10" t="s">
        <v>17236</v>
      </c>
      <c r="N1056" s="12">
        <v>46056.454065127313</v>
      </c>
      <c r="O1056" s="10" t="s">
        <v>16890</v>
      </c>
      <c r="P1056" s="5" t="s">
        <v>14571</v>
      </c>
      <c r="Q1056" s="5" t="s">
        <v>14578</v>
      </c>
      <c r="R1056" s="5" t="s">
        <v>17237</v>
      </c>
      <c r="T1056" s="5" t="s">
        <v>5994</v>
      </c>
      <c r="U1056" s="5" t="s">
        <v>14593</v>
      </c>
      <c r="V1056" s="5" t="s">
        <v>67</v>
      </c>
      <c r="W1056" s="5" t="s">
        <v>8289</v>
      </c>
    </row>
    <row r="1057" spans="1:23" ht="12.5">
      <c r="A1057" s="5">
        <v>91561</v>
      </c>
      <c r="B1057" s="5" t="s">
        <v>17238</v>
      </c>
      <c r="C1057" s="5">
        <v>573205787065</v>
      </c>
      <c r="D1057" s="5">
        <v>69</v>
      </c>
      <c r="E1057" s="5" t="s">
        <v>335</v>
      </c>
      <c r="F1057" s="5" t="s">
        <v>161</v>
      </c>
      <c r="G1057" s="5" t="s">
        <v>8292</v>
      </c>
      <c r="H1057" s="5" t="s">
        <v>8293</v>
      </c>
      <c r="J1057" s="12">
        <v>46056</v>
      </c>
      <c r="K1057" s="11">
        <v>0</v>
      </c>
      <c r="M1057" s="10" t="s">
        <v>14885</v>
      </c>
      <c r="N1057" s="12">
        <v>46056.458584826389</v>
      </c>
      <c r="O1057" s="10" t="s">
        <v>17239</v>
      </c>
      <c r="P1057" s="5" t="s">
        <v>14571</v>
      </c>
      <c r="Q1057" s="5" t="s">
        <v>14612</v>
      </c>
      <c r="R1057" s="5" t="s">
        <v>17240</v>
      </c>
      <c r="T1057" s="5" t="s">
        <v>5994</v>
      </c>
      <c r="U1057" s="5" t="s">
        <v>14593</v>
      </c>
      <c r="V1057" s="5" t="s">
        <v>204</v>
      </c>
    </row>
    <row r="1058" spans="1:23" ht="12.5">
      <c r="A1058" s="5">
        <v>91562</v>
      </c>
      <c r="B1058" s="5" t="s">
        <v>17241</v>
      </c>
      <c r="C1058" s="5">
        <v>17868203226</v>
      </c>
      <c r="D1058" s="5">
        <v>21</v>
      </c>
      <c r="E1058" s="5" t="s">
        <v>330</v>
      </c>
      <c r="F1058" s="5" t="s">
        <v>103</v>
      </c>
      <c r="G1058" s="5" t="s">
        <v>8295</v>
      </c>
      <c r="H1058" s="5" t="s">
        <v>8296</v>
      </c>
      <c r="I1058" s="10" t="s">
        <v>8297</v>
      </c>
      <c r="J1058" s="12">
        <v>46056</v>
      </c>
      <c r="K1058" s="11">
        <v>0.58333333333212067</v>
      </c>
      <c r="M1058" s="10" t="s">
        <v>14777</v>
      </c>
      <c r="N1058" s="12">
        <v>46056.467089201389</v>
      </c>
      <c r="O1058" s="10" t="s">
        <v>16526</v>
      </c>
      <c r="P1058" s="5" t="s">
        <v>14571</v>
      </c>
      <c r="Q1058" s="5" t="s">
        <v>14578</v>
      </c>
      <c r="R1058" s="5" t="s">
        <v>17242</v>
      </c>
      <c r="T1058" s="5" t="s">
        <v>5994</v>
      </c>
      <c r="U1058" s="5" t="s">
        <v>14593</v>
      </c>
      <c r="V1058" s="5" t="s">
        <v>1937</v>
      </c>
      <c r="W1058" s="5" t="s">
        <v>8300</v>
      </c>
    </row>
    <row r="1059" spans="1:23" ht="12.5">
      <c r="A1059" s="5">
        <v>91563</v>
      </c>
      <c r="B1059" s="5" t="s">
        <v>3229</v>
      </c>
      <c r="C1059" s="5">
        <v>5717542692153</v>
      </c>
      <c r="D1059" s="5" t="s">
        <v>17243</v>
      </c>
      <c r="E1059" s="5" t="s">
        <v>8303</v>
      </c>
      <c r="F1059" s="5" t="s">
        <v>161</v>
      </c>
      <c r="G1059" s="5" t="s">
        <v>3229</v>
      </c>
      <c r="H1059" s="5" t="s">
        <v>8302</v>
      </c>
      <c r="J1059" s="12">
        <v>46056</v>
      </c>
      <c r="K1059" s="11">
        <v>0.58333333333212067</v>
      </c>
      <c r="M1059" s="10" t="s">
        <v>15925</v>
      </c>
      <c r="N1059" s="12">
        <v>46056.49607429398</v>
      </c>
      <c r="O1059" s="10" t="s">
        <v>14977</v>
      </c>
      <c r="P1059" s="5" t="s">
        <v>14571</v>
      </c>
      <c r="Q1059" s="5" t="s">
        <v>14612</v>
      </c>
      <c r="R1059" s="5" t="s">
        <v>17244</v>
      </c>
      <c r="T1059" s="5" t="s">
        <v>5994</v>
      </c>
      <c r="U1059" s="5" t="s">
        <v>14593</v>
      </c>
      <c r="V1059" s="5" t="s">
        <v>1481</v>
      </c>
    </row>
    <row r="1060" spans="1:23" ht="12.5">
      <c r="A1060" s="5">
        <v>91564</v>
      </c>
      <c r="B1060" s="5" t="s">
        <v>17245</v>
      </c>
      <c r="C1060" s="5">
        <v>573158007393</v>
      </c>
      <c r="D1060" s="5">
        <v>38</v>
      </c>
      <c r="E1060" s="5" t="s">
        <v>458</v>
      </c>
      <c r="G1060" s="5" t="s">
        <v>8306</v>
      </c>
      <c r="H1060" s="5" t="s">
        <v>8307</v>
      </c>
      <c r="J1060" s="12">
        <v>46056</v>
      </c>
      <c r="K1060" s="11">
        <v>0.625</v>
      </c>
      <c r="M1060" s="10" t="s">
        <v>16109</v>
      </c>
      <c r="N1060" s="12">
        <v>46056.505131180558</v>
      </c>
      <c r="O1060" s="10" t="s">
        <v>15931</v>
      </c>
      <c r="P1060" s="5" t="s">
        <v>14571</v>
      </c>
      <c r="Q1060" s="5" t="s">
        <v>14578</v>
      </c>
      <c r="R1060" s="5" t="s">
        <v>17246</v>
      </c>
      <c r="T1060" s="5" t="s">
        <v>5994</v>
      </c>
      <c r="V1060" s="5" t="s">
        <v>67</v>
      </c>
      <c r="W1060" s="5" t="s">
        <v>8309</v>
      </c>
    </row>
    <row r="1061" spans="1:23" ht="12.5">
      <c r="A1061" s="5">
        <v>91565</v>
      </c>
      <c r="B1061" s="5" t="s">
        <v>17247</v>
      </c>
      <c r="C1061" s="5">
        <v>573008608059</v>
      </c>
      <c r="D1061" s="5" t="s">
        <v>14589</v>
      </c>
      <c r="E1061" s="5" t="s">
        <v>8311</v>
      </c>
      <c r="F1061" s="5" t="s">
        <v>110</v>
      </c>
      <c r="G1061" s="5" t="s">
        <v>72</v>
      </c>
      <c r="H1061" s="5" t="s">
        <v>74</v>
      </c>
      <c r="I1061" s="5">
        <v>3008608059</v>
      </c>
      <c r="J1061" s="12">
        <v>46056</v>
      </c>
      <c r="K1061" s="11">
        <v>0.625</v>
      </c>
      <c r="M1061" s="10" t="s">
        <v>17248</v>
      </c>
      <c r="N1061" s="12">
        <v>46056.520042256947</v>
      </c>
      <c r="O1061" s="10" t="s">
        <v>15620</v>
      </c>
      <c r="P1061" s="5" t="s">
        <v>14571</v>
      </c>
      <c r="Q1061" s="5" t="s">
        <v>14612</v>
      </c>
      <c r="R1061" s="5" t="s">
        <v>17249</v>
      </c>
      <c r="T1061" s="5" t="s">
        <v>5994</v>
      </c>
      <c r="U1061" s="5" t="s">
        <v>14593</v>
      </c>
      <c r="V1061" s="5" t="s">
        <v>67</v>
      </c>
      <c r="W1061" s="5" t="s">
        <v>8313</v>
      </c>
    </row>
    <row r="1062" spans="1:23" ht="12.5">
      <c r="A1062" s="5">
        <v>91566</v>
      </c>
      <c r="B1062" s="5" t="s">
        <v>17250</v>
      </c>
      <c r="C1062" s="5">
        <v>573116533390</v>
      </c>
      <c r="D1062" s="5">
        <v>45</v>
      </c>
      <c r="E1062" s="5" t="s">
        <v>210</v>
      </c>
      <c r="F1062" s="5" t="s">
        <v>193</v>
      </c>
      <c r="G1062" s="5" t="s">
        <v>8315</v>
      </c>
      <c r="H1062" s="5" t="s">
        <v>8316</v>
      </c>
      <c r="I1062" s="5">
        <v>3008895481</v>
      </c>
      <c r="J1062" s="12">
        <v>46058</v>
      </c>
      <c r="K1062" s="11">
        <v>0.375</v>
      </c>
      <c r="M1062" s="10" t="s">
        <v>16003</v>
      </c>
      <c r="N1062" s="12">
        <v>46056.557036215279</v>
      </c>
      <c r="O1062" s="10" t="s">
        <v>15866</v>
      </c>
      <c r="P1062" s="5" t="s">
        <v>14571</v>
      </c>
      <c r="Q1062" s="5" t="s">
        <v>14578</v>
      </c>
      <c r="R1062" s="5" t="s">
        <v>17251</v>
      </c>
      <c r="T1062" s="5" t="s">
        <v>5994</v>
      </c>
      <c r="U1062" s="5" t="s">
        <v>14580</v>
      </c>
      <c r="V1062" s="5" t="s">
        <v>1937</v>
      </c>
    </row>
    <row r="1063" spans="1:23" ht="12.5">
      <c r="A1063" s="5">
        <v>91567</v>
      </c>
      <c r="B1063" s="5" t="s">
        <v>17252</v>
      </c>
      <c r="C1063" s="5">
        <v>573118769807</v>
      </c>
      <c r="D1063" s="5">
        <v>62</v>
      </c>
      <c r="E1063" s="5" t="s">
        <v>2586</v>
      </c>
      <c r="G1063" s="5" t="s">
        <v>8320</v>
      </c>
      <c r="H1063" s="5" t="s">
        <v>8321</v>
      </c>
      <c r="I1063" s="5">
        <v>3208115095</v>
      </c>
      <c r="J1063" s="12">
        <v>46057</v>
      </c>
      <c r="K1063" s="11">
        <v>0</v>
      </c>
      <c r="M1063" s="10" t="s">
        <v>15040</v>
      </c>
      <c r="N1063" s="12">
        <v>46056.450063136574</v>
      </c>
      <c r="O1063" s="10" t="s">
        <v>14611</v>
      </c>
      <c r="P1063" s="5" t="s">
        <v>14571</v>
      </c>
      <c r="Q1063" s="5" t="s">
        <v>14612</v>
      </c>
      <c r="R1063" s="5" t="s">
        <v>17253</v>
      </c>
      <c r="T1063" s="5" t="s">
        <v>5994</v>
      </c>
      <c r="V1063" s="5" t="s">
        <v>67</v>
      </c>
    </row>
    <row r="1064" spans="1:23" ht="12.5">
      <c r="A1064" s="5">
        <v>91568</v>
      </c>
      <c r="B1064" s="5" t="s">
        <v>17254</v>
      </c>
      <c r="C1064" s="5">
        <v>573023903202</v>
      </c>
      <c r="D1064" s="5" t="s">
        <v>15476</v>
      </c>
      <c r="E1064" s="5" t="s">
        <v>8326</v>
      </c>
      <c r="F1064" s="5" t="s">
        <v>1497</v>
      </c>
      <c r="G1064" s="5" t="s">
        <v>8323</v>
      </c>
      <c r="H1064" s="5" t="s">
        <v>8324</v>
      </c>
      <c r="I1064" s="5" t="s">
        <v>8325</v>
      </c>
      <c r="J1064" s="12">
        <v>46066</v>
      </c>
      <c r="K1064" s="11">
        <v>0.70833333333212067</v>
      </c>
      <c r="M1064" s="10" t="s">
        <v>17023</v>
      </c>
      <c r="N1064" s="12">
        <v>46056.597345590279</v>
      </c>
      <c r="O1064" s="10" t="s">
        <v>15797</v>
      </c>
      <c r="P1064" s="5" t="s">
        <v>14571</v>
      </c>
      <c r="Q1064" s="5" t="s">
        <v>14578</v>
      </c>
      <c r="R1064" s="5" t="s">
        <v>17255</v>
      </c>
      <c r="T1064" s="5" t="s">
        <v>5994</v>
      </c>
      <c r="U1064" s="5" t="s">
        <v>14593</v>
      </c>
      <c r="V1064" s="5" t="s">
        <v>1481</v>
      </c>
      <c r="W1064" s="5" t="s">
        <v>8329</v>
      </c>
    </row>
    <row r="1065" spans="1:23" ht="12.5">
      <c r="A1065" s="5">
        <v>91569</v>
      </c>
      <c r="B1065" s="5" t="s">
        <v>8331</v>
      </c>
      <c r="C1065" s="5">
        <v>573145955628</v>
      </c>
      <c r="D1065" s="5">
        <v>58</v>
      </c>
      <c r="E1065" s="5" t="s">
        <v>57</v>
      </c>
      <c r="F1065" s="5" t="s">
        <v>33</v>
      </c>
      <c r="G1065" s="5" t="s">
        <v>8331</v>
      </c>
      <c r="H1065" s="5" t="s">
        <v>34</v>
      </c>
      <c r="I1065" s="5">
        <v>3145955628</v>
      </c>
      <c r="J1065" s="12">
        <v>46056</v>
      </c>
      <c r="K1065" s="11">
        <v>0</v>
      </c>
      <c r="M1065" s="10" t="s">
        <v>15594</v>
      </c>
      <c r="N1065" s="12">
        <v>46056.608812939812</v>
      </c>
      <c r="O1065" s="10" t="s">
        <v>14603</v>
      </c>
      <c r="P1065" s="5" t="s">
        <v>14571</v>
      </c>
      <c r="Q1065" s="5" t="s">
        <v>14572</v>
      </c>
      <c r="R1065" s="5" t="s">
        <v>17256</v>
      </c>
      <c r="T1065" s="5" t="s">
        <v>14574</v>
      </c>
      <c r="U1065" s="5" t="s">
        <v>33</v>
      </c>
      <c r="V1065" s="5" t="s">
        <v>37</v>
      </c>
      <c r="W1065" s="5" t="s">
        <v>8332</v>
      </c>
    </row>
    <row r="1066" spans="1:23" ht="12.5">
      <c r="A1066" s="5">
        <v>91570</v>
      </c>
      <c r="B1066" s="5" t="s">
        <v>8333</v>
      </c>
      <c r="C1066" s="10" t="s">
        <v>17257</v>
      </c>
      <c r="D1066" s="5">
        <v>9</v>
      </c>
      <c r="E1066" s="5" t="s">
        <v>866</v>
      </c>
      <c r="F1066" s="5" t="s">
        <v>103</v>
      </c>
      <c r="G1066" s="5" t="s">
        <v>8333</v>
      </c>
      <c r="H1066" s="5" t="s">
        <v>8334</v>
      </c>
      <c r="J1066" s="12">
        <v>46056</v>
      </c>
      <c r="K1066" s="11">
        <v>0.625</v>
      </c>
      <c r="M1066" s="10" t="s">
        <v>15420</v>
      </c>
      <c r="N1066" s="12">
        <v>46056</v>
      </c>
      <c r="O1066" s="10" t="s">
        <v>16409</v>
      </c>
      <c r="P1066" s="5" t="s">
        <v>14571</v>
      </c>
      <c r="Q1066" s="5" t="s">
        <v>14578</v>
      </c>
      <c r="R1066" s="5" t="s">
        <v>17258</v>
      </c>
      <c r="T1066" s="5" t="s">
        <v>5994</v>
      </c>
      <c r="U1066" s="5" t="s">
        <v>14593</v>
      </c>
      <c r="V1066" s="5" t="s">
        <v>67</v>
      </c>
    </row>
    <row r="1067" spans="1:23" ht="12.5">
      <c r="A1067" s="5">
        <v>91571</v>
      </c>
      <c r="B1067" s="5" t="s">
        <v>17259</v>
      </c>
      <c r="C1067" s="5">
        <v>573002309814</v>
      </c>
      <c r="D1067" s="5">
        <v>52</v>
      </c>
      <c r="E1067" s="5" t="s">
        <v>178</v>
      </c>
      <c r="F1067" s="5" t="s">
        <v>185</v>
      </c>
      <c r="G1067" s="5" t="s">
        <v>8338</v>
      </c>
      <c r="H1067" s="5" t="s">
        <v>8339</v>
      </c>
      <c r="I1067" s="5"/>
      <c r="J1067" s="12">
        <v>46057</v>
      </c>
      <c r="K1067" s="11">
        <v>0.375</v>
      </c>
      <c r="M1067" s="10" t="s">
        <v>14850</v>
      </c>
      <c r="N1067" s="12">
        <v>46057.629641203705</v>
      </c>
      <c r="O1067" s="10" t="s">
        <v>16919</v>
      </c>
      <c r="P1067" s="5" t="s">
        <v>14571</v>
      </c>
      <c r="Q1067" s="5" t="s">
        <v>14578</v>
      </c>
      <c r="R1067" s="5" t="s">
        <v>17260</v>
      </c>
      <c r="T1067" s="5" t="s">
        <v>5994</v>
      </c>
      <c r="U1067" s="5" t="s">
        <v>14580</v>
      </c>
      <c r="V1067" s="5" t="s">
        <v>67</v>
      </c>
      <c r="W1067" s="5" t="s">
        <v>8342</v>
      </c>
    </row>
    <row r="1068" spans="1:23" ht="12.5">
      <c r="A1068" s="5">
        <v>91572</v>
      </c>
      <c r="B1068" s="5" t="s">
        <v>17261</v>
      </c>
      <c r="C1068" s="5">
        <v>573156837670</v>
      </c>
      <c r="D1068" s="5">
        <v>8</v>
      </c>
      <c r="E1068" s="5" t="s">
        <v>8347</v>
      </c>
      <c r="F1068" s="5" t="s">
        <v>103</v>
      </c>
      <c r="G1068" s="5" t="s">
        <v>8345</v>
      </c>
      <c r="H1068" s="5" t="s">
        <v>8346</v>
      </c>
      <c r="I1068" s="5">
        <v>3156837670</v>
      </c>
      <c r="J1068" s="12">
        <v>46056</v>
      </c>
      <c r="K1068" s="11">
        <v>0.6875</v>
      </c>
      <c r="M1068" s="10" t="s">
        <v>16109</v>
      </c>
      <c r="N1068" s="12">
        <v>46056.633812326385</v>
      </c>
      <c r="O1068" s="10" t="s">
        <v>17262</v>
      </c>
      <c r="P1068" s="5" t="s">
        <v>14571</v>
      </c>
      <c r="Q1068" s="5" t="s">
        <v>14572</v>
      </c>
      <c r="R1068" s="5" t="s">
        <v>17263</v>
      </c>
      <c r="T1068" s="5" t="s">
        <v>5994</v>
      </c>
      <c r="U1068" s="5" t="s">
        <v>14593</v>
      </c>
      <c r="V1068" s="5" t="s">
        <v>1481</v>
      </c>
    </row>
    <row r="1069" spans="1:23" ht="12.5">
      <c r="A1069" s="5">
        <v>91573</v>
      </c>
      <c r="B1069" s="5" t="s">
        <v>8351</v>
      </c>
      <c r="C1069" s="5">
        <v>573057726638</v>
      </c>
      <c r="D1069" s="5">
        <v>30</v>
      </c>
      <c r="E1069" s="5" t="s">
        <v>156</v>
      </c>
      <c r="F1069" s="5" t="s">
        <v>33</v>
      </c>
      <c r="G1069" s="5" t="s">
        <v>8351</v>
      </c>
      <c r="H1069" s="5" t="s">
        <v>34</v>
      </c>
      <c r="J1069" s="12">
        <v>46057</v>
      </c>
      <c r="K1069" s="11">
        <v>0.58333333333212067</v>
      </c>
      <c r="M1069" s="10" t="s">
        <v>14585</v>
      </c>
      <c r="N1069" s="12">
        <v>46056.656033090279</v>
      </c>
      <c r="O1069" s="10" t="s">
        <v>15054</v>
      </c>
      <c r="P1069" s="5" t="s">
        <v>14571</v>
      </c>
      <c r="Q1069" s="5" t="s">
        <v>14572</v>
      </c>
      <c r="R1069" s="5" t="s">
        <v>17264</v>
      </c>
      <c r="T1069" s="5" t="s">
        <v>14574</v>
      </c>
      <c r="U1069" s="5" t="s">
        <v>33</v>
      </c>
      <c r="V1069" s="5" t="s">
        <v>1705</v>
      </c>
    </row>
    <row r="1070" spans="1:23" ht="12.5">
      <c r="A1070" s="5">
        <v>91574</v>
      </c>
      <c r="B1070" s="5" t="s">
        <v>17265</v>
      </c>
      <c r="C1070" s="5">
        <v>573102887371</v>
      </c>
      <c r="D1070" s="5" t="s">
        <v>14589</v>
      </c>
      <c r="E1070" s="5" t="s">
        <v>8354</v>
      </c>
      <c r="F1070" s="5" t="s">
        <v>63</v>
      </c>
      <c r="G1070" s="5" t="s">
        <v>1222</v>
      </c>
      <c r="H1070" s="5" t="s">
        <v>8353</v>
      </c>
      <c r="I1070" s="5">
        <v>3005798827</v>
      </c>
      <c r="J1070" s="12">
        <v>46056</v>
      </c>
      <c r="K1070" s="11">
        <v>0.75</v>
      </c>
      <c r="M1070" s="10" t="s">
        <v>16274</v>
      </c>
      <c r="N1070" s="12">
        <v>46056.657563506946</v>
      </c>
      <c r="O1070" s="10" t="s">
        <v>16550</v>
      </c>
      <c r="P1070" s="5" t="s">
        <v>14571</v>
      </c>
      <c r="Q1070" s="5" t="s">
        <v>14612</v>
      </c>
      <c r="R1070" s="5" t="s">
        <v>17266</v>
      </c>
      <c r="T1070" s="5" t="s">
        <v>5994</v>
      </c>
      <c r="U1070" s="5" t="s">
        <v>14598</v>
      </c>
      <c r="V1070" s="5" t="s">
        <v>1481</v>
      </c>
    </row>
    <row r="1071" spans="1:23" ht="12.5">
      <c r="A1071" s="5">
        <v>91575</v>
      </c>
      <c r="B1071" s="5" t="s">
        <v>8359</v>
      </c>
      <c r="C1071" s="5">
        <v>5700000</v>
      </c>
      <c r="D1071" s="5">
        <v>95</v>
      </c>
      <c r="E1071" s="5" t="s">
        <v>42</v>
      </c>
      <c r="F1071" s="5" t="s">
        <v>33</v>
      </c>
      <c r="G1071" s="5" t="s">
        <v>8359</v>
      </c>
      <c r="H1071" s="5" t="s">
        <v>34</v>
      </c>
      <c r="I1071" s="10" t="s">
        <v>2686</v>
      </c>
      <c r="J1071" s="12">
        <v>46056</v>
      </c>
      <c r="K1071" s="11">
        <v>0</v>
      </c>
      <c r="M1071" s="10" t="s">
        <v>14705</v>
      </c>
      <c r="N1071" s="12">
        <v>46056.682940509258</v>
      </c>
      <c r="O1071" s="10" t="s">
        <v>15653</v>
      </c>
      <c r="P1071" s="5" t="s">
        <v>14571</v>
      </c>
      <c r="Q1071" s="5" t="s">
        <v>14572</v>
      </c>
      <c r="R1071" s="5" t="s">
        <v>17267</v>
      </c>
      <c r="T1071" s="5" t="s">
        <v>14574</v>
      </c>
      <c r="U1071" s="5" t="s">
        <v>33</v>
      </c>
      <c r="V1071" s="5" t="s">
        <v>1481</v>
      </c>
      <c r="W1071" s="5" t="s">
        <v>525</v>
      </c>
    </row>
    <row r="1072" spans="1:23" ht="12.5">
      <c r="A1072" s="5">
        <v>91576</v>
      </c>
      <c r="B1072" s="5" t="s">
        <v>17268</v>
      </c>
      <c r="C1072" s="5">
        <v>573243155523</v>
      </c>
      <c r="D1072" s="5">
        <v>31</v>
      </c>
      <c r="E1072" s="5" t="s">
        <v>375</v>
      </c>
      <c r="F1072" s="5" t="s">
        <v>7476</v>
      </c>
      <c r="G1072" s="5" t="s">
        <v>8361</v>
      </c>
      <c r="H1072" s="5" t="s">
        <v>8362</v>
      </c>
      <c r="I1072" s="5">
        <v>3243155523</v>
      </c>
      <c r="J1072" s="12">
        <v>46059</v>
      </c>
      <c r="K1072" s="11">
        <v>0.375</v>
      </c>
      <c r="M1072" s="10" t="s">
        <v>14595</v>
      </c>
      <c r="N1072" s="12">
        <v>46056.686054120371</v>
      </c>
      <c r="O1072" s="10" t="s">
        <v>16085</v>
      </c>
      <c r="P1072" s="5" t="s">
        <v>14571</v>
      </c>
      <c r="Q1072" s="5" t="s">
        <v>14578</v>
      </c>
      <c r="R1072" s="5" t="s">
        <v>17269</v>
      </c>
      <c r="T1072" s="5" t="s">
        <v>5994</v>
      </c>
      <c r="U1072" s="5" t="s">
        <v>15349</v>
      </c>
      <c r="V1072" s="5" t="s">
        <v>1481</v>
      </c>
    </row>
    <row r="1073" spans="1:23" ht="12.5">
      <c r="A1073" s="5">
        <v>91577</v>
      </c>
      <c r="B1073" s="5" t="s">
        <v>8366</v>
      </c>
      <c r="C1073" s="5">
        <v>573238130953</v>
      </c>
      <c r="D1073" s="5">
        <v>95</v>
      </c>
      <c r="E1073" s="5" t="s">
        <v>42</v>
      </c>
      <c r="F1073" s="5" t="s">
        <v>33</v>
      </c>
      <c r="G1073" s="5" t="s">
        <v>8366</v>
      </c>
      <c r="H1073" s="5" t="s">
        <v>34</v>
      </c>
      <c r="I1073" s="5">
        <v>3238130953</v>
      </c>
      <c r="J1073" s="12">
        <v>46056</v>
      </c>
      <c r="K1073" s="11">
        <v>0</v>
      </c>
      <c r="M1073" s="10" t="s">
        <v>2686</v>
      </c>
      <c r="N1073" s="12">
        <v>46056.712657245371</v>
      </c>
      <c r="O1073" s="10" t="s">
        <v>17270</v>
      </c>
      <c r="P1073" s="5" t="s">
        <v>14571</v>
      </c>
      <c r="Q1073" s="5" t="s">
        <v>14578</v>
      </c>
      <c r="R1073" s="5" t="s">
        <v>17271</v>
      </c>
      <c r="T1073" s="5" t="s">
        <v>14574</v>
      </c>
      <c r="U1073" s="5" t="s">
        <v>33</v>
      </c>
      <c r="V1073" s="5" t="s">
        <v>196</v>
      </c>
    </row>
    <row r="1074" spans="1:23" ht="12.5">
      <c r="A1074" s="5">
        <v>91578</v>
      </c>
      <c r="B1074" s="5" t="s">
        <v>17272</v>
      </c>
      <c r="C1074" s="10" t="s">
        <v>17273</v>
      </c>
      <c r="D1074" s="5" t="s">
        <v>17274</v>
      </c>
      <c r="E1074" s="5" t="s">
        <v>8370</v>
      </c>
      <c r="F1074" s="5" t="s">
        <v>63</v>
      </c>
      <c r="G1074" s="5" t="s">
        <v>8368</v>
      </c>
      <c r="H1074" s="5" t="s">
        <v>17275</v>
      </c>
      <c r="I1074" s="5">
        <v>3214360584</v>
      </c>
      <c r="J1074" s="12">
        <v>46058</v>
      </c>
      <c r="K1074" s="11">
        <v>0.375</v>
      </c>
      <c r="M1074" s="10" t="s">
        <v>17276</v>
      </c>
      <c r="N1074" s="12">
        <v>46056</v>
      </c>
      <c r="O1074" s="10" t="s">
        <v>17277</v>
      </c>
      <c r="P1074" s="5" t="s">
        <v>14571</v>
      </c>
      <c r="Q1074" s="5" t="s">
        <v>14572</v>
      </c>
      <c r="R1074" s="5" t="s">
        <v>17278</v>
      </c>
      <c r="T1074" s="5" t="s">
        <v>5994</v>
      </c>
      <c r="U1074" s="5" t="s">
        <v>14598</v>
      </c>
      <c r="V1074" s="5" t="s">
        <v>180</v>
      </c>
      <c r="W1074" s="5" t="s">
        <v>8373</v>
      </c>
    </row>
    <row r="1075" spans="1:23" ht="12.5">
      <c r="A1075" s="5">
        <v>91579</v>
      </c>
      <c r="B1075" s="5" t="s">
        <v>16787</v>
      </c>
      <c r="C1075" s="10" t="s">
        <v>17279</v>
      </c>
      <c r="D1075" s="5">
        <v>95</v>
      </c>
      <c r="E1075" s="5" t="s">
        <v>42</v>
      </c>
      <c r="F1075" s="5" t="s">
        <v>33</v>
      </c>
      <c r="G1075" s="5" t="s">
        <v>4674</v>
      </c>
      <c r="H1075" s="5" t="s">
        <v>34</v>
      </c>
      <c r="I1075" s="5">
        <v>3002627762</v>
      </c>
      <c r="J1075" s="12">
        <v>46056</v>
      </c>
      <c r="K1075" s="11">
        <v>0</v>
      </c>
      <c r="M1075" s="10" t="s">
        <v>16788</v>
      </c>
      <c r="N1075" s="12">
        <v>46056</v>
      </c>
      <c r="O1075" s="10" t="s">
        <v>17280</v>
      </c>
      <c r="P1075" s="5" t="s">
        <v>14571</v>
      </c>
      <c r="Q1075" s="5" t="s">
        <v>14612</v>
      </c>
      <c r="R1075" s="5" t="s">
        <v>17281</v>
      </c>
      <c r="T1075" s="5" t="s">
        <v>14574</v>
      </c>
      <c r="U1075" s="5" t="s">
        <v>33</v>
      </c>
      <c r="V1075" s="5" t="s">
        <v>43</v>
      </c>
      <c r="W1075" s="5" t="s">
        <v>8374</v>
      </c>
    </row>
    <row r="1076" spans="1:23" ht="12.5">
      <c r="A1076" s="5">
        <v>91580</v>
      </c>
      <c r="B1076" s="5" t="s">
        <v>16924</v>
      </c>
      <c r="C1076" s="5">
        <v>573106562073</v>
      </c>
      <c r="D1076" s="5">
        <v>30</v>
      </c>
      <c r="E1076" s="5" t="s">
        <v>8377</v>
      </c>
      <c r="F1076" s="5" t="s">
        <v>351</v>
      </c>
      <c r="G1076" s="5" t="s">
        <v>8375</v>
      </c>
      <c r="H1076" s="5" t="s">
        <v>8376</v>
      </c>
      <c r="I1076" s="5">
        <v>6053003130</v>
      </c>
      <c r="J1076" s="12">
        <v>46056</v>
      </c>
      <c r="K1076" s="11">
        <v>0.70833333333212067</v>
      </c>
      <c r="M1076" s="10" t="s">
        <v>14832</v>
      </c>
      <c r="N1076" s="12">
        <v>46056.650882152782</v>
      </c>
      <c r="O1076" s="10" t="s">
        <v>16251</v>
      </c>
      <c r="P1076" s="5" t="s">
        <v>14571</v>
      </c>
      <c r="Q1076" s="5" t="s">
        <v>14578</v>
      </c>
      <c r="R1076" s="5" t="s">
        <v>17282</v>
      </c>
      <c r="T1076" s="5" t="s">
        <v>5994</v>
      </c>
      <c r="U1076" s="5" t="s">
        <v>14580</v>
      </c>
      <c r="V1076" s="5" t="s">
        <v>1481</v>
      </c>
    </row>
    <row r="1077" spans="1:23" ht="12.5">
      <c r="A1077" s="5">
        <v>91581</v>
      </c>
      <c r="B1077" s="5" t="s">
        <v>8381</v>
      </c>
      <c r="C1077" s="5">
        <v>570000</v>
      </c>
      <c r="D1077" s="5">
        <v>95</v>
      </c>
      <c r="E1077" s="5" t="s">
        <v>42</v>
      </c>
      <c r="F1077" s="5" t="s">
        <v>33</v>
      </c>
      <c r="G1077" s="5" t="s">
        <v>8381</v>
      </c>
      <c r="H1077" s="5" t="s">
        <v>34</v>
      </c>
      <c r="I1077" s="10" t="s">
        <v>2686</v>
      </c>
      <c r="J1077" s="12">
        <v>46056</v>
      </c>
      <c r="K1077" s="11">
        <v>0</v>
      </c>
      <c r="M1077" s="10" t="s">
        <v>14702</v>
      </c>
      <c r="N1077" s="12">
        <v>46056.762318715279</v>
      </c>
      <c r="O1077" s="10" t="s">
        <v>16492</v>
      </c>
      <c r="P1077" s="5" t="s">
        <v>14571</v>
      </c>
      <c r="Q1077" s="5" t="s">
        <v>14612</v>
      </c>
      <c r="R1077" s="5" t="s">
        <v>17283</v>
      </c>
      <c r="T1077" s="5" t="s">
        <v>14574</v>
      </c>
      <c r="U1077" s="5" t="s">
        <v>33</v>
      </c>
      <c r="V1077" s="5" t="s">
        <v>196</v>
      </c>
    </row>
    <row r="1078" spans="1:23" ht="12.5">
      <c r="A1078" s="5">
        <v>91582</v>
      </c>
      <c r="B1078" s="5" t="s">
        <v>8383</v>
      </c>
      <c r="C1078" s="5">
        <v>573116881566</v>
      </c>
      <c r="D1078" s="5">
        <v>95</v>
      </c>
      <c r="E1078" s="5" t="s">
        <v>42</v>
      </c>
      <c r="F1078" s="5" t="s">
        <v>154</v>
      </c>
      <c r="G1078" s="5" t="s">
        <v>8383</v>
      </c>
      <c r="H1078" s="5" t="s">
        <v>8384</v>
      </c>
      <c r="I1078" s="5" t="s">
        <v>8385</v>
      </c>
      <c r="J1078" s="12">
        <v>46057</v>
      </c>
      <c r="K1078" s="11">
        <v>0</v>
      </c>
      <c r="M1078" s="10" t="s">
        <v>17284</v>
      </c>
      <c r="N1078" s="12">
        <v>46057.362531006947</v>
      </c>
      <c r="O1078" s="10" t="s">
        <v>15971</v>
      </c>
      <c r="P1078" s="5" t="s">
        <v>14571</v>
      </c>
      <c r="Q1078" s="5" t="s">
        <v>14578</v>
      </c>
      <c r="R1078" s="5" t="s">
        <v>17285</v>
      </c>
      <c r="T1078" s="5" t="s">
        <v>5994</v>
      </c>
      <c r="U1078" s="5" t="s">
        <v>14593</v>
      </c>
      <c r="V1078" s="5" t="s">
        <v>1481</v>
      </c>
      <c r="W1078" s="5" t="s">
        <v>8386</v>
      </c>
    </row>
    <row r="1079" spans="1:23" ht="12.5">
      <c r="A1079" s="5">
        <v>91583</v>
      </c>
      <c r="B1079" s="5" t="s">
        <v>17286</v>
      </c>
      <c r="C1079" s="5">
        <v>573165244074</v>
      </c>
      <c r="D1079" s="5">
        <v>9</v>
      </c>
      <c r="E1079" s="5" t="s">
        <v>866</v>
      </c>
      <c r="F1079" s="5" t="s">
        <v>185</v>
      </c>
      <c r="G1079" s="5" t="s">
        <v>8389</v>
      </c>
      <c r="H1079" s="5" t="s">
        <v>8390</v>
      </c>
      <c r="I1079" s="5">
        <v>3186811593</v>
      </c>
      <c r="J1079" s="12">
        <v>46057</v>
      </c>
      <c r="K1079" s="11">
        <v>0.41666666666787933</v>
      </c>
      <c r="M1079" s="10" t="s">
        <v>15512</v>
      </c>
      <c r="N1079" s="12">
        <v>46057.384848125002</v>
      </c>
      <c r="O1079" s="10" t="s">
        <v>17287</v>
      </c>
      <c r="P1079" s="5" t="s">
        <v>14571</v>
      </c>
      <c r="Q1079" s="5" t="s">
        <v>14612</v>
      </c>
      <c r="R1079" s="5" t="s">
        <v>17288</v>
      </c>
      <c r="T1079" s="5" t="s">
        <v>5994</v>
      </c>
      <c r="U1079" s="5" t="s">
        <v>14580</v>
      </c>
      <c r="V1079" s="5" t="s">
        <v>1481</v>
      </c>
    </row>
    <row r="1080" spans="1:23" ht="12.5">
      <c r="A1080" s="5">
        <v>91584</v>
      </c>
      <c r="B1080" s="5" t="s">
        <v>13708</v>
      </c>
      <c r="C1080" s="10" t="s">
        <v>17289</v>
      </c>
      <c r="D1080" s="5">
        <v>29</v>
      </c>
      <c r="E1080" s="5" t="s">
        <v>309</v>
      </c>
      <c r="F1080" s="5" t="s">
        <v>1317</v>
      </c>
      <c r="G1080" s="5" t="s">
        <v>17290</v>
      </c>
      <c r="H1080" s="5" t="s">
        <v>8396</v>
      </c>
      <c r="I1080" s="5" t="s">
        <v>8397</v>
      </c>
      <c r="J1080" s="12">
        <v>46057</v>
      </c>
      <c r="K1080" s="11">
        <v>0</v>
      </c>
      <c r="M1080" s="10" t="s">
        <v>14705</v>
      </c>
      <c r="N1080" s="12">
        <v>46057</v>
      </c>
      <c r="O1080" s="10" t="s">
        <v>15983</v>
      </c>
      <c r="P1080" s="5" t="s">
        <v>14571</v>
      </c>
      <c r="Q1080" s="5" t="s">
        <v>14578</v>
      </c>
      <c r="R1080" s="5" t="s">
        <v>17291</v>
      </c>
      <c r="T1080" s="5" t="s">
        <v>5994</v>
      </c>
      <c r="U1080" s="5" t="s">
        <v>15349</v>
      </c>
      <c r="V1080" s="5" t="s">
        <v>67</v>
      </c>
    </row>
    <row r="1081" spans="1:23" ht="12.5">
      <c r="A1081" s="5">
        <v>91585</v>
      </c>
      <c r="B1081" s="5" t="s">
        <v>8401</v>
      </c>
      <c r="C1081" s="5">
        <v>573176611944</v>
      </c>
      <c r="D1081" s="5">
        <v>31</v>
      </c>
      <c r="E1081" s="5" t="s">
        <v>375</v>
      </c>
      <c r="F1081" s="5" t="s">
        <v>33</v>
      </c>
      <c r="G1081" s="5" t="s">
        <v>8401</v>
      </c>
      <c r="H1081" s="5" t="s">
        <v>34</v>
      </c>
      <c r="I1081" s="5">
        <v>3176611944</v>
      </c>
      <c r="J1081" s="12">
        <v>46057</v>
      </c>
      <c r="K1081" s="11">
        <v>0.45833333333212067</v>
      </c>
      <c r="M1081" s="10" t="s">
        <v>14585</v>
      </c>
      <c r="N1081" s="12">
        <v>46057.393221168983</v>
      </c>
      <c r="O1081" s="10" t="s">
        <v>15830</v>
      </c>
      <c r="P1081" s="5" t="s">
        <v>14571</v>
      </c>
      <c r="Q1081" s="5" t="s">
        <v>14572</v>
      </c>
      <c r="R1081" s="5" t="s">
        <v>17292</v>
      </c>
      <c r="T1081" s="5" t="s">
        <v>14574</v>
      </c>
      <c r="U1081" s="5" t="s">
        <v>33</v>
      </c>
      <c r="V1081" s="5" t="s">
        <v>1481</v>
      </c>
    </row>
    <row r="1082" spans="1:23" ht="12.5">
      <c r="A1082" s="5">
        <v>91586</v>
      </c>
      <c r="B1082" s="5" t="s">
        <v>8402</v>
      </c>
      <c r="C1082" s="5">
        <v>573150494997</v>
      </c>
      <c r="D1082" s="5">
        <v>30</v>
      </c>
      <c r="E1082" s="5" t="s">
        <v>156</v>
      </c>
      <c r="F1082" s="5" t="s">
        <v>33</v>
      </c>
      <c r="G1082" s="5" t="s">
        <v>8402</v>
      </c>
      <c r="H1082" s="5" t="s">
        <v>34</v>
      </c>
      <c r="I1082" s="5">
        <v>3150494997</v>
      </c>
      <c r="J1082" s="12">
        <v>46057</v>
      </c>
      <c r="K1082" s="11">
        <v>0.45833333333212067</v>
      </c>
      <c r="M1082" s="10" t="s">
        <v>14585</v>
      </c>
      <c r="N1082" s="12">
        <v>46057.408416550927</v>
      </c>
      <c r="O1082" s="10" t="s">
        <v>15165</v>
      </c>
      <c r="P1082" s="5" t="s">
        <v>14571</v>
      </c>
      <c r="Q1082" s="5" t="s">
        <v>14572</v>
      </c>
      <c r="R1082" s="5" t="s">
        <v>17293</v>
      </c>
      <c r="T1082" s="5" t="s">
        <v>14574</v>
      </c>
      <c r="U1082" s="5" t="s">
        <v>33</v>
      </c>
      <c r="V1082" s="5" t="s">
        <v>67</v>
      </c>
    </row>
    <row r="1083" spans="1:23" ht="12.5">
      <c r="A1083" s="5">
        <v>91587</v>
      </c>
      <c r="B1083" s="5" t="s">
        <v>17294</v>
      </c>
      <c r="C1083" s="5">
        <v>573113596214</v>
      </c>
      <c r="D1083" s="5">
        <v>10</v>
      </c>
      <c r="E1083" s="5" t="s">
        <v>747</v>
      </c>
      <c r="F1083" s="5" t="s">
        <v>2090</v>
      </c>
      <c r="G1083" s="5" t="s">
        <v>2089</v>
      </c>
      <c r="H1083" s="5" t="s">
        <v>8403</v>
      </c>
      <c r="I1083" s="5">
        <v>3004410698</v>
      </c>
      <c r="J1083" s="12">
        <v>46057</v>
      </c>
      <c r="K1083" s="11">
        <v>0</v>
      </c>
      <c r="M1083" s="10" t="s">
        <v>15480</v>
      </c>
      <c r="N1083" s="12">
        <v>46057.363058275463</v>
      </c>
      <c r="O1083" s="10" t="s">
        <v>15111</v>
      </c>
      <c r="P1083" s="5" t="s">
        <v>14571</v>
      </c>
      <c r="Q1083" s="5" t="s">
        <v>14572</v>
      </c>
      <c r="R1083" s="5" t="s">
        <v>17295</v>
      </c>
      <c r="T1083" s="5" t="s">
        <v>5994</v>
      </c>
      <c r="U1083" s="5" t="s">
        <v>14618</v>
      </c>
      <c r="V1083" s="5" t="s">
        <v>1937</v>
      </c>
    </row>
    <row r="1084" spans="1:23" ht="12.5">
      <c r="A1084" s="5">
        <v>91588</v>
      </c>
      <c r="B1084" s="5" t="s">
        <v>17296</v>
      </c>
      <c r="C1084" s="5">
        <v>573127942021</v>
      </c>
      <c r="D1084" s="5">
        <v>95</v>
      </c>
      <c r="E1084" s="5" t="s">
        <v>42</v>
      </c>
      <c r="F1084" s="5" t="s">
        <v>1647</v>
      </c>
      <c r="G1084" s="5" t="s">
        <v>8408</v>
      </c>
      <c r="H1084" s="5" t="s">
        <v>8409</v>
      </c>
      <c r="I1084" s="5">
        <v>3127942021</v>
      </c>
      <c r="J1084" s="12">
        <v>46057</v>
      </c>
      <c r="K1084" s="11">
        <v>0.45833333333212067</v>
      </c>
      <c r="M1084" s="10" t="s">
        <v>16340</v>
      </c>
      <c r="N1084" s="12">
        <v>46057.412414652776</v>
      </c>
      <c r="O1084" s="10" t="s">
        <v>15309</v>
      </c>
      <c r="P1084" s="5" t="s">
        <v>14571</v>
      </c>
      <c r="Q1084" s="5" t="s">
        <v>14612</v>
      </c>
      <c r="R1084" s="5" t="s">
        <v>17297</v>
      </c>
      <c r="T1084" s="5" t="s">
        <v>5994</v>
      </c>
      <c r="U1084" s="5" t="s">
        <v>14580</v>
      </c>
      <c r="V1084" s="5" t="s">
        <v>67</v>
      </c>
      <c r="W1084" s="5" t="s">
        <v>8412</v>
      </c>
    </row>
    <row r="1085" spans="1:23" ht="12.5">
      <c r="A1085" s="5">
        <v>91589</v>
      </c>
      <c r="B1085" s="5" t="s">
        <v>8415</v>
      </c>
      <c r="C1085" s="5">
        <v>573017212885</v>
      </c>
      <c r="D1085" s="5">
        <v>52</v>
      </c>
      <c r="E1085" s="5" t="s">
        <v>178</v>
      </c>
      <c r="F1085" s="5" t="s">
        <v>33</v>
      </c>
      <c r="G1085" s="5" t="s">
        <v>8415</v>
      </c>
      <c r="H1085" s="5" t="s">
        <v>34</v>
      </c>
      <c r="I1085" s="5">
        <v>3017212885</v>
      </c>
      <c r="J1085" s="12">
        <v>46057</v>
      </c>
      <c r="K1085" s="11">
        <v>0</v>
      </c>
      <c r="M1085" s="10" t="s">
        <v>15161</v>
      </c>
      <c r="N1085" s="12">
        <v>46057.426550914352</v>
      </c>
      <c r="O1085" s="10" t="s">
        <v>16509</v>
      </c>
      <c r="P1085" s="5" t="s">
        <v>14571</v>
      </c>
      <c r="Q1085" s="5" t="s">
        <v>14572</v>
      </c>
      <c r="R1085" s="5" t="s">
        <v>17298</v>
      </c>
      <c r="T1085" s="5" t="s">
        <v>14574</v>
      </c>
      <c r="U1085" s="5" t="s">
        <v>33</v>
      </c>
      <c r="V1085" s="5" t="s">
        <v>37</v>
      </c>
      <c r="W1085" s="5" t="s">
        <v>8417</v>
      </c>
    </row>
    <row r="1086" spans="1:23" ht="12.5">
      <c r="A1086" s="5">
        <v>91590</v>
      </c>
      <c r="B1086" s="5" t="s">
        <v>17299</v>
      </c>
      <c r="C1086" s="5">
        <v>573004164256</v>
      </c>
      <c r="D1086" s="5">
        <v>31</v>
      </c>
      <c r="E1086" s="5" t="s">
        <v>375</v>
      </c>
      <c r="F1086" s="5" t="s">
        <v>6194</v>
      </c>
      <c r="G1086" s="5" t="s">
        <v>8418</v>
      </c>
      <c r="H1086" s="5" t="s">
        <v>8419</v>
      </c>
      <c r="I1086" s="5" t="s">
        <v>8420</v>
      </c>
      <c r="J1086" s="12">
        <v>46058</v>
      </c>
      <c r="K1086" s="11">
        <v>0.45833333333212067</v>
      </c>
      <c r="M1086" s="10" t="s">
        <v>15064</v>
      </c>
      <c r="N1086" s="12">
        <v>46057.422074351853</v>
      </c>
      <c r="O1086" s="10" t="s">
        <v>15500</v>
      </c>
      <c r="P1086" s="5" t="s">
        <v>14571</v>
      </c>
      <c r="Q1086" s="5" t="s">
        <v>14572</v>
      </c>
      <c r="R1086" s="5" t="s">
        <v>17300</v>
      </c>
      <c r="T1086" s="5" t="s">
        <v>5994</v>
      </c>
      <c r="U1086" s="5" t="s">
        <v>14580</v>
      </c>
      <c r="V1086" s="5" t="s">
        <v>1481</v>
      </c>
      <c r="W1086" s="5" t="s">
        <v>8423</v>
      </c>
    </row>
    <row r="1087" spans="1:23" ht="12.5">
      <c r="A1087" s="5">
        <v>91591</v>
      </c>
      <c r="B1087" s="5" t="s">
        <v>17301</v>
      </c>
      <c r="C1087" s="5">
        <v>573008138601</v>
      </c>
      <c r="D1087" s="5">
        <v>69</v>
      </c>
      <c r="E1087" s="5" t="s">
        <v>335</v>
      </c>
      <c r="F1087" s="5" t="s">
        <v>328</v>
      </c>
      <c r="G1087" s="5" t="s">
        <v>8426</v>
      </c>
      <c r="H1087" s="5" t="s">
        <v>8427</v>
      </c>
      <c r="I1087" s="5" t="s">
        <v>8428</v>
      </c>
      <c r="J1087" s="12">
        <v>46057</v>
      </c>
      <c r="K1087" s="11">
        <v>0.45833333333212067</v>
      </c>
      <c r="M1087" s="10" t="s">
        <v>14960</v>
      </c>
      <c r="N1087" s="12">
        <v>46057.425070694444</v>
      </c>
      <c r="O1087" s="10" t="s">
        <v>15503</v>
      </c>
      <c r="P1087" s="5" t="s">
        <v>14571</v>
      </c>
      <c r="Q1087" s="5" t="s">
        <v>14612</v>
      </c>
      <c r="R1087" s="5" t="s">
        <v>17302</v>
      </c>
      <c r="T1087" s="5" t="s">
        <v>5994</v>
      </c>
      <c r="U1087" s="5"/>
      <c r="V1087" s="5" t="s">
        <v>204</v>
      </c>
      <c r="W1087" s="5" t="s">
        <v>8431</v>
      </c>
    </row>
    <row r="1088" spans="1:23" ht="12.5">
      <c r="A1088" s="5">
        <v>91592</v>
      </c>
      <c r="B1088" s="5" t="s">
        <v>17303</v>
      </c>
      <c r="C1088" s="5">
        <v>573006107337</v>
      </c>
      <c r="D1088" s="5">
        <v>32</v>
      </c>
      <c r="E1088" s="5" t="s">
        <v>65</v>
      </c>
      <c r="F1088" s="5" t="s">
        <v>161</v>
      </c>
      <c r="G1088" s="5" t="s">
        <v>8434</v>
      </c>
      <c r="H1088" s="5" t="s">
        <v>8435</v>
      </c>
      <c r="I1088" s="5">
        <v>3246539725</v>
      </c>
      <c r="J1088" s="12">
        <v>46057</v>
      </c>
      <c r="K1088" s="11">
        <v>0</v>
      </c>
      <c r="M1088" s="10" t="s">
        <v>14850</v>
      </c>
      <c r="N1088" s="12">
        <v>46057.451938854167</v>
      </c>
      <c r="O1088" s="10" t="s">
        <v>17304</v>
      </c>
      <c r="P1088" s="5" t="s">
        <v>14571</v>
      </c>
      <c r="Q1088" s="5" t="s">
        <v>14572</v>
      </c>
      <c r="R1088" s="5" t="s">
        <v>17305</v>
      </c>
      <c r="T1088" s="5" t="s">
        <v>5994</v>
      </c>
      <c r="U1088" s="5" t="s">
        <v>14593</v>
      </c>
      <c r="V1088" s="5" t="s">
        <v>67</v>
      </c>
    </row>
    <row r="1089" spans="1:23" ht="12.5">
      <c r="A1089" s="5">
        <v>91593</v>
      </c>
      <c r="B1089" s="5" t="s">
        <v>17306</v>
      </c>
      <c r="C1089" s="5">
        <v>573014003649</v>
      </c>
      <c r="D1089" s="5">
        <v>95</v>
      </c>
      <c r="E1089" s="5" t="s">
        <v>42</v>
      </c>
      <c r="F1089" s="5" t="s">
        <v>33</v>
      </c>
      <c r="G1089" s="5" t="s">
        <v>217</v>
      </c>
      <c r="H1089" s="5" t="s">
        <v>34</v>
      </c>
      <c r="J1089" s="12">
        <v>46057</v>
      </c>
      <c r="K1089" s="11">
        <v>0</v>
      </c>
      <c r="M1089" s="10" t="s">
        <v>15582</v>
      </c>
      <c r="N1089" s="12">
        <v>46063.466469907406</v>
      </c>
      <c r="O1089" s="10" t="s">
        <v>15768</v>
      </c>
      <c r="P1089" s="5" t="s">
        <v>14571</v>
      </c>
      <c r="Q1089" s="5" t="s">
        <v>14578</v>
      </c>
      <c r="R1089" s="5" t="s">
        <v>17307</v>
      </c>
      <c r="T1089" s="5" t="s">
        <v>14574</v>
      </c>
      <c r="U1089" s="5" t="s">
        <v>33</v>
      </c>
      <c r="V1089" s="5" t="s">
        <v>180</v>
      </c>
    </row>
    <row r="1090" spans="1:23" ht="12.5">
      <c r="A1090" s="5">
        <v>91594</v>
      </c>
      <c r="B1090" s="5" t="s">
        <v>17308</v>
      </c>
      <c r="C1090" s="5">
        <v>573002740557</v>
      </c>
      <c r="D1090" s="5">
        <v>53</v>
      </c>
      <c r="E1090" s="5" t="s">
        <v>75</v>
      </c>
      <c r="F1090" s="5" t="s">
        <v>103</v>
      </c>
      <c r="G1090" s="5" t="s">
        <v>8441</v>
      </c>
      <c r="H1090" s="5" t="s">
        <v>8442</v>
      </c>
      <c r="I1090" s="5">
        <v>3225237642</v>
      </c>
      <c r="J1090" s="12">
        <v>46057</v>
      </c>
      <c r="K1090" s="11">
        <v>0.58333333333212067</v>
      </c>
      <c r="M1090" s="10" t="s">
        <v>14627</v>
      </c>
      <c r="N1090" s="12">
        <v>46057.422465810188</v>
      </c>
      <c r="O1090" s="10" t="s">
        <v>16195</v>
      </c>
      <c r="P1090" s="5" t="s">
        <v>14571</v>
      </c>
      <c r="Q1090" s="5" t="s">
        <v>14612</v>
      </c>
      <c r="R1090" s="5" t="s">
        <v>17309</v>
      </c>
      <c r="T1090" s="5" t="s">
        <v>5994</v>
      </c>
      <c r="U1090" s="5" t="s">
        <v>14593</v>
      </c>
      <c r="V1090" s="5" t="s">
        <v>67</v>
      </c>
      <c r="W1090" s="5" t="s">
        <v>8445</v>
      </c>
    </row>
    <row r="1091" spans="1:23" ht="12.5">
      <c r="A1091" s="5">
        <v>91595</v>
      </c>
      <c r="B1091" s="5" t="s">
        <v>17310</v>
      </c>
      <c r="C1091" s="5">
        <v>573014395851</v>
      </c>
      <c r="D1091" s="5">
        <v>46</v>
      </c>
      <c r="E1091" s="5" t="s">
        <v>1126</v>
      </c>
      <c r="G1091" s="5" t="s">
        <v>8447</v>
      </c>
      <c r="H1091" s="10" t="s">
        <v>3330</v>
      </c>
      <c r="I1091" s="5">
        <v>3014395851</v>
      </c>
      <c r="J1091" s="12">
        <v>46057</v>
      </c>
      <c r="K1091" s="11">
        <v>0</v>
      </c>
      <c r="M1091" s="10" t="s">
        <v>16797</v>
      </c>
      <c r="N1091" s="12">
        <v>46057.447843506947</v>
      </c>
      <c r="O1091" s="10" t="s">
        <v>14886</v>
      </c>
      <c r="P1091" s="5" t="s">
        <v>14571</v>
      </c>
      <c r="Q1091" s="5" t="s">
        <v>14578</v>
      </c>
      <c r="R1091" s="5" t="s">
        <v>17311</v>
      </c>
      <c r="T1091" s="5" t="s">
        <v>5994</v>
      </c>
      <c r="V1091" s="5" t="s">
        <v>1481</v>
      </c>
    </row>
    <row r="1092" spans="1:23" ht="12.5">
      <c r="A1092" s="5">
        <v>91596</v>
      </c>
      <c r="B1092" s="5" t="s">
        <v>8450</v>
      </c>
      <c r="C1092" s="5">
        <v>573045422750</v>
      </c>
      <c r="D1092" s="5" t="s">
        <v>14589</v>
      </c>
      <c r="E1092" s="5" t="s">
        <v>8451</v>
      </c>
      <c r="G1092" s="5" t="s">
        <v>8450</v>
      </c>
      <c r="H1092" s="5" t="s">
        <v>34</v>
      </c>
      <c r="J1092" s="12">
        <v>46060</v>
      </c>
      <c r="K1092" s="11">
        <v>0.375</v>
      </c>
      <c r="M1092" s="10" t="s">
        <v>14585</v>
      </c>
      <c r="N1092" s="12">
        <v>46057.460297546291</v>
      </c>
      <c r="O1092" s="10" t="s">
        <v>16000</v>
      </c>
      <c r="P1092" s="5" t="s">
        <v>14571</v>
      </c>
      <c r="Q1092" s="5" t="s">
        <v>14612</v>
      </c>
      <c r="R1092" s="5" t="s">
        <v>17312</v>
      </c>
      <c r="T1092" s="5" t="s">
        <v>5994</v>
      </c>
      <c r="V1092" s="5" t="s">
        <v>67</v>
      </c>
      <c r="W1092" s="5" t="s">
        <v>8453</v>
      </c>
    </row>
    <row r="1093" spans="1:23" ht="12.5">
      <c r="A1093" s="5">
        <v>91597</v>
      </c>
      <c r="B1093" s="5" t="s">
        <v>17313</v>
      </c>
      <c r="C1093" s="5">
        <v>573043619461</v>
      </c>
      <c r="D1093" s="5" t="s">
        <v>14589</v>
      </c>
      <c r="E1093" s="5" t="s">
        <v>4765</v>
      </c>
      <c r="F1093" s="5" t="s">
        <v>6662</v>
      </c>
      <c r="G1093" s="5" t="s">
        <v>3450</v>
      </c>
      <c r="H1093" s="5" t="s">
        <v>8456</v>
      </c>
      <c r="I1093" s="5">
        <v>3330523002</v>
      </c>
      <c r="J1093" s="12">
        <v>46057</v>
      </c>
      <c r="K1093" s="11">
        <v>0.625</v>
      </c>
      <c r="M1093" s="10" t="s">
        <v>16408</v>
      </c>
      <c r="N1093" s="12">
        <v>46057.482563819445</v>
      </c>
      <c r="O1093" s="10" t="s">
        <v>16059</v>
      </c>
      <c r="P1093" s="5" t="s">
        <v>14571</v>
      </c>
      <c r="Q1093" s="5" t="s">
        <v>14578</v>
      </c>
      <c r="R1093" s="5" t="s">
        <v>17314</v>
      </c>
      <c r="T1093" s="5" t="s">
        <v>5994</v>
      </c>
      <c r="U1093" s="5" t="s">
        <v>14580</v>
      </c>
      <c r="V1093" s="5" t="s">
        <v>67</v>
      </c>
      <c r="W1093" s="5" t="s">
        <v>8459</v>
      </c>
    </row>
    <row r="1094" spans="1:23" ht="12.5">
      <c r="A1094" s="5">
        <v>91598</v>
      </c>
      <c r="B1094" s="5" t="s">
        <v>17315</v>
      </c>
      <c r="C1094" s="5">
        <v>573246843222</v>
      </c>
      <c r="D1094" s="5">
        <v>53</v>
      </c>
      <c r="E1094" s="5" t="s">
        <v>75</v>
      </c>
      <c r="F1094" s="5" t="s">
        <v>103</v>
      </c>
      <c r="G1094" s="5" t="s">
        <v>8460</v>
      </c>
      <c r="H1094" s="5" t="s">
        <v>8461</v>
      </c>
      <c r="I1094" s="5" t="s">
        <v>8462</v>
      </c>
      <c r="J1094" s="12">
        <v>46057</v>
      </c>
      <c r="K1094" s="11">
        <v>0.58333333333212067</v>
      </c>
      <c r="M1094" s="10" t="s">
        <v>14627</v>
      </c>
      <c r="N1094" s="12">
        <v>46057.491849212965</v>
      </c>
      <c r="O1094" s="10" t="s">
        <v>17118</v>
      </c>
      <c r="P1094" s="5" t="s">
        <v>14571</v>
      </c>
      <c r="Q1094" s="5" t="s">
        <v>14612</v>
      </c>
      <c r="R1094" s="5" t="s">
        <v>17316</v>
      </c>
      <c r="T1094" s="5" t="s">
        <v>5994</v>
      </c>
      <c r="U1094" s="5" t="s">
        <v>14593</v>
      </c>
      <c r="V1094" s="5" t="s">
        <v>67</v>
      </c>
      <c r="W1094" s="5" t="s">
        <v>8465</v>
      </c>
    </row>
    <row r="1095" spans="1:23" ht="12.5">
      <c r="A1095" s="5">
        <v>91599</v>
      </c>
      <c r="B1095" s="5" t="s">
        <v>8466</v>
      </c>
      <c r="C1095" s="5">
        <v>573146021201</v>
      </c>
      <c r="D1095" s="5" t="s">
        <v>14589</v>
      </c>
      <c r="E1095" s="5" t="s">
        <v>8467</v>
      </c>
      <c r="F1095" s="5" t="s">
        <v>33</v>
      </c>
      <c r="G1095" s="5" t="s">
        <v>8466</v>
      </c>
      <c r="H1095" s="5" t="s">
        <v>34</v>
      </c>
      <c r="I1095" s="5">
        <v>3146021201</v>
      </c>
      <c r="J1095" s="12">
        <v>46059</v>
      </c>
      <c r="K1095" s="11">
        <v>0.375</v>
      </c>
      <c r="M1095" s="10" t="s">
        <v>14734</v>
      </c>
      <c r="N1095" s="12">
        <v>46057.480458645834</v>
      </c>
      <c r="O1095" s="10" t="s">
        <v>14867</v>
      </c>
      <c r="P1095" s="5" t="s">
        <v>14571</v>
      </c>
      <c r="Q1095" s="5" t="s">
        <v>14572</v>
      </c>
      <c r="R1095" s="5" t="s">
        <v>17317</v>
      </c>
      <c r="T1095" s="5" t="s">
        <v>14574</v>
      </c>
      <c r="U1095" s="5" t="s">
        <v>33</v>
      </c>
      <c r="V1095" s="5" t="s">
        <v>67</v>
      </c>
      <c r="W1095" s="5" t="s">
        <v>8470</v>
      </c>
    </row>
    <row r="1096" spans="1:23" ht="12.5">
      <c r="A1096" s="5">
        <v>91600</v>
      </c>
      <c r="B1096" s="5" t="s">
        <v>17318</v>
      </c>
      <c r="C1096" s="5">
        <v>5734684725923</v>
      </c>
      <c r="D1096" s="5">
        <v>30</v>
      </c>
      <c r="E1096" s="5" t="s">
        <v>156</v>
      </c>
      <c r="F1096" s="5" t="s">
        <v>249</v>
      </c>
      <c r="G1096" s="5" t="s">
        <v>8473</v>
      </c>
      <c r="H1096" s="5" t="s">
        <v>8474</v>
      </c>
      <c r="J1096" s="12">
        <v>46057</v>
      </c>
      <c r="K1096" s="11">
        <v>0</v>
      </c>
      <c r="M1096" s="10" t="s">
        <v>14627</v>
      </c>
      <c r="N1096" s="12">
        <v>46057.504924583336</v>
      </c>
      <c r="O1096" s="10" t="s">
        <v>17126</v>
      </c>
      <c r="P1096" s="5" t="s">
        <v>14571</v>
      </c>
      <c r="Q1096" s="5" t="s">
        <v>14572</v>
      </c>
      <c r="R1096" s="5" t="s">
        <v>17319</v>
      </c>
      <c r="T1096" s="5" t="s">
        <v>5994</v>
      </c>
      <c r="U1096" s="5" t="s">
        <v>14593</v>
      </c>
      <c r="V1096" s="5" t="s">
        <v>67</v>
      </c>
    </row>
    <row r="1097" spans="1:23" ht="12.5">
      <c r="A1097" s="5">
        <v>91601</v>
      </c>
      <c r="B1097" s="5" t="s">
        <v>17320</v>
      </c>
      <c r="C1097" s="5">
        <v>573015535844</v>
      </c>
      <c r="D1097" s="5">
        <v>53</v>
      </c>
      <c r="E1097" s="5" t="s">
        <v>75</v>
      </c>
      <c r="F1097" s="5" t="s">
        <v>110</v>
      </c>
      <c r="G1097" s="5" t="s">
        <v>8476</v>
      </c>
      <c r="H1097" s="5" t="s">
        <v>8477</v>
      </c>
      <c r="J1097" s="12">
        <v>46057</v>
      </c>
      <c r="K1097" s="11">
        <v>0</v>
      </c>
      <c r="M1097" s="10" t="s">
        <v>14817</v>
      </c>
      <c r="N1097" s="12">
        <v>46057.507930543987</v>
      </c>
      <c r="O1097" s="10" t="s">
        <v>15073</v>
      </c>
      <c r="P1097" s="5" t="s">
        <v>14571</v>
      </c>
      <c r="Q1097" s="5" t="s">
        <v>14572</v>
      </c>
      <c r="R1097" s="5" t="s">
        <v>17321</v>
      </c>
      <c r="T1097" s="5" t="s">
        <v>5994</v>
      </c>
      <c r="U1097" s="5" t="s">
        <v>14593</v>
      </c>
      <c r="V1097" s="5" t="s">
        <v>196</v>
      </c>
    </row>
    <row r="1098" spans="1:23" ht="12.5">
      <c r="A1098" s="5">
        <v>91602</v>
      </c>
      <c r="B1098" s="5" t="s">
        <v>8480</v>
      </c>
      <c r="C1098" s="5">
        <v>573107103333</v>
      </c>
      <c r="D1098" s="5">
        <v>53</v>
      </c>
      <c r="E1098" s="5" t="s">
        <v>75</v>
      </c>
      <c r="F1098" s="5" t="s">
        <v>33</v>
      </c>
      <c r="G1098" s="5" t="s">
        <v>8480</v>
      </c>
      <c r="H1098" s="5" t="s">
        <v>34</v>
      </c>
      <c r="I1098" s="5">
        <v>3107103333</v>
      </c>
      <c r="J1098" s="12">
        <v>46057</v>
      </c>
      <c r="K1098" s="11">
        <v>0</v>
      </c>
      <c r="M1098" s="10" t="s">
        <v>14585</v>
      </c>
      <c r="N1098" s="12">
        <v>46057.524381747688</v>
      </c>
      <c r="O1098" s="10" t="s">
        <v>15856</v>
      </c>
      <c r="P1098" s="5" t="s">
        <v>14571</v>
      </c>
      <c r="Q1098" s="5" t="s">
        <v>14572</v>
      </c>
      <c r="R1098" s="5" t="s">
        <v>17322</v>
      </c>
      <c r="T1098" s="5" t="s">
        <v>14574</v>
      </c>
      <c r="U1098" s="5" t="s">
        <v>33</v>
      </c>
      <c r="V1098" s="5" t="s">
        <v>1705</v>
      </c>
    </row>
    <row r="1099" spans="1:23" ht="12.5">
      <c r="A1099" s="5">
        <v>91603</v>
      </c>
      <c r="B1099" s="5" t="s">
        <v>8481</v>
      </c>
      <c r="C1099" s="5">
        <v>573004614501</v>
      </c>
      <c r="D1099" s="5">
        <v>95</v>
      </c>
      <c r="E1099" s="5" t="s">
        <v>42</v>
      </c>
      <c r="F1099" s="5" t="s">
        <v>33</v>
      </c>
      <c r="G1099" s="5" t="s">
        <v>8481</v>
      </c>
      <c r="H1099" s="5" t="s">
        <v>34</v>
      </c>
      <c r="I1099" s="5">
        <v>3004614501</v>
      </c>
      <c r="J1099" s="12">
        <v>46057</v>
      </c>
      <c r="K1099" s="11">
        <v>0</v>
      </c>
      <c r="M1099" s="10" t="s">
        <v>2686</v>
      </c>
      <c r="N1099" s="12">
        <v>46058.543668981481</v>
      </c>
      <c r="O1099" s="10" t="s">
        <v>14624</v>
      </c>
      <c r="P1099" s="5" t="s">
        <v>14571</v>
      </c>
      <c r="Q1099" s="5" t="s">
        <v>14572</v>
      </c>
      <c r="R1099" s="5" t="s">
        <v>17323</v>
      </c>
      <c r="T1099" s="5" t="s">
        <v>14574</v>
      </c>
      <c r="U1099" s="5" t="s">
        <v>33</v>
      </c>
      <c r="V1099" s="5" t="s">
        <v>67</v>
      </c>
      <c r="W1099" s="5" t="s">
        <v>525</v>
      </c>
    </row>
    <row r="1100" spans="1:23" ht="12.5">
      <c r="A1100" s="5">
        <v>91604</v>
      </c>
      <c r="B1100" s="5" t="s">
        <v>2629</v>
      </c>
      <c r="C1100" s="5">
        <v>573175052734</v>
      </c>
      <c r="D1100" s="5">
        <v>95</v>
      </c>
      <c r="E1100" s="5" t="s">
        <v>42</v>
      </c>
      <c r="F1100" s="5" t="s">
        <v>33</v>
      </c>
      <c r="G1100" s="5" t="s">
        <v>2629</v>
      </c>
      <c r="H1100" s="5" t="s">
        <v>34</v>
      </c>
      <c r="I1100" s="5">
        <v>3175052734</v>
      </c>
      <c r="J1100" s="12">
        <v>46057</v>
      </c>
      <c r="K1100" s="11">
        <v>0</v>
      </c>
      <c r="M1100" s="10" t="s">
        <v>2686</v>
      </c>
      <c r="N1100" s="12">
        <v>46057.544708912035</v>
      </c>
      <c r="O1100" s="10" t="s">
        <v>14624</v>
      </c>
      <c r="P1100" s="5" t="s">
        <v>14571</v>
      </c>
      <c r="Q1100" s="5" t="s">
        <v>14578</v>
      </c>
      <c r="R1100" s="5" t="s">
        <v>17324</v>
      </c>
      <c r="T1100" s="5" t="s">
        <v>14574</v>
      </c>
      <c r="U1100" s="5" t="s">
        <v>33</v>
      </c>
      <c r="V1100" s="5" t="s">
        <v>196</v>
      </c>
      <c r="W1100" s="5" t="s">
        <v>525</v>
      </c>
    </row>
    <row r="1101" spans="1:23" ht="12.5">
      <c r="A1101" s="5">
        <v>91605</v>
      </c>
      <c r="B1101" s="5" t="s">
        <v>8482</v>
      </c>
      <c r="C1101" s="5">
        <v>573158175508</v>
      </c>
      <c r="D1101" s="5">
        <v>28</v>
      </c>
      <c r="E1101" s="5" t="s">
        <v>8483</v>
      </c>
      <c r="F1101" s="5" t="s">
        <v>33</v>
      </c>
      <c r="G1101" s="5" t="s">
        <v>8482</v>
      </c>
      <c r="H1101" s="5" t="s">
        <v>34</v>
      </c>
      <c r="I1101" s="5">
        <v>3158175508</v>
      </c>
      <c r="J1101" s="12">
        <v>46057</v>
      </c>
      <c r="K1101" s="11">
        <v>0</v>
      </c>
      <c r="M1101" s="10" t="s">
        <v>16222</v>
      </c>
      <c r="N1101" s="12">
        <v>46057.588139027779</v>
      </c>
      <c r="O1101" s="10" t="s">
        <v>15633</v>
      </c>
      <c r="P1101" s="5" t="s">
        <v>14571</v>
      </c>
      <c r="Q1101" s="5" t="s">
        <v>14572</v>
      </c>
      <c r="R1101" s="5" t="s">
        <v>17325</v>
      </c>
      <c r="T1101" s="5" t="s">
        <v>14574</v>
      </c>
      <c r="U1101" s="5" t="s">
        <v>33</v>
      </c>
      <c r="V1101" s="5" t="s">
        <v>43</v>
      </c>
      <c r="W1101" s="5" t="s">
        <v>8484</v>
      </c>
    </row>
    <row r="1102" spans="1:23" ht="12.5">
      <c r="A1102" s="5">
        <v>91606</v>
      </c>
      <c r="B1102" s="5" t="s">
        <v>8487</v>
      </c>
      <c r="C1102" s="5">
        <v>570000</v>
      </c>
      <c r="D1102" s="5">
        <v>95</v>
      </c>
      <c r="E1102" s="5" t="s">
        <v>42</v>
      </c>
      <c r="F1102" s="5" t="s">
        <v>33</v>
      </c>
      <c r="G1102" s="5" t="s">
        <v>8487</v>
      </c>
      <c r="H1102" s="5" t="s">
        <v>34</v>
      </c>
      <c r="I1102" s="10" t="s">
        <v>2686</v>
      </c>
      <c r="J1102" s="12">
        <v>46057</v>
      </c>
      <c r="K1102" s="11">
        <v>0</v>
      </c>
      <c r="M1102" s="10" t="s">
        <v>14859</v>
      </c>
      <c r="N1102" s="12">
        <v>46057.597672777774</v>
      </c>
      <c r="O1102" s="10" t="s">
        <v>15253</v>
      </c>
      <c r="P1102" s="5" t="s">
        <v>14571</v>
      </c>
      <c r="Q1102" s="5" t="s">
        <v>14578</v>
      </c>
      <c r="R1102" s="5" t="s">
        <v>17326</v>
      </c>
      <c r="T1102" s="5" t="s">
        <v>14574</v>
      </c>
      <c r="U1102" s="5" t="s">
        <v>33</v>
      </c>
      <c r="V1102" s="5" t="s">
        <v>1705</v>
      </c>
      <c r="W1102" s="5" t="s">
        <v>525</v>
      </c>
    </row>
    <row r="1103" spans="1:23" ht="12.5">
      <c r="A1103" s="5">
        <v>91607</v>
      </c>
      <c r="B1103" s="5" t="s">
        <v>17327</v>
      </c>
      <c r="C1103" s="5">
        <v>573163969183</v>
      </c>
      <c r="D1103" s="5">
        <v>47</v>
      </c>
      <c r="E1103" s="5" t="s">
        <v>1610</v>
      </c>
      <c r="F1103" s="5" t="s">
        <v>103</v>
      </c>
      <c r="G1103" s="5" t="s">
        <v>8489</v>
      </c>
      <c r="H1103" s="5" t="s">
        <v>8490</v>
      </c>
      <c r="J1103" s="12">
        <v>46058</v>
      </c>
      <c r="K1103" s="11">
        <v>0.41666666666787933</v>
      </c>
      <c r="M1103" s="10" t="s">
        <v>14842</v>
      </c>
      <c r="N1103" s="12">
        <v>46057.621262939814</v>
      </c>
      <c r="O1103" s="10" t="s">
        <v>15249</v>
      </c>
      <c r="P1103" s="5" t="s">
        <v>14571</v>
      </c>
      <c r="Q1103" s="5" t="s">
        <v>14612</v>
      </c>
      <c r="R1103" s="5" t="s">
        <v>17328</v>
      </c>
      <c r="T1103" s="5" t="s">
        <v>5994</v>
      </c>
      <c r="U1103" s="5" t="s">
        <v>14593</v>
      </c>
      <c r="V1103" s="5" t="s">
        <v>1705</v>
      </c>
    </row>
    <row r="1104" spans="1:23" ht="12.5">
      <c r="A1104" s="5">
        <v>91608</v>
      </c>
      <c r="B1104" s="5" t="s">
        <v>8494</v>
      </c>
      <c r="C1104" s="5">
        <v>573008205218</v>
      </c>
      <c r="D1104" s="5">
        <v>5</v>
      </c>
      <c r="E1104" s="5" t="s">
        <v>3111</v>
      </c>
      <c r="F1104" s="5" t="s">
        <v>33</v>
      </c>
      <c r="G1104" s="5" t="s">
        <v>8494</v>
      </c>
      <c r="H1104" s="5" t="s">
        <v>34</v>
      </c>
      <c r="I1104" s="5" t="s">
        <v>8495</v>
      </c>
      <c r="J1104" s="12">
        <v>46057</v>
      </c>
      <c r="K1104" s="11">
        <v>0</v>
      </c>
      <c r="M1104" s="10" t="s">
        <v>14569</v>
      </c>
      <c r="N1104" s="12">
        <v>46057.624133182871</v>
      </c>
      <c r="O1104" s="10" t="s">
        <v>17329</v>
      </c>
      <c r="P1104" s="5" t="s">
        <v>14571</v>
      </c>
      <c r="Q1104" s="5" t="s">
        <v>14612</v>
      </c>
      <c r="R1104" s="5" t="s">
        <v>17330</v>
      </c>
      <c r="T1104" s="5" t="s">
        <v>14574</v>
      </c>
      <c r="U1104" s="5" t="s">
        <v>33</v>
      </c>
      <c r="V1104" s="5" t="s">
        <v>1481</v>
      </c>
    </row>
    <row r="1105" spans="1:23" ht="12.5">
      <c r="A1105" s="5">
        <v>91609</v>
      </c>
      <c r="B1105" s="5" t="s">
        <v>17331</v>
      </c>
      <c r="C1105" s="5">
        <v>573008298523</v>
      </c>
      <c r="D1105" s="5">
        <v>14</v>
      </c>
      <c r="E1105" s="5" t="s">
        <v>1393</v>
      </c>
      <c r="F1105" s="5" t="s">
        <v>161</v>
      </c>
      <c r="G1105" s="5" t="s">
        <v>283</v>
      </c>
      <c r="H1105" s="5" t="s">
        <v>8497</v>
      </c>
      <c r="I1105" s="5">
        <v>3214909369</v>
      </c>
      <c r="J1105" s="12">
        <v>46057</v>
      </c>
      <c r="K1105" s="11">
        <v>0</v>
      </c>
      <c r="M1105" s="10" t="s">
        <v>17332</v>
      </c>
      <c r="N1105" s="12">
        <v>46057.628393067134</v>
      </c>
      <c r="O1105" s="10" t="s">
        <v>16925</v>
      </c>
      <c r="P1105" s="5" t="s">
        <v>14571</v>
      </c>
      <c r="Q1105" s="5" t="s">
        <v>14578</v>
      </c>
      <c r="R1105" s="5" t="s">
        <v>17333</v>
      </c>
      <c r="T1105" s="5" t="s">
        <v>5994</v>
      </c>
      <c r="U1105" s="5" t="s">
        <v>14593</v>
      </c>
      <c r="V1105" s="5" t="s">
        <v>1481</v>
      </c>
    </row>
    <row r="1106" spans="1:23" ht="12.5">
      <c r="A1106" s="5">
        <v>91610</v>
      </c>
      <c r="B1106" s="5" t="s">
        <v>17334</v>
      </c>
      <c r="C1106" s="5">
        <v>573008784451</v>
      </c>
      <c r="D1106" s="5">
        <v>64</v>
      </c>
      <c r="E1106" s="5" t="s">
        <v>133</v>
      </c>
      <c r="F1106" s="5" t="s">
        <v>5089</v>
      </c>
      <c r="G1106" s="5" t="s">
        <v>8499</v>
      </c>
      <c r="H1106" s="5" t="s">
        <v>8500</v>
      </c>
      <c r="I1106" s="5">
        <v>3008784451</v>
      </c>
      <c r="J1106" s="12">
        <v>46059</v>
      </c>
      <c r="K1106" s="11">
        <v>0.375</v>
      </c>
      <c r="M1106" s="10" t="s">
        <v>15619</v>
      </c>
      <c r="N1106" s="12">
        <v>46057.640084363426</v>
      </c>
      <c r="O1106" s="10" t="s">
        <v>14827</v>
      </c>
      <c r="P1106" s="5" t="s">
        <v>14571</v>
      </c>
      <c r="Q1106" s="5" t="s">
        <v>14612</v>
      </c>
      <c r="R1106" s="5" t="s">
        <v>17335</v>
      </c>
      <c r="T1106" s="5" t="s">
        <v>5994</v>
      </c>
      <c r="U1106" s="5" t="s">
        <v>14580</v>
      </c>
      <c r="V1106" s="5" t="s">
        <v>1481</v>
      </c>
    </row>
    <row r="1107" spans="1:23" ht="12.5">
      <c r="A1107" s="5">
        <v>91611</v>
      </c>
      <c r="B1107" s="5" t="s">
        <v>17336</v>
      </c>
      <c r="C1107" s="5">
        <v>573209674178</v>
      </c>
      <c r="D1107" s="5">
        <v>63</v>
      </c>
      <c r="E1107" s="5" t="s">
        <v>8507</v>
      </c>
      <c r="F1107" s="5" t="s">
        <v>351</v>
      </c>
      <c r="G1107" s="5" t="s">
        <v>8504</v>
      </c>
      <c r="H1107" s="5" t="s">
        <v>8505</v>
      </c>
      <c r="I1107" s="5" t="s">
        <v>8506</v>
      </c>
      <c r="J1107" s="12">
        <v>46057</v>
      </c>
      <c r="K1107" s="11">
        <v>0.375</v>
      </c>
      <c r="M1107" s="10" t="s">
        <v>17337</v>
      </c>
      <c r="N1107" s="12">
        <v>46057.628883634257</v>
      </c>
      <c r="O1107" s="10" t="s">
        <v>15714</v>
      </c>
      <c r="P1107" s="5" t="s">
        <v>14571</v>
      </c>
      <c r="Q1107" s="5" t="s">
        <v>14572</v>
      </c>
      <c r="R1107" s="5" t="s">
        <v>17338</v>
      </c>
      <c r="T1107" s="5" t="s">
        <v>5994</v>
      </c>
      <c r="U1107" s="5" t="s">
        <v>14580</v>
      </c>
      <c r="V1107" s="5" t="s">
        <v>67</v>
      </c>
    </row>
    <row r="1108" spans="1:23" ht="12.5">
      <c r="A1108" s="5">
        <v>91612</v>
      </c>
      <c r="B1108" s="5" t="s">
        <v>17339</v>
      </c>
      <c r="C1108" s="5">
        <v>573046491202</v>
      </c>
      <c r="D1108" s="5">
        <v>45</v>
      </c>
      <c r="E1108" s="5" t="s">
        <v>8514</v>
      </c>
      <c r="F1108" s="5" t="s">
        <v>73</v>
      </c>
      <c r="G1108" s="5" t="s">
        <v>8512</v>
      </c>
      <c r="H1108" s="5" t="s">
        <v>8513</v>
      </c>
      <c r="I1108" s="5">
        <v>3006105928</v>
      </c>
      <c r="J1108" s="12">
        <v>46057</v>
      </c>
      <c r="K1108" s="11">
        <v>0.70833333333212067</v>
      </c>
      <c r="M1108" s="10" t="s">
        <v>16429</v>
      </c>
      <c r="N1108" s="12">
        <v>46057.653888067129</v>
      </c>
      <c r="O1108" s="10" t="s">
        <v>17340</v>
      </c>
      <c r="P1108" s="5" t="s">
        <v>14571</v>
      </c>
      <c r="Q1108" s="5" t="s">
        <v>14578</v>
      </c>
      <c r="R1108" s="5" t="s">
        <v>17341</v>
      </c>
      <c r="T1108" s="5" t="s">
        <v>5994</v>
      </c>
      <c r="U1108" s="5" t="s">
        <v>14593</v>
      </c>
      <c r="V1108" s="5" t="s">
        <v>1481</v>
      </c>
    </row>
    <row r="1109" spans="1:23" ht="12.5">
      <c r="A1109" s="5">
        <v>91613</v>
      </c>
      <c r="B1109" s="5" t="s">
        <v>8519</v>
      </c>
      <c r="C1109" s="5">
        <v>573012334915</v>
      </c>
      <c r="D1109" s="5">
        <v>29</v>
      </c>
      <c r="E1109" s="5" t="s">
        <v>309</v>
      </c>
      <c r="F1109" s="5" t="s">
        <v>103</v>
      </c>
      <c r="G1109" s="5" t="s">
        <v>8519</v>
      </c>
      <c r="H1109" s="5" t="s">
        <v>34</v>
      </c>
      <c r="I1109" s="5">
        <v>3012334915</v>
      </c>
      <c r="J1109" s="12">
        <v>46057</v>
      </c>
      <c r="K1109" s="11">
        <v>0.70833333333212067</v>
      </c>
      <c r="M1109" s="10" t="s">
        <v>14850</v>
      </c>
      <c r="N1109" s="12">
        <v>46057.677856967595</v>
      </c>
      <c r="O1109" s="10" t="s">
        <v>16553</v>
      </c>
      <c r="P1109" s="5" t="s">
        <v>14571</v>
      </c>
      <c r="Q1109" s="5" t="s">
        <v>14612</v>
      </c>
      <c r="R1109" s="5" t="s">
        <v>17342</v>
      </c>
      <c r="T1109" s="5" t="s">
        <v>5994</v>
      </c>
      <c r="U1109" s="5" t="s">
        <v>14593</v>
      </c>
      <c r="V1109" s="5" t="s">
        <v>1481</v>
      </c>
    </row>
    <row r="1110" spans="1:23" ht="12.5">
      <c r="A1110" s="5">
        <v>91614</v>
      </c>
      <c r="B1110" s="5" t="s">
        <v>6116</v>
      </c>
      <c r="C1110" s="5">
        <v>573106374225</v>
      </c>
      <c r="D1110" s="5">
        <v>95</v>
      </c>
      <c r="E1110" s="5" t="s">
        <v>42</v>
      </c>
      <c r="F1110" s="5" t="s">
        <v>33</v>
      </c>
      <c r="G1110" s="5" t="s">
        <v>6116</v>
      </c>
      <c r="H1110" s="5" t="s">
        <v>34</v>
      </c>
      <c r="I1110" s="5">
        <v>3106374225</v>
      </c>
      <c r="J1110" s="12">
        <v>46057</v>
      </c>
      <c r="K1110" s="11">
        <v>0</v>
      </c>
      <c r="M1110" s="10" t="s">
        <v>15011</v>
      </c>
      <c r="N1110" s="12">
        <v>46057.678587835646</v>
      </c>
      <c r="O1110" s="10" t="s">
        <v>15365</v>
      </c>
      <c r="P1110" s="5" t="s">
        <v>14571</v>
      </c>
      <c r="Q1110" s="5" t="s">
        <v>14572</v>
      </c>
      <c r="R1110" s="5" t="s">
        <v>17343</v>
      </c>
      <c r="T1110" s="5" t="s">
        <v>14574</v>
      </c>
      <c r="U1110" s="5" t="s">
        <v>33</v>
      </c>
      <c r="V1110" s="5" t="s">
        <v>196</v>
      </c>
    </row>
    <row r="1111" spans="1:23" ht="12.5">
      <c r="A1111" s="5">
        <v>91615</v>
      </c>
      <c r="B1111" s="5" t="s">
        <v>17344</v>
      </c>
      <c r="C1111" s="5">
        <v>573003413524</v>
      </c>
      <c r="D1111" s="5">
        <v>29</v>
      </c>
      <c r="E1111" s="5" t="s">
        <v>309</v>
      </c>
      <c r="F1111" s="5" t="s">
        <v>563</v>
      </c>
      <c r="G1111" s="5" t="s">
        <v>8523</v>
      </c>
      <c r="H1111" s="5" t="s">
        <v>8524</v>
      </c>
      <c r="I1111" s="5">
        <v>3003413524</v>
      </c>
      <c r="J1111" s="12">
        <v>46057</v>
      </c>
      <c r="K1111" s="11">
        <v>0.70833333333212067</v>
      </c>
      <c r="M1111" s="10" t="s">
        <v>14705</v>
      </c>
      <c r="N1111" s="12">
        <v>46057.677526701387</v>
      </c>
      <c r="O1111" s="10" t="s">
        <v>16854</v>
      </c>
      <c r="P1111" s="5" t="s">
        <v>14571</v>
      </c>
      <c r="Q1111" s="5" t="s">
        <v>14612</v>
      </c>
      <c r="R1111" s="5" t="s">
        <v>17345</v>
      </c>
      <c r="T1111" s="5" t="s">
        <v>5994</v>
      </c>
      <c r="U1111" s="5" t="s">
        <v>14775</v>
      </c>
      <c r="V1111" s="5" t="s">
        <v>196</v>
      </c>
    </row>
    <row r="1112" spans="1:23" ht="12.5">
      <c r="A1112" s="5">
        <v>91616</v>
      </c>
      <c r="B1112" s="5" t="s">
        <v>17346</v>
      </c>
      <c r="C1112" s="5">
        <v>573018117852</v>
      </c>
      <c r="D1112" s="5">
        <v>58</v>
      </c>
      <c r="E1112" s="5" t="s">
        <v>57</v>
      </c>
      <c r="F1112" s="5" t="s">
        <v>249</v>
      </c>
      <c r="G1112" s="5" t="s">
        <v>8529</v>
      </c>
      <c r="H1112" s="5" t="s">
        <v>8530</v>
      </c>
      <c r="I1112" s="5">
        <v>3145975374</v>
      </c>
      <c r="J1112" s="12">
        <v>46058</v>
      </c>
      <c r="K1112" s="11">
        <v>0.33333333333212067</v>
      </c>
      <c r="M1112" s="10" t="s">
        <v>10581</v>
      </c>
      <c r="N1112" s="12">
        <v>46057.692351597223</v>
      </c>
      <c r="O1112" s="10" t="s">
        <v>17347</v>
      </c>
      <c r="P1112" s="5" t="s">
        <v>14571</v>
      </c>
      <c r="Q1112" s="5" t="s">
        <v>14578</v>
      </c>
      <c r="R1112" s="5" t="s">
        <v>17348</v>
      </c>
      <c r="T1112" s="5" t="s">
        <v>5994</v>
      </c>
      <c r="U1112" s="5" t="s">
        <v>14593</v>
      </c>
      <c r="V1112" s="5" t="s">
        <v>67</v>
      </c>
    </row>
    <row r="1113" spans="1:23" ht="12.5">
      <c r="A1113" s="5">
        <v>91617</v>
      </c>
      <c r="B1113" s="5" t="s">
        <v>17349</v>
      </c>
      <c r="C1113" s="5">
        <v>17274323397</v>
      </c>
      <c r="D1113" s="5" t="s">
        <v>14589</v>
      </c>
      <c r="E1113" s="5" t="s">
        <v>8537</v>
      </c>
      <c r="F1113" s="5" t="s">
        <v>328</v>
      </c>
      <c r="G1113" s="5" t="s">
        <v>8534</v>
      </c>
      <c r="H1113" s="5" t="s">
        <v>8535</v>
      </c>
      <c r="I1113" s="5" t="s">
        <v>8536</v>
      </c>
      <c r="J1113" s="12">
        <v>46058</v>
      </c>
      <c r="K1113" s="11">
        <v>0.37152777777737356</v>
      </c>
      <c r="M1113" s="10" t="s">
        <v>14804</v>
      </c>
      <c r="N1113" s="12">
        <v>46057.693802870373</v>
      </c>
      <c r="O1113" s="10" t="s">
        <v>16619</v>
      </c>
      <c r="P1113" s="5" t="s">
        <v>14571</v>
      </c>
      <c r="Q1113" s="5" t="s">
        <v>14572</v>
      </c>
      <c r="R1113" s="5" t="s">
        <v>17350</v>
      </c>
      <c r="T1113" s="5" t="s">
        <v>5994</v>
      </c>
      <c r="U1113" s="5"/>
      <c r="V1113" s="5" t="s">
        <v>1481</v>
      </c>
    </row>
    <row r="1114" spans="1:23" ht="12.5">
      <c r="A1114" s="5">
        <v>91618</v>
      </c>
      <c r="B1114" s="5" t="s">
        <v>17351</v>
      </c>
      <c r="C1114" s="5">
        <v>573022992802</v>
      </c>
      <c r="D1114" s="5">
        <v>29</v>
      </c>
      <c r="E1114" s="5" t="s">
        <v>309</v>
      </c>
      <c r="F1114" s="5" t="s">
        <v>33</v>
      </c>
      <c r="G1114" s="5" t="s">
        <v>8542</v>
      </c>
      <c r="H1114" s="5" t="s">
        <v>8543</v>
      </c>
      <c r="J1114" s="12">
        <v>46064</v>
      </c>
      <c r="K1114" s="11">
        <v>1.8749999999272404E-2</v>
      </c>
      <c r="M1114" s="10" t="s">
        <v>14850</v>
      </c>
      <c r="N1114" s="12">
        <v>46057.731205057869</v>
      </c>
      <c r="O1114" s="10" t="s">
        <v>17352</v>
      </c>
      <c r="P1114" s="5" t="s">
        <v>14571</v>
      </c>
      <c r="Q1114" s="5" t="s">
        <v>14572</v>
      </c>
      <c r="R1114" s="5" t="s">
        <v>17353</v>
      </c>
      <c r="T1114" s="5" t="s">
        <v>14574</v>
      </c>
      <c r="U1114" s="5" t="s">
        <v>33</v>
      </c>
      <c r="V1114" s="5" t="s">
        <v>1481</v>
      </c>
    </row>
    <row r="1115" spans="1:23" ht="12.5">
      <c r="A1115" s="5">
        <v>91619</v>
      </c>
      <c r="B1115" s="5" t="s">
        <v>17354</v>
      </c>
      <c r="C1115" s="5">
        <v>573222123914</v>
      </c>
      <c r="D1115" s="5" t="s">
        <v>14589</v>
      </c>
      <c r="E1115" s="5" t="s">
        <v>8549</v>
      </c>
      <c r="F1115" s="5" t="s">
        <v>73</v>
      </c>
      <c r="G1115" s="5" t="s">
        <v>8546</v>
      </c>
      <c r="H1115" s="5" t="s">
        <v>8547</v>
      </c>
      <c r="I1115" s="5" t="s">
        <v>8548</v>
      </c>
      <c r="J1115" s="12">
        <v>46066</v>
      </c>
      <c r="K1115" s="11">
        <v>0.33333333333212067</v>
      </c>
      <c r="M1115" s="10" t="s">
        <v>15064</v>
      </c>
      <c r="N1115" s="12">
        <v>46057.745555775458</v>
      </c>
      <c r="O1115" s="10" t="s">
        <v>17355</v>
      </c>
      <c r="P1115" s="5" t="s">
        <v>14571</v>
      </c>
      <c r="Q1115" s="5" t="s">
        <v>14578</v>
      </c>
      <c r="R1115" s="5" t="s">
        <v>17356</v>
      </c>
      <c r="T1115" s="5" t="s">
        <v>5994</v>
      </c>
      <c r="U1115" s="5" t="s">
        <v>14593</v>
      </c>
      <c r="V1115" s="5" t="s">
        <v>7644</v>
      </c>
      <c r="W1115" s="5" t="s">
        <v>8551</v>
      </c>
    </row>
    <row r="1116" spans="1:23" ht="12.5">
      <c r="A1116" s="5">
        <v>91620</v>
      </c>
      <c r="B1116" s="5" t="s">
        <v>17357</v>
      </c>
      <c r="C1116" s="5">
        <v>573215748571</v>
      </c>
      <c r="D1116" s="5" t="s">
        <v>15478</v>
      </c>
      <c r="E1116" s="5" t="s">
        <v>3156</v>
      </c>
      <c r="F1116" s="5" t="s">
        <v>7476</v>
      </c>
      <c r="G1116" s="5" t="s">
        <v>8553</v>
      </c>
      <c r="H1116" s="5" t="s">
        <v>8554</v>
      </c>
      <c r="I1116" s="5">
        <v>3107095696</v>
      </c>
      <c r="J1116" s="12">
        <v>46058</v>
      </c>
      <c r="K1116" s="11">
        <v>0.36111111110949423</v>
      </c>
      <c r="M1116" s="10" t="s">
        <v>17358</v>
      </c>
      <c r="N1116" s="12">
        <v>46057.743118437502</v>
      </c>
      <c r="O1116" s="10" t="s">
        <v>16995</v>
      </c>
      <c r="P1116" s="5" t="s">
        <v>14571</v>
      </c>
      <c r="Q1116" s="5" t="s">
        <v>14572</v>
      </c>
      <c r="R1116" s="5" t="s">
        <v>17359</v>
      </c>
      <c r="T1116" s="5" t="s">
        <v>5994</v>
      </c>
      <c r="U1116" s="5" t="s">
        <v>15349</v>
      </c>
      <c r="V1116" s="5" t="s">
        <v>1481</v>
      </c>
    </row>
    <row r="1117" spans="1:23" ht="12.5">
      <c r="A1117" s="5">
        <v>91621</v>
      </c>
      <c r="B1117" s="5" t="s">
        <v>8558</v>
      </c>
      <c r="C1117" s="5">
        <v>573007471391</v>
      </c>
      <c r="D1117" s="5">
        <v>53</v>
      </c>
      <c r="E1117" s="5" t="s">
        <v>75</v>
      </c>
      <c r="F1117" s="5" t="s">
        <v>33</v>
      </c>
      <c r="G1117" s="5" t="s">
        <v>8558</v>
      </c>
      <c r="H1117" s="5" t="s">
        <v>34</v>
      </c>
      <c r="I1117" s="5">
        <v>3007471391</v>
      </c>
      <c r="J1117" s="12">
        <v>46057</v>
      </c>
      <c r="K1117" s="11">
        <v>0.76527777777664596</v>
      </c>
      <c r="M1117" s="10" t="s">
        <v>14585</v>
      </c>
      <c r="N1117" s="12">
        <v>46057.760394050929</v>
      </c>
      <c r="O1117" s="10" t="s">
        <v>17360</v>
      </c>
      <c r="P1117" s="5" t="s">
        <v>14571</v>
      </c>
      <c r="Q1117" s="5" t="s">
        <v>14612</v>
      </c>
      <c r="R1117" s="5" t="s">
        <v>17361</v>
      </c>
      <c r="T1117" s="5" t="s">
        <v>14574</v>
      </c>
      <c r="U1117" s="5" t="s">
        <v>33</v>
      </c>
      <c r="V1117" s="5" t="s">
        <v>1705</v>
      </c>
    </row>
    <row r="1118" spans="1:23" ht="12.5">
      <c r="A1118" s="5">
        <v>91622</v>
      </c>
      <c r="B1118" s="5" t="s">
        <v>8559</v>
      </c>
      <c r="C1118" s="5">
        <v>573014894720</v>
      </c>
      <c r="D1118" s="5">
        <v>5</v>
      </c>
      <c r="E1118" s="5" t="s">
        <v>3111</v>
      </c>
      <c r="F1118" s="5" t="s">
        <v>33</v>
      </c>
      <c r="G1118" s="5" t="s">
        <v>8559</v>
      </c>
      <c r="H1118" s="5" t="s">
        <v>34</v>
      </c>
      <c r="I1118" s="5">
        <v>3014894720</v>
      </c>
      <c r="J1118" s="12">
        <v>46057</v>
      </c>
      <c r="K1118" s="11">
        <v>0.26666666666642413</v>
      </c>
      <c r="M1118" s="10" t="s">
        <v>14569</v>
      </c>
      <c r="N1118" s="12">
        <v>46057.76226106481</v>
      </c>
      <c r="O1118" s="10" t="s">
        <v>16871</v>
      </c>
      <c r="P1118" s="5" t="s">
        <v>14571</v>
      </c>
      <c r="Q1118" s="5" t="s">
        <v>14578</v>
      </c>
      <c r="R1118" s="5" t="s">
        <v>17362</v>
      </c>
      <c r="T1118" s="5" t="s">
        <v>14574</v>
      </c>
      <c r="U1118" s="5" t="s">
        <v>33</v>
      </c>
      <c r="V1118" s="5" t="s">
        <v>1705</v>
      </c>
    </row>
    <row r="1119" spans="1:23" ht="12.5">
      <c r="A1119" s="5">
        <v>91623</v>
      </c>
      <c r="B1119" s="5" t="s">
        <v>8561</v>
      </c>
      <c r="C1119" s="5">
        <v>573003897684</v>
      </c>
      <c r="D1119" s="5">
        <v>95</v>
      </c>
      <c r="E1119" s="5" t="s">
        <v>42</v>
      </c>
      <c r="F1119" s="5" t="s">
        <v>33</v>
      </c>
      <c r="G1119" s="5" t="s">
        <v>8561</v>
      </c>
      <c r="H1119" s="5" t="s">
        <v>34</v>
      </c>
      <c r="I1119" s="5">
        <v>3003897684</v>
      </c>
      <c r="J1119" s="12">
        <v>46057</v>
      </c>
      <c r="K1119" s="11">
        <v>0.75</v>
      </c>
      <c r="M1119" s="10" t="s">
        <v>17363</v>
      </c>
      <c r="N1119" s="12">
        <v>46057.765374282404</v>
      </c>
      <c r="O1119" s="10" t="s">
        <v>14801</v>
      </c>
      <c r="P1119" s="5" t="s">
        <v>14571</v>
      </c>
      <c r="Q1119" s="5" t="s">
        <v>14612</v>
      </c>
      <c r="R1119" s="5" t="s">
        <v>17364</v>
      </c>
      <c r="T1119" s="5" t="s">
        <v>14574</v>
      </c>
      <c r="U1119" s="5" t="s">
        <v>33</v>
      </c>
      <c r="V1119" s="5" t="s">
        <v>1705</v>
      </c>
      <c r="W1119" s="5" t="s">
        <v>525</v>
      </c>
    </row>
    <row r="1120" spans="1:23" ht="12.5">
      <c r="A1120" s="5">
        <v>91624</v>
      </c>
      <c r="B1120" s="5" t="s">
        <v>8564</v>
      </c>
      <c r="C1120" s="5">
        <v>573105095798</v>
      </c>
      <c r="D1120" s="5" t="s">
        <v>14589</v>
      </c>
      <c r="E1120" s="5" t="s">
        <v>8566</v>
      </c>
      <c r="F1120" s="5" t="s">
        <v>33</v>
      </c>
      <c r="G1120" s="5" t="s">
        <v>8564</v>
      </c>
      <c r="H1120" s="5" t="s">
        <v>34</v>
      </c>
      <c r="I1120" s="5" t="s">
        <v>8565</v>
      </c>
      <c r="J1120" s="12">
        <v>46057</v>
      </c>
      <c r="K1120" s="11">
        <v>0.75</v>
      </c>
      <c r="M1120" s="10" t="s">
        <v>15881</v>
      </c>
      <c r="N1120" s="12">
        <v>46057.754203935183</v>
      </c>
      <c r="O1120" s="10" t="s">
        <v>15900</v>
      </c>
      <c r="P1120" s="5" t="s">
        <v>14571</v>
      </c>
      <c r="Q1120" s="5" t="s">
        <v>14578</v>
      </c>
      <c r="R1120" s="5" t="s">
        <v>17365</v>
      </c>
      <c r="T1120" s="5" t="s">
        <v>14574</v>
      </c>
      <c r="U1120" s="5" t="s">
        <v>33</v>
      </c>
      <c r="V1120" s="5" t="s">
        <v>196</v>
      </c>
      <c r="W1120" s="5" t="s">
        <v>8567</v>
      </c>
    </row>
    <row r="1121" spans="1:23" ht="12.5">
      <c r="A1121" s="5">
        <v>91625</v>
      </c>
      <c r="B1121" s="5" t="s">
        <v>2387</v>
      </c>
      <c r="C1121" s="5">
        <v>573042145559</v>
      </c>
      <c r="D1121" s="5">
        <v>95</v>
      </c>
      <c r="E1121" s="5" t="s">
        <v>42</v>
      </c>
      <c r="G1121" s="5" t="s">
        <v>8568</v>
      </c>
      <c r="H1121" s="5" t="s">
        <v>8569</v>
      </c>
      <c r="I1121" s="5">
        <v>3014330039</v>
      </c>
      <c r="J1121" s="12">
        <v>46060</v>
      </c>
      <c r="K1121" s="11">
        <v>0.64722222222189885</v>
      </c>
      <c r="M1121" s="10" t="s">
        <v>2686</v>
      </c>
      <c r="N1121" s="12">
        <v>46057.813685601854</v>
      </c>
      <c r="O1121" s="10" t="s">
        <v>17366</v>
      </c>
      <c r="P1121" s="5" t="s">
        <v>14571</v>
      </c>
      <c r="Q1121" s="5" t="s">
        <v>14578</v>
      </c>
      <c r="R1121" s="5" t="s">
        <v>17367</v>
      </c>
      <c r="T1121" s="5" t="s">
        <v>5994</v>
      </c>
      <c r="V1121" s="5" t="s">
        <v>67</v>
      </c>
      <c r="W1121" s="5" t="s">
        <v>8570</v>
      </c>
    </row>
    <row r="1122" spans="1:23" ht="12.5">
      <c r="A1122" s="5">
        <v>91626</v>
      </c>
      <c r="B1122" s="5" t="s">
        <v>17368</v>
      </c>
      <c r="C1122" s="5">
        <v>570000</v>
      </c>
      <c r="D1122" s="5">
        <v>10</v>
      </c>
      <c r="E1122" s="5" t="s">
        <v>747</v>
      </c>
      <c r="G1122" s="5" t="s">
        <v>8572</v>
      </c>
      <c r="H1122" s="5" t="s">
        <v>8573</v>
      </c>
      <c r="J1122" s="12">
        <v>46058</v>
      </c>
      <c r="K1122" s="11">
        <v>0.33333333333212067</v>
      </c>
      <c r="M1122" s="10" t="s">
        <v>16797</v>
      </c>
      <c r="N1122" s="12">
        <v>46058.300604571763</v>
      </c>
      <c r="O1122" s="10" t="s">
        <v>17369</v>
      </c>
      <c r="P1122" s="5" t="s">
        <v>14571</v>
      </c>
      <c r="Q1122" s="5" t="s">
        <v>14572</v>
      </c>
      <c r="R1122" s="5" t="s">
        <v>17370</v>
      </c>
      <c r="T1122" s="5" t="s">
        <v>5994</v>
      </c>
      <c r="V1122" s="5" t="s">
        <v>1481</v>
      </c>
    </row>
    <row r="1123" spans="1:23" ht="12.5">
      <c r="A1123" s="5">
        <v>91627</v>
      </c>
      <c r="B1123" s="5" t="s">
        <v>15097</v>
      </c>
      <c r="C1123" s="5">
        <v>573112029123</v>
      </c>
      <c r="D1123" s="5">
        <v>49</v>
      </c>
      <c r="E1123" s="5" t="s">
        <v>380</v>
      </c>
      <c r="F1123" s="5" t="s">
        <v>79</v>
      </c>
      <c r="G1123" s="5" t="s">
        <v>8575</v>
      </c>
      <c r="H1123" s="5" t="s">
        <v>8576</v>
      </c>
      <c r="I1123" s="5" t="s">
        <v>8577</v>
      </c>
      <c r="J1123" s="12">
        <v>46058</v>
      </c>
      <c r="K1123" s="11">
        <v>0.41666666666787933</v>
      </c>
      <c r="M1123" s="10" t="s">
        <v>15480</v>
      </c>
      <c r="N1123" s="12">
        <v>46058.321531180554</v>
      </c>
      <c r="O1123" s="10" t="s">
        <v>16098</v>
      </c>
      <c r="P1123" s="5" t="s">
        <v>14571</v>
      </c>
      <c r="Q1123" s="5" t="s">
        <v>14572</v>
      </c>
      <c r="R1123" s="5" t="s">
        <v>17371</v>
      </c>
      <c r="T1123" s="5" t="s">
        <v>5994</v>
      </c>
      <c r="U1123" s="5" t="s">
        <v>14593</v>
      </c>
      <c r="V1123" s="5" t="s">
        <v>1481</v>
      </c>
    </row>
    <row r="1124" spans="1:23" ht="12.5">
      <c r="A1124" s="5">
        <v>91628</v>
      </c>
      <c r="B1124" s="5" t="s">
        <v>17372</v>
      </c>
      <c r="C1124" s="5">
        <v>573147271426</v>
      </c>
      <c r="D1124" s="5">
        <v>65</v>
      </c>
      <c r="E1124" s="5" t="s">
        <v>322</v>
      </c>
      <c r="F1124" s="5" t="s">
        <v>5574</v>
      </c>
      <c r="G1124" s="5" t="s">
        <v>8581</v>
      </c>
      <c r="H1124" s="5" t="s">
        <v>8582</v>
      </c>
      <c r="I1124" s="5">
        <v>3215229164</v>
      </c>
      <c r="J1124" s="12">
        <v>46058</v>
      </c>
      <c r="K1124" s="11">
        <v>0.41666666666787933</v>
      </c>
      <c r="M1124" s="10" t="s">
        <v>16077</v>
      </c>
      <c r="N1124" s="12">
        <v>46058.320407071762</v>
      </c>
      <c r="O1124" s="10" t="s">
        <v>14577</v>
      </c>
      <c r="P1124" s="5" t="s">
        <v>14571</v>
      </c>
      <c r="Q1124" s="5" t="s">
        <v>14578</v>
      </c>
      <c r="R1124" s="5" t="s">
        <v>17373</v>
      </c>
      <c r="T1124" s="5" t="s">
        <v>5994</v>
      </c>
      <c r="U1124" s="5" t="s">
        <v>14593</v>
      </c>
      <c r="V1124" s="5" t="s">
        <v>67</v>
      </c>
    </row>
    <row r="1125" spans="1:23" ht="12.5">
      <c r="A1125" s="5">
        <v>91629</v>
      </c>
      <c r="B1125" s="5" t="s">
        <v>17374</v>
      </c>
      <c r="C1125" s="10" t="s">
        <v>17375</v>
      </c>
      <c r="D1125" s="5">
        <v>31</v>
      </c>
      <c r="E1125" s="5" t="s">
        <v>375</v>
      </c>
      <c r="F1125" s="5" t="s">
        <v>73</v>
      </c>
      <c r="G1125" s="5" t="s">
        <v>8586</v>
      </c>
      <c r="H1125" s="5" t="s">
        <v>8587</v>
      </c>
      <c r="I1125" s="5">
        <v>3505834440</v>
      </c>
      <c r="J1125" s="12">
        <v>46058</v>
      </c>
      <c r="K1125" s="11">
        <v>0.41666666666666669</v>
      </c>
      <c r="M1125" s="10" t="s">
        <v>14850</v>
      </c>
      <c r="N1125" s="12">
        <v>46058</v>
      </c>
      <c r="O1125" s="10" t="s">
        <v>14570</v>
      </c>
      <c r="P1125" s="5" t="s">
        <v>14571</v>
      </c>
      <c r="Q1125" s="5" t="s">
        <v>14699</v>
      </c>
      <c r="R1125" s="5" t="s">
        <v>17376</v>
      </c>
      <c r="T1125" s="5" t="s">
        <v>5994</v>
      </c>
      <c r="U1125" s="5" t="s">
        <v>14593</v>
      </c>
      <c r="V1125" s="5" t="s">
        <v>67</v>
      </c>
      <c r="W1125" s="5" t="s">
        <v>8590</v>
      </c>
    </row>
    <row r="1126" spans="1:23" ht="12.5">
      <c r="A1126" s="5">
        <v>91630</v>
      </c>
      <c r="B1126" s="5" t="s">
        <v>17377</v>
      </c>
      <c r="C1126" s="5">
        <v>573006147425</v>
      </c>
      <c r="D1126" s="5">
        <v>31</v>
      </c>
      <c r="E1126" s="5" t="s">
        <v>375</v>
      </c>
      <c r="F1126" s="5" t="s">
        <v>4558</v>
      </c>
      <c r="G1126" s="5" t="s">
        <v>8591</v>
      </c>
      <c r="H1126" s="5" t="s">
        <v>8592</v>
      </c>
      <c r="I1126" s="5">
        <v>3014078449</v>
      </c>
      <c r="J1126" s="12">
        <v>46058</v>
      </c>
      <c r="K1126" s="11">
        <v>0.41666666666787933</v>
      </c>
      <c r="M1126" s="10" t="s">
        <v>14627</v>
      </c>
      <c r="N1126" s="12">
        <v>46058.264410671298</v>
      </c>
      <c r="O1126" s="10" t="s">
        <v>17378</v>
      </c>
      <c r="P1126" s="5" t="s">
        <v>16291</v>
      </c>
      <c r="Q1126" s="5" t="s">
        <v>14699</v>
      </c>
      <c r="R1126" s="5" t="s">
        <v>17379</v>
      </c>
      <c r="T1126" s="5" t="s">
        <v>5994</v>
      </c>
      <c r="U1126" s="5" t="s">
        <v>14593</v>
      </c>
      <c r="V1126" s="5" t="s">
        <v>180</v>
      </c>
      <c r="W1126" s="5" t="s">
        <v>8594</v>
      </c>
    </row>
    <row r="1127" spans="1:23" ht="12.5">
      <c r="A1127" s="5">
        <v>91631</v>
      </c>
      <c r="B1127" s="5" t="s">
        <v>8596</v>
      </c>
      <c r="C1127" s="5">
        <v>570000</v>
      </c>
      <c r="D1127" s="5">
        <v>52</v>
      </c>
      <c r="E1127" s="5" t="s">
        <v>178</v>
      </c>
      <c r="F1127" s="5" t="s">
        <v>33</v>
      </c>
      <c r="G1127" s="5" t="s">
        <v>8596</v>
      </c>
      <c r="H1127" s="5" t="s">
        <v>34</v>
      </c>
      <c r="J1127" s="12">
        <v>46058</v>
      </c>
      <c r="K1127" s="11">
        <v>0</v>
      </c>
      <c r="M1127" s="10" t="s">
        <v>15161</v>
      </c>
      <c r="N1127" s="12">
        <v>46058.368280567127</v>
      </c>
      <c r="O1127" s="10" t="s">
        <v>15007</v>
      </c>
      <c r="P1127" s="5" t="s">
        <v>16291</v>
      </c>
      <c r="Q1127" s="5" t="s">
        <v>14699</v>
      </c>
      <c r="R1127" s="5" t="s">
        <v>17380</v>
      </c>
      <c r="T1127" s="5" t="s">
        <v>14574</v>
      </c>
      <c r="U1127" s="5" t="s">
        <v>33</v>
      </c>
      <c r="V1127" s="5" t="s">
        <v>37</v>
      </c>
      <c r="W1127" s="5" t="s">
        <v>8597</v>
      </c>
    </row>
    <row r="1128" spans="1:23" ht="12.5">
      <c r="A1128" s="5">
        <v>91632</v>
      </c>
      <c r="B1128" s="5" t="s">
        <v>17381</v>
      </c>
      <c r="C1128" s="5">
        <v>573023881376</v>
      </c>
      <c r="D1128" s="5">
        <v>31</v>
      </c>
      <c r="E1128" s="5" t="s">
        <v>375</v>
      </c>
      <c r="F1128" s="5" t="s">
        <v>328</v>
      </c>
      <c r="G1128" s="5" t="s">
        <v>8600</v>
      </c>
      <c r="H1128" s="5" t="s">
        <v>8601</v>
      </c>
      <c r="J1128" s="12">
        <v>46058</v>
      </c>
      <c r="K1128" s="11">
        <v>0.45833333333212067</v>
      </c>
      <c r="M1128" s="10" t="s">
        <v>14832</v>
      </c>
      <c r="N1128" s="12">
        <v>46058.382279664351</v>
      </c>
      <c r="O1128" s="10" t="s">
        <v>15592</v>
      </c>
      <c r="P1128" s="5" t="s">
        <v>14571</v>
      </c>
      <c r="Q1128" s="5" t="s">
        <v>14572</v>
      </c>
      <c r="R1128" s="5" t="s">
        <v>17382</v>
      </c>
      <c r="T1128" s="5" t="s">
        <v>5994</v>
      </c>
      <c r="U1128" s="5"/>
      <c r="V1128" s="5" t="s">
        <v>67</v>
      </c>
    </row>
    <row r="1129" spans="1:23" ht="12.5">
      <c r="A1129" s="5">
        <v>91633</v>
      </c>
      <c r="B1129" s="5" t="s">
        <v>8605</v>
      </c>
      <c r="C1129" s="5">
        <v>573148429221</v>
      </c>
      <c r="D1129" s="5">
        <v>53</v>
      </c>
      <c r="E1129" s="5" t="s">
        <v>75</v>
      </c>
      <c r="F1129" s="5" t="s">
        <v>33</v>
      </c>
      <c r="G1129" s="5" t="s">
        <v>8605</v>
      </c>
      <c r="H1129" s="5" t="s">
        <v>34</v>
      </c>
      <c r="I1129" s="5">
        <v>3148429221</v>
      </c>
      <c r="J1129" s="12">
        <v>46058</v>
      </c>
      <c r="K1129" s="11">
        <v>0</v>
      </c>
      <c r="M1129" s="10" t="s">
        <v>14585</v>
      </c>
      <c r="N1129" s="12">
        <v>46056.921286261575</v>
      </c>
      <c r="O1129" s="10" t="s">
        <v>14669</v>
      </c>
      <c r="P1129" s="5" t="s">
        <v>14571</v>
      </c>
      <c r="Q1129" s="5" t="s">
        <v>14572</v>
      </c>
      <c r="R1129" s="5" t="s">
        <v>17383</v>
      </c>
      <c r="T1129" s="5" t="s">
        <v>14574</v>
      </c>
      <c r="U1129" s="5" t="s">
        <v>33</v>
      </c>
      <c r="V1129" s="5" t="s">
        <v>2438</v>
      </c>
    </row>
    <row r="1130" spans="1:23" ht="12.5">
      <c r="A1130" s="5">
        <v>91634</v>
      </c>
      <c r="B1130" s="5" t="s">
        <v>17384</v>
      </c>
      <c r="C1130" s="5">
        <v>573007567345</v>
      </c>
      <c r="D1130" s="5">
        <v>95</v>
      </c>
      <c r="E1130" s="5" t="s">
        <v>42</v>
      </c>
      <c r="F1130" s="5" t="s">
        <v>110</v>
      </c>
      <c r="G1130" s="5" t="s">
        <v>8607</v>
      </c>
      <c r="H1130" s="5" t="s">
        <v>8608</v>
      </c>
      <c r="I1130" s="5">
        <v>3007567345</v>
      </c>
      <c r="J1130" s="12">
        <v>46058</v>
      </c>
      <c r="K1130" s="11">
        <v>0.45833333333212067</v>
      </c>
      <c r="M1130" s="10" t="s">
        <v>14863</v>
      </c>
      <c r="N1130" s="12">
        <v>46058.41422475694</v>
      </c>
      <c r="O1130" s="10" t="s">
        <v>15111</v>
      </c>
      <c r="P1130" s="5" t="s">
        <v>14571</v>
      </c>
      <c r="Q1130" s="5" t="s">
        <v>14578</v>
      </c>
      <c r="R1130" s="5" t="s">
        <v>17385</v>
      </c>
      <c r="T1130" s="5" t="s">
        <v>5994</v>
      </c>
      <c r="U1130" s="5" t="s">
        <v>14593</v>
      </c>
      <c r="V1130" s="5" t="s">
        <v>67</v>
      </c>
    </row>
    <row r="1131" spans="1:23" ht="12.5">
      <c r="A1131" s="5">
        <v>91635</v>
      </c>
      <c r="B1131" s="5" t="s">
        <v>8610</v>
      </c>
      <c r="C1131" s="5">
        <v>573013099731</v>
      </c>
      <c r="D1131" s="5">
        <v>57</v>
      </c>
      <c r="E1131" s="5" t="s">
        <v>1085</v>
      </c>
      <c r="F1131" s="5" t="s">
        <v>33</v>
      </c>
      <c r="G1131" s="5" t="s">
        <v>8610</v>
      </c>
      <c r="H1131" s="5" t="s">
        <v>34</v>
      </c>
      <c r="I1131" s="5">
        <v>3013099731</v>
      </c>
      <c r="J1131" s="12">
        <v>46058</v>
      </c>
      <c r="K1131" s="11">
        <v>0</v>
      </c>
      <c r="M1131" s="10" t="s">
        <v>10581</v>
      </c>
      <c r="N1131" s="12">
        <v>46058.434897106483</v>
      </c>
      <c r="O1131" s="10" t="s">
        <v>15088</v>
      </c>
      <c r="P1131" s="5" t="s">
        <v>14571</v>
      </c>
      <c r="Q1131" s="5" t="s">
        <v>14572</v>
      </c>
      <c r="R1131" s="5" t="s">
        <v>17386</v>
      </c>
      <c r="T1131" s="5" t="s">
        <v>14574</v>
      </c>
      <c r="U1131" s="5" t="s">
        <v>33</v>
      </c>
      <c r="V1131" s="5" t="s">
        <v>37</v>
      </c>
      <c r="W1131" s="5" t="s">
        <v>8611</v>
      </c>
    </row>
    <row r="1132" spans="1:23" ht="12.5">
      <c r="A1132" s="5">
        <v>91636</v>
      </c>
      <c r="B1132" s="5" t="s">
        <v>8614</v>
      </c>
      <c r="C1132" s="5">
        <v>573013459777</v>
      </c>
      <c r="D1132" s="5">
        <v>52</v>
      </c>
      <c r="E1132" s="5" t="s">
        <v>178</v>
      </c>
      <c r="F1132" s="5" t="s">
        <v>33</v>
      </c>
      <c r="G1132" s="5" t="s">
        <v>8614</v>
      </c>
      <c r="H1132" s="5" t="s">
        <v>34</v>
      </c>
      <c r="I1132" s="5">
        <v>3013459777</v>
      </c>
      <c r="J1132" s="12">
        <v>46058</v>
      </c>
      <c r="K1132" s="11">
        <v>0</v>
      </c>
      <c r="M1132" s="10" t="s">
        <v>15161</v>
      </c>
      <c r="N1132" s="12">
        <v>46058.436208032406</v>
      </c>
      <c r="O1132" s="10" t="s">
        <v>14660</v>
      </c>
      <c r="P1132" s="5" t="s">
        <v>14571</v>
      </c>
      <c r="Q1132" s="5" t="s">
        <v>14578</v>
      </c>
      <c r="R1132" s="5" t="s">
        <v>17387</v>
      </c>
      <c r="T1132" s="5" t="s">
        <v>14574</v>
      </c>
      <c r="U1132" s="5" t="s">
        <v>33</v>
      </c>
      <c r="V1132" s="5" t="s">
        <v>37</v>
      </c>
      <c r="W1132" s="5" t="s">
        <v>8615</v>
      </c>
    </row>
    <row r="1133" spans="1:23" ht="12.5">
      <c r="A1133" s="5">
        <v>91637</v>
      </c>
      <c r="B1133" s="5" t="s">
        <v>8617</v>
      </c>
      <c r="C1133" s="5">
        <v>573104389209</v>
      </c>
      <c r="D1133" s="5">
        <v>16</v>
      </c>
      <c r="E1133" s="5" t="s">
        <v>2556</v>
      </c>
      <c r="F1133" s="5" t="s">
        <v>33</v>
      </c>
      <c r="G1133" s="5" t="s">
        <v>8617</v>
      </c>
      <c r="H1133" s="5" t="s">
        <v>34</v>
      </c>
      <c r="I1133" s="5">
        <v>3104389209</v>
      </c>
      <c r="J1133" s="12">
        <v>46058</v>
      </c>
      <c r="K1133" s="11">
        <v>0.47916666666787933</v>
      </c>
      <c r="M1133" s="10" t="s">
        <v>16675</v>
      </c>
      <c r="N1133" s="12">
        <v>46058.445724560181</v>
      </c>
      <c r="O1133" s="10" t="s">
        <v>15503</v>
      </c>
      <c r="P1133" s="5" t="s">
        <v>14571</v>
      </c>
      <c r="Q1133" s="5" t="s">
        <v>14572</v>
      </c>
      <c r="R1133" s="5" t="s">
        <v>17388</v>
      </c>
      <c r="T1133" s="5" t="s">
        <v>14574</v>
      </c>
      <c r="U1133" s="5" t="s">
        <v>33</v>
      </c>
      <c r="V1133" s="5" t="s">
        <v>196</v>
      </c>
    </row>
    <row r="1134" spans="1:23" ht="12.5">
      <c r="A1134" s="5">
        <v>91638</v>
      </c>
      <c r="B1134" s="5" t="s">
        <v>15552</v>
      </c>
      <c r="C1134" s="5">
        <v>573017229158</v>
      </c>
      <c r="D1134" s="5">
        <v>95</v>
      </c>
      <c r="E1134" s="5" t="s">
        <v>42</v>
      </c>
      <c r="F1134" s="5" t="s">
        <v>7476</v>
      </c>
      <c r="G1134" s="5" t="s">
        <v>8621</v>
      </c>
      <c r="H1134" s="5" t="s">
        <v>8622</v>
      </c>
      <c r="I1134" s="5">
        <v>3017229158</v>
      </c>
      <c r="J1134" s="12">
        <v>46058</v>
      </c>
      <c r="K1134" s="11">
        <v>0.75</v>
      </c>
      <c r="M1134" s="10" t="s">
        <v>16003</v>
      </c>
      <c r="N1134" s="12">
        <v>46058.446500636579</v>
      </c>
      <c r="O1134" s="10" t="s">
        <v>15768</v>
      </c>
      <c r="P1134" s="5" t="s">
        <v>14571</v>
      </c>
      <c r="Q1134" s="5" t="s">
        <v>14572</v>
      </c>
      <c r="R1134" s="5" t="s">
        <v>17389</v>
      </c>
      <c r="T1134" s="5" t="s">
        <v>5994</v>
      </c>
      <c r="U1134" s="5" t="s">
        <v>15349</v>
      </c>
      <c r="V1134" s="5" t="s">
        <v>67</v>
      </c>
    </row>
    <row r="1135" spans="1:23" ht="12.5">
      <c r="A1135" s="5">
        <v>91639</v>
      </c>
      <c r="B1135" s="5" t="s">
        <v>1685</v>
      </c>
      <c r="C1135" s="5">
        <v>573173672739</v>
      </c>
      <c r="D1135" s="5">
        <v>95</v>
      </c>
      <c r="E1135" s="5" t="s">
        <v>42</v>
      </c>
      <c r="F1135" s="5" t="s">
        <v>33</v>
      </c>
      <c r="G1135" s="5" t="s">
        <v>1685</v>
      </c>
      <c r="H1135" s="5" t="s">
        <v>34</v>
      </c>
      <c r="I1135" s="5">
        <v>3173672739</v>
      </c>
      <c r="J1135" s="12">
        <v>46058</v>
      </c>
      <c r="K1135" s="11">
        <v>0</v>
      </c>
      <c r="M1135" s="10" t="s">
        <v>10581</v>
      </c>
      <c r="N1135" s="12">
        <v>46058.472533645836</v>
      </c>
      <c r="O1135" s="10" t="s">
        <v>15509</v>
      </c>
      <c r="P1135" s="5" t="s">
        <v>14571</v>
      </c>
      <c r="Q1135" s="5" t="s">
        <v>14578</v>
      </c>
      <c r="R1135" s="5" t="s">
        <v>17390</v>
      </c>
      <c r="T1135" s="5" t="s">
        <v>14574</v>
      </c>
      <c r="U1135" s="5" t="s">
        <v>33</v>
      </c>
      <c r="V1135" s="5" t="s">
        <v>83</v>
      </c>
    </row>
    <row r="1136" spans="1:23" ht="12.5">
      <c r="A1136" s="5">
        <v>91640</v>
      </c>
      <c r="B1136" s="5" t="s">
        <v>17391</v>
      </c>
      <c r="C1136" s="5">
        <v>573126910321</v>
      </c>
      <c r="D1136" s="5">
        <v>2</v>
      </c>
      <c r="E1136" s="5" t="s">
        <v>1251</v>
      </c>
      <c r="G1136" s="5" t="s">
        <v>8626</v>
      </c>
      <c r="H1136" s="5" t="s">
        <v>8627</v>
      </c>
      <c r="J1136" s="12">
        <v>46058</v>
      </c>
      <c r="K1136" s="11">
        <v>8.3333333332120674E-2</v>
      </c>
      <c r="M1136" s="10" t="s">
        <v>14705</v>
      </c>
      <c r="N1136" s="12">
        <v>46058.482440219908</v>
      </c>
      <c r="O1136" s="10" t="s">
        <v>14877</v>
      </c>
      <c r="P1136" s="5" t="s">
        <v>14571</v>
      </c>
      <c r="Q1136" s="5" t="s">
        <v>14572</v>
      </c>
      <c r="R1136" s="5" t="s">
        <v>17392</v>
      </c>
      <c r="T1136" s="5" t="s">
        <v>5994</v>
      </c>
      <c r="V1136" s="5" t="s">
        <v>67</v>
      </c>
      <c r="W1136" s="5" t="s">
        <v>8629</v>
      </c>
    </row>
    <row r="1137" spans="1:23" ht="12.5">
      <c r="A1137" s="5">
        <v>91641</v>
      </c>
      <c r="B1137" s="5" t="s">
        <v>8631</v>
      </c>
      <c r="C1137" s="5">
        <v>573164543781</v>
      </c>
      <c r="D1137" s="5">
        <v>95</v>
      </c>
      <c r="E1137" s="5" t="s">
        <v>42</v>
      </c>
      <c r="F1137" s="5" t="s">
        <v>33</v>
      </c>
      <c r="G1137" s="5" t="s">
        <v>8631</v>
      </c>
      <c r="H1137" s="5" t="s">
        <v>34</v>
      </c>
      <c r="I1137" s="5" t="s">
        <v>8632</v>
      </c>
      <c r="J1137" s="12">
        <v>46058</v>
      </c>
      <c r="K1137" s="11">
        <v>0</v>
      </c>
      <c r="M1137" s="10" t="s">
        <v>15628</v>
      </c>
      <c r="N1137" s="12">
        <v>46058.509463240742</v>
      </c>
      <c r="O1137" s="10" t="s">
        <v>14744</v>
      </c>
      <c r="P1137" s="5" t="s">
        <v>14571</v>
      </c>
      <c r="Q1137" s="5" t="s">
        <v>14572</v>
      </c>
      <c r="R1137" s="5" t="s">
        <v>17393</v>
      </c>
      <c r="T1137" s="5" t="s">
        <v>14574</v>
      </c>
      <c r="U1137" s="5" t="s">
        <v>33</v>
      </c>
      <c r="V1137" s="5" t="s">
        <v>1705</v>
      </c>
    </row>
    <row r="1138" spans="1:23" ht="12.5">
      <c r="A1138" s="5">
        <v>91642</v>
      </c>
      <c r="B1138" s="5" t="s">
        <v>17394</v>
      </c>
      <c r="C1138" s="10" t="s">
        <v>17395</v>
      </c>
      <c r="D1138" s="5">
        <v>52</v>
      </c>
      <c r="E1138" s="5" t="s">
        <v>178</v>
      </c>
      <c r="F1138" s="5" t="s">
        <v>103</v>
      </c>
      <c r="G1138" s="5" t="s">
        <v>17396</v>
      </c>
      <c r="H1138" s="5" t="s">
        <v>8634</v>
      </c>
      <c r="I1138" s="5">
        <v>3167749483</v>
      </c>
      <c r="J1138" s="12">
        <v>46058</v>
      </c>
      <c r="K1138" s="11">
        <v>0</v>
      </c>
      <c r="M1138" s="10" t="s">
        <v>15594</v>
      </c>
      <c r="N1138" s="12">
        <v>46058</v>
      </c>
      <c r="O1138" s="10" t="s">
        <v>15393</v>
      </c>
      <c r="P1138" s="5" t="s">
        <v>14571</v>
      </c>
      <c r="Q1138" s="5" t="s">
        <v>14572</v>
      </c>
      <c r="R1138" s="5" t="s">
        <v>17397</v>
      </c>
      <c r="T1138" s="5" t="s">
        <v>5994</v>
      </c>
      <c r="U1138" s="5" t="s">
        <v>14593</v>
      </c>
      <c r="V1138" s="5" t="s">
        <v>67</v>
      </c>
    </row>
    <row r="1139" spans="1:23" ht="12.5">
      <c r="A1139" s="5">
        <v>91643</v>
      </c>
      <c r="B1139" s="5" t="s">
        <v>3526</v>
      </c>
      <c r="C1139" s="5">
        <v>573174289182</v>
      </c>
      <c r="D1139" s="5" t="s">
        <v>14589</v>
      </c>
      <c r="E1139" s="5" t="s">
        <v>8637</v>
      </c>
      <c r="F1139" s="5" t="s">
        <v>33</v>
      </c>
      <c r="G1139" s="5" t="s">
        <v>3526</v>
      </c>
      <c r="H1139" s="5" t="s">
        <v>34</v>
      </c>
      <c r="I1139" s="5">
        <v>3174289182</v>
      </c>
      <c r="J1139" s="12">
        <v>46058</v>
      </c>
      <c r="K1139" s="11">
        <v>0</v>
      </c>
      <c r="M1139" s="10" t="s">
        <v>17398</v>
      </c>
      <c r="N1139" s="12">
        <v>46058.559827812496</v>
      </c>
      <c r="O1139" s="10" t="s">
        <v>15864</v>
      </c>
      <c r="P1139" s="5" t="s">
        <v>14571</v>
      </c>
      <c r="Q1139" s="5" t="s">
        <v>14572</v>
      </c>
      <c r="R1139" s="5" t="s">
        <v>17399</v>
      </c>
      <c r="T1139" s="5" t="s">
        <v>14574</v>
      </c>
      <c r="U1139" s="5" t="s">
        <v>33</v>
      </c>
      <c r="V1139" s="5" t="s">
        <v>67</v>
      </c>
    </row>
    <row r="1140" spans="1:23" ht="12.5">
      <c r="A1140" s="5">
        <v>91644</v>
      </c>
      <c r="B1140" s="5" t="s">
        <v>17400</v>
      </c>
      <c r="C1140" s="5">
        <v>573104932529</v>
      </c>
      <c r="D1140" s="5">
        <v>19</v>
      </c>
      <c r="E1140" s="5" t="s">
        <v>2120</v>
      </c>
      <c r="F1140" s="5" t="s">
        <v>405</v>
      </c>
      <c r="G1140" s="5" t="s">
        <v>8638</v>
      </c>
      <c r="H1140" s="5" t="s">
        <v>8639</v>
      </c>
      <c r="I1140" s="5">
        <v>3104932529</v>
      </c>
      <c r="J1140" s="12">
        <v>46066</v>
      </c>
      <c r="K1140" s="11">
        <v>0.375</v>
      </c>
      <c r="M1140" s="10" t="s">
        <v>15859</v>
      </c>
      <c r="N1140" s="12">
        <v>46058.549632291666</v>
      </c>
      <c r="O1140" s="10" t="s">
        <v>15698</v>
      </c>
      <c r="P1140" s="5" t="s">
        <v>14571</v>
      </c>
      <c r="Q1140" s="5" t="s">
        <v>14578</v>
      </c>
      <c r="R1140" s="5" t="s">
        <v>17401</v>
      </c>
      <c r="T1140" s="5" t="s">
        <v>5994</v>
      </c>
      <c r="U1140" s="5"/>
      <c r="V1140" s="5" t="s">
        <v>7644</v>
      </c>
      <c r="W1140" s="5" t="s">
        <v>8642</v>
      </c>
    </row>
    <row r="1141" spans="1:23" ht="12.5">
      <c r="A1141" s="5">
        <v>91645</v>
      </c>
      <c r="B1141" s="5" t="s">
        <v>17402</v>
      </c>
      <c r="C1141" s="5">
        <v>573157520378</v>
      </c>
      <c r="D1141" s="5">
        <v>29</v>
      </c>
      <c r="E1141" s="5" t="s">
        <v>309</v>
      </c>
      <c r="F1141" s="5" t="s">
        <v>328</v>
      </c>
      <c r="G1141" s="5" t="s">
        <v>8645</v>
      </c>
      <c r="H1141" s="5" t="s">
        <v>8646</v>
      </c>
      <c r="I1141" s="5">
        <v>3157520378</v>
      </c>
      <c r="J1141" s="12">
        <v>46066</v>
      </c>
      <c r="K1141" s="11">
        <v>0.375</v>
      </c>
      <c r="M1141" s="10" t="s">
        <v>15632</v>
      </c>
      <c r="N1141" s="12">
        <v>46058.603451817129</v>
      </c>
      <c r="O1141" s="10" t="s">
        <v>17403</v>
      </c>
      <c r="P1141" s="5" t="s">
        <v>14571</v>
      </c>
      <c r="Q1141" s="5" t="s">
        <v>17404</v>
      </c>
      <c r="R1141" s="5" t="s">
        <v>17405</v>
      </c>
      <c r="T1141" s="5" t="s">
        <v>5994</v>
      </c>
      <c r="U1141" s="5"/>
      <c r="V1141" s="5" t="s">
        <v>3754</v>
      </c>
      <c r="W1141" s="5" t="s">
        <v>8648</v>
      </c>
    </row>
    <row r="1142" spans="1:23" ht="12.5">
      <c r="A1142" s="5">
        <v>91646</v>
      </c>
      <c r="B1142" s="5" t="s">
        <v>17406</v>
      </c>
      <c r="C1142" s="10" t="s">
        <v>17407</v>
      </c>
      <c r="D1142" s="5">
        <v>39</v>
      </c>
      <c r="E1142" s="5" t="s">
        <v>96</v>
      </c>
      <c r="F1142" s="5" t="s">
        <v>73</v>
      </c>
      <c r="G1142" s="5" t="s">
        <v>17408</v>
      </c>
      <c r="H1142" s="5" t="s">
        <v>8652</v>
      </c>
      <c r="I1142" s="5">
        <v>3012666399</v>
      </c>
      <c r="J1142" s="12">
        <v>46059</v>
      </c>
      <c r="K1142" s="11">
        <v>0.375</v>
      </c>
      <c r="M1142" s="10" t="s">
        <v>16647</v>
      </c>
      <c r="N1142" s="12">
        <v>46058</v>
      </c>
      <c r="O1142" s="10" t="s">
        <v>14607</v>
      </c>
      <c r="P1142" s="5" t="s">
        <v>14571</v>
      </c>
      <c r="Q1142" s="5" t="s">
        <v>14578</v>
      </c>
      <c r="R1142" s="5" t="s">
        <v>17409</v>
      </c>
      <c r="T1142" s="5" t="s">
        <v>5994</v>
      </c>
      <c r="U1142" s="5" t="s">
        <v>14593</v>
      </c>
      <c r="V1142" s="5" t="s">
        <v>1481</v>
      </c>
    </row>
    <row r="1143" spans="1:23" ht="12.5">
      <c r="A1143" s="5">
        <v>91647</v>
      </c>
      <c r="B1143" s="5" t="s">
        <v>17410</v>
      </c>
      <c r="C1143" s="5">
        <v>17865186525</v>
      </c>
      <c r="D1143" s="5">
        <v>45</v>
      </c>
      <c r="E1143" s="5" t="s">
        <v>210</v>
      </c>
      <c r="F1143" s="5" t="s">
        <v>161</v>
      </c>
      <c r="G1143" s="5" t="s">
        <v>8655</v>
      </c>
      <c r="H1143" s="5" t="s">
        <v>8656</v>
      </c>
      <c r="I1143" s="5">
        <v>3558785</v>
      </c>
      <c r="J1143" s="12">
        <v>46058</v>
      </c>
      <c r="K1143" s="11">
        <v>0.625</v>
      </c>
      <c r="M1143" s="10" t="s">
        <v>16429</v>
      </c>
      <c r="N1143" s="12">
        <v>46058.564228067131</v>
      </c>
      <c r="O1143" s="10" t="s">
        <v>14836</v>
      </c>
      <c r="P1143" s="5" t="s">
        <v>14571</v>
      </c>
      <c r="Q1143" s="5" t="s">
        <v>14578</v>
      </c>
      <c r="R1143" s="5" t="s">
        <v>17411</v>
      </c>
      <c r="T1143" s="5" t="s">
        <v>5994</v>
      </c>
      <c r="U1143" s="5" t="s">
        <v>14593</v>
      </c>
      <c r="V1143" s="5" t="s">
        <v>1937</v>
      </c>
    </row>
    <row r="1144" spans="1:23" ht="12.5">
      <c r="A1144" s="5">
        <v>91648</v>
      </c>
      <c r="B1144" s="5" t="s">
        <v>17412</v>
      </c>
      <c r="C1144" s="10" t="s">
        <v>17413</v>
      </c>
      <c r="D1144" s="5">
        <v>53</v>
      </c>
      <c r="E1144" s="5" t="s">
        <v>75</v>
      </c>
      <c r="F1144" s="5" t="s">
        <v>33</v>
      </c>
      <c r="G1144" s="5" t="s">
        <v>3007</v>
      </c>
      <c r="H1144" s="5" t="s">
        <v>34</v>
      </c>
      <c r="J1144" s="12">
        <v>46058</v>
      </c>
      <c r="K1144" s="11">
        <v>0</v>
      </c>
      <c r="M1144" s="10" t="s">
        <v>14585</v>
      </c>
      <c r="N1144" s="12">
        <v>46058</v>
      </c>
      <c r="O1144" s="10" t="s">
        <v>15547</v>
      </c>
      <c r="P1144" s="5" t="s">
        <v>14571</v>
      </c>
      <c r="Q1144" s="5" t="s">
        <v>14572</v>
      </c>
      <c r="R1144" s="5" t="s">
        <v>17414</v>
      </c>
      <c r="T1144" s="5" t="s">
        <v>14574</v>
      </c>
      <c r="U1144" s="5" t="s">
        <v>33</v>
      </c>
      <c r="V1144" s="5" t="s">
        <v>1705</v>
      </c>
      <c r="W1144" s="5" t="s">
        <v>8660</v>
      </c>
    </row>
    <row r="1145" spans="1:23" ht="12.5">
      <c r="A1145" s="5">
        <v>91649</v>
      </c>
      <c r="B1145" s="5" t="s">
        <v>5734</v>
      </c>
      <c r="C1145" s="5">
        <v>573007682024</v>
      </c>
      <c r="D1145" s="5">
        <v>95</v>
      </c>
      <c r="E1145" s="5" t="s">
        <v>42</v>
      </c>
      <c r="F1145" s="5" t="s">
        <v>33</v>
      </c>
      <c r="G1145" s="5" t="s">
        <v>5734</v>
      </c>
      <c r="H1145" s="5" t="s">
        <v>34</v>
      </c>
      <c r="I1145" s="5">
        <v>3007682024</v>
      </c>
      <c r="J1145" s="12">
        <v>46058</v>
      </c>
      <c r="K1145" s="11">
        <v>0</v>
      </c>
      <c r="M1145" s="10" t="s">
        <v>2686</v>
      </c>
      <c r="N1145" s="12">
        <v>46058.616846840276</v>
      </c>
      <c r="O1145" s="10" t="s">
        <v>17415</v>
      </c>
      <c r="P1145" s="5" t="s">
        <v>17416</v>
      </c>
      <c r="Q1145" s="5" t="s">
        <v>14612</v>
      </c>
      <c r="R1145" s="5" t="s">
        <v>17417</v>
      </c>
      <c r="T1145" s="5" t="s">
        <v>14574</v>
      </c>
      <c r="U1145" s="5" t="s">
        <v>33</v>
      </c>
      <c r="V1145" s="5" t="s">
        <v>43</v>
      </c>
      <c r="W1145" s="5" t="s">
        <v>8661</v>
      </c>
    </row>
    <row r="1146" spans="1:23" ht="12.5">
      <c r="A1146" s="5">
        <v>91650</v>
      </c>
      <c r="B1146" s="5" t="s">
        <v>8663</v>
      </c>
      <c r="C1146" s="5">
        <v>573157538423</v>
      </c>
      <c r="D1146" s="5">
        <v>31</v>
      </c>
      <c r="E1146" s="5" t="s">
        <v>375</v>
      </c>
      <c r="F1146" s="5" t="s">
        <v>33</v>
      </c>
      <c r="G1146" s="5" t="s">
        <v>8663</v>
      </c>
      <c r="H1146" s="5" t="s">
        <v>34</v>
      </c>
      <c r="I1146" s="5">
        <v>3157538423</v>
      </c>
      <c r="J1146" s="12">
        <v>46058</v>
      </c>
      <c r="K1146" s="11">
        <v>0</v>
      </c>
      <c r="M1146" s="10" t="s">
        <v>14585</v>
      </c>
      <c r="N1146" s="12">
        <v>46058.623409965279</v>
      </c>
      <c r="O1146" s="10" t="s">
        <v>15246</v>
      </c>
      <c r="P1146" s="5" t="s">
        <v>14571</v>
      </c>
      <c r="Q1146" s="5" t="s">
        <v>14572</v>
      </c>
      <c r="R1146" s="5" t="s">
        <v>17418</v>
      </c>
      <c r="T1146" s="5" t="s">
        <v>14574</v>
      </c>
      <c r="U1146" s="5" t="s">
        <v>33</v>
      </c>
      <c r="V1146" s="5" t="s">
        <v>1705</v>
      </c>
    </row>
    <row r="1147" spans="1:23" ht="12.5">
      <c r="A1147" s="5">
        <v>91651</v>
      </c>
      <c r="B1147" s="5" t="s">
        <v>8664</v>
      </c>
      <c r="C1147" s="5">
        <v>573147791720</v>
      </c>
      <c r="D1147" s="5">
        <v>95</v>
      </c>
      <c r="E1147" s="5" t="s">
        <v>42</v>
      </c>
      <c r="F1147" s="5" t="s">
        <v>33</v>
      </c>
      <c r="G1147" s="5" t="s">
        <v>8664</v>
      </c>
      <c r="H1147" s="5" t="s">
        <v>34</v>
      </c>
      <c r="I1147" s="5">
        <v>3147791720</v>
      </c>
      <c r="J1147" s="12">
        <v>46058</v>
      </c>
      <c r="K1147" s="11">
        <v>0</v>
      </c>
      <c r="M1147" s="10" t="s">
        <v>2686</v>
      </c>
      <c r="N1147" s="12">
        <v>46058.644299386578</v>
      </c>
      <c r="O1147" s="10" t="s">
        <v>16925</v>
      </c>
      <c r="P1147" s="5" t="s">
        <v>14571</v>
      </c>
      <c r="Q1147" s="5" t="s">
        <v>14578</v>
      </c>
      <c r="R1147" s="5" t="s">
        <v>17419</v>
      </c>
      <c r="T1147" s="5" t="s">
        <v>14574</v>
      </c>
      <c r="U1147" s="5" t="s">
        <v>33</v>
      </c>
      <c r="V1147" s="5" t="s">
        <v>43</v>
      </c>
      <c r="W1147" s="5" t="s">
        <v>8665</v>
      </c>
    </row>
    <row r="1148" spans="1:23" ht="12.5">
      <c r="A1148" s="5">
        <v>91652</v>
      </c>
      <c r="B1148" s="5" t="s">
        <v>14520</v>
      </c>
      <c r="C1148" s="5">
        <v>573008606738</v>
      </c>
      <c r="D1148" s="5">
        <v>20</v>
      </c>
      <c r="E1148" s="5" t="s">
        <v>187</v>
      </c>
      <c r="F1148" s="5" t="s">
        <v>33</v>
      </c>
      <c r="G1148" s="5" t="s">
        <v>8666</v>
      </c>
      <c r="H1148" s="5" t="s">
        <v>34</v>
      </c>
      <c r="I1148" s="5" t="s">
        <v>8667</v>
      </c>
      <c r="J1148" s="12">
        <v>46058</v>
      </c>
      <c r="K1148" s="11">
        <v>0.70833333333212067</v>
      </c>
      <c r="M1148" s="10" t="s">
        <v>14569</v>
      </c>
      <c r="N1148" s="12">
        <v>46058.638740601848</v>
      </c>
      <c r="O1148" s="10" t="s">
        <v>16477</v>
      </c>
      <c r="P1148" s="5" t="s">
        <v>14571</v>
      </c>
      <c r="Q1148" s="5" t="s">
        <v>14578</v>
      </c>
      <c r="R1148" s="5" t="s">
        <v>17420</v>
      </c>
      <c r="T1148" s="5" t="s">
        <v>14574</v>
      </c>
      <c r="U1148" s="5" t="s">
        <v>33</v>
      </c>
      <c r="V1148" s="5" t="s">
        <v>67</v>
      </c>
    </row>
    <row r="1149" spans="1:23" ht="12.5">
      <c r="A1149" s="5">
        <v>91653</v>
      </c>
      <c r="B1149" s="5" t="s">
        <v>17421</v>
      </c>
      <c r="C1149" s="10" t="s">
        <v>17422</v>
      </c>
      <c r="D1149" s="5">
        <v>56</v>
      </c>
      <c r="E1149" s="5" t="s">
        <v>1102</v>
      </c>
      <c r="G1149" s="5" t="s">
        <v>8670</v>
      </c>
      <c r="H1149" s="5" t="s">
        <v>8671</v>
      </c>
      <c r="J1149" s="12">
        <v>46066</v>
      </c>
      <c r="K1149" s="11">
        <v>0.375</v>
      </c>
      <c r="M1149" s="10" t="s">
        <v>14569</v>
      </c>
      <c r="N1149" s="12">
        <v>46058</v>
      </c>
      <c r="O1149" s="10" t="s">
        <v>14931</v>
      </c>
      <c r="P1149" s="5" t="s">
        <v>14571</v>
      </c>
      <c r="Q1149" s="5" t="s">
        <v>17423</v>
      </c>
      <c r="R1149" s="5" t="s">
        <v>17424</v>
      </c>
      <c r="T1149" s="5" t="s">
        <v>5994</v>
      </c>
      <c r="V1149" s="5" t="s">
        <v>7644</v>
      </c>
      <c r="W1149" s="5" t="s">
        <v>8673</v>
      </c>
    </row>
    <row r="1150" spans="1:23" ht="12.5">
      <c r="A1150" s="5">
        <v>91654</v>
      </c>
      <c r="B1150" s="5" t="s">
        <v>13520</v>
      </c>
      <c r="C1150" s="10" t="s">
        <v>17425</v>
      </c>
      <c r="D1150" s="5" t="s">
        <v>14589</v>
      </c>
      <c r="E1150" s="5" t="s">
        <v>8678</v>
      </c>
      <c r="F1150" s="5" t="s">
        <v>63</v>
      </c>
      <c r="G1150" s="5" t="s">
        <v>17426</v>
      </c>
      <c r="H1150" s="5" t="s">
        <v>8677</v>
      </c>
      <c r="I1150" s="5">
        <v>3118234583</v>
      </c>
      <c r="J1150" s="12">
        <v>46060</v>
      </c>
      <c r="K1150" s="11">
        <v>0.70833333333333337</v>
      </c>
      <c r="M1150" s="10" t="s">
        <v>17427</v>
      </c>
      <c r="N1150" s="12">
        <v>46058</v>
      </c>
      <c r="O1150" s="10" t="s">
        <v>15439</v>
      </c>
      <c r="P1150" s="5" t="s">
        <v>14571</v>
      </c>
      <c r="Q1150" s="5" t="s">
        <v>14572</v>
      </c>
      <c r="R1150" s="5" t="s">
        <v>17428</v>
      </c>
      <c r="T1150" s="5" t="s">
        <v>5994</v>
      </c>
      <c r="U1150" s="5" t="s">
        <v>14598</v>
      </c>
      <c r="V1150" s="5" t="s">
        <v>67</v>
      </c>
      <c r="W1150" s="5" t="s">
        <v>8681</v>
      </c>
    </row>
    <row r="1151" spans="1:23" ht="12.5">
      <c r="A1151" s="5">
        <v>91655</v>
      </c>
      <c r="B1151" s="5" t="s">
        <v>17429</v>
      </c>
      <c r="C1151" s="5">
        <v>573004822021</v>
      </c>
      <c r="D1151" s="5">
        <v>1</v>
      </c>
      <c r="E1151" s="5" t="s">
        <v>5730</v>
      </c>
      <c r="F1151" s="5" t="s">
        <v>886</v>
      </c>
      <c r="G1151" s="5" t="s">
        <v>8682</v>
      </c>
      <c r="H1151" s="5" t="s">
        <v>8683</v>
      </c>
      <c r="J1151" s="12">
        <v>46059</v>
      </c>
      <c r="K1151" s="11">
        <v>0.375</v>
      </c>
      <c r="M1151" s="10" t="s">
        <v>17430</v>
      </c>
      <c r="N1151" s="12">
        <v>46058.68881305556</v>
      </c>
      <c r="O1151" s="10" t="s">
        <v>14920</v>
      </c>
      <c r="P1151" s="5" t="s">
        <v>14571</v>
      </c>
      <c r="Q1151" s="5" t="s">
        <v>14612</v>
      </c>
      <c r="R1151" s="5" t="s">
        <v>17431</v>
      </c>
      <c r="T1151" s="5" t="s">
        <v>5994</v>
      </c>
      <c r="U1151" s="5" t="s">
        <v>14618</v>
      </c>
      <c r="V1151" s="5" t="s">
        <v>1705</v>
      </c>
    </row>
    <row r="1152" spans="1:23" ht="12.5">
      <c r="A1152" s="5">
        <v>91656</v>
      </c>
      <c r="B1152" s="5" t="s">
        <v>8687</v>
      </c>
      <c r="C1152" s="5">
        <v>573163543233</v>
      </c>
      <c r="D1152" s="5">
        <v>95</v>
      </c>
      <c r="E1152" s="5" t="s">
        <v>42</v>
      </c>
      <c r="G1152" s="5" t="s">
        <v>8687</v>
      </c>
      <c r="H1152" s="5" t="s">
        <v>8688</v>
      </c>
      <c r="I1152" s="5">
        <v>3163543233</v>
      </c>
      <c r="J1152" s="12">
        <v>46058</v>
      </c>
      <c r="K1152" s="11">
        <v>0.70833333333212067</v>
      </c>
      <c r="M1152" s="10" t="s">
        <v>14569</v>
      </c>
      <c r="N1152" s="12">
        <v>46058.698801481485</v>
      </c>
      <c r="O1152" s="10" t="s">
        <v>15223</v>
      </c>
      <c r="P1152" s="5" t="s">
        <v>14571</v>
      </c>
      <c r="Q1152" s="5" t="s">
        <v>14572</v>
      </c>
      <c r="R1152" s="5" t="s">
        <v>17432</v>
      </c>
      <c r="T1152" s="5" t="s">
        <v>5994</v>
      </c>
      <c r="V1152" s="5" t="s">
        <v>180</v>
      </c>
    </row>
    <row r="1153" spans="1:23" ht="12.5">
      <c r="A1153" s="5">
        <v>91657</v>
      </c>
      <c r="B1153" s="5" t="s">
        <v>17433</v>
      </c>
      <c r="C1153" s="5">
        <v>576178667912</v>
      </c>
      <c r="D1153" s="5">
        <v>95</v>
      </c>
      <c r="E1153" s="5" t="s">
        <v>42</v>
      </c>
      <c r="F1153" s="5" t="s">
        <v>161</v>
      </c>
      <c r="G1153" s="5" t="s">
        <v>8691</v>
      </c>
      <c r="H1153" s="5" t="s">
        <v>8692</v>
      </c>
      <c r="I1153" s="5" t="s">
        <v>8693</v>
      </c>
      <c r="J1153" s="12">
        <v>46059</v>
      </c>
      <c r="K1153" s="11">
        <v>0</v>
      </c>
      <c r="M1153" s="10" t="s">
        <v>15656</v>
      </c>
      <c r="N1153" s="12">
        <v>46058.739816273148</v>
      </c>
      <c r="O1153" s="10" t="s">
        <v>15665</v>
      </c>
      <c r="P1153" s="5" t="s">
        <v>14571</v>
      </c>
      <c r="Q1153" s="5" t="s">
        <v>14612</v>
      </c>
      <c r="R1153" s="5" t="s">
        <v>17434</v>
      </c>
      <c r="T1153" s="5" t="s">
        <v>5994</v>
      </c>
      <c r="U1153" s="5" t="s">
        <v>14593</v>
      </c>
      <c r="V1153" s="5" t="s">
        <v>1937</v>
      </c>
      <c r="W1153" s="5" t="s">
        <v>8695</v>
      </c>
    </row>
    <row r="1154" spans="1:23" ht="12.5">
      <c r="A1154" s="5">
        <v>91658</v>
      </c>
      <c r="B1154" s="5" t="s">
        <v>8698</v>
      </c>
      <c r="C1154" s="10" t="s">
        <v>17435</v>
      </c>
      <c r="D1154" s="5">
        <v>45</v>
      </c>
      <c r="E1154" s="5" t="s">
        <v>210</v>
      </c>
      <c r="F1154" s="5" t="s">
        <v>33</v>
      </c>
      <c r="G1154" s="5" t="s">
        <v>8698</v>
      </c>
      <c r="H1154" s="5" t="s">
        <v>34</v>
      </c>
      <c r="I1154" s="5">
        <v>3174419970</v>
      </c>
      <c r="J1154" s="12">
        <v>46058</v>
      </c>
      <c r="K1154" s="11">
        <v>0.75</v>
      </c>
      <c r="M1154" s="10" t="s">
        <v>14734</v>
      </c>
      <c r="N1154" s="12">
        <v>46058</v>
      </c>
      <c r="O1154" s="10" t="s">
        <v>15341</v>
      </c>
      <c r="P1154" s="5" t="s">
        <v>17416</v>
      </c>
      <c r="Q1154" s="5" t="s">
        <v>14612</v>
      </c>
      <c r="R1154" s="5" t="s">
        <v>17436</v>
      </c>
      <c r="T1154" s="5" t="s">
        <v>14574</v>
      </c>
      <c r="U1154" s="5" t="s">
        <v>33</v>
      </c>
      <c r="V1154" s="5" t="s">
        <v>1705</v>
      </c>
    </row>
    <row r="1155" spans="1:23" ht="12.5">
      <c r="A1155" s="5">
        <v>91659</v>
      </c>
      <c r="B1155" s="5" t="s">
        <v>8700</v>
      </c>
      <c r="C1155" s="10" t="s">
        <v>17437</v>
      </c>
      <c r="D1155" s="5">
        <v>95</v>
      </c>
      <c r="E1155" s="5" t="s">
        <v>42</v>
      </c>
      <c r="F1155" s="5" t="s">
        <v>33</v>
      </c>
      <c r="G1155" s="5" t="s">
        <v>8700</v>
      </c>
      <c r="H1155" s="5" t="s">
        <v>34</v>
      </c>
      <c r="I1155" s="5">
        <v>3013529652</v>
      </c>
      <c r="J1155" s="12">
        <v>46058</v>
      </c>
      <c r="K1155" s="11">
        <v>0.75</v>
      </c>
      <c r="M1155" s="10" t="s">
        <v>14627</v>
      </c>
      <c r="N1155" s="12">
        <v>46058</v>
      </c>
      <c r="O1155" s="10" t="s">
        <v>17360</v>
      </c>
      <c r="P1155" s="5" t="s">
        <v>17416</v>
      </c>
      <c r="Q1155" s="5" t="s">
        <v>14699</v>
      </c>
      <c r="R1155" s="5" t="s">
        <v>17438</v>
      </c>
      <c r="T1155" s="5" t="s">
        <v>14574</v>
      </c>
      <c r="U1155" s="5" t="s">
        <v>33</v>
      </c>
      <c r="V1155" s="5" t="s">
        <v>1705</v>
      </c>
    </row>
    <row r="1156" spans="1:23" ht="12.5">
      <c r="A1156" s="5">
        <v>91660</v>
      </c>
      <c r="B1156" s="5" t="s">
        <v>17439</v>
      </c>
      <c r="C1156" s="5">
        <v>573016359897</v>
      </c>
      <c r="D1156" s="5">
        <v>58</v>
      </c>
      <c r="E1156" s="5" t="s">
        <v>57</v>
      </c>
      <c r="F1156" s="5" t="s">
        <v>249</v>
      </c>
      <c r="G1156" s="5" t="s">
        <v>8703</v>
      </c>
      <c r="H1156" s="5" t="s">
        <v>8704</v>
      </c>
      <c r="I1156" s="5">
        <v>3016359897</v>
      </c>
      <c r="J1156" s="12">
        <v>46059</v>
      </c>
      <c r="K1156" s="11">
        <v>0.375</v>
      </c>
      <c r="M1156" s="10" t="s">
        <v>10581</v>
      </c>
      <c r="N1156" s="12">
        <v>46058.752295057871</v>
      </c>
      <c r="O1156" s="10" t="s">
        <v>16871</v>
      </c>
      <c r="P1156" s="5" t="s">
        <v>14571</v>
      </c>
      <c r="Q1156" s="5" t="s">
        <v>14572</v>
      </c>
      <c r="R1156" s="5" t="s">
        <v>17440</v>
      </c>
      <c r="T1156" s="5" t="s">
        <v>5994</v>
      </c>
      <c r="U1156" s="5" t="s">
        <v>14593</v>
      </c>
      <c r="V1156" s="5" t="s">
        <v>67</v>
      </c>
    </row>
    <row r="1157" spans="1:23" ht="12.5">
      <c r="A1157" s="5">
        <v>91661</v>
      </c>
      <c r="B1157" s="5" t="s">
        <v>17441</v>
      </c>
      <c r="C1157" s="10" t="s">
        <v>17442</v>
      </c>
      <c r="D1157" s="5">
        <v>5</v>
      </c>
      <c r="E1157" s="5" t="s">
        <v>3111</v>
      </c>
      <c r="F1157" s="5" t="s">
        <v>229</v>
      </c>
      <c r="G1157" s="5" t="s">
        <v>8707</v>
      </c>
      <c r="H1157" s="5" t="s">
        <v>8708</v>
      </c>
      <c r="I1157" s="5">
        <v>3008233896</v>
      </c>
      <c r="J1157" s="12">
        <v>46059</v>
      </c>
      <c r="K1157" s="11">
        <v>0</v>
      </c>
      <c r="M1157" s="10" t="s">
        <v>17443</v>
      </c>
      <c r="N1157" s="12">
        <v>46058</v>
      </c>
      <c r="O1157" s="10" t="s">
        <v>15206</v>
      </c>
      <c r="P1157" s="5" t="s">
        <v>14571</v>
      </c>
      <c r="Q1157" s="5" t="s">
        <v>14578</v>
      </c>
      <c r="R1157" s="5" t="s">
        <v>17444</v>
      </c>
      <c r="T1157" s="5" t="s">
        <v>5994</v>
      </c>
      <c r="U1157" s="5"/>
      <c r="V1157" s="5" t="s">
        <v>67</v>
      </c>
    </row>
    <row r="1158" spans="1:23" ht="12.5">
      <c r="A1158" s="5">
        <v>91662</v>
      </c>
      <c r="B1158" s="5" t="s">
        <v>17445</v>
      </c>
      <c r="C1158" s="5">
        <v>573107144361</v>
      </c>
      <c r="D1158" s="5">
        <v>58</v>
      </c>
      <c r="E1158" s="5" t="s">
        <v>57</v>
      </c>
      <c r="F1158" s="5" t="s">
        <v>307</v>
      </c>
      <c r="G1158" s="5" t="s">
        <v>8712</v>
      </c>
      <c r="H1158" s="5" t="s">
        <v>8713</v>
      </c>
      <c r="I1158" s="5">
        <v>3146543482</v>
      </c>
      <c r="J1158" s="12">
        <v>46059</v>
      </c>
      <c r="K1158" s="11">
        <v>0.375</v>
      </c>
      <c r="M1158" s="10" t="s">
        <v>10581</v>
      </c>
      <c r="N1158" s="12">
        <v>46058.770098391207</v>
      </c>
      <c r="O1158" s="10" t="s">
        <v>17446</v>
      </c>
      <c r="P1158" s="5" t="s">
        <v>14571</v>
      </c>
      <c r="Q1158" s="5" t="s">
        <v>14572</v>
      </c>
      <c r="R1158" s="5" t="s">
        <v>17447</v>
      </c>
      <c r="T1158" s="5" t="s">
        <v>5994</v>
      </c>
      <c r="U1158" s="5" t="s">
        <v>14618</v>
      </c>
      <c r="V1158" s="5" t="s">
        <v>67</v>
      </c>
      <c r="W1158" s="5" t="s">
        <v>8715</v>
      </c>
    </row>
    <row r="1159" spans="1:23" ht="12.5">
      <c r="A1159" s="5">
        <v>91663</v>
      </c>
      <c r="B1159" s="5" t="s">
        <v>17448</v>
      </c>
      <c r="C1159" s="5">
        <v>573014429893</v>
      </c>
      <c r="D1159" s="5">
        <v>67</v>
      </c>
      <c r="E1159" s="5" t="s">
        <v>542</v>
      </c>
      <c r="F1159" s="5" t="s">
        <v>328</v>
      </c>
      <c r="G1159" s="5" t="s">
        <v>8717</v>
      </c>
      <c r="H1159" s="5" t="s">
        <v>8718</v>
      </c>
      <c r="I1159" s="5">
        <v>3014429893</v>
      </c>
      <c r="J1159" s="12">
        <v>46059</v>
      </c>
      <c r="K1159" s="11">
        <v>0.41666666666787933</v>
      </c>
      <c r="M1159" s="10" t="s">
        <v>14708</v>
      </c>
      <c r="N1159" s="12">
        <v>46059.35630861111</v>
      </c>
      <c r="O1159" s="10" t="s">
        <v>15332</v>
      </c>
      <c r="P1159" s="5" t="s">
        <v>14571</v>
      </c>
      <c r="Q1159" s="5" t="s">
        <v>14612</v>
      </c>
      <c r="R1159" s="5" t="s">
        <v>17449</v>
      </c>
      <c r="T1159" s="5" t="s">
        <v>5994</v>
      </c>
      <c r="U1159" s="5"/>
      <c r="V1159" s="5" t="s">
        <v>67</v>
      </c>
      <c r="W1159" s="5" t="s">
        <v>8719</v>
      </c>
    </row>
    <row r="1160" spans="1:23" ht="12.5">
      <c r="A1160" s="5">
        <v>91664</v>
      </c>
      <c r="B1160" s="5" t="s">
        <v>17450</v>
      </c>
      <c r="C1160" s="5">
        <v>573004708070</v>
      </c>
      <c r="D1160" s="5">
        <v>57</v>
      </c>
      <c r="E1160" s="5" t="s">
        <v>1085</v>
      </c>
      <c r="F1160" s="5" t="s">
        <v>161</v>
      </c>
      <c r="G1160" s="5" t="s">
        <v>8720</v>
      </c>
      <c r="H1160" s="5" t="s">
        <v>8721</v>
      </c>
      <c r="I1160" s="5">
        <v>3004708070</v>
      </c>
      <c r="J1160" s="12">
        <v>46060</v>
      </c>
      <c r="K1160" s="11">
        <v>0.41666666666787933</v>
      </c>
      <c r="M1160" s="10" t="s">
        <v>15656</v>
      </c>
      <c r="N1160" s="12">
        <v>46059.354652245369</v>
      </c>
      <c r="O1160" s="10" t="s">
        <v>17010</v>
      </c>
      <c r="P1160" s="5" t="s">
        <v>14571</v>
      </c>
      <c r="Q1160" s="5" t="s">
        <v>14612</v>
      </c>
      <c r="R1160" s="5" t="s">
        <v>17451</v>
      </c>
      <c r="T1160" s="5" t="s">
        <v>5994</v>
      </c>
      <c r="U1160" s="5" t="s">
        <v>14593</v>
      </c>
      <c r="V1160" s="5" t="s">
        <v>67</v>
      </c>
      <c r="W1160" s="5" t="s">
        <v>8723</v>
      </c>
    </row>
    <row r="1161" spans="1:23" ht="12.5">
      <c r="A1161" s="5">
        <v>91665</v>
      </c>
      <c r="B1161" s="5" t="s">
        <v>17452</v>
      </c>
      <c r="C1161" s="5">
        <v>573023251890</v>
      </c>
      <c r="D1161" s="5">
        <v>20</v>
      </c>
      <c r="E1161" s="5" t="s">
        <v>187</v>
      </c>
      <c r="F1161" s="5" t="s">
        <v>1815</v>
      </c>
      <c r="G1161" s="5" t="s">
        <v>8725</v>
      </c>
      <c r="H1161" s="5" t="s">
        <v>8726</v>
      </c>
      <c r="J1161" s="12">
        <v>46062</v>
      </c>
      <c r="K1161" s="11">
        <v>0.45833333333212067</v>
      </c>
      <c r="M1161" s="10" t="s">
        <v>17453</v>
      </c>
      <c r="N1161" s="12">
        <v>46058.706486886571</v>
      </c>
      <c r="O1161" s="10" t="s">
        <v>17454</v>
      </c>
      <c r="P1161" s="5" t="s">
        <v>14571</v>
      </c>
      <c r="Q1161" s="5" t="s">
        <v>14578</v>
      </c>
      <c r="R1161" s="5" t="s">
        <v>17455</v>
      </c>
      <c r="T1161" s="5" t="s">
        <v>5994</v>
      </c>
      <c r="U1161" s="5" t="s">
        <v>14580</v>
      </c>
      <c r="V1161" s="5" t="s">
        <v>2163</v>
      </c>
    </row>
    <row r="1162" spans="1:23" ht="12.5">
      <c r="A1162" s="5">
        <v>91666</v>
      </c>
      <c r="B1162" s="5" t="s">
        <v>17456</v>
      </c>
      <c r="C1162" s="10" t="s">
        <v>17457</v>
      </c>
      <c r="D1162" s="5" t="s">
        <v>14589</v>
      </c>
      <c r="E1162" s="5" t="s">
        <v>8731</v>
      </c>
      <c r="F1162" s="5" t="s">
        <v>161</v>
      </c>
      <c r="G1162" s="5" t="s">
        <v>8729</v>
      </c>
      <c r="H1162" s="5" t="s">
        <v>8730</v>
      </c>
      <c r="I1162" s="5">
        <v>3105203293</v>
      </c>
      <c r="J1162" s="12">
        <v>46062</v>
      </c>
      <c r="K1162" s="11">
        <v>0.41666666666666669</v>
      </c>
      <c r="M1162" s="10" t="s">
        <v>14890</v>
      </c>
      <c r="N1162" s="12">
        <v>46059</v>
      </c>
      <c r="O1162" s="10" t="s">
        <v>15830</v>
      </c>
      <c r="P1162" s="5" t="s">
        <v>14571</v>
      </c>
      <c r="Q1162" s="5" t="s">
        <v>14612</v>
      </c>
      <c r="R1162" s="5" t="s">
        <v>17458</v>
      </c>
      <c r="T1162" s="5" t="s">
        <v>5994</v>
      </c>
      <c r="U1162" s="5" t="s">
        <v>14593</v>
      </c>
      <c r="V1162" s="5" t="s">
        <v>1481</v>
      </c>
      <c r="W1162" s="5" t="s">
        <v>8732</v>
      </c>
    </row>
    <row r="1163" spans="1:23" ht="12.5">
      <c r="A1163" s="5">
        <v>91667</v>
      </c>
      <c r="B1163" s="5" t="s">
        <v>17459</v>
      </c>
      <c r="C1163" s="5">
        <v>573006972936</v>
      </c>
      <c r="D1163" s="5">
        <v>3</v>
      </c>
      <c r="E1163" s="5" t="s">
        <v>3248</v>
      </c>
      <c r="F1163" s="5" t="s">
        <v>229</v>
      </c>
      <c r="G1163" s="5" t="s">
        <v>8735</v>
      </c>
      <c r="H1163" s="5" t="s">
        <v>8736</v>
      </c>
      <c r="I1163" s="5">
        <v>3157214021</v>
      </c>
      <c r="J1163" s="12">
        <v>46059</v>
      </c>
      <c r="K1163" s="11">
        <v>0.75</v>
      </c>
      <c r="M1163" s="10" t="s">
        <v>17460</v>
      </c>
      <c r="N1163" s="12">
        <v>46059.38893105324</v>
      </c>
      <c r="O1163" s="10" t="s">
        <v>15916</v>
      </c>
      <c r="P1163" s="5" t="s">
        <v>14571</v>
      </c>
      <c r="Q1163" s="5" t="s">
        <v>14578</v>
      </c>
      <c r="R1163" s="5" t="s">
        <v>17461</v>
      </c>
      <c r="T1163" s="5" t="s">
        <v>5994</v>
      </c>
      <c r="U1163" s="5"/>
      <c r="V1163" s="5" t="s">
        <v>67</v>
      </c>
      <c r="W1163" s="5" t="s">
        <v>3330</v>
      </c>
    </row>
    <row r="1164" spans="1:23" ht="12.5">
      <c r="A1164" s="5">
        <v>91668</v>
      </c>
      <c r="B1164" s="5" t="s">
        <v>17462</v>
      </c>
      <c r="C1164" s="5">
        <v>573014818839</v>
      </c>
      <c r="D1164" s="5">
        <v>7</v>
      </c>
      <c r="E1164" s="5" t="s">
        <v>112</v>
      </c>
      <c r="F1164" s="5" t="s">
        <v>328</v>
      </c>
      <c r="G1164" s="5" t="s">
        <v>8740</v>
      </c>
      <c r="H1164" s="5" t="s">
        <v>8741</v>
      </c>
      <c r="I1164" s="5" t="s">
        <v>8742</v>
      </c>
      <c r="J1164" s="12">
        <v>46059</v>
      </c>
      <c r="K1164" s="11">
        <v>0.45833333333212067</v>
      </c>
      <c r="M1164" s="10" t="s">
        <v>14804</v>
      </c>
      <c r="N1164" s="12">
        <v>46059.39163179398</v>
      </c>
      <c r="O1164" s="10" t="s">
        <v>17028</v>
      </c>
      <c r="P1164" s="5" t="s">
        <v>14571</v>
      </c>
      <c r="Q1164" s="5" t="s">
        <v>14572</v>
      </c>
      <c r="R1164" s="5" t="s">
        <v>17463</v>
      </c>
      <c r="T1164" s="5" t="s">
        <v>5994</v>
      </c>
      <c r="U1164" s="5"/>
      <c r="V1164" s="5" t="s">
        <v>180</v>
      </c>
    </row>
    <row r="1165" spans="1:23" ht="12.5">
      <c r="A1165" s="5">
        <v>91669</v>
      </c>
      <c r="B1165" s="5" t="s">
        <v>17464</v>
      </c>
      <c r="C1165" s="5">
        <v>573145196650</v>
      </c>
      <c r="D1165" s="5">
        <v>78</v>
      </c>
      <c r="E1165" s="5" t="s">
        <v>3892</v>
      </c>
      <c r="G1165" s="5" t="s">
        <v>8745</v>
      </c>
      <c r="H1165" s="5" t="s">
        <v>8746</v>
      </c>
      <c r="J1165" s="12">
        <v>46059</v>
      </c>
      <c r="K1165" s="11">
        <v>0</v>
      </c>
      <c r="M1165" s="10" t="s">
        <v>14910</v>
      </c>
      <c r="N1165" s="12">
        <v>46059.394781585652</v>
      </c>
      <c r="O1165" s="10" t="s">
        <v>15758</v>
      </c>
      <c r="P1165" s="5" t="s">
        <v>14571</v>
      </c>
      <c r="Q1165" s="5" t="s">
        <v>14612</v>
      </c>
      <c r="R1165" s="5" t="s">
        <v>17465</v>
      </c>
      <c r="T1165" s="5" t="s">
        <v>5994</v>
      </c>
      <c r="V1165" s="5" t="s">
        <v>67</v>
      </c>
    </row>
    <row r="1166" spans="1:23" ht="12.5">
      <c r="A1166" s="5">
        <v>91670</v>
      </c>
      <c r="B1166" s="5" t="s">
        <v>17466</v>
      </c>
      <c r="C1166" s="5">
        <v>573173676673</v>
      </c>
      <c r="D1166" s="5">
        <v>32</v>
      </c>
      <c r="E1166" s="5" t="s">
        <v>65</v>
      </c>
      <c r="F1166" s="5" t="s">
        <v>8750</v>
      </c>
      <c r="G1166" s="5" t="s">
        <v>8749</v>
      </c>
      <c r="H1166" s="5" t="s">
        <v>8751</v>
      </c>
      <c r="I1166" s="5">
        <v>3234657036</v>
      </c>
      <c r="J1166" s="12">
        <v>46059</v>
      </c>
      <c r="K1166" s="11">
        <v>0</v>
      </c>
      <c r="M1166" s="10" t="s">
        <v>15161</v>
      </c>
      <c r="N1166" s="12">
        <v>46059.465940439812</v>
      </c>
      <c r="O1166" s="10" t="s">
        <v>15843</v>
      </c>
      <c r="P1166" s="5" t="s">
        <v>14571</v>
      </c>
      <c r="Q1166" s="5" t="s">
        <v>14578</v>
      </c>
      <c r="R1166" s="5" t="s">
        <v>17467</v>
      </c>
      <c r="T1166" s="5" t="s">
        <v>5994</v>
      </c>
      <c r="V1166" s="5" t="s">
        <v>67</v>
      </c>
      <c r="W1166" s="5" t="s">
        <v>8754</v>
      </c>
    </row>
    <row r="1167" spans="1:23" ht="12.5">
      <c r="A1167" s="5">
        <v>91671</v>
      </c>
      <c r="B1167" s="5" t="s">
        <v>8757</v>
      </c>
      <c r="C1167" s="5">
        <v>573012771247</v>
      </c>
      <c r="D1167" s="5">
        <v>52</v>
      </c>
      <c r="E1167" s="5" t="s">
        <v>178</v>
      </c>
      <c r="F1167" s="5" t="s">
        <v>33</v>
      </c>
      <c r="G1167" s="5" t="s">
        <v>8757</v>
      </c>
      <c r="H1167" s="5" t="s">
        <v>34</v>
      </c>
      <c r="I1167" s="5">
        <v>3012771247</v>
      </c>
      <c r="J1167" s="12">
        <v>46059</v>
      </c>
      <c r="K1167" s="11">
        <v>0.54166666666787933</v>
      </c>
      <c r="M1167" s="10" t="s">
        <v>15161</v>
      </c>
      <c r="N1167" s="12">
        <v>46059.487753935187</v>
      </c>
      <c r="O1167" s="10" t="s">
        <v>14644</v>
      </c>
      <c r="P1167" s="5" t="s">
        <v>14571</v>
      </c>
      <c r="Q1167" s="5" t="s">
        <v>14612</v>
      </c>
      <c r="R1167" s="5" t="s">
        <v>17468</v>
      </c>
      <c r="T1167" s="5" t="s">
        <v>14574</v>
      </c>
      <c r="U1167" s="5" t="s">
        <v>33</v>
      </c>
      <c r="V1167" s="5" t="s">
        <v>196</v>
      </c>
      <c r="W1167" s="5" t="s">
        <v>8758</v>
      </c>
    </row>
    <row r="1168" spans="1:23" ht="12.5">
      <c r="A1168" s="5">
        <v>91672</v>
      </c>
      <c r="B1168" s="5" t="s">
        <v>4236</v>
      </c>
      <c r="C1168" s="10" t="s">
        <v>17469</v>
      </c>
      <c r="D1168" s="5">
        <v>95</v>
      </c>
      <c r="E1168" s="5" t="s">
        <v>42</v>
      </c>
      <c r="F1168" s="5" t="s">
        <v>33</v>
      </c>
      <c r="G1168" s="5" t="s">
        <v>4236</v>
      </c>
      <c r="H1168" s="5" t="s">
        <v>34</v>
      </c>
      <c r="I1168" s="10" t="s">
        <v>2686</v>
      </c>
      <c r="J1168" s="12">
        <v>46059</v>
      </c>
      <c r="K1168" s="11">
        <v>0</v>
      </c>
      <c r="M1168" s="10" t="s">
        <v>15356</v>
      </c>
      <c r="N1168" s="12">
        <v>46059</v>
      </c>
      <c r="O1168" s="10" t="s">
        <v>17114</v>
      </c>
      <c r="P1168" s="5" t="s">
        <v>14571</v>
      </c>
      <c r="Q1168" s="5" t="s">
        <v>14572</v>
      </c>
      <c r="R1168" s="5" t="s">
        <v>17470</v>
      </c>
      <c r="T1168" s="5" t="s">
        <v>14574</v>
      </c>
      <c r="U1168" s="5" t="s">
        <v>33</v>
      </c>
      <c r="V1168" s="5" t="s">
        <v>1705</v>
      </c>
    </row>
    <row r="1169" spans="1:23" ht="12.5">
      <c r="A1169" s="5">
        <v>91673</v>
      </c>
      <c r="B1169" s="5" t="s">
        <v>8761</v>
      </c>
      <c r="C1169" s="5">
        <v>574606948</v>
      </c>
      <c r="D1169" s="5">
        <v>95</v>
      </c>
      <c r="E1169" s="5" t="s">
        <v>42</v>
      </c>
      <c r="F1169" s="5" t="s">
        <v>33</v>
      </c>
      <c r="G1169" s="5" t="s">
        <v>8761</v>
      </c>
      <c r="H1169" s="5" t="s">
        <v>34</v>
      </c>
      <c r="I1169" s="5">
        <v>4606948</v>
      </c>
      <c r="J1169" s="12">
        <v>46059</v>
      </c>
      <c r="K1169" s="11">
        <v>0.58333333333212067</v>
      </c>
      <c r="M1169" s="10" t="s">
        <v>14627</v>
      </c>
      <c r="N1169" s="12">
        <v>46059.498031030089</v>
      </c>
      <c r="O1169" s="10" t="s">
        <v>15077</v>
      </c>
      <c r="P1169" s="5" t="s">
        <v>14571</v>
      </c>
      <c r="Q1169" s="5" t="s">
        <v>14578</v>
      </c>
      <c r="R1169" s="5" t="s">
        <v>17471</v>
      </c>
      <c r="T1169" s="5" t="s">
        <v>14574</v>
      </c>
      <c r="U1169" s="5" t="s">
        <v>33</v>
      </c>
      <c r="V1169" s="5" t="s">
        <v>1705</v>
      </c>
    </row>
    <row r="1170" spans="1:23" ht="12.5">
      <c r="A1170" s="5">
        <v>91674</v>
      </c>
      <c r="B1170" s="5" t="s">
        <v>17472</v>
      </c>
      <c r="C1170" s="5">
        <v>573215595519</v>
      </c>
      <c r="D1170" s="5">
        <v>29</v>
      </c>
      <c r="E1170" s="5" t="s">
        <v>309</v>
      </c>
      <c r="F1170" s="5" t="s">
        <v>154</v>
      </c>
      <c r="G1170" s="5" t="s">
        <v>8764</v>
      </c>
      <c r="H1170" s="5" t="s">
        <v>8765</v>
      </c>
      <c r="I1170" s="5">
        <v>3154658891</v>
      </c>
      <c r="J1170" s="12">
        <v>46059</v>
      </c>
      <c r="K1170" s="11">
        <v>0</v>
      </c>
      <c r="M1170" s="10" t="s">
        <v>15585</v>
      </c>
      <c r="N1170" s="12">
        <v>46059.476951041666</v>
      </c>
      <c r="O1170" s="10" t="s">
        <v>15690</v>
      </c>
      <c r="P1170" s="5" t="s">
        <v>14571</v>
      </c>
      <c r="Q1170" s="5" t="s">
        <v>14572</v>
      </c>
      <c r="R1170" s="5" t="s">
        <v>17473</v>
      </c>
      <c r="T1170" s="5" t="s">
        <v>5994</v>
      </c>
      <c r="U1170" s="5" t="s">
        <v>14593</v>
      </c>
      <c r="V1170" s="5" t="s">
        <v>67</v>
      </c>
    </row>
    <row r="1171" spans="1:23" ht="12.5">
      <c r="A1171" s="5">
        <v>91675</v>
      </c>
      <c r="B1171" s="5" t="s">
        <v>17474</v>
      </c>
      <c r="C1171" s="5">
        <v>573006878638</v>
      </c>
      <c r="D1171" s="5">
        <v>63</v>
      </c>
      <c r="E1171" s="5" t="s">
        <v>294</v>
      </c>
      <c r="F1171" s="5" t="s">
        <v>185</v>
      </c>
      <c r="G1171" s="5" t="s">
        <v>8769</v>
      </c>
      <c r="H1171" s="5" t="s">
        <v>8770</v>
      </c>
      <c r="I1171" s="5">
        <v>3006878638</v>
      </c>
      <c r="J1171" s="12">
        <v>46060</v>
      </c>
      <c r="K1171" s="11">
        <v>0</v>
      </c>
      <c r="M1171" s="10" t="s">
        <v>14657</v>
      </c>
      <c r="N1171" s="12">
        <v>46058.543148865741</v>
      </c>
      <c r="O1171" s="10" t="s">
        <v>15518</v>
      </c>
      <c r="P1171" s="5" t="s">
        <v>14571</v>
      </c>
      <c r="Q1171" s="5" t="s">
        <v>14572</v>
      </c>
      <c r="R1171" s="5" t="s">
        <v>17475</v>
      </c>
      <c r="T1171" s="5" t="s">
        <v>5994</v>
      </c>
      <c r="U1171" s="5" t="s">
        <v>14580</v>
      </c>
      <c r="V1171" s="5" t="s">
        <v>67</v>
      </c>
    </row>
    <row r="1172" spans="1:23" ht="12.5">
      <c r="A1172" s="5">
        <v>91676</v>
      </c>
      <c r="B1172" s="5" t="s">
        <v>1925</v>
      </c>
      <c r="C1172" s="5">
        <v>570</v>
      </c>
      <c r="D1172" s="5">
        <v>95</v>
      </c>
      <c r="E1172" s="5" t="s">
        <v>42</v>
      </c>
      <c r="F1172" s="5" t="s">
        <v>33</v>
      </c>
      <c r="G1172" s="5" t="s">
        <v>1925</v>
      </c>
      <c r="H1172" s="5" t="s">
        <v>34</v>
      </c>
      <c r="I1172" s="10" t="s">
        <v>2686</v>
      </c>
      <c r="J1172" s="12">
        <v>46059</v>
      </c>
      <c r="K1172" s="11">
        <v>0</v>
      </c>
      <c r="M1172" s="10" t="s">
        <v>14627</v>
      </c>
      <c r="N1172" s="12">
        <v>46059.512835648144</v>
      </c>
      <c r="O1172" s="10" t="s">
        <v>15070</v>
      </c>
      <c r="P1172" s="5" t="s">
        <v>14571</v>
      </c>
      <c r="Q1172" s="5" t="s">
        <v>14572</v>
      </c>
      <c r="R1172" s="5" t="s">
        <v>17476</v>
      </c>
      <c r="T1172" s="5" t="s">
        <v>14574</v>
      </c>
      <c r="U1172" s="5" t="s">
        <v>33</v>
      </c>
      <c r="V1172" s="5" t="s">
        <v>196</v>
      </c>
    </row>
    <row r="1173" spans="1:23" ht="12.5">
      <c r="A1173" s="5">
        <v>91677</v>
      </c>
      <c r="B1173" s="5" t="s">
        <v>17477</v>
      </c>
      <c r="C1173" s="10" t="s">
        <v>17478</v>
      </c>
      <c r="D1173" s="5">
        <v>5</v>
      </c>
      <c r="E1173" s="5" t="s">
        <v>3111</v>
      </c>
      <c r="F1173" s="5" t="s">
        <v>783</v>
      </c>
      <c r="G1173" s="5" t="s">
        <v>8773</v>
      </c>
      <c r="H1173" s="5" t="s">
        <v>8774</v>
      </c>
      <c r="I1173" s="5">
        <v>3012041517</v>
      </c>
      <c r="J1173" s="12">
        <v>46067</v>
      </c>
      <c r="K1173" s="11">
        <v>0.375</v>
      </c>
      <c r="M1173" s="10" t="s">
        <v>14870</v>
      </c>
      <c r="N1173" s="12">
        <v>46059</v>
      </c>
      <c r="O1173" s="10" t="s">
        <v>15613</v>
      </c>
      <c r="P1173" s="5" t="s">
        <v>14571</v>
      </c>
      <c r="Q1173" s="5" t="s">
        <v>17479</v>
      </c>
      <c r="R1173" s="5" t="s">
        <v>17480</v>
      </c>
      <c r="T1173" s="5" t="s">
        <v>5994</v>
      </c>
      <c r="U1173" s="5"/>
      <c r="V1173" s="5" t="s">
        <v>7644</v>
      </c>
    </row>
    <row r="1174" spans="1:23" ht="12.5">
      <c r="A1174" s="5">
        <v>91678</v>
      </c>
      <c r="B1174" s="5" t="s">
        <v>17481</v>
      </c>
      <c r="C1174" s="5">
        <v>573183319632</v>
      </c>
      <c r="D1174" s="5">
        <v>20</v>
      </c>
      <c r="E1174" s="5" t="s">
        <v>187</v>
      </c>
      <c r="F1174" s="5" t="s">
        <v>4558</v>
      </c>
      <c r="G1174" s="5" t="s">
        <v>8779</v>
      </c>
      <c r="H1174" s="5" t="s">
        <v>8780</v>
      </c>
      <c r="I1174" s="5">
        <v>3183319632</v>
      </c>
      <c r="J1174" s="12">
        <v>46060</v>
      </c>
      <c r="K1174" s="11">
        <v>0.375</v>
      </c>
      <c r="M1174" s="10" t="s">
        <v>14649</v>
      </c>
      <c r="N1174" s="12">
        <v>46059.526146678239</v>
      </c>
      <c r="O1174" s="10" t="s">
        <v>15131</v>
      </c>
      <c r="P1174" s="5" t="s">
        <v>14571</v>
      </c>
      <c r="Q1174" s="5" t="s">
        <v>14578</v>
      </c>
      <c r="R1174" s="5" t="s">
        <v>17482</v>
      </c>
      <c r="T1174" s="5" t="s">
        <v>5994</v>
      </c>
      <c r="U1174" s="5" t="s">
        <v>14593</v>
      </c>
      <c r="V1174" s="5" t="s">
        <v>67</v>
      </c>
      <c r="W1174" s="5" t="s">
        <v>3330</v>
      </c>
    </row>
    <row r="1175" spans="1:23" ht="12.5">
      <c r="A1175" s="5">
        <v>91679</v>
      </c>
      <c r="B1175" s="5" t="s">
        <v>17483</v>
      </c>
      <c r="C1175" s="5">
        <v>573225960096</v>
      </c>
      <c r="D1175" s="5">
        <v>32</v>
      </c>
      <c r="E1175" s="5" t="s">
        <v>65</v>
      </c>
      <c r="F1175" s="5" t="s">
        <v>63</v>
      </c>
      <c r="G1175" s="5" t="s">
        <v>8785</v>
      </c>
      <c r="H1175" s="5" t="s">
        <v>8786</v>
      </c>
      <c r="I1175" s="5">
        <v>3225960096</v>
      </c>
      <c r="J1175" s="12">
        <v>46060</v>
      </c>
      <c r="K1175" s="11">
        <v>0.375</v>
      </c>
      <c r="M1175" s="10" t="s">
        <v>15525</v>
      </c>
      <c r="N1175" s="12">
        <v>46059.530294733791</v>
      </c>
      <c r="O1175" s="10" t="s">
        <v>16471</v>
      </c>
      <c r="P1175" s="5" t="s">
        <v>14571</v>
      </c>
      <c r="Q1175" s="5" t="s">
        <v>14578</v>
      </c>
      <c r="R1175" s="5" t="s">
        <v>17484</v>
      </c>
      <c r="T1175" s="5" t="s">
        <v>5994</v>
      </c>
      <c r="U1175" s="5" t="s">
        <v>14598</v>
      </c>
      <c r="V1175" s="5" t="s">
        <v>67</v>
      </c>
    </row>
    <row r="1176" spans="1:23" ht="12.5">
      <c r="A1176" s="5">
        <v>91680</v>
      </c>
      <c r="B1176" s="5" t="s">
        <v>17485</v>
      </c>
      <c r="C1176" s="5">
        <v>573003229431</v>
      </c>
      <c r="D1176" s="5">
        <v>42</v>
      </c>
      <c r="E1176" s="5" t="s">
        <v>649</v>
      </c>
      <c r="F1176" s="5" t="s">
        <v>185</v>
      </c>
      <c r="G1176" s="5" t="s">
        <v>8789</v>
      </c>
      <c r="H1176" s="5" t="s">
        <v>8790</v>
      </c>
      <c r="I1176" s="5">
        <v>3003229431</v>
      </c>
      <c r="J1176" s="12">
        <v>46059</v>
      </c>
      <c r="K1176" s="11">
        <v>0</v>
      </c>
      <c r="M1176" s="10" t="s">
        <v>15140</v>
      </c>
      <c r="N1176" s="12">
        <v>46059.562605347222</v>
      </c>
      <c r="O1176" s="10" t="s">
        <v>15698</v>
      </c>
      <c r="P1176" s="5" t="s">
        <v>14571</v>
      </c>
      <c r="Q1176" s="5" t="s">
        <v>14578</v>
      </c>
      <c r="R1176" s="5" t="s">
        <v>17486</v>
      </c>
      <c r="T1176" s="5" t="s">
        <v>5994</v>
      </c>
      <c r="U1176" s="5" t="s">
        <v>14580</v>
      </c>
      <c r="V1176" s="5" t="s">
        <v>180</v>
      </c>
    </row>
    <row r="1177" spans="1:23" ht="12.5">
      <c r="A1177" s="5">
        <v>91681</v>
      </c>
      <c r="B1177" s="5" t="s">
        <v>17487</v>
      </c>
      <c r="C1177" s="10" t="s">
        <v>17488</v>
      </c>
      <c r="D1177" s="5">
        <v>23</v>
      </c>
      <c r="E1177" s="5" t="s">
        <v>50</v>
      </c>
      <c r="F1177" s="5" t="s">
        <v>73</v>
      </c>
      <c r="G1177" s="5" t="s">
        <v>17489</v>
      </c>
      <c r="H1177" s="5" t="s">
        <v>8793</v>
      </c>
      <c r="I1177" s="5">
        <v>3135713981</v>
      </c>
      <c r="J1177" s="12">
        <v>46060</v>
      </c>
      <c r="K1177" s="11">
        <v>0.41666666666666669</v>
      </c>
      <c r="M1177" s="10" t="s">
        <v>14890</v>
      </c>
      <c r="N1177" s="12">
        <v>46059</v>
      </c>
      <c r="O1177" s="10" t="s">
        <v>16148</v>
      </c>
      <c r="P1177" s="5" t="s">
        <v>14571</v>
      </c>
      <c r="Q1177" s="5" t="s">
        <v>14572</v>
      </c>
      <c r="R1177" s="5" t="s">
        <v>17490</v>
      </c>
      <c r="T1177" s="5" t="s">
        <v>5994</v>
      </c>
      <c r="U1177" s="5" t="s">
        <v>14593</v>
      </c>
      <c r="V1177" s="5" t="s">
        <v>67</v>
      </c>
      <c r="W1177" s="5" t="s">
        <v>8796</v>
      </c>
    </row>
    <row r="1178" spans="1:23" ht="12.5">
      <c r="A1178" s="5">
        <v>91682</v>
      </c>
      <c r="B1178" s="5" t="s">
        <v>8799</v>
      </c>
      <c r="C1178" s="5">
        <v>573238904444</v>
      </c>
      <c r="D1178" s="5">
        <v>26</v>
      </c>
      <c r="E1178" s="5" t="s">
        <v>422</v>
      </c>
      <c r="F1178" s="5" t="s">
        <v>33</v>
      </c>
      <c r="G1178" s="5" t="s">
        <v>8799</v>
      </c>
      <c r="H1178" s="5" t="s">
        <v>34</v>
      </c>
      <c r="I1178" s="5">
        <v>3238904444</v>
      </c>
      <c r="J1178" s="12">
        <v>46059</v>
      </c>
      <c r="K1178" s="11">
        <v>0</v>
      </c>
      <c r="M1178" s="10" t="s">
        <v>14646</v>
      </c>
      <c r="N1178" s="12">
        <v>46059.605421273147</v>
      </c>
      <c r="O1178" s="10" t="s">
        <v>14836</v>
      </c>
      <c r="P1178" s="5" t="s">
        <v>14571</v>
      </c>
      <c r="Q1178" s="5" t="s">
        <v>14572</v>
      </c>
      <c r="R1178" s="5" t="s">
        <v>17491</v>
      </c>
      <c r="T1178" s="5" t="s">
        <v>14574</v>
      </c>
      <c r="U1178" s="5" t="s">
        <v>33</v>
      </c>
      <c r="V1178" s="5" t="s">
        <v>1705</v>
      </c>
    </row>
    <row r="1179" spans="1:23" ht="12.5">
      <c r="A1179" s="5">
        <v>91683</v>
      </c>
      <c r="B1179" s="5" t="s">
        <v>17492</v>
      </c>
      <c r="C1179" s="5">
        <v>573017077772</v>
      </c>
      <c r="D1179" s="5" t="s">
        <v>17493</v>
      </c>
      <c r="E1179" s="5" t="s">
        <v>8803</v>
      </c>
      <c r="F1179" s="5" t="s">
        <v>328</v>
      </c>
      <c r="G1179" s="5" t="s">
        <v>8801</v>
      </c>
      <c r="H1179" s="5" t="s">
        <v>8802</v>
      </c>
      <c r="J1179" s="12">
        <v>46059</v>
      </c>
      <c r="K1179" s="11">
        <v>0.66666666666787933</v>
      </c>
      <c r="M1179" s="10" t="s">
        <v>17276</v>
      </c>
      <c r="N1179" s="12">
        <v>46059.54456869213</v>
      </c>
      <c r="O1179" s="10" t="s">
        <v>16212</v>
      </c>
      <c r="P1179" s="5" t="s">
        <v>14571</v>
      </c>
      <c r="Q1179" s="5" t="s">
        <v>14578</v>
      </c>
      <c r="R1179" s="5" t="s">
        <v>17494</v>
      </c>
      <c r="T1179" s="5" t="s">
        <v>5994</v>
      </c>
      <c r="U1179" s="5"/>
      <c r="V1179" s="5" t="s">
        <v>67</v>
      </c>
      <c r="W1179" s="5" t="s">
        <v>8806</v>
      </c>
    </row>
    <row r="1180" spans="1:23" ht="12.5">
      <c r="A1180" s="5">
        <v>91684</v>
      </c>
      <c r="B1180" s="5" t="s">
        <v>8808</v>
      </c>
      <c r="C1180" s="5">
        <v>573205792617</v>
      </c>
      <c r="D1180" s="5">
        <v>56</v>
      </c>
      <c r="E1180" s="5" t="s">
        <v>1102</v>
      </c>
      <c r="F1180" s="5" t="s">
        <v>33</v>
      </c>
      <c r="G1180" s="5" t="s">
        <v>8808</v>
      </c>
      <c r="H1180" s="5" t="s">
        <v>34</v>
      </c>
      <c r="I1180" s="5">
        <v>3205792617</v>
      </c>
      <c r="J1180" s="12">
        <v>46059</v>
      </c>
      <c r="K1180" s="11">
        <v>0.65763888888977817</v>
      </c>
      <c r="M1180" s="10" t="s">
        <v>14569</v>
      </c>
      <c r="N1180" s="12">
        <v>46059.628715092593</v>
      </c>
      <c r="O1180" s="10" t="s">
        <v>16785</v>
      </c>
      <c r="P1180" s="5" t="s">
        <v>14571</v>
      </c>
      <c r="Q1180" s="5" t="s">
        <v>14572</v>
      </c>
      <c r="R1180" s="5" t="s">
        <v>17495</v>
      </c>
      <c r="T1180" s="5" t="s">
        <v>14574</v>
      </c>
      <c r="U1180" s="5" t="s">
        <v>33</v>
      </c>
      <c r="V1180" s="5" t="s">
        <v>1937</v>
      </c>
      <c r="W1180" s="5"/>
    </row>
    <row r="1181" spans="1:23" ht="12.5">
      <c r="A1181" s="5">
        <v>91685</v>
      </c>
      <c r="B1181" s="5" t="s">
        <v>8809</v>
      </c>
      <c r="C1181" s="10" t="s">
        <v>17496</v>
      </c>
      <c r="D1181" s="5">
        <v>95</v>
      </c>
      <c r="E1181" s="5" t="s">
        <v>42</v>
      </c>
      <c r="F1181" s="5" t="s">
        <v>33</v>
      </c>
      <c r="G1181" s="5" t="s">
        <v>8809</v>
      </c>
      <c r="H1181" s="5" t="s">
        <v>34</v>
      </c>
      <c r="I1181" s="5"/>
      <c r="J1181" s="12">
        <v>46059</v>
      </c>
      <c r="K1181" s="11">
        <v>0</v>
      </c>
      <c r="M1181" s="10" t="s">
        <v>14702</v>
      </c>
      <c r="N1181" s="12">
        <v>46059</v>
      </c>
      <c r="O1181" s="10" t="s">
        <v>16223</v>
      </c>
      <c r="P1181" s="5" t="s">
        <v>14571</v>
      </c>
      <c r="Q1181" s="5" t="s">
        <v>14578</v>
      </c>
      <c r="R1181" s="5" t="s">
        <v>17497</v>
      </c>
      <c r="T1181" s="5" t="s">
        <v>14574</v>
      </c>
      <c r="U1181" s="5" t="s">
        <v>33</v>
      </c>
      <c r="V1181" s="5" t="s">
        <v>196</v>
      </c>
      <c r="W1181" s="5"/>
    </row>
    <row r="1182" spans="1:23" ht="12.5">
      <c r="A1182" s="5">
        <v>91686</v>
      </c>
      <c r="B1182" s="5" t="s">
        <v>8152</v>
      </c>
      <c r="C1182" s="5">
        <v>573102709637</v>
      </c>
      <c r="D1182" s="5">
        <v>95</v>
      </c>
      <c r="E1182" s="5" t="s">
        <v>42</v>
      </c>
      <c r="F1182" s="5" t="s">
        <v>33</v>
      </c>
      <c r="G1182" s="5" t="s">
        <v>8152</v>
      </c>
      <c r="H1182" s="5" t="s">
        <v>34</v>
      </c>
      <c r="I1182" s="5">
        <v>3102709637</v>
      </c>
      <c r="J1182" s="12">
        <v>46059</v>
      </c>
      <c r="K1182" s="11">
        <v>0</v>
      </c>
      <c r="M1182" s="10" t="s">
        <v>14705</v>
      </c>
      <c r="N1182" s="12">
        <v>46059.669831643521</v>
      </c>
      <c r="O1182" s="10" t="s">
        <v>17498</v>
      </c>
      <c r="P1182" s="5" t="s">
        <v>14571</v>
      </c>
      <c r="Q1182" s="5" t="s">
        <v>14572</v>
      </c>
      <c r="R1182" s="5" t="s">
        <v>17499</v>
      </c>
      <c r="T1182" s="5" t="s">
        <v>14574</v>
      </c>
      <c r="U1182" s="5" t="s">
        <v>33</v>
      </c>
      <c r="V1182" s="5" t="s">
        <v>67</v>
      </c>
      <c r="W1182" s="5" t="s">
        <v>8810</v>
      </c>
    </row>
    <row r="1183" spans="1:23" ht="12.5">
      <c r="A1183" s="5">
        <v>91687</v>
      </c>
      <c r="B1183" s="5" t="s">
        <v>8812</v>
      </c>
      <c r="C1183" s="10" t="s">
        <v>17500</v>
      </c>
      <c r="D1183" s="5">
        <v>5</v>
      </c>
      <c r="E1183" s="5" t="s">
        <v>3111</v>
      </c>
      <c r="F1183" s="5" t="s">
        <v>103</v>
      </c>
      <c r="G1183" s="5" t="s">
        <v>8812</v>
      </c>
      <c r="H1183" s="5" t="s">
        <v>8813</v>
      </c>
      <c r="I1183" s="5">
        <v>3046688627</v>
      </c>
      <c r="J1183" s="12">
        <v>46060</v>
      </c>
      <c r="K1183" s="11">
        <v>0.375</v>
      </c>
      <c r="M1183" s="10" t="s">
        <v>14649</v>
      </c>
      <c r="N1183" s="12">
        <v>46060</v>
      </c>
      <c r="O1183" s="10" t="s">
        <v>14583</v>
      </c>
      <c r="P1183" s="5" t="s">
        <v>14571</v>
      </c>
      <c r="Q1183" s="5" t="s">
        <v>14572</v>
      </c>
      <c r="R1183" s="5" t="s">
        <v>17501</v>
      </c>
      <c r="T1183" s="5" t="s">
        <v>5994</v>
      </c>
      <c r="U1183" s="5" t="s">
        <v>14593</v>
      </c>
      <c r="V1183" s="5" t="s">
        <v>67</v>
      </c>
      <c r="W1183" s="5" t="s">
        <v>8814</v>
      </c>
    </row>
    <row r="1184" spans="1:23" ht="12.5">
      <c r="A1184" s="5">
        <v>91688</v>
      </c>
      <c r="B1184" s="5" t="s">
        <v>8820</v>
      </c>
      <c r="C1184" s="5">
        <v>573243606110</v>
      </c>
      <c r="D1184" s="5">
        <v>66</v>
      </c>
      <c r="E1184" s="5" t="s">
        <v>576</v>
      </c>
      <c r="F1184" s="5" t="s">
        <v>598</v>
      </c>
      <c r="G1184" s="5" t="s">
        <v>8817</v>
      </c>
      <c r="H1184" s="5" t="s">
        <v>8818</v>
      </c>
      <c r="I1184" s="5">
        <v>3243606110</v>
      </c>
      <c r="J1184" s="12">
        <v>46060</v>
      </c>
      <c r="K1184" s="11">
        <v>0.41666666666787933</v>
      </c>
      <c r="M1184" s="10" t="s">
        <v>14646</v>
      </c>
      <c r="N1184" s="12">
        <v>46060.33349694444</v>
      </c>
      <c r="O1184" s="10" t="s">
        <v>17502</v>
      </c>
      <c r="P1184" s="5" t="s">
        <v>14571</v>
      </c>
      <c r="Q1184" s="5" t="s">
        <v>14578</v>
      </c>
      <c r="R1184" s="5" t="s">
        <v>17503</v>
      </c>
      <c r="T1184" s="5" t="s">
        <v>5994</v>
      </c>
      <c r="U1184" s="5" t="s">
        <v>14593</v>
      </c>
      <c r="V1184" s="5" t="s">
        <v>67</v>
      </c>
      <c r="W1184" s="5" t="s">
        <v>8821</v>
      </c>
    </row>
    <row r="1185" spans="1:23" ht="12.5">
      <c r="A1185" s="5">
        <v>91689</v>
      </c>
      <c r="B1185" s="5" t="s">
        <v>17504</v>
      </c>
      <c r="C1185" s="5">
        <v>573174863301</v>
      </c>
      <c r="D1185" s="5">
        <v>29</v>
      </c>
      <c r="E1185" s="5" t="s">
        <v>309</v>
      </c>
      <c r="F1185" s="5" t="s">
        <v>110</v>
      </c>
      <c r="G1185" s="5" t="s">
        <v>8824</v>
      </c>
      <c r="H1185" s="5" t="s">
        <v>8825</v>
      </c>
      <c r="I1185" s="5">
        <v>3185278354</v>
      </c>
      <c r="J1185" s="12">
        <v>46060</v>
      </c>
      <c r="K1185" s="11">
        <v>0.41666666666787933</v>
      </c>
      <c r="M1185" s="10" t="s">
        <v>16628</v>
      </c>
      <c r="N1185" s="12">
        <v>46060.344990914353</v>
      </c>
      <c r="O1185" s="10" t="s">
        <v>15332</v>
      </c>
      <c r="P1185" s="5" t="s">
        <v>14571</v>
      </c>
      <c r="Q1185" s="5" t="s">
        <v>14612</v>
      </c>
      <c r="R1185" s="5" t="s">
        <v>17505</v>
      </c>
      <c r="T1185" s="5" t="s">
        <v>5994</v>
      </c>
      <c r="U1185" s="5" t="s">
        <v>14593</v>
      </c>
      <c r="V1185" s="5" t="s">
        <v>67</v>
      </c>
      <c r="W1185" s="5"/>
    </row>
    <row r="1186" spans="1:23" ht="12.5">
      <c r="A1186" s="5">
        <v>91690</v>
      </c>
      <c r="B1186" s="5" t="s">
        <v>17506</v>
      </c>
      <c r="C1186" s="5">
        <v>573004474213</v>
      </c>
      <c r="D1186" s="5">
        <v>52</v>
      </c>
      <c r="E1186" s="5" t="s">
        <v>178</v>
      </c>
      <c r="F1186" s="5" t="s">
        <v>185</v>
      </c>
      <c r="G1186" s="5" t="s">
        <v>8828</v>
      </c>
      <c r="H1186" s="5" t="s">
        <v>8829</v>
      </c>
      <c r="I1186" s="5">
        <v>3166285614</v>
      </c>
      <c r="J1186" s="12">
        <v>46060</v>
      </c>
      <c r="K1186" s="11">
        <v>0.41666666666787933</v>
      </c>
      <c r="M1186" s="10" t="s">
        <v>15043</v>
      </c>
      <c r="N1186" s="12">
        <v>46060.375835671293</v>
      </c>
      <c r="O1186" s="10" t="s">
        <v>17507</v>
      </c>
      <c r="P1186" s="5" t="s">
        <v>14571</v>
      </c>
      <c r="Q1186" s="5" t="s">
        <v>14578</v>
      </c>
      <c r="R1186" s="5" t="s">
        <v>17508</v>
      </c>
      <c r="T1186" s="5" t="s">
        <v>5994</v>
      </c>
      <c r="U1186" s="5" t="s">
        <v>14580</v>
      </c>
      <c r="V1186" s="5" t="s">
        <v>67</v>
      </c>
      <c r="W1186" s="5" t="s">
        <v>8832</v>
      </c>
    </row>
    <row r="1187" spans="1:23" ht="12.5">
      <c r="A1187" s="5">
        <v>91691</v>
      </c>
      <c r="B1187" s="5" t="s">
        <v>17509</v>
      </c>
      <c r="C1187" s="5">
        <v>573156852856</v>
      </c>
      <c r="D1187" s="5">
        <v>42</v>
      </c>
      <c r="E1187" s="5" t="s">
        <v>649</v>
      </c>
      <c r="F1187" s="5" t="s">
        <v>726</v>
      </c>
      <c r="G1187" s="5" t="s">
        <v>8835</v>
      </c>
      <c r="H1187" s="5" t="s">
        <v>8836</v>
      </c>
      <c r="I1187" s="5">
        <v>3156852856</v>
      </c>
      <c r="J1187" s="12">
        <v>46060</v>
      </c>
      <c r="K1187" s="11">
        <v>0.45833333333212067</v>
      </c>
      <c r="M1187" s="10" t="s">
        <v>14808</v>
      </c>
      <c r="N1187" s="12">
        <v>46060.390249861113</v>
      </c>
      <c r="O1187" s="10" t="s">
        <v>17510</v>
      </c>
      <c r="P1187" s="5" t="s">
        <v>14571</v>
      </c>
      <c r="Q1187" s="5" t="s">
        <v>14612</v>
      </c>
      <c r="R1187" s="5" t="s">
        <v>17511</v>
      </c>
      <c r="T1187" s="5" t="s">
        <v>5994</v>
      </c>
      <c r="U1187" s="5" t="s">
        <v>14618</v>
      </c>
      <c r="V1187" s="5" t="s">
        <v>67</v>
      </c>
      <c r="W1187" s="5" t="s">
        <v>8838</v>
      </c>
    </row>
    <row r="1188" spans="1:23" ht="12.5">
      <c r="A1188" s="5">
        <v>91692</v>
      </c>
      <c r="B1188" s="5" t="s">
        <v>8843</v>
      </c>
      <c r="C1188" s="10" t="s">
        <v>17512</v>
      </c>
      <c r="D1188" s="5">
        <v>51</v>
      </c>
      <c r="E1188" s="5" t="s">
        <v>384</v>
      </c>
      <c r="F1188" s="5" t="s">
        <v>161</v>
      </c>
      <c r="G1188" s="5" t="s">
        <v>8840</v>
      </c>
      <c r="H1188" s="5" t="s">
        <v>8841</v>
      </c>
      <c r="I1188" s="5">
        <v>3158524692</v>
      </c>
      <c r="J1188" s="12">
        <v>46060</v>
      </c>
      <c r="K1188" s="11">
        <v>0</v>
      </c>
      <c r="M1188" s="10" t="s">
        <v>15140</v>
      </c>
      <c r="N1188" s="12">
        <v>46060</v>
      </c>
      <c r="O1188" s="10" t="s">
        <v>16056</v>
      </c>
      <c r="P1188" s="5" t="s">
        <v>14571</v>
      </c>
      <c r="Q1188" s="5" t="s">
        <v>14572</v>
      </c>
      <c r="R1188" s="5" t="s">
        <v>17513</v>
      </c>
      <c r="T1188" s="5" t="s">
        <v>5994</v>
      </c>
      <c r="U1188" s="5" t="s">
        <v>14593</v>
      </c>
      <c r="V1188" s="5" t="s">
        <v>67</v>
      </c>
      <c r="W1188" s="5"/>
    </row>
    <row r="1189" spans="1:23" ht="12.5">
      <c r="A1189" s="5">
        <v>91693</v>
      </c>
      <c r="B1189" s="5" t="s">
        <v>6025</v>
      </c>
      <c r="C1189" s="5">
        <v>573008108213</v>
      </c>
      <c r="D1189" s="5">
        <v>95</v>
      </c>
      <c r="E1189" s="5" t="s">
        <v>42</v>
      </c>
      <c r="F1189" s="5" t="s">
        <v>73</v>
      </c>
      <c r="G1189" s="5" t="s">
        <v>8844</v>
      </c>
      <c r="H1189" s="5" t="s">
        <v>8845</v>
      </c>
      <c r="I1189" s="5" t="s">
        <v>8846</v>
      </c>
      <c r="J1189" s="12">
        <v>46060</v>
      </c>
      <c r="K1189" s="11">
        <v>0</v>
      </c>
      <c r="M1189" s="10" t="s">
        <v>17514</v>
      </c>
      <c r="N1189" s="12">
        <v>46060.475750231482</v>
      </c>
      <c r="O1189" s="10" t="s">
        <v>15843</v>
      </c>
      <c r="P1189" s="5" t="s">
        <v>14571</v>
      </c>
      <c r="Q1189" s="5" t="s">
        <v>14578</v>
      </c>
      <c r="R1189" s="5" t="s">
        <v>17515</v>
      </c>
      <c r="T1189" s="5" t="s">
        <v>5994</v>
      </c>
      <c r="U1189" s="5" t="s">
        <v>14593</v>
      </c>
      <c r="V1189" s="5" t="s">
        <v>67</v>
      </c>
      <c r="W1189" s="5" t="s">
        <v>8847</v>
      </c>
    </row>
    <row r="1190" spans="1:23" ht="12.5">
      <c r="A1190" s="5">
        <v>91694</v>
      </c>
      <c r="B1190" s="5" t="s">
        <v>12230</v>
      </c>
      <c r="C1190" s="5">
        <v>573218046491</v>
      </c>
      <c r="D1190" s="5">
        <v>37</v>
      </c>
      <c r="E1190" s="5" t="s">
        <v>1696</v>
      </c>
      <c r="F1190" s="5"/>
      <c r="G1190" s="5" t="s">
        <v>7689</v>
      </c>
      <c r="H1190" s="5" t="s">
        <v>8848</v>
      </c>
      <c r="I1190" s="5"/>
      <c r="J1190" s="12">
        <v>46060</v>
      </c>
      <c r="K1190" s="11">
        <v>0</v>
      </c>
      <c r="M1190" s="10" t="s">
        <v>15002</v>
      </c>
      <c r="N1190" s="12">
        <v>46060.429915393514</v>
      </c>
      <c r="O1190" s="10" t="s">
        <v>15153</v>
      </c>
      <c r="P1190" s="5" t="s">
        <v>14571</v>
      </c>
      <c r="Q1190" s="5" t="s">
        <v>14612</v>
      </c>
      <c r="R1190" s="5" t="s">
        <v>17516</v>
      </c>
      <c r="T1190" s="5" t="s">
        <v>5994</v>
      </c>
      <c r="U1190" s="5"/>
      <c r="V1190" s="5" t="s">
        <v>180</v>
      </c>
      <c r="W1190" s="5"/>
    </row>
    <row r="1191" spans="1:23" ht="12.5">
      <c r="A1191" s="5">
        <v>91695</v>
      </c>
      <c r="B1191" s="5" t="s">
        <v>17517</v>
      </c>
      <c r="C1191" s="5">
        <v>573052468073</v>
      </c>
      <c r="D1191" s="5">
        <v>20</v>
      </c>
      <c r="E1191" s="5" t="s">
        <v>187</v>
      </c>
      <c r="F1191" s="5" t="s">
        <v>249</v>
      </c>
      <c r="G1191" s="5" t="s">
        <v>8852</v>
      </c>
      <c r="H1191" s="5" t="s">
        <v>8853</v>
      </c>
      <c r="I1191" s="5">
        <v>3042711921</v>
      </c>
      <c r="J1191" s="12">
        <v>46060</v>
      </c>
      <c r="K1191" s="11">
        <v>0.54166666666787933</v>
      </c>
      <c r="M1191" s="10" t="s">
        <v>14649</v>
      </c>
      <c r="N1191" s="12">
        <v>46060.467125752315</v>
      </c>
      <c r="O1191" s="10" t="s">
        <v>16004</v>
      </c>
      <c r="P1191" s="5" t="s">
        <v>14571</v>
      </c>
      <c r="Q1191" s="5" t="s">
        <v>14572</v>
      </c>
      <c r="R1191" s="5" t="s">
        <v>17518</v>
      </c>
      <c r="T1191" s="5" t="s">
        <v>5994</v>
      </c>
      <c r="U1191" s="5" t="s">
        <v>14593</v>
      </c>
      <c r="V1191" s="5" t="s">
        <v>67</v>
      </c>
      <c r="W1191" s="5"/>
    </row>
    <row r="1192" spans="1:23" ht="12.5">
      <c r="A1192" s="5">
        <v>91696</v>
      </c>
      <c r="B1192" s="5" t="s">
        <v>6489</v>
      </c>
      <c r="C1192" s="5">
        <v>573122995559</v>
      </c>
      <c r="D1192" s="5">
        <v>95</v>
      </c>
      <c r="E1192" s="5" t="s">
        <v>42</v>
      </c>
      <c r="F1192" s="5" t="s">
        <v>33</v>
      </c>
      <c r="G1192" s="5" t="s">
        <v>6489</v>
      </c>
      <c r="H1192" s="5" t="s">
        <v>34</v>
      </c>
      <c r="I1192" s="5">
        <v>3122995559</v>
      </c>
      <c r="J1192" s="12">
        <v>46060</v>
      </c>
      <c r="K1192" s="11">
        <v>0</v>
      </c>
      <c r="M1192" s="10" t="s">
        <v>16073</v>
      </c>
      <c r="N1192" s="12">
        <v>46060.516630613427</v>
      </c>
      <c r="O1192" s="10" t="s">
        <v>15401</v>
      </c>
      <c r="P1192" s="5" t="s">
        <v>14571</v>
      </c>
      <c r="Q1192" s="5" t="s">
        <v>14578</v>
      </c>
      <c r="R1192" s="5" t="s">
        <v>17519</v>
      </c>
      <c r="T1192" s="5" t="s">
        <v>14574</v>
      </c>
      <c r="U1192" s="5" t="s">
        <v>33</v>
      </c>
      <c r="V1192" s="5" t="s">
        <v>196</v>
      </c>
      <c r="W1192" s="5"/>
    </row>
    <row r="1193" spans="1:23" ht="12.5">
      <c r="A1193" s="5">
        <v>91697</v>
      </c>
      <c r="B1193" s="5" t="s">
        <v>15093</v>
      </c>
      <c r="C1193" s="5">
        <v>573008077533</v>
      </c>
      <c r="D1193" s="5">
        <v>2</v>
      </c>
      <c r="E1193" s="5" t="s">
        <v>1251</v>
      </c>
      <c r="F1193" s="5"/>
      <c r="G1193" s="5" t="s">
        <v>8857</v>
      </c>
      <c r="H1193" s="5" t="s">
        <v>8858</v>
      </c>
      <c r="I1193" s="5"/>
      <c r="J1193" s="12">
        <v>46060</v>
      </c>
      <c r="K1193" s="11">
        <v>0</v>
      </c>
      <c r="M1193" s="10" t="s">
        <v>17113</v>
      </c>
      <c r="N1193" s="12">
        <v>46066.529687499999</v>
      </c>
      <c r="O1193" s="10" t="s">
        <v>14631</v>
      </c>
      <c r="P1193" s="5" t="s">
        <v>14571</v>
      </c>
      <c r="Q1193" s="5" t="s">
        <v>14578</v>
      </c>
      <c r="R1193" s="5" t="s">
        <v>17520</v>
      </c>
      <c r="T1193" s="5" t="s">
        <v>5994</v>
      </c>
      <c r="U1193" s="5"/>
      <c r="V1193" s="5" t="s">
        <v>83</v>
      </c>
      <c r="W1193" s="5"/>
    </row>
    <row r="1194" spans="1:23" ht="12.5">
      <c r="A1194" s="5">
        <v>91698</v>
      </c>
      <c r="B1194" s="5" t="s">
        <v>8860</v>
      </c>
      <c r="C1194" s="5">
        <v>5717864269698</v>
      </c>
      <c r="D1194" s="5">
        <v>51</v>
      </c>
      <c r="E1194" s="5" t="s">
        <v>384</v>
      </c>
      <c r="F1194" s="5" t="s">
        <v>33</v>
      </c>
      <c r="G1194" s="5" t="s">
        <v>8860</v>
      </c>
      <c r="H1194" s="5" t="s">
        <v>34</v>
      </c>
      <c r="I1194" s="5">
        <v>17864269698</v>
      </c>
      <c r="J1194" s="12">
        <v>46060</v>
      </c>
      <c r="K1194" s="11">
        <v>0</v>
      </c>
      <c r="M1194" s="10" t="s">
        <v>14712</v>
      </c>
      <c r="N1194" s="12">
        <v>46060.549095740746</v>
      </c>
      <c r="O1194" s="10" t="s">
        <v>15625</v>
      </c>
      <c r="P1194" s="5" t="s">
        <v>14571</v>
      </c>
      <c r="Q1194" s="5" t="s">
        <v>14572</v>
      </c>
      <c r="R1194" s="5" t="s">
        <v>17521</v>
      </c>
      <c r="T1194" s="5" t="s">
        <v>14574</v>
      </c>
      <c r="U1194" s="5" t="s">
        <v>33</v>
      </c>
      <c r="V1194" s="5" t="s">
        <v>196</v>
      </c>
      <c r="W1194" s="5"/>
    </row>
    <row r="1195" spans="1:23" ht="12.5">
      <c r="A1195" s="5">
        <v>91699</v>
      </c>
      <c r="B1195" s="5" t="s">
        <v>17522</v>
      </c>
      <c r="C1195" s="5">
        <v>573015847567</v>
      </c>
      <c r="D1195" s="5" t="s">
        <v>17523</v>
      </c>
      <c r="E1195" s="5" t="s">
        <v>8865</v>
      </c>
      <c r="F1195" s="5" t="s">
        <v>87</v>
      </c>
      <c r="G1195" s="5" t="s">
        <v>8863</v>
      </c>
      <c r="H1195" s="5" t="s">
        <v>8864</v>
      </c>
      <c r="I1195" s="5">
        <v>3015847567</v>
      </c>
      <c r="J1195" s="12">
        <v>46062</v>
      </c>
      <c r="K1195" s="11">
        <v>0.625</v>
      </c>
      <c r="M1195" s="10" t="s">
        <v>17524</v>
      </c>
      <c r="N1195" s="12">
        <v>46060.461260694443</v>
      </c>
      <c r="O1195" s="10" t="s">
        <v>17525</v>
      </c>
      <c r="P1195" s="5" t="s">
        <v>14571</v>
      </c>
      <c r="Q1195" s="5" t="s">
        <v>14572</v>
      </c>
      <c r="R1195" s="5" t="s">
        <v>17526</v>
      </c>
      <c r="T1195" s="5" t="s">
        <v>5994</v>
      </c>
      <c r="U1195" s="5" t="s">
        <v>14580</v>
      </c>
      <c r="V1195" s="5" t="s">
        <v>1481</v>
      </c>
      <c r="W1195" s="5"/>
    </row>
    <row r="1196" spans="1:23" ht="12.5">
      <c r="A1196" s="5">
        <v>91700</v>
      </c>
      <c r="B1196" s="5" t="s">
        <v>11683</v>
      </c>
      <c r="C1196" s="10" t="s">
        <v>17527</v>
      </c>
      <c r="D1196" s="5">
        <v>95</v>
      </c>
      <c r="E1196" s="5" t="s">
        <v>42</v>
      </c>
      <c r="F1196" s="5"/>
      <c r="G1196" s="5" t="s">
        <v>8867</v>
      </c>
      <c r="H1196" s="5" t="s">
        <v>8868</v>
      </c>
      <c r="I1196" s="5"/>
      <c r="J1196" s="12">
        <v>46079</v>
      </c>
      <c r="K1196" s="11">
        <v>0.375</v>
      </c>
      <c r="M1196" s="10" t="s">
        <v>15285</v>
      </c>
      <c r="N1196" s="12">
        <v>46060</v>
      </c>
      <c r="O1196" s="10" t="s">
        <v>16138</v>
      </c>
      <c r="P1196" s="5" t="s">
        <v>14571</v>
      </c>
      <c r="Q1196" s="5" t="s">
        <v>14572</v>
      </c>
      <c r="R1196" s="5" t="s">
        <v>17528</v>
      </c>
      <c r="T1196" s="5" t="s">
        <v>5994</v>
      </c>
      <c r="U1196" s="5"/>
      <c r="V1196" s="5" t="s">
        <v>1481</v>
      </c>
      <c r="W1196" s="5" t="s">
        <v>8869</v>
      </c>
    </row>
    <row r="1197" spans="1:23" ht="12.5">
      <c r="A1197" s="5">
        <v>91701</v>
      </c>
      <c r="B1197" s="5" t="s">
        <v>8872</v>
      </c>
      <c r="C1197" s="5">
        <v>573046418455</v>
      </c>
      <c r="D1197" s="5">
        <v>52</v>
      </c>
      <c r="E1197" s="5" t="s">
        <v>178</v>
      </c>
      <c r="F1197" s="5" t="s">
        <v>33</v>
      </c>
      <c r="G1197" s="5" t="s">
        <v>8872</v>
      </c>
      <c r="H1197" s="5" t="s">
        <v>34</v>
      </c>
      <c r="I1197" s="5">
        <v>3046418455</v>
      </c>
      <c r="J1197" s="12">
        <v>46060</v>
      </c>
      <c r="K1197" s="11">
        <v>0.58333333333212067</v>
      </c>
      <c r="M1197" s="10" t="s">
        <v>15161</v>
      </c>
      <c r="N1197" s="12">
        <v>46060.567772662034</v>
      </c>
      <c r="O1197" s="10" t="s">
        <v>14620</v>
      </c>
      <c r="P1197" s="5" t="s">
        <v>14571</v>
      </c>
      <c r="Q1197" s="5" t="s">
        <v>14572</v>
      </c>
      <c r="R1197" s="5" t="s">
        <v>17529</v>
      </c>
      <c r="T1197" s="5" t="s">
        <v>14574</v>
      </c>
      <c r="U1197" s="5" t="s">
        <v>33</v>
      </c>
      <c r="V1197" s="5" t="s">
        <v>67</v>
      </c>
      <c r="W1197" s="5" t="s">
        <v>8875</v>
      </c>
    </row>
    <row r="1198" spans="1:23" ht="12.5">
      <c r="A1198" s="5">
        <v>91702</v>
      </c>
      <c r="B1198" s="5" t="s">
        <v>17530</v>
      </c>
      <c r="C1198" s="5">
        <v>19303337910</v>
      </c>
      <c r="D1198" s="5">
        <v>55</v>
      </c>
      <c r="E1198" s="5" t="s">
        <v>1203</v>
      </c>
      <c r="F1198" s="5" t="s">
        <v>103</v>
      </c>
      <c r="G1198" s="5" t="s">
        <v>1034</v>
      </c>
      <c r="H1198" s="5" t="s">
        <v>8876</v>
      </c>
      <c r="I1198" s="5"/>
      <c r="J1198" s="12">
        <v>46066</v>
      </c>
      <c r="K1198" s="11">
        <v>0.375</v>
      </c>
      <c r="M1198" s="10" t="s">
        <v>15128</v>
      </c>
      <c r="N1198" s="12">
        <v>46060.588055462962</v>
      </c>
      <c r="O1198" s="10" t="s">
        <v>17531</v>
      </c>
      <c r="P1198" s="5" t="s">
        <v>14571</v>
      </c>
      <c r="Q1198" s="5" t="s">
        <v>17404</v>
      </c>
      <c r="R1198" s="5" t="s">
        <v>17532</v>
      </c>
      <c r="T1198" s="5" t="s">
        <v>5994</v>
      </c>
      <c r="U1198" s="5" t="s">
        <v>14593</v>
      </c>
      <c r="V1198" s="5" t="s">
        <v>7644</v>
      </c>
      <c r="W1198" s="5"/>
    </row>
    <row r="1199" spans="1:23" ht="12.5">
      <c r="A1199" s="5">
        <v>91703</v>
      </c>
      <c r="B1199" s="5" t="s">
        <v>8879</v>
      </c>
      <c r="C1199" s="5">
        <v>573233924387</v>
      </c>
      <c r="D1199" s="5" t="s">
        <v>14589</v>
      </c>
      <c r="E1199" s="5" t="s">
        <v>8880</v>
      </c>
      <c r="F1199" s="5" t="s">
        <v>33</v>
      </c>
      <c r="G1199" s="5" t="s">
        <v>8879</v>
      </c>
      <c r="H1199" s="5" t="s">
        <v>34</v>
      </c>
      <c r="I1199" s="5">
        <v>3233924387</v>
      </c>
      <c r="J1199" s="12">
        <v>46066</v>
      </c>
      <c r="K1199" s="11">
        <v>0.375</v>
      </c>
      <c r="M1199" s="10" t="s">
        <v>14646</v>
      </c>
      <c r="N1199" s="12">
        <v>46060.595823344906</v>
      </c>
      <c r="O1199" s="10" t="s">
        <v>15547</v>
      </c>
      <c r="P1199" s="5" t="s">
        <v>14571</v>
      </c>
      <c r="Q1199" s="5" t="s">
        <v>14612</v>
      </c>
      <c r="R1199" s="5" t="s">
        <v>17533</v>
      </c>
      <c r="T1199" s="5" t="s">
        <v>14574</v>
      </c>
      <c r="U1199" s="5" t="s">
        <v>33</v>
      </c>
      <c r="V1199" s="5" t="s">
        <v>7644</v>
      </c>
      <c r="W1199" s="5" t="s">
        <v>8881</v>
      </c>
    </row>
    <row r="1200" spans="1:23" ht="12.5">
      <c r="A1200" s="5">
        <v>91704</v>
      </c>
      <c r="B1200" s="5" t="s">
        <v>8884</v>
      </c>
      <c r="C1200" s="5">
        <v>573225191364</v>
      </c>
      <c r="D1200" s="5">
        <v>95</v>
      </c>
      <c r="E1200" s="5" t="s">
        <v>42</v>
      </c>
      <c r="F1200" s="5" t="s">
        <v>33</v>
      </c>
      <c r="G1200" s="5" t="s">
        <v>8884</v>
      </c>
      <c r="H1200" s="5" t="s">
        <v>34</v>
      </c>
      <c r="I1200" s="5">
        <v>3225191364</v>
      </c>
      <c r="J1200" s="12">
        <v>46060</v>
      </c>
      <c r="K1200" s="11">
        <v>0</v>
      </c>
      <c r="M1200" s="10" t="s">
        <v>14619</v>
      </c>
      <c r="N1200" s="12">
        <v>46060.631233831024</v>
      </c>
      <c r="O1200" s="10" t="s">
        <v>16782</v>
      </c>
      <c r="P1200" s="5" t="s">
        <v>14571</v>
      </c>
      <c r="Q1200" s="5" t="s">
        <v>14572</v>
      </c>
      <c r="R1200" s="5" t="s">
        <v>17534</v>
      </c>
      <c r="T1200" s="5" t="s">
        <v>14574</v>
      </c>
      <c r="U1200" s="5" t="s">
        <v>33</v>
      </c>
      <c r="V1200" s="5" t="s">
        <v>196</v>
      </c>
      <c r="W1200" s="5" t="s">
        <v>8885</v>
      </c>
    </row>
    <row r="1201" spans="1:23" ht="12.5">
      <c r="A1201" s="5">
        <v>91705</v>
      </c>
      <c r="B1201" s="5" t="s">
        <v>17535</v>
      </c>
      <c r="C1201" s="5">
        <v>573194239021</v>
      </c>
      <c r="D1201" s="5">
        <v>31</v>
      </c>
      <c r="E1201" s="5" t="s">
        <v>375</v>
      </c>
      <c r="F1201" s="5" t="s">
        <v>328</v>
      </c>
      <c r="G1201" s="5" t="s">
        <v>8888</v>
      </c>
      <c r="H1201" s="5" t="s">
        <v>8889</v>
      </c>
      <c r="I1201" s="5" t="s">
        <v>8890</v>
      </c>
      <c r="J1201" s="12">
        <v>46062</v>
      </c>
      <c r="K1201" s="11">
        <v>0.66666666666787933</v>
      </c>
      <c r="M1201" s="10" t="s">
        <v>14832</v>
      </c>
      <c r="N1201" s="12">
        <v>46060.614936851853</v>
      </c>
      <c r="O1201" s="10" t="s">
        <v>16919</v>
      </c>
      <c r="P1201" s="5" t="s">
        <v>14571</v>
      </c>
      <c r="Q1201" s="5" t="s">
        <v>14612</v>
      </c>
      <c r="R1201" s="5" t="s">
        <v>17536</v>
      </c>
      <c r="T1201" s="5" t="s">
        <v>5994</v>
      </c>
      <c r="U1201" s="5"/>
      <c r="V1201" s="5" t="s">
        <v>67</v>
      </c>
      <c r="W1201" s="5"/>
    </row>
    <row r="1202" spans="1:23" ht="12.5">
      <c r="A1202" s="5">
        <v>91706</v>
      </c>
      <c r="B1202" s="5" t="s">
        <v>8894</v>
      </c>
      <c r="C1202" s="5">
        <v>573043203733</v>
      </c>
      <c r="D1202" s="5" t="s">
        <v>14589</v>
      </c>
      <c r="E1202" s="5" t="s">
        <v>8895</v>
      </c>
      <c r="F1202" s="5" t="s">
        <v>33</v>
      </c>
      <c r="G1202" s="5" t="s">
        <v>8894</v>
      </c>
      <c r="H1202" s="5" t="s">
        <v>34</v>
      </c>
      <c r="I1202" s="5">
        <v>3043203733</v>
      </c>
      <c r="J1202" s="12">
        <v>46060</v>
      </c>
      <c r="K1202" s="11">
        <v>0.66666666666787933</v>
      </c>
      <c r="M1202" s="10" t="s">
        <v>15248</v>
      </c>
      <c r="N1202" s="12">
        <v>46060.636004039348</v>
      </c>
      <c r="O1202" s="10" t="s">
        <v>15453</v>
      </c>
      <c r="P1202" s="5" t="s">
        <v>14571</v>
      </c>
      <c r="Q1202" s="5" t="s">
        <v>14578</v>
      </c>
      <c r="R1202" s="5" t="s">
        <v>17537</v>
      </c>
      <c r="T1202" s="5" t="s">
        <v>14574</v>
      </c>
      <c r="U1202" s="5" t="s">
        <v>33</v>
      </c>
      <c r="V1202" s="5" t="s">
        <v>1705</v>
      </c>
      <c r="W1202" s="5"/>
    </row>
    <row r="1203" spans="1:23" ht="12.5">
      <c r="A1203" s="5">
        <v>91707</v>
      </c>
      <c r="B1203" s="5" t="s">
        <v>8898</v>
      </c>
      <c r="C1203" s="10" t="s">
        <v>17538</v>
      </c>
      <c r="D1203" s="5" t="s">
        <v>14589</v>
      </c>
      <c r="E1203" s="5" t="s">
        <v>8899</v>
      </c>
      <c r="F1203" s="5" t="s">
        <v>33</v>
      </c>
      <c r="G1203" s="5" t="s">
        <v>8898</v>
      </c>
      <c r="H1203" s="5" t="s">
        <v>34</v>
      </c>
      <c r="I1203" s="5">
        <v>3215951751</v>
      </c>
      <c r="J1203" s="12">
        <v>46063</v>
      </c>
      <c r="K1203" s="11">
        <v>0.58333333333333337</v>
      </c>
      <c r="M1203" s="10" t="s">
        <v>14859</v>
      </c>
      <c r="N1203" s="12">
        <v>46060</v>
      </c>
      <c r="O1203" s="10" t="s">
        <v>15236</v>
      </c>
      <c r="P1203" s="5" t="s">
        <v>14571</v>
      </c>
      <c r="Q1203" s="5" t="s">
        <v>14612</v>
      </c>
      <c r="R1203" s="5" t="s">
        <v>17539</v>
      </c>
      <c r="T1203" s="5" t="s">
        <v>14574</v>
      </c>
      <c r="U1203" s="5" t="s">
        <v>33</v>
      </c>
      <c r="V1203" s="5" t="s">
        <v>1705</v>
      </c>
      <c r="W1203" s="5" t="s">
        <v>8900</v>
      </c>
    </row>
    <row r="1204" spans="1:23" ht="12.5">
      <c r="A1204" s="5">
        <v>91708</v>
      </c>
      <c r="B1204" s="5" t="s">
        <v>17303</v>
      </c>
      <c r="C1204" s="5">
        <v>573006107337</v>
      </c>
      <c r="D1204" s="5">
        <v>32</v>
      </c>
      <c r="E1204" s="5" t="s">
        <v>65</v>
      </c>
      <c r="F1204" s="5" t="s">
        <v>161</v>
      </c>
      <c r="G1204" s="5" t="s">
        <v>8901</v>
      </c>
      <c r="H1204" s="5" t="s">
        <v>8902</v>
      </c>
      <c r="I1204" s="5">
        <v>3246539725</v>
      </c>
      <c r="J1204" s="12">
        <v>46060</v>
      </c>
      <c r="K1204" s="11">
        <v>0.70833333333212067</v>
      </c>
      <c r="M1204" s="10" t="s">
        <v>14850</v>
      </c>
      <c r="N1204" s="12">
        <v>46060.649324803242</v>
      </c>
      <c r="O1204" s="10" t="s">
        <v>14818</v>
      </c>
      <c r="P1204" s="5" t="s">
        <v>14571</v>
      </c>
      <c r="Q1204" s="5" t="s">
        <v>14572</v>
      </c>
      <c r="R1204" s="5" t="s">
        <v>17540</v>
      </c>
      <c r="T1204" s="5" t="s">
        <v>5994</v>
      </c>
      <c r="U1204" s="5" t="s">
        <v>14593</v>
      </c>
      <c r="V1204" s="5" t="s">
        <v>1481</v>
      </c>
      <c r="W1204" s="5"/>
    </row>
    <row r="1205" spans="1:23" ht="12.5">
      <c r="A1205" s="5">
        <v>91709</v>
      </c>
      <c r="B1205" s="5" t="s">
        <v>17541</v>
      </c>
      <c r="C1205" s="10" t="s">
        <v>17542</v>
      </c>
      <c r="D1205" s="5" t="s">
        <v>14589</v>
      </c>
      <c r="E1205" s="5" t="s">
        <v>8909</v>
      </c>
      <c r="F1205" s="5" t="s">
        <v>103</v>
      </c>
      <c r="G1205" s="5" t="s">
        <v>8907</v>
      </c>
      <c r="H1205" s="5" t="s">
        <v>8908</v>
      </c>
      <c r="I1205" s="5"/>
      <c r="J1205" s="12">
        <v>46063</v>
      </c>
      <c r="K1205" s="11">
        <v>0.375</v>
      </c>
      <c r="M1205" s="10" t="s">
        <v>15594</v>
      </c>
      <c r="N1205" s="12">
        <v>46060</v>
      </c>
      <c r="O1205" s="10" t="s">
        <v>16226</v>
      </c>
      <c r="P1205" s="5" t="s">
        <v>14571</v>
      </c>
      <c r="Q1205" s="5" t="s">
        <v>14578</v>
      </c>
      <c r="R1205" s="5" t="s">
        <v>17543</v>
      </c>
      <c r="T1205" s="5" t="s">
        <v>5994</v>
      </c>
      <c r="U1205" s="5" t="s">
        <v>14593</v>
      </c>
      <c r="V1205" s="5" t="s">
        <v>1705</v>
      </c>
      <c r="W1205" s="5"/>
    </row>
    <row r="1206" spans="1:23" ht="12.5">
      <c r="A1206" s="5">
        <v>91710</v>
      </c>
      <c r="B1206" s="5" t="s">
        <v>12290</v>
      </c>
      <c r="C1206" s="5">
        <v>573154165888</v>
      </c>
      <c r="D1206" s="5">
        <v>31</v>
      </c>
      <c r="E1206" s="5" t="s">
        <v>375</v>
      </c>
      <c r="F1206" s="5" t="s">
        <v>987</v>
      </c>
      <c r="G1206" s="5" t="s">
        <v>8912</v>
      </c>
      <c r="H1206" s="5" t="s">
        <v>8913</v>
      </c>
      <c r="I1206" s="5">
        <v>3005116760</v>
      </c>
      <c r="J1206" s="12">
        <v>46060</v>
      </c>
      <c r="K1206" s="11">
        <v>0.70833333333212067</v>
      </c>
      <c r="M1206" s="10" t="s">
        <v>15179</v>
      </c>
      <c r="N1206" s="12">
        <v>46060.665597500003</v>
      </c>
      <c r="O1206" s="10" t="s">
        <v>17544</v>
      </c>
      <c r="P1206" s="5" t="s">
        <v>14571</v>
      </c>
      <c r="Q1206" s="5" t="s">
        <v>14578</v>
      </c>
      <c r="R1206" s="5" t="s">
        <v>17545</v>
      </c>
      <c r="T1206" s="5" t="s">
        <v>5994</v>
      </c>
      <c r="U1206" s="5" t="s">
        <v>14593</v>
      </c>
      <c r="V1206" s="5" t="s">
        <v>67</v>
      </c>
      <c r="W1206" s="5"/>
    </row>
    <row r="1207" spans="1:23" ht="12.5">
      <c r="A1207" s="5">
        <v>91711</v>
      </c>
      <c r="B1207" s="5" t="s">
        <v>8916</v>
      </c>
      <c r="C1207" s="5">
        <v>57000</v>
      </c>
      <c r="D1207" s="5">
        <v>95</v>
      </c>
      <c r="E1207" s="5" t="s">
        <v>42</v>
      </c>
      <c r="F1207" s="5" t="s">
        <v>33</v>
      </c>
      <c r="G1207" s="5" t="s">
        <v>8916</v>
      </c>
      <c r="H1207" s="5" t="s">
        <v>34</v>
      </c>
      <c r="I1207" s="5"/>
      <c r="J1207" s="12">
        <v>46060</v>
      </c>
      <c r="K1207" s="11">
        <v>0.70833333333212067</v>
      </c>
      <c r="M1207" s="10" t="s">
        <v>15497</v>
      </c>
      <c r="N1207" s="12">
        <v>46060.686882372684</v>
      </c>
      <c r="O1207" s="10" t="s">
        <v>16739</v>
      </c>
      <c r="P1207" s="5" t="s">
        <v>14571</v>
      </c>
      <c r="Q1207" s="5" t="s">
        <v>14578</v>
      </c>
      <c r="R1207" s="5" t="s">
        <v>17546</v>
      </c>
      <c r="T1207" s="5" t="s">
        <v>14574</v>
      </c>
      <c r="U1207" s="5" t="s">
        <v>33</v>
      </c>
      <c r="V1207" s="5" t="s">
        <v>196</v>
      </c>
      <c r="W1207" s="5"/>
    </row>
    <row r="1208" spans="1:23" ht="12.5">
      <c r="A1208" s="5">
        <v>91712</v>
      </c>
      <c r="B1208" s="5" t="s">
        <v>8919</v>
      </c>
      <c r="C1208" s="5">
        <v>573104362258</v>
      </c>
      <c r="D1208" s="5">
        <v>95</v>
      </c>
      <c r="E1208" s="5" t="s">
        <v>42</v>
      </c>
      <c r="F1208" s="5" t="s">
        <v>33</v>
      </c>
      <c r="G1208" s="5" t="s">
        <v>8919</v>
      </c>
      <c r="H1208" s="5" t="s">
        <v>34</v>
      </c>
      <c r="I1208" s="5" t="s">
        <v>8920</v>
      </c>
      <c r="J1208" s="12">
        <v>46060</v>
      </c>
      <c r="K1208" s="11">
        <v>0.70833333333212067</v>
      </c>
      <c r="M1208" s="10" t="s">
        <v>14595</v>
      </c>
      <c r="N1208" s="12">
        <v>46060.689765312505</v>
      </c>
      <c r="O1208" s="10" t="s">
        <v>17547</v>
      </c>
      <c r="P1208" s="5" t="s">
        <v>14571</v>
      </c>
      <c r="Q1208" s="5" t="s">
        <v>14612</v>
      </c>
      <c r="R1208" s="5" t="s">
        <v>17548</v>
      </c>
      <c r="T1208" s="5" t="s">
        <v>14574</v>
      </c>
      <c r="U1208" s="5" t="s">
        <v>33</v>
      </c>
      <c r="V1208" s="5" t="s">
        <v>67</v>
      </c>
      <c r="W1208" s="5"/>
    </row>
    <row r="1209" spans="1:23" ht="12.5">
      <c r="A1209" s="5">
        <v>91713</v>
      </c>
      <c r="B1209" s="5" t="s">
        <v>8921</v>
      </c>
      <c r="C1209" s="10" t="s">
        <v>17549</v>
      </c>
      <c r="D1209" s="5">
        <v>23</v>
      </c>
      <c r="E1209" s="5" t="s">
        <v>50</v>
      </c>
      <c r="F1209" s="5" t="s">
        <v>33</v>
      </c>
      <c r="G1209" s="5" t="s">
        <v>8921</v>
      </c>
      <c r="H1209" s="5" t="s">
        <v>34</v>
      </c>
      <c r="I1209" s="5" t="s">
        <v>8922</v>
      </c>
      <c r="J1209" s="12">
        <v>46060</v>
      </c>
      <c r="K1209" s="11">
        <v>0</v>
      </c>
      <c r="M1209" s="10" t="s">
        <v>14569</v>
      </c>
      <c r="N1209" s="12">
        <v>46060</v>
      </c>
      <c r="O1209" s="10" t="s">
        <v>17550</v>
      </c>
      <c r="P1209" s="5" t="s">
        <v>14571</v>
      </c>
      <c r="Q1209" s="5" t="s">
        <v>14572</v>
      </c>
      <c r="R1209" s="5" t="s">
        <v>17551</v>
      </c>
      <c r="T1209" s="5" t="s">
        <v>14574</v>
      </c>
      <c r="U1209" s="5" t="s">
        <v>33</v>
      </c>
      <c r="V1209" s="5" t="s">
        <v>1705</v>
      </c>
      <c r="W1209" s="5"/>
    </row>
    <row r="1210" spans="1:23" ht="12.5">
      <c r="A1210" s="5">
        <v>91714</v>
      </c>
      <c r="B1210" s="5" t="s">
        <v>17552</v>
      </c>
      <c r="C1210" s="5">
        <v>573005057739</v>
      </c>
      <c r="D1210" s="5" t="s">
        <v>14589</v>
      </c>
      <c r="E1210" s="5" t="s">
        <v>8925</v>
      </c>
      <c r="F1210" s="5" t="s">
        <v>351</v>
      </c>
      <c r="G1210" s="5" t="s">
        <v>8923</v>
      </c>
      <c r="H1210" s="5" t="s">
        <v>8924</v>
      </c>
      <c r="I1210" s="5">
        <v>3166373573</v>
      </c>
      <c r="J1210" s="12">
        <v>46065</v>
      </c>
      <c r="K1210" s="11">
        <v>0.375</v>
      </c>
      <c r="M1210" s="10" t="s">
        <v>14615</v>
      </c>
      <c r="N1210" s="12">
        <v>46060.523757164352</v>
      </c>
      <c r="O1210" s="10" t="s">
        <v>16804</v>
      </c>
      <c r="P1210" s="5" t="s">
        <v>14571</v>
      </c>
      <c r="Q1210" s="5" t="s">
        <v>14578</v>
      </c>
      <c r="R1210" s="5" t="s">
        <v>17553</v>
      </c>
      <c r="T1210" s="5" t="s">
        <v>5994</v>
      </c>
      <c r="U1210" s="5" t="s">
        <v>14580</v>
      </c>
      <c r="V1210" s="5" t="s">
        <v>67</v>
      </c>
      <c r="W1210" s="5" t="s">
        <v>8926</v>
      </c>
    </row>
    <row r="1211" spans="1:23" ht="12.5">
      <c r="A1211" s="5">
        <v>91715</v>
      </c>
      <c r="B1211" s="5" t="s">
        <v>17554</v>
      </c>
      <c r="C1211" s="5">
        <v>573145404704</v>
      </c>
      <c r="D1211" s="5">
        <v>45</v>
      </c>
      <c r="E1211" s="5" t="s">
        <v>210</v>
      </c>
      <c r="F1211" s="5" t="s">
        <v>79</v>
      </c>
      <c r="G1211" s="5" t="s">
        <v>2197</v>
      </c>
      <c r="H1211" s="5" t="s">
        <v>8928</v>
      </c>
      <c r="I1211" s="5">
        <v>3145404704</v>
      </c>
      <c r="J1211" s="12">
        <v>46062</v>
      </c>
      <c r="K1211" s="11">
        <v>0.41666666666787933</v>
      </c>
      <c r="M1211" s="10" t="s">
        <v>14740</v>
      </c>
      <c r="N1211" s="12">
        <v>46062.349850011575</v>
      </c>
      <c r="O1211" s="10" t="s">
        <v>16262</v>
      </c>
      <c r="P1211" s="5" t="s">
        <v>14571</v>
      </c>
      <c r="Q1211" s="5" t="s">
        <v>14572</v>
      </c>
      <c r="R1211" s="5" t="s">
        <v>17555</v>
      </c>
      <c r="T1211" s="5" t="s">
        <v>5994</v>
      </c>
      <c r="U1211" s="5" t="s">
        <v>14593</v>
      </c>
      <c r="V1211" s="5" t="s">
        <v>67</v>
      </c>
      <c r="W1211" s="5"/>
    </row>
    <row r="1212" spans="1:23" ht="12.5">
      <c r="A1212" s="5">
        <v>91716</v>
      </c>
      <c r="B1212" s="5" t="s">
        <v>8931</v>
      </c>
      <c r="C1212" s="5">
        <v>573017851850</v>
      </c>
      <c r="D1212" s="5">
        <v>95</v>
      </c>
      <c r="E1212" s="5" t="s">
        <v>42</v>
      </c>
      <c r="F1212" s="5" t="s">
        <v>33</v>
      </c>
      <c r="G1212" s="5" t="s">
        <v>8931</v>
      </c>
      <c r="H1212" s="5" t="s">
        <v>34</v>
      </c>
      <c r="I1212" s="5">
        <v>3017851850</v>
      </c>
      <c r="J1212" s="12">
        <v>46062</v>
      </c>
      <c r="K1212" s="11">
        <v>0.41666666666787933</v>
      </c>
      <c r="M1212" s="10" t="s">
        <v>2686</v>
      </c>
      <c r="N1212" s="12">
        <v>46062.366235277776</v>
      </c>
      <c r="O1212" s="10" t="s">
        <v>15328</v>
      </c>
      <c r="P1212" s="5" t="s">
        <v>14571</v>
      </c>
      <c r="Q1212" s="5" t="s">
        <v>14572</v>
      </c>
      <c r="R1212" s="5" t="s">
        <v>17556</v>
      </c>
      <c r="T1212" s="5" t="s">
        <v>14574</v>
      </c>
      <c r="U1212" s="5" t="s">
        <v>33</v>
      </c>
      <c r="V1212" s="5" t="s">
        <v>67</v>
      </c>
      <c r="W1212" s="5" t="s">
        <v>8932</v>
      </c>
    </row>
    <row r="1213" spans="1:23" ht="12.5">
      <c r="A1213" s="5">
        <v>91717</v>
      </c>
      <c r="B1213" s="5" t="s">
        <v>17557</v>
      </c>
      <c r="C1213" s="5">
        <v>573183270297</v>
      </c>
      <c r="D1213" s="5">
        <v>42</v>
      </c>
      <c r="E1213" s="5" t="s">
        <v>649</v>
      </c>
      <c r="F1213" s="5" t="s">
        <v>249</v>
      </c>
      <c r="G1213" s="5" t="s">
        <v>8935</v>
      </c>
      <c r="H1213" s="5" t="s">
        <v>8936</v>
      </c>
      <c r="I1213" s="5" t="s">
        <v>8937</v>
      </c>
      <c r="J1213" s="12">
        <v>46062</v>
      </c>
      <c r="K1213" s="11">
        <v>0.41666666666787933</v>
      </c>
      <c r="M1213" s="10" t="s">
        <v>14777</v>
      </c>
      <c r="N1213" s="12">
        <v>46062.37223212963</v>
      </c>
      <c r="O1213" s="10" t="s">
        <v>14679</v>
      </c>
      <c r="P1213" s="5" t="s">
        <v>14571</v>
      </c>
      <c r="Q1213" s="5" t="s">
        <v>14578</v>
      </c>
      <c r="R1213" s="5" t="s">
        <v>17558</v>
      </c>
      <c r="T1213" s="5" t="s">
        <v>5994</v>
      </c>
      <c r="U1213" s="5" t="s">
        <v>14593</v>
      </c>
      <c r="V1213" s="5" t="s">
        <v>67</v>
      </c>
      <c r="W1213" s="5"/>
    </row>
    <row r="1214" spans="1:23" ht="12.5">
      <c r="A1214" s="5">
        <v>91718</v>
      </c>
      <c r="B1214" s="5" t="s">
        <v>17559</v>
      </c>
      <c r="C1214" s="5">
        <v>5784017208</v>
      </c>
      <c r="D1214" s="5">
        <v>31</v>
      </c>
      <c r="E1214" s="5" t="s">
        <v>375</v>
      </c>
      <c r="F1214" s="5" t="s">
        <v>307</v>
      </c>
      <c r="G1214" s="5" t="s">
        <v>8940</v>
      </c>
      <c r="H1214" s="5" t="s">
        <v>8941</v>
      </c>
      <c r="I1214" s="5">
        <v>3187162075</v>
      </c>
      <c r="J1214" s="12">
        <v>46062</v>
      </c>
      <c r="K1214" s="11">
        <v>0.45833333333212067</v>
      </c>
      <c r="M1214" s="10" t="s">
        <v>14627</v>
      </c>
      <c r="N1214" s="12">
        <v>46062.373799733796</v>
      </c>
      <c r="O1214" s="10" t="s">
        <v>15751</v>
      </c>
      <c r="P1214" s="5" t="s">
        <v>14571</v>
      </c>
      <c r="Q1214" s="5" t="s">
        <v>14612</v>
      </c>
      <c r="R1214" s="5" t="s">
        <v>17560</v>
      </c>
      <c r="T1214" s="5" t="s">
        <v>5994</v>
      </c>
      <c r="U1214" s="5" t="s">
        <v>14618</v>
      </c>
      <c r="V1214" s="5" t="s">
        <v>67</v>
      </c>
      <c r="W1214" s="5" t="s">
        <v>8944</v>
      </c>
    </row>
    <row r="1215" spans="1:23" ht="12.5">
      <c r="A1215" s="5">
        <v>91719</v>
      </c>
      <c r="B1215" s="5" t="s">
        <v>17561</v>
      </c>
      <c r="C1215" s="5">
        <v>573015190837</v>
      </c>
      <c r="D1215" s="5">
        <v>30</v>
      </c>
      <c r="E1215" s="5" t="s">
        <v>156</v>
      </c>
      <c r="F1215" s="5" t="s">
        <v>598</v>
      </c>
      <c r="G1215" s="5" t="s">
        <v>8945</v>
      </c>
      <c r="H1215" s="5" t="s">
        <v>8946</v>
      </c>
      <c r="I1215" s="5" t="s">
        <v>8947</v>
      </c>
      <c r="J1215" s="12">
        <v>46062</v>
      </c>
      <c r="K1215" s="11">
        <v>0.45833333333212067</v>
      </c>
      <c r="M1215" s="10" t="s">
        <v>14627</v>
      </c>
      <c r="N1215" s="12">
        <v>46062.384271574076</v>
      </c>
      <c r="O1215" s="10" t="s">
        <v>15321</v>
      </c>
      <c r="P1215" s="5" t="s">
        <v>14571</v>
      </c>
      <c r="Q1215" s="5" t="s">
        <v>14572</v>
      </c>
      <c r="R1215" s="5" t="s">
        <v>17562</v>
      </c>
      <c r="T1215" s="5" t="s">
        <v>5994</v>
      </c>
      <c r="U1215" s="5" t="s">
        <v>14593</v>
      </c>
      <c r="V1215" s="5" t="s">
        <v>67</v>
      </c>
      <c r="W1215" s="5" t="s">
        <v>8948</v>
      </c>
    </row>
    <row r="1216" spans="1:23" ht="12.5">
      <c r="A1216" s="5">
        <v>91720</v>
      </c>
      <c r="B1216" s="5" t="s">
        <v>15266</v>
      </c>
      <c r="C1216" s="5">
        <v>573016851449</v>
      </c>
      <c r="D1216" s="5">
        <v>50</v>
      </c>
      <c r="E1216" s="5" t="s">
        <v>347</v>
      </c>
      <c r="F1216" s="5" t="s">
        <v>307</v>
      </c>
      <c r="G1216" s="5" t="s">
        <v>8951</v>
      </c>
      <c r="H1216" s="5" t="s">
        <v>4141</v>
      </c>
      <c r="I1216" s="5">
        <v>3016851449</v>
      </c>
      <c r="J1216" s="12">
        <v>46062</v>
      </c>
      <c r="K1216" s="11">
        <v>0.58333333333212067</v>
      </c>
      <c r="M1216" s="10" t="s">
        <v>15859</v>
      </c>
      <c r="N1216" s="12">
        <v>46062.401944074074</v>
      </c>
      <c r="O1216" s="10" t="s">
        <v>17563</v>
      </c>
      <c r="P1216" s="5" t="s">
        <v>14571</v>
      </c>
      <c r="Q1216" s="5" t="s">
        <v>14578</v>
      </c>
      <c r="R1216" s="5" t="s">
        <v>17564</v>
      </c>
      <c r="T1216" s="5" t="s">
        <v>5994</v>
      </c>
      <c r="U1216" s="5" t="s">
        <v>14618</v>
      </c>
      <c r="V1216" s="5" t="s">
        <v>67</v>
      </c>
      <c r="W1216" s="5" t="s">
        <v>8953</v>
      </c>
    </row>
    <row r="1217" spans="1:23" ht="12.5">
      <c r="A1217" s="5">
        <v>91721</v>
      </c>
      <c r="B1217" s="5" t="s">
        <v>17565</v>
      </c>
      <c r="C1217" s="5">
        <v>573015427108</v>
      </c>
      <c r="D1217" s="5">
        <v>68</v>
      </c>
      <c r="E1217" s="5" t="s">
        <v>361</v>
      </c>
      <c r="F1217" s="5" t="s">
        <v>892</v>
      </c>
      <c r="G1217" s="5" t="s">
        <v>8955</v>
      </c>
      <c r="H1217" s="5" t="s">
        <v>8956</v>
      </c>
      <c r="I1217" s="5">
        <v>3017695843</v>
      </c>
      <c r="J1217" s="12">
        <v>46062</v>
      </c>
      <c r="K1217" s="11">
        <v>0.58333333333212067</v>
      </c>
      <c r="M1217" s="10" t="s">
        <v>14777</v>
      </c>
      <c r="N1217" s="12">
        <v>46062.403801354165</v>
      </c>
      <c r="O1217" s="10" t="s">
        <v>15165</v>
      </c>
      <c r="P1217" s="5" t="s">
        <v>14571</v>
      </c>
      <c r="Q1217" s="5" t="s">
        <v>14612</v>
      </c>
      <c r="R1217" s="5" t="s">
        <v>17566</v>
      </c>
      <c r="T1217" s="5" t="s">
        <v>5994</v>
      </c>
      <c r="U1217" s="5" t="s">
        <v>14593</v>
      </c>
      <c r="V1217" s="5" t="s">
        <v>204</v>
      </c>
      <c r="W1217" s="5" t="s">
        <v>8959</v>
      </c>
    </row>
    <row r="1218" spans="1:23" ht="12.5">
      <c r="A1218" s="5">
        <v>91722</v>
      </c>
      <c r="B1218" s="5" t="s">
        <v>17567</v>
      </c>
      <c r="C1218" s="5">
        <v>573004048843</v>
      </c>
      <c r="D1218" s="5">
        <v>72</v>
      </c>
      <c r="E1218" s="5" t="s">
        <v>8964</v>
      </c>
      <c r="F1218" s="5" t="s">
        <v>8961</v>
      </c>
      <c r="G1218" s="5" t="s">
        <v>4187</v>
      </c>
      <c r="H1218" s="5" t="s">
        <v>8962</v>
      </c>
      <c r="I1218" s="5" t="s">
        <v>8963</v>
      </c>
      <c r="J1218" s="12">
        <v>46062</v>
      </c>
      <c r="K1218" s="11">
        <v>0</v>
      </c>
      <c r="M1218" s="10" t="s">
        <v>15615</v>
      </c>
      <c r="N1218" s="12">
        <v>46062</v>
      </c>
      <c r="O1218" s="10" t="s">
        <v>15597</v>
      </c>
      <c r="P1218" s="5" t="s">
        <v>14571</v>
      </c>
      <c r="Q1218" s="5" t="s">
        <v>14572</v>
      </c>
      <c r="R1218" s="5" t="s">
        <v>17568</v>
      </c>
      <c r="T1218" s="5" t="s">
        <v>5994</v>
      </c>
      <c r="U1218" s="5" t="s">
        <v>14598</v>
      </c>
      <c r="V1218" s="5" t="s">
        <v>67</v>
      </c>
      <c r="W1218" s="5"/>
    </row>
    <row r="1219" spans="1:23" ht="12.5">
      <c r="A1219" s="5">
        <v>91723</v>
      </c>
      <c r="B1219" s="5" t="s">
        <v>17569</v>
      </c>
      <c r="C1219" s="5">
        <v>34662401282</v>
      </c>
      <c r="D1219" s="5">
        <v>64</v>
      </c>
      <c r="E1219" s="5" t="s">
        <v>133</v>
      </c>
      <c r="F1219" s="5" t="s">
        <v>103</v>
      </c>
      <c r="G1219" s="5" t="s">
        <v>1982</v>
      </c>
      <c r="H1219" s="5" t="s">
        <v>8967</v>
      </c>
      <c r="I1219" s="5">
        <v>3243883371</v>
      </c>
      <c r="J1219" s="12">
        <v>46066</v>
      </c>
      <c r="K1219" s="11">
        <v>0.75</v>
      </c>
      <c r="M1219" s="10" t="s">
        <v>15384</v>
      </c>
      <c r="N1219" s="12">
        <v>46062.376266643521</v>
      </c>
      <c r="O1219" s="10" t="s">
        <v>17094</v>
      </c>
      <c r="P1219" s="5" t="s">
        <v>14571</v>
      </c>
      <c r="Q1219" s="5" t="s">
        <v>17404</v>
      </c>
      <c r="R1219" s="5" t="s">
        <v>17570</v>
      </c>
      <c r="T1219" s="5" t="s">
        <v>5994</v>
      </c>
      <c r="U1219" s="5" t="s">
        <v>14593</v>
      </c>
      <c r="V1219" s="5" t="s">
        <v>7644</v>
      </c>
      <c r="W1219" s="5"/>
    </row>
    <row r="1220" spans="1:23" ht="12.5">
      <c r="A1220" s="5">
        <v>91724</v>
      </c>
      <c r="B1220" s="5" t="s">
        <v>17571</v>
      </c>
      <c r="C1220" s="5">
        <v>573003904150</v>
      </c>
      <c r="D1220" s="5">
        <v>23</v>
      </c>
      <c r="E1220" s="5" t="s">
        <v>8973</v>
      </c>
      <c r="F1220" s="5" t="s">
        <v>185</v>
      </c>
      <c r="G1220" s="5" t="s">
        <v>8971</v>
      </c>
      <c r="H1220" s="5" t="s">
        <v>8972</v>
      </c>
      <c r="I1220" s="5">
        <v>3168047377</v>
      </c>
      <c r="J1220" s="12">
        <v>46066</v>
      </c>
      <c r="K1220" s="11">
        <v>0.375</v>
      </c>
      <c r="M1220" s="10" t="s">
        <v>14899</v>
      </c>
      <c r="N1220" s="12">
        <v>46062.372255173614</v>
      </c>
      <c r="O1220" s="10" t="s">
        <v>15309</v>
      </c>
      <c r="P1220" s="5" t="s">
        <v>14571</v>
      </c>
      <c r="Q1220" s="5" t="s">
        <v>17404</v>
      </c>
      <c r="R1220" s="5" t="s">
        <v>17572</v>
      </c>
      <c r="T1220" s="5" t="s">
        <v>5994</v>
      </c>
      <c r="U1220" s="5" t="s">
        <v>14580</v>
      </c>
      <c r="V1220" s="5" t="s">
        <v>7644</v>
      </c>
      <c r="W1220" s="5"/>
    </row>
    <row r="1221" spans="1:23" ht="12.5">
      <c r="A1221" s="5">
        <v>91725</v>
      </c>
      <c r="B1221" s="5" t="s">
        <v>8977</v>
      </c>
      <c r="C1221" s="5">
        <v>573005967818</v>
      </c>
      <c r="D1221" s="5" t="s">
        <v>17573</v>
      </c>
      <c r="E1221" s="5" t="s">
        <v>8978</v>
      </c>
      <c r="F1221" s="5" t="s">
        <v>33</v>
      </c>
      <c r="G1221" s="5" t="s">
        <v>8977</v>
      </c>
      <c r="H1221" s="5" t="s">
        <v>34</v>
      </c>
      <c r="I1221" s="5">
        <v>3005967818</v>
      </c>
      <c r="J1221" s="12">
        <v>46062</v>
      </c>
      <c r="K1221" s="11">
        <v>0.45138888889050577</v>
      </c>
      <c r="M1221" s="10" t="s">
        <v>15859</v>
      </c>
      <c r="N1221" s="12">
        <v>46062.441429525468</v>
      </c>
      <c r="O1221" s="10" t="s">
        <v>16111</v>
      </c>
      <c r="P1221" s="5" t="s">
        <v>14571</v>
      </c>
      <c r="Q1221" s="5" t="s">
        <v>14578</v>
      </c>
      <c r="R1221" s="5" t="s">
        <v>17574</v>
      </c>
      <c r="T1221" s="5" t="s">
        <v>14574</v>
      </c>
      <c r="U1221" s="5" t="s">
        <v>33</v>
      </c>
      <c r="V1221" s="5" t="s">
        <v>1705</v>
      </c>
      <c r="W1221" s="5"/>
    </row>
    <row r="1222" spans="1:23" ht="12.5">
      <c r="A1222" s="5">
        <v>91726</v>
      </c>
      <c r="B1222" s="5" t="s">
        <v>15266</v>
      </c>
      <c r="C1222" s="5">
        <v>573016851449</v>
      </c>
      <c r="D1222" s="5">
        <v>56</v>
      </c>
      <c r="E1222" s="5" t="s">
        <v>1102</v>
      </c>
      <c r="F1222" s="5" t="s">
        <v>307</v>
      </c>
      <c r="G1222" s="5" t="s">
        <v>8951</v>
      </c>
      <c r="H1222" s="5" t="s">
        <v>8979</v>
      </c>
      <c r="I1222" s="5">
        <v>3016851449</v>
      </c>
      <c r="J1222" s="12">
        <v>46062</v>
      </c>
      <c r="K1222" s="11">
        <v>0.45833333333212067</v>
      </c>
      <c r="M1222" s="10" t="s">
        <v>14649</v>
      </c>
      <c r="N1222" s="12">
        <v>46062.442842256947</v>
      </c>
      <c r="O1222" s="10" t="s">
        <v>14658</v>
      </c>
      <c r="P1222" s="5" t="s">
        <v>14571</v>
      </c>
      <c r="Q1222" s="5" t="s">
        <v>14578</v>
      </c>
      <c r="R1222" s="5" t="s">
        <v>17575</v>
      </c>
      <c r="T1222" s="5" t="s">
        <v>5994</v>
      </c>
      <c r="U1222" s="5" t="s">
        <v>14618</v>
      </c>
      <c r="V1222" s="5" t="s">
        <v>67</v>
      </c>
      <c r="W1222" s="5" t="s">
        <v>8982</v>
      </c>
    </row>
    <row r="1223" spans="1:23" ht="12.5">
      <c r="A1223" s="5">
        <v>91727</v>
      </c>
      <c r="B1223" s="5" t="s">
        <v>17576</v>
      </c>
      <c r="C1223" s="5">
        <v>573008001157</v>
      </c>
      <c r="D1223" s="5" t="s">
        <v>14589</v>
      </c>
      <c r="E1223" s="5" t="s">
        <v>8987</v>
      </c>
      <c r="F1223" s="5" t="s">
        <v>110</v>
      </c>
      <c r="G1223" s="5" t="s">
        <v>8985</v>
      </c>
      <c r="H1223" s="5" t="s">
        <v>8986</v>
      </c>
      <c r="I1223" s="5">
        <v>3008001157</v>
      </c>
      <c r="J1223" s="12">
        <v>46065</v>
      </c>
      <c r="K1223" s="11">
        <v>0.375</v>
      </c>
      <c r="M1223" s="10" t="s">
        <v>17577</v>
      </c>
      <c r="N1223" s="12">
        <v>46062.424255682869</v>
      </c>
      <c r="O1223" s="10" t="s">
        <v>17304</v>
      </c>
      <c r="P1223" s="5" t="s">
        <v>14571</v>
      </c>
      <c r="Q1223" s="5" t="s">
        <v>14578</v>
      </c>
      <c r="R1223" s="5" t="s">
        <v>17578</v>
      </c>
      <c r="T1223" s="5" t="s">
        <v>5994</v>
      </c>
      <c r="U1223" s="5" t="s">
        <v>14593</v>
      </c>
      <c r="V1223" s="5" t="s">
        <v>7644</v>
      </c>
      <c r="W1223" s="5" t="s">
        <v>8989</v>
      </c>
    </row>
    <row r="1224" spans="1:23" ht="12.5">
      <c r="A1224" s="5">
        <v>91728</v>
      </c>
      <c r="B1224" s="5" t="s">
        <v>12494</v>
      </c>
      <c r="C1224" s="5">
        <v>573017607682</v>
      </c>
      <c r="D1224" s="5">
        <v>95</v>
      </c>
      <c r="E1224" s="5" t="s">
        <v>42</v>
      </c>
      <c r="F1224" s="5" t="s">
        <v>328</v>
      </c>
      <c r="G1224" s="5" t="s">
        <v>8992</v>
      </c>
      <c r="H1224" s="5" t="s">
        <v>8993</v>
      </c>
      <c r="I1224" s="5">
        <v>3126794745</v>
      </c>
      <c r="J1224" s="12">
        <v>46064</v>
      </c>
      <c r="K1224" s="11">
        <v>0.375</v>
      </c>
      <c r="M1224" s="10" t="s">
        <v>14590</v>
      </c>
      <c r="N1224" s="12">
        <v>46062.451620752312</v>
      </c>
      <c r="O1224" s="10" t="s">
        <v>14759</v>
      </c>
      <c r="P1224" s="5" t="s">
        <v>14571</v>
      </c>
      <c r="Q1224" s="5" t="s">
        <v>14578</v>
      </c>
      <c r="R1224" s="5" t="s">
        <v>17579</v>
      </c>
      <c r="T1224" s="5" t="s">
        <v>5994</v>
      </c>
      <c r="U1224" s="5"/>
      <c r="V1224" s="5" t="s">
        <v>83</v>
      </c>
      <c r="W1224" s="5" t="s">
        <v>8996</v>
      </c>
    </row>
    <row r="1225" spans="1:23" ht="12.5">
      <c r="A1225" s="5">
        <v>91729</v>
      </c>
      <c r="B1225" s="5" t="s">
        <v>17580</v>
      </c>
      <c r="C1225" s="5">
        <v>573013796198</v>
      </c>
      <c r="D1225" s="5">
        <v>26</v>
      </c>
      <c r="E1225" s="5" t="s">
        <v>422</v>
      </c>
      <c r="F1225" s="5" t="s">
        <v>1317</v>
      </c>
      <c r="G1225" s="5" t="s">
        <v>8998</v>
      </c>
      <c r="H1225" s="5" t="s">
        <v>648</v>
      </c>
      <c r="I1225" s="5">
        <v>3014648404</v>
      </c>
      <c r="J1225" s="12">
        <v>46062</v>
      </c>
      <c r="K1225" s="11">
        <v>0.54166666666787933</v>
      </c>
      <c r="M1225" s="10" t="s">
        <v>14708</v>
      </c>
      <c r="N1225" s="12">
        <v>46062.454111851854</v>
      </c>
      <c r="O1225" s="10" t="s">
        <v>14984</v>
      </c>
      <c r="P1225" s="5" t="s">
        <v>14571</v>
      </c>
      <c r="Q1225" s="5" t="s">
        <v>14578</v>
      </c>
      <c r="R1225" s="5" t="s">
        <v>17581</v>
      </c>
      <c r="T1225" s="5" t="s">
        <v>5994</v>
      </c>
      <c r="U1225" s="5" t="s">
        <v>15349</v>
      </c>
      <c r="V1225" s="5" t="s">
        <v>83</v>
      </c>
      <c r="W1225" s="5"/>
    </row>
    <row r="1226" spans="1:23" ht="12.5">
      <c r="A1226" s="5">
        <v>91730</v>
      </c>
      <c r="B1226" s="5" t="s">
        <v>17582</v>
      </c>
      <c r="C1226" s="5">
        <v>573148029050</v>
      </c>
      <c r="D1226" s="5">
        <v>1</v>
      </c>
      <c r="E1226" s="5" t="s">
        <v>5730</v>
      </c>
      <c r="F1226" s="5" t="s">
        <v>9002</v>
      </c>
      <c r="G1226" s="5" t="s">
        <v>9001</v>
      </c>
      <c r="H1226" s="5" t="s">
        <v>9003</v>
      </c>
      <c r="I1226" s="5">
        <v>3115564868</v>
      </c>
      <c r="J1226" s="12">
        <v>46062</v>
      </c>
      <c r="K1226" s="11">
        <v>0</v>
      </c>
      <c r="M1226" s="10" t="s">
        <v>17583</v>
      </c>
      <c r="N1226" s="12">
        <v>46062.455162395832</v>
      </c>
      <c r="O1226" s="10" t="s">
        <v>16284</v>
      </c>
      <c r="P1226" s="5" t="s">
        <v>14571</v>
      </c>
      <c r="Q1226" s="5" t="s">
        <v>14572</v>
      </c>
      <c r="R1226" s="5" t="s">
        <v>17584</v>
      </c>
      <c r="T1226" s="5" t="s">
        <v>5994</v>
      </c>
      <c r="U1226" s="5" t="s">
        <v>14775</v>
      </c>
      <c r="V1226" s="5" t="s">
        <v>83</v>
      </c>
      <c r="W1226" s="5"/>
    </row>
    <row r="1227" spans="1:23" ht="12.5">
      <c r="A1227" s="5">
        <v>91731</v>
      </c>
      <c r="B1227" s="5" t="s">
        <v>9008</v>
      </c>
      <c r="C1227" s="5">
        <v>573104006493</v>
      </c>
      <c r="D1227" s="5">
        <v>49</v>
      </c>
      <c r="E1227" s="5" t="s">
        <v>380</v>
      </c>
      <c r="F1227" s="5" t="s">
        <v>1815</v>
      </c>
      <c r="G1227" s="5" t="s">
        <v>9008</v>
      </c>
      <c r="H1227" s="5" t="s">
        <v>9009</v>
      </c>
      <c r="I1227" s="5">
        <v>3136269991</v>
      </c>
      <c r="J1227" s="12">
        <v>46062</v>
      </c>
      <c r="K1227" s="11">
        <v>0.58333333333212067</v>
      </c>
      <c r="M1227" s="10" t="s">
        <v>14903</v>
      </c>
      <c r="N1227" s="12">
        <v>46062.471880208337</v>
      </c>
      <c r="O1227" s="10" t="s">
        <v>15481</v>
      </c>
      <c r="P1227" s="5" t="s">
        <v>14571</v>
      </c>
      <c r="Q1227" s="5" t="s">
        <v>14578</v>
      </c>
      <c r="R1227" s="5" t="s">
        <v>17585</v>
      </c>
      <c r="T1227" s="5" t="s">
        <v>5994</v>
      </c>
      <c r="U1227" s="5" t="s">
        <v>14580</v>
      </c>
      <c r="V1227" s="5" t="s">
        <v>180</v>
      </c>
      <c r="W1227" s="5"/>
    </row>
    <row r="1228" spans="1:23" ht="12.5">
      <c r="A1228" s="5">
        <v>91732</v>
      </c>
      <c r="B1228" s="5" t="s">
        <v>17586</v>
      </c>
      <c r="C1228" s="5">
        <v>573005366116</v>
      </c>
      <c r="D1228" s="5" t="s">
        <v>17587</v>
      </c>
      <c r="E1228" s="5" t="s">
        <v>9015</v>
      </c>
      <c r="F1228" s="5" t="s">
        <v>9013</v>
      </c>
      <c r="G1228" s="5" t="s">
        <v>9012</v>
      </c>
      <c r="H1228" s="5" t="s">
        <v>9014</v>
      </c>
      <c r="I1228" s="5">
        <v>3015929748</v>
      </c>
      <c r="J1228" s="12">
        <v>46062</v>
      </c>
      <c r="K1228" s="11">
        <v>0.58333333333212067</v>
      </c>
      <c r="M1228" s="10" t="s">
        <v>15619</v>
      </c>
      <c r="N1228" s="12">
        <v>46062.46891009259</v>
      </c>
      <c r="O1228" s="10" t="s">
        <v>17588</v>
      </c>
      <c r="P1228" s="5" t="s">
        <v>14571</v>
      </c>
      <c r="Q1228" s="5" t="s">
        <v>14612</v>
      </c>
      <c r="R1228" s="5" t="s">
        <v>17589</v>
      </c>
      <c r="T1228" s="5" t="s">
        <v>5994</v>
      </c>
      <c r="U1228" s="5" t="s">
        <v>14593</v>
      </c>
      <c r="V1228" s="5" t="s">
        <v>67</v>
      </c>
      <c r="W1228" s="5"/>
    </row>
    <row r="1229" spans="1:23" ht="12.5">
      <c r="A1229" s="5">
        <v>91733</v>
      </c>
      <c r="B1229" s="5" t="s">
        <v>17590</v>
      </c>
      <c r="C1229" s="5">
        <v>573157543658</v>
      </c>
      <c r="D1229" s="5">
        <v>10</v>
      </c>
      <c r="E1229" s="5" t="s">
        <v>747</v>
      </c>
      <c r="F1229" s="5" t="s">
        <v>154</v>
      </c>
      <c r="G1229" s="5" t="s">
        <v>9018</v>
      </c>
      <c r="H1229" s="5" t="s">
        <v>9019</v>
      </c>
      <c r="I1229" s="5">
        <v>3104849180</v>
      </c>
      <c r="J1229" s="12">
        <v>46062</v>
      </c>
      <c r="K1229" s="11">
        <v>0</v>
      </c>
      <c r="M1229" s="10" t="s">
        <v>16589</v>
      </c>
      <c r="N1229" s="12">
        <v>46062.472023599534</v>
      </c>
      <c r="O1229" s="10" t="s">
        <v>15687</v>
      </c>
      <c r="P1229" s="5" t="s">
        <v>14571</v>
      </c>
      <c r="Q1229" s="5" t="s">
        <v>14572</v>
      </c>
      <c r="R1229" s="5" t="s">
        <v>17591</v>
      </c>
      <c r="T1229" s="5" t="s">
        <v>5994</v>
      </c>
      <c r="U1229" s="5" t="s">
        <v>14593</v>
      </c>
      <c r="V1229" s="5" t="s">
        <v>83</v>
      </c>
      <c r="W1229" s="5"/>
    </row>
    <row r="1230" spans="1:23" ht="12.5">
      <c r="A1230" s="5">
        <v>91734</v>
      </c>
      <c r="B1230" s="5" t="s">
        <v>17592</v>
      </c>
      <c r="C1230" s="5">
        <v>573003363390</v>
      </c>
      <c r="D1230" s="5" t="s">
        <v>14589</v>
      </c>
      <c r="E1230" s="5" t="s">
        <v>9025</v>
      </c>
      <c r="F1230" s="5" t="s">
        <v>5089</v>
      </c>
      <c r="G1230" s="5" t="s">
        <v>9023</v>
      </c>
      <c r="H1230" s="5" t="s">
        <v>9024</v>
      </c>
      <c r="I1230" s="5">
        <v>3002961375</v>
      </c>
      <c r="J1230" s="12">
        <v>46066</v>
      </c>
      <c r="K1230" s="11">
        <v>0.375</v>
      </c>
      <c r="M1230" s="10" t="s">
        <v>14734</v>
      </c>
      <c r="N1230" s="12">
        <v>46062.472650011579</v>
      </c>
      <c r="O1230" s="10" t="s">
        <v>15077</v>
      </c>
      <c r="P1230" s="5" t="s">
        <v>14571</v>
      </c>
      <c r="Q1230" s="5" t="s">
        <v>14578</v>
      </c>
      <c r="R1230" s="5" t="s">
        <v>17593</v>
      </c>
      <c r="T1230" s="5" t="s">
        <v>5994</v>
      </c>
      <c r="U1230" s="5" t="s">
        <v>14580</v>
      </c>
      <c r="V1230" s="5" t="s">
        <v>7644</v>
      </c>
      <c r="W1230" s="5" t="s">
        <v>9028</v>
      </c>
    </row>
    <row r="1231" spans="1:23" ht="12.5">
      <c r="A1231" s="5">
        <v>91735</v>
      </c>
      <c r="B1231" s="5" t="s">
        <v>9031</v>
      </c>
      <c r="C1231" s="5">
        <v>573008159589</v>
      </c>
      <c r="D1231" s="5">
        <v>20</v>
      </c>
      <c r="E1231" s="5" t="s">
        <v>187</v>
      </c>
      <c r="F1231" s="5" t="s">
        <v>33</v>
      </c>
      <c r="G1231" s="5" t="s">
        <v>9031</v>
      </c>
      <c r="H1231" s="5" t="s">
        <v>34</v>
      </c>
      <c r="I1231" s="5">
        <v>3008159589</v>
      </c>
      <c r="J1231" s="12">
        <v>46062</v>
      </c>
      <c r="K1231" s="11">
        <v>9.0277777781011537E-3</v>
      </c>
      <c r="M1231" s="10" t="s">
        <v>14569</v>
      </c>
      <c r="N1231" s="12">
        <v>46062.506712916671</v>
      </c>
      <c r="O1231" s="10" t="s">
        <v>15696</v>
      </c>
      <c r="P1231" s="5" t="s">
        <v>14571</v>
      </c>
      <c r="Q1231" s="5" t="s">
        <v>14572</v>
      </c>
      <c r="R1231" s="5"/>
      <c r="T1231" s="5" t="s">
        <v>14574</v>
      </c>
      <c r="U1231" s="5" t="s">
        <v>33</v>
      </c>
      <c r="V1231" s="5" t="s">
        <v>1705</v>
      </c>
      <c r="W1231" s="5"/>
    </row>
    <row r="1232" spans="1:23" ht="12.5">
      <c r="A1232" s="5">
        <v>91736</v>
      </c>
      <c r="B1232" s="5" t="s">
        <v>17594</v>
      </c>
      <c r="C1232" s="5">
        <v>576177927112</v>
      </c>
      <c r="D1232" s="5">
        <v>24</v>
      </c>
      <c r="E1232" s="5" t="s">
        <v>251</v>
      </c>
      <c r="F1232" s="5" t="s">
        <v>103</v>
      </c>
      <c r="G1232" s="5" t="s">
        <v>9034</v>
      </c>
      <c r="H1232" s="5" t="s">
        <v>9035</v>
      </c>
      <c r="I1232" s="5" t="s">
        <v>9036</v>
      </c>
      <c r="J1232" s="12">
        <v>46062</v>
      </c>
      <c r="K1232" s="11">
        <v>0.58333333333212067</v>
      </c>
      <c r="M1232" s="10" t="s">
        <v>14712</v>
      </c>
      <c r="N1232" s="12">
        <v>46062.526970879626</v>
      </c>
      <c r="O1232" s="10" t="s">
        <v>14735</v>
      </c>
      <c r="P1232" s="5" t="s">
        <v>14571</v>
      </c>
      <c r="Q1232" s="5" t="s">
        <v>14612</v>
      </c>
      <c r="R1232" s="5" t="s">
        <v>17595</v>
      </c>
      <c r="T1232" s="5" t="s">
        <v>5994</v>
      </c>
      <c r="U1232" s="5" t="s">
        <v>14593</v>
      </c>
      <c r="V1232" s="5" t="s">
        <v>3754</v>
      </c>
      <c r="W1232" s="5"/>
    </row>
    <row r="1233" spans="1:23" ht="12.5">
      <c r="A1233" s="5">
        <v>91737</v>
      </c>
      <c r="B1233" s="5" t="s">
        <v>1292</v>
      </c>
      <c r="C1233" s="5">
        <v>573003788977</v>
      </c>
      <c r="D1233" s="5">
        <v>52</v>
      </c>
      <c r="E1233" s="5" t="s">
        <v>178</v>
      </c>
      <c r="F1233" s="5" t="s">
        <v>33</v>
      </c>
      <c r="G1233" s="5" t="s">
        <v>1292</v>
      </c>
      <c r="H1233" s="5" t="s">
        <v>34</v>
      </c>
      <c r="I1233" s="5">
        <v>3003788977</v>
      </c>
      <c r="J1233" s="12">
        <v>46062</v>
      </c>
      <c r="K1233" s="11">
        <v>0.57013888888832298</v>
      </c>
      <c r="M1233" s="10" t="s">
        <v>15161</v>
      </c>
      <c r="N1233" s="12">
        <v>46062.551290462958</v>
      </c>
      <c r="O1233" s="10" t="s">
        <v>16200</v>
      </c>
      <c r="P1233" s="5" t="s">
        <v>14571</v>
      </c>
      <c r="Q1233" s="5" t="s">
        <v>14699</v>
      </c>
      <c r="R1233" s="5" t="s">
        <v>17596</v>
      </c>
      <c r="T1233" s="5" t="s">
        <v>14574</v>
      </c>
      <c r="U1233" s="5" t="s">
        <v>33</v>
      </c>
      <c r="V1233" s="5" t="s">
        <v>1705</v>
      </c>
      <c r="W1233" s="5"/>
    </row>
    <row r="1234" spans="1:23" ht="12.5">
      <c r="A1234" s="5">
        <v>91738</v>
      </c>
      <c r="B1234" s="5" t="s">
        <v>17597</v>
      </c>
      <c r="C1234" s="10" t="s">
        <v>17598</v>
      </c>
      <c r="D1234" s="5">
        <v>41</v>
      </c>
      <c r="E1234" s="5" t="s">
        <v>89</v>
      </c>
      <c r="F1234" s="5" t="s">
        <v>229</v>
      </c>
      <c r="G1234" s="5" t="s">
        <v>9039</v>
      </c>
      <c r="H1234" s="5" t="s">
        <v>9040</v>
      </c>
      <c r="I1234" s="5"/>
      <c r="J1234" s="12">
        <v>46062</v>
      </c>
      <c r="K1234" s="11">
        <v>0</v>
      </c>
      <c r="M1234" s="10" t="s">
        <v>17599</v>
      </c>
      <c r="N1234" s="12">
        <v>46062</v>
      </c>
      <c r="O1234" s="10" t="s">
        <v>15264</v>
      </c>
      <c r="P1234" s="5" t="s">
        <v>14571</v>
      </c>
      <c r="Q1234" s="5" t="s">
        <v>14578</v>
      </c>
      <c r="R1234" s="5" t="s">
        <v>17600</v>
      </c>
      <c r="T1234" s="5" t="s">
        <v>5994</v>
      </c>
      <c r="U1234" s="5"/>
      <c r="V1234" s="5" t="s">
        <v>1481</v>
      </c>
      <c r="W1234" s="5" t="s">
        <v>9042</v>
      </c>
    </row>
    <row r="1235" spans="1:23" ht="12.5">
      <c r="A1235" s="5">
        <v>91739</v>
      </c>
      <c r="B1235" s="5" t="s">
        <v>17601</v>
      </c>
      <c r="C1235" s="5">
        <v>573016917734</v>
      </c>
      <c r="D1235" s="5">
        <v>95</v>
      </c>
      <c r="E1235" s="5" t="s">
        <v>42</v>
      </c>
      <c r="F1235" s="5" t="s">
        <v>73</v>
      </c>
      <c r="G1235" s="5" t="s">
        <v>9043</v>
      </c>
      <c r="H1235" s="5" t="s">
        <v>9044</v>
      </c>
      <c r="I1235" s="5"/>
      <c r="J1235" s="12">
        <v>46062</v>
      </c>
      <c r="K1235" s="11">
        <v>0.625</v>
      </c>
      <c r="M1235" s="10" t="s">
        <v>14890</v>
      </c>
      <c r="N1235" s="12">
        <v>46062.587338368059</v>
      </c>
      <c r="O1235" s="10" t="s">
        <v>17531</v>
      </c>
      <c r="P1235" s="5" t="s">
        <v>14571</v>
      </c>
      <c r="Q1235" s="5" t="s">
        <v>14612</v>
      </c>
      <c r="R1235" s="5" t="s">
        <v>17602</v>
      </c>
      <c r="T1235" s="5" t="s">
        <v>5994</v>
      </c>
      <c r="U1235" s="5" t="s">
        <v>14593</v>
      </c>
      <c r="V1235" s="5" t="s">
        <v>1481</v>
      </c>
      <c r="W1235" s="5" t="s">
        <v>9046</v>
      </c>
    </row>
    <row r="1236" spans="1:23" ht="12.5">
      <c r="A1236" s="5">
        <v>91740</v>
      </c>
      <c r="B1236" s="5" t="s">
        <v>3524</v>
      </c>
      <c r="C1236" s="10" t="s">
        <v>17603</v>
      </c>
      <c r="D1236" s="5">
        <v>95</v>
      </c>
      <c r="E1236" s="5" t="s">
        <v>42</v>
      </c>
      <c r="F1236" s="5" t="s">
        <v>33</v>
      </c>
      <c r="G1236" s="5" t="s">
        <v>3524</v>
      </c>
      <c r="H1236" s="5" t="s">
        <v>34</v>
      </c>
      <c r="I1236" s="5" t="s">
        <v>9047</v>
      </c>
      <c r="J1236" s="12">
        <v>46067</v>
      </c>
      <c r="K1236" s="11">
        <v>0</v>
      </c>
      <c r="M1236" s="10" t="s">
        <v>14627</v>
      </c>
      <c r="N1236" s="12">
        <v>46062</v>
      </c>
      <c r="O1236" s="10" t="s">
        <v>17604</v>
      </c>
      <c r="P1236" s="5" t="s">
        <v>14571</v>
      </c>
      <c r="Q1236" s="5" t="s">
        <v>16907</v>
      </c>
      <c r="R1236" s="5" t="s">
        <v>17605</v>
      </c>
      <c r="T1236" s="5" t="s">
        <v>14574</v>
      </c>
      <c r="U1236" s="5" t="s">
        <v>33</v>
      </c>
      <c r="V1236" s="5" t="s">
        <v>7644</v>
      </c>
      <c r="W1236" s="5" t="s">
        <v>9048</v>
      </c>
    </row>
    <row r="1237" spans="1:23" ht="12.5">
      <c r="A1237" s="5">
        <v>91741</v>
      </c>
      <c r="B1237" s="5" t="s">
        <v>17606</v>
      </c>
      <c r="C1237" s="5">
        <v>573118407267</v>
      </c>
      <c r="D1237" s="5" t="s">
        <v>14589</v>
      </c>
      <c r="E1237" s="5" t="s">
        <v>9052</v>
      </c>
      <c r="F1237" s="5" t="s">
        <v>161</v>
      </c>
      <c r="G1237" s="5" t="s">
        <v>9050</v>
      </c>
      <c r="H1237" s="5" t="s">
        <v>9051</v>
      </c>
      <c r="I1237" s="5"/>
      <c r="J1237" s="12">
        <v>46062</v>
      </c>
      <c r="K1237" s="11">
        <v>0.66666666666787933</v>
      </c>
      <c r="M1237" s="10" t="s">
        <v>15086</v>
      </c>
      <c r="N1237" s="12">
        <v>46062.625747384256</v>
      </c>
      <c r="O1237" s="10" t="s">
        <v>17329</v>
      </c>
      <c r="P1237" s="5" t="s">
        <v>14571</v>
      </c>
      <c r="Q1237" s="5" t="s">
        <v>14572</v>
      </c>
      <c r="R1237" s="5" t="s">
        <v>17607</v>
      </c>
      <c r="T1237" s="5" t="s">
        <v>5994</v>
      </c>
      <c r="U1237" s="5" t="s">
        <v>14593</v>
      </c>
      <c r="V1237" s="5" t="s">
        <v>1481</v>
      </c>
      <c r="W1237" s="5" t="s">
        <v>9053</v>
      </c>
    </row>
    <row r="1238" spans="1:23" ht="12.5">
      <c r="A1238" s="5">
        <v>91742</v>
      </c>
      <c r="B1238" s="5" t="s">
        <v>17608</v>
      </c>
      <c r="C1238" s="5">
        <v>573114235837</v>
      </c>
      <c r="D1238" s="5" t="s">
        <v>14589</v>
      </c>
      <c r="E1238" s="5" t="s">
        <v>9056</v>
      </c>
      <c r="F1238" s="5" t="s">
        <v>185</v>
      </c>
      <c r="G1238" s="5" t="s">
        <v>9054</v>
      </c>
      <c r="H1238" s="5" t="s">
        <v>9055</v>
      </c>
      <c r="I1238" s="5">
        <v>3114235837</v>
      </c>
      <c r="J1238" s="12">
        <v>46063</v>
      </c>
      <c r="K1238" s="11">
        <v>0.375</v>
      </c>
      <c r="M1238" s="10" t="s">
        <v>17609</v>
      </c>
      <c r="N1238" s="12">
        <v>46062.62870134259</v>
      </c>
      <c r="O1238" s="10" t="s">
        <v>16782</v>
      </c>
      <c r="P1238" s="5" t="s">
        <v>14571</v>
      </c>
      <c r="Q1238" s="5" t="s">
        <v>14612</v>
      </c>
      <c r="R1238" s="5" t="s">
        <v>17610</v>
      </c>
      <c r="T1238" s="5" t="s">
        <v>5994</v>
      </c>
      <c r="U1238" s="5" t="s">
        <v>14580</v>
      </c>
      <c r="V1238" s="5" t="s">
        <v>67</v>
      </c>
      <c r="W1238" s="5" t="s">
        <v>9058</v>
      </c>
    </row>
    <row r="1239" spans="1:23" ht="12.5">
      <c r="A1239" s="5">
        <v>91743</v>
      </c>
      <c r="B1239" s="5" t="s">
        <v>17611</v>
      </c>
      <c r="C1239" s="5">
        <v>573181121812</v>
      </c>
      <c r="D1239" s="5">
        <v>29</v>
      </c>
      <c r="E1239" s="5" t="s">
        <v>309</v>
      </c>
      <c r="F1239" s="5" t="s">
        <v>161</v>
      </c>
      <c r="G1239" s="5" t="s">
        <v>9060</v>
      </c>
      <c r="H1239" s="5" t="s">
        <v>9061</v>
      </c>
      <c r="I1239" s="5" t="s">
        <v>9062</v>
      </c>
      <c r="J1239" s="12">
        <v>46066</v>
      </c>
      <c r="K1239" s="11">
        <v>0</v>
      </c>
      <c r="M1239" s="10" t="s">
        <v>15064</v>
      </c>
      <c r="N1239" s="12">
        <v>46062.635230347223</v>
      </c>
      <c r="O1239" s="10" t="s">
        <v>15466</v>
      </c>
      <c r="P1239" s="5" t="s">
        <v>14571</v>
      </c>
      <c r="Q1239" s="5" t="s">
        <v>17404</v>
      </c>
      <c r="R1239" s="5" t="s">
        <v>17612</v>
      </c>
      <c r="T1239" s="5" t="s">
        <v>5994</v>
      </c>
      <c r="U1239" s="5" t="s">
        <v>14593</v>
      </c>
      <c r="V1239" s="5" t="s">
        <v>7644</v>
      </c>
      <c r="W1239" s="5"/>
    </row>
    <row r="1240" spans="1:23" ht="12.5">
      <c r="A1240" s="5">
        <v>91744</v>
      </c>
      <c r="B1240" s="5" t="s">
        <v>17613</v>
      </c>
      <c r="C1240" s="5">
        <v>573016293939</v>
      </c>
      <c r="D1240" s="5">
        <v>62</v>
      </c>
      <c r="E1240" s="5" t="s">
        <v>2586</v>
      </c>
      <c r="F1240" s="5" t="s">
        <v>307</v>
      </c>
      <c r="G1240" s="5" t="s">
        <v>9065</v>
      </c>
      <c r="H1240" s="5" t="s">
        <v>9066</v>
      </c>
      <c r="I1240" s="5">
        <v>3016293939</v>
      </c>
      <c r="J1240" s="12">
        <v>46066</v>
      </c>
      <c r="K1240" s="11">
        <v>0.375</v>
      </c>
      <c r="M1240" s="10" t="s">
        <v>14712</v>
      </c>
      <c r="N1240" s="12">
        <v>46062.647521087958</v>
      </c>
      <c r="O1240" s="10" t="s">
        <v>16477</v>
      </c>
      <c r="P1240" s="5" t="s">
        <v>14571</v>
      </c>
      <c r="Q1240" s="5" t="s">
        <v>17404</v>
      </c>
      <c r="R1240" s="5" t="s">
        <v>17614</v>
      </c>
      <c r="T1240" s="5" t="s">
        <v>5994</v>
      </c>
      <c r="U1240" s="5" t="s">
        <v>14618</v>
      </c>
      <c r="V1240" s="5" t="s">
        <v>7644</v>
      </c>
      <c r="W1240" s="5"/>
    </row>
    <row r="1241" spans="1:23" ht="12.5">
      <c r="A1241" s="5">
        <v>91745</v>
      </c>
      <c r="B1241" s="5" t="s">
        <v>9070</v>
      </c>
      <c r="C1241" s="5">
        <v>573024491225</v>
      </c>
      <c r="D1241" s="5">
        <v>52</v>
      </c>
      <c r="E1241" s="5" t="s">
        <v>178</v>
      </c>
      <c r="F1241" s="5" t="s">
        <v>33</v>
      </c>
      <c r="G1241" s="5" t="s">
        <v>9070</v>
      </c>
      <c r="H1241" s="5" t="s">
        <v>34</v>
      </c>
      <c r="I1241" s="5">
        <v>3024491225</v>
      </c>
      <c r="J1241" s="12">
        <v>46062</v>
      </c>
      <c r="K1241" s="11">
        <v>0</v>
      </c>
      <c r="M1241" s="10" t="s">
        <v>15161</v>
      </c>
      <c r="N1241" s="12">
        <v>46062.65724601852</v>
      </c>
      <c r="O1241" s="10" t="s">
        <v>15445</v>
      </c>
      <c r="P1241" s="5" t="s">
        <v>14571</v>
      </c>
      <c r="Q1241" s="5" t="s">
        <v>14572</v>
      </c>
      <c r="R1241" s="5" t="s">
        <v>17615</v>
      </c>
      <c r="T1241" s="5" t="s">
        <v>14574</v>
      </c>
      <c r="U1241" s="5" t="s">
        <v>33</v>
      </c>
      <c r="V1241" s="5" t="s">
        <v>1705</v>
      </c>
      <c r="W1241" s="5"/>
    </row>
    <row r="1242" spans="1:23" ht="12.5">
      <c r="A1242" s="5">
        <v>91746</v>
      </c>
      <c r="B1242" s="5" t="s">
        <v>17616</v>
      </c>
      <c r="C1242" s="5">
        <v>573208240314</v>
      </c>
      <c r="D1242" s="5">
        <v>10</v>
      </c>
      <c r="E1242" s="5" t="s">
        <v>6874</v>
      </c>
      <c r="F1242" s="5" t="s">
        <v>1057</v>
      </c>
      <c r="G1242" s="5" t="s">
        <v>9071</v>
      </c>
      <c r="H1242" s="5" t="s">
        <v>9072</v>
      </c>
      <c r="I1242" s="5">
        <v>3208240314</v>
      </c>
      <c r="J1242" s="12">
        <v>46066</v>
      </c>
      <c r="K1242" s="11">
        <v>0.375</v>
      </c>
      <c r="M1242" s="10" t="s">
        <v>16562</v>
      </c>
      <c r="N1242" s="12">
        <v>46062.664710092591</v>
      </c>
      <c r="O1242" s="10" t="s">
        <v>15372</v>
      </c>
      <c r="P1242" s="5" t="s">
        <v>14571</v>
      </c>
      <c r="Q1242" s="5" t="s">
        <v>14578</v>
      </c>
      <c r="R1242" s="5" t="s">
        <v>17617</v>
      </c>
      <c r="T1242" s="5" t="s">
        <v>5994</v>
      </c>
      <c r="U1242" s="5" t="s">
        <v>14580</v>
      </c>
      <c r="V1242" s="5" t="s">
        <v>7644</v>
      </c>
      <c r="W1242" s="5"/>
    </row>
    <row r="1243" spans="1:23" ht="12.5">
      <c r="A1243" s="5">
        <v>91747</v>
      </c>
      <c r="B1243" s="5" t="s">
        <v>17618</v>
      </c>
      <c r="C1243" s="5">
        <v>573044708405</v>
      </c>
      <c r="D1243" s="5">
        <v>53</v>
      </c>
      <c r="E1243" s="5" t="s">
        <v>75</v>
      </c>
      <c r="F1243" s="5" t="s">
        <v>79</v>
      </c>
      <c r="G1243" s="5" t="s">
        <v>9075</v>
      </c>
      <c r="H1243" s="5" t="s">
        <v>9076</v>
      </c>
      <c r="I1243" s="5">
        <v>3232107388</v>
      </c>
      <c r="J1243" s="12">
        <v>46063</v>
      </c>
      <c r="K1243" s="11">
        <v>0</v>
      </c>
      <c r="M1243" s="10" t="s">
        <v>14627</v>
      </c>
      <c r="N1243" s="12">
        <v>46062.676967210646</v>
      </c>
      <c r="O1243" s="10" t="s">
        <v>15367</v>
      </c>
      <c r="P1243" s="5" t="s">
        <v>14571</v>
      </c>
      <c r="Q1243" s="5" t="s">
        <v>14572</v>
      </c>
      <c r="R1243" s="5" t="s">
        <v>17619</v>
      </c>
      <c r="T1243" s="5" t="s">
        <v>5994</v>
      </c>
      <c r="U1243" s="5" t="s">
        <v>14593</v>
      </c>
      <c r="V1243" s="5" t="s">
        <v>1481</v>
      </c>
      <c r="W1243" s="5"/>
    </row>
    <row r="1244" spans="1:23" ht="12.5">
      <c r="A1244" s="5">
        <v>91748</v>
      </c>
      <c r="B1244" s="5" t="s">
        <v>9081</v>
      </c>
      <c r="C1244" s="5">
        <v>570000</v>
      </c>
      <c r="D1244" s="5" t="s">
        <v>14589</v>
      </c>
      <c r="E1244" s="5" t="s">
        <v>9082</v>
      </c>
      <c r="F1244" s="5" t="s">
        <v>33</v>
      </c>
      <c r="G1244" s="5" t="s">
        <v>9081</v>
      </c>
      <c r="H1244" s="5" t="s">
        <v>34</v>
      </c>
      <c r="I1244" s="5"/>
      <c r="J1244" s="12">
        <v>46062</v>
      </c>
      <c r="K1244" s="11">
        <v>0</v>
      </c>
      <c r="M1244" s="10" t="s">
        <v>14712</v>
      </c>
      <c r="N1244" s="12">
        <v>46062.685153472223</v>
      </c>
      <c r="O1244" s="10" t="s">
        <v>14713</v>
      </c>
      <c r="P1244" s="5" t="s">
        <v>14571</v>
      </c>
      <c r="Q1244" s="5" t="s">
        <v>14578</v>
      </c>
      <c r="R1244" s="5" t="s">
        <v>17620</v>
      </c>
      <c r="T1244" s="5" t="s">
        <v>14574</v>
      </c>
      <c r="U1244" s="5" t="s">
        <v>33</v>
      </c>
      <c r="V1244" s="5" t="s">
        <v>1481</v>
      </c>
      <c r="W1244" s="5"/>
    </row>
    <row r="1245" spans="1:23" ht="12.5">
      <c r="A1245" s="5">
        <v>91749</v>
      </c>
      <c r="B1245" s="5" t="s">
        <v>4351</v>
      </c>
      <c r="C1245" s="5">
        <v>573008148314</v>
      </c>
      <c r="D1245" s="5">
        <v>95</v>
      </c>
      <c r="E1245" s="5" t="s">
        <v>42</v>
      </c>
      <c r="F1245" s="5" t="s">
        <v>33</v>
      </c>
      <c r="G1245" s="5" t="s">
        <v>4351</v>
      </c>
      <c r="H1245" s="5" t="s">
        <v>34</v>
      </c>
      <c r="I1245" s="5">
        <v>3008148314</v>
      </c>
      <c r="J1245" s="12">
        <v>46062</v>
      </c>
      <c r="K1245" s="11">
        <v>0</v>
      </c>
      <c r="M1245" s="10" t="s">
        <v>17621</v>
      </c>
      <c r="N1245" s="12">
        <v>46062.688350312499</v>
      </c>
      <c r="O1245" s="10" t="s">
        <v>14924</v>
      </c>
      <c r="P1245" s="5" t="s">
        <v>14571</v>
      </c>
      <c r="Q1245" s="5" t="s">
        <v>14572</v>
      </c>
      <c r="R1245" s="5" t="s">
        <v>17622</v>
      </c>
      <c r="T1245" s="5" t="s">
        <v>14574</v>
      </c>
      <c r="U1245" s="5" t="s">
        <v>33</v>
      </c>
      <c r="V1245" s="5" t="s">
        <v>2438</v>
      </c>
      <c r="W1245" s="5" t="s">
        <v>525</v>
      </c>
    </row>
    <row r="1246" spans="1:23" ht="12.5">
      <c r="A1246" s="5">
        <v>91750</v>
      </c>
      <c r="B1246" s="5" t="s">
        <v>17623</v>
      </c>
      <c r="C1246" s="5">
        <v>570000</v>
      </c>
      <c r="D1246" s="5">
        <v>52</v>
      </c>
      <c r="E1246" s="5" t="s">
        <v>178</v>
      </c>
      <c r="F1246" s="5" t="s">
        <v>307</v>
      </c>
      <c r="G1246" s="5" t="s">
        <v>7962</v>
      </c>
      <c r="H1246" s="5" t="s">
        <v>9084</v>
      </c>
      <c r="I1246" s="5"/>
      <c r="J1246" s="12">
        <v>46062</v>
      </c>
      <c r="K1246" s="11">
        <v>0.70833333333212067</v>
      </c>
      <c r="M1246" s="10" t="s">
        <v>15594</v>
      </c>
      <c r="N1246" s="12">
        <v>46062.706623680555</v>
      </c>
      <c r="O1246" s="10" t="s">
        <v>16988</v>
      </c>
      <c r="P1246" s="5" t="s">
        <v>14571</v>
      </c>
      <c r="Q1246" s="5" t="s">
        <v>14572</v>
      </c>
      <c r="R1246" s="5" t="s">
        <v>17624</v>
      </c>
      <c r="T1246" s="5" t="s">
        <v>5994</v>
      </c>
      <c r="U1246" s="5" t="s">
        <v>14618</v>
      </c>
      <c r="V1246" s="5" t="s">
        <v>67</v>
      </c>
      <c r="W1246" s="5"/>
    </row>
    <row r="1247" spans="1:23" ht="12.5">
      <c r="A1247" s="5">
        <v>91751</v>
      </c>
      <c r="B1247" s="5" t="s">
        <v>17625</v>
      </c>
      <c r="C1247" s="10" t="s">
        <v>17626</v>
      </c>
      <c r="D1247" s="5" t="s">
        <v>14589</v>
      </c>
      <c r="E1247" s="5" t="s">
        <v>9091</v>
      </c>
      <c r="F1247" s="5" t="s">
        <v>307</v>
      </c>
      <c r="G1247" s="5" t="s">
        <v>9088</v>
      </c>
      <c r="H1247" s="5" t="s">
        <v>9089</v>
      </c>
      <c r="I1247" s="5" t="s">
        <v>9090</v>
      </c>
      <c r="J1247" s="12">
        <v>46077</v>
      </c>
      <c r="K1247" s="11">
        <v>0.375</v>
      </c>
      <c r="M1247" s="10" t="s">
        <v>14777</v>
      </c>
      <c r="N1247" s="12">
        <v>46062</v>
      </c>
      <c r="O1247" s="10" t="s">
        <v>15026</v>
      </c>
      <c r="P1247" s="5" t="s">
        <v>14571</v>
      </c>
      <c r="Q1247" s="5"/>
      <c r="R1247" s="5" t="s">
        <v>17627</v>
      </c>
      <c r="T1247" s="5" t="s">
        <v>5994</v>
      </c>
      <c r="U1247" s="5" t="s">
        <v>14618</v>
      </c>
      <c r="V1247" s="5" t="s">
        <v>1481</v>
      </c>
      <c r="W1247" s="5"/>
    </row>
    <row r="1248" spans="1:23" ht="12.5">
      <c r="A1248" s="5">
        <v>91752</v>
      </c>
      <c r="B1248" s="5" t="s">
        <v>17628</v>
      </c>
      <c r="C1248" s="10" t="s">
        <v>17629</v>
      </c>
      <c r="D1248" s="5" t="s">
        <v>14589</v>
      </c>
      <c r="E1248" s="5" t="s">
        <v>9096</v>
      </c>
      <c r="F1248" s="5" t="s">
        <v>783</v>
      </c>
      <c r="G1248" s="5" t="s">
        <v>17630</v>
      </c>
      <c r="H1248" s="5" t="s">
        <v>9095</v>
      </c>
      <c r="I1248" s="5">
        <v>3008826467</v>
      </c>
      <c r="J1248" s="12">
        <v>46066</v>
      </c>
      <c r="K1248" s="11">
        <v>0.66666666666666663</v>
      </c>
      <c r="M1248" s="10" t="s">
        <v>15157</v>
      </c>
      <c r="N1248" s="12">
        <v>46062</v>
      </c>
      <c r="O1248" s="10" t="s">
        <v>17631</v>
      </c>
      <c r="P1248" s="5" t="s">
        <v>14571</v>
      </c>
      <c r="Q1248" s="5" t="s">
        <v>14612</v>
      </c>
      <c r="R1248" s="5" t="s">
        <v>17632</v>
      </c>
      <c r="T1248" s="5" t="s">
        <v>5994</v>
      </c>
      <c r="U1248" s="5"/>
      <c r="V1248" s="5" t="s">
        <v>7644</v>
      </c>
      <c r="W1248" s="5" t="s">
        <v>9099</v>
      </c>
    </row>
    <row r="1249" spans="1:23" ht="12.5">
      <c r="A1249" s="5">
        <v>91753</v>
      </c>
      <c r="B1249" s="5" t="s">
        <v>17633</v>
      </c>
      <c r="C1249" s="5">
        <v>573162331875</v>
      </c>
      <c r="D1249" s="5" t="s">
        <v>14589</v>
      </c>
      <c r="E1249" s="5" t="s">
        <v>9102</v>
      </c>
      <c r="F1249" s="5" t="s">
        <v>33</v>
      </c>
      <c r="G1249" s="5" t="s">
        <v>9101</v>
      </c>
      <c r="H1249" s="5" t="s">
        <v>524</v>
      </c>
      <c r="I1249" s="5">
        <v>3162331875</v>
      </c>
      <c r="J1249" s="12">
        <v>46067</v>
      </c>
      <c r="K1249" s="11">
        <v>0</v>
      </c>
      <c r="M1249" s="10" t="s">
        <v>16797</v>
      </c>
      <c r="N1249" s="12">
        <v>46067.336365740739</v>
      </c>
      <c r="O1249" s="10" t="s">
        <v>14907</v>
      </c>
      <c r="P1249" s="5" t="s">
        <v>14571</v>
      </c>
      <c r="Q1249" s="5" t="s">
        <v>14578</v>
      </c>
      <c r="R1249" s="5" t="s">
        <v>17634</v>
      </c>
      <c r="T1249" s="5" t="s">
        <v>14574</v>
      </c>
      <c r="U1249" s="5" t="s">
        <v>33</v>
      </c>
      <c r="V1249" s="5" t="s">
        <v>1705</v>
      </c>
      <c r="W1249" s="5"/>
    </row>
    <row r="1250" spans="1:23" ht="12.5">
      <c r="A1250" s="5">
        <v>91754</v>
      </c>
      <c r="B1250" s="5" t="s">
        <v>17635</v>
      </c>
      <c r="C1250" s="10" t="s">
        <v>17636</v>
      </c>
      <c r="D1250" s="5">
        <v>50</v>
      </c>
      <c r="E1250" s="5" t="s">
        <v>347</v>
      </c>
      <c r="F1250" s="5" t="s">
        <v>249</v>
      </c>
      <c r="G1250" s="5" t="s">
        <v>1946</v>
      </c>
      <c r="H1250" s="5" t="s">
        <v>9107</v>
      </c>
      <c r="I1250" s="5">
        <v>3104733283</v>
      </c>
      <c r="J1250" s="12">
        <v>46063</v>
      </c>
      <c r="K1250" s="11">
        <v>0</v>
      </c>
      <c r="M1250" s="10" t="s">
        <v>15859</v>
      </c>
      <c r="N1250" s="12">
        <v>46063</v>
      </c>
      <c r="O1250" s="10" t="s">
        <v>15193</v>
      </c>
      <c r="P1250" s="5" t="s">
        <v>14571</v>
      </c>
      <c r="Q1250" s="5" t="s">
        <v>14578</v>
      </c>
      <c r="R1250" s="5" t="s">
        <v>17637</v>
      </c>
      <c r="T1250" s="5" t="s">
        <v>5994</v>
      </c>
      <c r="U1250" s="5" t="s">
        <v>14593</v>
      </c>
      <c r="V1250" s="5" t="s">
        <v>67</v>
      </c>
      <c r="W1250" s="5" t="s">
        <v>9110</v>
      </c>
    </row>
    <row r="1251" spans="1:23" ht="12.5">
      <c r="A1251" s="5">
        <v>91755</v>
      </c>
      <c r="B1251" s="5" t="s">
        <v>9112</v>
      </c>
      <c r="C1251" s="5">
        <v>573126600503</v>
      </c>
      <c r="D1251" s="5">
        <v>58</v>
      </c>
      <c r="E1251" s="5" t="s">
        <v>57</v>
      </c>
      <c r="F1251" s="5" t="s">
        <v>33</v>
      </c>
      <c r="G1251" s="5" t="s">
        <v>9112</v>
      </c>
      <c r="H1251" s="5" t="s">
        <v>34</v>
      </c>
      <c r="I1251" s="5">
        <v>3126600503</v>
      </c>
      <c r="J1251" s="12">
        <v>46063</v>
      </c>
      <c r="K1251" s="11">
        <v>0.36736111111167702</v>
      </c>
      <c r="M1251" s="10" t="s">
        <v>15594</v>
      </c>
      <c r="N1251" s="12">
        <v>46063.35997755787</v>
      </c>
      <c r="O1251" s="10" t="s">
        <v>15968</v>
      </c>
      <c r="P1251" s="5" t="s">
        <v>14571</v>
      </c>
      <c r="Q1251" s="5" t="s">
        <v>14699</v>
      </c>
      <c r="R1251" s="5" t="s">
        <v>17638</v>
      </c>
      <c r="T1251" s="5" t="s">
        <v>14574</v>
      </c>
      <c r="U1251" s="5" t="s">
        <v>33</v>
      </c>
      <c r="V1251" s="5" t="s">
        <v>43</v>
      </c>
      <c r="W1251" s="5" t="s">
        <v>9113</v>
      </c>
    </row>
    <row r="1252" spans="1:23" ht="12.5">
      <c r="A1252" s="5">
        <v>91756</v>
      </c>
      <c r="B1252" s="5" t="s">
        <v>17639</v>
      </c>
      <c r="C1252" s="10" t="s">
        <v>17640</v>
      </c>
      <c r="D1252" s="5">
        <v>31</v>
      </c>
      <c r="E1252" s="5" t="s">
        <v>375</v>
      </c>
      <c r="F1252" s="5" t="s">
        <v>886</v>
      </c>
      <c r="G1252" s="5" t="s">
        <v>17641</v>
      </c>
      <c r="H1252" s="5" t="s">
        <v>9115</v>
      </c>
      <c r="I1252" s="5"/>
      <c r="J1252" s="12">
        <v>46063</v>
      </c>
      <c r="K1252" s="11">
        <v>0.375</v>
      </c>
      <c r="M1252" s="10" t="s">
        <v>14832</v>
      </c>
      <c r="N1252" s="12">
        <v>46063</v>
      </c>
      <c r="O1252" s="10" t="s">
        <v>17642</v>
      </c>
      <c r="P1252" s="5" t="s">
        <v>14571</v>
      </c>
      <c r="Q1252" s="5" t="s">
        <v>14572</v>
      </c>
      <c r="R1252" s="5" t="s">
        <v>17643</v>
      </c>
      <c r="T1252" s="5" t="s">
        <v>5994</v>
      </c>
      <c r="U1252" s="5" t="s">
        <v>14618</v>
      </c>
      <c r="V1252" s="5" t="s">
        <v>67</v>
      </c>
      <c r="W1252" s="5"/>
    </row>
    <row r="1253" spans="1:23" ht="12.5">
      <c r="A1253" s="5">
        <v>91757</v>
      </c>
      <c r="B1253" s="5" t="s">
        <v>17644</v>
      </c>
      <c r="C1253" s="5">
        <v>460763207976</v>
      </c>
      <c r="D1253" s="5" t="s">
        <v>17645</v>
      </c>
      <c r="E1253" s="5" t="s">
        <v>9122</v>
      </c>
      <c r="F1253" s="5" t="s">
        <v>168</v>
      </c>
      <c r="G1253" s="5" t="s">
        <v>9120</v>
      </c>
      <c r="H1253" s="5" t="s">
        <v>9121</v>
      </c>
      <c r="I1253" s="5"/>
      <c r="J1253" s="12">
        <v>46066</v>
      </c>
      <c r="K1253" s="11">
        <v>0.375</v>
      </c>
      <c r="M1253" s="10" t="s">
        <v>17646</v>
      </c>
      <c r="N1253" s="12">
        <v>46063.347520254625</v>
      </c>
      <c r="O1253" s="10" t="s">
        <v>16102</v>
      </c>
      <c r="P1253" s="5" t="s">
        <v>14571</v>
      </c>
      <c r="Q1253" s="5" t="s">
        <v>14612</v>
      </c>
      <c r="R1253" s="5" t="s">
        <v>17647</v>
      </c>
      <c r="T1253" s="5" t="s">
        <v>5994</v>
      </c>
      <c r="U1253" s="5" t="s">
        <v>14580</v>
      </c>
      <c r="V1253" s="5" t="s">
        <v>1937</v>
      </c>
      <c r="W1253" s="5"/>
    </row>
    <row r="1254" spans="1:23" ht="12.5">
      <c r="A1254" s="5">
        <v>91758</v>
      </c>
      <c r="B1254" s="5" t="s">
        <v>17648</v>
      </c>
      <c r="C1254" s="5">
        <v>573106367158</v>
      </c>
      <c r="D1254" s="5">
        <v>1</v>
      </c>
      <c r="E1254" s="5" t="s">
        <v>5730</v>
      </c>
      <c r="F1254" s="5" t="s">
        <v>73</v>
      </c>
      <c r="G1254" s="5" t="s">
        <v>9127</v>
      </c>
      <c r="H1254" s="5" t="s">
        <v>9128</v>
      </c>
      <c r="I1254" s="5">
        <v>3013618318</v>
      </c>
      <c r="J1254" s="12">
        <v>46065</v>
      </c>
      <c r="K1254" s="11">
        <v>0.375</v>
      </c>
      <c r="M1254" s="10" t="s">
        <v>14903</v>
      </c>
      <c r="N1254" s="12">
        <v>46062.490798113431</v>
      </c>
      <c r="O1254" s="10" t="s">
        <v>17507</v>
      </c>
      <c r="P1254" s="5" t="s">
        <v>14571</v>
      </c>
      <c r="Q1254" s="5" t="s">
        <v>14578</v>
      </c>
      <c r="R1254" s="5" t="s">
        <v>17649</v>
      </c>
      <c r="T1254" s="5" t="s">
        <v>5994</v>
      </c>
      <c r="U1254" s="5" t="s">
        <v>14593</v>
      </c>
      <c r="V1254" s="5" t="s">
        <v>1937</v>
      </c>
      <c r="W1254" s="5"/>
    </row>
    <row r="1255" spans="1:23" ht="12.5">
      <c r="A1255" s="5">
        <v>91759</v>
      </c>
      <c r="B1255" s="5" t="s">
        <v>13544</v>
      </c>
      <c r="C1255" s="5">
        <v>573016673824</v>
      </c>
      <c r="D1255" s="5">
        <v>29</v>
      </c>
      <c r="E1255" s="5" t="s">
        <v>309</v>
      </c>
      <c r="F1255" s="5" t="s">
        <v>73</v>
      </c>
      <c r="G1255" s="5" t="s">
        <v>9132</v>
      </c>
      <c r="H1255" s="5" t="s">
        <v>9133</v>
      </c>
      <c r="I1255" s="5">
        <v>3017542841</v>
      </c>
      <c r="J1255" s="12">
        <v>46063</v>
      </c>
      <c r="K1255" s="11">
        <v>0.45138888889050577</v>
      </c>
      <c r="M1255" s="10" t="s">
        <v>15585</v>
      </c>
      <c r="N1255" s="12">
        <v>46063.371833020836</v>
      </c>
      <c r="O1255" s="10" t="s">
        <v>16757</v>
      </c>
      <c r="P1255" s="5" t="s">
        <v>14571</v>
      </c>
      <c r="Q1255" s="5" t="s">
        <v>14578</v>
      </c>
      <c r="R1255" s="5" t="s">
        <v>17650</v>
      </c>
      <c r="T1255" s="5" t="s">
        <v>5994</v>
      </c>
      <c r="U1255" s="5" t="s">
        <v>14593</v>
      </c>
      <c r="V1255" s="5" t="s">
        <v>1481</v>
      </c>
      <c r="W1255" s="5" t="s">
        <v>9136</v>
      </c>
    </row>
    <row r="1256" spans="1:23" ht="12.5">
      <c r="A1256" s="5">
        <v>91760</v>
      </c>
      <c r="B1256" s="5" t="s">
        <v>17651</v>
      </c>
      <c r="C1256" s="5">
        <v>573106936580</v>
      </c>
      <c r="D1256" s="5">
        <v>53</v>
      </c>
      <c r="E1256" s="5" t="s">
        <v>75</v>
      </c>
      <c r="F1256" s="5" t="s">
        <v>4558</v>
      </c>
      <c r="G1256" s="5" t="s">
        <v>9139</v>
      </c>
      <c r="H1256" s="5" t="s">
        <v>9140</v>
      </c>
      <c r="I1256" s="5">
        <v>3106936580</v>
      </c>
      <c r="J1256" s="12">
        <v>46063</v>
      </c>
      <c r="K1256" s="11">
        <v>0.43263888888759539</v>
      </c>
      <c r="M1256" s="10" t="s">
        <v>14627</v>
      </c>
      <c r="N1256" s="12">
        <v>46063.369123032404</v>
      </c>
      <c r="O1256" s="10" t="s">
        <v>17510</v>
      </c>
      <c r="P1256" s="5" t="s">
        <v>14571</v>
      </c>
      <c r="Q1256" s="5" t="s">
        <v>14572</v>
      </c>
      <c r="R1256" s="5" t="s">
        <v>17652</v>
      </c>
      <c r="T1256" s="5" t="s">
        <v>5994</v>
      </c>
      <c r="U1256" s="5" t="s">
        <v>14593</v>
      </c>
      <c r="V1256" s="5" t="s">
        <v>67</v>
      </c>
      <c r="W1256" s="5"/>
    </row>
    <row r="1257" spans="1:23" ht="12.5">
      <c r="A1257" s="5">
        <v>91761</v>
      </c>
      <c r="B1257" s="5" t="s">
        <v>9141</v>
      </c>
      <c r="C1257" s="5">
        <v>573165224727</v>
      </c>
      <c r="D1257" s="5">
        <v>31</v>
      </c>
      <c r="E1257" s="5" t="s">
        <v>375</v>
      </c>
      <c r="F1257" s="5" t="s">
        <v>33</v>
      </c>
      <c r="G1257" s="5" t="s">
        <v>9141</v>
      </c>
      <c r="H1257" s="5" t="s">
        <v>34</v>
      </c>
      <c r="I1257" s="5">
        <v>3165224727</v>
      </c>
      <c r="J1257" s="12">
        <v>46063</v>
      </c>
      <c r="K1257" s="11">
        <v>0</v>
      </c>
      <c r="M1257" s="10" t="s">
        <v>14585</v>
      </c>
      <c r="N1257" s="12">
        <v>46063.419278726855</v>
      </c>
      <c r="O1257" s="10" t="s">
        <v>16107</v>
      </c>
      <c r="P1257" s="5" t="s">
        <v>14571</v>
      </c>
      <c r="Q1257" s="5" t="s">
        <v>14572</v>
      </c>
      <c r="R1257" s="5" t="s">
        <v>17653</v>
      </c>
      <c r="T1257" s="5" t="s">
        <v>14574</v>
      </c>
      <c r="U1257" s="5" t="s">
        <v>33</v>
      </c>
      <c r="V1257" s="5" t="s">
        <v>1705</v>
      </c>
      <c r="W1257" s="5"/>
    </row>
    <row r="1258" spans="1:23" ht="12.5">
      <c r="A1258" s="5">
        <v>91762</v>
      </c>
      <c r="B1258" s="5" t="s">
        <v>17654</v>
      </c>
      <c r="C1258" s="10" t="s">
        <v>17655</v>
      </c>
      <c r="D1258" s="5">
        <v>50</v>
      </c>
      <c r="E1258" s="5" t="s">
        <v>347</v>
      </c>
      <c r="F1258" s="5" t="s">
        <v>185</v>
      </c>
      <c r="G1258" s="5" t="s">
        <v>9143</v>
      </c>
      <c r="H1258" s="5" t="s">
        <v>9144</v>
      </c>
      <c r="I1258" s="5">
        <v>3156656633</v>
      </c>
      <c r="J1258" s="12">
        <v>46063</v>
      </c>
      <c r="K1258" s="11">
        <v>0</v>
      </c>
      <c r="M1258" s="10" t="s">
        <v>16647</v>
      </c>
      <c r="N1258" s="12">
        <v>46063</v>
      </c>
      <c r="O1258" s="10" t="s">
        <v>16049</v>
      </c>
      <c r="P1258" s="5" t="s">
        <v>14571</v>
      </c>
      <c r="Q1258" s="5" t="s">
        <v>14572</v>
      </c>
      <c r="R1258" s="5" t="s">
        <v>17656</v>
      </c>
      <c r="T1258" s="5" t="s">
        <v>5994</v>
      </c>
      <c r="U1258" s="5" t="s">
        <v>14580</v>
      </c>
      <c r="V1258" s="5" t="s">
        <v>1937</v>
      </c>
      <c r="W1258" s="5"/>
    </row>
    <row r="1259" spans="1:23" ht="12.5">
      <c r="A1259" s="5">
        <v>91763</v>
      </c>
      <c r="B1259" s="5" t="s">
        <v>9149</v>
      </c>
      <c r="C1259" s="10" t="s">
        <v>17657</v>
      </c>
      <c r="D1259" s="5">
        <v>31</v>
      </c>
      <c r="E1259" s="5" t="s">
        <v>375</v>
      </c>
      <c r="F1259" s="5" t="s">
        <v>33</v>
      </c>
      <c r="G1259" s="5" t="s">
        <v>9147</v>
      </c>
      <c r="H1259" s="5" t="s">
        <v>34</v>
      </c>
      <c r="I1259" s="5"/>
      <c r="J1259" s="12">
        <v>46063</v>
      </c>
      <c r="K1259" s="11">
        <v>0.45833333333333331</v>
      </c>
      <c r="M1259" s="10" t="s">
        <v>14585</v>
      </c>
      <c r="N1259" s="12">
        <v>46063</v>
      </c>
      <c r="O1259" s="10" t="s">
        <v>17658</v>
      </c>
      <c r="P1259" s="5" t="s">
        <v>14571</v>
      </c>
      <c r="Q1259" s="5" t="s">
        <v>14578</v>
      </c>
      <c r="R1259" s="5" t="s">
        <v>17659</v>
      </c>
      <c r="T1259" s="5" t="s">
        <v>14574</v>
      </c>
      <c r="U1259" s="5" t="s">
        <v>33</v>
      </c>
      <c r="V1259" s="5" t="s">
        <v>67</v>
      </c>
      <c r="W1259" s="5"/>
    </row>
    <row r="1260" spans="1:23" ht="12.5">
      <c r="A1260" s="5">
        <v>91764</v>
      </c>
      <c r="B1260" s="5" t="s">
        <v>6316</v>
      </c>
      <c r="C1260" s="5">
        <v>573115689875</v>
      </c>
      <c r="D1260" s="5">
        <v>3</v>
      </c>
      <c r="E1260" s="5" t="s">
        <v>9152</v>
      </c>
      <c r="F1260" s="5" t="s">
        <v>103</v>
      </c>
      <c r="G1260" s="5" t="s">
        <v>9150</v>
      </c>
      <c r="H1260" s="5" t="s">
        <v>9151</v>
      </c>
      <c r="I1260" s="5">
        <v>3005118781</v>
      </c>
      <c r="J1260" s="12">
        <v>46066</v>
      </c>
      <c r="K1260" s="11">
        <v>0</v>
      </c>
      <c r="M1260" s="10" t="s">
        <v>14649</v>
      </c>
      <c r="N1260" s="12">
        <v>46063.444083622686</v>
      </c>
      <c r="O1260" s="10" t="s">
        <v>17304</v>
      </c>
      <c r="P1260" s="5" t="s">
        <v>14571</v>
      </c>
      <c r="Q1260" s="5" t="s">
        <v>17423</v>
      </c>
      <c r="R1260" s="5" t="s">
        <v>17660</v>
      </c>
      <c r="T1260" s="5" t="s">
        <v>5994</v>
      </c>
      <c r="U1260" s="5" t="s">
        <v>14593</v>
      </c>
      <c r="V1260" s="5" t="s">
        <v>7644</v>
      </c>
      <c r="W1260" s="5"/>
    </row>
    <row r="1261" spans="1:23" ht="12.5">
      <c r="A1261" s="5">
        <v>91765</v>
      </c>
      <c r="B1261" s="5" t="s">
        <v>17661</v>
      </c>
      <c r="C1261" s="5">
        <v>573006162786</v>
      </c>
      <c r="D1261" s="5">
        <v>45</v>
      </c>
      <c r="E1261" s="5" t="s">
        <v>210</v>
      </c>
      <c r="F1261" s="5" t="s">
        <v>185</v>
      </c>
      <c r="G1261" s="5" t="s">
        <v>9156</v>
      </c>
      <c r="H1261" s="5" t="s">
        <v>9157</v>
      </c>
      <c r="I1261" s="5">
        <v>3006162786</v>
      </c>
      <c r="J1261" s="12">
        <v>46063</v>
      </c>
      <c r="K1261" s="11">
        <v>0.49652777777737356</v>
      </c>
      <c r="M1261" s="10" t="s">
        <v>16429</v>
      </c>
      <c r="N1261" s="12">
        <v>46063.44980412037</v>
      </c>
      <c r="O1261" s="10" t="s">
        <v>15838</v>
      </c>
      <c r="P1261" s="5" t="s">
        <v>14571</v>
      </c>
      <c r="Q1261" s="5" t="s">
        <v>14572</v>
      </c>
      <c r="R1261" s="5" t="s">
        <v>17662</v>
      </c>
      <c r="T1261" s="5" t="s">
        <v>5994</v>
      </c>
      <c r="U1261" s="5" t="s">
        <v>14580</v>
      </c>
      <c r="V1261" s="5" t="s">
        <v>2163</v>
      </c>
      <c r="W1261" s="5"/>
    </row>
    <row r="1262" spans="1:23" ht="12.5">
      <c r="A1262" s="5">
        <v>91766</v>
      </c>
      <c r="B1262" s="5" t="s">
        <v>9163</v>
      </c>
      <c r="C1262" s="5">
        <v>573008512317</v>
      </c>
      <c r="D1262" s="5">
        <v>52</v>
      </c>
      <c r="E1262" s="5" t="s">
        <v>178</v>
      </c>
      <c r="F1262" s="5" t="s">
        <v>185</v>
      </c>
      <c r="G1262" s="5" t="s">
        <v>9160</v>
      </c>
      <c r="H1262" s="5" t="s">
        <v>9161</v>
      </c>
      <c r="I1262" s="5">
        <v>3126847499</v>
      </c>
      <c r="J1262" s="12">
        <v>46063</v>
      </c>
      <c r="K1262" s="11">
        <v>0.54166666666787933</v>
      </c>
      <c r="M1262" s="10" t="s">
        <v>15043</v>
      </c>
      <c r="N1262" s="12">
        <v>46063.462169699073</v>
      </c>
      <c r="O1262" s="10" t="s">
        <v>16593</v>
      </c>
      <c r="P1262" s="5" t="s">
        <v>14571</v>
      </c>
      <c r="Q1262" s="5" t="s">
        <v>14612</v>
      </c>
      <c r="R1262" s="5" t="s">
        <v>17663</v>
      </c>
      <c r="T1262" s="5" t="s">
        <v>5994</v>
      </c>
      <c r="U1262" s="5" t="s">
        <v>14580</v>
      </c>
      <c r="V1262" s="5" t="s">
        <v>180</v>
      </c>
      <c r="W1262" s="5"/>
    </row>
    <row r="1263" spans="1:23" ht="12.5">
      <c r="A1263" s="5">
        <v>91767</v>
      </c>
      <c r="B1263" s="5" t="s">
        <v>17664</v>
      </c>
      <c r="C1263" s="5">
        <v>573004749604</v>
      </c>
      <c r="D1263" s="5">
        <v>1</v>
      </c>
      <c r="E1263" s="5" t="s">
        <v>5730</v>
      </c>
      <c r="F1263" s="5" t="s">
        <v>9166</v>
      </c>
      <c r="G1263" s="5" t="s">
        <v>9165</v>
      </c>
      <c r="H1263" s="5" t="s">
        <v>9167</v>
      </c>
      <c r="I1263" s="5"/>
      <c r="J1263" s="12">
        <v>46063</v>
      </c>
      <c r="K1263" s="11">
        <v>0.54166666666787933</v>
      </c>
      <c r="M1263" s="10" t="s">
        <v>17583</v>
      </c>
      <c r="N1263" s="12">
        <v>46063.469558333338</v>
      </c>
      <c r="O1263" s="10" t="s">
        <v>17665</v>
      </c>
      <c r="P1263" s="5" t="s">
        <v>14571</v>
      </c>
      <c r="Q1263" s="5" t="s">
        <v>14578</v>
      </c>
      <c r="R1263" s="5" t="s">
        <v>17666</v>
      </c>
      <c r="T1263" s="5" t="s">
        <v>5994</v>
      </c>
      <c r="U1263" s="5"/>
      <c r="V1263" s="5" t="s">
        <v>67</v>
      </c>
      <c r="W1263" s="5"/>
    </row>
    <row r="1264" spans="1:23" ht="12.5">
      <c r="A1264" s="5">
        <v>91768</v>
      </c>
      <c r="B1264" s="5" t="s">
        <v>17667</v>
      </c>
      <c r="C1264" s="10" t="s">
        <v>17668</v>
      </c>
      <c r="D1264" s="5">
        <v>52</v>
      </c>
      <c r="E1264" s="5" t="s">
        <v>178</v>
      </c>
      <c r="F1264" s="5" t="s">
        <v>964</v>
      </c>
      <c r="G1264" s="5" t="s">
        <v>17669</v>
      </c>
      <c r="H1264" s="5" t="s">
        <v>9171</v>
      </c>
      <c r="I1264" s="5"/>
      <c r="J1264" s="12">
        <v>46063</v>
      </c>
      <c r="K1264" s="11">
        <v>0.54166666666666663</v>
      </c>
      <c r="M1264" s="10" t="s">
        <v>16718</v>
      </c>
      <c r="N1264" s="12">
        <v>46063</v>
      </c>
      <c r="O1264" s="10" t="s">
        <v>15407</v>
      </c>
      <c r="P1264" s="5" t="s">
        <v>14571</v>
      </c>
      <c r="Q1264" s="5" t="s">
        <v>14612</v>
      </c>
      <c r="R1264" s="5" t="s">
        <v>17670</v>
      </c>
      <c r="T1264" s="5" t="s">
        <v>5994</v>
      </c>
      <c r="U1264" s="5" t="s">
        <v>14618</v>
      </c>
      <c r="V1264" s="5" t="s">
        <v>67</v>
      </c>
      <c r="W1264" s="5"/>
    </row>
    <row r="1265" spans="1:23" ht="12.5">
      <c r="A1265" s="5">
        <v>91769</v>
      </c>
      <c r="B1265" s="5" t="s">
        <v>17671</v>
      </c>
      <c r="C1265" s="5">
        <v>573006254255</v>
      </c>
      <c r="D1265" s="5">
        <v>37</v>
      </c>
      <c r="E1265" s="5" t="s">
        <v>1696</v>
      </c>
      <c r="F1265" s="5" t="s">
        <v>73</v>
      </c>
      <c r="G1265" s="5" t="s">
        <v>9173</v>
      </c>
      <c r="H1265" s="5" t="s">
        <v>9174</v>
      </c>
      <c r="I1265" s="5" t="s">
        <v>9175</v>
      </c>
      <c r="J1265" s="12">
        <v>46063</v>
      </c>
      <c r="K1265" s="11">
        <v>0.58333333333212067</v>
      </c>
      <c r="M1265" s="10" t="s">
        <v>17672</v>
      </c>
      <c r="N1265" s="12">
        <v>46063.481466226847</v>
      </c>
      <c r="O1265" s="10" t="s">
        <v>14874</v>
      </c>
      <c r="P1265" s="5" t="s">
        <v>14571</v>
      </c>
      <c r="Q1265" s="5" t="s">
        <v>14572</v>
      </c>
      <c r="R1265" s="5" t="s">
        <v>17673</v>
      </c>
      <c r="T1265" s="5" t="s">
        <v>5994</v>
      </c>
      <c r="U1265" s="5" t="s">
        <v>14593</v>
      </c>
      <c r="V1265" s="5" t="s">
        <v>1937</v>
      </c>
      <c r="W1265" s="5"/>
    </row>
    <row r="1266" spans="1:23" ht="12.5">
      <c r="A1266" s="5">
        <v>91770</v>
      </c>
      <c r="B1266" s="5" t="s">
        <v>15920</v>
      </c>
      <c r="C1266" s="10" t="s">
        <v>17674</v>
      </c>
      <c r="D1266" s="5">
        <v>5</v>
      </c>
      <c r="E1266" s="5" t="s">
        <v>4021</v>
      </c>
      <c r="F1266" s="5" t="s">
        <v>964</v>
      </c>
      <c r="G1266" s="5" t="s">
        <v>2154</v>
      </c>
      <c r="H1266" s="5" t="s">
        <v>9177</v>
      </c>
      <c r="I1266" s="5">
        <v>3176463957</v>
      </c>
      <c r="J1266" s="12">
        <v>46063</v>
      </c>
      <c r="K1266" s="11">
        <v>0.59722222222222221</v>
      </c>
      <c r="M1266" s="10" t="s">
        <v>17675</v>
      </c>
      <c r="N1266" s="12">
        <v>46063</v>
      </c>
      <c r="O1266" s="10" t="s">
        <v>15404</v>
      </c>
      <c r="P1266" s="5" t="s">
        <v>14571</v>
      </c>
      <c r="Q1266" s="5" t="s">
        <v>14612</v>
      </c>
      <c r="R1266" s="5" t="s">
        <v>17676</v>
      </c>
      <c r="T1266" s="5" t="s">
        <v>5994</v>
      </c>
      <c r="U1266" s="5" t="s">
        <v>14618</v>
      </c>
      <c r="V1266" s="5" t="s">
        <v>2163</v>
      </c>
      <c r="W1266" s="5"/>
    </row>
    <row r="1267" spans="1:23" ht="12.5">
      <c r="A1267" s="5">
        <v>91771</v>
      </c>
      <c r="B1267" s="5" t="s">
        <v>9180</v>
      </c>
      <c r="C1267" s="5">
        <v>573012334915</v>
      </c>
      <c r="D1267" s="5" t="s">
        <v>14589</v>
      </c>
      <c r="E1267" s="5" t="s">
        <v>9181</v>
      </c>
      <c r="F1267" s="5" t="s">
        <v>33</v>
      </c>
      <c r="G1267" s="5" t="s">
        <v>9180</v>
      </c>
      <c r="H1267" s="5" t="s">
        <v>34</v>
      </c>
      <c r="I1267" s="5">
        <v>3012334915</v>
      </c>
      <c r="J1267" s="12">
        <v>46063</v>
      </c>
      <c r="K1267" s="11">
        <v>0.54166666666787933</v>
      </c>
      <c r="M1267" s="10" t="s">
        <v>14627</v>
      </c>
      <c r="N1267" s="12">
        <v>46063.505556006945</v>
      </c>
      <c r="O1267" s="10" t="s">
        <v>15694</v>
      </c>
      <c r="P1267" s="5" t="s">
        <v>14571</v>
      </c>
      <c r="Q1267" s="5" t="s">
        <v>14572</v>
      </c>
      <c r="R1267" s="5" t="s">
        <v>17677</v>
      </c>
      <c r="T1267" s="5" t="s">
        <v>14574</v>
      </c>
      <c r="U1267" s="5" t="s">
        <v>33</v>
      </c>
      <c r="V1267" s="5" t="s">
        <v>1481</v>
      </c>
      <c r="W1267" s="5" t="s">
        <v>9181</v>
      </c>
    </row>
    <row r="1268" spans="1:23" ht="12.5">
      <c r="A1268" s="5">
        <v>91772</v>
      </c>
      <c r="B1268" s="5" t="s">
        <v>9182</v>
      </c>
      <c r="C1268" s="10" t="s">
        <v>17678</v>
      </c>
      <c r="D1268" s="5">
        <v>31</v>
      </c>
      <c r="E1268" s="5" t="s">
        <v>375</v>
      </c>
      <c r="F1268" s="5" t="s">
        <v>33</v>
      </c>
      <c r="G1268" s="5" t="s">
        <v>9182</v>
      </c>
      <c r="H1268" s="5" t="s">
        <v>34</v>
      </c>
      <c r="I1268" s="5">
        <v>3023599315</v>
      </c>
      <c r="J1268" s="12">
        <v>46063</v>
      </c>
      <c r="K1268" s="11">
        <v>0.75</v>
      </c>
      <c r="M1268" s="10" t="s">
        <v>14585</v>
      </c>
      <c r="N1268" s="12">
        <v>46063</v>
      </c>
      <c r="O1268" s="10" t="s">
        <v>16141</v>
      </c>
      <c r="P1268" s="5" t="s">
        <v>14571</v>
      </c>
      <c r="Q1268" s="5" t="s">
        <v>14572</v>
      </c>
      <c r="R1268" s="5" t="s">
        <v>17679</v>
      </c>
      <c r="T1268" s="5" t="s">
        <v>14574</v>
      </c>
      <c r="U1268" s="5" t="s">
        <v>33</v>
      </c>
      <c r="V1268" s="5" t="s">
        <v>67</v>
      </c>
      <c r="W1268" s="5" t="s">
        <v>9184</v>
      </c>
    </row>
    <row r="1269" spans="1:23" ht="12.5">
      <c r="A1269" s="5">
        <v>91773</v>
      </c>
      <c r="B1269" s="5" t="s">
        <v>17680</v>
      </c>
      <c r="C1269" s="5">
        <v>573045441981</v>
      </c>
      <c r="D1269" s="5">
        <v>10</v>
      </c>
      <c r="E1269" s="5" t="s">
        <v>6874</v>
      </c>
      <c r="F1269" s="5" t="s">
        <v>63</v>
      </c>
      <c r="G1269" s="5" t="s">
        <v>9187</v>
      </c>
      <c r="H1269" s="5" t="s">
        <v>9188</v>
      </c>
      <c r="I1269" s="5"/>
      <c r="J1269" s="12">
        <v>46063</v>
      </c>
      <c r="K1269" s="11">
        <v>0.72916666666787933</v>
      </c>
      <c r="M1269" s="10" t="s">
        <v>15157</v>
      </c>
      <c r="N1269" s="12">
        <v>46063.565505868057</v>
      </c>
      <c r="O1269" s="10" t="s">
        <v>16016</v>
      </c>
      <c r="P1269" s="5" t="s">
        <v>14571</v>
      </c>
      <c r="Q1269" s="5" t="s">
        <v>14612</v>
      </c>
      <c r="R1269" s="5" t="s">
        <v>17681</v>
      </c>
      <c r="T1269" s="5" t="s">
        <v>5994</v>
      </c>
      <c r="U1269" s="5" t="s">
        <v>14598</v>
      </c>
      <c r="V1269" s="5" t="s">
        <v>67</v>
      </c>
      <c r="W1269" s="5"/>
    </row>
    <row r="1270" spans="1:23" ht="12.5">
      <c r="A1270" s="5">
        <v>91774</v>
      </c>
      <c r="B1270" s="5" t="s">
        <v>17682</v>
      </c>
      <c r="C1270" s="10" t="s">
        <v>17683</v>
      </c>
      <c r="D1270" s="5">
        <v>25</v>
      </c>
      <c r="E1270" s="5" t="s">
        <v>1792</v>
      </c>
      <c r="F1270" s="5" t="s">
        <v>103</v>
      </c>
      <c r="G1270" s="5" t="s">
        <v>9192</v>
      </c>
      <c r="H1270" s="5" t="s">
        <v>9193</v>
      </c>
      <c r="I1270" s="5">
        <v>3245677885</v>
      </c>
      <c r="J1270" s="12">
        <v>46063</v>
      </c>
      <c r="K1270" s="11">
        <v>0.625</v>
      </c>
      <c r="M1270" s="10" t="s">
        <v>14734</v>
      </c>
      <c r="N1270" s="12">
        <v>46063</v>
      </c>
      <c r="O1270" s="10" t="s">
        <v>16148</v>
      </c>
      <c r="P1270" s="5" t="s">
        <v>14571</v>
      </c>
      <c r="Q1270" s="5" t="s">
        <v>14578</v>
      </c>
      <c r="R1270" s="5" t="s">
        <v>17684</v>
      </c>
      <c r="T1270" s="5" t="s">
        <v>5994</v>
      </c>
      <c r="U1270" s="5" t="s">
        <v>14593</v>
      </c>
      <c r="V1270" s="5" t="s">
        <v>67</v>
      </c>
      <c r="W1270" s="5"/>
    </row>
    <row r="1271" spans="1:23" ht="12.5">
      <c r="A1271" s="5">
        <v>91775</v>
      </c>
      <c r="B1271" s="5" t="s">
        <v>17685</v>
      </c>
      <c r="C1271" s="5">
        <v>17816001059</v>
      </c>
      <c r="D1271" s="5">
        <v>18</v>
      </c>
      <c r="E1271" s="5" t="s">
        <v>9199</v>
      </c>
      <c r="F1271" s="5" t="s">
        <v>1815</v>
      </c>
      <c r="G1271" s="5" t="s">
        <v>9197</v>
      </c>
      <c r="H1271" s="5" t="s">
        <v>9198</v>
      </c>
      <c r="I1271" s="5"/>
      <c r="J1271" s="12">
        <v>46066</v>
      </c>
      <c r="K1271" s="11">
        <v>0.58333333333212067</v>
      </c>
      <c r="M1271" s="10" t="s">
        <v>14853</v>
      </c>
      <c r="N1271" s="12">
        <v>46063.585424305551</v>
      </c>
      <c r="O1271" s="10" t="s">
        <v>17403</v>
      </c>
      <c r="P1271" s="5" t="s">
        <v>14571</v>
      </c>
      <c r="Q1271" s="5" t="s">
        <v>14578</v>
      </c>
      <c r="R1271" s="5" t="s">
        <v>17686</v>
      </c>
      <c r="T1271" s="5" t="s">
        <v>5994</v>
      </c>
      <c r="U1271" s="5" t="s">
        <v>14580</v>
      </c>
      <c r="V1271" s="5" t="s">
        <v>7644</v>
      </c>
      <c r="W1271" s="5" t="s">
        <v>9202</v>
      </c>
    </row>
    <row r="1272" spans="1:23" ht="12.5">
      <c r="A1272" s="5">
        <v>91776</v>
      </c>
      <c r="B1272" s="5" t="s">
        <v>1121</v>
      </c>
      <c r="C1272" s="10" t="s">
        <v>17687</v>
      </c>
      <c r="D1272" s="5">
        <v>10</v>
      </c>
      <c r="E1272" s="5" t="s">
        <v>6874</v>
      </c>
      <c r="F1272" s="5" t="s">
        <v>1124</v>
      </c>
      <c r="G1272" s="5" t="s">
        <v>1123</v>
      </c>
      <c r="H1272" s="5" t="s">
        <v>1125</v>
      </c>
      <c r="I1272" s="5">
        <v>3012278763</v>
      </c>
      <c r="J1272" s="12">
        <v>46066</v>
      </c>
      <c r="K1272" s="11">
        <v>0</v>
      </c>
      <c r="M1272" s="10" t="s">
        <v>14599</v>
      </c>
      <c r="N1272" s="12">
        <v>46063</v>
      </c>
      <c r="O1272" s="10" t="s">
        <v>16602</v>
      </c>
      <c r="P1272" s="5" t="s">
        <v>14571</v>
      </c>
      <c r="Q1272" s="5" t="s">
        <v>17688</v>
      </c>
      <c r="R1272" s="5" t="s">
        <v>17689</v>
      </c>
      <c r="T1272" s="5" t="s">
        <v>5994</v>
      </c>
      <c r="U1272" s="5" t="s">
        <v>14691</v>
      </c>
      <c r="V1272" s="5" t="s">
        <v>7644</v>
      </c>
      <c r="W1272" s="5"/>
    </row>
    <row r="1273" spans="1:23" ht="12.5">
      <c r="A1273" s="5">
        <v>91777</v>
      </c>
      <c r="B1273" s="5" t="s">
        <v>17690</v>
      </c>
      <c r="C1273" s="5">
        <v>12013904950</v>
      </c>
      <c r="D1273" s="5" t="s">
        <v>17691</v>
      </c>
      <c r="E1273" s="5" t="s">
        <v>9210</v>
      </c>
      <c r="F1273" s="5" t="s">
        <v>9208</v>
      </c>
      <c r="G1273" s="5" t="s">
        <v>9207</v>
      </c>
      <c r="H1273" s="5" t="s">
        <v>9209</v>
      </c>
      <c r="I1273" s="5">
        <v>3046614222</v>
      </c>
      <c r="J1273" s="12">
        <v>46066</v>
      </c>
      <c r="K1273" s="11">
        <v>0</v>
      </c>
      <c r="M1273" s="10" t="s">
        <v>17358</v>
      </c>
      <c r="N1273" s="12">
        <v>46063.56126722222</v>
      </c>
      <c r="O1273" s="10" t="s">
        <v>14836</v>
      </c>
      <c r="P1273" s="5" t="s">
        <v>14571</v>
      </c>
      <c r="Q1273" s="5" t="s">
        <v>17404</v>
      </c>
      <c r="R1273" s="5" t="s">
        <v>17692</v>
      </c>
      <c r="T1273" s="5" t="s">
        <v>5994</v>
      </c>
      <c r="U1273" s="5" t="s">
        <v>14580</v>
      </c>
      <c r="V1273" s="5" t="s">
        <v>7644</v>
      </c>
      <c r="W1273" s="5"/>
    </row>
    <row r="1274" spans="1:23" ht="12.5">
      <c r="A1274" s="5">
        <v>91778</v>
      </c>
      <c r="B1274" s="5" t="s">
        <v>17693</v>
      </c>
      <c r="C1274" s="5">
        <v>522299608567</v>
      </c>
      <c r="D1274" s="5">
        <v>3</v>
      </c>
      <c r="E1274" s="5" t="s">
        <v>9152</v>
      </c>
      <c r="F1274" s="5" t="s">
        <v>5574</v>
      </c>
      <c r="G1274" s="5" t="s">
        <v>9212</v>
      </c>
      <c r="H1274" s="5" t="s">
        <v>9213</v>
      </c>
      <c r="I1274" s="5"/>
      <c r="J1274" s="12">
        <v>46066</v>
      </c>
      <c r="K1274" s="11">
        <v>0</v>
      </c>
      <c r="M1274" s="10" t="s">
        <v>14649</v>
      </c>
      <c r="N1274" s="12">
        <v>46063.607229305555</v>
      </c>
      <c r="O1274" s="10" t="s">
        <v>17694</v>
      </c>
      <c r="P1274" s="5" t="s">
        <v>14571</v>
      </c>
      <c r="Q1274" s="5" t="s">
        <v>17423</v>
      </c>
      <c r="R1274" s="5" t="s">
        <v>17695</v>
      </c>
      <c r="T1274" s="5" t="s">
        <v>5994</v>
      </c>
      <c r="U1274" s="5" t="s">
        <v>14593</v>
      </c>
      <c r="V1274" s="5" t="s">
        <v>1937</v>
      </c>
      <c r="W1274" s="5"/>
    </row>
    <row r="1275" spans="1:23" ht="12.5">
      <c r="A1275" s="5">
        <v>91779</v>
      </c>
      <c r="B1275" s="5" t="s">
        <v>17696</v>
      </c>
      <c r="C1275" s="5">
        <v>573006707199</v>
      </c>
      <c r="D1275" s="5">
        <v>32</v>
      </c>
      <c r="E1275" s="5" t="s">
        <v>65</v>
      </c>
      <c r="F1275" s="5" t="s">
        <v>161</v>
      </c>
      <c r="G1275" s="5" t="s">
        <v>9218</v>
      </c>
      <c r="H1275" s="5" t="s">
        <v>9219</v>
      </c>
      <c r="I1275" s="5"/>
      <c r="J1275" s="12">
        <v>46064</v>
      </c>
      <c r="K1275" s="11">
        <v>0</v>
      </c>
      <c r="M1275" s="10" t="s">
        <v>14850</v>
      </c>
      <c r="N1275" s="12">
        <v>46063.63200769676</v>
      </c>
      <c r="O1275" s="10" t="s">
        <v>16919</v>
      </c>
      <c r="P1275" s="5" t="s">
        <v>14571</v>
      </c>
      <c r="Q1275" s="5" t="s">
        <v>14572</v>
      </c>
      <c r="R1275" s="5" t="s">
        <v>17697</v>
      </c>
      <c r="T1275" s="5" t="s">
        <v>5994</v>
      </c>
      <c r="U1275" s="5" t="s">
        <v>14593</v>
      </c>
      <c r="V1275" s="5" t="s">
        <v>1705</v>
      </c>
      <c r="W1275" s="5"/>
    </row>
    <row r="1276" spans="1:23" ht="12.5">
      <c r="A1276" s="5">
        <v>91780</v>
      </c>
      <c r="B1276" s="5" t="s">
        <v>13666</v>
      </c>
      <c r="C1276" s="5">
        <v>573123838194</v>
      </c>
      <c r="D1276" s="5">
        <v>95</v>
      </c>
      <c r="E1276" s="5" t="s">
        <v>42</v>
      </c>
      <c r="F1276" s="5"/>
      <c r="G1276" s="5" t="s">
        <v>5782</v>
      </c>
      <c r="H1276" s="5" t="s">
        <v>9220</v>
      </c>
      <c r="I1276" s="5">
        <v>3184113718</v>
      </c>
      <c r="J1276" s="12">
        <v>46063</v>
      </c>
      <c r="K1276" s="11">
        <v>0.66666666666787933</v>
      </c>
      <c r="M1276" s="10" t="s">
        <v>14585</v>
      </c>
      <c r="N1276" s="12">
        <v>46063.604940729172</v>
      </c>
      <c r="O1276" s="10" t="s">
        <v>14833</v>
      </c>
      <c r="P1276" s="5" t="s">
        <v>14571</v>
      </c>
      <c r="Q1276" s="5" t="s">
        <v>14612</v>
      </c>
      <c r="R1276" s="5" t="s">
        <v>17698</v>
      </c>
      <c r="T1276" s="5" t="s">
        <v>5994</v>
      </c>
      <c r="U1276" s="5"/>
      <c r="V1276" s="5" t="s">
        <v>1937</v>
      </c>
      <c r="W1276" s="5" t="s">
        <v>9222</v>
      </c>
    </row>
    <row r="1277" spans="1:23" ht="12.5">
      <c r="A1277" s="5">
        <v>91781</v>
      </c>
      <c r="B1277" s="5" t="s">
        <v>9224</v>
      </c>
      <c r="C1277" s="5">
        <v>573007538423</v>
      </c>
      <c r="D1277" s="5">
        <v>46</v>
      </c>
      <c r="E1277" s="5" t="s">
        <v>1126</v>
      </c>
      <c r="F1277" s="5" t="s">
        <v>9225</v>
      </c>
      <c r="G1277" s="5" t="s">
        <v>9224</v>
      </c>
      <c r="H1277" s="5" t="s">
        <v>9226</v>
      </c>
      <c r="I1277" s="5">
        <v>3007538423</v>
      </c>
      <c r="J1277" s="12">
        <v>46066</v>
      </c>
      <c r="K1277" s="11">
        <v>0.45833333333212067</v>
      </c>
      <c r="M1277" s="10" t="s">
        <v>16109</v>
      </c>
      <c r="N1277" s="12">
        <v>46062.524768854171</v>
      </c>
      <c r="O1277" s="10" t="s">
        <v>17195</v>
      </c>
      <c r="P1277" s="5" t="s">
        <v>14571</v>
      </c>
      <c r="Q1277" s="5" t="s">
        <v>17423</v>
      </c>
      <c r="R1277" s="5" t="s">
        <v>17699</v>
      </c>
      <c r="T1277" s="5" t="s">
        <v>5994</v>
      </c>
      <c r="U1277" s="5" t="s">
        <v>14775</v>
      </c>
      <c r="V1277" s="5" t="s">
        <v>7644</v>
      </c>
      <c r="W1277" s="5"/>
    </row>
    <row r="1278" spans="1:23" ht="12.5">
      <c r="A1278" s="5">
        <v>91782</v>
      </c>
      <c r="B1278" s="5" t="s">
        <v>17700</v>
      </c>
      <c r="C1278" s="5">
        <v>573012870456</v>
      </c>
      <c r="D1278" s="5">
        <v>31</v>
      </c>
      <c r="E1278" s="5" t="s">
        <v>375</v>
      </c>
      <c r="F1278" s="5" t="s">
        <v>5898</v>
      </c>
      <c r="G1278" s="5" t="s">
        <v>9228</v>
      </c>
      <c r="H1278" s="5" t="s">
        <v>648</v>
      </c>
      <c r="I1278" s="5">
        <v>3193552922</v>
      </c>
      <c r="J1278" s="12">
        <v>46065</v>
      </c>
      <c r="K1278" s="11">
        <v>0.375</v>
      </c>
      <c r="M1278" s="10" t="s">
        <v>15525</v>
      </c>
      <c r="N1278" s="12">
        <v>46063.616633240745</v>
      </c>
      <c r="O1278" s="10" t="s">
        <v>15059</v>
      </c>
      <c r="P1278" s="5" t="s">
        <v>14571</v>
      </c>
      <c r="Q1278" s="5" t="s">
        <v>14612</v>
      </c>
      <c r="R1278" s="5" t="s">
        <v>17701</v>
      </c>
      <c r="T1278" s="5" t="s">
        <v>5994</v>
      </c>
      <c r="U1278" s="5" t="s">
        <v>14598</v>
      </c>
      <c r="V1278" s="5" t="s">
        <v>180</v>
      </c>
      <c r="W1278" s="5" t="s">
        <v>9229</v>
      </c>
    </row>
    <row r="1279" spans="1:23" ht="12.5">
      <c r="A1279" s="5">
        <v>91783</v>
      </c>
      <c r="B1279" s="5" t="s">
        <v>17055</v>
      </c>
      <c r="C1279" s="5">
        <v>57638612865</v>
      </c>
      <c r="D1279" s="5">
        <v>51</v>
      </c>
      <c r="E1279" s="5" t="s">
        <v>384</v>
      </c>
      <c r="F1279" s="5" t="s">
        <v>161</v>
      </c>
      <c r="G1279" s="5" t="s">
        <v>7947</v>
      </c>
      <c r="H1279" s="5" t="s">
        <v>7948</v>
      </c>
      <c r="I1279" s="5">
        <v>3052775887</v>
      </c>
      <c r="J1279" s="12">
        <v>46066</v>
      </c>
      <c r="K1279" s="11">
        <v>0</v>
      </c>
      <c r="M1279" s="10" t="s">
        <v>15140</v>
      </c>
      <c r="N1279" s="12">
        <v>46063.632608043983</v>
      </c>
      <c r="O1279" s="10" t="s">
        <v>16477</v>
      </c>
      <c r="P1279" s="5" t="s">
        <v>14571</v>
      </c>
      <c r="Q1279" s="5" t="s">
        <v>17688</v>
      </c>
      <c r="R1279" s="5" t="s">
        <v>17702</v>
      </c>
      <c r="T1279" s="5" t="s">
        <v>5994</v>
      </c>
      <c r="U1279" s="5" t="s">
        <v>14593</v>
      </c>
      <c r="V1279" s="5" t="s">
        <v>7644</v>
      </c>
      <c r="W1279" s="5"/>
    </row>
    <row r="1280" spans="1:23" ht="12.5">
      <c r="A1280" s="5">
        <v>91784</v>
      </c>
      <c r="B1280" s="5" t="s">
        <v>17703</v>
      </c>
      <c r="C1280" s="10" t="s">
        <v>17704</v>
      </c>
      <c r="D1280" s="5">
        <v>10</v>
      </c>
      <c r="E1280" s="5" t="s">
        <v>6874</v>
      </c>
      <c r="F1280" s="5"/>
      <c r="G1280" s="5" t="s">
        <v>17705</v>
      </c>
      <c r="H1280" s="5" t="s">
        <v>33</v>
      </c>
      <c r="I1280" s="5"/>
      <c r="J1280" s="12">
        <v>46067</v>
      </c>
      <c r="K1280" s="11">
        <v>0.33333333333333331</v>
      </c>
      <c r="M1280" s="10" t="s">
        <v>15594</v>
      </c>
      <c r="N1280" s="12">
        <v>46063</v>
      </c>
      <c r="O1280" s="10" t="s">
        <v>15054</v>
      </c>
      <c r="P1280" s="5" t="s">
        <v>14571</v>
      </c>
      <c r="Q1280" s="5" t="s">
        <v>14578</v>
      </c>
      <c r="R1280" s="5" t="s">
        <v>17706</v>
      </c>
      <c r="T1280" s="5" t="s">
        <v>5994</v>
      </c>
      <c r="U1280" s="5"/>
      <c r="V1280" s="5" t="s">
        <v>1937</v>
      </c>
      <c r="W1280" s="5"/>
    </row>
    <row r="1281" spans="1:23" ht="12.5">
      <c r="A1281" s="5">
        <v>91785</v>
      </c>
      <c r="B1281" s="5" t="s">
        <v>17707</v>
      </c>
      <c r="C1281" s="5">
        <v>573004600106</v>
      </c>
      <c r="D1281" s="5">
        <v>2</v>
      </c>
      <c r="E1281" s="5" t="s">
        <v>9238</v>
      </c>
      <c r="F1281" s="5" t="s">
        <v>265</v>
      </c>
      <c r="G1281" s="5" t="s">
        <v>9236</v>
      </c>
      <c r="H1281" s="5" t="s">
        <v>9237</v>
      </c>
      <c r="I1281" s="5">
        <v>3004000586</v>
      </c>
      <c r="J1281" s="12">
        <v>46066</v>
      </c>
      <c r="K1281" s="11">
        <v>0.75</v>
      </c>
      <c r="M1281" s="10" t="s">
        <v>17427</v>
      </c>
      <c r="N1281" s="12">
        <v>46063.660158611106</v>
      </c>
      <c r="O1281" s="10" t="s">
        <v>15236</v>
      </c>
      <c r="P1281" s="5" t="s">
        <v>14571</v>
      </c>
      <c r="Q1281" s="5" t="s">
        <v>17423</v>
      </c>
      <c r="R1281" s="5" t="s">
        <v>17708</v>
      </c>
      <c r="T1281" s="5" t="s">
        <v>5994</v>
      </c>
      <c r="U1281" s="5" t="s">
        <v>14691</v>
      </c>
      <c r="V1281" s="5" t="s">
        <v>7644</v>
      </c>
      <c r="W1281" s="5" t="s">
        <v>9241</v>
      </c>
    </row>
    <row r="1282" spans="1:23" ht="12.5">
      <c r="A1282" s="5">
        <v>91786</v>
      </c>
      <c r="B1282" s="5" t="s">
        <v>15988</v>
      </c>
      <c r="C1282" s="10" t="s">
        <v>17709</v>
      </c>
      <c r="D1282" s="5">
        <v>2</v>
      </c>
      <c r="E1282" s="5" t="s">
        <v>1251</v>
      </c>
      <c r="F1282" s="5"/>
      <c r="G1282" s="5" t="s">
        <v>9242</v>
      </c>
      <c r="H1282" s="5" t="s">
        <v>9243</v>
      </c>
      <c r="I1282" s="5"/>
      <c r="J1282" s="12">
        <v>46064</v>
      </c>
      <c r="K1282" s="11">
        <v>0</v>
      </c>
      <c r="M1282" s="10" t="s">
        <v>17113</v>
      </c>
      <c r="N1282" s="12">
        <v>46063</v>
      </c>
      <c r="O1282" s="10" t="s">
        <v>14928</v>
      </c>
      <c r="P1282" s="5" t="s">
        <v>14571</v>
      </c>
      <c r="Q1282" s="5" t="s">
        <v>14612</v>
      </c>
      <c r="R1282" s="5" t="s">
        <v>17710</v>
      </c>
      <c r="T1282" s="5" t="s">
        <v>5994</v>
      </c>
      <c r="U1282" s="5"/>
      <c r="V1282" s="5" t="s">
        <v>67</v>
      </c>
      <c r="W1282" s="5"/>
    </row>
    <row r="1283" spans="1:23" ht="12.5">
      <c r="A1283" s="5">
        <v>91787</v>
      </c>
      <c r="B1283" s="5" t="s">
        <v>15988</v>
      </c>
      <c r="C1283" s="5">
        <v>573145783942</v>
      </c>
      <c r="D1283" s="5">
        <v>12</v>
      </c>
      <c r="E1283" s="5" t="s">
        <v>239</v>
      </c>
      <c r="F1283" s="5"/>
      <c r="G1283" s="5" t="s">
        <v>9245</v>
      </c>
      <c r="H1283" s="5" t="s">
        <v>9246</v>
      </c>
      <c r="I1283" s="5"/>
      <c r="J1283" s="12">
        <v>46064</v>
      </c>
      <c r="K1283" s="11">
        <v>0</v>
      </c>
      <c r="M1283" s="10" t="s">
        <v>17711</v>
      </c>
      <c r="N1283" s="12">
        <v>46063.674200023146</v>
      </c>
      <c r="O1283" s="10" t="s">
        <v>16553</v>
      </c>
      <c r="P1283" s="5" t="s">
        <v>14571</v>
      </c>
      <c r="Q1283" s="5" t="s">
        <v>14612</v>
      </c>
      <c r="R1283" s="5" t="s">
        <v>17712</v>
      </c>
      <c r="T1283" s="5" t="s">
        <v>5994</v>
      </c>
      <c r="U1283" s="5"/>
      <c r="V1283" s="5" t="s">
        <v>67</v>
      </c>
      <c r="W1283" s="5"/>
    </row>
    <row r="1284" spans="1:23" ht="12.5">
      <c r="A1284" s="5">
        <v>91788</v>
      </c>
      <c r="B1284" s="5" t="s">
        <v>14121</v>
      </c>
      <c r="C1284" s="5">
        <v>573004612667</v>
      </c>
      <c r="D1284" s="5">
        <v>31</v>
      </c>
      <c r="E1284" s="5" t="s">
        <v>375</v>
      </c>
      <c r="F1284" s="5" t="s">
        <v>73</v>
      </c>
      <c r="G1284" s="5" t="s">
        <v>9248</v>
      </c>
      <c r="H1284" s="5" t="s">
        <v>9249</v>
      </c>
      <c r="I1284" s="5">
        <v>3044233449</v>
      </c>
      <c r="J1284" s="12">
        <v>46063</v>
      </c>
      <c r="K1284" s="11">
        <v>0.70833333333212067</v>
      </c>
      <c r="M1284" s="10" t="s">
        <v>14850</v>
      </c>
      <c r="N1284" s="12">
        <v>46063.674523923612</v>
      </c>
      <c r="O1284" s="10" t="s">
        <v>15720</v>
      </c>
      <c r="P1284" s="5" t="s">
        <v>14571</v>
      </c>
      <c r="Q1284" s="5" t="s">
        <v>14578</v>
      </c>
      <c r="R1284" s="5" t="s">
        <v>17713</v>
      </c>
      <c r="T1284" s="5" t="s">
        <v>5994</v>
      </c>
      <c r="U1284" s="5" t="s">
        <v>14593</v>
      </c>
      <c r="V1284" s="5" t="s">
        <v>67</v>
      </c>
      <c r="W1284" s="5"/>
    </row>
    <row r="1285" spans="1:23" ht="12.5">
      <c r="A1285" s="5">
        <v>91789</v>
      </c>
      <c r="B1285" s="5" t="s">
        <v>17714</v>
      </c>
      <c r="C1285" s="5">
        <v>573008283874</v>
      </c>
      <c r="D1285" s="5" t="s">
        <v>14589</v>
      </c>
      <c r="E1285" s="5" t="s">
        <v>9255</v>
      </c>
      <c r="F1285" s="5" t="s">
        <v>987</v>
      </c>
      <c r="G1285" s="5" t="s">
        <v>9253</v>
      </c>
      <c r="H1285" s="5" t="s">
        <v>9254</v>
      </c>
      <c r="I1285" s="5">
        <v>3242833059</v>
      </c>
      <c r="J1285" s="12">
        <v>46064</v>
      </c>
      <c r="K1285" s="11">
        <v>0.70833333333212067</v>
      </c>
      <c r="M1285" s="10" t="s">
        <v>17715</v>
      </c>
      <c r="N1285" s="12">
        <v>46063.724966967595</v>
      </c>
      <c r="O1285" s="10" t="s">
        <v>15473</v>
      </c>
      <c r="P1285" s="5" t="s">
        <v>14571</v>
      </c>
      <c r="Q1285" s="5" t="s">
        <v>14612</v>
      </c>
      <c r="R1285" s="5" t="s">
        <v>17716</v>
      </c>
      <c r="T1285" s="5" t="s">
        <v>5994</v>
      </c>
      <c r="U1285" s="5" t="s">
        <v>14593</v>
      </c>
      <c r="V1285" s="5" t="s">
        <v>67</v>
      </c>
      <c r="W1285" s="5" t="s">
        <v>9258</v>
      </c>
    </row>
    <row r="1286" spans="1:23" ht="12.5">
      <c r="A1286" s="5">
        <v>91790</v>
      </c>
      <c r="B1286" s="5" t="s">
        <v>4606</v>
      </c>
      <c r="C1286" s="10" t="s">
        <v>17717</v>
      </c>
      <c r="D1286" s="5">
        <v>58</v>
      </c>
      <c r="E1286" s="5" t="s">
        <v>57</v>
      </c>
      <c r="F1286" s="5" t="s">
        <v>185</v>
      </c>
      <c r="G1286" s="5" t="s">
        <v>17718</v>
      </c>
      <c r="H1286" s="5" t="s">
        <v>9261</v>
      </c>
      <c r="I1286" s="5"/>
      <c r="J1286" s="12">
        <v>46064</v>
      </c>
      <c r="K1286" s="11">
        <v>0.375</v>
      </c>
      <c r="M1286" s="10" t="s">
        <v>14885</v>
      </c>
      <c r="N1286" s="12">
        <v>46063</v>
      </c>
      <c r="O1286" s="10" t="s">
        <v>17081</v>
      </c>
      <c r="P1286" s="5" t="s">
        <v>14571</v>
      </c>
      <c r="Q1286" s="5" t="s">
        <v>14572</v>
      </c>
      <c r="R1286" s="5" t="s">
        <v>17719</v>
      </c>
      <c r="T1286" s="5" t="s">
        <v>5994</v>
      </c>
      <c r="U1286" s="5" t="s">
        <v>14580</v>
      </c>
      <c r="V1286" s="5" t="s">
        <v>180</v>
      </c>
      <c r="W1286" s="5"/>
    </row>
    <row r="1287" spans="1:23" ht="12.5">
      <c r="A1287" s="5">
        <v>91791</v>
      </c>
      <c r="B1287" s="5" t="s">
        <v>3811</v>
      </c>
      <c r="C1287" s="5">
        <v>573006882930</v>
      </c>
      <c r="D1287" s="5">
        <v>95</v>
      </c>
      <c r="E1287" s="5" t="s">
        <v>42</v>
      </c>
      <c r="F1287" s="5" t="s">
        <v>33</v>
      </c>
      <c r="G1287" s="5" t="s">
        <v>3811</v>
      </c>
      <c r="H1287" s="5" t="s">
        <v>34</v>
      </c>
      <c r="I1287" s="5">
        <v>3116813546</v>
      </c>
      <c r="J1287" s="12">
        <v>46063</v>
      </c>
      <c r="K1287" s="11">
        <v>0.33333333333212067</v>
      </c>
      <c r="M1287" s="10" t="s">
        <v>15278</v>
      </c>
      <c r="N1287" s="12">
        <v>46063.762809849533</v>
      </c>
      <c r="O1287" s="10" t="s">
        <v>16871</v>
      </c>
      <c r="P1287" s="5" t="s">
        <v>14571</v>
      </c>
      <c r="Q1287" s="5" t="s">
        <v>14572</v>
      </c>
      <c r="R1287" s="5" t="s">
        <v>17720</v>
      </c>
      <c r="T1287" s="5" t="s">
        <v>14574</v>
      </c>
      <c r="U1287" s="5" t="s">
        <v>33</v>
      </c>
      <c r="V1287" s="5" t="s">
        <v>180</v>
      </c>
      <c r="W1287" s="5"/>
    </row>
    <row r="1288" spans="1:23" ht="12.5">
      <c r="A1288" s="5">
        <v>91792</v>
      </c>
      <c r="B1288" s="5" t="s">
        <v>17721</v>
      </c>
      <c r="C1288" s="5">
        <v>573216228516</v>
      </c>
      <c r="D1288" s="5">
        <v>95</v>
      </c>
      <c r="E1288" s="5" t="s">
        <v>42</v>
      </c>
      <c r="F1288" s="5" t="s">
        <v>351</v>
      </c>
      <c r="G1288" s="5" t="s">
        <v>9267</v>
      </c>
      <c r="H1288" s="5" t="s">
        <v>9268</v>
      </c>
      <c r="I1288" s="5">
        <v>3135980586</v>
      </c>
      <c r="J1288" s="12">
        <v>46065</v>
      </c>
      <c r="K1288" s="11">
        <v>0.41666666666787933</v>
      </c>
      <c r="M1288" s="10" t="s">
        <v>15076</v>
      </c>
      <c r="N1288" s="12">
        <v>46063.771907152783</v>
      </c>
      <c r="O1288" s="10" t="s">
        <v>14689</v>
      </c>
      <c r="P1288" s="5" t="s">
        <v>14571</v>
      </c>
      <c r="Q1288" s="5" t="s">
        <v>14572</v>
      </c>
      <c r="R1288" s="5" t="s">
        <v>17722</v>
      </c>
      <c r="T1288" s="5" t="s">
        <v>5994</v>
      </c>
      <c r="U1288" s="5" t="s">
        <v>14580</v>
      </c>
      <c r="V1288" s="5" t="s">
        <v>1481</v>
      </c>
      <c r="W1288" s="5" t="s">
        <v>9271</v>
      </c>
    </row>
    <row r="1289" spans="1:23" ht="12.5">
      <c r="A1289" s="5">
        <v>91793</v>
      </c>
      <c r="B1289" s="5" t="s">
        <v>17723</v>
      </c>
      <c r="C1289" s="5">
        <v>573162410271</v>
      </c>
      <c r="D1289" s="5">
        <v>4</v>
      </c>
      <c r="E1289" s="5" t="s">
        <v>35</v>
      </c>
      <c r="F1289" s="5" t="s">
        <v>154</v>
      </c>
      <c r="G1289" s="5" t="s">
        <v>9272</v>
      </c>
      <c r="H1289" s="5" t="s">
        <v>9273</v>
      </c>
      <c r="I1289" s="5">
        <v>3162410272</v>
      </c>
      <c r="J1289" s="12">
        <v>46064</v>
      </c>
      <c r="K1289" s="11">
        <v>0</v>
      </c>
      <c r="M1289" s="10" t="s">
        <v>15656</v>
      </c>
      <c r="N1289" s="12">
        <v>46063.567903194446</v>
      </c>
      <c r="O1289" s="10" t="s">
        <v>17724</v>
      </c>
      <c r="P1289" s="5" t="s">
        <v>14571</v>
      </c>
      <c r="Q1289" s="5" t="s">
        <v>14578</v>
      </c>
      <c r="R1289" s="5" t="s">
        <v>17725</v>
      </c>
      <c r="T1289" s="5" t="s">
        <v>5994</v>
      </c>
      <c r="U1289" s="5" t="s">
        <v>14593</v>
      </c>
      <c r="V1289" s="5" t="s">
        <v>7644</v>
      </c>
      <c r="W1289" s="5"/>
    </row>
    <row r="1290" spans="1:23" ht="12.5">
      <c r="A1290" s="5">
        <v>91794</v>
      </c>
      <c r="B1290" s="5" t="s">
        <v>17726</v>
      </c>
      <c r="C1290" s="5">
        <v>13154015161</v>
      </c>
      <c r="D1290" s="5">
        <v>29</v>
      </c>
      <c r="E1290" s="5" t="s">
        <v>309</v>
      </c>
      <c r="F1290" s="5" t="s">
        <v>154</v>
      </c>
      <c r="G1290" s="5" t="s">
        <v>9274</v>
      </c>
      <c r="H1290" s="5" t="s">
        <v>9275</v>
      </c>
      <c r="I1290" s="5">
        <v>3043940194</v>
      </c>
      <c r="J1290" s="12">
        <v>46064</v>
      </c>
      <c r="K1290" s="11">
        <v>0.375</v>
      </c>
      <c r="M1290" s="10" t="s">
        <v>15585</v>
      </c>
      <c r="N1290" s="12">
        <v>46064.304310243053</v>
      </c>
      <c r="O1290" s="10" t="s">
        <v>15966</v>
      </c>
      <c r="P1290" s="5" t="s">
        <v>14571</v>
      </c>
      <c r="Q1290" s="5" t="s">
        <v>14699</v>
      </c>
      <c r="R1290" s="5" t="s">
        <v>17727</v>
      </c>
      <c r="T1290" s="5" t="s">
        <v>5994</v>
      </c>
      <c r="U1290" s="5" t="s">
        <v>14593</v>
      </c>
      <c r="V1290" s="5" t="s">
        <v>3754</v>
      </c>
      <c r="W1290" s="5"/>
    </row>
    <row r="1291" spans="1:23" ht="12.5">
      <c r="A1291" s="5">
        <v>91795</v>
      </c>
      <c r="B1291" s="5" t="s">
        <v>17728</v>
      </c>
      <c r="C1291" s="5">
        <v>447424624435</v>
      </c>
      <c r="D1291" s="5">
        <v>23</v>
      </c>
      <c r="E1291" s="5" t="s">
        <v>9280</v>
      </c>
      <c r="F1291" s="5" t="s">
        <v>516</v>
      </c>
      <c r="G1291" s="5" t="s">
        <v>9278</v>
      </c>
      <c r="H1291" s="5" t="s">
        <v>9279</v>
      </c>
      <c r="I1291" s="5">
        <v>3166187357</v>
      </c>
      <c r="J1291" s="12">
        <v>46066</v>
      </c>
      <c r="K1291" s="11">
        <v>0.625</v>
      </c>
      <c r="M1291" s="10" t="s">
        <v>15179</v>
      </c>
      <c r="N1291" s="12">
        <v>46063.828837210647</v>
      </c>
      <c r="O1291" s="10" t="s">
        <v>14907</v>
      </c>
      <c r="P1291" s="5" t="s">
        <v>14571</v>
      </c>
      <c r="Q1291" s="5" t="s">
        <v>17688</v>
      </c>
      <c r="R1291" s="5" t="s">
        <v>17729</v>
      </c>
      <c r="T1291" s="5" t="s">
        <v>5994</v>
      </c>
      <c r="U1291" s="5" t="s">
        <v>14580</v>
      </c>
      <c r="V1291" s="5" t="s">
        <v>1937</v>
      </c>
      <c r="W1291" s="5" t="s">
        <v>9283</v>
      </c>
    </row>
    <row r="1292" spans="1:23" ht="12.5">
      <c r="A1292" s="5">
        <v>91796</v>
      </c>
      <c r="B1292" s="5" t="s">
        <v>9285</v>
      </c>
      <c r="C1292" s="10" t="s">
        <v>17730</v>
      </c>
      <c r="D1292" s="5">
        <v>26</v>
      </c>
      <c r="E1292" s="5" t="s">
        <v>422</v>
      </c>
      <c r="F1292" s="5" t="s">
        <v>103</v>
      </c>
      <c r="G1292" s="5" t="s">
        <v>9285</v>
      </c>
      <c r="H1292" s="5" t="s">
        <v>9286</v>
      </c>
      <c r="I1292" s="5"/>
      <c r="J1292" s="12">
        <v>46064</v>
      </c>
      <c r="K1292" s="11">
        <v>0</v>
      </c>
      <c r="M1292" s="10" t="s">
        <v>15384</v>
      </c>
      <c r="N1292" s="12">
        <v>46064</v>
      </c>
      <c r="O1292" s="10" t="s">
        <v>17731</v>
      </c>
      <c r="P1292" s="5" t="s">
        <v>14571</v>
      </c>
      <c r="Q1292" s="5" t="s">
        <v>14572</v>
      </c>
      <c r="R1292" s="5" t="s">
        <v>17732</v>
      </c>
      <c r="T1292" s="5" t="s">
        <v>5994</v>
      </c>
      <c r="U1292" s="5" t="s">
        <v>14593</v>
      </c>
      <c r="V1292" s="5" t="s">
        <v>1909</v>
      </c>
      <c r="W1292" s="5" t="s">
        <v>9287</v>
      </c>
    </row>
    <row r="1293" spans="1:23" ht="12.5">
      <c r="A1293" s="5">
        <v>91797</v>
      </c>
      <c r="B1293" s="5" t="s">
        <v>9289</v>
      </c>
      <c r="C1293" s="5">
        <v>573013395439</v>
      </c>
      <c r="D1293" s="5">
        <v>30</v>
      </c>
      <c r="E1293" s="5" t="s">
        <v>156</v>
      </c>
      <c r="F1293" s="5" t="s">
        <v>63</v>
      </c>
      <c r="G1293" s="5" t="s">
        <v>9289</v>
      </c>
      <c r="H1293" s="5" t="s">
        <v>9290</v>
      </c>
      <c r="I1293" s="5">
        <v>3013395439</v>
      </c>
      <c r="J1293" s="12">
        <v>46064</v>
      </c>
      <c r="K1293" s="11">
        <v>0</v>
      </c>
      <c r="M1293" s="10" t="s">
        <v>15525</v>
      </c>
      <c r="N1293" s="12">
        <v>46064.387224027778</v>
      </c>
      <c r="O1293" s="10" t="s">
        <v>15170</v>
      </c>
      <c r="P1293" s="5" t="s">
        <v>14571</v>
      </c>
      <c r="Q1293" s="5" t="s">
        <v>14612</v>
      </c>
      <c r="R1293" s="5" t="s">
        <v>17733</v>
      </c>
      <c r="T1293" s="5" t="s">
        <v>5994</v>
      </c>
      <c r="U1293" s="5" t="s">
        <v>14598</v>
      </c>
      <c r="V1293" s="5" t="s">
        <v>83</v>
      </c>
      <c r="W1293" s="5"/>
    </row>
    <row r="1294" spans="1:23" ht="12.5">
      <c r="A1294" s="5">
        <v>91798</v>
      </c>
      <c r="B1294" s="5" t="s">
        <v>17734</v>
      </c>
      <c r="C1294" s="5">
        <v>5.7300899999999999E+21</v>
      </c>
      <c r="D1294" s="5">
        <v>20</v>
      </c>
      <c r="E1294" s="5" t="s">
        <v>187</v>
      </c>
      <c r="F1294" s="5" t="s">
        <v>208</v>
      </c>
      <c r="G1294" s="5" t="s">
        <v>9292</v>
      </c>
      <c r="H1294" s="5" t="s">
        <v>9293</v>
      </c>
      <c r="I1294" s="5">
        <v>3008921450</v>
      </c>
      <c r="J1294" s="12">
        <v>46064</v>
      </c>
      <c r="K1294" s="11">
        <v>0</v>
      </c>
      <c r="M1294" s="10" t="s">
        <v>14649</v>
      </c>
      <c r="N1294" s="12">
        <v>46064.386188414355</v>
      </c>
      <c r="O1294" s="10" t="s">
        <v>14994</v>
      </c>
      <c r="P1294" s="5" t="s">
        <v>14571</v>
      </c>
      <c r="Q1294" s="5" t="s">
        <v>14578</v>
      </c>
      <c r="R1294" s="5" t="s">
        <v>17735</v>
      </c>
      <c r="T1294" s="5" t="s">
        <v>5994</v>
      </c>
      <c r="U1294" s="5" t="s">
        <v>14593</v>
      </c>
      <c r="V1294" s="5" t="s">
        <v>83</v>
      </c>
      <c r="W1294" s="5" t="s">
        <v>9296</v>
      </c>
    </row>
    <row r="1295" spans="1:23" ht="12.5">
      <c r="A1295" s="5">
        <v>91799</v>
      </c>
      <c r="B1295" s="5" t="s">
        <v>17736</v>
      </c>
      <c r="C1295" s="5">
        <v>573016670511</v>
      </c>
      <c r="D1295" s="5" t="s">
        <v>15256</v>
      </c>
      <c r="E1295" s="5" t="s">
        <v>9300</v>
      </c>
      <c r="F1295" s="5" t="s">
        <v>328</v>
      </c>
      <c r="G1295" s="5">
        <v>3166161599</v>
      </c>
      <c r="H1295" s="5" t="s">
        <v>9298</v>
      </c>
      <c r="I1295" s="5" t="s">
        <v>9299</v>
      </c>
      <c r="J1295" s="12">
        <v>46066</v>
      </c>
      <c r="K1295" s="11">
        <v>0</v>
      </c>
      <c r="M1295" s="10" t="s">
        <v>17737</v>
      </c>
      <c r="N1295" s="12">
        <v>46064.390436851856</v>
      </c>
      <c r="O1295" s="10" t="s">
        <v>14896</v>
      </c>
      <c r="P1295" s="5" t="s">
        <v>14571</v>
      </c>
      <c r="Q1295" s="5" t="s">
        <v>14572</v>
      </c>
      <c r="R1295" s="5" t="s">
        <v>17738</v>
      </c>
      <c r="T1295" s="5" t="s">
        <v>5994</v>
      </c>
      <c r="U1295" s="5"/>
      <c r="V1295" s="5" t="s">
        <v>7644</v>
      </c>
      <c r="W1295" s="5" t="s">
        <v>9303</v>
      </c>
    </row>
    <row r="1296" spans="1:23" ht="12.5">
      <c r="A1296" s="5">
        <v>91800</v>
      </c>
      <c r="B1296" s="5" t="s">
        <v>17739</v>
      </c>
      <c r="C1296" s="5">
        <v>573205667451</v>
      </c>
      <c r="D1296" s="5">
        <v>23</v>
      </c>
      <c r="E1296" s="5" t="s">
        <v>9280</v>
      </c>
      <c r="F1296" s="5" t="s">
        <v>2090</v>
      </c>
      <c r="G1296" s="5" t="s">
        <v>9304</v>
      </c>
      <c r="H1296" s="5" t="s">
        <v>9305</v>
      </c>
      <c r="I1296" s="5">
        <v>3015951267</v>
      </c>
      <c r="J1296" s="12">
        <v>46066</v>
      </c>
      <c r="K1296" s="11">
        <v>0</v>
      </c>
      <c r="M1296" s="10" t="s">
        <v>15179</v>
      </c>
      <c r="N1296" s="12">
        <v>46064.411598749997</v>
      </c>
      <c r="O1296" s="10" t="s">
        <v>14665</v>
      </c>
      <c r="P1296" s="5" t="s">
        <v>14571</v>
      </c>
      <c r="Q1296" s="5" t="s">
        <v>17688</v>
      </c>
      <c r="R1296" s="5" t="s">
        <v>17740</v>
      </c>
      <c r="T1296" s="5" t="s">
        <v>5994</v>
      </c>
      <c r="U1296" s="5" t="s">
        <v>14618</v>
      </c>
      <c r="V1296" s="5" t="s">
        <v>1937</v>
      </c>
      <c r="W1296" s="5"/>
    </row>
    <row r="1297" spans="1:23" ht="12.5">
      <c r="A1297" s="5">
        <v>91801</v>
      </c>
      <c r="B1297" s="5" t="s">
        <v>3427</v>
      </c>
      <c r="C1297" s="5">
        <v>573007335753</v>
      </c>
      <c r="D1297" s="5">
        <v>29</v>
      </c>
      <c r="E1297" s="5" t="s">
        <v>309</v>
      </c>
      <c r="F1297" s="5" t="s">
        <v>33</v>
      </c>
      <c r="G1297" s="5" t="s">
        <v>3427</v>
      </c>
      <c r="H1297" s="5" t="s">
        <v>34</v>
      </c>
      <c r="I1297" s="5">
        <v>3007335753</v>
      </c>
      <c r="J1297" s="12">
        <v>46064</v>
      </c>
      <c r="K1297" s="11">
        <v>0</v>
      </c>
      <c r="M1297" s="10" t="s">
        <v>14850</v>
      </c>
      <c r="N1297" s="12">
        <v>46064.430789548613</v>
      </c>
      <c r="O1297" s="10" t="s">
        <v>14767</v>
      </c>
      <c r="P1297" s="5" t="s">
        <v>14571</v>
      </c>
      <c r="Q1297" s="5" t="s">
        <v>14612</v>
      </c>
      <c r="R1297" s="5" t="s">
        <v>17741</v>
      </c>
      <c r="T1297" s="5" t="s">
        <v>14574</v>
      </c>
      <c r="U1297" s="5" t="s">
        <v>33</v>
      </c>
      <c r="V1297" s="5" t="s">
        <v>67</v>
      </c>
      <c r="W1297" s="5"/>
    </row>
    <row r="1298" spans="1:23" ht="12.5">
      <c r="A1298" s="5">
        <v>91802</v>
      </c>
      <c r="B1298" s="5" t="s">
        <v>17742</v>
      </c>
      <c r="C1298" s="5">
        <v>573207674880</v>
      </c>
      <c r="D1298" s="5">
        <v>23</v>
      </c>
      <c r="E1298" s="5" t="s">
        <v>50</v>
      </c>
      <c r="F1298" s="5" t="s">
        <v>103</v>
      </c>
      <c r="G1298" s="5" t="s">
        <v>9309</v>
      </c>
      <c r="H1298" s="5" t="s">
        <v>9310</v>
      </c>
      <c r="I1298" s="5">
        <v>3147792765</v>
      </c>
      <c r="J1298" s="12">
        <v>46064</v>
      </c>
      <c r="K1298" s="11">
        <v>0.47916666666787933</v>
      </c>
      <c r="M1298" s="10" t="s">
        <v>14649</v>
      </c>
      <c r="N1298" s="12">
        <v>46064.433138715278</v>
      </c>
      <c r="O1298" s="10" t="s">
        <v>15500</v>
      </c>
      <c r="P1298" s="5" t="s">
        <v>14571</v>
      </c>
      <c r="Q1298" s="5" t="s">
        <v>14572</v>
      </c>
      <c r="R1298" s="5" t="s">
        <v>17743</v>
      </c>
      <c r="T1298" s="5" t="s">
        <v>5994</v>
      </c>
      <c r="U1298" s="5" t="s">
        <v>14593</v>
      </c>
      <c r="V1298" s="5" t="s">
        <v>83</v>
      </c>
      <c r="W1298" s="5" t="s">
        <v>9313</v>
      </c>
    </row>
    <row r="1299" spans="1:23" ht="12.5">
      <c r="A1299" s="5">
        <v>91803</v>
      </c>
      <c r="B1299" s="5" t="s">
        <v>9316</v>
      </c>
      <c r="C1299" s="5">
        <v>570000</v>
      </c>
      <c r="D1299" s="5">
        <v>45</v>
      </c>
      <c r="E1299" s="5" t="s">
        <v>210</v>
      </c>
      <c r="F1299" s="5" t="s">
        <v>892</v>
      </c>
      <c r="G1299" s="5" t="s">
        <v>9316</v>
      </c>
      <c r="H1299" s="5" t="s">
        <v>9317</v>
      </c>
      <c r="I1299" s="5"/>
      <c r="J1299" s="12">
        <v>46064</v>
      </c>
      <c r="K1299" s="11">
        <v>0</v>
      </c>
      <c r="M1299" s="10" t="s">
        <v>14708</v>
      </c>
      <c r="N1299" s="12">
        <v>46064.442083182876</v>
      </c>
      <c r="O1299" s="10" t="s">
        <v>15760</v>
      </c>
      <c r="P1299" s="5" t="s">
        <v>14571</v>
      </c>
      <c r="Q1299" s="5" t="s">
        <v>14578</v>
      </c>
      <c r="R1299" s="5" t="s">
        <v>17744</v>
      </c>
      <c r="T1299" s="5" t="s">
        <v>5994</v>
      </c>
      <c r="U1299" s="5" t="s">
        <v>14593</v>
      </c>
      <c r="V1299" s="5" t="s">
        <v>1909</v>
      </c>
      <c r="W1299" s="5"/>
    </row>
    <row r="1300" spans="1:23" ht="12.5">
      <c r="A1300" s="5">
        <v>91804</v>
      </c>
      <c r="B1300" s="5" t="s">
        <v>17745</v>
      </c>
      <c r="C1300" s="5">
        <v>573016425442</v>
      </c>
      <c r="D1300" s="5">
        <v>64</v>
      </c>
      <c r="E1300" s="5" t="s">
        <v>133</v>
      </c>
      <c r="F1300" s="5" t="s">
        <v>33</v>
      </c>
      <c r="G1300" s="5" t="s">
        <v>84</v>
      </c>
      <c r="H1300" s="5" t="s">
        <v>34</v>
      </c>
      <c r="I1300" s="5">
        <v>3016425442</v>
      </c>
      <c r="J1300" s="12">
        <v>46070</v>
      </c>
      <c r="K1300" s="11">
        <v>0</v>
      </c>
      <c r="M1300" s="10" t="s">
        <v>14646</v>
      </c>
      <c r="N1300" s="12">
        <v>46064.43023849537</v>
      </c>
      <c r="O1300" s="10" t="s">
        <v>16512</v>
      </c>
      <c r="P1300" s="5" t="s">
        <v>14571</v>
      </c>
      <c r="Q1300" s="5" t="s">
        <v>17688</v>
      </c>
      <c r="R1300" s="5" t="s">
        <v>17746</v>
      </c>
      <c r="T1300" s="5" t="s">
        <v>14574</v>
      </c>
      <c r="U1300" s="5" t="s">
        <v>33</v>
      </c>
      <c r="V1300" s="5" t="s">
        <v>7644</v>
      </c>
      <c r="W1300" s="5"/>
    </row>
    <row r="1301" spans="1:23" ht="12.5">
      <c r="A1301" s="5">
        <v>91805</v>
      </c>
      <c r="B1301" s="5" t="s">
        <v>17747</v>
      </c>
      <c r="C1301" s="5">
        <v>573013442705</v>
      </c>
      <c r="D1301" s="5">
        <v>10</v>
      </c>
      <c r="E1301" s="5" t="s">
        <v>6874</v>
      </c>
      <c r="F1301" s="5" t="s">
        <v>351</v>
      </c>
      <c r="G1301" s="5" t="s">
        <v>9321</v>
      </c>
      <c r="H1301" s="5" t="s">
        <v>9322</v>
      </c>
      <c r="I1301" s="5">
        <v>3172608532</v>
      </c>
      <c r="J1301" s="12">
        <v>46066</v>
      </c>
      <c r="K1301" s="11">
        <v>0</v>
      </c>
      <c r="M1301" s="10" t="s">
        <v>14960</v>
      </c>
      <c r="N1301" s="12">
        <v>46064.436233298606</v>
      </c>
      <c r="O1301" s="10" t="s">
        <v>17304</v>
      </c>
      <c r="P1301" s="5" t="s">
        <v>14571</v>
      </c>
      <c r="Q1301" s="5" t="s">
        <v>14578</v>
      </c>
      <c r="R1301" s="5" t="s">
        <v>17748</v>
      </c>
      <c r="T1301" s="5" t="s">
        <v>5994</v>
      </c>
      <c r="U1301" s="5" t="s">
        <v>14580</v>
      </c>
      <c r="V1301" s="5" t="s">
        <v>7644</v>
      </c>
      <c r="W1301" s="5"/>
    </row>
    <row r="1302" spans="1:23" ht="12.5">
      <c r="A1302" s="5">
        <v>91806</v>
      </c>
      <c r="B1302" s="5" t="s">
        <v>9326</v>
      </c>
      <c r="C1302" s="5">
        <v>573013579331</v>
      </c>
      <c r="D1302" s="5">
        <v>52</v>
      </c>
      <c r="E1302" s="5" t="s">
        <v>178</v>
      </c>
      <c r="F1302" s="5" t="s">
        <v>33</v>
      </c>
      <c r="G1302" s="5" t="s">
        <v>9326</v>
      </c>
      <c r="H1302" s="5" t="s">
        <v>34</v>
      </c>
      <c r="I1302" s="5">
        <v>3013579331</v>
      </c>
      <c r="J1302" s="12">
        <v>46064</v>
      </c>
      <c r="K1302" s="11">
        <v>0</v>
      </c>
      <c r="M1302" s="10" t="s">
        <v>15161</v>
      </c>
      <c r="N1302" s="12">
        <v>46064.457433298609</v>
      </c>
      <c r="O1302" s="10" t="s">
        <v>14759</v>
      </c>
      <c r="P1302" s="5" t="s">
        <v>14571</v>
      </c>
      <c r="Q1302" s="5" t="s">
        <v>14578</v>
      </c>
      <c r="R1302" s="5" t="s">
        <v>17749</v>
      </c>
      <c r="T1302" s="5" t="s">
        <v>14574</v>
      </c>
      <c r="U1302" s="5" t="s">
        <v>33</v>
      </c>
      <c r="V1302" s="5" t="s">
        <v>1705</v>
      </c>
      <c r="W1302" s="5"/>
    </row>
    <row r="1303" spans="1:23" ht="12.5">
      <c r="A1303" s="5">
        <v>91807</v>
      </c>
      <c r="B1303" s="5" t="s">
        <v>17750</v>
      </c>
      <c r="C1303" s="5">
        <v>573015436396</v>
      </c>
      <c r="D1303" s="5">
        <v>31</v>
      </c>
      <c r="E1303" s="5" t="s">
        <v>375</v>
      </c>
      <c r="F1303" s="5" t="s">
        <v>79</v>
      </c>
      <c r="G1303" s="5" t="s">
        <v>9328</v>
      </c>
      <c r="H1303" s="5" t="s">
        <v>9329</v>
      </c>
      <c r="I1303" s="5">
        <v>3112310187</v>
      </c>
      <c r="J1303" s="12">
        <v>46064</v>
      </c>
      <c r="K1303" s="11">
        <v>0</v>
      </c>
      <c r="M1303" s="10" t="s">
        <v>14627</v>
      </c>
      <c r="N1303" s="12">
        <v>46064.45111613426</v>
      </c>
      <c r="O1303" s="10" t="s">
        <v>15083</v>
      </c>
      <c r="P1303" s="5" t="s">
        <v>14571</v>
      </c>
      <c r="Q1303" s="5" t="s">
        <v>14572</v>
      </c>
      <c r="R1303" s="5" t="s">
        <v>17751</v>
      </c>
      <c r="T1303" s="5" t="s">
        <v>5994</v>
      </c>
      <c r="U1303" s="5" t="s">
        <v>14593</v>
      </c>
      <c r="V1303" s="5" t="s">
        <v>67</v>
      </c>
      <c r="W1303" s="5"/>
    </row>
    <row r="1304" spans="1:23" ht="12.5">
      <c r="A1304" s="5">
        <v>91808</v>
      </c>
      <c r="B1304" s="5" t="s">
        <v>17752</v>
      </c>
      <c r="C1304" s="5">
        <v>573103621304</v>
      </c>
      <c r="D1304" s="5">
        <v>1</v>
      </c>
      <c r="E1304" s="5" t="s">
        <v>9336</v>
      </c>
      <c r="F1304" s="5" t="s">
        <v>79</v>
      </c>
      <c r="G1304" s="5" t="s">
        <v>9334</v>
      </c>
      <c r="H1304" s="5" t="s">
        <v>9335</v>
      </c>
      <c r="I1304" s="5">
        <v>3103621304</v>
      </c>
      <c r="J1304" s="12">
        <v>46066</v>
      </c>
      <c r="K1304" s="11">
        <v>0</v>
      </c>
      <c r="M1304" s="10" t="s">
        <v>17753</v>
      </c>
      <c r="N1304" s="12">
        <v>46064.46438878472</v>
      </c>
      <c r="O1304" s="10" t="s">
        <v>15407</v>
      </c>
      <c r="P1304" s="5" t="s">
        <v>14571</v>
      </c>
      <c r="Q1304" s="5" t="s">
        <v>17688</v>
      </c>
      <c r="R1304" s="5" t="s">
        <v>17754</v>
      </c>
      <c r="T1304" s="5" t="s">
        <v>5994</v>
      </c>
      <c r="U1304" s="5" t="s">
        <v>14593</v>
      </c>
      <c r="V1304" s="5" t="s">
        <v>7644</v>
      </c>
      <c r="W1304" s="5"/>
    </row>
    <row r="1305" spans="1:23" ht="12.5">
      <c r="A1305" s="5">
        <v>91809</v>
      </c>
      <c r="B1305" s="5" t="s">
        <v>17755</v>
      </c>
      <c r="C1305" s="10" t="s">
        <v>17756</v>
      </c>
      <c r="D1305" s="5">
        <v>25</v>
      </c>
      <c r="E1305" s="5" t="s">
        <v>1792</v>
      </c>
      <c r="F1305" s="5" t="s">
        <v>249</v>
      </c>
      <c r="G1305" s="5" t="s">
        <v>9340</v>
      </c>
      <c r="H1305" s="5" t="s">
        <v>9341</v>
      </c>
      <c r="I1305" s="5"/>
      <c r="J1305" s="12">
        <v>46064</v>
      </c>
      <c r="K1305" s="11">
        <v>0</v>
      </c>
      <c r="M1305" s="10" t="s">
        <v>14734</v>
      </c>
      <c r="N1305" s="12">
        <v>46064</v>
      </c>
      <c r="O1305" s="10" t="s">
        <v>17118</v>
      </c>
      <c r="P1305" s="5" t="s">
        <v>14571</v>
      </c>
      <c r="Q1305" s="5" t="s">
        <v>14578</v>
      </c>
      <c r="R1305" s="5" t="s">
        <v>17757</v>
      </c>
      <c r="T1305" s="5" t="s">
        <v>5994</v>
      </c>
      <c r="U1305" s="5" t="s">
        <v>14593</v>
      </c>
      <c r="V1305" s="5" t="s">
        <v>83</v>
      </c>
      <c r="W1305" s="5"/>
    </row>
    <row r="1306" spans="1:23" ht="12.5">
      <c r="A1306" s="5">
        <v>91810</v>
      </c>
      <c r="B1306" s="5" t="s">
        <v>17758</v>
      </c>
      <c r="C1306" s="5">
        <v>573113715714</v>
      </c>
      <c r="D1306" s="5">
        <v>23</v>
      </c>
      <c r="E1306" s="5" t="s">
        <v>9280</v>
      </c>
      <c r="F1306" s="5" t="s">
        <v>307</v>
      </c>
      <c r="G1306" s="5" t="s">
        <v>9344</v>
      </c>
      <c r="H1306" s="5" t="s">
        <v>9345</v>
      </c>
      <c r="I1306" s="5">
        <v>3009582246</v>
      </c>
      <c r="J1306" s="12">
        <v>46066</v>
      </c>
      <c r="K1306" s="11">
        <v>0</v>
      </c>
      <c r="M1306" s="10" t="s">
        <v>15179</v>
      </c>
      <c r="N1306" s="12">
        <v>46064.489199895834</v>
      </c>
      <c r="O1306" s="10" t="s">
        <v>14867</v>
      </c>
      <c r="P1306" s="5" t="s">
        <v>14571</v>
      </c>
      <c r="Q1306" s="5" t="s">
        <v>17688</v>
      </c>
      <c r="R1306" s="5" t="s">
        <v>17759</v>
      </c>
      <c r="T1306" s="5" t="s">
        <v>5994</v>
      </c>
      <c r="U1306" s="5" t="s">
        <v>14618</v>
      </c>
      <c r="V1306" s="5" t="s">
        <v>7644</v>
      </c>
      <c r="W1306" s="5"/>
    </row>
    <row r="1307" spans="1:23" ht="12.5">
      <c r="A1307" s="5">
        <v>91811</v>
      </c>
      <c r="B1307" s="5" t="s">
        <v>17760</v>
      </c>
      <c r="C1307" s="5">
        <v>573175122672</v>
      </c>
      <c r="D1307" s="5">
        <v>15</v>
      </c>
      <c r="E1307" s="5" t="s">
        <v>9350</v>
      </c>
      <c r="F1307" s="5" t="s">
        <v>5574</v>
      </c>
      <c r="G1307" s="5" t="s">
        <v>9348</v>
      </c>
      <c r="H1307" s="5" t="s">
        <v>9349</v>
      </c>
      <c r="I1307" s="5">
        <v>3175122672</v>
      </c>
      <c r="J1307" s="12">
        <v>46066</v>
      </c>
      <c r="K1307" s="11">
        <v>0</v>
      </c>
      <c r="M1307" s="10" t="s">
        <v>15384</v>
      </c>
      <c r="N1307" s="12">
        <v>46064.462399039352</v>
      </c>
      <c r="O1307" s="10" t="s">
        <v>16297</v>
      </c>
      <c r="P1307" s="5" t="s">
        <v>14571</v>
      </c>
      <c r="Q1307" s="5" t="s">
        <v>17688</v>
      </c>
      <c r="R1307" s="5" t="s">
        <v>17761</v>
      </c>
      <c r="T1307" s="5" t="s">
        <v>5994</v>
      </c>
      <c r="U1307" s="5" t="s">
        <v>14593</v>
      </c>
      <c r="V1307" s="5" t="s">
        <v>1937</v>
      </c>
      <c r="W1307" s="5" t="s">
        <v>9352</v>
      </c>
    </row>
    <row r="1308" spans="1:23" ht="12.5">
      <c r="A1308" s="5">
        <v>91812</v>
      </c>
      <c r="B1308" s="5" t="s">
        <v>17762</v>
      </c>
      <c r="C1308" s="5">
        <v>573234065378</v>
      </c>
      <c r="D1308" s="5">
        <v>20</v>
      </c>
      <c r="E1308" s="5" t="s">
        <v>187</v>
      </c>
      <c r="F1308" s="5" t="s">
        <v>265</v>
      </c>
      <c r="G1308" s="5" t="s">
        <v>9355</v>
      </c>
      <c r="H1308" s="5" t="s">
        <v>9356</v>
      </c>
      <c r="I1308" s="5" t="s">
        <v>9357</v>
      </c>
      <c r="J1308" s="12">
        <v>46066</v>
      </c>
      <c r="K1308" s="11">
        <v>0.45833333333212067</v>
      </c>
      <c r="M1308" s="10" t="s">
        <v>14870</v>
      </c>
      <c r="N1308" s="12">
        <v>46064.505340347227</v>
      </c>
      <c r="O1308" s="10" t="s">
        <v>14738</v>
      </c>
      <c r="P1308" s="5" t="s">
        <v>14571</v>
      </c>
      <c r="Q1308" s="5" t="s">
        <v>14578</v>
      </c>
      <c r="R1308" s="5" t="s">
        <v>17763</v>
      </c>
      <c r="T1308" s="5" t="s">
        <v>5994</v>
      </c>
      <c r="U1308" s="5" t="s">
        <v>14691</v>
      </c>
      <c r="V1308" s="5" t="s">
        <v>7644</v>
      </c>
      <c r="W1308" s="5" t="s">
        <v>9359</v>
      </c>
    </row>
    <row r="1309" spans="1:23" ht="12.5">
      <c r="A1309" s="5">
        <v>91813</v>
      </c>
      <c r="B1309" s="5" t="s">
        <v>9361</v>
      </c>
      <c r="C1309" s="5">
        <v>573244055115</v>
      </c>
      <c r="D1309" s="5">
        <v>23</v>
      </c>
      <c r="E1309" s="5" t="s">
        <v>9280</v>
      </c>
      <c r="F1309" s="5"/>
      <c r="G1309" s="5" t="s">
        <v>9361</v>
      </c>
      <c r="H1309" s="5" t="s">
        <v>9362</v>
      </c>
      <c r="I1309" s="5"/>
      <c r="J1309" s="12">
        <v>46066</v>
      </c>
      <c r="K1309" s="11">
        <v>0.41666666666787933</v>
      </c>
      <c r="M1309" s="10" t="s">
        <v>14595</v>
      </c>
      <c r="N1309" s="12">
        <v>46064.524324201389</v>
      </c>
      <c r="O1309" s="10" t="s">
        <v>15856</v>
      </c>
      <c r="P1309" s="5" t="s">
        <v>14571</v>
      </c>
      <c r="Q1309" s="5" t="s">
        <v>17688</v>
      </c>
      <c r="R1309" s="5" t="s">
        <v>17764</v>
      </c>
      <c r="T1309" s="5" t="s">
        <v>5994</v>
      </c>
      <c r="U1309" s="5"/>
      <c r="V1309" s="5" t="s">
        <v>1705</v>
      </c>
      <c r="W1309" s="5"/>
    </row>
    <row r="1310" spans="1:23" ht="12.5">
      <c r="A1310" s="5">
        <v>91814</v>
      </c>
      <c r="B1310" s="5" t="s">
        <v>17765</v>
      </c>
      <c r="C1310" s="5">
        <v>573127204390</v>
      </c>
      <c r="D1310" s="5">
        <v>31</v>
      </c>
      <c r="E1310" s="5" t="s">
        <v>375</v>
      </c>
      <c r="F1310" s="5" t="s">
        <v>328</v>
      </c>
      <c r="G1310" s="5" t="s">
        <v>9365</v>
      </c>
      <c r="H1310" s="5" t="s">
        <v>9366</v>
      </c>
      <c r="I1310" s="5">
        <v>3024218152</v>
      </c>
      <c r="J1310" s="12">
        <v>46064</v>
      </c>
      <c r="K1310" s="11">
        <v>0.625</v>
      </c>
      <c r="M1310" s="10" t="s">
        <v>14832</v>
      </c>
      <c r="N1310" s="12">
        <v>46064.504311793979</v>
      </c>
      <c r="O1310" s="10" t="s">
        <v>14735</v>
      </c>
      <c r="P1310" s="5" t="s">
        <v>14571</v>
      </c>
      <c r="Q1310" s="5" t="s">
        <v>14612</v>
      </c>
      <c r="R1310" s="5" t="s">
        <v>17766</v>
      </c>
      <c r="T1310" s="5" t="s">
        <v>5994</v>
      </c>
      <c r="U1310" s="5"/>
      <c r="V1310" s="5" t="s">
        <v>67</v>
      </c>
      <c r="W1310" s="5"/>
    </row>
    <row r="1311" spans="1:23" ht="12.5">
      <c r="A1311" s="5">
        <v>91815</v>
      </c>
      <c r="B1311" s="5" t="s">
        <v>9371</v>
      </c>
      <c r="C1311" s="10" t="s">
        <v>17767</v>
      </c>
      <c r="D1311" s="5" t="s">
        <v>14589</v>
      </c>
      <c r="E1311" s="5" t="s">
        <v>9372</v>
      </c>
      <c r="F1311" s="5" t="s">
        <v>33</v>
      </c>
      <c r="G1311" s="5" t="s">
        <v>9371</v>
      </c>
      <c r="H1311" s="5" t="s">
        <v>34</v>
      </c>
      <c r="I1311" s="5">
        <v>3016012860</v>
      </c>
      <c r="J1311" s="12">
        <v>46064</v>
      </c>
      <c r="K1311" s="11">
        <v>0.54166666666666663</v>
      </c>
      <c r="M1311" s="10" t="s">
        <v>14863</v>
      </c>
      <c r="N1311" s="12">
        <v>46064</v>
      </c>
      <c r="O1311" s="10" t="s">
        <v>15133</v>
      </c>
      <c r="P1311" s="5" t="s">
        <v>14571</v>
      </c>
      <c r="Q1311" s="5" t="s">
        <v>14572</v>
      </c>
      <c r="R1311" s="5" t="s">
        <v>17768</v>
      </c>
      <c r="T1311" s="5" t="s">
        <v>14574</v>
      </c>
      <c r="U1311" s="5" t="s">
        <v>33</v>
      </c>
      <c r="V1311" s="5" t="s">
        <v>67</v>
      </c>
      <c r="W1311" s="5"/>
    </row>
    <row r="1312" spans="1:23" ht="12.5">
      <c r="A1312" s="5">
        <v>91816</v>
      </c>
      <c r="B1312" s="5" t="s">
        <v>17769</v>
      </c>
      <c r="C1312" s="5">
        <v>573103787152</v>
      </c>
      <c r="D1312" s="5">
        <v>95</v>
      </c>
      <c r="E1312" s="5" t="s">
        <v>42</v>
      </c>
      <c r="F1312" s="5" t="s">
        <v>726</v>
      </c>
      <c r="G1312" s="5" t="s">
        <v>9375</v>
      </c>
      <c r="H1312" s="5" t="s">
        <v>9376</v>
      </c>
      <c r="I1312" s="5">
        <v>3012069424</v>
      </c>
      <c r="J1312" s="12">
        <v>46064</v>
      </c>
      <c r="K1312" s="11">
        <v>0.625</v>
      </c>
      <c r="M1312" s="10" t="s">
        <v>17770</v>
      </c>
      <c r="N1312" s="12">
        <v>46064.49345548611</v>
      </c>
      <c r="O1312" s="10" t="s">
        <v>17771</v>
      </c>
      <c r="P1312" s="5" t="s">
        <v>14571</v>
      </c>
      <c r="Q1312" s="5" t="s">
        <v>14578</v>
      </c>
      <c r="R1312" s="5" t="s">
        <v>17772</v>
      </c>
      <c r="T1312" s="5" t="s">
        <v>5994</v>
      </c>
      <c r="U1312" s="5" t="s">
        <v>14618</v>
      </c>
      <c r="V1312" s="5" t="s">
        <v>83</v>
      </c>
      <c r="W1312" s="5" t="s">
        <v>9379</v>
      </c>
    </row>
    <row r="1313" spans="1:23" ht="12.5">
      <c r="A1313" s="5">
        <v>91817</v>
      </c>
      <c r="B1313" s="5" t="s">
        <v>17773</v>
      </c>
      <c r="C1313" s="5">
        <v>573134760139</v>
      </c>
      <c r="D1313" s="5" t="s">
        <v>14589</v>
      </c>
      <c r="E1313" s="5" t="s">
        <v>9383</v>
      </c>
      <c r="F1313" s="5" t="s">
        <v>79</v>
      </c>
      <c r="G1313" s="5" t="s">
        <v>9380</v>
      </c>
      <c r="H1313" s="5" t="s">
        <v>9382</v>
      </c>
      <c r="I1313" s="5">
        <v>3227974492</v>
      </c>
      <c r="J1313" s="12">
        <v>46064</v>
      </c>
      <c r="K1313" s="11">
        <v>0.58333333333212067</v>
      </c>
      <c r="M1313" s="10" t="s">
        <v>10581</v>
      </c>
      <c r="N1313" s="12">
        <v>46064.479924340281</v>
      </c>
      <c r="O1313" s="10" t="s">
        <v>16305</v>
      </c>
      <c r="P1313" s="5" t="s">
        <v>14571</v>
      </c>
      <c r="Q1313" s="5" t="s">
        <v>14578</v>
      </c>
      <c r="R1313" s="5" t="s">
        <v>17774</v>
      </c>
      <c r="T1313" s="5" t="s">
        <v>5994</v>
      </c>
      <c r="U1313" s="5" t="s">
        <v>14593</v>
      </c>
      <c r="V1313" s="5" t="s">
        <v>180</v>
      </c>
      <c r="W1313" s="5"/>
    </row>
    <row r="1314" spans="1:23" ht="12.5">
      <c r="A1314" s="5">
        <v>91818</v>
      </c>
      <c r="B1314" s="5" t="s">
        <v>17775</v>
      </c>
      <c r="C1314" s="5">
        <v>573157238269</v>
      </c>
      <c r="D1314" s="5">
        <v>70</v>
      </c>
      <c r="E1314" s="5" t="s">
        <v>559</v>
      </c>
      <c r="F1314" s="5" t="s">
        <v>161</v>
      </c>
      <c r="G1314" s="5" t="s">
        <v>9388</v>
      </c>
      <c r="H1314" s="5" t="s">
        <v>9389</v>
      </c>
      <c r="I1314" s="5"/>
      <c r="J1314" s="12">
        <v>46064</v>
      </c>
      <c r="K1314" s="11">
        <v>0.625</v>
      </c>
      <c r="M1314" s="10" t="s">
        <v>10581</v>
      </c>
      <c r="N1314" s="12">
        <v>46064.53866943287</v>
      </c>
      <c r="O1314" s="10" t="s">
        <v>14860</v>
      </c>
      <c r="P1314" s="5" t="s">
        <v>14571</v>
      </c>
      <c r="Q1314" s="5" t="s">
        <v>14612</v>
      </c>
      <c r="R1314" s="5" t="s">
        <v>17776</v>
      </c>
      <c r="T1314" s="5" t="s">
        <v>5994</v>
      </c>
      <c r="U1314" s="5" t="s">
        <v>14593</v>
      </c>
      <c r="V1314" s="5" t="s">
        <v>180</v>
      </c>
      <c r="W1314" s="5"/>
    </row>
    <row r="1315" spans="1:23" ht="12.5">
      <c r="A1315" s="5">
        <v>91819</v>
      </c>
      <c r="B1315" s="5" t="s">
        <v>17777</v>
      </c>
      <c r="C1315" s="5">
        <v>5756983956241</v>
      </c>
      <c r="D1315" s="5" t="s">
        <v>14982</v>
      </c>
      <c r="E1315" s="5" t="s">
        <v>9395</v>
      </c>
      <c r="F1315" s="5" t="s">
        <v>103</v>
      </c>
      <c r="G1315" s="5" t="s">
        <v>7457</v>
      </c>
      <c r="H1315" s="5" t="s">
        <v>9394</v>
      </c>
      <c r="I1315" s="5" t="s">
        <v>1543</v>
      </c>
      <c r="J1315" s="12">
        <v>46064</v>
      </c>
      <c r="K1315" s="11">
        <v>0.625</v>
      </c>
      <c r="M1315" s="10" t="s">
        <v>14777</v>
      </c>
      <c r="N1315" s="12">
        <v>46064.543095370369</v>
      </c>
      <c r="O1315" s="10" t="s">
        <v>14854</v>
      </c>
      <c r="P1315" s="5" t="s">
        <v>14571</v>
      </c>
      <c r="Q1315" s="5" t="s">
        <v>14578</v>
      </c>
      <c r="R1315" s="5" t="s">
        <v>17778</v>
      </c>
      <c r="T1315" s="5" t="s">
        <v>5994</v>
      </c>
      <c r="U1315" s="5" t="s">
        <v>14593</v>
      </c>
      <c r="V1315" s="5" t="s">
        <v>1909</v>
      </c>
      <c r="W1315" s="5"/>
    </row>
    <row r="1316" spans="1:23" ht="12.5">
      <c r="A1316" s="5">
        <v>91820</v>
      </c>
      <c r="B1316" s="5" t="s">
        <v>9399</v>
      </c>
      <c r="C1316" s="5">
        <v>573145382455</v>
      </c>
      <c r="D1316" s="5">
        <v>95</v>
      </c>
      <c r="E1316" s="5" t="s">
        <v>42</v>
      </c>
      <c r="F1316" s="5" t="s">
        <v>33</v>
      </c>
      <c r="G1316" s="5" t="s">
        <v>9399</v>
      </c>
      <c r="H1316" s="5" t="s">
        <v>34</v>
      </c>
      <c r="I1316" s="5"/>
      <c r="J1316" s="12">
        <v>46064</v>
      </c>
      <c r="K1316" s="11">
        <v>0</v>
      </c>
      <c r="M1316" s="10" t="s">
        <v>15298</v>
      </c>
      <c r="N1316" s="12">
        <v>46064.55542365741</v>
      </c>
      <c r="O1316" s="10" t="s">
        <v>17779</v>
      </c>
      <c r="P1316" s="5" t="s">
        <v>14571</v>
      </c>
      <c r="Q1316" s="5" t="s">
        <v>14572</v>
      </c>
      <c r="R1316" s="5" t="s">
        <v>17780</v>
      </c>
      <c r="T1316" s="5" t="s">
        <v>14574</v>
      </c>
      <c r="U1316" s="5" t="s">
        <v>33</v>
      </c>
      <c r="V1316" s="5" t="s">
        <v>43</v>
      </c>
      <c r="W1316" s="5"/>
    </row>
    <row r="1317" spans="1:23" ht="12.5">
      <c r="A1317" s="5">
        <v>91821</v>
      </c>
      <c r="B1317" s="5" t="s">
        <v>5734</v>
      </c>
      <c r="C1317" s="5">
        <v>573007682024</v>
      </c>
      <c r="D1317" s="5">
        <v>95</v>
      </c>
      <c r="E1317" s="5" t="s">
        <v>42</v>
      </c>
      <c r="F1317" s="5" t="s">
        <v>33</v>
      </c>
      <c r="G1317" s="5" t="s">
        <v>5734</v>
      </c>
      <c r="H1317" s="5" t="s">
        <v>34</v>
      </c>
      <c r="I1317" s="5">
        <v>3007682024</v>
      </c>
      <c r="J1317" s="12">
        <v>46064</v>
      </c>
      <c r="K1317" s="11">
        <v>0</v>
      </c>
      <c r="M1317" s="10" t="s">
        <v>2686</v>
      </c>
      <c r="N1317" s="12">
        <v>46064.562919548611</v>
      </c>
      <c r="O1317" s="10" t="s">
        <v>16138</v>
      </c>
      <c r="P1317" s="5" t="s">
        <v>14571</v>
      </c>
      <c r="Q1317" s="5" t="s">
        <v>14572</v>
      </c>
      <c r="R1317" s="5" t="s">
        <v>17781</v>
      </c>
      <c r="T1317" s="5" t="s">
        <v>14574</v>
      </c>
      <c r="U1317" s="5" t="s">
        <v>33</v>
      </c>
      <c r="V1317" s="5" t="s">
        <v>43</v>
      </c>
      <c r="W1317" s="5" t="s">
        <v>9400</v>
      </c>
    </row>
    <row r="1318" spans="1:23" ht="12.5">
      <c r="A1318" s="5">
        <v>91822</v>
      </c>
      <c r="B1318" s="5" t="s">
        <v>17782</v>
      </c>
      <c r="C1318" s="10" t="s">
        <v>17783</v>
      </c>
      <c r="D1318" s="5">
        <v>52</v>
      </c>
      <c r="E1318" s="5" t="s">
        <v>178</v>
      </c>
      <c r="F1318" s="5" t="s">
        <v>314</v>
      </c>
      <c r="G1318" s="5" t="s">
        <v>17784</v>
      </c>
      <c r="H1318" s="5" t="s">
        <v>9402</v>
      </c>
      <c r="I1318" s="5">
        <v>3007147382</v>
      </c>
      <c r="J1318" s="12">
        <v>46064</v>
      </c>
      <c r="K1318" s="11">
        <v>0.66666666666666663</v>
      </c>
      <c r="M1318" s="10" t="s">
        <v>16408</v>
      </c>
      <c r="N1318" s="12">
        <v>46064</v>
      </c>
      <c r="O1318" s="10" t="s">
        <v>17785</v>
      </c>
      <c r="P1318" s="5" t="s">
        <v>14571</v>
      </c>
      <c r="Q1318" s="5" t="s">
        <v>14572</v>
      </c>
      <c r="R1318" s="5" t="s">
        <v>17786</v>
      </c>
      <c r="T1318" s="5" t="s">
        <v>5994</v>
      </c>
      <c r="U1318" s="5" t="s">
        <v>14580</v>
      </c>
      <c r="V1318" s="5" t="s">
        <v>67</v>
      </c>
      <c r="W1318" s="5"/>
    </row>
    <row r="1319" spans="1:23" ht="12.5">
      <c r="A1319" s="5">
        <v>91823</v>
      </c>
      <c r="B1319" s="5" t="s">
        <v>15974</v>
      </c>
      <c r="C1319" s="5">
        <v>573214871570</v>
      </c>
      <c r="D1319" s="5">
        <v>70</v>
      </c>
      <c r="E1319" s="5" t="s">
        <v>559</v>
      </c>
      <c r="F1319" s="5" t="s">
        <v>5898</v>
      </c>
      <c r="G1319" s="5" t="s">
        <v>5897</v>
      </c>
      <c r="H1319" s="5" t="s">
        <v>9405</v>
      </c>
      <c r="I1319" s="5">
        <v>3017051943</v>
      </c>
      <c r="J1319" s="12">
        <v>46065</v>
      </c>
      <c r="K1319" s="11">
        <v>0</v>
      </c>
      <c r="M1319" s="10" t="s">
        <v>15569</v>
      </c>
      <c r="N1319" s="12">
        <v>46064.552865185186</v>
      </c>
      <c r="O1319" s="10" t="s">
        <v>16539</v>
      </c>
      <c r="P1319" s="5" t="s">
        <v>14571</v>
      </c>
      <c r="Q1319" s="5" t="s">
        <v>14572</v>
      </c>
      <c r="R1319" s="5" t="s">
        <v>17787</v>
      </c>
      <c r="T1319" s="5" t="s">
        <v>5994</v>
      </c>
      <c r="U1319" s="5" t="s">
        <v>14598</v>
      </c>
      <c r="V1319" s="5" t="s">
        <v>83</v>
      </c>
      <c r="W1319" s="5"/>
    </row>
    <row r="1320" spans="1:23" ht="12.5">
      <c r="A1320" s="5">
        <v>91824</v>
      </c>
      <c r="B1320" s="5" t="s">
        <v>9409</v>
      </c>
      <c r="C1320" s="5">
        <v>573146958350</v>
      </c>
      <c r="D1320" s="5">
        <v>95</v>
      </c>
      <c r="E1320" s="5" t="s">
        <v>42</v>
      </c>
      <c r="F1320" s="5"/>
      <c r="G1320" s="5" t="s">
        <v>9409</v>
      </c>
      <c r="H1320" s="5" t="s">
        <v>9410</v>
      </c>
      <c r="I1320" s="5"/>
      <c r="J1320" s="12">
        <v>46064</v>
      </c>
      <c r="K1320" s="11">
        <v>0</v>
      </c>
      <c r="M1320" s="10" t="s">
        <v>14734</v>
      </c>
      <c r="N1320" s="12">
        <v>46064.55969800926</v>
      </c>
      <c r="O1320" s="10" t="s">
        <v>14616</v>
      </c>
      <c r="P1320" s="5" t="s">
        <v>14571</v>
      </c>
      <c r="Q1320" s="5" t="s">
        <v>14572</v>
      </c>
      <c r="R1320" s="5" t="s">
        <v>17788</v>
      </c>
      <c r="T1320" s="5" t="s">
        <v>5994</v>
      </c>
      <c r="U1320" s="5"/>
      <c r="V1320" s="5" t="s">
        <v>43</v>
      </c>
      <c r="W1320" s="5" t="s">
        <v>9411</v>
      </c>
    </row>
    <row r="1321" spans="1:23" ht="12.5">
      <c r="A1321" s="5">
        <v>91825</v>
      </c>
      <c r="B1321" s="5" t="s">
        <v>17789</v>
      </c>
      <c r="C1321" s="5">
        <v>573156684884</v>
      </c>
      <c r="D1321" s="5">
        <v>20</v>
      </c>
      <c r="E1321" s="5" t="s">
        <v>187</v>
      </c>
      <c r="F1321" s="5" t="s">
        <v>307</v>
      </c>
      <c r="G1321" s="5" t="s">
        <v>9413</v>
      </c>
      <c r="H1321" s="5" t="s">
        <v>9414</v>
      </c>
      <c r="I1321" s="5">
        <v>3156684884</v>
      </c>
      <c r="J1321" s="12">
        <v>46064</v>
      </c>
      <c r="K1321" s="11">
        <v>0</v>
      </c>
      <c r="M1321" s="10" t="s">
        <v>14649</v>
      </c>
      <c r="N1321" s="12">
        <v>46064.572925104163</v>
      </c>
      <c r="O1321" s="10" t="s">
        <v>16078</v>
      </c>
      <c r="P1321" s="5" t="s">
        <v>14571</v>
      </c>
      <c r="Q1321" s="5" t="s">
        <v>14572</v>
      </c>
      <c r="R1321" s="5" t="s">
        <v>17790</v>
      </c>
      <c r="T1321" s="5" t="s">
        <v>5994</v>
      </c>
      <c r="U1321" s="5" t="s">
        <v>14618</v>
      </c>
      <c r="V1321" s="5" t="s">
        <v>67</v>
      </c>
      <c r="W1321" s="5"/>
    </row>
    <row r="1322" spans="1:23" ht="12.5">
      <c r="A1322" s="5">
        <v>91826</v>
      </c>
      <c r="B1322" s="5" t="s">
        <v>1704</v>
      </c>
      <c r="C1322" s="5">
        <v>573008095865</v>
      </c>
      <c r="D1322" s="5">
        <v>52</v>
      </c>
      <c r="E1322" s="5" t="s">
        <v>178</v>
      </c>
      <c r="F1322" s="5" t="s">
        <v>33</v>
      </c>
      <c r="G1322" s="5" t="s">
        <v>1704</v>
      </c>
      <c r="H1322" s="5" t="s">
        <v>34</v>
      </c>
      <c r="I1322" s="5">
        <v>3008095865</v>
      </c>
      <c r="J1322" s="12">
        <v>46065</v>
      </c>
      <c r="K1322" s="11">
        <v>0.70833333333212067</v>
      </c>
      <c r="M1322" s="10" t="s">
        <v>15161</v>
      </c>
      <c r="N1322" s="12">
        <v>46064.592974722225</v>
      </c>
      <c r="O1322" s="10" t="s">
        <v>17791</v>
      </c>
      <c r="P1322" s="5" t="s">
        <v>14571</v>
      </c>
      <c r="Q1322" s="5" t="s">
        <v>14612</v>
      </c>
      <c r="R1322" s="5" t="s">
        <v>17792</v>
      </c>
      <c r="T1322" s="5" t="s">
        <v>14574</v>
      </c>
      <c r="U1322" s="5" t="s">
        <v>33</v>
      </c>
      <c r="V1322" s="5" t="s">
        <v>1705</v>
      </c>
      <c r="W1322" s="5"/>
    </row>
    <row r="1323" spans="1:23" ht="12.5">
      <c r="A1323" s="5">
        <v>91827</v>
      </c>
      <c r="B1323" s="5" t="s">
        <v>17793</v>
      </c>
      <c r="C1323" s="5">
        <v>573205674624</v>
      </c>
      <c r="D1323" s="5">
        <v>9</v>
      </c>
      <c r="E1323" s="5" t="s">
        <v>866</v>
      </c>
      <c r="F1323" s="5" t="s">
        <v>6905</v>
      </c>
      <c r="G1323" s="5" t="s">
        <v>9418</v>
      </c>
      <c r="H1323" s="5" t="s">
        <v>9419</v>
      </c>
      <c r="I1323" s="5"/>
      <c r="J1323" s="12">
        <v>46064</v>
      </c>
      <c r="K1323" s="11">
        <v>0.6875</v>
      </c>
      <c r="M1323" s="10" t="s">
        <v>17794</v>
      </c>
      <c r="N1323" s="12">
        <v>46064.582628391203</v>
      </c>
      <c r="O1323" s="10" t="s">
        <v>14611</v>
      </c>
      <c r="P1323" s="5" t="s">
        <v>14571</v>
      </c>
      <c r="Q1323" s="5" t="s">
        <v>14572</v>
      </c>
      <c r="R1323" s="5" t="s">
        <v>17795</v>
      </c>
      <c r="T1323" s="5" t="s">
        <v>5994</v>
      </c>
      <c r="U1323" s="5" t="s">
        <v>14598</v>
      </c>
      <c r="V1323" s="5" t="s">
        <v>67</v>
      </c>
      <c r="W1323" s="5"/>
    </row>
    <row r="1324" spans="1:23" ht="12.5">
      <c r="A1324" s="5">
        <v>91828</v>
      </c>
      <c r="B1324" s="5" t="s">
        <v>17796</v>
      </c>
      <c r="C1324" s="5">
        <v>17869668950</v>
      </c>
      <c r="D1324" s="5">
        <v>2</v>
      </c>
      <c r="E1324" s="5" t="s">
        <v>9238</v>
      </c>
      <c r="F1324" s="5" t="s">
        <v>892</v>
      </c>
      <c r="G1324" s="5" t="s">
        <v>9423</v>
      </c>
      <c r="H1324" s="5" t="s">
        <v>9424</v>
      </c>
      <c r="I1324" s="5"/>
      <c r="J1324" s="12">
        <v>46066</v>
      </c>
      <c r="K1324" s="11">
        <v>0.45833333333212067</v>
      </c>
      <c r="M1324" s="10" t="s">
        <v>15128</v>
      </c>
      <c r="N1324" s="12">
        <v>46064.570632164352</v>
      </c>
      <c r="O1324" s="10" t="s">
        <v>16148</v>
      </c>
      <c r="P1324" s="5" t="s">
        <v>14571</v>
      </c>
      <c r="Q1324" s="5" t="s">
        <v>17404</v>
      </c>
      <c r="R1324" s="5" t="s">
        <v>17797</v>
      </c>
      <c r="T1324" s="5" t="s">
        <v>5994</v>
      </c>
      <c r="U1324" s="5" t="s">
        <v>14593</v>
      </c>
      <c r="V1324" s="5" t="s">
        <v>7644</v>
      </c>
      <c r="W1324" s="5" t="s">
        <v>9427</v>
      </c>
    </row>
    <row r="1325" spans="1:23" ht="12.5">
      <c r="A1325" s="5">
        <v>91829</v>
      </c>
      <c r="B1325" s="5" t="s">
        <v>17798</v>
      </c>
      <c r="C1325" s="5">
        <v>573054139389</v>
      </c>
      <c r="D1325" s="5">
        <v>95</v>
      </c>
      <c r="E1325" s="5" t="s">
        <v>42</v>
      </c>
      <c r="F1325" s="5" t="s">
        <v>328</v>
      </c>
      <c r="G1325" s="5" t="s">
        <v>9429</v>
      </c>
      <c r="H1325" s="5" t="s">
        <v>9430</v>
      </c>
      <c r="I1325" s="5"/>
      <c r="J1325" s="12">
        <v>46064</v>
      </c>
      <c r="K1325" s="11">
        <v>0</v>
      </c>
      <c r="M1325" s="10" t="s">
        <v>16063</v>
      </c>
      <c r="N1325" s="12">
        <v>46064.60540226852</v>
      </c>
      <c r="O1325" s="10" t="s">
        <v>16212</v>
      </c>
      <c r="P1325" s="5" t="s">
        <v>14571</v>
      </c>
      <c r="Q1325" s="5" t="s">
        <v>14612</v>
      </c>
      <c r="R1325" s="5" t="s">
        <v>17799</v>
      </c>
      <c r="T1325" s="5" t="s">
        <v>5994</v>
      </c>
      <c r="U1325" s="5"/>
      <c r="V1325" s="5" t="s">
        <v>67</v>
      </c>
      <c r="W1325" s="5" t="s">
        <v>9431</v>
      </c>
    </row>
    <row r="1326" spans="1:23" ht="12.5">
      <c r="A1326" s="5">
        <v>91830</v>
      </c>
      <c r="B1326" s="5" t="s">
        <v>9432</v>
      </c>
      <c r="C1326" s="5">
        <v>573016856910</v>
      </c>
      <c r="D1326" s="5">
        <v>95</v>
      </c>
      <c r="E1326" s="5" t="s">
        <v>42</v>
      </c>
      <c r="F1326" s="5" t="s">
        <v>103</v>
      </c>
      <c r="G1326" s="5" t="s">
        <v>9432</v>
      </c>
      <c r="H1326" s="5" t="s">
        <v>34</v>
      </c>
      <c r="I1326" s="5">
        <v>3016856910</v>
      </c>
      <c r="J1326" s="12">
        <v>46064</v>
      </c>
      <c r="K1326" s="11">
        <v>0.70833333333212067</v>
      </c>
      <c r="M1326" s="10" t="s">
        <v>14800</v>
      </c>
      <c r="N1326" s="12">
        <v>46064.620196967589</v>
      </c>
      <c r="O1326" s="10" t="s">
        <v>17329</v>
      </c>
      <c r="P1326" s="5" t="s">
        <v>14571</v>
      </c>
      <c r="Q1326" s="5" t="s">
        <v>14572</v>
      </c>
      <c r="R1326" s="5" t="s">
        <v>17800</v>
      </c>
      <c r="T1326" s="5" t="s">
        <v>5994</v>
      </c>
      <c r="U1326" s="5" t="s">
        <v>14593</v>
      </c>
      <c r="V1326" s="5" t="s">
        <v>67</v>
      </c>
      <c r="W1326" s="5" t="s">
        <v>9435</v>
      </c>
    </row>
    <row r="1327" spans="1:23" ht="12.5">
      <c r="A1327" s="5">
        <v>91831</v>
      </c>
      <c r="B1327" s="5" t="s">
        <v>9437</v>
      </c>
      <c r="C1327" s="5">
        <v>573004373683</v>
      </c>
      <c r="D1327" s="5">
        <v>1</v>
      </c>
      <c r="E1327" s="5" t="s">
        <v>5730</v>
      </c>
      <c r="F1327" s="5" t="s">
        <v>2090</v>
      </c>
      <c r="G1327" s="5" t="s">
        <v>9437</v>
      </c>
      <c r="H1327" s="5" t="s">
        <v>9438</v>
      </c>
      <c r="I1327" s="5">
        <v>3004373683</v>
      </c>
      <c r="J1327" s="12">
        <v>46064</v>
      </c>
      <c r="K1327" s="11">
        <v>0</v>
      </c>
      <c r="M1327" s="10" t="s">
        <v>16109</v>
      </c>
      <c r="N1327" s="12">
        <v>46064.628520706014</v>
      </c>
      <c r="O1327" s="10" t="s">
        <v>16782</v>
      </c>
      <c r="P1327" s="5" t="s">
        <v>14571</v>
      </c>
      <c r="Q1327" s="5" t="s">
        <v>14578</v>
      </c>
      <c r="R1327" s="5" t="s">
        <v>17801</v>
      </c>
      <c r="T1327" s="5" t="s">
        <v>5994</v>
      </c>
      <c r="U1327" s="5" t="s">
        <v>14618</v>
      </c>
      <c r="V1327" s="5" t="s">
        <v>67</v>
      </c>
      <c r="W1327" s="5" t="s">
        <v>9440</v>
      </c>
    </row>
    <row r="1328" spans="1:23" ht="12.5">
      <c r="A1328" s="5">
        <v>91832</v>
      </c>
      <c r="B1328" s="5" t="s">
        <v>17802</v>
      </c>
      <c r="C1328" s="5">
        <v>13055273584</v>
      </c>
      <c r="D1328" s="5">
        <v>8</v>
      </c>
      <c r="E1328" s="5" t="s">
        <v>9444</v>
      </c>
      <c r="F1328" s="5" t="s">
        <v>886</v>
      </c>
      <c r="G1328" s="5" t="s">
        <v>9442</v>
      </c>
      <c r="H1328" s="5" t="s">
        <v>9443</v>
      </c>
      <c r="I1328" s="5">
        <v>3024761786</v>
      </c>
      <c r="J1328" s="12">
        <v>46065</v>
      </c>
      <c r="K1328" s="11">
        <v>0.45833333333212067</v>
      </c>
      <c r="M1328" s="10" t="s">
        <v>15304</v>
      </c>
      <c r="N1328" s="12">
        <v>46064.570163275464</v>
      </c>
      <c r="O1328" s="10" t="s">
        <v>15879</v>
      </c>
      <c r="P1328" s="5" t="s">
        <v>14571</v>
      </c>
      <c r="Q1328" s="5" t="s">
        <v>17688</v>
      </c>
      <c r="R1328" s="5" t="s">
        <v>17803</v>
      </c>
      <c r="T1328" s="5" t="s">
        <v>5994</v>
      </c>
      <c r="U1328" s="5" t="s">
        <v>14618</v>
      </c>
      <c r="V1328" s="5" t="s">
        <v>1937</v>
      </c>
      <c r="W1328" s="5" t="s">
        <v>9446</v>
      </c>
    </row>
    <row r="1329" spans="1:23" ht="12.5">
      <c r="A1329" s="5">
        <v>91833</v>
      </c>
      <c r="B1329" s="5" t="s">
        <v>3183</v>
      </c>
      <c r="C1329" s="5">
        <v>573043190657</v>
      </c>
      <c r="D1329" s="5">
        <v>95</v>
      </c>
      <c r="E1329" s="5" t="s">
        <v>42</v>
      </c>
      <c r="F1329" s="5" t="s">
        <v>33</v>
      </c>
      <c r="G1329" s="5" t="s">
        <v>3183</v>
      </c>
      <c r="H1329" s="5" t="s">
        <v>34</v>
      </c>
      <c r="I1329" s="5">
        <v>3043190657</v>
      </c>
      <c r="J1329" s="12">
        <v>46064</v>
      </c>
      <c r="K1329" s="11">
        <v>0</v>
      </c>
      <c r="M1329" s="10" t="s">
        <v>2686</v>
      </c>
      <c r="N1329" s="12">
        <v>46064.686717812496</v>
      </c>
      <c r="O1329" s="10" t="s">
        <v>16739</v>
      </c>
      <c r="P1329" s="5" t="s">
        <v>14571</v>
      </c>
      <c r="Q1329" s="5" t="s">
        <v>14578</v>
      </c>
      <c r="R1329" s="5" t="s">
        <v>17804</v>
      </c>
      <c r="T1329" s="5" t="s">
        <v>14574</v>
      </c>
      <c r="U1329" s="5" t="s">
        <v>33</v>
      </c>
      <c r="V1329" s="5" t="s">
        <v>1481</v>
      </c>
      <c r="W1329" s="5"/>
    </row>
    <row r="1330" spans="1:23" ht="12.5">
      <c r="A1330" s="5">
        <v>91834</v>
      </c>
      <c r="B1330" s="5" t="s">
        <v>17805</v>
      </c>
      <c r="C1330" s="5">
        <v>573013439877</v>
      </c>
      <c r="D1330" s="5" t="s">
        <v>17806</v>
      </c>
      <c r="E1330" s="5" t="s">
        <v>9451</v>
      </c>
      <c r="F1330" s="5" t="s">
        <v>1047</v>
      </c>
      <c r="G1330" s="5" t="s">
        <v>9449</v>
      </c>
      <c r="H1330" s="5" t="s">
        <v>9450</v>
      </c>
      <c r="I1330" s="5">
        <v>3006908396</v>
      </c>
      <c r="J1330" s="12">
        <v>46064</v>
      </c>
      <c r="K1330" s="11">
        <v>0</v>
      </c>
      <c r="M1330" s="10" t="s">
        <v>17807</v>
      </c>
      <c r="N1330" s="12">
        <v>46064.68209018519</v>
      </c>
      <c r="O1330" s="10" t="s">
        <v>15724</v>
      </c>
      <c r="P1330" s="5" t="s">
        <v>14571</v>
      </c>
      <c r="Q1330" s="5" t="s">
        <v>14612</v>
      </c>
      <c r="R1330" s="5" t="s">
        <v>17808</v>
      </c>
      <c r="T1330" s="5" t="s">
        <v>5994</v>
      </c>
      <c r="U1330" s="5" t="s">
        <v>14580</v>
      </c>
      <c r="V1330" s="5" t="s">
        <v>67</v>
      </c>
      <c r="W1330" s="5" t="s">
        <v>9454</v>
      </c>
    </row>
    <row r="1331" spans="1:23" ht="12.5">
      <c r="A1331" s="5">
        <v>91835</v>
      </c>
      <c r="B1331" s="5" t="s">
        <v>17809</v>
      </c>
      <c r="C1331" s="5">
        <v>573004898716</v>
      </c>
      <c r="D1331" s="5">
        <v>55</v>
      </c>
      <c r="E1331" s="5" t="s">
        <v>1203</v>
      </c>
      <c r="F1331" s="5" t="s">
        <v>73</v>
      </c>
      <c r="G1331" s="5" t="s">
        <v>5856</v>
      </c>
      <c r="H1331" s="5" t="s">
        <v>9456</v>
      </c>
      <c r="I1331" s="5" t="s">
        <v>9457</v>
      </c>
      <c r="J1331" s="12">
        <v>46066</v>
      </c>
      <c r="K1331" s="11">
        <v>0</v>
      </c>
      <c r="M1331" s="10" t="s">
        <v>14672</v>
      </c>
      <c r="N1331" s="12">
        <v>46064.653220115739</v>
      </c>
      <c r="O1331" s="10" t="s">
        <v>16418</v>
      </c>
      <c r="P1331" s="5" t="s">
        <v>14571</v>
      </c>
      <c r="Q1331" s="5" t="s">
        <v>17688</v>
      </c>
      <c r="R1331" s="5" t="s">
        <v>17810</v>
      </c>
      <c r="T1331" s="5" t="s">
        <v>5994</v>
      </c>
      <c r="U1331" s="5" t="s">
        <v>14593</v>
      </c>
      <c r="V1331" s="5" t="s">
        <v>67</v>
      </c>
      <c r="W1331" s="5" t="s">
        <v>9460</v>
      </c>
    </row>
    <row r="1332" spans="1:23" ht="12.5">
      <c r="A1332" s="5">
        <v>91836</v>
      </c>
      <c r="B1332" s="5" t="s">
        <v>17811</v>
      </c>
      <c r="C1332" s="10" t="s">
        <v>17812</v>
      </c>
      <c r="D1332" s="5" t="s">
        <v>17813</v>
      </c>
      <c r="E1332" s="5" t="s">
        <v>9465</v>
      </c>
      <c r="F1332" s="5" t="s">
        <v>4749</v>
      </c>
      <c r="G1332" s="5" t="s">
        <v>9463</v>
      </c>
      <c r="H1332" s="5" t="s">
        <v>9464</v>
      </c>
      <c r="I1332" s="5">
        <v>3019800110</v>
      </c>
      <c r="J1332" s="12">
        <v>46066</v>
      </c>
      <c r="K1332" s="11">
        <v>0.45833333333333331</v>
      </c>
      <c r="M1332" s="10" t="s">
        <v>17814</v>
      </c>
      <c r="N1332" s="12">
        <v>46064</v>
      </c>
      <c r="O1332" s="10" t="s">
        <v>15220</v>
      </c>
      <c r="P1332" s="5" t="s">
        <v>14571</v>
      </c>
      <c r="Q1332" s="5" t="s">
        <v>14612</v>
      </c>
      <c r="R1332" s="5" t="s">
        <v>17815</v>
      </c>
      <c r="T1332" s="5" t="s">
        <v>5994</v>
      </c>
      <c r="U1332" s="5" t="s">
        <v>14618</v>
      </c>
      <c r="V1332" s="5" t="s">
        <v>1937</v>
      </c>
      <c r="W1332" s="5" t="s">
        <v>9467</v>
      </c>
    </row>
    <row r="1333" spans="1:23" ht="12.5">
      <c r="A1333" s="5">
        <v>91837</v>
      </c>
      <c r="B1333" s="5" t="s">
        <v>5397</v>
      </c>
      <c r="C1333" s="10" t="s">
        <v>17816</v>
      </c>
      <c r="D1333" s="5">
        <v>52</v>
      </c>
      <c r="E1333" s="5" t="s">
        <v>178</v>
      </c>
      <c r="F1333" s="5" t="s">
        <v>33</v>
      </c>
      <c r="G1333" s="5" t="s">
        <v>5397</v>
      </c>
      <c r="H1333" s="5" t="s">
        <v>34</v>
      </c>
      <c r="I1333" s="5">
        <v>3045733898</v>
      </c>
      <c r="J1333" s="12">
        <v>46064</v>
      </c>
      <c r="K1333" s="11">
        <v>0.72916666666666663</v>
      </c>
      <c r="M1333" s="10" t="s">
        <v>15161</v>
      </c>
      <c r="N1333" s="12">
        <v>46064</v>
      </c>
      <c r="O1333" s="10" t="s">
        <v>17280</v>
      </c>
      <c r="P1333" s="5" t="s">
        <v>14571</v>
      </c>
      <c r="Q1333" s="5" t="s">
        <v>14578</v>
      </c>
      <c r="R1333" s="5" t="s">
        <v>17817</v>
      </c>
      <c r="T1333" s="5" t="s">
        <v>14574</v>
      </c>
      <c r="U1333" s="5" t="s">
        <v>33</v>
      </c>
      <c r="V1333" s="5" t="s">
        <v>67</v>
      </c>
      <c r="W1333" s="5"/>
    </row>
    <row r="1334" spans="1:23" ht="12.5">
      <c r="A1334" s="5">
        <v>91838</v>
      </c>
      <c r="B1334" s="5" t="s">
        <v>17818</v>
      </c>
      <c r="C1334" s="10" t="s">
        <v>17819</v>
      </c>
      <c r="D1334" s="5">
        <v>7</v>
      </c>
      <c r="E1334" s="5" t="s">
        <v>112</v>
      </c>
      <c r="F1334" s="5" t="s">
        <v>307</v>
      </c>
      <c r="G1334" s="5" t="s">
        <v>9470</v>
      </c>
      <c r="H1334" s="5" t="s">
        <v>9471</v>
      </c>
      <c r="I1334" s="5">
        <v>3112187891</v>
      </c>
      <c r="J1334" s="12">
        <v>46065</v>
      </c>
      <c r="K1334" s="11">
        <v>0</v>
      </c>
      <c r="M1334" s="10" t="s">
        <v>15128</v>
      </c>
      <c r="N1334" s="12">
        <v>46064</v>
      </c>
      <c r="O1334" s="10" t="s">
        <v>17820</v>
      </c>
      <c r="P1334" s="5" t="s">
        <v>14571</v>
      </c>
      <c r="Q1334" s="5" t="s">
        <v>14572</v>
      </c>
      <c r="R1334" s="5" t="s">
        <v>17821</v>
      </c>
      <c r="T1334" s="5" t="s">
        <v>5994</v>
      </c>
      <c r="U1334" s="5" t="s">
        <v>14618</v>
      </c>
      <c r="V1334" s="5" t="s">
        <v>1937</v>
      </c>
      <c r="W1334" s="5"/>
    </row>
    <row r="1335" spans="1:23" ht="12.5">
      <c r="A1335" s="5">
        <v>91839</v>
      </c>
      <c r="B1335" s="5" t="s">
        <v>17822</v>
      </c>
      <c r="C1335" s="5">
        <v>573206914142</v>
      </c>
      <c r="D1335" s="5">
        <v>16</v>
      </c>
      <c r="E1335" s="5" t="s">
        <v>9478</v>
      </c>
      <c r="F1335" s="5" t="s">
        <v>185</v>
      </c>
      <c r="G1335" s="5" t="s">
        <v>9476</v>
      </c>
      <c r="H1335" s="5" t="s">
        <v>9477</v>
      </c>
      <c r="I1335" s="5">
        <v>3206914142</v>
      </c>
      <c r="J1335" s="12">
        <v>46066</v>
      </c>
      <c r="K1335" s="11">
        <v>0.29166666666787933</v>
      </c>
      <c r="M1335" s="10" t="s">
        <v>16647</v>
      </c>
      <c r="N1335" s="12">
        <v>46064.368431967596</v>
      </c>
      <c r="O1335" s="10" t="s">
        <v>15811</v>
      </c>
      <c r="P1335" s="5" t="s">
        <v>14571</v>
      </c>
      <c r="Q1335" s="5" t="s">
        <v>14612</v>
      </c>
      <c r="R1335" s="5" t="s">
        <v>17823</v>
      </c>
      <c r="T1335" s="5" t="s">
        <v>5994</v>
      </c>
      <c r="U1335" s="5" t="s">
        <v>14580</v>
      </c>
      <c r="V1335" s="5" t="s">
        <v>1937</v>
      </c>
      <c r="W1335" s="5" t="s">
        <v>9481</v>
      </c>
    </row>
    <row r="1336" spans="1:23" ht="12.5">
      <c r="A1336" s="5">
        <v>91840</v>
      </c>
      <c r="B1336" s="5" t="s">
        <v>9483</v>
      </c>
      <c r="C1336" s="5">
        <v>5732768151</v>
      </c>
      <c r="D1336" s="5">
        <v>95</v>
      </c>
      <c r="E1336" s="5" t="s">
        <v>42</v>
      </c>
      <c r="F1336" s="5" t="s">
        <v>33</v>
      </c>
      <c r="G1336" s="5" t="s">
        <v>9483</v>
      </c>
      <c r="H1336" s="5" t="s">
        <v>34</v>
      </c>
      <c r="I1336" s="5">
        <v>32768151</v>
      </c>
      <c r="J1336" s="12">
        <v>46064</v>
      </c>
      <c r="K1336" s="11">
        <v>0</v>
      </c>
      <c r="M1336" s="10" t="s">
        <v>2686</v>
      </c>
      <c r="N1336" s="12">
        <v>46064.761458622685</v>
      </c>
      <c r="O1336" s="10" t="s">
        <v>17824</v>
      </c>
      <c r="P1336" s="5" t="s">
        <v>14571</v>
      </c>
      <c r="Q1336" s="5" t="s">
        <v>14612</v>
      </c>
      <c r="R1336" s="5" t="s">
        <v>17825</v>
      </c>
      <c r="T1336" s="5" t="s">
        <v>14574</v>
      </c>
      <c r="U1336" s="5" t="s">
        <v>33</v>
      </c>
      <c r="V1336" s="5" t="s">
        <v>1705</v>
      </c>
      <c r="W1336" s="5" t="s">
        <v>525</v>
      </c>
    </row>
    <row r="1337" spans="1:23" ht="12.5">
      <c r="A1337" s="5">
        <v>91841</v>
      </c>
      <c r="B1337" s="5" t="s">
        <v>9486</v>
      </c>
      <c r="C1337" s="5">
        <v>574086795988</v>
      </c>
      <c r="D1337" s="5">
        <v>52</v>
      </c>
      <c r="E1337" s="5" t="s">
        <v>178</v>
      </c>
      <c r="F1337" s="5" t="s">
        <v>33</v>
      </c>
      <c r="G1337" s="5" t="s">
        <v>9486</v>
      </c>
      <c r="H1337" s="5" t="s">
        <v>34</v>
      </c>
      <c r="I1337" s="5">
        <v>4086795988</v>
      </c>
      <c r="J1337" s="12">
        <v>46067</v>
      </c>
      <c r="K1337" s="11">
        <v>0.33333333333212067</v>
      </c>
      <c r="M1337" s="10" t="s">
        <v>15161</v>
      </c>
      <c r="N1337" s="12">
        <v>46065.30401670139</v>
      </c>
      <c r="O1337" s="10" t="s">
        <v>17826</v>
      </c>
      <c r="P1337" s="5" t="s">
        <v>14571</v>
      </c>
      <c r="Q1337" s="5" t="s">
        <v>14572</v>
      </c>
      <c r="R1337" s="5" t="s">
        <v>17827</v>
      </c>
      <c r="T1337" s="5" t="s">
        <v>14574</v>
      </c>
      <c r="U1337" s="5" t="s">
        <v>33</v>
      </c>
      <c r="V1337" s="5" t="s">
        <v>43</v>
      </c>
      <c r="W1337" s="5" t="s">
        <v>9487</v>
      </c>
    </row>
    <row r="1338" spans="1:23" ht="12.5">
      <c r="A1338" s="5">
        <v>91842</v>
      </c>
      <c r="B1338" s="5" t="s">
        <v>17828</v>
      </c>
      <c r="C1338" s="10" t="s">
        <v>17829</v>
      </c>
      <c r="D1338" s="5">
        <v>31</v>
      </c>
      <c r="E1338" s="5" t="s">
        <v>375</v>
      </c>
      <c r="F1338" s="5" t="s">
        <v>9166</v>
      </c>
      <c r="G1338" s="5" t="s">
        <v>17830</v>
      </c>
      <c r="H1338" s="5" t="s">
        <v>9491</v>
      </c>
      <c r="I1338" s="5"/>
      <c r="J1338" s="12">
        <v>46065</v>
      </c>
      <c r="K1338" s="11">
        <v>0</v>
      </c>
      <c r="M1338" s="10" t="s">
        <v>15585</v>
      </c>
      <c r="N1338" s="12">
        <v>46065</v>
      </c>
      <c r="O1338" s="10" t="s">
        <v>14911</v>
      </c>
      <c r="P1338" s="5" t="s">
        <v>14571</v>
      </c>
      <c r="Q1338" s="5" t="s">
        <v>14572</v>
      </c>
      <c r="R1338" s="5" t="s">
        <v>17831</v>
      </c>
      <c r="T1338" s="5" t="s">
        <v>5994</v>
      </c>
      <c r="U1338" s="5"/>
      <c r="V1338" s="5" t="s">
        <v>180</v>
      </c>
      <c r="W1338" s="5" t="s">
        <v>9494</v>
      </c>
    </row>
    <row r="1339" spans="1:23" ht="12.5">
      <c r="A1339" s="5">
        <v>91843</v>
      </c>
      <c r="B1339" s="5" t="s">
        <v>17832</v>
      </c>
      <c r="C1339" s="5">
        <v>522226288632</v>
      </c>
      <c r="D1339" s="5">
        <v>18</v>
      </c>
      <c r="E1339" s="5" t="s">
        <v>9199</v>
      </c>
      <c r="F1339" s="5" t="s">
        <v>405</v>
      </c>
      <c r="G1339" s="5" t="s">
        <v>9497</v>
      </c>
      <c r="H1339" s="5" t="s">
        <v>9498</v>
      </c>
      <c r="I1339" s="5"/>
      <c r="J1339" s="12">
        <v>46066</v>
      </c>
      <c r="K1339" s="11">
        <v>0.375</v>
      </c>
      <c r="M1339" s="10" t="s">
        <v>14777</v>
      </c>
      <c r="N1339" s="12">
        <v>46065.103270312495</v>
      </c>
      <c r="O1339" s="10" t="s">
        <v>14583</v>
      </c>
      <c r="P1339" s="5" t="s">
        <v>14571</v>
      </c>
      <c r="Q1339" s="5" t="s">
        <v>14572</v>
      </c>
      <c r="R1339" s="5" t="s">
        <v>17833</v>
      </c>
      <c r="T1339" s="5" t="s">
        <v>5994</v>
      </c>
      <c r="U1339" s="5"/>
      <c r="V1339" s="5" t="s">
        <v>3754</v>
      </c>
      <c r="W1339" s="5" t="s">
        <v>9501</v>
      </c>
    </row>
    <row r="1340" spans="1:23" ht="12.5">
      <c r="A1340" s="5">
        <v>91844</v>
      </c>
      <c r="B1340" s="5" t="s">
        <v>17834</v>
      </c>
      <c r="C1340" s="5">
        <v>573014590985</v>
      </c>
      <c r="D1340" s="5">
        <v>25</v>
      </c>
      <c r="E1340" s="5" t="s">
        <v>1792</v>
      </c>
      <c r="F1340" s="5" t="s">
        <v>892</v>
      </c>
      <c r="G1340" s="5" t="s">
        <v>9502</v>
      </c>
      <c r="H1340" s="5" t="s">
        <v>9503</v>
      </c>
      <c r="I1340" s="5">
        <v>3017552496</v>
      </c>
      <c r="J1340" s="12">
        <v>46065</v>
      </c>
      <c r="K1340" s="11">
        <v>0</v>
      </c>
      <c r="M1340" s="10" t="s">
        <v>14734</v>
      </c>
      <c r="N1340" s="12">
        <v>46065.337684189813</v>
      </c>
      <c r="O1340" s="10" t="s">
        <v>14570</v>
      </c>
      <c r="P1340" s="5" t="s">
        <v>14571</v>
      </c>
      <c r="Q1340" s="5" t="s">
        <v>14578</v>
      </c>
      <c r="R1340" s="5" t="s">
        <v>17835</v>
      </c>
      <c r="T1340" s="5" t="s">
        <v>5994</v>
      </c>
      <c r="U1340" s="5" t="s">
        <v>14593</v>
      </c>
      <c r="V1340" s="5" t="s">
        <v>1481</v>
      </c>
      <c r="W1340" s="5" t="s">
        <v>9506</v>
      </c>
    </row>
    <row r="1341" spans="1:23" ht="12.5">
      <c r="A1341" s="5">
        <v>91845</v>
      </c>
      <c r="B1341" s="5" t="s">
        <v>17836</v>
      </c>
      <c r="C1341" s="10" t="s">
        <v>17837</v>
      </c>
      <c r="D1341" s="5">
        <v>23</v>
      </c>
      <c r="E1341" s="5" t="s">
        <v>9280</v>
      </c>
      <c r="F1341" s="5" t="s">
        <v>63</v>
      </c>
      <c r="G1341" s="5" t="s">
        <v>17838</v>
      </c>
      <c r="H1341" s="5" t="s">
        <v>9509</v>
      </c>
      <c r="I1341" s="5">
        <v>3146649747</v>
      </c>
      <c r="J1341" s="12">
        <v>46066</v>
      </c>
      <c r="K1341" s="11">
        <v>0.45833333333333331</v>
      </c>
      <c r="M1341" s="10" t="s">
        <v>14590</v>
      </c>
      <c r="N1341" s="12">
        <v>46065</v>
      </c>
      <c r="O1341" s="10" t="s">
        <v>15196</v>
      </c>
      <c r="P1341" s="5" t="s">
        <v>14571</v>
      </c>
      <c r="Q1341" s="5" t="s">
        <v>17688</v>
      </c>
      <c r="R1341" s="5" t="s">
        <v>17839</v>
      </c>
      <c r="T1341" s="5" t="s">
        <v>5994</v>
      </c>
      <c r="U1341" s="5" t="s">
        <v>14598</v>
      </c>
      <c r="V1341" s="5" t="s">
        <v>180</v>
      </c>
      <c r="W1341" s="5" t="s">
        <v>9511</v>
      </c>
    </row>
    <row r="1342" spans="1:23" ht="12.5">
      <c r="A1342" s="5">
        <v>91846</v>
      </c>
      <c r="B1342" s="5" t="s">
        <v>17840</v>
      </c>
      <c r="C1342" s="5">
        <v>573023748334</v>
      </c>
      <c r="D1342" s="5">
        <v>29</v>
      </c>
      <c r="E1342" s="5" t="s">
        <v>309</v>
      </c>
      <c r="F1342" s="5" t="s">
        <v>63</v>
      </c>
      <c r="G1342" s="5" t="s">
        <v>9513</v>
      </c>
      <c r="H1342" s="5" t="s">
        <v>9514</v>
      </c>
      <c r="I1342" s="5">
        <v>3008373890</v>
      </c>
      <c r="J1342" s="12">
        <v>46065</v>
      </c>
      <c r="K1342" s="11">
        <v>0.45833333333212067</v>
      </c>
      <c r="M1342" s="10" t="s">
        <v>15179</v>
      </c>
      <c r="N1342" s="12">
        <v>46065.342452025463</v>
      </c>
      <c r="O1342" s="10" t="s">
        <v>16576</v>
      </c>
      <c r="P1342" s="5" t="s">
        <v>14571</v>
      </c>
      <c r="Q1342" s="5" t="s">
        <v>14612</v>
      </c>
      <c r="R1342" s="5" t="s">
        <v>17841</v>
      </c>
      <c r="T1342" s="5" t="s">
        <v>5994</v>
      </c>
      <c r="U1342" s="5" t="s">
        <v>14598</v>
      </c>
      <c r="V1342" s="5" t="s">
        <v>1481</v>
      </c>
      <c r="W1342" s="5" t="s">
        <v>9517</v>
      </c>
    </row>
    <row r="1343" spans="1:23" ht="12.5">
      <c r="A1343" s="5">
        <v>91847</v>
      </c>
      <c r="B1343" s="5" t="s">
        <v>17842</v>
      </c>
      <c r="C1343" s="5">
        <v>34611693613</v>
      </c>
      <c r="D1343" s="5">
        <v>39</v>
      </c>
      <c r="E1343" s="5" t="s">
        <v>96</v>
      </c>
      <c r="F1343" s="5" t="s">
        <v>1317</v>
      </c>
      <c r="G1343" s="5" t="s">
        <v>9518</v>
      </c>
      <c r="H1343" s="5" t="s">
        <v>9519</v>
      </c>
      <c r="I1343" s="5">
        <v>3153625374</v>
      </c>
      <c r="J1343" s="12">
        <v>46066</v>
      </c>
      <c r="K1343" s="11">
        <v>0</v>
      </c>
      <c r="M1343" s="10" t="s">
        <v>15304</v>
      </c>
      <c r="N1343" s="12">
        <v>46064.474257430556</v>
      </c>
      <c r="O1343" s="10" t="s">
        <v>15187</v>
      </c>
      <c r="P1343" s="5" t="s">
        <v>14571</v>
      </c>
      <c r="Q1343" s="5" t="s">
        <v>14572</v>
      </c>
      <c r="R1343" s="5" t="s">
        <v>17843</v>
      </c>
      <c r="T1343" s="5" t="s">
        <v>5994</v>
      </c>
      <c r="U1343" s="5" t="s">
        <v>15349</v>
      </c>
      <c r="V1343" s="5" t="s">
        <v>7644</v>
      </c>
      <c r="W1343" s="5" t="s">
        <v>9494</v>
      </c>
    </row>
    <row r="1344" spans="1:23" ht="12.5">
      <c r="A1344" s="5">
        <v>91848</v>
      </c>
      <c r="B1344" s="5" t="s">
        <v>17842</v>
      </c>
      <c r="C1344" s="5">
        <v>34611693613</v>
      </c>
      <c r="D1344" s="5">
        <v>95</v>
      </c>
      <c r="E1344" s="5" t="s">
        <v>9523</v>
      </c>
      <c r="F1344" s="5"/>
      <c r="G1344" s="5" t="s">
        <v>9518</v>
      </c>
      <c r="H1344" s="5" t="s">
        <v>9522</v>
      </c>
      <c r="I1344" s="5"/>
      <c r="J1344" s="12">
        <v>46066</v>
      </c>
      <c r="K1344" s="11">
        <v>0</v>
      </c>
      <c r="M1344" s="10" t="s">
        <v>14619</v>
      </c>
      <c r="N1344" s="12">
        <v>46064.798322013885</v>
      </c>
      <c r="O1344" s="10" t="s">
        <v>15968</v>
      </c>
      <c r="P1344" s="5" t="s">
        <v>14571</v>
      </c>
      <c r="Q1344" s="5" t="s">
        <v>17688</v>
      </c>
      <c r="R1344" s="5" t="s">
        <v>17844</v>
      </c>
      <c r="T1344" s="5" t="s">
        <v>5994</v>
      </c>
      <c r="U1344" s="5"/>
      <c r="V1344" s="5" t="s">
        <v>7644</v>
      </c>
      <c r="W1344" s="5" t="s">
        <v>9526</v>
      </c>
    </row>
    <row r="1345" spans="1:23" ht="12.5">
      <c r="A1345" s="5">
        <v>91849</v>
      </c>
      <c r="B1345" s="5" t="s">
        <v>17845</v>
      </c>
      <c r="C1345" s="5">
        <v>15196391003</v>
      </c>
      <c r="D1345" s="5" t="s">
        <v>17846</v>
      </c>
      <c r="E1345" s="5" t="s">
        <v>9531</v>
      </c>
      <c r="F1345" s="5" t="s">
        <v>249</v>
      </c>
      <c r="G1345" s="5" t="s">
        <v>8007</v>
      </c>
      <c r="H1345" s="5" t="s">
        <v>9529</v>
      </c>
      <c r="I1345" s="5" t="s">
        <v>9530</v>
      </c>
      <c r="J1345" s="12">
        <v>46066</v>
      </c>
      <c r="K1345" s="11">
        <v>0.375</v>
      </c>
      <c r="M1345" s="10" t="s">
        <v>16675</v>
      </c>
      <c r="N1345" s="12">
        <v>46065.346652210646</v>
      </c>
      <c r="O1345" s="10" t="s">
        <v>15184</v>
      </c>
      <c r="P1345" s="5" t="s">
        <v>14571</v>
      </c>
      <c r="Q1345" s="5" t="s">
        <v>14572</v>
      </c>
      <c r="R1345" s="5" t="s">
        <v>17847</v>
      </c>
      <c r="T1345" s="5" t="s">
        <v>5994</v>
      </c>
      <c r="U1345" s="5" t="s">
        <v>14593</v>
      </c>
      <c r="V1345" s="5" t="s">
        <v>3754</v>
      </c>
      <c r="W1345" s="5" t="s">
        <v>9533</v>
      </c>
    </row>
    <row r="1346" spans="1:23" ht="12.5">
      <c r="A1346" s="5">
        <v>91850</v>
      </c>
      <c r="B1346" s="5" t="s">
        <v>17848</v>
      </c>
      <c r="C1346" s="5">
        <v>573002602124</v>
      </c>
      <c r="D1346" s="5">
        <v>34</v>
      </c>
      <c r="E1346" s="5" t="s">
        <v>1597</v>
      </c>
      <c r="F1346" s="5" t="s">
        <v>103</v>
      </c>
      <c r="G1346" s="5" t="s">
        <v>9535</v>
      </c>
      <c r="H1346" s="5" t="s">
        <v>9536</v>
      </c>
      <c r="I1346" s="5" t="s">
        <v>9537</v>
      </c>
      <c r="J1346" s="12">
        <v>46065</v>
      </c>
      <c r="K1346" s="11">
        <v>0</v>
      </c>
      <c r="M1346" s="10" t="s">
        <v>17849</v>
      </c>
      <c r="N1346" s="12">
        <v>46065.358653761577</v>
      </c>
      <c r="O1346" s="10" t="s">
        <v>15180</v>
      </c>
      <c r="P1346" s="5" t="s">
        <v>14571</v>
      </c>
      <c r="Q1346" s="5" t="s">
        <v>14572</v>
      </c>
      <c r="R1346" s="5" t="s">
        <v>17850</v>
      </c>
      <c r="T1346" s="5" t="s">
        <v>5994</v>
      </c>
      <c r="U1346" s="5" t="s">
        <v>14593</v>
      </c>
      <c r="V1346" s="5" t="s">
        <v>1481</v>
      </c>
      <c r="W1346" s="5" t="s">
        <v>9540</v>
      </c>
    </row>
    <row r="1347" spans="1:23" ht="12.5">
      <c r="A1347" s="5">
        <v>91851</v>
      </c>
      <c r="B1347" s="5" t="s">
        <v>17851</v>
      </c>
      <c r="C1347" s="5">
        <v>573196708854</v>
      </c>
      <c r="D1347" s="5">
        <v>7</v>
      </c>
      <c r="E1347" s="5" t="s">
        <v>9546</v>
      </c>
      <c r="F1347" s="5" t="s">
        <v>63</v>
      </c>
      <c r="G1347" s="5" t="s">
        <v>9543</v>
      </c>
      <c r="H1347" s="5" t="s">
        <v>9544</v>
      </c>
      <c r="I1347" s="5" t="s">
        <v>9545</v>
      </c>
      <c r="J1347" s="12">
        <v>46066</v>
      </c>
      <c r="K1347" s="11">
        <v>0</v>
      </c>
      <c r="M1347" s="10" t="s">
        <v>17852</v>
      </c>
      <c r="N1347" s="12">
        <v>46065.382760312496</v>
      </c>
      <c r="O1347" s="10" t="s">
        <v>16757</v>
      </c>
      <c r="P1347" s="5" t="s">
        <v>14571</v>
      </c>
      <c r="Q1347" s="5" t="s">
        <v>17404</v>
      </c>
      <c r="R1347" s="5" t="s">
        <v>17853</v>
      </c>
      <c r="T1347" s="5" t="s">
        <v>5994</v>
      </c>
      <c r="U1347" s="5" t="s">
        <v>14598</v>
      </c>
      <c r="V1347" s="5" t="s">
        <v>7644</v>
      </c>
      <c r="W1347" s="5"/>
    </row>
    <row r="1348" spans="1:23" ht="12.5">
      <c r="A1348" s="5">
        <v>91852</v>
      </c>
      <c r="B1348" s="5" t="s">
        <v>17854</v>
      </c>
      <c r="C1348" s="5">
        <v>436769176623</v>
      </c>
      <c r="D1348" s="5">
        <v>2</v>
      </c>
      <c r="E1348" s="5" t="s">
        <v>9238</v>
      </c>
      <c r="F1348" s="5" t="s">
        <v>1595</v>
      </c>
      <c r="G1348" s="5" t="s">
        <v>9551</v>
      </c>
      <c r="H1348" s="5" t="s">
        <v>9552</v>
      </c>
      <c r="I1348" s="5"/>
      <c r="J1348" s="12">
        <v>46066</v>
      </c>
      <c r="K1348" s="11">
        <v>0.33333333333212067</v>
      </c>
      <c r="M1348" s="10" t="s">
        <v>15420</v>
      </c>
      <c r="N1348" s="12">
        <v>46065.389995104168</v>
      </c>
      <c r="O1348" s="10" t="s">
        <v>15755</v>
      </c>
      <c r="P1348" s="5" t="s">
        <v>14571</v>
      </c>
      <c r="Q1348" s="5" t="s">
        <v>17688</v>
      </c>
      <c r="R1348" s="5" t="s">
        <v>17855</v>
      </c>
      <c r="T1348" s="5" t="s">
        <v>5994</v>
      </c>
      <c r="U1348" s="5" t="s">
        <v>14580</v>
      </c>
      <c r="V1348" s="5" t="s">
        <v>1937</v>
      </c>
      <c r="W1348" s="5"/>
    </row>
    <row r="1349" spans="1:23" ht="12.5">
      <c r="A1349" s="5">
        <v>91853</v>
      </c>
      <c r="B1349" s="5" t="s">
        <v>17856</v>
      </c>
      <c r="C1349" s="5">
        <v>573105101033</v>
      </c>
      <c r="D1349" s="5">
        <v>52</v>
      </c>
      <c r="E1349" s="5" t="s">
        <v>6874</v>
      </c>
      <c r="F1349" s="5" t="s">
        <v>9556</v>
      </c>
      <c r="G1349" s="5" t="s">
        <v>9555</v>
      </c>
      <c r="H1349" s="5" t="s">
        <v>9557</v>
      </c>
      <c r="I1349" s="5">
        <v>3104664144</v>
      </c>
      <c r="J1349" s="12">
        <v>46067</v>
      </c>
      <c r="K1349" s="11">
        <v>0</v>
      </c>
      <c r="M1349" s="10" t="s">
        <v>17030</v>
      </c>
      <c r="N1349" s="12">
        <v>46065.387788599532</v>
      </c>
      <c r="O1349" s="10" t="s">
        <v>16186</v>
      </c>
      <c r="P1349" s="5" t="s">
        <v>14571</v>
      </c>
      <c r="Q1349" s="5" t="s">
        <v>14612</v>
      </c>
      <c r="R1349" s="5" t="s">
        <v>17855</v>
      </c>
      <c r="T1349" s="5" t="s">
        <v>5994</v>
      </c>
      <c r="U1349" s="5" t="s">
        <v>14580</v>
      </c>
      <c r="V1349" s="5" t="s">
        <v>7644</v>
      </c>
      <c r="W1349" s="5" t="s">
        <v>9560</v>
      </c>
    </row>
    <row r="1350" spans="1:23" ht="12.5">
      <c r="A1350" s="5">
        <v>91854</v>
      </c>
      <c r="B1350" s="5" t="s">
        <v>17648</v>
      </c>
      <c r="C1350" s="10" t="s">
        <v>17857</v>
      </c>
      <c r="D1350" s="5">
        <v>81</v>
      </c>
      <c r="E1350" s="5" t="s">
        <v>9563</v>
      </c>
      <c r="F1350" s="5"/>
      <c r="G1350" s="5" t="s">
        <v>9561</v>
      </c>
      <c r="H1350" s="5" t="s">
        <v>9562</v>
      </c>
      <c r="I1350" s="5"/>
      <c r="J1350" s="12">
        <v>46065</v>
      </c>
      <c r="K1350" s="11">
        <v>0</v>
      </c>
      <c r="M1350" s="10" t="s">
        <v>15352</v>
      </c>
      <c r="N1350" s="12">
        <v>46065</v>
      </c>
      <c r="O1350" s="10" t="s">
        <v>17858</v>
      </c>
      <c r="P1350" s="5" t="s">
        <v>14571</v>
      </c>
      <c r="Q1350" s="5" t="s">
        <v>14578</v>
      </c>
      <c r="R1350" s="5" t="s">
        <v>17859</v>
      </c>
      <c r="T1350" s="5" t="s">
        <v>5994</v>
      </c>
      <c r="U1350" s="5"/>
      <c r="V1350" s="5" t="s">
        <v>7644</v>
      </c>
      <c r="W1350" s="5" t="s">
        <v>9564</v>
      </c>
    </row>
    <row r="1351" spans="1:23" ht="12.5">
      <c r="A1351" s="5">
        <v>91855</v>
      </c>
      <c r="B1351" s="5" t="s">
        <v>17860</v>
      </c>
      <c r="C1351" s="5">
        <v>573127526260</v>
      </c>
      <c r="D1351" s="5">
        <v>31</v>
      </c>
      <c r="E1351" s="5" t="s">
        <v>375</v>
      </c>
      <c r="F1351" s="5" t="s">
        <v>307</v>
      </c>
      <c r="G1351" s="5" t="s">
        <v>9565</v>
      </c>
      <c r="H1351" s="5" t="s">
        <v>9566</v>
      </c>
      <c r="I1351" s="5"/>
      <c r="J1351" s="12">
        <v>46065</v>
      </c>
      <c r="K1351" s="11">
        <v>0</v>
      </c>
      <c r="M1351" s="10" t="s">
        <v>14627</v>
      </c>
      <c r="N1351" s="12">
        <v>46065.402382418979</v>
      </c>
      <c r="O1351" s="10" t="s">
        <v>17861</v>
      </c>
      <c r="P1351" s="5" t="s">
        <v>14571</v>
      </c>
      <c r="Q1351" s="5" t="s">
        <v>14578</v>
      </c>
      <c r="R1351" s="5" t="s">
        <v>17862</v>
      </c>
      <c r="T1351" s="5" t="s">
        <v>5994</v>
      </c>
      <c r="U1351" s="5" t="s">
        <v>14618</v>
      </c>
      <c r="V1351" s="5" t="s">
        <v>67</v>
      </c>
      <c r="W1351" s="5"/>
    </row>
    <row r="1352" spans="1:23" ht="12.5">
      <c r="A1352" s="5">
        <v>91856</v>
      </c>
      <c r="B1352" s="5" t="s">
        <v>16683</v>
      </c>
      <c r="C1352" s="10" t="s">
        <v>17863</v>
      </c>
      <c r="D1352" s="5">
        <v>5</v>
      </c>
      <c r="E1352" s="5" t="s">
        <v>9571</v>
      </c>
      <c r="F1352" s="5" t="s">
        <v>249</v>
      </c>
      <c r="G1352" s="5" t="s">
        <v>9569</v>
      </c>
      <c r="H1352" s="5" t="s">
        <v>9570</v>
      </c>
      <c r="I1352" s="5">
        <v>3004911979</v>
      </c>
      <c r="J1352" s="12">
        <v>46066</v>
      </c>
      <c r="K1352" s="11">
        <v>0.45833333333333331</v>
      </c>
      <c r="M1352" s="10" t="s">
        <v>10581</v>
      </c>
      <c r="N1352" s="12">
        <v>46065</v>
      </c>
      <c r="O1352" s="10" t="s">
        <v>14665</v>
      </c>
      <c r="P1352" s="5" t="s">
        <v>14571</v>
      </c>
      <c r="Q1352" s="5" t="s">
        <v>14612</v>
      </c>
      <c r="R1352" s="5" t="s">
        <v>17864</v>
      </c>
      <c r="T1352" s="5" t="s">
        <v>5994</v>
      </c>
      <c r="U1352" s="5" t="s">
        <v>14593</v>
      </c>
      <c r="V1352" s="5" t="s">
        <v>1937</v>
      </c>
      <c r="W1352" s="5" t="s">
        <v>9573</v>
      </c>
    </row>
    <row r="1353" spans="1:23" ht="12.5">
      <c r="A1353" s="5">
        <v>91857</v>
      </c>
      <c r="B1353" s="5" t="s">
        <v>17865</v>
      </c>
      <c r="C1353" s="5">
        <v>573004889263</v>
      </c>
      <c r="D1353" s="5">
        <v>53</v>
      </c>
      <c r="E1353" s="5" t="s">
        <v>9576</v>
      </c>
      <c r="F1353" s="5" t="s">
        <v>73</v>
      </c>
      <c r="G1353" s="5" t="s">
        <v>9574</v>
      </c>
      <c r="H1353" s="5" t="s">
        <v>9575</v>
      </c>
      <c r="I1353" s="5">
        <v>3107379953</v>
      </c>
      <c r="J1353" s="12">
        <v>46066</v>
      </c>
      <c r="K1353" s="11">
        <v>0.45833333333212067</v>
      </c>
      <c r="M1353" s="10" t="s">
        <v>15064</v>
      </c>
      <c r="N1353" s="12">
        <v>46065.420142152783</v>
      </c>
      <c r="O1353" s="10" t="s">
        <v>14663</v>
      </c>
      <c r="P1353" s="5" t="s">
        <v>14571</v>
      </c>
      <c r="Q1353" s="5" t="s">
        <v>17688</v>
      </c>
      <c r="R1353" s="5" t="s">
        <v>17866</v>
      </c>
      <c r="T1353" s="5" t="s">
        <v>5994</v>
      </c>
      <c r="U1353" s="5" t="s">
        <v>14593</v>
      </c>
      <c r="V1353" s="5" t="s">
        <v>7644</v>
      </c>
      <c r="W1353" s="5"/>
    </row>
    <row r="1354" spans="1:23" ht="12.5">
      <c r="A1354" s="5">
        <v>91858</v>
      </c>
      <c r="B1354" s="5" t="s">
        <v>17867</v>
      </c>
      <c r="C1354" s="10" t="s">
        <v>17868</v>
      </c>
      <c r="D1354" s="5">
        <v>52</v>
      </c>
      <c r="E1354" s="5" t="s">
        <v>6874</v>
      </c>
      <c r="F1354" s="5" t="s">
        <v>9581</v>
      </c>
      <c r="G1354" s="5" t="s">
        <v>17869</v>
      </c>
      <c r="H1354" s="5" t="s">
        <v>9582</v>
      </c>
      <c r="I1354" s="5" t="s">
        <v>9583</v>
      </c>
      <c r="J1354" s="12">
        <v>46066</v>
      </c>
      <c r="K1354" s="11">
        <v>0</v>
      </c>
      <c r="M1354" s="10" t="s">
        <v>15656</v>
      </c>
      <c r="N1354" s="12">
        <v>46065</v>
      </c>
      <c r="O1354" s="10" t="s">
        <v>14893</v>
      </c>
      <c r="P1354" s="5" t="s">
        <v>14571</v>
      </c>
      <c r="Q1354" s="5" t="s">
        <v>17688</v>
      </c>
      <c r="R1354" s="5" t="s">
        <v>17870</v>
      </c>
      <c r="T1354" s="5" t="s">
        <v>5994</v>
      </c>
      <c r="U1354" s="5" t="s">
        <v>14580</v>
      </c>
      <c r="V1354" s="5" t="s">
        <v>7644</v>
      </c>
      <c r="W1354" s="5"/>
    </row>
    <row r="1355" spans="1:23" ht="12.5">
      <c r="A1355" s="5">
        <v>91859</v>
      </c>
      <c r="B1355" s="5" t="s">
        <v>9591</v>
      </c>
      <c r="C1355" s="5">
        <v>573016913734</v>
      </c>
      <c r="D1355" s="5">
        <v>52</v>
      </c>
      <c r="E1355" s="5" t="s">
        <v>178</v>
      </c>
      <c r="F1355" s="5" t="s">
        <v>110</v>
      </c>
      <c r="G1355" s="5" t="s">
        <v>9588</v>
      </c>
      <c r="H1355" s="5" t="s">
        <v>9589</v>
      </c>
      <c r="I1355" s="5"/>
      <c r="J1355" s="12">
        <v>46067</v>
      </c>
      <c r="K1355" s="11">
        <v>0.45833333333212067</v>
      </c>
      <c r="M1355" s="10" t="s">
        <v>15569</v>
      </c>
      <c r="N1355" s="12">
        <v>46065.412688124998</v>
      </c>
      <c r="O1355" s="10" t="s">
        <v>14893</v>
      </c>
      <c r="P1355" s="5" t="s">
        <v>14571</v>
      </c>
      <c r="Q1355" s="5" t="s">
        <v>14572</v>
      </c>
      <c r="R1355" s="5" t="s">
        <v>17871</v>
      </c>
      <c r="T1355" s="5" t="s">
        <v>5994</v>
      </c>
      <c r="U1355" s="5" t="s">
        <v>14593</v>
      </c>
      <c r="V1355" s="5" t="s">
        <v>7644</v>
      </c>
      <c r="W1355" s="5" t="s">
        <v>9592</v>
      </c>
    </row>
    <row r="1356" spans="1:23" ht="12.5">
      <c r="A1356" s="5">
        <v>91860</v>
      </c>
      <c r="B1356" s="5" t="s">
        <v>4906</v>
      </c>
      <c r="C1356" s="5">
        <v>573183607759</v>
      </c>
      <c r="D1356" s="5">
        <v>95</v>
      </c>
      <c r="E1356" s="5" t="s">
        <v>42</v>
      </c>
      <c r="F1356" s="5" t="s">
        <v>33</v>
      </c>
      <c r="G1356" s="5" t="s">
        <v>4906</v>
      </c>
      <c r="H1356" s="5" t="s">
        <v>34</v>
      </c>
      <c r="I1356" s="5">
        <v>3183607759</v>
      </c>
      <c r="J1356" s="12">
        <v>46065</v>
      </c>
      <c r="K1356" s="11">
        <v>0</v>
      </c>
      <c r="M1356" s="10" t="s">
        <v>14619</v>
      </c>
      <c r="N1356" s="12">
        <v>46065.446436261569</v>
      </c>
      <c r="O1356" s="10" t="s">
        <v>17872</v>
      </c>
      <c r="P1356" s="5" t="s">
        <v>14571</v>
      </c>
      <c r="Q1356" s="5" t="s">
        <v>17404</v>
      </c>
      <c r="R1356" s="5" t="s">
        <v>17873</v>
      </c>
      <c r="T1356" s="5" t="s">
        <v>14574</v>
      </c>
      <c r="U1356" s="5" t="s">
        <v>33</v>
      </c>
      <c r="V1356" s="5" t="s">
        <v>1705</v>
      </c>
      <c r="W1356" s="5" t="s">
        <v>9593</v>
      </c>
    </row>
    <row r="1357" spans="1:23" ht="12.5">
      <c r="A1357" s="5">
        <v>91861</v>
      </c>
      <c r="B1357" s="5" t="s">
        <v>9595</v>
      </c>
      <c r="C1357" s="5">
        <v>330750389847</v>
      </c>
      <c r="D1357" s="5">
        <v>62</v>
      </c>
      <c r="E1357" s="5" t="s">
        <v>2586</v>
      </c>
      <c r="F1357" s="5" t="s">
        <v>2090</v>
      </c>
      <c r="G1357" s="5" t="s">
        <v>9595</v>
      </c>
      <c r="H1357" s="5" t="s">
        <v>9596</v>
      </c>
      <c r="I1357" s="5" t="s">
        <v>9597</v>
      </c>
      <c r="J1357" s="12">
        <v>46067</v>
      </c>
      <c r="K1357" s="11">
        <v>0.375</v>
      </c>
      <c r="M1357" s="10" t="s">
        <v>14712</v>
      </c>
      <c r="N1357" s="12">
        <v>46065.429782129635</v>
      </c>
      <c r="O1357" s="10" t="s">
        <v>17177</v>
      </c>
      <c r="P1357" s="5" t="s">
        <v>14571</v>
      </c>
      <c r="Q1357" s="5" t="s">
        <v>14578</v>
      </c>
      <c r="R1357" s="5" t="s">
        <v>17874</v>
      </c>
      <c r="T1357" s="5" t="s">
        <v>5994</v>
      </c>
      <c r="U1357" s="5" t="s">
        <v>14618</v>
      </c>
      <c r="V1357" s="5" t="s">
        <v>1937</v>
      </c>
      <c r="W1357" s="5" t="s">
        <v>9600</v>
      </c>
    </row>
    <row r="1358" spans="1:23" ht="12.5">
      <c r="A1358" s="5">
        <v>91862</v>
      </c>
      <c r="B1358" s="5" t="s">
        <v>1337</v>
      </c>
      <c r="C1358" s="5">
        <v>573158853901</v>
      </c>
      <c r="D1358" s="5">
        <v>95</v>
      </c>
      <c r="E1358" s="5" t="s">
        <v>42</v>
      </c>
      <c r="F1358" s="5" t="s">
        <v>33</v>
      </c>
      <c r="G1358" s="5" t="s">
        <v>1337</v>
      </c>
      <c r="H1358" s="5" t="s">
        <v>34</v>
      </c>
      <c r="I1358" s="5">
        <v>3158853901</v>
      </c>
      <c r="J1358" s="12">
        <v>46065</v>
      </c>
      <c r="K1358" s="11">
        <v>0</v>
      </c>
      <c r="M1358" s="10" t="s">
        <v>16222</v>
      </c>
      <c r="N1358" s="12">
        <v>46065.465470162038</v>
      </c>
      <c r="O1358" s="10" t="s">
        <v>15158</v>
      </c>
      <c r="P1358" s="5" t="s">
        <v>14571</v>
      </c>
      <c r="Q1358" s="5" t="s">
        <v>14572</v>
      </c>
      <c r="R1358" s="5" t="s">
        <v>17875</v>
      </c>
      <c r="T1358" s="5" t="s">
        <v>14574</v>
      </c>
      <c r="U1358" s="5" t="s">
        <v>33</v>
      </c>
      <c r="V1358" s="5" t="s">
        <v>67</v>
      </c>
      <c r="W1358" s="5" t="s">
        <v>525</v>
      </c>
    </row>
    <row r="1359" spans="1:23" ht="12.5">
      <c r="A1359" s="5">
        <v>91863</v>
      </c>
      <c r="B1359" s="5" t="s">
        <v>17876</v>
      </c>
      <c r="C1359" s="5">
        <v>34601236087</v>
      </c>
      <c r="D1359" s="5">
        <v>52</v>
      </c>
      <c r="E1359" s="5" t="s">
        <v>6874</v>
      </c>
      <c r="F1359" s="5" t="s">
        <v>79</v>
      </c>
      <c r="G1359" s="5" t="s">
        <v>9603</v>
      </c>
      <c r="H1359" s="5" t="s">
        <v>9604</v>
      </c>
      <c r="I1359" s="5"/>
      <c r="J1359" s="12">
        <v>46066</v>
      </c>
      <c r="K1359" s="11">
        <v>0.45833333333212067</v>
      </c>
      <c r="M1359" s="10" t="s">
        <v>10581</v>
      </c>
      <c r="N1359" s="12">
        <v>46065.466198101851</v>
      </c>
      <c r="O1359" s="10" t="s">
        <v>14886</v>
      </c>
      <c r="P1359" s="5" t="s">
        <v>14571</v>
      </c>
      <c r="Q1359" s="5" t="s">
        <v>14578</v>
      </c>
      <c r="R1359" s="5" t="s">
        <v>17877</v>
      </c>
      <c r="T1359" s="5" t="s">
        <v>5994</v>
      </c>
      <c r="U1359" s="5" t="s">
        <v>14593</v>
      </c>
      <c r="V1359" s="5" t="s">
        <v>7644</v>
      </c>
      <c r="W1359" s="5"/>
    </row>
    <row r="1360" spans="1:23" ht="12.5">
      <c r="A1360" s="5">
        <v>91864</v>
      </c>
      <c r="B1360" s="5" t="s">
        <v>17878</v>
      </c>
      <c r="C1360" s="5">
        <v>573213605075</v>
      </c>
      <c r="D1360" s="5">
        <v>52</v>
      </c>
      <c r="E1360" s="5" t="s">
        <v>178</v>
      </c>
      <c r="F1360" s="5" t="s">
        <v>185</v>
      </c>
      <c r="G1360" s="5" t="s">
        <v>9609</v>
      </c>
      <c r="H1360" s="5" t="s">
        <v>9610</v>
      </c>
      <c r="I1360" s="5"/>
      <c r="J1360" s="12">
        <v>46065</v>
      </c>
      <c r="K1360" s="11">
        <v>0.10416666666787933</v>
      </c>
      <c r="M1360" s="10" t="s">
        <v>15043</v>
      </c>
      <c r="N1360" s="12">
        <v>46065.499431678239</v>
      </c>
      <c r="O1360" s="10" t="s">
        <v>17126</v>
      </c>
      <c r="P1360" s="5" t="s">
        <v>14571</v>
      </c>
      <c r="Q1360" s="5" t="s">
        <v>17423</v>
      </c>
      <c r="R1360" s="5" t="s">
        <v>17879</v>
      </c>
      <c r="T1360" s="5" t="s">
        <v>5994</v>
      </c>
      <c r="U1360" s="5" t="s">
        <v>14580</v>
      </c>
      <c r="V1360" s="5" t="s">
        <v>67</v>
      </c>
      <c r="W1360" s="5" t="s">
        <v>9612</v>
      </c>
    </row>
    <row r="1361" spans="1:23" ht="12.5">
      <c r="A1361" s="5">
        <v>91865</v>
      </c>
      <c r="B1361" s="5" t="s">
        <v>1670</v>
      </c>
      <c r="C1361" s="10" t="s">
        <v>17880</v>
      </c>
      <c r="D1361" s="5">
        <v>21</v>
      </c>
      <c r="E1361" s="5" t="s">
        <v>330</v>
      </c>
      <c r="F1361" s="5" t="s">
        <v>5574</v>
      </c>
      <c r="G1361" s="5" t="s">
        <v>9613</v>
      </c>
      <c r="H1361" s="5" t="s">
        <v>9614</v>
      </c>
      <c r="I1361" s="5">
        <v>3008307176</v>
      </c>
      <c r="J1361" s="12">
        <v>46066</v>
      </c>
      <c r="K1361" s="11">
        <v>0.33333333333333331</v>
      </c>
      <c r="M1361" s="10" t="s">
        <v>14777</v>
      </c>
      <c r="N1361" s="12">
        <v>46065.508638912041</v>
      </c>
      <c r="O1361" s="10" t="s">
        <v>15849</v>
      </c>
      <c r="P1361" s="5" t="s">
        <v>14571</v>
      </c>
      <c r="Q1361" s="5" t="s">
        <v>14578</v>
      </c>
      <c r="R1361" s="5" t="s">
        <v>17881</v>
      </c>
      <c r="T1361" s="5" t="s">
        <v>5994</v>
      </c>
      <c r="U1361" s="5" t="s">
        <v>14593</v>
      </c>
      <c r="V1361" s="5" t="s">
        <v>7644</v>
      </c>
      <c r="W1361" s="5" t="s">
        <v>9612</v>
      </c>
    </row>
    <row r="1362" spans="1:23" ht="12.5">
      <c r="A1362" s="5">
        <v>91866</v>
      </c>
      <c r="B1362" s="5" t="s">
        <v>9618</v>
      </c>
      <c r="C1362" s="10" t="s">
        <v>17882</v>
      </c>
      <c r="D1362" s="5">
        <v>95</v>
      </c>
      <c r="E1362" s="5" t="s">
        <v>42</v>
      </c>
      <c r="F1362" s="5" t="s">
        <v>33</v>
      </c>
      <c r="G1362" s="5" t="s">
        <v>9618</v>
      </c>
      <c r="H1362" s="5" t="s">
        <v>34</v>
      </c>
      <c r="I1362" s="5"/>
      <c r="J1362" s="12">
        <v>46065</v>
      </c>
      <c r="K1362" s="11">
        <v>0</v>
      </c>
      <c r="M1362" s="10" t="s">
        <v>16519</v>
      </c>
      <c r="N1362" s="12">
        <v>46065</v>
      </c>
      <c r="O1362" s="10" t="s">
        <v>15141</v>
      </c>
      <c r="P1362" s="5" t="s">
        <v>14571</v>
      </c>
      <c r="Q1362" s="5" t="s">
        <v>17688</v>
      </c>
      <c r="R1362" s="5" t="s">
        <v>17883</v>
      </c>
      <c r="T1362" s="5" t="s">
        <v>14574</v>
      </c>
      <c r="U1362" s="5" t="s">
        <v>33</v>
      </c>
      <c r="V1362" s="5" t="s">
        <v>196</v>
      </c>
      <c r="W1362" s="5" t="s">
        <v>9619</v>
      </c>
    </row>
    <row r="1363" spans="1:23" ht="12.5">
      <c r="A1363" s="5">
        <v>91867</v>
      </c>
      <c r="B1363" s="5" t="s">
        <v>17884</v>
      </c>
      <c r="C1363" s="5">
        <v>573148310460</v>
      </c>
      <c r="D1363" s="5">
        <v>18</v>
      </c>
      <c r="E1363" s="5" t="s">
        <v>9199</v>
      </c>
      <c r="F1363" s="5"/>
      <c r="G1363" s="5" t="s">
        <v>9621</v>
      </c>
      <c r="H1363" s="5" t="s">
        <v>41</v>
      </c>
      <c r="I1363" s="5">
        <v>3148310460</v>
      </c>
      <c r="J1363" s="12">
        <v>46067</v>
      </c>
      <c r="K1363" s="11">
        <v>0.33333333333212067</v>
      </c>
      <c r="M1363" s="10" t="s">
        <v>14740</v>
      </c>
      <c r="N1363" s="12">
        <v>46065.505720752313</v>
      </c>
      <c r="O1363" s="10" t="s">
        <v>15853</v>
      </c>
      <c r="P1363" s="5" t="s">
        <v>14571</v>
      </c>
      <c r="Q1363" s="5" t="s">
        <v>14578</v>
      </c>
      <c r="R1363" s="5" t="s">
        <v>17885</v>
      </c>
      <c r="T1363" s="5" t="s">
        <v>5994</v>
      </c>
      <c r="U1363" s="5"/>
      <c r="V1363" s="5" t="s">
        <v>7644</v>
      </c>
      <c r="W1363" s="5" t="s">
        <v>9612</v>
      </c>
    </row>
    <row r="1364" spans="1:23" ht="12.5">
      <c r="A1364" s="5">
        <v>91869</v>
      </c>
      <c r="B1364" s="5" t="s">
        <v>17886</v>
      </c>
      <c r="C1364" s="5">
        <v>573016890959</v>
      </c>
      <c r="D1364" s="5" t="s">
        <v>17887</v>
      </c>
      <c r="E1364" s="5" t="s">
        <v>9630</v>
      </c>
      <c r="F1364" s="5" t="s">
        <v>154</v>
      </c>
      <c r="G1364" s="5" t="s">
        <v>9628</v>
      </c>
      <c r="H1364" s="5" t="s">
        <v>9629</v>
      </c>
      <c r="I1364" s="5">
        <v>3003903227</v>
      </c>
      <c r="J1364" s="12">
        <v>46065</v>
      </c>
      <c r="K1364" s="11">
        <v>0.10416666666787933</v>
      </c>
      <c r="M1364" s="10" t="s">
        <v>16429</v>
      </c>
      <c r="N1364" s="12">
        <v>46065.524628171297</v>
      </c>
      <c r="O1364" s="10" t="s">
        <v>16302</v>
      </c>
      <c r="P1364" s="5" t="s">
        <v>14571</v>
      </c>
      <c r="Q1364" s="5" t="s">
        <v>17423</v>
      </c>
      <c r="R1364" s="5" t="s">
        <v>17888</v>
      </c>
      <c r="T1364" s="5" t="s">
        <v>5994</v>
      </c>
      <c r="U1364" s="5" t="s">
        <v>14593</v>
      </c>
      <c r="V1364" s="5" t="s">
        <v>67</v>
      </c>
      <c r="W1364" s="5" t="s">
        <v>9612</v>
      </c>
    </row>
    <row r="1365" spans="1:23" ht="12.5">
      <c r="A1365" s="5">
        <v>91870</v>
      </c>
      <c r="B1365" s="5" t="s">
        <v>17889</v>
      </c>
      <c r="C1365" s="5">
        <v>14127309645</v>
      </c>
      <c r="D1365" s="5">
        <v>10</v>
      </c>
      <c r="E1365" s="5" t="s">
        <v>6874</v>
      </c>
      <c r="F1365" s="5" t="s">
        <v>9581</v>
      </c>
      <c r="G1365" s="5" t="s">
        <v>9635</v>
      </c>
      <c r="H1365" s="5" t="s">
        <v>9636</v>
      </c>
      <c r="I1365" s="5"/>
      <c r="J1365" s="12">
        <v>46066</v>
      </c>
      <c r="K1365" s="11">
        <v>0</v>
      </c>
      <c r="M1365" s="10" t="s">
        <v>15656</v>
      </c>
      <c r="N1365" s="12">
        <v>46065.540962615742</v>
      </c>
      <c r="O1365" s="10" t="s">
        <v>15861</v>
      </c>
      <c r="P1365" s="5" t="s">
        <v>14571</v>
      </c>
      <c r="Q1365" s="5" t="s">
        <v>17423</v>
      </c>
      <c r="R1365" s="5" t="s">
        <v>17890</v>
      </c>
      <c r="T1365" s="5" t="s">
        <v>5994</v>
      </c>
      <c r="U1365" s="5" t="s">
        <v>14580</v>
      </c>
      <c r="V1365" s="5" t="s">
        <v>7644</v>
      </c>
      <c r="W1365" s="5" t="s">
        <v>9639</v>
      </c>
    </row>
    <row r="1366" spans="1:23" ht="12.5">
      <c r="A1366" s="5">
        <v>91871</v>
      </c>
      <c r="B1366" s="5" t="s">
        <v>6150</v>
      </c>
      <c r="C1366" s="5">
        <v>573017255296</v>
      </c>
      <c r="D1366" s="5">
        <v>23</v>
      </c>
      <c r="E1366" s="5" t="s">
        <v>9280</v>
      </c>
      <c r="F1366" s="5" t="s">
        <v>249</v>
      </c>
      <c r="G1366" s="5" t="s">
        <v>9640</v>
      </c>
      <c r="H1366" s="5" t="s">
        <v>9641</v>
      </c>
      <c r="I1366" s="5"/>
      <c r="J1366" s="12">
        <v>46066</v>
      </c>
      <c r="K1366" s="11">
        <v>0</v>
      </c>
      <c r="M1366" s="10" t="s">
        <v>15179</v>
      </c>
      <c r="N1366" s="12">
        <v>46065.547540127314</v>
      </c>
      <c r="O1366" s="10" t="s">
        <v>15789</v>
      </c>
      <c r="P1366" s="5" t="s">
        <v>14571</v>
      </c>
      <c r="Q1366" s="5" t="s">
        <v>14578</v>
      </c>
      <c r="R1366" s="5" t="s">
        <v>17891</v>
      </c>
      <c r="T1366" s="5" t="s">
        <v>5994</v>
      </c>
      <c r="U1366" s="5" t="s">
        <v>14593</v>
      </c>
      <c r="V1366" s="5" t="s">
        <v>7644</v>
      </c>
      <c r="W1366" s="5" t="s">
        <v>9600</v>
      </c>
    </row>
    <row r="1367" spans="1:23" ht="12.5">
      <c r="A1367" s="5">
        <v>91872</v>
      </c>
      <c r="B1367" s="5" t="s">
        <v>17892</v>
      </c>
      <c r="C1367" s="10" t="s">
        <v>17893</v>
      </c>
      <c r="D1367" s="5">
        <v>7</v>
      </c>
      <c r="E1367" s="5" t="s">
        <v>9546</v>
      </c>
      <c r="F1367" s="5" t="s">
        <v>73</v>
      </c>
      <c r="G1367" s="5" t="s">
        <v>17894</v>
      </c>
      <c r="H1367" s="5" t="s">
        <v>9646</v>
      </c>
      <c r="I1367" s="5">
        <v>3103504315</v>
      </c>
      <c r="J1367" s="12">
        <v>46066</v>
      </c>
      <c r="K1367" s="11">
        <v>0.375</v>
      </c>
      <c r="M1367" s="10" t="s">
        <v>15925</v>
      </c>
      <c r="N1367" s="12">
        <v>46065</v>
      </c>
      <c r="O1367" s="10" t="s">
        <v>14727</v>
      </c>
      <c r="P1367" s="5" t="s">
        <v>14571</v>
      </c>
      <c r="Q1367" s="5" t="s">
        <v>14578</v>
      </c>
      <c r="R1367" s="5" t="s">
        <v>17895</v>
      </c>
      <c r="T1367" s="5" t="s">
        <v>5994</v>
      </c>
      <c r="U1367" s="5" t="s">
        <v>14593</v>
      </c>
      <c r="V1367" s="5" t="s">
        <v>7644</v>
      </c>
      <c r="W1367" s="5" t="s">
        <v>9612</v>
      </c>
    </row>
    <row r="1368" spans="1:23" ht="12.5">
      <c r="A1368" s="5">
        <v>91873</v>
      </c>
      <c r="B1368" s="5" t="s">
        <v>17896</v>
      </c>
      <c r="C1368" s="10" t="s">
        <v>17897</v>
      </c>
      <c r="D1368" s="5">
        <v>31</v>
      </c>
      <c r="E1368" s="5" t="s">
        <v>375</v>
      </c>
      <c r="F1368" s="5" t="s">
        <v>1047</v>
      </c>
      <c r="G1368" s="5" t="s">
        <v>17898</v>
      </c>
      <c r="H1368" s="5" t="s">
        <v>9651</v>
      </c>
      <c r="I1368" s="5">
        <v>3016849701</v>
      </c>
      <c r="J1368" s="12">
        <v>46066</v>
      </c>
      <c r="K1368" s="11">
        <v>0.375</v>
      </c>
      <c r="M1368" s="10" t="s">
        <v>14595</v>
      </c>
      <c r="N1368" s="12">
        <v>46065</v>
      </c>
      <c r="O1368" s="10" t="s">
        <v>15129</v>
      </c>
      <c r="P1368" s="5" t="s">
        <v>14571</v>
      </c>
      <c r="Q1368" s="5" t="s">
        <v>14578</v>
      </c>
      <c r="R1368" s="5" t="s">
        <v>17899</v>
      </c>
      <c r="T1368" s="5" t="s">
        <v>5994</v>
      </c>
      <c r="U1368" s="5" t="s">
        <v>14580</v>
      </c>
      <c r="V1368" s="5" t="s">
        <v>7644</v>
      </c>
      <c r="W1368" s="5" t="s">
        <v>9654</v>
      </c>
    </row>
    <row r="1369" spans="1:23" ht="12.5">
      <c r="A1369" s="5">
        <v>91874</v>
      </c>
      <c r="B1369" s="5" t="s">
        <v>17900</v>
      </c>
      <c r="C1369" s="5">
        <v>573004425541</v>
      </c>
      <c r="D1369" s="5">
        <v>29</v>
      </c>
      <c r="E1369" s="5" t="s">
        <v>309</v>
      </c>
      <c r="F1369" s="5" t="s">
        <v>63</v>
      </c>
      <c r="G1369" s="5" t="s">
        <v>9657</v>
      </c>
      <c r="H1369" s="5" t="s">
        <v>9658</v>
      </c>
      <c r="I1369" s="5">
        <v>3004425541</v>
      </c>
      <c r="J1369" s="12">
        <v>46066</v>
      </c>
      <c r="K1369" s="11">
        <v>0</v>
      </c>
      <c r="M1369" s="10" t="s">
        <v>16470</v>
      </c>
      <c r="N1369" s="12">
        <v>46065.55139443287</v>
      </c>
      <c r="O1369" s="10" t="s">
        <v>15791</v>
      </c>
      <c r="P1369" s="5" t="s">
        <v>14571</v>
      </c>
      <c r="Q1369" s="5" t="s">
        <v>14578</v>
      </c>
      <c r="R1369" s="5" t="s">
        <v>17901</v>
      </c>
      <c r="T1369" s="5" t="s">
        <v>5994</v>
      </c>
      <c r="U1369" s="5" t="s">
        <v>14598</v>
      </c>
      <c r="V1369" s="5" t="s">
        <v>7644</v>
      </c>
      <c r="W1369" s="5" t="s">
        <v>9659</v>
      </c>
    </row>
    <row r="1370" spans="1:23" ht="12.5">
      <c r="A1370" s="5">
        <v>91875</v>
      </c>
      <c r="B1370" s="5" t="s">
        <v>17902</v>
      </c>
      <c r="C1370" s="10" t="s">
        <v>17903</v>
      </c>
      <c r="D1370" s="5">
        <v>7</v>
      </c>
      <c r="E1370" s="5" t="s">
        <v>9546</v>
      </c>
      <c r="F1370" s="5" t="s">
        <v>892</v>
      </c>
      <c r="G1370" s="5" t="s">
        <v>9661</v>
      </c>
      <c r="H1370" s="5" t="s">
        <v>9662</v>
      </c>
      <c r="I1370" s="5">
        <v>3008153820</v>
      </c>
      <c r="J1370" s="12">
        <v>46066</v>
      </c>
      <c r="K1370" s="11">
        <v>0.33333333333333331</v>
      </c>
      <c r="M1370" s="10" t="s">
        <v>14796</v>
      </c>
      <c r="N1370" s="12">
        <v>46065</v>
      </c>
      <c r="O1370" s="10" t="s">
        <v>16834</v>
      </c>
      <c r="P1370" s="5" t="s">
        <v>14571</v>
      </c>
      <c r="Q1370" s="5" t="s">
        <v>14612</v>
      </c>
      <c r="R1370" s="5" t="s">
        <v>17904</v>
      </c>
      <c r="T1370" s="5" t="s">
        <v>5994</v>
      </c>
      <c r="U1370" s="5" t="s">
        <v>14593</v>
      </c>
      <c r="V1370" s="5" t="s">
        <v>7644</v>
      </c>
      <c r="W1370" s="5" t="s">
        <v>9612</v>
      </c>
    </row>
    <row r="1371" spans="1:23" ht="12.5">
      <c r="A1371" s="5">
        <v>91876</v>
      </c>
      <c r="B1371" s="5" t="s">
        <v>17905</v>
      </c>
      <c r="C1371" s="10" t="s">
        <v>17906</v>
      </c>
      <c r="D1371" s="5">
        <v>51</v>
      </c>
      <c r="E1371" s="5" t="s">
        <v>384</v>
      </c>
      <c r="F1371" s="5" t="s">
        <v>307</v>
      </c>
      <c r="G1371" s="5" t="s">
        <v>9666</v>
      </c>
      <c r="H1371" s="5" t="s">
        <v>9667</v>
      </c>
      <c r="I1371" s="5"/>
      <c r="J1371" s="12">
        <v>46067</v>
      </c>
      <c r="K1371" s="11">
        <v>0.375</v>
      </c>
      <c r="M1371" s="10" t="s">
        <v>14777</v>
      </c>
      <c r="N1371" s="12">
        <v>46065</v>
      </c>
      <c r="O1371" s="10" t="s">
        <v>15868</v>
      </c>
      <c r="P1371" s="5" t="s">
        <v>14571</v>
      </c>
      <c r="Q1371" s="5" t="s">
        <v>14612</v>
      </c>
      <c r="R1371" s="5" t="s">
        <v>17907</v>
      </c>
      <c r="T1371" s="5" t="s">
        <v>5994</v>
      </c>
      <c r="U1371" s="5" t="s">
        <v>14618</v>
      </c>
      <c r="V1371" s="5" t="s">
        <v>1705</v>
      </c>
      <c r="W1371" s="5"/>
    </row>
    <row r="1372" spans="1:23" ht="12.5">
      <c r="A1372" s="5">
        <v>91877</v>
      </c>
      <c r="B1372" s="5" t="s">
        <v>17908</v>
      </c>
      <c r="C1372" s="5">
        <v>573001389799</v>
      </c>
      <c r="D1372" s="5">
        <v>25</v>
      </c>
      <c r="E1372" s="5" t="s">
        <v>1792</v>
      </c>
      <c r="F1372" s="5" t="s">
        <v>73</v>
      </c>
      <c r="G1372" s="5" t="s">
        <v>9670</v>
      </c>
      <c r="H1372" s="5" t="s">
        <v>9671</v>
      </c>
      <c r="I1372" s="5">
        <v>3145812060</v>
      </c>
      <c r="J1372" s="12">
        <v>46065</v>
      </c>
      <c r="K1372" s="11">
        <v>0</v>
      </c>
      <c r="M1372" s="10" t="s">
        <v>14576</v>
      </c>
      <c r="N1372" s="12">
        <v>46065.567953310187</v>
      </c>
      <c r="O1372" s="10" t="s">
        <v>17785</v>
      </c>
      <c r="P1372" s="5" t="s">
        <v>14571</v>
      </c>
      <c r="Q1372" s="5" t="s">
        <v>14612</v>
      </c>
      <c r="R1372" s="5" t="s">
        <v>17909</v>
      </c>
      <c r="T1372" s="5" t="s">
        <v>5994</v>
      </c>
      <c r="U1372" s="5" t="s">
        <v>14593</v>
      </c>
      <c r="V1372" s="5" t="s">
        <v>67</v>
      </c>
      <c r="W1372" s="5" t="s">
        <v>9659</v>
      </c>
    </row>
    <row r="1373" spans="1:23" ht="12.5">
      <c r="A1373" s="5">
        <v>91878</v>
      </c>
      <c r="B1373" s="5" t="s">
        <v>9676</v>
      </c>
      <c r="C1373" s="10" t="s">
        <v>17910</v>
      </c>
      <c r="D1373" s="5">
        <v>52</v>
      </c>
      <c r="E1373" s="5" t="s">
        <v>178</v>
      </c>
      <c r="F1373" s="5"/>
      <c r="G1373" s="5" t="s">
        <v>9676</v>
      </c>
      <c r="H1373" s="5" t="s">
        <v>34</v>
      </c>
      <c r="I1373" s="5">
        <v>3023208311</v>
      </c>
      <c r="J1373" s="12">
        <v>46065</v>
      </c>
      <c r="K1373" s="11">
        <v>0</v>
      </c>
      <c r="M1373" s="10" t="s">
        <v>15161</v>
      </c>
      <c r="N1373" s="12">
        <v>46065</v>
      </c>
      <c r="O1373" s="10" t="s">
        <v>15539</v>
      </c>
      <c r="P1373" s="5" t="s">
        <v>14571</v>
      </c>
      <c r="Q1373" s="5" t="s">
        <v>17404</v>
      </c>
      <c r="R1373" s="5" t="s">
        <v>17911</v>
      </c>
      <c r="T1373" s="5" t="s">
        <v>5994</v>
      </c>
      <c r="U1373" s="5"/>
      <c r="V1373" s="5" t="s">
        <v>1705</v>
      </c>
      <c r="W1373" s="5"/>
    </row>
    <row r="1374" spans="1:23" ht="12.5">
      <c r="A1374" s="5">
        <v>91879</v>
      </c>
      <c r="B1374" s="5" t="s">
        <v>17912</v>
      </c>
      <c r="C1374" s="5">
        <v>573004895810</v>
      </c>
      <c r="D1374" s="5">
        <v>45</v>
      </c>
      <c r="E1374" s="5" t="s">
        <v>210</v>
      </c>
      <c r="F1374" s="5" t="s">
        <v>185</v>
      </c>
      <c r="G1374" s="5" t="s">
        <v>9679</v>
      </c>
      <c r="H1374" s="5" t="s">
        <v>9680</v>
      </c>
      <c r="I1374" s="5">
        <v>3004895810</v>
      </c>
      <c r="J1374" s="12">
        <v>46065</v>
      </c>
      <c r="K1374" s="11">
        <v>0.16666666666787933</v>
      </c>
      <c r="M1374" s="10" t="s">
        <v>16429</v>
      </c>
      <c r="N1374" s="12">
        <v>46065.567518634256</v>
      </c>
      <c r="O1374" s="10" t="s">
        <v>17913</v>
      </c>
      <c r="P1374" s="5" t="s">
        <v>14571</v>
      </c>
      <c r="Q1374" s="5" t="s">
        <v>17404</v>
      </c>
      <c r="R1374" s="5" t="s">
        <v>17914</v>
      </c>
      <c r="T1374" s="5" t="s">
        <v>5994</v>
      </c>
      <c r="U1374" s="5" t="s">
        <v>14580</v>
      </c>
      <c r="V1374" s="5" t="s">
        <v>67</v>
      </c>
      <c r="W1374" s="5" t="s">
        <v>9612</v>
      </c>
    </row>
    <row r="1375" spans="1:23" ht="12.5">
      <c r="A1375" s="5">
        <v>91880</v>
      </c>
      <c r="B1375" s="5" t="s">
        <v>9688</v>
      </c>
      <c r="C1375" s="5">
        <v>17735573980</v>
      </c>
      <c r="D1375" s="5">
        <v>95</v>
      </c>
      <c r="E1375" s="5" t="s">
        <v>42</v>
      </c>
      <c r="F1375" s="5" t="s">
        <v>103</v>
      </c>
      <c r="G1375" s="5" t="s">
        <v>9685</v>
      </c>
      <c r="H1375" s="5" t="s">
        <v>17915</v>
      </c>
      <c r="I1375" s="5">
        <v>17735573980</v>
      </c>
      <c r="J1375" s="12">
        <v>46066</v>
      </c>
      <c r="K1375" s="11">
        <v>0.58333333333212067</v>
      </c>
      <c r="M1375" s="10" t="s">
        <v>15040</v>
      </c>
      <c r="N1375" s="12">
        <v>46065.599373865742</v>
      </c>
      <c r="O1375" s="10" t="s">
        <v>15707</v>
      </c>
      <c r="P1375" s="5" t="s">
        <v>14571</v>
      </c>
      <c r="Q1375" s="5" t="s">
        <v>14578</v>
      </c>
      <c r="R1375" s="5" t="s">
        <v>17916</v>
      </c>
      <c r="T1375" s="5" t="s">
        <v>5994</v>
      </c>
      <c r="U1375" s="5" t="s">
        <v>14593</v>
      </c>
      <c r="V1375" s="5" t="s">
        <v>1705</v>
      </c>
      <c r="W1375" s="5" t="s">
        <v>9689</v>
      </c>
    </row>
    <row r="1376" spans="1:23" ht="12.5">
      <c r="A1376" s="5">
        <v>91881</v>
      </c>
      <c r="B1376" s="5" t="s">
        <v>17917</v>
      </c>
      <c r="C1376" s="5">
        <v>573152556856</v>
      </c>
      <c r="D1376" s="5">
        <v>24</v>
      </c>
      <c r="E1376" s="5" t="s">
        <v>9693</v>
      </c>
      <c r="F1376" s="5" t="s">
        <v>930</v>
      </c>
      <c r="G1376" s="5" t="s">
        <v>9691</v>
      </c>
      <c r="H1376" s="5" t="s">
        <v>9692</v>
      </c>
      <c r="I1376" s="5">
        <v>3103672063</v>
      </c>
      <c r="J1376" s="12">
        <v>46066</v>
      </c>
      <c r="K1376" s="11">
        <v>0</v>
      </c>
      <c r="M1376" s="10" t="s">
        <v>14595</v>
      </c>
      <c r="N1376" s="12">
        <v>46065.582258842594</v>
      </c>
      <c r="O1376" s="10" t="s">
        <v>16602</v>
      </c>
      <c r="P1376" s="5" t="s">
        <v>14571</v>
      </c>
      <c r="Q1376" s="5" t="s">
        <v>14578</v>
      </c>
      <c r="R1376" s="5" t="s">
        <v>17918</v>
      </c>
      <c r="T1376" s="5" t="s">
        <v>5994</v>
      </c>
      <c r="U1376" s="5" t="s">
        <v>14598</v>
      </c>
      <c r="V1376" s="5" t="s">
        <v>9695</v>
      </c>
      <c r="W1376" s="5" t="s">
        <v>9697</v>
      </c>
    </row>
    <row r="1377" spans="1:23" ht="12.5">
      <c r="A1377" s="5">
        <v>91882</v>
      </c>
      <c r="B1377" s="5" t="s">
        <v>17919</v>
      </c>
      <c r="C1377" s="5">
        <v>573104566261</v>
      </c>
      <c r="D1377" s="5">
        <v>53</v>
      </c>
      <c r="E1377" s="5" t="s">
        <v>9576</v>
      </c>
      <c r="F1377" s="5" t="s">
        <v>63</v>
      </c>
      <c r="G1377" s="5" t="s">
        <v>9700</v>
      </c>
      <c r="H1377" s="5" t="s">
        <v>9701</v>
      </c>
      <c r="I1377" s="5">
        <v>3146253678</v>
      </c>
      <c r="J1377" s="12">
        <v>46066</v>
      </c>
      <c r="K1377" s="11">
        <v>0.41666666666787933</v>
      </c>
      <c r="M1377" s="10" t="s">
        <v>16470</v>
      </c>
      <c r="N1377" s="12">
        <v>46065.61535630787</v>
      </c>
      <c r="O1377" s="10" t="s">
        <v>17329</v>
      </c>
      <c r="P1377" s="5" t="s">
        <v>14571</v>
      </c>
      <c r="Q1377" s="5" t="s">
        <v>14578</v>
      </c>
      <c r="R1377" s="5" t="s">
        <v>17920</v>
      </c>
      <c r="T1377" s="5" t="s">
        <v>5994</v>
      </c>
      <c r="U1377" s="5" t="s">
        <v>14598</v>
      </c>
      <c r="V1377" s="5" t="s">
        <v>180</v>
      </c>
      <c r="W1377" s="5" t="s">
        <v>9612</v>
      </c>
    </row>
    <row r="1378" spans="1:23" ht="12.5">
      <c r="A1378" s="5">
        <v>91883</v>
      </c>
      <c r="B1378" s="5" t="s">
        <v>17921</v>
      </c>
      <c r="C1378" s="5">
        <v>573505984301</v>
      </c>
      <c r="D1378" s="5">
        <v>18</v>
      </c>
      <c r="E1378" s="5" t="s">
        <v>9199</v>
      </c>
      <c r="F1378" s="5" t="s">
        <v>892</v>
      </c>
      <c r="G1378" s="5" t="s">
        <v>1719</v>
      </c>
      <c r="H1378" s="5" t="s">
        <v>9703</v>
      </c>
      <c r="I1378" s="5">
        <v>3505984301</v>
      </c>
      <c r="J1378" s="12">
        <v>46066</v>
      </c>
      <c r="K1378" s="11">
        <v>0.41666666666787933</v>
      </c>
      <c r="M1378" s="10" t="s">
        <v>15040</v>
      </c>
      <c r="N1378" s="12">
        <v>46065.623695231479</v>
      </c>
      <c r="O1378" s="10" t="s">
        <v>16782</v>
      </c>
      <c r="P1378" s="5" t="s">
        <v>14571</v>
      </c>
      <c r="Q1378" s="5" t="s">
        <v>17404</v>
      </c>
      <c r="R1378" s="5" t="s">
        <v>17922</v>
      </c>
      <c r="T1378" s="5" t="s">
        <v>5994</v>
      </c>
      <c r="U1378" s="5" t="s">
        <v>14593</v>
      </c>
      <c r="V1378" s="5" t="s">
        <v>7644</v>
      </c>
      <c r="W1378" s="5" t="s">
        <v>9706</v>
      </c>
    </row>
    <row r="1379" spans="1:23" ht="12.5">
      <c r="A1379" s="5">
        <v>91884</v>
      </c>
      <c r="B1379" s="5" t="s">
        <v>17923</v>
      </c>
      <c r="C1379" s="5">
        <v>573013808958</v>
      </c>
      <c r="D1379" s="5">
        <v>52</v>
      </c>
      <c r="E1379" s="5" t="s">
        <v>6874</v>
      </c>
      <c r="F1379" s="5" t="s">
        <v>185</v>
      </c>
      <c r="G1379" s="5" t="s">
        <v>9707</v>
      </c>
      <c r="H1379" s="5" t="s">
        <v>9708</v>
      </c>
      <c r="I1379" s="5">
        <v>3017314734</v>
      </c>
      <c r="J1379" s="12">
        <v>46066</v>
      </c>
      <c r="K1379" s="11">
        <v>0.41666666666787933</v>
      </c>
      <c r="M1379" s="10" t="s">
        <v>14885</v>
      </c>
      <c r="N1379" s="12">
        <v>46065.630714155093</v>
      </c>
      <c r="O1379" s="10" t="s">
        <v>17924</v>
      </c>
      <c r="P1379" s="5" t="s">
        <v>14571</v>
      </c>
      <c r="Q1379" s="5" t="s">
        <v>14578</v>
      </c>
      <c r="R1379" s="5" t="s">
        <v>17925</v>
      </c>
      <c r="T1379" s="5" t="s">
        <v>5994</v>
      </c>
      <c r="U1379" s="5" t="s">
        <v>14580</v>
      </c>
      <c r="V1379" s="5" t="s">
        <v>7644</v>
      </c>
      <c r="W1379" s="5" t="s">
        <v>9600</v>
      </c>
    </row>
    <row r="1380" spans="1:23" ht="12.5">
      <c r="A1380" s="5">
        <v>91885</v>
      </c>
      <c r="B1380" s="5" t="s">
        <v>17926</v>
      </c>
      <c r="C1380" s="5">
        <v>573006429273</v>
      </c>
      <c r="D1380" s="5" t="s">
        <v>17927</v>
      </c>
      <c r="E1380" s="5" t="s">
        <v>17928</v>
      </c>
      <c r="F1380" s="5" t="s">
        <v>185</v>
      </c>
      <c r="G1380" s="5" t="s">
        <v>638</v>
      </c>
      <c r="H1380" s="5" t="s">
        <v>9711</v>
      </c>
      <c r="I1380" s="5">
        <v>3006429273</v>
      </c>
      <c r="J1380" s="12">
        <v>46065</v>
      </c>
      <c r="K1380" s="11">
        <v>0</v>
      </c>
      <c r="M1380" s="10" t="s">
        <v>15534</v>
      </c>
      <c r="N1380" s="12">
        <v>46065.53464849537</v>
      </c>
      <c r="O1380" s="10" t="s">
        <v>15947</v>
      </c>
      <c r="P1380" s="5" t="s">
        <v>14571</v>
      </c>
      <c r="Q1380" s="5" t="s">
        <v>14612</v>
      </c>
      <c r="R1380" s="5" t="s">
        <v>17929</v>
      </c>
      <c r="T1380" s="5" t="s">
        <v>5994</v>
      </c>
      <c r="U1380" s="5" t="s">
        <v>14580</v>
      </c>
      <c r="V1380" s="5" t="s">
        <v>67</v>
      </c>
      <c r="W1380" s="5" t="s">
        <v>9713</v>
      </c>
    </row>
    <row r="1381" spans="1:23" ht="12.5">
      <c r="A1381" s="5">
        <v>91886</v>
      </c>
      <c r="B1381" s="5" t="s">
        <v>17930</v>
      </c>
      <c r="C1381" s="5">
        <v>573012703073</v>
      </c>
      <c r="D1381" s="5">
        <v>2</v>
      </c>
      <c r="E1381" s="5" t="s">
        <v>9238</v>
      </c>
      <c r="F1381" s="5" t="s">
        <v>1100</v>
      </c>
      <c r="G1381" s="5" t="s">
        <v>9716</v>
      </c>
      <c r="H1381" s="5" t="s">
        <v>9717</v>
      </c>
      <c r="I1381" s="5">
        <v>3014576504</v>
      </c>
      <c r="J1381" s="12">
        <v>46065</v>
      </c>
      <c r="K1381" s="11">
        <v>0.70833333333212067</v>
      </c>
      <c r="M1381" s="10" t="s">
        <v>17646</v>
      </c>
      <c r="N1381" s="12">
        <v>46065.635478796292</v>
      </c>
      <c r="O1381" s="10" t="s">
        <v>15382</v>
      </c>
      <c r="P1381" s="5" t="s">
        <v>14571</v>
      </c>
      <c r="Q1381" s="5" t="s">
        <v>17688</v>
      </c>
      <c r="R1381" s="5" t="s">
        <v>17931</v>
      </c>
      <c r="T1381" s="5" t="s">
        <v>5994</v>
      </c>
      <c r="U1381" s="5" t="s">
        <v>14775</v>
      </c>
      <c r="V1381" s="5" t="s">
        <v>7644</v>
      </c>
      <c r="W1381" s="5" t="s">
        <v>9612</v>
      </c>
    </row>
    <row r="1382" spans="1:23" ht="12.5">
      <c r="A1382" s="5">
        <v>91887</v>
      </c>
      <c r="B1382" s="5" t="s">
        <v>17932</v>
      </c>
      <c r="C1382" s="5">
        <v>18133173677</v>
      </c>
      <c r="D1382" s="5">
        <v>22</v>
      </c>
      <c r="E1382" s="5" t="s">
        <v>309</v>
      </c>
      <c r="F1382" s="5" t="s">
        <v>73</v>
      </c>
      <c r="G1382" s="5">
        <v>3226551951</v>
      </c>
      <c r="H1382" s="5" t="s">
        <v>9719</v>
      </c>
      <c r="I1382" s="5" t="s">
        <v>9720</v>
      </c>
      <c r="J1382" s="12">
        <v>46066</v>
      </c>
      <c r="K1382" s="11">
        <v>0.5</v>
      </c>
      <c r="M1382" s="10" t="s">
        <v>15064</v>
      </c>
      <c r="N1382" s="12">
        <v>46065.590731701392</v>
      </c>
      <c r="O1382" s="10" t="s">
        <v>14813</v>
      </c>
      <c r="P1382" s="5" t="s">
        <v>14571</v>
      </c>
      <c r="Q1382" s="5" t="s">
        <v>17404</v>
      </c>
      <c r="R1382" s="5" t="s">
        <v>17933</v>
      </c>
      <c r="T1382" s="5" t="s">
        <v>5994</v>
      </c>
      <c r="U1382" s="5" t="s">
        <v>14593</v>
      </c>
      <c r="V1382" s="5" t="s">
        <v>7644</v>
      </c>
      <c r="W1382" s="5" t="s">
        <v>9600</v>
      </c>
    </row>
    <row r="1383" spans="1:23" ht="12.5">
      <c r="A1383" s="5">
        <v>91888</v>
      </c>
      <c r="B1383" s="5" t="s">
        <v>15346</v>
      </c>
      <c r="C1383" s="5">
        <v>5.7304300000000003E+20</v>
      </c>
      <c r="D1383" s="5">
        <v>25</v>
      </c>
      <c r="E1383" s="5" t="s">
        <v>1792</v>
      </c>
      <c r="F1383" s="5" t="s">
        <v>1317</v>
      </c>
      <c r="G1383" s="5" t="s">
        <v>4010</v>
      </c>
      <c r="H1383" s="5" t="s">
        <v>9722</v>
      </c>
      <c r="I1383" s="5">
        <v>3245192336</v>
      </c>
      <c r="J1383" s="12">
        <v>46065</v>
      </c>
      <c r="K1383" s="11">
        <v>0.20833333333212067</v>
      </c>
      <c r="M1383" s="10" t="s">
        <v>15776</v>
      </c>
      <c r="N1383" s="12">
        <v>46065.645774942124</v>
      </c>
      <c r="O1383" s="10" t="s">
        <v>14931</v>
      </c>
      <c r="P1383" s="5" t="s">
        <v>14571</v>
      </c>
      <c r="Q1383" s="5" t="s">
        <v>14572</v>
      </c>
      <c r="R1383" s="5" t="s">
        <v>17934</v>
      </c>
      <c r="T1383" s="5" t="s">
        <v>5994</v>
      </c>
      <c r="U1383" s="5" t="s">
        <v>15349</v>
      </c>
      <c r="V1383" s="5" t="s">
        <v>67</v>
      </c>
      <c r="W1383" s="5"/>
    </row>
    <row r="1384" spans="1:23" ht="12.5">
      <c r="A1384" s="5">
        <v>91889</v>
      </c>
      <c r="B1384" s="5" t="s">
        <v>17935</v>
      </c>
      <c r="C1384" s="5">
        <v>573177936614</v>
      </c>
      <c r="D1384" s="5">
        <v>52</v>
      </c>
      <c r="E1384" s="5" t="s">
        <v>6874</v>
      </c>
      <c r="F1384" s="5" t="s">
        <v>33</v>
      </c>
      <c r="G1384" s="5" t="s">
        <v>41</v>
      </c>
      <c r="H1384" s="5" t="s">
        <v>9724</v>
      </c>
      <c r="I1384" s="5"/>
      <c r="J1384" s="12">
        <v>46066</v>
      </c>
      <c r="K1384" s="11">
        <v>0.75</v>
      </c>
      <c r="M1384" s="10" t="s">
        <v>15594</v>
      </c>
      <c r="N1384" s="12">
        <v>46065.666879293982</v>
      </c>
      <c r="O1384" s="10" t="s">
        <v>15050</v>
      </c>
      <c r="P1384" s="5" t="s">
        <v>14571</v>
      </c>
      <c r="Q1384" s="5" t="s">
        <v>17404</v>
      </c>
      <c r="R1384" s="5" t="s">
        <v>17936</v>
      </c>
      <c r="T1384" s="5" t="s">
        <v>14574</v>
      </c>
      <c r="U1384" s="5" t="s">
        <v>33</v>
      </c>
      <c r="V1384" s="5" t="s">
        <v>2438</v>
      </c>
      <c r="W1384" s="5" t="s">
        <v>9726</v>
      </c>
    </row>
    <row r="1385" spans="1:23" ht="12.5">
      <c r="A1385" s="5">
        <v>91890</v>
      </c>
      <c r="B1385" s="5" t="s">
        <v>6409</v>
      </c>
      <c r="C1385" s="5">
        <v>573504574956</v>
      </c>
      <c r="D1385" s="5">
        <v>95</v>
      </c>
      <c r="E1385" s="5" t="s">
        <v>42</v>
      </c>
      <c r="F1385" s="5" t="s">
        <v>33</v>
      </c>
      <c r="G1385" s="5" t="s">
        <v>6409</v>
      </c>
      <c r="H1385" s="5" t="s">
        <v>34</v>
      </c>
      <c r="I1385" s="5">
        <v>3504574956</v>
      </c>
      <c r="J1385" s="12">
        <v>46065</v>
      </c>
      <c r="K1385" s="11">
        <v>0</v>
      </c>
      <c r="M1385" s="10" t="s">
        <v>14599</v>
      </c>
      <c r="N1385" s="12">
        <v>46065.676275763893</v>
      </c>
      <c r="O1385" s="10" t="s">
        <v>16083</v>
      </c>
      <c r="P1385" s="5" t="s">
        <v>14571</v>
      </c>
      <c r="Q1385" s="5" t="s">
        <v>17423</v>
      </c>
      <c r="R1385" s="5" t="s">
        <v>17937</v>
      </c>
      <c r="T1385" s="5" t="s">
        <v>14574</v>
      </c>
      <c r="U1385" s="5" t="s">
        <v>33</v>
      </c>
      <c r="V1385" s="5" t="s">
        <v>2438</v>
      </c>
      <c r="W1385" s="5"/>
    </row>
    <row r="1386" spans="1:23" ht="12.5">
      <c r="A1386" s="5">
        <v>91891</v>
      </c>
      <c r="B1386" s="5" t="s">
        <v>12706</v>
      </c>
      <c r="C1386" s="10" t="s">
        <v>17938</v>
      </c>
      <c r="D1386" s="5">
        <v>95</v>
      </c>
      <c r="E1386" s="5" t="s">
        <v>42</v>
      </c>
      <c r="F1386" s="5"/>
      <c r="G1386" s="5" t="s">
        <v>12706</v>
      </c>
      <c r="H1386" s="5" t="s">
        <v>9730</v>
      </c>
      <c r="I1386" s="5"/>
      <c r="J1386" s="12">
        <v>46066</v>
      </c>
      <c r="K1386" s="11">
        <v>0.33333333333333331</v>
      </c>
      <c r="M1386" s="10" t="s">
        <v>14627</v>
      </c>
      <c r="N1386" s="12">
        <v>46065</v>
      </c>
      <c r="O1386" s="10" t="s">
        <v>16083</v>
      </c>
      <c r="P1386" s="5" t="s">
        <v>14571</v>
      </c>
      <c r="Q1386" s="5" t="s">
        <v>17423</v>
      </c>
      <c r="R1386" s="5" t="s">
        <v>17939</v>
      </c>
      <c r="T1386" s="5" t="s">
        <v>5994</v>
      </c>
      <c r="U1386" s="5"/>
      <c r="V1386" s="5" t="s">
        <v>83</v>
      </c>
      <c r="W1386" s="5" t="s">
        <v>9612</v>
      </c>
    </row>
    <row r="1387" spans="1:23" ht="12.5">
      <c r="A1387" s="5">
        <v>91892</v>
      </c>
      <c r="B1387" s="5" t="s">
        <v>17940</v>
      </c>
      <c r="C1387" s="5">
        <v>573225941300</v>
      </c>
      <c r="D1387" s="5">
        <v>3</v>
      </c>
      <c r="E1387" s="5" t="s">
        <v>9152</v>
      </c>
      <c r="F1387" s="5" t="s">
        <v>328</v>
      </c>
      <c r="G1387" s="5" t="s">
        <v>9733</v>
      </c>
      <c r="H1387" s="5" t="s">
        <v>9734</v>
      </c>
      <c r="I1387" s="10" t="s">
        <v>2686</v>
      </c>
      <c r="J1387" s="12">
        <v>46066</v>
      </c>
      <c r="K1387" s="11">
        <v>0.375</v>
      </c>
      <c r="M1387" s="10" t="s">
        <v>16312</v>
      </c>
      <c r="N1387" s="12">
        <v>46065.678243171293</v>
      </c>
      <c r="O1387" s="10" t="s">
        <v>15439</v>
      </c>
      <c r="P1387" s="5" t="s">
        <v>14571</v>
      </c>
      <c r="Q1387" s="5" t="s">
        <v>17479</v>
      </c>
      <c r="R1387" s="5" t="s">
        <v>17941</v>
      </c>
      <c r="T1387" s="5" t="s">
        <v>5994</v>
      </c>
      <c r="U1387" s="5"/>
      <c r="V1387" s="5" t="s">
        <v>7644</v>
      </c>
      <c r="W1387" s="5" t="s">
        <v>9612</v>
      </c>
    </row>
    <row r="1388" spans="1:23" ht="12.5">
      <c r="A1388" s="5">
        <v>91893</v>
      </c>
      <c r="B1388" s="5" t="s">
        <v>9739</v>
      </c>
      <c r="C1388" s="5">
        <v>573013529652</v>
      </c>
      <c r="D1388" s="5">
        <v>95</v>
      </c>
      <c r="E1388" s="5" t="s">
        <v>42</v>
      </c>
      <c r="F1388" s="5" t="s">
        <v>73</v>
      </c>
      <c r="G1388" s="5" t="s">
        <v>9739</v>
      </c>
      <c r="H1388" s="5" t="s">
        <v>9740</v>
      </c>
      <c r="I1388" s="5">
        <v>3013529652</v>
      </c>
      <c r="J1388" s="12">
        <v>46066</v>
      </c>
      <c r="K1388" s="11">
        <v>0.58333333333212067</v>
      </c>
      <c r="M1388" s="10" t="s">
        <v>16077</v>
      </c>
      <c r="N1388" s="12">
        <v>46065.683241226856</v>
      </c>
      <c r="O1388" s="10" t="s">
        <v>15363</v>
      </c>
      <c r="P1388" s="5" t="s">
        <v>14571</v>
      </c>
      <c r="Q1388" s="5" t="s">
        <v>14572</v>
      </c>
      <c r="R1388" s="5" t="s">
        <v>17942</v>
      </c>
      <c r="T1388" s="5" t="s">
        <v>5994</v>
      </c>
      <c r="U1388" s="5" t="s">
        <v>14593</v>
      </c>
      <c r="V1388" s="5" t="s">
        <v>7644</v>
      </c>
      <c r="W1388" s="5"/>
    </row>
    <row r="1389" spans="1:23" ht="12.5">
      <c r="A1389" s="5">
        <v>91894</v>
      </c>
      <c r="B1389" s="5" t="s">
        <v>17943</v>
      </c>
      <c r="C1389" s="5">
        <v>573015669546</v>
      </c>
      <c r="D1389" s="5">
        <v>95</v>
      </c>
      <c r="E1389" s="5" t="s">
        <v>42</v>
      </c>
      <c r="F1389" s="5" t="s">
        <v>33</v>
      </c>
      <c r="G1389" s="5" t="s">
        <v>2178</v>
      </c>
      <c r="H1389" s="5" t="s">
        <v>34</v>
      </c>
      <c r="I1389" s="5">
        <v>3015669546</v>
      </c>
      <c r="J1389" s="12">
        <v>46065</v>
      </c>
      <c r="K1389" s="11">
        <v>0</v>
      </c>
      <c r="M1389" s="10" t="s">
        <v>15776</v>
      </c>
      <c r="N1389" s="12">
        <v>46065.689018541671</v>
      </c>
      <c r="O1389" s="10" t="s">
        <v>14920</v>
      </c>
      <c r="P1389" s="5" t="s">
        <v>14571</v>
      </c>
      <c r="Q1389" s="5" t="s">
        <v>17688</v>
      </c>
      <c r="R1389" s="5" t="s">
        <v>17944</v>
      </c>
      <c r="T1389" s="5" t="s">
        <v>14574</v>
      </c>
      <c r="U1389" s="5" t="s">
        <v>33</v>
      </c>
      <c r="V1389" s="5" t="s">
        <v>43</v>
      </c>
      <c r="W1389" s="5" t="s">
        <v>9742</v>
      </c>
    </row>
    <row r="1390" spans="1:23" ht="12.5">
      <c r="A1390" s="5">
        <v>91895</v>
      </c>
      <c r="B1390" s="5" t="s">
        <v>16202</v>
      </c>
      <c r="C1390" s="5">
        <v>573184094610</v>
      </c>
      <c r="D1390" s="5">
        <v>8</v>
      </c>
      <c r="E1390" s="5" t="s">
        <v>9444</v>
      </c>
      <c r="F1390" s="5" t="s">
        <v>63</v>
      </c>
      <c r="G1390" s="5" t="s">
        <v>9743</v>
      </c>
      <c r="H1390" s="5" t="s">
        <v>9744</v>
      </c>
      <c r="I1390" s="5">
        <v>3186010527</v>
      </c>
      <c r="J1390" s="12">
        <v>46066</v>
      </c>
      <c r="K1390" s="11">
        <v>0</v>
      </c>
      <c r="M1390" s="10" t="s">
        <v>17945</v>
      </c>
      <c r="N1390" s="12">
        <v>46065.689388159721</v>
      </c>
      <c r="O1390" s="10" t="s">
        <v>17946</v>
      </c>
      <c r="P1390" s="5" t="s">
        <v>14571</v>
      </c>
      <c r="Q1390" s="5" t="s">
        <v>17688</v>
      </c>
      <c r="R1390" s="5" t="s">
        <v>17947</v>
      </c>
      <c r="T1390" s="5" t="s">
        <v>5994</v>
      </c>
      <c r="U1390" s="5" t="s">
        <v>14598</v>
      </c>
      <c r="V1390" s="5" t="s">
        <v>7644</v>
      </c>
      <c r="W1390" s="5" t="s">
        <v>9726</v>
      </c>
    </row>
    <row r="1391" spans="1:23" ht="12.5">
      <c r="A1391" s="5">
        <v>91896</v>
      </c>
      <c r="B1391" s="5" t="s">
        <v>17948</v>
      </c>
      <c r="C1391" s="10" t="s">
        <v>17949</v>
      </c>
      <c r="D1391" s="5">
        <v>95</v>
      </c>
      <c r="E1391" s="5" t="s">
        <v>42</v>
      </c>
      <c r="F1391" s="5" t="s">
        <v>208</v>
      </c>
      <c r="G1391" s="5" t="s">
        <v>17950</v>
      </c>
      <c r="H1391" s="5" t="s">
        <v>9748</v>
      </c>
      <c r="I1391" s="5"/>
      <c r="J1391" s="12">
        <v>46065</v>
      </c>
      <c r="K1391" s="11">
        <v>0.22916666666666666</v>
      </c>
      <c r="M1391" s="10" t="s">
        <v>15161</v>
      </c>
      <c r="N1391" s="12">
        <v>46065</v>
      </c>
      <c r="O1391" s="10" t="s">
        <v>17946</v>
      </c>
      <c r="P1391" s="5" t="s">
        <v>14571</v>
      </c>
      <c r="Q1391" s="5" t="s">
        <v>14572</v>
      </c>
      <c r="R1391" s="5" t="s">
        <v>17951</v>
      </c>
      <c r="T1391" s="5" t="s">
        <v>5994</v>
      </c>
      <c r="U1391" s="5" t="s">
        <v>14593</v>
      </c>
      <c r="V1391" s="5" t="s">
        <v>67</v>
      </c>
      <c r="W1391" s="5" t="s">
        <v>9749</v>
      </c>
    </row>
    <row r="1392" spans="1:23" ht="12.5">
      <c r="A1392" s="5">
        <v>91897</v>
      </c>
      <c r="B1392" s="5" t="s">
        <v>17952</v>
      </c>
      <c r="C1392" s="10" t="s">
        <v>17953</v>
      </c>
      <c r="D1392" s="5" t="s">
        <v>17954</v>
      </c>
      <c r="E1392" s="5" t="s">
        <v>9630</v>
      </c>
      <c r="F1392" s="5" t="s">
        <v>103</v>
      </c>
      <c r="G1392" s="5" t="s">
        <v>9752</v>
      </c>
      <c r="H1392" s="5" t="s">
        <v>9753</v>
      </c>
      <c r="I1392" s="5"/>
      <c r="J1392" s="12">
        <v>46066</v>
      </c>
      <c r="K1392" s="11">
        <v>0.375</v>
      </c>
      <c r="M1392" s="10" t="s">
        <v>14740</v>
      </c>
      <c r="N1392" s="12">
        <v>46065</v>
      </c>
      <c r="O1392" s="10" t="s">
        <v>17955</v>
      </c>
      <c r="P1392" s="5" t="s">
        <v>14571</v>
      </c>
      <c r="Q1392" s="5" t="s">
        <v>14612</v>
      </c>
      <c r="R1392" s="5" t="s">
        <v>17956</v>
      </c>
      <c r="T1392" s="5" t="s">
        <v>5994</v>
      </c>
      <c r="U1392" s="5" t="s">
        <v>14593</v>
      </c>
      <c r="V1392" s="5" t="s">
        <v>1937</v>
      </c>
      <c r="W1392" s="5" t="s">
        <v>9756</v>
      </c>
    </row>
    <row r="1393" spans="1:23" ht="12.5">
      <c r="A1393" s="5">
        <v>91898</v>
      </c>
      <c r="B1393" s="5" t="s">
        <v>17957</v>
      </c>
      <c r="C1393" s="5">
        <v>17816860508</v>
      </c>
      <c r="D1393" s="5">
        <v>22</v>
      </c>
      <c r="E1393" s="5" t="s">
        <v>309</v>
      </c>
      <c r="F1393" s="5" t="s">
        <v>154</v>
      </c>
      <c r="G1393" s="5" t="s">
        <v>9758</v>
      </c>
      <c r="H1393" s="5" t="s">
        <v>9759</v>
      </c>
      <c r="I1393" s="5">
        <v>3103779035</v>
      </c>
      <c r="J1393" s="12">
        <v>46065</v>
      </c>
      <c r="K1393" s="11">
        <v>0.25</v>
      </c>
      <c r="M1393" s="10" t="s">
        <v>15585</v>
      </c>
      <c r="N1393" s="12">
        <v>46065.63675878472</v>
      </c>
      <c r="O1393" s="10" t="s">
        <v>15892</v>
      </c>
      <c r="P1393" s="5" t="s">
        <v>14571</v>
      </c>
      <c r="Q1393" s="5" t="s">
        <v>17404</v>
      </c>
      <c r="R1393" s="5" t="s">
        <v>17958</v>
      </c>
      <c r="T1393" s="5" t="s">
        <v>5994</v>
      </c>
      <c r="U1393" s="5" t="s">
        <v>14593</v>
      </c>
      <c r="V1393" s="5" t="s">
        <v>7644</v>
      </c>
      <c r="W1393" s="5" t="s">
        <v>9762</v>
      </c>
    </row>
    <row r="1394" spans="1:23" ht="12.5">
      <c r="A1394" s="5">
        <v>91899</v>
      </c>
      <c r="B1394" s="5" t="s">
        <v>17959</v>
      </c>
      <c r="C1394" s="5">
        <v>573107291368</v>
      </c>
      <c r="D1394" s="5">
        <v>22</v>
      </c>
      <c r="E1394" s="5" t="s">
        <v>309</v>
      </c>
      <c r="F1394" s="5" t="s">
        <v>405</v>
      </c>
      <c r="G1394" s="5" t="s">
        <v>9764</v>
      </c>
      <c r="H1394" s="5" t="s">
        <v>9765</v>
      </c>
      <c r="I1394" s="5">
        <v>3046647685</v>
      </c>
      <c r="J1394" s="12">
        <v>46066</v>
      </c>
      <c r="K1394" s="11">
        <v>0</v>
      </c>
      <c r="M1394" s="10" t="s">
        <v>15594</v>
      </c>
      <c r="N1394" s="12">
        <v>46065.705381770837</v>
      </c>
      <c r="O1394" s="10" t="s">
        <v>17960</v>
      </c>
      <c r="P1394" s="5" t="s">
        <v>14571</v>
      </c>
      <c r="Q1394" s="5" t="s">
        <v>17688</v>
      </c>
      <c r="R1394" s="5" t="s">
        <v>17961</v>
      </c>
      <c r="T1394" s="5" t="s">
        <v>5994</v>
      </c>
      <c r="U1394" s="5"/>
      <c r="V1394" s="5" t="s">
        <v>7644</v>
      </c>
      <c r="W1394" s="5" t="s">
        <v>9726</v>
      </c>
    </row>
    <row r="1395" spans="1:23" ht="12.5">
      <c r="A1395" s="5">
        <v>91900</v>
      </c>
      <c r="B1395" s="5" t="s">
        <v>15643</v>
      </c>
      <c r="C1395" s="10" t="s">
        <v>17962</v>
      </c>
      <c r="D1395" s="5">
        <v>13</v>
      </c>
      <c r="E1395" s="5" t="s">
        <v>458</v>
      </c>
      <c r="F1395" s="5" t="s">
        <v>185</v>
      </c>
      <c r="G1395" s="5" t="s">
        <v>15645</v>
      </c>
      <c r="H1395" s="5" t="s">
        <v>9769</v>
      </c>
      <c r="I1395" s="5">
        <v>3215919132</v>
      </c>
      <c r="J1395" s="12">
        <v>46066</v>
      </c>
      <c r="K1395" s="11">
        <v>0.41666666666666669</v>
      </c>
      <c r="M1395" s="10" t="s">
        <v>16192</v>
      </c>
      <c r="N1395" s="12">
        <v>46065</v>
      </c>
      <c r="O1395" s="10" t="s">
        <v>17963</v>
      </c>
      <c r="P1395" s="5" t="s">
        <v>14571</v>
      </c>
      <c r="Q1395" s="5" t="s">
        <v>16907</v>
      </c>
      <c r="R1395" s="5" t="s">
        <v>17964</v>
      </c>
      <c r="T1395" s="5" t="s">
        <v>5994</v>
      </c>
      <c r="U1395" s="5" t="s">
        <v>14580</v>
      </c>
      <c r="V1395" s="5" t="s">
        <v>7644</v>
      </c>
      <c r="W1395" s="5" t="s">
        <v>9771</v>
      </c>
    </row>
    <row r="1396" spans="1:23" ht="12.5">
      <c r="A1396" s="5">
        <v>91901</v>
      </c>
      <c r="B1396" s="5" t="s">
        <v>17965</v>
      </c>
      <c r="C1396" s="5">
        <v>13128896624</v>
      </c>
      <c r="D1396" s="5">
        <v>95</v>
      </c>
      <c r="E1396" s="5" t="s">
        <v>42</v>
      </c>
      <c r="F1396" s="5" t="s">
        <v>110</v>
      </c>
      <c r="G1396" s="5" t="s">
        <v>9774</v>
      </c>
      <c r="H1396" s="5" t="s">
        <v>9775</v>
      </c>
      <c r="I1396" s="5"/>
      <c r="J1396" s="12">
        <v>46066</v>
      </c>
      <c r="K1396" s="11">
        <v>0.41666666666787933</v>
      </c>
      <c r="M1396" s="10" t="s">
        <v>14755</v>
      </c>
      <c r="N1396" s="12">
        <v>46065.731954351853</v>
      </c>
      <c r="O1396" s="10" t="s">
        <v>16678</v>
      </c>
      <c r="P1396" s="5" t="s">
        <v>14571</v>
      </c>
      <c r="Q1396" s="5" t="s">
        <v>14578</v>
      </c>
      <c r="R1396" s="5" t="s">
        <v>17966</v>
      </c>
      <c r="T1396" s="5" t="s">
        <v>5994</v>
      </c>
      <c r="U1396" s="5" t="s">
        <v>14593</v>
      </c>
      <c r="V1396" s="5" t="s">
        <v>1705</v>
      </c>
      <c r="W1396" s="5"/>
    </row>
    <row r="1397" spans="1:23" ht="12.5">
      <c r="A1397" s="5">
        <v>91902</v>
      </c>
      <c r="B1397" s="5" t="s">
        <v>17967</v>
      </c>
      <c r="C1397" s="5">
        <v>573156182908</v>
      </c>
      <c r="D1397" s="5">
        <v>27</v>
      </c>
      <c r="E1397" s="5" t="s">
        <v>3372</v>
      </c>
      <c r="F1397" s="5" t="s">
        <v>420</v>
      </c>
      <c r="G1397" s="5" t="s">
        <v>9777</v>
      </c>
      <c r="H1397" s="5" t="s">
        <v>9778</v>
      </c>
      <c r="I1397" s="5">
        <v>3156182908</v>
      </c>
      <c r="J1397" s="12">
        <v>46066</v>
      </c>
      <c r="K1397" s="11">
        <v>0</v>
      </c>
      <c r="M1397" s="10" t="s">
        <v>15585</v>
      </c>
      <c r="N1397" s="12">
        <v>46065.723466620373</v>
      </c>
      <c r="O1397" s="10" t="s">
        <v>15026</v>
      </c>
      <c r="P1397" s="5" t="s">
        <v>14571</v>
      </c>
      <c r="Q1397" s="5" t="s">
        <v>14572</v>
      </c>
      <c r="R1397" s="5" t="s">
        <v>17968</v>
      </c>
      <c r="T1397" s="5" t="s">
        <v>5994</v>
      </c>
      <c r="U1397" s="5" t="s">
        <v>14580</v>
      </c>
      <c r="V1397" s="5" t="s">
        <v>67</v>
      </c>
      <c r="W1397" s="5" t="s">
        <v>9781</v>
      </c>
    </row>
    <row r="1398" spans="1:23" ht="12.5">
      <c r="A1398" s="5">
        <v>91903</v>
      </c>
      <c r="B1398" s="5" t="s">
        <v>9785</v>
      </c>
      <c r="C1398" s="5">
        <v>573205216447</v>
      </c>
      <c r="D1398" s="5">
        <v>23</v>
      </c>
      <c r="E1398" s="5" t="s">
        <v>9280</v>
      </c>
      <c r="F1398" s="5" t="s">
        <v>249</v>
      </c>
      <c r="G1398" s="5" t="s">
        <v>9782</v>
      </c>
      <c r="H1398" s="5" t="s">
        <v>9783</v>
      </c>
      <c r="I1398" s="5">
        <v>3023574207</v>
      </c>
      <c r="J1398" s="12">
        <v>46066</v>
      </c>
      <c r="K1398" s="11">
        <v>0.41666666666787933</v>
      </c>
      <c r="M1398" s="10" t="s">
        <v>15179</v>
      </c>
      <c r="N1398" s="12">
        <v>46065.731137499999</v>
      </c>
      <c r="O1398" s="10" t="s">
        <v>15665</v>
      </c>
      <c r="P1398" s="5" t="s">
        <v>14571</v>
      </c>
      <c r="Q1398" s="5" t="s">
        <v>17688</v>
      </c>
      <c r="R1398" s="5" t="s">
        <v>17969</v>
      </c>
      <c r="T1398" s="5" t="s">
        <v>5994</v>
      </c>
      <c r="U1398" s="5" t="s">
        <v>14593</v>
      </c>
      <c r="V1398" s="5" t="s">
        <v>7644</v>
      </c>
      <c r="W1398" s="5" t="s">
        <v>9771</v>
      </c>
    </row>
    <row r="1399" spans="1:23" ht="12.5">
      <c r="A1399" s="5">
        <v>91904</v>
      </c>
      <c r="B1399" s="5" t="s">
        <v>17970</v>
      </c>
      <c r="C1399" s="5">
        <v>573002603555</v>
      </c>
      <c r="D1399" s="5">
        <v>95</v>
      </c>
      <c r="E1399" s="5" t="s">
        <v>42</v>
      </c>
      <c r="F1399" s="5" t="s">
        <v>33</v>
      </c>
      <c r="G1399" s="5" t="s">
        <v>5682</v>
      </c>
      <c r="H1399" s="5" t="s">
        <v>34</v>
      </c>
      <c r="I1399" s="5"/>
      <c r="J1399" s="12">
        <v>46065</v>
      </c>
      <c r="K1399" s="11">
        <v>0</v>
      </c>
      <c r="M1399" s="10" t="s">
        <v>15011</v>
      </c>
      <c r="N1399" s="12">
        <v>46065.746533124999</v>
      </c>
      <c r="O1399" s="10" t="s">
        <v>15811</v>
      </c>
      <c r="P1399" s="5" t="s">
        <v>14571</v>
      </c>
      <c r="Q1399" s="5" t="s">
        <v>14612</v>
      </c>
      <c r="R1399" s="5" t="s">
        <v>17971</v>
      </c>
      <c r="T1399" s="5" t="s">
        <v>14574</v>
      </c>
      <c r="U1399" s="5" t="s">
        <v>33</v>
      </c>
      <c r="V1399" s="5" t="s">
        <v>1705</v>
      </c>
      <c r="W1399" s="5" t="s">
        <v>9787</v>
      </c>
    </row>
    <row r="1400" spans="1:23" ht="12.5">
      <c r="A1400" s="5">
        <v>91905</v>
      </c>
      <c r="B1400" s="5" t="s">
        <v>17972</v>
      </c>
      <c r="C1400" s="5">
        <v>573114044420</v>
      </c>
      <c r="D1400" s="5">
        <v>23</v>
      </c>
      <c r="E1400" s="5" t="s">
        <v>9280</v>
      </c>
      <c r="F1400" s="5" t="s">
        <v>185</v>
      </c>
      <c r="G1400" s="5" t="s">
        <v>9788</v>
      </c>
      <c r="H1400" s="5" t="s">
        <v>9789</v>
      </c>
      <c r="I1400" s="5">
        <v>3114044420</v>
      </c>
      <c r="J1400" s="12">
        <v>46066</v>
      </c>
      <c r="K1400" s="11">
        <v>0.41666666666787933</v>
      </c>
      <c r="M1400" s="10" t="s">
        <v>14899</v>
      </c>
      <c r="N1400" s="12">
        <v>46065.734953078703</v>
      </c>
      <c r="O1400" s="10" t="s">
        <v>17973</v>
      </c>
      <c r="P1400" s="5" t="s">
        <v>14571</v>
      </c>
      <c r="Q1400" s="5" t="s">
        <v>17688</v>
      </c>
      <c r="R1400" s="5" t="s">
        <v>17974</v>
      </c>
      <c r="T1400" s="5" t="s">
        <v>5994</v>
      </c>
      <c r="U1400" s="5" t="s">
        <v>14580</v>
      </c>
      <c r="V1400" s="5" t="s">
        <v>7644</v>
      </c>
      <c r="W1400" s="5" t="s">
        <v>9771</v>
      </c>
    </row>
    <row r="1401" spans="1:23" ht="12.5">
      <c r="A1401" s="5">
        <v>91906</v>
      </c>
      <c r="B1401" s="5" t="s">
        <v>17975</v>
      </c>
      <c r="C1401" s="10" t="s">
        <v>17976</v>
      </c>
      <c r="D1401" s="5" t="s">
        <v>17977</v>
      </c>
      <c r="E1401" s="5" t="s">
        <v>9796</v>
      </c>
      <c r="F1401" s="5" t="s">
        <v>33</v>
      </c>
      <c r="G1401" s="5" t="s">
        <v>9792</v>
      </c>
      <c r="H1401" s="5" t="s">
        <v>9795</v>
      </c>
      <c r="I1401" s="5"/>
      <c r="J1401" s="12">
        <v>46067</v>
      </c>
      <c r="K1401" s="11">
        <v>0.33333333333333331</v>
      </c>
      <c r="M1401" s="10" t="s">
        <v>15594</v>
      </c>
      <c r="N1401" s="12">
        <v>46065</v>
      </c>
      <c r="O1401" s="10" t="s">
        <v>16555</v>
      </c>
      <c r="P1401" s="5" t="s">
        <v>14571</v>
      </c>
      <c r="Q1401" s="5" t="s">
        <v>14572</v>
      </c>
      <c r="R1401" s="5" t="s">
        <v>17978</v>
      </c>
      <c r="T1401" s="5" t="s">
        <v>14574</v>
      </c>
      <c r="U1401" s="5" t="s">
        <v>33</v>
      </c>
      <c r="V1401" s="5" t="s">
        <v>1705</v>
      </c>
      <c r="W1401" s="5"/>
    </row>
    <row r="1402" spans="1:23" ht="12.5">
      <c r="A1402" s="5">
        <v>91907</v>
      </c>
      <c r="B1402" s="5" t="s">
        <v>12085</v>
      </c>
      <c r="C1402" s="5">
        <v>573045208458</v>
      </c>
      <c r="D1402" s="5">
        <v>52</v>
      </c>
      <c r="E1402" s="5" t="s">
        <v>6874</v>
      </c>
      <c r="F1402" s="5" t="s">
        <v>63</v>
      </c>
      <c r="G1402" s="5" t="s">
        <v>9798</v>
      </c>
      <c r="H1402" s="5" t="s">
        <v>9799</v>
      </c>
      <c r="I1402" s="5">
        <v>3045208458</v>
      </c>
      <c r="J1402" s="12">
        <v>46066</v>
      </c>
      <c r="K1402" s="11">
        <v>0</v>
      </c>
      <c r="M1402" s="10" t="s">
        <v>15157</v>
      </c>
      <c r="N1402" s="12">
        <v>46065.747652164355</v>
      </c>
      <c r="O1402" s="10" t="s">
        <v>17979</v>
      </c>
      <c r="P1402" s="5" t="s">
        <v>14571</v>
      </c>
      <c r="Q1402" s="5" t="s">
        <v>17404</v>
      </c>
      <c r="R1402" s="5" t="s">
        <v>17980</v>
      </c>
      <c r="T1402" s="5" t="s">
        <v>5994</v>
      </c>
      <c r="U1402" s="5" t="s">
        <v>14598</v>
      </c>
      <c r="V1402" s="5" t="s">
        <v>7644</v>
      </c>
      <c r="W1402" s="5" t="s">
        <v>9726</v>
      </c>
    </row>
    <row r="1403" spans="1:23" ht="12.5">
      <c r="A1403" s="5">
        <v>91908</v>
      </c>
      <c r="B1403" s="5" t="s">
        <v>17981</v>
      </c>
      <c r="C1403" s="5">
        <v>573205818323</v>
      </c>
      <c r="D1403" s="5">
        <v>22</v>
      </c>
      <c r="E1403" s="5" t="s">
        <v>309</v>
      </c>
      <c r="F1403" s="5"/>
      <c r="G1403" s="5" t="s">
        <v>9802</v>
      </c>
      <c r="H1403" s="5" t="s">
        <v>9803</v>
      </c>
      <c r="I1403" s="5">
        <v>3205818323</v>
      </c>
      <c r="J1403" s="12">
        <v>46066</v>
      </c>
      <c r="K1403" s="11">
        <v>0</v>
      </c>
      <c r="M1403" s="10" t="s">
        <v>14627</v>
      </c>
      <c r="N1403" s="12">
        <v>46065.727016701392</v>
      </c>
      <c r="O1403" s="10" t="s">
        <v>17360</v>
      </c>
      <c r="P1403" s="5" t="s">
        <v>14571</v>
      </c>
      <c r="Q1403" s="5" t="s">
        <v>17423</v>
      </c>
      <c r="R1403" s="5" t="s">
        <v>17982</v>
      </c>
      <c r="T1403" s="5" t="s">
        <v>5994</v>
      </c>
      <c r="U1403" s="5"/>
      <c r="V1403" s="5" t="s">
        <v>196</v>
      </c>
      <c r="W1403" s="5" t="s">
        <v>9726</v>
      </c>
    </row>
    <row r="1404" spans="1:23" ht="12.5">
      <c r="A1404" s="5">
        <v>91909</v>
      </c>
      <c r="B1404" s="5" t="s">
        <v>17983</v>
      </c>
      <c r="C1404" s="5">
        <v>573022930233</v>
      </c>
      <c r="D1404" s="5">
        <v>22</v>
      </c>
      <c r="E1404" s="5" t="s">
        <v>309</v>
      </c>
      <c r="F1404" s="5" t="s">
        <v>3276</v>
      </c>
      <c r="G1404" s="5" t="s">
        <v>9808</v>
      </c>
      <c r="H1404" s="5" t="s">
        <v>9809</v>
      </c>
      <c r="I1404" s="5" t="s">
        <v>9810</v>
      </c>
      <c r="J1404" s="12">
        <v>46066</v>
      </c>
      <c r="K1404" s="11">
        <v>0.41666666666787933</v>
      </c>
      <c r="M1404" s="10" t="s">
        <v>15594</v>
      </c>
      <c r="N1404" s="12">
        <v>46065.776037453703</v>
      </c>
      <c r="O1404" s="10" t="s">
        <v>17984</v>
      </c>
      <c r="P1404" s="5" t="s">
        <v>14571</v>
      </c>
      <c r="Q1404" s="5" t="s">
        <v>17404</v>
      </c>
      <c r="R1404" s="5" t="s">
        <v>17985</v>
      </c>
      <c r="T1404" s="5" t="s">
        <v>5994</v>
      </c>
      <c r="U1404" s="5"/>
      <c r="V1404" s="5" t="s">
        <v>7644</v>
      </c>
      <c r="W1404" s="5" t="s">
        <v>9813</v>
      </c>
    </row>
    <row r="1405" spans="1:23" ht="12.5">
      <c r="A1405" s="5">
        <v>91910</v>
      </c>
      <c r="B1405" s="5" t="s">
        <v>17986</v>
      </c>
      <c r="C1405" s="5">
        <v>573145102539</v>
      </c>
      <c r="D1405" s="5">
        <v>40</v>
      </c>
      <c r="E1405" s="5" t="s">
        <v>3142</v>
      </c>
      <c r="F1405" s="5" t="s">
        <v>103</v>
      </c>
      <c r="G1405" s="5" t="s">
        <v>9816</v>
      </c>
      <c r="H1405" s="5" t="s">
        <v>9817</v>
      </c>
      <c r="I1405" s="5">
        <v>3008568263</v>
      </c>
      <c r="J1405" s="12">
        <v>46066</v>
      </c>
      <c r="K1405" s="11">
        <v>0.375</v>
      </c>
      <c r="M1405" s="10" t="s">
        <v>15128</v>
      </c>
      <c r="N1405" s="12">
        <v>46065.762456249999</v>
      </c>
      <c r="O1405" s="10" t="s">
        <v>16167</v>
      </c>
      <c r="P1405" s="5" t="s">
        <v>14571</v>
      </c>
      <c r="Q1405" s="5" t="s">
        <v>14572</v>
      </c>
      <c r="R1405" s="5" t="s">
        <v>17987</v>
      </c>
      <c r="T1405" s="5" t="s">
        <v>5994</v>
      </c>
      <c r="U1405" s="5" t="s">
        <v>14593</v>
      </c>
      <c r="V1405" s="5" t="s">
        <v>7644</v>
      </c>
      <c r="W1405" s="5" t="s">
        <v>9600</v>
      </c>
    </row>
    <row r="1406" spans="1:23" ht="12.5">
      <c r="A1406" s="5">
        <v>91911</v>
      </c>
      <c r="B1406" s="5" t="s">
        <v>9820</v>
      </c>
      <c r="C1406" s="5">
        <v>573003242193</v>
      </c>
      <c r="D1406" s="5">
        <v>16</v>
      </c>
      <c r="E1406" s="5" t="s">
        <v>2556</v>
      </c>
      <c r="F1406" s="5" t="s">
        <v>161</v>
      </c>
      <c r="G1406" s="5" t="s">
        <v>9820</v>
      </c>
      <c r="H1406" s="5" t="s">
        <v>9821</v>
      </c>
      <c r="I1406" s="5">
        <v>3215509226</v>
      </c>
      <c r="J1406" s="12">
        <v>46066</v>
      </c>
      <c r="K1406" s="11">
        <v>0.5</v>
      </c>
      <c r="M1406" s="10" t="s">
        <v>15335</v>
      </c>
      <c r="N1406" s="12">
        <v>46066.313388842595</v>
      </c>
      <c r="O1406" s="10" t="s">
        <v>16937</v>
      </c>
      <c r="P1406" s="5" t="s">
        <v>14571</v>
      </c>
      <c r="Q1406" s="5" t="s">
        <v>16907</v>
      </c>
      <c r="R1406" s="5" t="s">
        <v>17988</v>
      </c>
      <c r="T1406" s="5" t="s">
        <v>5994</v>
      </c>
      <c r="U1406" s="5" t="s">
        <v>14593</v>
      </c>
      <c r="V1406" s="5" t="s">
        <v>43</v>
      </c>
      <c r="W1406" s="5" t="s">
        <v>9823</v>
      </c>
    </row>
    <row r="1407" spans="1:23" ht="12.5">
      <c r="A1407" s="5">
        <v>91912</v>
      </c>
      <c r="B1407" s="5" t="s">
        <v>9828</v>
      </c>
      <c r="C1407" s="5">
        <v>573007040960</v>
      </c>
      <c r="D1407" s="5">
        <v>56</v>
      </c>
      <c r="E1407" s="5" t="s">
        <v>9152</v>
      </c>
      <c r="F1407" s="5" t="s">
        <v>930</v>
      </c>
      <c r="G1407" s="5" t="s">
        <v>9824</v>
      </c>
      <c r="H1407" s="5" t="s">
        <v>9825</v>
      </c>
      <c r="I1407" s="5" t="s">
        <v>9826</v>
      </c>
      <c r="J1407" s="12">
        <v>46066</v>
      </c>
      <c r="K1407" s="11">
        <v>0.45833333333212067</v>
      </c>
      <c r="M1407" s="10" t="s">
        <v>15301</v>
      </c>
      <c r="N1407" s="12">
        <v>46066.334682905093</v>
      </c>
      <c r="O1407" s="10" t="s">
        <v>14681</v>
      </c>
      <c r="P1407" s="5" t="s">
        <v>14571</v>
      </c>
      <c r="Q1407" s="5" t="s">
        <v>14612</v>
      </c>
      <c r="R1407" s="5" t="s">
        <v>17989</v>
      </c>
      <c r="T1407" s="5" t="s">
        <v>5994</v>
      </c>
      <c r="U1407" s="5" t="s">
        <v>14598</v>
      </c>
      <c r="V1407" s="5" t="s">
        <v>7644</v>
      </c>
      <c r="W1407" s="5" t="s">
        <v>9612</v>
      </c>
    </row>
    <row r="1408" spans="1:23" ht="12.5">
      <c r="A1408" s="5">
        <v>91913</v>
      </c>
      <c r="B1408" s="5" t="s">
        <v>12073</v>
      </c>
      <c r="C1408" s="5">
        <v>573166212722</v>
      </c>
      <c r="D1408" s="5">
        <v>52</v>
      </c>
      <c r="E1408" s="5" t="s">
        <v>6874</v>
      </c>
      <c r="G1408" s="5" t="s">
        <v>9829</v>
      </c>
      <c r="H1408" s="5" t="s">
        <v>33</v>
      </c>
      <c r="J1408" s="12">
        <v>46066</v>
      </c>
      <c r="K1408" s="11">
        <v>0.45833333333212067</v>
      </c>
      <c r="M1408" s="10" t="s">
        <v>15594</v>
      </c>
      <c r="N1408" s="12">
        <v>46066.3628603588</v>
      </c>
      <c r="O1408" s="10" t="s">
        <v>17222</v>
      </c>
      <c r="P1408" s="5" t="s">
        <v>14571</v>
      </c>
      <c r="Q1408" s="5" t="s">
        <v>17990</v>
      </c>
      <c r="R1408" s="5" t="s">
        <v>17991</v>
      </c>
      <c r="T1408" s="5" t="s">
        <v>5994</v>
      </c>
      <c r="V1408" s="5" t="s">
        <v>7644</v>
      </c>
      <c r="W1408" s="5" t="s">
        <v>9612</v>
      </c>
    </row>
    <row r="1409" spans="1:23" ht="12.5">
      <c r="A1409" s="5">
        <v>91914</v>
      </c>
      <c r="B1409" s="5" t="s">
        <v>9832</v>
      </c>
      <c r="C1409" s="5">
        <v>573164465809</v>
      </c>
      <c r="D1409" s="5">
        <v>52</v>
      </c>
      <c r="E1409" s="5" t="s">
        <v>6874</v>
      </c>
      <c r="F1409" s="5" t="s">
        <v>886</v>
      </c>
      <c r="G1409" s="5" t="s">
        <v>9832</v>
      </c>
      <c r="H1409" s="5" t="s">
        <v>9833</v>
      </c>
      <c r="I1409" s="5">
        <v>3164465809</v>
      </c>
      <c r="J1409" s="12">
        <v>46066</v>
      </c>
      <c r="K1409" s="11">
        <v>0</v>
      </c>
      <c r="M1409" s="10" t="s">
        <v>14960</v>
      </c>
      <c r="N1409" s="12">
        <v>46066.35413118056</v>
      </c>
      <c r="O1409" s="10" t="s">
        <v>17222</v>
      </c>
      <c r="P1409" s="5" t="s">
        <v>14571</v>
      </c>
      <c r="Q1409" s="5" t="s">
        <v>17423</v>
      </c>
      <c r="R1409" s="5" t="s">
        <v>17992</v>
      </c>
      <c r="T1409" s="5" t="s">
        <v>5994</v>
      </c>
      <c r="U1409" s="5" t="s">
        <v>14618</v>
      </c>
      <c r="V1409" s="5" t="s">
        <v>7644</v>
      </c>
      <c r="W1409" s="5" t="s">
        <v>9836</v>
      </c>
    </row>
    <row r="1410" spans="1:23" ht="12.5">
      <c r="A1410" s="5">
        <v>91915</v>
      </c>
      <c r="B1410" s="5" t="s">
        <v>9839</v>
      </c>
      <c r="C1410" s="5">
        <v>573233900013</v>
      </c>
      <c r="D1410" s="5">
        <v>49</v>
      </c>
      <c r="E1410" s="5" t="s">
        <v>9546</v>
      </c>
      <c r="F1410" s="5" t="s">
        <v>124</v>
      </c>
      <c r="G1410" s="5" t="s">
        <v>2287</v>
      </c>
      <c r="H1410" s="5" t="s">
        <v>9838</v>
      </c>
      <c r="I1410" s="5">
        <v>3174273098</v>
      </c>
      <c r="J1410" s="12">
        <v>46066</v>
      </c>
      <c r="K1410" s="11">
        <v>0.45833333333212067</v>
      </c>
      <c r="M1410" s="10" t="s">
        <v>17993</v>
      </c>
      <c r="N1410" s="12">
        <v>46066.359017037037</v>
      </c>
      <c r="O1410" s="10" t="s">
        <v>15488</v>
      </c>
      <c r="P1410" s="5" t="s">
        <v>14571</v>
      </c>
      <c r="Q1410" s="5" t="s">
        <v>17688</v>
      </c>
      <c r="R1410" s="5" t="s">
        <v>17994</v>
      </c>
      <c r="T1410" s="5" t="s">
        <v>5994</v>
      </c>
      <c r="U1410" s="5" t="s">
        <v>14775</v>
      </c>
      <c r="V1410" s="5" t="s">
        <v>7644</v>
      </c>
      <c r="W1410" s="5" t="s">
        <v>9836</v>
      </c>
    </row>
    <row r="1411" spans="1:23" ht="12.5">
      <c r="A1411" s="5">
        <v>91916</v>
      </c>
      <c r="B1411" s="5" t="s">
        <v>9840</v>
      </c>
      <c r="C1411" s="5">
        <v>573113809866</v>
      </c>
      <c r="D1411" s="5">
        <v>51</v>
      </c>
      <c r="E1411" s="5" t="s">
        <v>9842</v>
      </c>
      <c r="F1411" s="5" t="s">
        <v>63</v>
      </c>
      <c r="G1411" s="5" t="s">
        <v>9840</v>
      </c>
      <c r="H1411" s="5" t="s">
        <v>9841</v>
      </c>
      <c r="I1411" s="5">
        <v>3113809866</v>
      </c>
      <c r="J1411" s="12">
        <v>46066</v>
      </c>
      <c r="K1411" s="11">
        <v>0</v>
      </c>
      <c r="M1411" s="10" t="s">
        <v>15359</v>
      </c>
      <c r="N1411" s="12">
        <v>46066.34779403935</v>
      </c>
      <c r="O1411" s="10" t="s">
        <v>16358</v>
      </c>
      <c r="P1411" s="5" t="s">
        <v>14571</v>
      </c>
      <c r="Q1411" s="5" t="s">
        <v>14572</v>
      </c>
      <c r="R1411" s="5" t="s">
        <v>17995</v>
      </c>
      <c r="T1411" s="5" t="s">
        <v>5994</v>
      </c>
      <c r="U1411" s="5" t="s">
        <v>14598</v>
      </c>
      <c r="V1411" s="5" t="s">
        <v>7644</v>
      </c>
      <c r="W1411" s="5" t="s">
        <v>2708</v>
      </c>
    </row>
    <row r="1412" spans="1:23" ht="12.5">
      <c r="A1412" s="5">
        <v>91917</v>
      </c>
      <c r="B1412" s="5" t="s">
        <v>17996</v>
      </c>
      <c r="C1412" s="5">
        <v>573205414689</v>
      </c>
      <c r="D1412" s="5">
        <v>55</v>
      </c>
      <c r="E1412" s="5" t="s">
        <v>9238</v>
      </c>
      <c r="F1412" s="5" t="s">
        <v>63</v>
      </c>
      <c r="G1412" s="5" t="s">
        <v>9843</v>
      </c>
      <c r="H1412" s="5" t="s">
        <v>9844</v>
      </c>
      <c r="I1412" s="5">
        <v>3205414689</v>
      </c>
      <c r="J1412" s="12">
        <v>46067</v>
      </c>
      <c r="K1412" s="11">
        <v>0.5</v>
      </c>
      <c r="M1412" s="10" t="s">
        <v>17427</v>
      </c>
      <c r="N1412" s="12">
        <v>46066.369853842596</v>
      </c>
      <c r="O1412" s="10" t="s">
        <v>15421</v>
      </c>
      <c r="P1412" s="5" t="s">
        <v>14571</v>
      </c>
      <c r="Q1412" s="5" t="s">
        <v>17404</v>
      </c>
      <c r="R1412" s="5" t="s">
        <v>17997</v>
      </c>
      <c r="T1412" s="5" t="s">
        <v>5994</v>
      </c>
      <c r="U1412" s="5" t="s">
        <v>14598</v>
      </c>
      <c r="V1412" s="5" t="s">
        <v>7644</v>
      </c>
      <c r="W1412" s="5" t="s">
        <v>9600</v>
      </c>
    </row>
    <row r="1413" spans="1:23" ht="12.5">
      <c r="A1413" s="5">
        <v>91918</v>
      </c>
      <c r="B1413" s="5" t="s">
        <v>17998</v>
      </c>
      <c r="C1413" s="10" t="s">
        <v>17999</v>
      </c>
      <c r="D1413" s="5">
        <v>29</v>
      </c>
      <c r="E1413" s="5" t="s">
        <v>309</v>
      </c>
      <c r="F1413" s="5" t="s">
        <v>249</v>
      </c>
      <c r="G1413" s="5" t="s">
        <v>297</v>
      </c>
      <c r="H1413" s="5" t="s">
        <v>9849</v>
      </c>
      <c r="I1413" s="5">
        <v>3104482680</v>
      </c>
      <c r="J1413" s="12">
        <v>46066</v>
      </c>
      <c r="K1413" s="11">
        <v>0.45833333333333331</v>
      </c>
      <c r="M1413" s="10" t="s">
        <v>15064</v>
      </c>
      <c r="N1413" s="12">
        <v>46066</v>
      </c>
      <c r="O1413" s="10" t="s">
        <v>15319</v>
      </c>
      <c r="P1413" s="5" t="s">
        <v>14571</v>
      </c>
      <c r="Q1413" s="5" t="s">
        <v>17688</v>
      </c>
      <c r="R1413" s="5" t="s">
        <v>18000</v>
      </c>
      <c r="T1413" s="5" t="s">
        <v>5994</v>
      </c>
      <c r="U1413" s="5" t="s">
        <v>14593</v>
      </c>
      <c r="V1413" s="5" t="s">
        <v>7644</v>
      </c>
      <c r="W1413" s="5" t="s">
        <v>9612</v>
      </c>
    </row>
    <row r="1414" spans="1:23" ht="12.5">
      <c r="A1414" s="5">
        <v>91919</v>
      </c>
      <c r="B1414" s="5" t="s">
        <v>18001</v>
      </c>
      <c r="C1414" s="10" t="s">
        <v>18002</v>
      </c>
      <c r="D1414" s="5">
        <v>39</v>
      </c>
      <c r="E1414" s="5" t="s">
        <v>96</v>
      </c>
      <c r="F1414" s="5" t="s">
        <v>1317</v>
      </c>
      <c r="G1414" s="5" t="s">
        <v>9854</v>
      </c>
      <c r="H1414" s="5" t="s">
        <v>9855</v>
      </c>
      <c r="I1414" s="5"/>
      <c r="J1414" s="12">
        <v>46067</v>
      </c>
      <c r="K1414" s="11">
        <v>0</v>
      </c>
      <c r="M1414" s="10" t="s">
        <v>15304</v>
      </c>
      <c r="N1414" s="12">
        <v>46066</v>
      </c>
      <c r="O1414" s="10" t="s">
        <v>14999</v>
      </c>
      <c r="P1414" s="5" t="s">
        <v>14571</v>
      </c>
      <c r="Q1414" s="5" t="s">
        <v>14572</v>
      </c>
      <c r="R1414" s="5" t="s">
        <v>18003</v>
      </c>
      <c r="T1414" s="5" t="s">
        <v>5994</v>
      </c>
      <c r="U1414" s="5" t="s">
        <v>15349</v>
      </c>
      <c r="V1414" s="5" t="s">
        <v>1937</v>
      </c>
      <c r="W1414" s="5" t="s">
        <v>9858</v>
      </c>
    </row>
    <row r="1415" spans="1:23" ht="12.5">
      <c r="A1415" s="5">
        <v>91920</v>
      </c>
      <c r="B1415" s="5" t="s">
        <v>18004</v>
      </c>
      <c r="C1415" s="5">
        <v>573147843995</v>
      </c>
      <c r="D1415" s="5">
        <v>98</v>
      </c>
      <c r="E1415" s="5" t="s">
        <v>9478</v>
      </c>
      <c r="F1415" s="5" t="s">
        <v>185</v>
      </c>
      <c r="G1415" s="5" t="s">
        <v>9860</v>
      </c>
      <c r="H1415" s="5" t="s">
        <v>9861</v>
      </c>
      <c r="I1415" s="5">
        <v>3203659741</v>
      </c>
      <c r="J1415" s="12">
        <v>46066</v>
      </c>
      <c r="K1415" s="11">
        <v>0.5</v>
      </c>
      <c r="M1415" s="10" t="s">
        <v>16647</v>
      </c>
      <c r="N1415" s="12">
        <v>46066.387574050925</v>
      </c>
      <c r="O1415" s="10" t="s">
        <v>15170</v>
      </c>
      <c r="P1415" s="5" t="s">
        <v>14571</v>
      </c>
      <c r="Q1415" s="5" t="s">
        <v>17404</v>
      </c>
      <c r="R1415" s="5" t="s">
        <v>18005</v>
      </c>
      <c r="T1415" s="5" t="s">
        <v>5994</v>
      </c>
      <c r="U1415" s="5" t="s">
        <v>14580</v>
      </c>
      <c r="V1415" s="5" t="s">
        <v>7644</v>
      </c>
      <c r="W1415" s="5" t="s">
        <v>9600</v>
      </c>
    </row>
    <row r="1416" spans="1:23" ht="12.5">
      <c r="A1416" s="5">
        <v>91921</v>
      </c>
      <c r="B1416" s="5" t="s">
        <v>15172</v>
      </c>
      <c r="C1416" s="5">
        <v>573004753197</v>
      </c>
      <c r="D1416" s="5">
        <v>52</v>
      </c>
      <c r="E1416" s="5" t="s">
        <v>6874</v>
      </c>
      <c r="F1416" s="5" t="s">
        <v>7476</v>
      </c>
      <c r="G1416" s="5" t="s">
        <v>9864</v>
      </c>
      <c r="H1416" s="5" t="s">
        <v>9865</v>
      </c>
      <c r="I1416" s="5" t="s">
        <v>9866</v>
      </c>
      <c r="J1416" s="12">
        <v>46066</v>
      </c>
      <c r="K1416" s="11">
        <v>0.45833333333212067</v>
      </c>
      <c r="M1416" s="10" t="s">
        <v>14643</v>
      </c>
      <c r="N1416" s="12">
        <v>46066.39833225694</v>
      </c>
      <c r="O1416" s="10" t="s">
        <v>16947</v>
      </c>
      <c r="P1416" s="5" t="s">
        <v>14571</v>
      </c>
      <c r="Q1416" s="5" t="s">
        <v>17423</v>
      </c>
      <c r="R1416" s="5" t="s">
        <v>18006</v>
      </c>
      <c r="T1416" s="5" t="s">
        <v>5994</v>
      </c>
      <c r="U1416" s="5" t="s">
        <v>15349</v>
      </c>
      <c r="V1416" s="5" t="s">
        <v>7644</v>
      </c>
      <c r="W1416" s="5" t="s">
        <v>9869</v>
      </c>
    </row>
    <row r="1417" spans="1:23" ht="12.5">
      <c r="A1417" s="5">
        <v>91922</v>
      </c>
      <c r="B1417" s="5" t="s">
        <v>12263</v>
      </c>
      <c r="C1417" s="5">
        <v>573136478008</v>
      </c>
      <c r="D1417" s="5">
        <v>51</v>
      </c>
      <c r="E1417" s="5" t="s">
        <v>9842</v>
      </c>
      <c r="F1417" s="5" t="s">
        <v>249</v>
      </c>
      <c r="G1417" s="5" t="s">
        <v>6491</v>
      </c>
      <c r="H1417" s="5" t="s">
        <v>9870</v>
      </c>
      <c r="I1417" s="5">
        <v>3104032481</v>
      </c>
      <c r="J1417" s="12">
        <v>46066</v>
      </c>
      <c r="K1417" s="11">
        <v>0.66666666666787933</v>
      </c>
      <c r="M1417" s="10" t="s">
        <v>14777</v>
      </c>
      <c r="N1417" s="12">
        <v>46066.401872268514</v>
      </c>
      <c r="O1417" s="10" t="s">
        <v>15916</v>
      </c>
      <c r="P1417" s="5" t="s">
        <v>14571</v>
      </c>
      <c r="Q1417" s="5" t="s">
        <v>17990</v>
      </c>
      <c r="R1417" s="5" t="s">
        <v>18007</v>
      </c>
      <c r="T1417" s="5" t="s">
        <v>5994</v>
      </c>
      <c r="U1417" s="5" t="s">
        <v>14593</v>
      </c>
      <c r="V1417" s="5" t="s">
        <v>7644</v>
      </c>
      <c r="W1417" s="5" t="s">
        <v>9873</v>
      </c>
    </row>
    <row r="1418" spans="1:23" ht="12.5">
      <c r="A1418" s="5">
        <v>91923</v>
      </c>
      <c r="B1418" s="5" t="s">
        <v>18008</v>
      </c>
      <c r="C1418" s="5">
        <v>19293511166</v>
      </c>
      <c r="D1418" s="5">
        <v>51</v>
      </c>
      <c r="E1418" s="5" t="s">
        <v>9842</v>
      </c>
      <c r="F1418" s="5" t="s">
        <v>249</v>
      </c>
      <c r="G1418" s="5" t="s">
        <v>9874</v>
      </c>
      <c r="H1418" s="5" t="s">
        <v>9875</v>
      </c>
      <c r="I1418" s="5"/>
      <c r="J1418" s="12">
        <v>46066</v>
      </c>
      <c r="K1418" s="11">
        <v>0.5</v>
      </c>
      <c r="M1418" s="10" t="s">
        <v>14777</v>
      </c>
      <c r="N1418" s="12">
        <v>46065.622710057869</v>
      </c>
      <c r="O1418" s="10" t="s">
        <v>16888</v>
      </c>
      <c r="P1418" s="5" t="s">
        <v>14571</v>
      </c>
      <c r="Q1418" s="5" t="s">
        <v>17479</v>
      </c>
      <c r="R1418" s="5" t="s">
        <v>18009</v>
      </c>
      <c r="T1418" s="5" t="s">
        <v>5994</v>
      </c>
      <c r="U1418" s="5" t="s">
        <v>14593</v>
      </c>
      <c r="V1418" s="5" t="s">
        <v>7644</v>
      </c>
      <c r="W1418" s="5" t="s">
        <v>9600</v>
      </c>
    </row>
    <row r="1419" spans="1:23" ht="12.5">
      <c r="A1419" s="5">
        <v>91924</v>
      </c>
      <c r="B1419" s="5" t="s">
        <v>18010</v>
      </c>
      <c r="C1419" s="5">
        <v>573043486525</v>
      </c>
      <c r="D1419" s="5">
        <v>38</v>
      </c>
      <c r="E1419" s="5" t="s">
        <v>458</v>
      </c>
      <c r="F1419" s="5" t="s">
        <v>185</v>
      </c>
      <c r="G1419" s="5" t="s">
        <v>9877</v>
      </c>
      <c r="H1419" s="5" t="s">
        <v>9878</v>
      </c>
      <c r="I1419" s="5">
        <v>3145957090</v>
      </c>
      <c r="J1419" s="12">
        <v>46066</v>
      </c>
      <c r="K1419" s="11">
        <v>0.5</v>
      </c>
      <c r="M1419" s="10" t="s">
        <v>18011</v>
      </c>
      <c r="N1419" s="12">
        <v>46065.7895440625</v>
      </c>
      <c r="O1419" s="10" t="s">
        <v>16888</v>
      </c>
      <c r="P1419" s="5" t="s">
        <v>14571</v>
      </c>
      <c r="Q1419" s="5" t="s">
        <v>14578</v>
      </c>
      <c r="R1419" s="5" t="s">
        <v>18012</v>
      </c>
      <c r="T1419" s="5" t="s">
        <v>5994</v>
      </c>
      <c r="U1419" s="5" t="s">
        <v>14580</v>
      </c>
      <c r="V1419" s="5" t="s">
        <v>7644</v>
      </c>
      <c r="W1419" s="5" t="s">
        <v>9881</v>
      </c>
    </row>
    <row r="1420" spans="1:23" ht="12.5">
      <c r="A1420" s="5">
        <v>91925</v>
      </c>
      <c r="B1420" s="5" t="s">
        <v>17554</v>
      </c>
      <c r="C1420" s="5">
        <v>573145404704</v>
      </c>
      <c r="D1420" s="5">
        <v>45</v>
      </c>
      <c r="E1420" s="5" t="s">
        <v>210</v>
      </c>
      <c r="F1420" s="5" t="s">
        <v>185</v>
      </c>
      <c r="G1420" s="5" t="s">
        <v>9882</v>
      </c>
      <c r="H1420" s="5" t="s">
        <v>9883</v>
      </c>
      <c r="I1420" s="5">
        <v>3145404704</v>
      </c>
      <c r="J1420" s="12">
        <v>46066</v>
      </c>
      <c r="K1420" s="11">
        <v>0</v>
      </c>
      <c r="M1420" s="10" t="s">
        <v>16429</v>
      </c>
      <c r="N1420" s="12">
        <v>46066.404995624995</v>
      </c>
      <c r="O1420" s="10" t="s">
        <v>15103</v>
      </c>
      <c r="P1420" s="5" t="s">
        <v>14571</v>
      </c>
      <c r="Q1420" s="5" t="s">
        <v>14578</v>
      </c>
      <c r="R1420" s="5" t="s">
        <v>18013</v>
      </c>
      <c r="T1420" s="5" t="s">
        <v>5994</v>
      </c>
      <c r="U1420" s="5" t="s">
        <v>14580</v>
      </c>
      <c r="V1420" s="5" t="s">
        <v>7644</v>
      </c>
      <c r="W1420" s="5" t="s">
        <v>2708</v>
      </c>
    </row>
    <row r="1421" spans="1:23" ht="12.5">
      <c r="A1421" s="5">
        <v>91926</v>
      </c>
      <c r="B1421" s="5" t="s">
        <v>18014</v>
      </c>
      <c r="C1421" s="10" t="s">
        <v>18015</v>
      </c>
      <c r="D1421" s="5">
        <v>100</v>
      </c>
      <c r="E1421" s="5" t="s">
        <v>9199</v>
      </c>
      <c r="F1421" s="5" t="s">
        <v>7476</v>
      </c>
      <c r="G1421" s="5" t="s">
        <v>18016</v>
      </c>
      <c r="H1421" s="5" t="s">
        <v>9887</v>
      </c>
      <c r="I1421" s="5">
        <v>3017155363</v>
      </c>
      <c r="J1421" s="12">
        <v>46066</v>
      </c>
      <c r="K1421" s="11">
        <v>0</v>
      </c>
      <c r="M1421" s="10" t="s">
        <v>15102</v>
      </c>
      <c r="N1421" s="12">
        <v>46066</v>
      </c>
      <c r="O1421" s="10" t="s">
        <v>15099</v>
      </c>
      <c r="P1421" s="5" t="s">
        <v>14571</v>
      </c>
      <c r="Q1421" s="5" t="s">
        <v>14572</v>
      </c>
      <c r="R1421" s="5" t="s">
        <v>18017</v>
      </c>
      <c r="T1421" s="5" t="s">
        <v>5994</v>
      </c>
      <c r="U1421" s="5" t="s">
        <v>15349</v>
      </c>
      <c r="V1421" s="5" t="s">
        <v>9695</v>
      </c>
      <c r="W1421" s="5" t="s">
        <v>2708</v>
      </c>
    </row>
    <row r="1422" spans="1:23" ht="12.5">
      <c r="A1422" s="5">
        <v>91927</v>
      </c>
      <c r="B1422" s="5" t="s">
        <v>18018</v>
      </c>
      <c r="C1422" s="10" t="s">
        <v>18019</v>
      </c>
      <c r="D1422" s="5">
        <v>58</v>
      </c>
      <c r="E1422" s="5" t="s">
        <v>9892</v>
      </c>
      <c r="F1422" s="5" t="s">
        <v>103</v>
      </c>
      <c r="G1422" s="5" t="s">
        <v>9890</v>
      </c>
      <c r="H1422" s="5" t="s">
        <v>9891</v>
      </c>
      <c r="I1422" s="5">
        <v>3007763123</v>
      </c>
      <c r="J1422" s="12">
        <v>46066</v>
      </c>
      <c r="K1422" s="11">
        <v>0.52083333333333337</v>
      </c>
      <c r="M1422" s="10" t="s">
        <v>10581</v>
      </c>
      <c r="N1422" s="12">
        <v>46066</v>
      </c>
      <c r="O1422" s="10" t="s">
        <v>15095</v>
      </c>
      <c r="P1422" s="5" t="s">
        <v>14571</v>
      </c>
      <c r="Q1422" s="5" t="s">
        <v>14612</v>
      </c>
      <c r="R1422" s="5" t="s">
        <v>18020</v>
      </c>
      <c r="T1422" s="5" t="s">
        <v>5994</v>
      </c>
      <c r="U1422" s="5" t="s">
        <v>14593</v>
      </c>
      <c r="V1422" s="5" t="s">
        <v>7644</v>
      </c>
      <c r="W1422" s="5" t="s">
        <v>9612</v>
      </c>
    </row>
    <row r="1423" spans="1:23" ht="12.5">
      <c r="A1423" s="5">
        <v>91928</v>
      </c>
      <c r="B1423" s="5" t="s">
        <v>18021</v>
      </c>
      <c r="C1423" s="5">
        <v>573122639608</v>
      </c>
      <c r="D1423" s="5">
        <v>52</v>
      </c>
      <c r="E1423" s="5" t="s">
        <v>178</v>
      </c>
      <c r="F1423" s="5" t="s">
        <v>33</v>
      </c>
      <c r="G1423" s="5" t="s">
        <v>9897</v>
      </c>
      <c r="H1423" s="5" t="s">
        <v>34</v>
      </c>
      <c r="I1423" s="5">
        <v>3122639608</v>
      </c>
      <c r="J1423" s="12">
        <v>46066</v>
      </c>
      <c r="K1423" s="11">
        <v>0</v>
      </c>
      <c r="M1423" s="10" t="s">
        <v>15161</v>
      </c>
      <c r="N1423" s="12">
        <v>46066.436178483797</v>
      </c>
      <c r="O1423" s="10" t="s">
        <v>14762</v>
      </c>
      <c r="P1423" s="5" t="s">
        <v>14571</v>
      </c>
      <c r="Q1423" s="5" t="s">
        <v>17404</v>
      </c>
      <c r="R1423" s="5" t="s">
        <v>18022</v>
      </c>
      <c r="T1423" s="5" t="s">
        <v>14574</v>
      </c>
      <c r="U1423" s="5" t="s">
        <v>33</v>
      </c>
      <c r="V1423" s="5" t="s">
        <v>37</v>
      </c>
      <c r="W1423" s="5" t="s">
        <v>9898</v>
      </c>
    </row>
    <row r="1424" spans="1:23" ht="12.5">
      <c r="A1424" s="5">
        <v>91929</v>
      </c>
      <c r="B1424" s="5" t="s">
        <v>18023</v>
      </c>
      <c r="C1424" s="5">
        <v>573004558485</v>
      </c>
      <c r="D1424" s="5" t="s">
        <v>18024</v>
      </c>
      <c r="E1424" s="5" t="s">
        <v>9901</v>
      </c>
      <c r="F1424" s="5" t="s">
        <v>185</v>
      </c>
      <c r="G1424" s="5" t="s">
        <v>9899</v>
      </c>
      <c r="H1424" s="5" t="s">
        <v>9900</v>
      </c>
      <c r="I1424" s="5"/>
      <c r="J1424" s="12">
        <v>46066</v>
      </c>
      <c r="K1424" s="11">
        <v>0.58333333333212067</v>
      </c>
      <c r="M1424" s="10" t="s">
        <v>16589</v>
      </c>
      <c r="N1424" s="12">
        <v>46066.416248182868</v>
      </c>
      <c r="O1424" s="10" t="s">
        <v>15091</v>
      </c>
      <c r="P1424" s="5" t="s">
        <v>14571</v>
      </c>
      <c r="Q1424" s="5" t="s">
        <v>17688</v>
      </c>
      <c r="R1424" s="5" t="s">
        <v>18025</v>
      </c>
      <c r="T1424" s="5" t="s">
        <v>5994</v>
      </c>
      <c r="U1424" s="5" t="s">
        <v>14580</v>
      </c>
      <c r="V1424" s="5" t="s">
        <v>7644</v>
      </c>
      <c r="W1424" s="5" t="s">
        <v>9600</v>
      </c>
    </row>
    <row r="1425" spans="1:23" ht="12.5">
      <c r="A1425" s="5">
        <v>91930</v>
      </c>
      <c r="B1425" s="5" t="s">
        <v>18026</v>
      </c>
      <c r="C1425" s="5">
        <v>17869928070</v>
      </c>
      <c r="D1425" s="5">
        <v>14</v>
      </c>
      <c r="E1425" s="5" t="s">
        <v>1393</v>
      </c>
      <c r="F1425" s="5" t="s">
        <v>1317</v>
      </c>
      <c r="G1425" s="5" t="s">
        <v>9903</v>
      </c>
      <c r="H1425" s="5" t="s">
        <v>9904</v>
      </c>
      <c r="I1425" s="5">
        <v>17869928070</v>
      </c>
      <c r="J1425" s="12">
        <v>46066</v>
      </c>
      <c r="K1425" s="11">
        <v>0.52083333333212067</v>
      </c>
      <c r="M1425" s="10" t="s">
        <v>18027</v>
      </c>
      <c r="N1425" s="12">
        <v>46066.431034513887</v>
      </c>
      <c r="O1425" s="10" t="s">
        <v>15091</v>
      </c>
      <c r="P1425" s="5" t="s">
        <v>14571</v>
      </c>
      <c r="Q1425" s="5" t="s">
        <v>14578</v>
      </c>
      <c r="R1425" s="5" t="s">
        <v>18028</v>
      </c>
      <c r="T1425" s="5" t="s">
        <v>5994</v>
      </c>
      <c r="U1425" s="5" t="s">
        <v>15349</v>
      </c>
      <c r="V1425" s="5" t="s">
        <v>1937</v>
      </c>
      <c r="W1425" s="5" t="s">
        <v>9612</v>
      </c>
    </row>
    <row r="1426" spans="1:23" ht="12.5">
      <c r="A1426" s="5">
        <v>91931</v>
      </c>
      <c r="B1426" s="5" t="s">
        <v>18029</v>
      </c>
      <c r="C1426" s="5">
        <v>573105242168</v>
      </c>
      <c r="D1426" s="5">
        <v>100</v>
      </c>
      <c r="E1426" s="5" t="s">
        <v>9199</v>
      </c>
      <c r="F1426" s="5" t="s">
        <v>265</v>
      </c>
      <c r="G1426" s="5" t="s">
        <v>9909</v>
      </c>
      <c r="H1426" s="5" t="s">
        <v>9910</v>
      </c>
      <c r="I1426" s="5">
        <v>3205556100</v>
      </c>
      <c r="J1426" s="12">
        <v>46066</v>
      </c>
      <c r="K1426" s="11">
        <v>0.58333333333212067</v>
      </c>
      <c r="M1426" s="10" t="s">
        <v>15660</v>
      </c>
      <c r="N1426" s="12">
        <v>46066.393241909725</v>
      </c>
      <c r="O1426" s="10" t="s">
        <v>15088</v>
      </c>
      <c r="P1426" s="5" t="s">
        <v>14571</v>
      </c>
      <c r="Q1426" s="5" t="s">
        <v>14612</v>
      </c>
      <c r="R1426" s="5" t="s">
        <v>18030</v>
      </c>
      <c r="T1426" s="5" t="s">
        <v>5994</v>
      </c>
      <c r="U1426" s="5" t="s">
        <v>14691</v>
      </c>
      <c r="V1426" s="5" t="s">
        <v>7644</v>
      </c>
      <c r="W1426" s="5" t="s">
        <v>9600</v>
      </c>
    </row>
    <row r="1427" spans="1:23" ht="12.5">
      <c r="A1427" s="5">
        <v>91932</v>
      </c>
      <c r="B1427" s="5" t="s">
        <v>5365</v>
      </c>
      <c r="C1427" s="5">
        <v>573146014820</v>
      </c>
      <c r="D1427" s="5">
        <v>95</v>
      </c>
      <c r="E1427" s="5" t="s">
        <v>42</v>
      </c>
      <c r="F1427" s="5" t="s">
        <v>33</v>
      </c>
      <c r="G1427" s="5" t="s">
        <v>5365</v>
      </c>
      <c r="H1427" s="5" t="s">
        <v>34</v>
      </c>
      <c r="I1427" s="5">
        <v>3146014820</v>
      </c>
      <c r="J1427" s="12">
        <v>46066</v>
      </c>
      <c r="K1427" s="11">
        <v>0</v>
      </c>
      <c r="M1427" s="10" t="s">
        <v>15663</v>
      </c>
      <c r="N1427" s="12">
        <v>46066.446593611108</v>
      </c>
      <c r="O1427" s="10" t="s">
        <v>15764</v>
      </c>
      <c r="P1427" s="5" t="s">
        <v>14571</v>
      </c>
      <c r="Q1427" s="5" t="s">
        <v>17404</v>
      </c>
      <c r="R1427" s="5" t="s">
        <v>18031</v>
      </c>
      <c r="T1427" s="5" t="s">
        <v>14574</v>
      </c>
      <c r="U1427" s="5" t="s">
        <v>33</v>
      </c>
      <c r="V1427" s="5" t="s">
        <v>196</v>
      </c>
      <c r="W1427" s="5"/>
    </row>
    <row r="1428" spans="1:23" ht="12.5">
      <c r="A1428" s="5">
        <v>91933</v>
      </c>
      <c r="B1428" s="5" t="s">
        <v>3526</v>
      </c>
      <c r="C1428" s="5">
        <v>573174289182</v>
      </c>
      <c r="D1428" s="5">
        <v>95</v>
      </c>
      <c r="E1428" s="5" t="s">
        <v>42</v>
      </c>
      <c r="F1428" s="5"/>
      <c r="G1428" s="5" t="s">
        <v>3330</v>
      </c>
      <c r="H1428" s="5" t="s">
        <v>9913</v>
      </c>
      <c r="I1428" s="5"/>
      <c r="J1428" s="12">
        <v>46066</v>
      </c>
      <c r="K1428" s="11">
        <v>0</v>
      </c>
      <c r="M1428" s="10" t="s">
        <v>15785</v>
      </c>
      <c r="N1428" s="12">
        <v>46066.450161550922</v>
      </c>
      <c r="O1428" s="10" t="s">
        <v>15834</v>
      </c>
      <c r="P1428" s="5" t="s">
        <v>14571</v>
      </c>
      <c r="Q1428" s="5" t="s">
        <v>17423</v>
      </c>
      <c r="R1428" s="5" t="s">
        <v>18032</v>
      </c>
      <c r="T1428" s="5" t="s">
        <v>5994</v>
      </c>
      <c r="U1428" s="5"/>
      <c r="V1428" s="5" t="s">
        <v>1481</v>
      </c>
      <c r="W1428" s="5" t="s">
        <v>9914</v>
      </c>
    </row>
    <row r="1429" spans="1:23" ht="12.5">
      <c r="A1429" s="5">
        <v>91934</v>
      </c>
      <c r="B1429" s="5" t="s">
        <v>9915</v>
      </c>
      <c r="C1429" s="5">
        <v>573183062297</v>
      </c>
      <c r="D1429" s="5">
        <v>29</v>
      </c>
      <c r="E1429" s="5" t="s">
        <v>309</v>
      </c>
      <c r="F1429" s="5" t="s">
        <v>1921</v>
      </c>
      <c r="G1429" s="5" t="s">
        <v>9915</v>
      </c>
      <c r="H1429" s="5" t="s">
        <v>9916</v>
      </c>
      <c r="I1429" s="5">
        <v>3183062297</v>
      </c>
      <c r="J1429" s="12">
        <v>46066</v>
      </c>
      <c r="K1429" s="11">
        <v>0.58333333333212067</v>
      </c>
      <c r="M1429" s="10" t="s">
        <v>15179</v>
      </c>
      <c r="N1429" s="12">
        <v>46066.463180034727</v>
      </c>
      <c r="O1429" s="10" t="s">
        <v>16700</v>
      </c>
      <c r="P1429" s="5" t="s">
        <v>14571</v>
      </c>
      <c r="Q1429" s="5" t="s">
        <v>17688</v>
      </c>
      <c r="R1429" s="5" t="s">
        <v>18033</v>
      </c>
      <c r="T1429" s="5" t="s">
        <v>5994</v>
      </c>
      <c r="U1429" s="5" t="s">
        <v>14580</v>
      </c>
      <c r="V1429" s="5" t="s">
        <v>7644</v>
      </c>
      <c r="W1429" s="5" t="s">
        <v>9600</v>
      </c>
    </row>
    <row r="1430" spans="1:23" ht="12.5">
      <c r="A1430" s="5">
        <v>91935</v>
      </c>
      <c r="B1430" s="5" t="s">
        <v>9919</v>
      </c>
      <c r="C1430" s="10" t="s">
        <v>18034</v>
      </c>
      <c r="D1430" s="5">
        <v>95</v>
      </c>
      <c r="E1430" s="5" t="s">
        <v>42</v>
      </c>
      <c r="F1430" s="5" t="s">
        <v>33</v>
      </c>
      <c r="G1430" s="5" t="s">
        <v>9919</v>
      </c>
      <c r="H1430" s="5" t="s">
        <v>34</v>
      </c>
      <c r="I1430" s="5">
        <v>3034351</v>
      </c>
      <c r="J1430" s="12">
        <v>46066</v>
      </c>
      <c r="K1430" s="11">
        <v>0</v>
      </c>
      <c r="M1430" s="10" t="s">
        <v>14766</v>
      </c>
      <c r="N1430" s="12">
        <v>46066</v>
      </c>
      <c r="O1430" s="10" t="s">
        <v>14886</v>
      </c>
      <c r="P1430" s="5" t="s">
        <v>14571</v>
      </c>
      <c r="Q1430" s="5" t="s">
        <v>17479</v>
      </c>
      <c r="R1430" s="5" t="s">
        <v>18035</v>
      </c>
      <c r="T1430" s="5" t="s">
        <v>14574</v>
      </c>
      <c r="U1430" s="5" t="s">
        <v>33</v>
      </c>
      <c r="V1430" s="5" t="s">
        <v>1705</v>
      </c>
      <c r="W1430" s="5"/>
    </row>
    <row r="1431" spans="1:23" ht="12.5">
      <c r="A1431" s="5">
        <v>91936</v>
      </c>
      <c r="B1431" s="5" t="s">
        <v>18036</v>
      </c>
      <c r="C1431" s="5">
        <v>573007395078</v>
      </c>
      <c r="D1431" s="5">
        <v>31</v>
      </c>
      <c r="E1431" s="5" t="s">
        <v>375</v>
      </c>
      <c r="F1431" s="5" t="s">
        <v>307</v>
      </c>
      <c r="G1431" s="5" t="s">
        <v>9921</v>
      </c>
      <c r="H1431" s="5" t="s">
        <v>9922</v>
      </c>
      <c r="I1431" s="5">
        <v>3175741646</v>
      </c>
      <c r="J1431" s="12">
        <v>46066</v>
      </c>
      <c r="K1431" s="11">
        <v>0</v>
      </c>
      <c r="M1431" s="10" t="s">
        <v>14627</v>
      </c>
      <c r="N1431" s="12">
        <v>46066.476882604169</v>
      </c>
      <c r="O1431" s="10" t="s">
        <v>16004</v>
      </c>
      <c r="P1431" s="5" t="s">
        <v>14571</v>
      </c>
      <c r="Q1431" s="5" t="s">
        <v>17688</v>
      </c>
      <c r="R1431" s="5" t="s">
        <v>18037</v>
      </c>
      <c r="T1431" s="5" t="s">
        <v>5994</v>
      </c>
      <c r="U1431" s="5" t="s">
        <v>14618</v>
      </c>
      <c r="V1431" s="5" t="s">
        <v>67</v>
      </c>
      <c r="W1431" s="5" t="s">
        <v>9600</v>
      </c>
    </row>
    <row r="1432" spans="1:23" ht="12.5">
      <c r="A1432" s="5">
        <v>91937</v>
      </c>
      <c r="B1432" s="5" t="s">
        <v>18038</v>
      </c>
      <c r="C1432" s="5">
        <v>573107489331</v>
      </c>
      <c r="D1432" s="5">
        <v>29</v>
      </c>
      <c r="E1432" s="5" t="s">
        <v>309</v>
      </c>
      <c r="F1432" s="5" t="s">
        <v>9925</v>
      </c>
      <c r="G1432" s="5" t="s">
        <v>9924</v>
      </c>
      <c r="H1432" s="5" t="s">
        <v>9926</v>
      </c>
      <c r="I1432" s="5">
        <v>3122590130</v>
      </c>
      <c r="J1432" s="12">
        <v>46066</v>
      </c>
      <c r="K1432" s="11">
        <v>0</v>
      </c>
      <c r="M1432" s="10" t="s">
        <v>17248</v>
      </c>
      <c r="N1432" s="12">
        <v>46066.47858880787</v>
      </c>
      <c r="O1432" s="10" t="s">
        <v>18039</v>
      </c>
      <c r="P1432" s="5" t="s">
        <v>14571</v>
      </c>
      <c r="Q1432" s="5" t="s">
        <v>17688</v>
      </c>
      <c r="R1432" s="5" t="s">
        <v>18040</v>
      </c>
      <c r="T1432" s="5" t="s">
        <v>5994</v>
      </c>
      <c r="U1432" s="5" t="s">
        <v>14618</v>
      </c>
      <c r="V1432" s="5" t="s">
        <v>7644</v>
      </c>
      <c r="W1432" s="5" t="s">
        <v>2708</v>
      </c>
    </row>
    <row r="1433" spans="1:23" ht="12.5">
      <c r="A1433" s="5">
        <v>91938</v>
      </c>
      <c r="B1433" s="5" t="s">
        <v>9930</v>
      </c>
      <c r="C1433" s="5">
        <v>570000</v>
      </c>
      <c r="D1433" s="5" t="s">
        <v>14589</v>
      </c>
      <c r="E1433" s="5" t="s">
        <v>9931</v>
      </c>
      <c r="F1433" s="5" t="s">
        <v>33</v>
      </c>
      <c r="G1433" s="5" t="s">
        <v>9930</v>
      </c>
      <c r="H1433" s="5" t="s">
        <v>34</v>
      </c>
      <c r="I1433" s="10" t="s">
        <v>2686</v>
      </c>
      <c r="J1433" s="12">
        <v>46066</v>
      </c>
      <c r="K1433" s="11">
        <v>0</v>
      </c>
      <c r="M1433" s="10" t="s">
        <v>14712</v>
      </c>
      <c r="N1433" s="12">
        <v>46066.490384629629</v>
      </c>
      <c r="O1433" s="10" t="s">
        <v>16059</v>
      </c>
      <c r="P1433" s="5" t="s">
        <v>14571</v>
      </c>
      <c r="Q1433" s="5" t="s">
        <v>17479</v>
      </c>
      <c r="R1433" s="5" t="s">
        <v>18041</v>
      </c>
      <c r="T1433" s="5" t="s">
        <v>14574</v>
      </c>
      <c r="U1433" s="5" t="s">
        <v>33</v>
      </c>
      <c r="V1433" s="5" t="s">
        <v>37</v>
      </c>
      <c r="W1433" s="5">
        <v>2428369444</v>
      </c>
    </row>
    <row r="1434" spans="1:23" ht="12.5">
      <c r="A1434" s="5">
        <v>91939</v>
      </c>
      <c r="B1434" s="5" t="s">
        <v>18042</v>
      </c>
      <c r="C1434" s="5">
        <v>573114379822</v>
      </c>
      <c r="D1434" s="5">
        <v>20</v>
      </c>
      <c r="E1434" s="5" t="s">
        <v>187</v>
      </c>
      <c r="F1434" s="5" t="s">
        <v>307</v>
      </c>
      <c r="G1434" s="5" t="s">
        <v>9933</v>
      </c>
      <c r="H1434" s="5" t="s">
        <v>9934</v>
      </c>
      <c r="I1434" s="5">
        <v>3112961620</v>
      </c>
      <c r="J1434" s="12">
        <v>46066</v>
      </c>
      <c r="K1434" s="11">
        <v>8.3333333332120674E-2</v>
      </c>
      <c r="M1434" s="10" t="s">
        <v>14649</v>
      </c>
      <c r="N1434" s="12">
        <v>46066.46380513889</v>
      </c>
      <c r="O1434" s="10" t="s">
        <v>15777</v>
      </c>
      <c r="P1434" s="5" t="s">
        <v>14571</v>
      </c>
      <c r="Q1434" s="5" t="s">
        <v>14612</v>
      </c>
      <c r="R1434" s="5" t="s">
        <v>18043</v>
      </c>
      <c r="T1434" s="5" t="s">
        <v>5994</v>
      </c>
      <c r="U1434" s="5" t="s">
        <v>14618</v>
      </c>
      <c r="V1434" s="5" t="s">
        <v>9695</v>
      </c>
      <c r="W1434" s="5" t="s">
        <v>9612</v>
      </c>
    </row>
    <row r="1435" spans="1:23" ht="12.5">
      <c r="A1435" s="5">
        <v>91940</v>
      </c>
      <c r="B1435" s="5" t="s">
        <v>1925</v>
      </c>
      <c r="C1435" s="5">
        <v>5700000</v>
      </c>
      <c r="D1435" s="5">
        <v>95</v>
      </c>
      <c r="E1435" s="5" t="s">
        <v>42</v>
      </c>
      <c r="F1435" s="5" t="s">
        <v>33</v>
      </c>
      <c r="G1435" s="5" t="s">
        <v>1925</v>
      </c>
      <c r="H1435" s="5" t="s">
        <v>34</v>
      </c>
      <c r="I1435" s="10" t="s">
        <v>2686</v>
      </c>
      <c r="J1435" s="12">
        <v>46066</v>
      </c>
      <c r="K1435" s="11">
        <v>0</v>
      </c>
      <c r="M1435" s="10" t="s">
        <v>16101</v>
      </c>
      <c r="N1435" s="12">
        <v>46066.495519942131</v>
      </c>
      <c r="O1435" s="10" t="s">
        <v>15077</v>
      </c>
      <c r="P1435" s="5" t="s">
        <v>14571</v>
      </c>
      <c r="Q1435" s="5" t="s">
        <v>17990</v>
      </c>
      <c r="R1435" s="5" t="s">
        <v>18044</v>
      </c>
      <c r="T1435" s="5" t="s">
        <v>14574</v>
      </c>
      <c r="U1435" s="5" t="s">
        <v>33</v>
      </c>
      <c r="V1435" s="5" t="s">
        <v>43</v>
      </c>
      <c r="W1435" s="5">
        <v>9</v>
      </c>
    </row>
    <row r="1436" spans="1:23" ht="12.5">
      <c r="A1436" s="5">
        <v>91941</v>
      </c>
      <c r="B1436" s="5" t="s">
        <v>9939</v>
      </c>
      <c r="C1436" s="5">
        <v>573108301937</v>
      </c>
      <c r="D1436" s="5">
        <v>95</v>
      </c>
      <c r="E1436" s="5" t="s">
        <v>42</v>
      </c>
      <c r="F1436" s="5" t="s">
        <v>33</v>
      </c>
      <c r="G1436" s="5" t="s">
        <v>9939</v>
      </c>
      <c r="H1436" s="5" t="s">
        <v>34</v>
      </c>
      <c r="I1436" s="10" t="s">
        <v>2686</v>
      </c>
      <c r="J1436" s="12">
        <v>46066</v>
      </c>
      <c r="K1436" s="11">
        <v>0</v>
      </c>
      <c r="M1436" s="10" t="s">
        <v>14646</v>
      </c>
      <c r="N1436" s="12">
        <v>46066.509623530088</v>
      </c>
      <c r="O1436" s="10" t="s">
        <v>15849</v>
      </c>
      <c r="P1436" s="5" t="s">
        <v>14571</v>
      </c>
      <c r="Q1436" s="5" t="s">
        <v>14572</v>
      </c>
      <c r="R1436" s="5" t="s">
        <v>18045</v>
      </c>
      <c r="T1436" s="5" t="s">
        <v>14574</v>
      </c>
      <c r="U1436" s="5" t="s">
        <v>33</v>
      </c>
      <c r="V1436" s="5" t="s">
        <v>1705</v>
      </c>
      <c r="W1436" s="5" t="s">
        <v>9940</v>
      </c>
    </row>
    <row r="1437" spans="1:23" ht="12.5">
      <c r="A1437" s="5">
        <v>91942</v>
      </c>
      <c r="B1437" s="5" t="s">
        <v>18046</v>
      </c>
      <c r="C1437" s="5">
        <v>573013499354</v>
      </c>
      <c r="D1437" s="5">
        <v>55</v>
      </c>
      <c r="E1437" s="5" t="s">
        <v>1203</v>
      </c>
      <c r="F1437" s="5" t="s">
        <v>405</v>
      </c>
      <c r="G1437" s="5" t="s">
        <v>3272</v>
      </c>
      <c r="H1437" s="5" t="s">
        <v>9941</v>
      </c>
      <c r="I1437" s="5">
        <v>3014794374</v>
      </c>
      <c r="J1437" s="12">
        <v>46066</v>
      </c>
      <c r="K1437" s="11">
        <v>0.625</v>
      </c>
      <c r="M1437" s="10" t="s">
        <v>14796</v>
      </c>
      <c r="N1437" s="12">
        <v>46066.507131574079</v>
      </c>
      <c r="O1437" s="10" t="s">
        <v>14864</v>
      </c>
      <c r="P1437" s="5" t="s">
        <v>14571</v>
      </c>
      <c r="Q1437" s="5" t="s">
        <v>17479</v>
      </c>
      <c r="R1437" s="5" t="s">
        <v>18047</v>
      </c>
      <c r="T1437" s="5" t="s">
        <v>5994</v>
      </c>
      <c r="U1437" s="5"/>
      <c r="V1437" s="5" t="s">
        <v>7644</v>
      </c>
      <c r="W1437" s="5" t="s">
        <v>9600</v>
      </c>
    </row>
    <row r="1438" spans="1:23" ht="12.5">
      <c r="A1438" s="5">
        <v>91943</v>
      </c>
      <c r="B1438" s="5" t="s">
        <v>18048</v>
      </c>
      <c r="C1438" s="10" t="s">
        <v>18049</v>
      </c>
      <c r="D1438" s="5">
        <v>52</v>
      </c>
      <c r="E1438" s="5" t="s">
        <v>6874</v>
      </c>
      <c r="F1438" s="5" t="s">
        <v>249</v>
      </c>
      <c r="G1438" s="5" t="s">
        <v>18048</v>
      </c>
      <c r="H1438" s="5" t="s">
        <v>9945</v>
      </c>
      <c r="I1438" s="5">
        <v>3015271154</v>
      </c>
      <c r="J1438" s="12">
        <v>46066</v>
      </c>
      <c r="K1438" s="11">
        <v>0</v>
      </c>
      <c r="M1438" s="10" t="s">
        <v>10581</v>
      </c>
      <c r="N1438" s="12">
        <v>46066</v>
      </c>
      <c r="O1438" s="10" t="s">
        <v>17130</v>
      </c>
      <c r="P1438" s="5" t="s">
        <v>14571</v>
      </c>
      <c r="Q1438" s="5" t="s">
        <v>17990</v>
      </c>
      <c r="R1438" s="5" t="s">
        <v>18050</v>
      </c>
      <c r="T1438" s="5" t="s">
        <v>5994</v>
      </c>
      <c r="U1438" s="5" t="s">
        <v>14593</v>
      </c>
      <c r="V1438" s="5" t="s">
        <v>7644</v>
      </c>
      <c r="W1438" s="5" t="s">
        <v>2708</v>
      </c>
    </row>
    <row r="1439" spans="1:23" ht="12.5">
      <c r="A1439" s="5">
        <v>91944</v>
      </c>
      <c r="B1439" s="5" t="s">
        <v>18051</v>
      </c>
      <c r="C1439" s="5">
        <v>573155004647</v>
      </c>
      <c r="D1439" s="5" t="s">
        <v>18052</v>
      </c>
      <c r="E1439" s="5" t="s">
        <v>9950</v>
      </c>
      <c r="F1439" s="5" t="s">
        <v>886</v>
      </c>
      <c r="G1439" s="5" t="s">
        <v>9948</v>
      </c>
      <c r="H1439" s="5" t="s">
        <v>9949</v>
      </c>
      <c r="I1439" s="5">
        <v>3016791092</v>
      </c>
      <c r="J1439" s="12">
        <v>46066</v>
      </c>
      <c r="K1439" s="11">
        <v>0.58333333333212067</v>
      </c>
      <c r="M1439" s="10" t="s">
        <v>17675</v>
      </c>
      <c r="N1439" s="12">
        <v>46066.518580243057</v>
      </c>
      <c r="O1439" s="10" t="s">
        <v>15856</v>
      </c>
      <c r="P1439" s="5" t="s">
        <v>14571</v>
      </c>
      <c r="Q1439" s="5" t="s">
        <v>17688</v>
      </c>
      <c r="R1439" s="5" t="s">
        <v>18053</v>
      </c>
      <c r="T1439" s="5" t="s">
        <v>5994</v>
      </c>
      <c r="U1439" s="5" t="s">
        <v>14618</v>
      </c>
      <c r="V1439" s="5" t="s">
        <v>7644</v>
      </c>
      <c r="W1439" s="5" t="s">
        <v>9600</v>
      </c>
    </row>
    <row r="1440" spans="1:23" ht="12.5">
      <c r="A1440" s="5">
        <v>91945</v>
      </c>
      <c r="B1440" s="5" t="s">
        <v>18054</v>
      </c>
      <c r="C1440" s="5">
        <v>573003297891</v>
      </c>
      <c r="D1440" s="5">
        <v>95</v>
      </c>
      <c r="E1440" s="5" t="s">
        <v>42</v>
      </c>
      <c r="F1440" s="5" t="s">
        <v>185</v>
      </c>
      <c r="G1440" s="5" t="s">
        <v>9955</v>
      </c>
      <c r="H1440" s="5" t="s">
        <v>9956</v>
      </c>
      <c r="I1440" s="5">
        <v>3164644610</v>
      </c>
      <c r="J1440" s="12">
        <v>46066</v>
      </c>
      <c r="K1440" s="11">
        <v>0</v>
      </c>
      <c r="M1440" s="10" t="s">
        <v>15582</v>
      </c>
      <c r="N1440" s="12">
        <v>46066.524171249999</v>
      </c>
      <c r="O1440" s="10" t="s">
        <v>15856</v>
      </c>
      <c r="P1440" s="5" t="s">
        <v>14571</v>
      </c>
      <c r="Q1440" s="5" t="s">
        <v>16907</v>
      </c>
      <c r="R1440" s="5" t="s">
        <v>18055</v>
      </c>
      <c r="T1440" s="5" t="s">
        <v>5994</v>
      </c>
      <c r="U1440" s="5" t="s">
        <v>14580</v>
      </c>
      <c r="V1440" s="5" t="s">
        <v>1481</v>
      </c>
      <c r="W1440" s="5" t="s">
        <v>9957</v>
      </c>
    </row>
    <row r="1441" spans="1:23" ht="12.5">
      <c r="A1441" s="5">
        <v>91946</v>
      </c>
      <c r="B1441" s="5" t="s">
        <v>18056</v>
      </c>
      <c r="C1441" s="5">
        <v>573015068573</v>
      </c>
      <c r="D1441" s="5">
        <v>39</v>
      </c>
      <c r="E1441" s="5" t="s">
        <v>96</v>
      </c>
      <c r="F1441" s="5" t="s">
        <v>249</v>
      </c>
      <c r="G1441" s="5" t="s">
        <v>9959</v>
      </c>
      <c r="H1441" s="5" t="s">
        <v>9960</v>
      </c>
      <c r="I1441" s="5">
        <v>3135751105</v>
      </c>
      <c r="J1441" s="12">
        <v>46067</v>
      </c>
      <c r="K1441" s="11">
        <v>0.375</v>
      </c>
      <c r="M1441" s="10" t="s">
        <v>15859</v>
      </c>
      <c r="N1441" s="12">
        <v>46066.380719062501</v>
      </c>
      <c r="O1441" s="10" t="s">
        <v>16654</v>
      </c>
      <c r="P1441" s="5" t="s">
        <v>14571</v>
      </c>
      <c r="Q1441" s="5" t="s">
        <v>14578</v>
      </c>
      <c r="R1441" s="5" t="s">
        <v>18057</v>
      </c>
      <c r="T1441" s="5" t="s">
        <v>5994</v>
      </c>
      <c r="U1441" s="5" t="s">
        <v>14593</v>
      </c>
      <c r="V1441" s="5" t="s">
        <v>1937</v>
      </c>
      <c r="W1441" s="5" t="s">
        <v>9600</v>
      </c>
    </row>
    <row r="1442" spans="1:23" ht="12.5">
      <c r="A1442" s="5">
        <v>91947</v>
      </c>
      <c r="B1442" s="5" t="s">
        <v>7204</v>
      </c>
      <c r="C1442" s="5">
        <v>0</v>
      </c>
      <c r="D1442" s="5">
        <v>95</v>
      </c>
      <c r="E1442" s="5" t="s">
        <v>42</v>
      </c>
      <c r="F1442" s="5" t="s">
        <v>33</v>
      </c>
      <c r="G1442" s="5" t="s">
        <v>7204</v>
      </c>
      <c r="H1442" s="5" t="s">
        <v>34</v>
      </c>
      <c r="I1442" s="5"/>
      <c r="J1442" s="12">
        <v>46066</v>
      </c>
      <c r="K1442" s="11">
        <v>0</v>
      </c>
      <c r="M1442" s="10" t="s">
        <v>15783</v>
      </c>
      <c r="N1442" s="12">
        <v>46066.530763229166</v>
      </c>
      <c r="O1442" s="10" t="s">
        <v>16719</v>
      </c>
      <c r="P1442" s="5" t="s">
        <v>14571</v>
      </c>
      <c r="Q1442" s="5" t="s">
        <v>14572</v>
      </c>
      <c r="R1442" s="5" t="s">
        <v>18058</v>
      </c>
      <c r="T1442" s="5" t="s">
        <v>14574</v>
      </c>
      <c r="U1442" s="5" t="s">
        <v>33</v>
      </c>
      <c r="V1442" s="5" t="s">
        <v>1481</v>
      </c>
      <c r="W1442" s="5"/>
    </row>
    <row r="1443" spans="1:23" ht="12.5">
      <c r="A1443" s="5">
        <v>91948</v>
      </c>
      <c r="B1443" s="5" t="s">
        <v>18059</v>
      </c>
      <c r="C1443" s="5">
        <v>15405564157</v>
      </c>
      <c r="D1443" s="5">
        <v>29</v>
      </c>
      <c r="E1443" s="5" t="s">
        <v>309</v>
      </c>
      <c r="F1443" s="5" t="s">
        <v>448</v>
      </c>
      <c r="G1443" s="5" t="s">
        <v>290</v>
      </c>
      <c r="H1443" s="5" t="s">
        <v>9967</v>
      </c>
      <c r="I1443" s="5"/>
      <c r="J1443" s="12">
        <v>46066</v>
      </c>
      <c r="K1443" s="11">
        <v>0.10416666666787933</v>
      </c>
      <c r="M1443" s="10" t="s">
        <v>15179</v>
      </c>
      <c r="N1443" s="12">
        <v>46065.721428078701</v>
      </c>
      <c r="O1443" s="10" t="s">
        <v>16722</v>
      </c>
      <c r="P1443" s="5" t="s">
        <v>14571</v>
      </c>
      <c r="Q1443" s="5" t="s">
        <v>17479</v>
      </c>
      <c r="R1443" s="5" t="s">
        <v>18060</v>
      </c>
      <c r="T1443" s="5" t="s">
        <v>5994</v>
      </c>
      <c r="U1443" s="5" t="s">
        <v>14580</v>
      </c>
      <c r="V1443" s="5" t="s">
        <v>9695</v>
      </c>
      <c r="W1443" s="5" t="s">
        <v>9970</v>
      </c>
    </row>
    <row r="1444" spans="1:23" ht="12.5">
      <c r="A1444" s="5">
        <v>91949</v>
      </c>
      <c r="B1444" s="5" t="s">
        <v>18061</v>
      </c>
      <c r="C1444" s="10" t="s">
        <v>18062</v>
      </c>
      <c r="D1444" s="5" t="s">
        <v>18063</v>
      </c>
      <c r="E1444" s="5" t="s">
        <v>9975</v>
      </c>
      <c r="F1444" s="5" t="s">
        <v>124</v>
      </c>
      <c r="G1444" s="5" t="s">
        <v>18064</v>
      </c>
      <c r="H1444" s="5" t="s">
        <v>9974</v>
      </c>
      <c r="I1444" s="5">
        <v>3022255352</v>
      </c>
      <c r="J1444" s="12">
        <v>46066</v>
      </c>
      <c r="K1444" s="11">
        <v>0.625</v>
      </c>
      <c r="M1444" s="10" t="s">
        <v>14960</v>
      </c>
      <c r="N1444" s="12">
        <v>46066</v>
      </c>
      <c r="O1444" s="10" t="s">
        <v>14860</v>
      </c>
      <c r="P1444" s="5" t="s">
        <v>14571</v>
      </c>
      <c r="Q1444" s="5" t="s">
        <v>17404</v>
      </c>
      <c r="R1444" s="5" t="s">
        <v>18065</v>
      </c>
      <c r="T1444" s="5" t="s">
        <v>5994</v>
      </c>
      <c r="U1444" s="5" t="s">
        <v>14775</v>
      </c>
      <c r="V1444" s="5" t="s">
        <v>7644</v>
      </c>
      <c r="W1444" s="5" t="s">
        <v>9600</v>
      </c>
    </row>
    <row r="1445" spans="1:23" ht="12.5">
      <c r="A1445" s="5">
        <v>91950</v>
      </c>
      <c r="B1445" s="5" t="s">
        <v>18066</v>
      </c>
      <c r="C1445" s="5">
        <v>573104601110</v>
      </c>
      <c r="D1445" s="5">
        <v>21</v>
      </c>
      <c r="E1445" s="5" t="s">
        <v>330</v>
      </c>
      <c r="F1445" s="5" t="s">
        <v>726</v>
      </c>
      <c r="G1445" s="5" t="s">
        <v>9980</v>
      </c>
      <c r="H1445" s="5" t="s">
        <v>9981</v>
      </c>
      <c r="I1445" s="5">
        <v>3123032766</v>
      </c>
      <c r="J1445" s="12">
        <v>46067</v>
      </c>
      <c r="K1445" s="11">
        <v>0</v>
      </c>
      <c r="M1445" s="10" t="s">
        <v>14808</v>
      </c>
      <c r="N1445" s="12">
        <v>46066.516380729168</v>
      </c>
      <c r="O1445" s="10" t="s">
        <v>14860</v>
      </c>
      <c r="P1445" s="5" t="s">
        <v>14571</v>
      </c>
      <c r="Q1445" s="5" t="s">
        <v>14578</v>
      </c>
      <c r="R1445" s="5" t="s">
        <v>18067</v>
      </c>
      <c r="T1445" s="5" t="s">
        <v>5994</v>
      </c>
      <c r="U1445" s="5" t="s">
        <v>14618</v>
      </c>
      <c r="V1445" s="5" t="s">
        <v>67</v>
      </c>
      <c r="W1445" s="5" t="s">
        <v>2708</v>
      </c>
    </row>
    <row r="1446" spans="1:23" ht="12.5">
      <c r="A1446" s="5">
        <v>91951</v>
      </c>
      <c r="B1446" s="5" t="s">
        <v>18068</v>
      </c>
      <c r="C1446" s="5">
        <v>573043765746</v>
      </c>
      <c r="D1446" s="5">
        <v>65</v>
      </c>
      <c r="E1446" s="5" t="s">
        <v>322</v>
      </c>
      <c r="F1446" s="5" t="s">
        <v>73</v>
      </c>
      <c r="G1446" s="5" t="s">
        <v>9985</v>
      </c>
      <c r="H1446" s="5" t="s">
        <v>9986</v>
      </c>
      <c r="I1446" s="5">
        <v>3106153222</v>
      </c>
      <c r="J1446" s="12">
        <v>46066</v>
      </c>
      <c r="K1446" s="11">
        <v>0.625</v>
      </c>
      <c r="M1446" s="10" t="s">
        <v>18069</v>
      </c>
      <c r="N1446" s="12">
        <v>46066.514849282408</v>
      </c>
      <c r="O1446" s="10" t="s">
        <v>16534</v>
      </c>
      <c r="P1446" s="5" t="s">
        <v>14571</v>
      </c>
      <c r="Q1446" s="5" t="s">
        <v>14572</v>
      </c>
      <c r="R1446" s="5" t="s">
        <v>18070</v>
      </c>
      <c r="T1446" s="5" t="s">
        <v>5994</v>
      </c>
      <c r="U1446" s="5" t="s">
        <v>14593</v>
      </c>
      <c r="V1446" s="5" t="s">
        <v>7644</v>
      </c>
      <c r="W1446" s="5" t="s">
        <v>9600</v>
      </c>
    </row>
    <row r="1447" spans="1:23" ht="12.5">
      <c r="A1447" s="5">
        <v>91952</v>
      </c>
      <c r="B1447" s="5" t="s">
        <v>18071</v>
      </c>
      <c r="C1447" s="10" t="s">
        <v>18072</v>
      </c>
      <c r="D1447" s="5">
        <v>67</v>
      </c>
      <c r="E1447" s="5" t="s">
        <v>9350</v>
      </c>
      <c r="F1447" s="5" t="s">
        <v>79</v>
      </c>
      <c r="G1447" s="5" t="s">
        <v>9990</v>
      </c>
      <c r="H1447" s="5" t="s">
        <v>9991</v>
      </c>
      <c r="I1447" s="5"/>
      <c r="J1447" s="12">
        <v>46066</v>
      </c>
      <c r="K1447" s="11">
        <v>0</v>
      </c>
      <c r="M1447" s="10" t="s">
        <v>15384</v>
      </c>
      <c r="N1447" s="12">
        <v>46066</v>
      </c>
      <c r="O1447" s="10" t="s">
        <v>16313</v>
      </c>
      <c r="P1447" s="5" t="s">
        <v>14571</v>
      </c>
      <c r="Q1447" s="5" t="s">
        <v>17404</v>
      </c>
      <c r="R1447" s="5" t="s">
        <v>18073</v>
      </c>
      <c r="T1447" s="5" t="s">
        <v>5994</v>
      </c>
      <c r="U1447" s="5" t="s">
        <v>14593</v>
      </c>
      <c r="V1447" s="5" t="s">
        <v>67</v>
      </c>
      <c r="W1447" s="5" t="s">
        <v>9600</v>
      </c>
    </row>
    <row r="1448" spans="1:23" ht="12.5">
      <c r="A1448" s="5">
        <v>91953</v>
      </c>
      <c r="B1448" s="5" t="s">
        <v>18074</v>
      </c>
      <c r="C1448" s="5">
        <v>573156543534</v>
      </c>
      <c r="D1448" s="5">
        <v>95</v>
      </c>
      <c r="E1448" s="5" t="s">
        <v>42</v>
      </c>
      <c r="F1448" s="5" t="s">
        <v>73</v>
      </c>
      <c r="G1448" s="5" t="s">
        <v>9995</v>
      </c>
      <c r="H1448" s="5" t="s">
        <v>9996</v>
      </c>
      <c r="I1448" s="5">
        <v>3156543534</v>
      </c>
      <c r="J1448" s="12">
        <v>46066</v>
      </c>
      <c r="K1448" s="11">
        <v>0.25</v>
      </c>
      <c r="M1448" s="10" t="s">
        <v>14672</v>
      </c>
      <c r="N1448" s="12">
        <v>46066.54341643519</v>
      </c>
      <c r="O1448" s="10" t="s">
        <v>18075</v>
      </c>
      <c r="P1448" s="5" t="s">
        <v>14571</v>
      </c>
      <c r="Q1448" s="5" t="s">
        <v>14612</v>
      </c>
      <c r="R1448" s="5" t="s">
        <v>18076</v>
      </c>
      <c r="T1448" s="5" t="s">
        <v>5994</v>
      </c>
      <c r="U1448" s="5" t="s">
        <v>14593</v>
      </c>
      <c r="V1448" s="5" t="s">
        <v>67</v>
      </c>
      <c r="W1448" s="5" t="s">
        <v>9998</v>
      </c>
    </row>
    <row r="1449" spans="1:23" ht="12.5">
      <c r="A1449" s="5">
        <v>91954</v>
      </c>
      <c r="B1449" s="5" t="s">
        <v>18077</v>
      </c>
      <c r="C1449" s="10" t="s">
        <v>18078</v>
      </c>
      <c r="D1449" s="5">
        <v>103</v>
      </c>
      <c r="E1449" s="5" t="s">
        <v>10001</v>
      </c>
      <c r="F1449" s="5" t="s">
        <v>4558</v>
      </c>
      <c r="G1449" s="5" t="s">
        <v>5576</v>
      </c>
      <c r="H1449" s="5" t="s">
        <v>10000</v>
      </c>
      <c r="I1449" s="5"/>
      <c r="J1449" s="12">
        <v>46067</v>
      </c>
      <c r="K1449" s="11">
        <v>0</v>
      </c>
      <c r="M1449" s="10" t="s">
        <v>14777</v>
      </c>
      <c r="N1449" s="12">
        <v>46066</v>
      </c>
      <c r="O1449" s="10" t="s">
        <v>15393</v>
      </c>
      <c r="P1449" s="5" t="s">
        <v>14571</v>
      </c>
      <c r="Q1449" s="5" t="s">
        <v>14612</v>
      </c>
      <c r="R1449" s="5" t="s">
        <v>18079</v>
      </c>
      <c r="T1449" s="5" t="s">
        <v>5994</v>
      </c>
      <c r="U1449" s="5" t="s">
        <v>14593</v>
      </c>
      <c r="V1449" s="5" t="s">
        <v>7644</v>
      </c>
      <c r="W1449" s="5" t="s">
        <v>2708</v>
      </c>
    </row>
    <row r="1450" spans="1:23" ht="12.5">
      <c r="A1450" s="5">
        <v>91955</v>
      </c>
      <c r="B1450" s="5" t="s">
        <v>18080</v>
      </c>
      <c r="C1450" s="10" t="s">
        <v>18081</v>
      </c>
      <c r="D1450" s="5">
        <v>52</v>
      </c>
      <c r="E1450" s="5" t="s">
        <v>6874</v>
      </c>
      <c r="F1450" s="5" t="s">
        <v>110</v>
      </c>
      <c r="G1450" s="5" t="s">
        <v>10003</v>
      </c>
      <c r="H1450" s="5" t="s">
        <v>10004</v>
      </c>
      <c r="I1450" s="5">
        <v>3007531938</v>
      </c>
      <c r="J1450" s="12">
        <v>46066</v>
      </c>
      <c r="K1450" s="11">
        <v>0.625</v>
      </c>
      <c r="M1450" s="10" t="s">
        <v>18082</v>
      </c>
      <c r="N1450" s="12">
        <v>46066</v>
      </c>
      <c r="O1450" s="10" t="s">
        <v>14963</v>
      </c>
      <c r="P1450" s="5" t="s">
        <v>14571</v>
      </c>
      <c r="Q1450" s="5" t="s">
        <v>17990</v>
      </c>
      <c r="R1450" s="5" t="s">
        <v>18083</v>
      </c>
      <c r="T1450" s="5" t="s">
        <v>5994</v>
      </c>
      <c r="U1450" s="5" t="s">
        <v>14593</v>
      </c>
      <c r="V1450" s="5" t="s">
        <v>67</v>
      </c>
      <c r="W1450" s="5" t="s">
        <v>10006</v>
      </c>
    </row>
    <row r="1451" spans="1:23" ht="12.5">
      <c r="A1451" s="5">
        <v>91956</v>
      </c>
      <c r="B1451" s="5" t="s">
        <v>3007</v>
      </c>
      <c r="C1451" s="10" t="s">
        <v>17413</v>
      </c>
      <c r="D1451" s="5">
        <v>52</v>
      </c>
      <c r="E1451" s="5" t="s">
        <v>6874</v>
      </c>
      <c r="F1451" s="5"/>
      <c r="G1451" s="5" t="s">
        <v>3007</v>
      </c>
      <c r="H1451" s="5" t="s">
        <v>10007</v>
      </c>
      <c r="I1451" s="5"/>
      <c r="J1451" s="12">
        <v>46067</v>
      </c>
      <c r="K1451" s="11">
        <v>0.41666666666666669</v>
      </c>
      <c r="M1451" s="10" t="s">
        <v>15594</v>
      </c>
      <c r="N1451" s="12">
        <v>46066</v>
      </c>
      <c r="O1451" s="10" t="s">
        <v>15866</v>
      </c>
      <c r="P1451" s="5" t="s">
        <v>14571</v>
      </c>
      <c r="Q1451" s="5" t="s">
        <v>17479</v>
      </c>
      <c r="R1451" s="5" t="s">
        <v>18084</v>
      </c>
      <c r="T1451" s="5" t="s">
        <v>5994</v>
      </c>
      <c r="U1451" s="5"/>
      <c r="V1451" s="5" t="s">
        <v>2438</v>
      </c>
      <c r="W1451" s="5"/>
    </row>
    <row r="1452" spans="1:23" ht="12.5">
      <c r="A1452" s="5">
        <v>91957</v>
      </c>
      <c r="B1452" s="5" t="s">
        <v>18085</v>
      </c>
      <c r="C1452" s="5">
        <v>573156701654</v>
      </c>
      <c r="D1452" s="5">
        <v>28</v>
      </c>
      <c r="E1452" s="5" t="s">
        <v>9693</v>
      </c>
      <c r="F1452" s="5"/>
      <c r="G1452" s="5" t="s">
        <v>10008</v>
      </c>
      <c r="H1452" s="5" t="s">
        <v>10009</v>
      </c>
      <c r="I1452" s="5"/>
      <c r="J1452" s="12">
        <v>46066</v>
      </c>
      <c r="K1452" s="11">
        <v>0</v>
      </c>
      <c r="M1452" s="10" t="s">
        <v>16222</v>
      </c>
      <c r="N1452" s="12">
        <v>46066.564115405097</v>
      </c>
      <c r="O1452" s="10" t="s">
        <v>18086</v>
      </c>
      <c r="P1452" s="5" t="s">
        <v>14571</v>
      </c>
      <c r="Q1452" s="5" t="s">
        <v>17479</v>
      </c>
      <c r="R1452" s="5" t="s">
        <v>18087</v>
      </c>
      <c r="T1452" s="5" t="s">
        <v>5994</v>
      </c>
      <c r="U1452" s="5"/>
      <c r="V1452" s="5" t="s">
        <v>1705</v>
      </c>
      <c r="W1452" s="5"/>
    </row>
    <row r="1453" spans="1:23" ht="12.5">
      <c r="A1453" s="5">
        <v>91958</v>
      </c>
      <c r="B1453" s="5" t="s">
        <v>18088</v>
      </c>
      <c r="C1453" s="5">
        <v>573227117619</v>
      </c>
      <c r="D1453" s="5">
        <v>56</v>
      </c>
      <c r="E1453" s="5" t="s">
        <v>9152</v>
      </c>
      <c r="F1453" s="5" t="s">
        <v>4749</v>
      </c>
      <c r="G1453" s="5" t="s">
        <v>2885</v>
      </c>
      <c r="H1453" s="5" t="s">
        <v>10010</v>
      </c>
      <c r="I1453" s="5">
        <v>3042115469</v>
      </c>
      <c r="J1453" s="12">
        <v>46067</v>
      </c>
      <c r="K1453" s="11">
        <v>0.375</v>
      </c>
      <c r="M1453" s="10" t="s">
        <v>14870</v>
      </c>
      <c r="N1453" s="12">
        <v>46066.547926412037</v>
      </c>
      <c r="O1453" s="10" t="s">
        <v>15129</v>
      </c>
      <c r="P1453" s="5" t="s">
        <v>14571</v>
      </c>
      <c r="Q1453" s="5" t="s">
        <v>16907</v>
      </c>
      <c r="R1453" s="5" t="s">
        <v>18089</v>
      </c>
      <c r="T1453" s="5" t="s">
        <v>5994</v>
      </c>
      <c r="U1453" s="5" t="s">
        <v>14618</v>
      </c>
      <c r="V1453" s="5" t="s">
        <v>7644</v>
      </c>
      <c r="W1453" s="5" t="s">
        <v>9600</v>
      </c>
    </row>
    <row r="1454" spans="1:23" ht="12.5">
      <c r="A1454" s="5">
        <v>91959</v>
      </c>
      <c r="B1454" s="5" t="s">
        <v>18090</v>
      </c>
      <c r="C1454" s="5">
        <v>573003788247</v>
      </c>
      <c r="D1454" s="5">
        <v>50</v>
      </c>
      <c r="E1454" s="5" t="s">
        <v>9444</v>
      </c>
      <c r="F1454" s="5" t="s">
        <v>63</v>
      </c>
      <c r="G1454" s="5" t="s">
        <v>10014</v>
      </c>
      <c r="H1454" s="5" t="s">
        <v>10015</v>
      </c>
      <c r="I1454" s="5">
        <v>3235206049</v>
      </c>
      <c r="J1454" s="12">
        <v>46067</v>
      </c>
      <c r="K1454" s="11">
        <v>0</v>
      </c>
      <c r="M1454" s="10" t="s">
        <v>17945</v>
      </c>
      <c r="N1454" s="12">
        <v>46066.545523726847</v>
      </c>
      <c r="O1454" s="10" t="s">
        <v>14616</v>
      </c>
      <c r="P1454" s="5" t="s">
        <v>14571</v>
      </c>
      <c r="Q1454" s="5" t="s">
        <v>16907</v>
      </c>
      <c r="R1454" s="5" t="s">
        <v>18091</v>
      </c>
      <c r="T1454" s="5" t="s">
        <v>5994</v>
      </c>
      <c r="U1454" s="5" t="s">
        <v>14598</v>
      </c>
      <c r="V1454" s="5" t="s">
        <v>7644</v>
      </c>
      <c r="W1454" s="5" t="s">
        <v>2708</v>
      </c>
    </row>
    <row r="1455" spans="1:23" ht="12.5">
      <c r="A1455" s="5">
        <v>91960</v>
      </c>
      <c r="B1455" s="5" t="s">
        <v>18092</v>
      </c>
      <c r="C1455" s="5">
        <v>573017851412</v>
      </c>
      <c r="D1455" s="5">
        <v>52</v>
      </c>
      <c r="E1455" s="5" t="s">
        <v>6874</v>
      </c>
      <c r="F1455" s="5" t="s">
        <v>1317</v>
      </c>
      <c r="G1455" s="5" t="s">
        <v>10020</v>
      </c>
      <c r="H1455" s="5" t="s">
        <v>10021</v>
      </c>
      <c r="I1455" s="5">
        <v>3203464765</v>
      </c>
      <c r="J1455" s="12">
        <v>46067</v>
      </c>
      <c r="K1455" s="11">
        <v>0.375</v>
      </c>
      <c r="M1455" s="10" t="s">
        <v>14960</v>
      </c>
      <c r="N1455" s="12">
        <v>46066.556317974537</v>
      </c>
      <c r="O1455" s="10" t="s">
        <v>15544</v>
      </c>
      <c r="P1455" s="5" t="s">
        <v>14571</v>
      </c>
      <c r="Q1455" s="5" t="s">
        <v>17404</v>
      </c>
      <c r="R1455" s="5" t="s">
        <v>18093</v>
      </c>
      <c r="T1455" s="5" t="s">
        <v>5994</v>
      </c>
      <c r="U1455" s="5" t="s">
        <v>15349</v>
      </c>
      <c r="V1455" s="5" t="s">
        <v>7644</v>
      </c>
      <c r="W1455" s="5" t="s">
        <v>2708</v>
      </c>
    </row>
    <row r="1456" spans="1:23" ht="12.5">
      <c r="A1456" s="5">
        <v>91961</v>
      </c>
      <c r="B1456" s="5" t="s">
        <v>18094</v>
      </c>
      <c r="C1456" s="5">
        <v>573113793246</v>
      </c>
      <c r="D1456" s="5">
        <v>64</v>
      </c>
      <c r="E1456" s="5" t="s">
        <v>133</v>
      </c>
      <c r="F1456" s="5" t="s">
        <v>185</v>
      </c>
      <c r="G1456" s="5" t="s">
        <v>1071</v>
      </c>
      <c r="H1456" s="5" t="s">
        <v>10024</v>
      </c>
      <c r="I1456" s="5"/>
      <c r="J1456" s="12">
        <v>46067</v>
      </c>
      <c r="K1456" s="11">
        <v>0.66666666666787933</v>
      </c>
      <c r="M1456" s="10" t="s">
        <v>15623</v>
      </c>
      <c r="N1456" s="12">
        <v>46066.553785868055</v>
      </c>
      <c r="O1456" s="10" t="s">
        <v>15633</v>
      </c>
      <c r="P1456" s="5" t="s">
        <v>14571</v>
      </c>
      <c r="Q1456" s="5" t="s">
        <v>17404</v>
      </c>
      <c r="R1456" s="5" t="s">
        <v>18095</v>
      </c>
      <c r="T1456" s="5" t="s">
        <v>5994</v>
      </c>
      <c r="U1456" s="5" t="s">
        <v>14580</v>
      </c>
      <c r="V1456" s="5" t="s">
        <v>7644</v>
      </c>
      <c r="W1456" s="5" t="s">
        <v>9600</v>
      </c>
    </row>
    <row r="1457" spans="1:23" ht="12.5">
      <c r="A1457" s="5">
        <v>91962</v>
      </c>
      <c r="B1457" s="5" t="s">
        <v>18096</v>
      </c>
      <c r="C1457" s="5">
        <v>17025164014</v>
      </c>
      <c r="D1457" s="5">
        <v>39</v>
      </c>
      <c r="E1457" s="5" t="s">
        <v>96</v>
      </c>
      <c r="F1457" s="5"/>
      <c r="G1457" s="5" t="s">
        <v>10027</v>
      </c>
      <c r="H1457" s="5" t="s">
        <v>10028</v>
      </c>
      <c r="I1457" s="5"/>
      <c r="J1457" s="12">
        <v>46066</v>
      </c>
      <c r="K1457" s="11">
        <v>0</v>
      </c>
      <c r="M1457" s="10" t="s">
        <v>14910</v>
      </c>
      <c r="N1457" s="12">
        <v>46066.59268170139</v>
      </c>
      <c r="O1457" s="10" t="s">
        <v>14723</v>
      </c>
      <c r="P1457" s="5" t="s">
        <v>14571</v>
      </c>
      <c r="Q1457" s="5" t="s">
        <v>16907</v>
      </c>
      <c r="R1457" s="5" t="s">
        <v>18097</v>
      </c>
      <c r="T1457" s="5" t="s">
        <v>5994</v>
      </c>
      <c r="U1457" s="5"/>
      <c r="V1457" s="5" t="s">
        <v>1937</v>
      </c>
      <c r="W1457" s="5"/>
    </row>
    <row r="1458" spans="1:23" ht="12.5">
      <c r="A1458" s="5">
        <v>91963</v>
      </c>
      <c r="B1458" s="5" t="s">
        <v>18098</v>
      </c>
      <c r="C1458" s="5">
        <v>573205167153</v>
      </c>
      <c r="D1458" s="5">
        <v>7</v>
      </c>
      <c r="E1458" s="5" t="s">
        <v>112</v>
      </c>
      <c r="F1458" s="5" t="s">
        <v>63</v>
      </c>
      <c r="G1458" s="5" t="s">
        <v>10031</v>
      </c>
      <c r="H1458" s="5" t="s">
        <v>10032</v>
      </c>
      <c r="I1458" s="5">
        <v>3107400357</v>
      </c>
      <c r="J1458" s="12">
        <v>46067</v>
      </c>
      <c r="K1458" s="11">
        <v>0.41666666666787933</v>
      </c>
      <c r="M1458" s="10" t="s">
        <v>17427</v>
      </c>
      <c r="N1458" s="12">
        <v>46066.554165879628</v>
      </c>
      <c r="O1458" s="10" t="s">
        <v>16209</v>
      </c>
      <c r="P1458" s="5" t="s">
        <v>14571</v>
      </c>
      <c r="Q1458" s="5" t="s">
        <v>14572</v>
      </c>
      <c r="R1458" s="5" t="s">
        <v>18099</v>
      </c>
      <c r="T1458" s="5" t="s">
        <v>5994</v>
      </c>
      <c r="U1458" s="5" t="s">
        <v>14598</v>
      </c>
      <c r="V1458" s="5" t="s">
        <v>67</v>
      </c>
      <c r="W1458" s="5" t="s">
        <v>10035</v>
      </c>
    </row>
    <row r="1459" spans="1:23" ht="12.5">
      <c r="A1459" s="5">
        <v>91964</v>
      </c>
      <c r="B1459" s="5" t="s">
        <v>18100</v>
      </c>
      <c r="C1459" s="10" t="s">
        <v>18101</v>
      </c>
      <c r="D1459" s="5">
        <v>45</v>
      </c>
      <c r="E1459" s="5" t="s">
        <v>210</v>
      </c>
      <c r="F1459" s="5" t="s">
        <v>6692</v>
      </c>
      <c r="G1459" s="5" t="s">
        <v>18102</v>
      </c>
      <c r="H1459" s="5" t="s">
        <v>10039</v>
      </c>
      <c r="I1459" s="5">
        <v>3126033444</v>
      </c>
      <c r="J1459" s="12">
        <v>46066</v>
      </c>
      <c r="K1459" s="11">
        <v>0.66666666666666663</v>
      </c>
      <c r="M1459" s="10" t="s">
        <v>15040</v>
      </c>
      <c r="N1459" s="12">
        <v>46066</v>
      </c>
      <c r="O1459" s="10" t="s">
        <v>17141</v>
      </c>
      <c r="P1459" s="5" t="s">
        <v>14571</v>
      </c>
      <c r="Q1459" s="5" t="s">
        <v>14578</v>
      </c>
      <c r="R1459" s="5" t="s">
        <v>18103</v>
      </c>
      <c r="T1459" s="5" t="s">
        <v>5994</v>
      </c>
      <c r="U1459" s="5" t="s">
        <v>14580</v>
      </c>
      <c r="V1459" s="5" t="s">
        <v>7644</v>
      </c>
      <c r="W1459" s="5"/>
    </row>
    <row r="1460" spans="1:23" ht="12.5">
      <c r="A1460" s="5">
        <v>91965</v>
      </c>
      <c r="B1460" s="5" t="s">
        <v>18104</v>
      </c>
      <c r="C1460" s="5">
        <v>573186323485</v>
      </c>
      <c r="D1460" s="5">
        <v>42</v>
      </c>
      <c r="E1460" s="5" t="s">
        <v>649</v>
      </c>
      <c r="F1460" s="5" t="s">
        <v>103</v>
      </c>
      <c r="G1460" s="5" t="s">
        <v>10043</v>
      </c>
      <c r="H1460" s="5" t="s">
        <v>10044</v>
      </c>
      <c r="I1460" s="5"/>
      <c r="J1460" s="12">
        <v>46067</v>
      </c>
      <c r="K1460" s="11">
        <v>0.33333333333212067</v>
      </c>
      <c r="M1460" s="10" t="s">
        <v>14777</v>
      </c>
      <c r="N1460" s="12">
        <v>46066.601776481482</v>
      </c>
      <c r="O1460" s="10" t="s">
        <v>14836</v>
      </c>
      <c r="P1460" s="5" t="s">
        <v>14571</v>
      </c>
      <c r="Q1460" s="5" t="s">
        <v>14572</v>
      </c>
      <c r="R1460" s="5" t="s">
        <v>18105</v>
      </c>
      <c r="T1460" s="5" t="s">
        <v>5994</v>
      </c>
      <c r="U1460" s="5" t="s">
        <v>14593</v>
      </c>
      <c r="V1460" s="5" t="s">
        <v>83</v>
      </c>
      <c r="W1460" s="5" t="s">
        <v>9612</v>
      </c>
    </row>
    <row r="1461" spans="1:23" ht="12.5">
      <c r="A1461" s="5">
        <v>91966</v>
      </c>
      <c r="B1461" s="5" t="s">
        <v>18106</v>
      </c>
      <c r="C1461" s="10" t="s">
        <v>18107</v>
      </c>
      <c r="D1461" s="5">
        <v>29</v>
      </c>
      <c r="E1461" s="5" t="s">
        <v>309</v>
      </c>
      <c r="F1461" s="5"/>
      <c r="G1461" s="5" t="s">
        <v>18108</v>
      </c>
      <c r="H1461" s="5" t="s">
        <v>10049</v>
      </c>
      <c r="I1461" s="5"/>
      <c r="J1461" s="12">
        <v>46067</v>
      </c>
      <c r="K1461" s="11">
        <v>0.33333333333333331</v>
      </c>
      <c r="M1461" s="10" t="s">
        <v>14627</v>
      </c>
      <c r="N1461" s="12">
        <v>46066</v>
      </c>
      <c r="O1461" s="10" t="s">
        <v>14954</v>
      </c>
      <c r="P1461" s="5" t="s">
        <v>14571</v>
      </c>
      <c r="Q1461" s="5" t="s">
        <v>14572</v>
      </c>
      <c r="R1461" s="5" t="s">
        <v>18109</v>
      </c>
      <c r="T1461" s="5" t="s">
        <v>5994</v>
      </c>
      <c r="U1461" s="5"/>
      <c r="V1461" s="5" t="s">
        <v>1937</v>
      </c>
      <c r="W1461" s="5" t="s">
        <v>10052</v>
      </c>
    </row>
    <row r="1462" spans="1:23" ht="12.5">
      <c r="A1462" s="5">
        <v>91967</v>
      </c>
      <c r="B1462" s="5" t="s">
        <v>18110</v>
      </c>
      <c r="C1462" s="5">
        <v>573003922505</v>
      </c>
      <c r="D1462" s="5">
        <v>53</v>
      </c>
      <c r="E1462" s="5" t="s">
        <v>9576</v>
      </c>
      <c r="F1462" s="5" t="s">
        <v>6194</v>
      </c>
      <c r="G1462" s="5" t="s">
        <v>10054</v>
      </c>
      <c r="H1462" s="5" t="s">
        <v>10055</v>
      </c>
      <c r="I1462" s="5">
        <v>3052946583</v>
      </c>
      <c r="J1462" s="12">
        <v>46066</v>
      </c>
      <c r="K1462" s="11">
        <v>0.1875</v>
      </c>
      <c r="M1462" s="10" t="s">
        <v>14859</v>
      </c>
      <c r="N1462" s="12">
        <v>46066.602128148152</v>
      </c>
      <c r="O1462" s="10" t="s">
        <v>17415</v>
      </c>
      <c r="P1462" s="5" t="s">
        <v>14571</v>
      </c>
      <c r="Q1462" s="5" t="s">
        <v>17404</v>
      </c>
      <c r="R1462" s="5" t="s">
        <v>18111</v>
      </c>
      <c r="T1462" s="5" t="s">
        <v>5994</v>
      </c>
      <c r="U1462" s="5" t="s">
        <v>14580</v>
      </c>
      <c r="V1462" s="5" t="s">
        <v>7644</v>
      </c>
      <c r="W1462" s="5" t="s">
        <v>9612</v>
      </c>
    </row>
    <row r="1463" spans="1:23" ht="12.5">
      <c r="A1463" s="5">
        <v>91968</v>
      </c>
      <c r="B1463" s="5" t="s">
        <v>18112</v>
      </c>
      <c r="C1463" s="5">
        <v>17046182800</v>
      </c>
      <c r="D1463" s="5">
        <v>49</v>
      </c>
      <c r="E1463" s="5" t="s">
        <v>9546</v>
      </c>
      <c r="F1463" s="5" t="s">
        <v>265</v>
      </c>
      <c r="G1463" s="5" t="s">
        <v>10061</v>
      </c>
      <c r="H1463" s="5" t="s">
        <v>10062</v>
      </c>
      <c r="I1463" s="5"/>
      <c r="J1463" s="12">
        <v>46067</v>
      </c>
      <c r="K1463" s="11">
        <v>0.375</v>
      </c>
      <c r="M1463" s="10" t="s">
        <v>17852</v>
      </c>
      <c r="N1463" s="12">
        <v>46066.550282777782</v>
      </c>
      <c r="O1463" s="10" t="s">
        <v>15249</v>
      </c>
      <c r="P1463" s="5" t="s">
        <v>14571</v>
      </c>
      <c r="Q1463" s="5" t="s">
        <v>16907</v>
      </c>
      <c r="R1463" s="5" t="s">
        <v>18113</v>
      </c>
      <c r="T1463" s="5" t="s">
        <v>5994</v>
      </c>
      <c r="U1463" s="5" t="s">
        <v>14691</v>
      </c>
      <c r="V1463" s="5" t="s">
        <v>1937</v>
      </c>
      <c r="W1463" s="5"/>
    </row>
    <row r="1464" spans="1:23" ht="12.5">
      <c r="A1464" s="5">
        <v>91969</v>
      </c>
      <c r="B1464" s="5" t="s">
        <v>10065</v>
      </c>
      <c r="C1464" s="5">
        <v>573136834537</v>
      </c>
      <c r="D1464" s="5">
        <v>95</v>
      </c>
      <c r="E1464" s="5" t="s">
        <v>42</v>
      </c>
      <c r="F1464" s="5" t="s">
        <v>33</v>
      </c>
      <c r="G1464" s="5" t="s">
        <v>10065</v>
      </c>
      <c r="H1464" s="5" t="s">
        <v>34</v>
      </c>
      <c r="I1464" s="5">
        <v>3136834537</v>
      </c>
      <c r="J1464" s="12">
        <v>46067</v>
      </c>
      <c r="K1464" s="11">
        <v>0.41666666666787933</v>
      </c>
      <c r="M1464" s="10" t="s">
        <v>14585</v>
      </c>
      <c r="N1464" s="12">
        <v>46066.625093182869</v>
      </c>
      <c r="O1464" s="10" t="s">
        <v>17329</v>
      </c>
      <c r="P1464" s="5" t="s">
        <v>14571</v>
      </c>
      <c r="Q1464" s="5" t="s">
        <v>14572</v>
      </c>
      <c r="R1464" s="5" t="s">
        <v>18114</v>
      </c>
      <c r="T1464" s="5" t="s">
        <v>14574</v>
      </c>
      <c r="U1464" s="5" t="s">
        <v>33</v>
      </c>
      <c r="V1464" s="5" t="s">
        <v>196</v>
      </c>
      <c r="W1464" s="5" t="s">
        <v>10066</v>
      </c>
    </row>
    <row r="1465" spans="1:23" ht="12.5">
      <c r="A1465" s="5">
        <v>91970</v>
      </c>
      <c r="B1465" s="5" t="s">
        <v>10068</v>
      </c>
      <c r="C1465" s="5">
        <v>5700000</v>
      </c>
      <c r="D1465" s="5">
        <v>52</v>
      </c>
      <c r="E1465" s="5" t="s">
        <v>6874</v>
      </c>
      <c r="F1465" s="5"/>
      <c r="G1465" s="5" t="s">
        <v>10068</v>
      </c>
      <c r="H1465" s="5" t="s">
        <v>10069</v>
      </c>
      <c r="I1465" s="5"/>
      <c r="J1465" s="12">
        <v>46066</v>
      </c>
      <c r="K1465" s="11">
        <v>0</v>
      </c>
      <c r="M1465" s="10" t="s">
        <v>15594</v>
      </c>
      <c r="N1465" s="12">
        <v>46066.638314675925</v>
      </c>
      <c r="O1465" s="10" t="s">
        <v>15947</v>
      </c>
      <c r="P1465" s="5" t="s">
        <v>14571</v>
      </c>
      <c r="Q1465" s="5" t="s">
        <v>16907</v>
      </c>
      <c r="R1465" s="5" t="s">
        <v>18115</v>
      </c>
      <c r="T1465" s="5" t="s">
        <v>5994</v>
      </c>
      <c r="U1465" s="5"/>
      <c r="V1465" s="5" t="s">
        <v>7644</v>
      </c>
      <c r="W1465" s="5" t="s">
        <v>10070</v>
      </c>
    </row>
    <row r="1466" spans="1:23" ht="12.5">
      <c r="A1466" s="5">
        <v>91971</v>
      </c>
      <c r="B1466" s="5" t="s">
        <v>18116</v>
      </c>
      <c r="C1466" s="5">
        <v>573176481134</v>
      </c>
      <c r="D1466" s="5" t="s">
        <v>18117</v>
      </c>
      <c r="E1466" s="5" t="s">
        <v>10075</v>
      </c>
      <c r="F1466" s="5" t="s">
        <v>110</v>
      </c>
      <c r="G1466" s="5" t="s">
        <v>10073</v>
      </c>
      <c r="H1466" s="5" t="s">
        <v>10074</v>
      </c>
      <c r="I1466" s="5">
        <v>3112011805</v>
      </c>
      <c r="J1466" s="12">
        <v>46066</v>
      </c>
      <c r="K1466" s="11">
        <v>0</v>
      </c>
      <c r="M1466" s="10" t="s">
        <v>18118</v>
      </c>
      <c r="N1466" s="12">
        <v>46066.638681435186</v>
      </c>
      <c r="O1466" s="10" t="s">
        <v>15947</v>
      </c>
      <c r="P1466" s="5" t="s">
        <v>14571</v>
      </c>
      <c r="Q1466" s="5" t="s">
        <v>17990</v>
      </c>
      <c r="R1466" s="5" t="s">
        <v>18119</v>
      </c>
      <c r="T1466" s="5" t="s">
        <v>5994</v>
      </c>
      <c r="U1466" s="5" t="s">
        <v>14593</v>
      </c>
      <c r="V1466" s="5" t="s">
        <v>196</v>
      </c>
      <c r="W1466" s="5"/>
    </row>
    <row r="1467" spans="1:23" ht="12.5">
      <c r="A1467" s="5">
        <v>91972</v>
      </c>
      <c r="B1467" s="5" t="s">
        <v>18120</v>
      </c>
      <c r="C1467" s="10" t="s">
        <v>18121</v>
      </c>
      <c r="D1467" s="5">
        <v>42</v>
      </c>
      <c r="E1467" s="5" t="s">
        <v>649</v>
      </c>
      <c r="F1467" s="5" t="s">
        <v>879</v>
      </c>
      <c r="G1467" s="5" t="s">
        <v>3954</v>
      </c>
      <c r="H1467" s="5" t="s">
        <v>10077</v>
      </c>
      <c r="I1467" s="5" t="s">
        <v>10078</v>
      </c>
      <c r="J1467" s="12">
        <v>46067</v>
      </c>
      <c r="K1467" s="11">
        <v>0</v>
      </c>
      <c r="M1467" s="10" t="s">
        <v>14569</v>
      </c>
      <c r="N1467" s="12">
        <v>46066</v>
      </c>
      <c r="O1467" s="10" t="s">
        <v>15466</v>
      </c>
      <c r="P1467" s="5" t="s">
        <v>14571</v>
      </c>
      <c r="Q1467" s="5" t="s">
        <v>14572</v>
      </c>
      <c r="R1467" s="5" t="s">
        <v>18122</v>
      </c>
      <c r="T1467" s="5" t="s">
        <v>5994</v>
      </c>
      <c r="U1467" s="5" t="s">
        <v>14580</v>
      </c>
      <c r="V1467" s="5" t="s">
        <v>83</v>
      </c>
      <c r="W1467" s="5" t="s">
        <v>2708</v>
      </c>
    </row>
    <row r="1468" spans="1:23" ht="12.5">
      <c r="A1468" s="5">
        <v>91973</v>
      </c>
      <c r="B1468" s="5" t="s">
        <v>18123</v>
      </c>
      <c r="C1468" s="5">
        <v>573003799031</v>
      </c>
      <c r="D1468" s="5">
        <v>53</v>
      </c>
      <c r="E1468" s="5" t="s">
        <v>9576</v>
      </c>
      <c r="F1468" s="5" t="s">
        <v>124</v>
      </c>
      <c r="G1468" s="5" t="s">
        <v>10081</v>
      </c>
      <c r="H1468" s="5" t="s">
        <v>10082</v>
      </c>
      <c r="I1468" s="5">
        <v>3197052180</v>
      </c>
      <c r="J1468" s="12">
        <v>46067</v>
      </c>
      <c r="K1468" s="11">
        <v>0</v>
      </c>
      <c r="M1468" s="10" t="s">
        <v>15632</v>
      </c>
      <c r="N1468" s="12">
        <v>46066.641354282408</v>
      </c>
      <c r="O1468" s="10" t="s">
        <v>18124</v>
      </c>
      <c r="P1468" s="5" t="s">
        <v>14571</v>
      </c>
      <c r="Q1468" s="5" t="s">
        <v>17404</v>
      </c>
      <c r="R1468" s="5" t="s">
        <v>18125</v>
      </c>
      <c r="T1468" s="5" t="s">
        <v>5994</v>
      </c>
      <c r="U1468" s="5" t="s">
        <v>14775</v>
      </c>
      <c r="V1468" s="5" t="s">
        <v>67</v>
      </c>
      <c r="W1468" s="5" t="s">
        <v>2708</v>
      </c>
    </row>
    <row r="1469" spans="1:23" ht="12.5">
      <c r="A1469" s="5">
        <v>91975</v>
      </c>
      <c r="B1469" s="5" t="s">
        <v>18126</v>
      </c>
      <c r="C1469" s="10" t="s">
        <v>18127</v>
      </c>
      <c r="D1469" s="5">
        <v>46</v>
      </c>
      <c r="E1469" s="5" t="s">
        <v>1126</v>
      </c>
      <c r="F1469" s="5" t="s">
        <v>103</v>
      </c>
      <c r="G1469" s="5" t="s">
        <v>18128</v>
      </c>
      <c r="H1469" s="5" t="s">
        <v>10092</v>
      </c>
      <c r="I1469" s="5">
        <v>3165221351</v>
      </c>
      <c r="J1469" s="12">
        <v>46067</v>
      </c>
      <c r="K1469" s="11">
        <v>0.375</v>
      </c>
      <c r="M1469" s="10" t="s">
        <v>15480</v>
      </c>
      <c r="N1469" s="12">
        <v>46066</v>
      </c>
      <c r="O1469" s="10" t="s">
        <v>15953</v>
      </c>
      <c r="P1469" s="5" t="s">
        <v>14571</v>
      </c>
      <c r="Q1469" s="5" t="s">
        <v>14572</v>
      </c>
      <c r="R1469" s="5" t="s">
        <v>18129</v>
      </c>
      <c r="T1469" s="5" t="s">
        <v>5994</v>
      </c>
      <c r="U1469" s="5" t="s">
        <v>14593</v>
      </c>
      <c r="V1469" s="5" t="s">
        <v>1937</v>
      </c>
      <c r="W1469" s="5" t="s">
        <v>10095</v>
      </c>
    </row>
    <row r="1470" spans="1:23" ht="12.5">
      <c r="A1470" s="5">
        <v>91976</v>
      </c>
      <c r="B1470" s="5" t="s">
        <v>10098</v>
      </c>
      <c r="C1470" s="5">
        <v>57000</v>
      </c>
      <c r="D1470" s="5">
        <v>29</v>
      </c>
      <c r="E1470" s="5" t="s">
        <v>309</v>
      </c>
      <c r="F1470" s="5" t="s">
        <v>33</v>
      </c>
      <c r="G1470" s="5" t="s">
        <v>10098</v>
      </c>
      <c r="H1470" s="5" t="s">
        <v>34</v>
      </c>
      <c r="I1470" s="10" t="s">
        <v>2686</v>
      </c>
      <c r="J1470" s="12">
        <v>46066</v>
      </c>
      <c r="K1470" s="11">
        <v>0</v>
      </c>
      <c r="M1470" s="10" t="s">
        <v>14850</v>
      </c>
      <c r="N1470" s="12">
        <v>46066.652166631946</v>
      </c>
      <c r="O1470" s="10" t="s">
        <v>16150</v>
      </c>
      <c r="P1470" s="5" t="s">
        <v>14571</v>
      </c>
      <c r="Q1470" s="5" t="s">
        <v>17479</v>
      </c>
      <c r="R1470" s="5" t="s">
        <v>18130</v>
      </c>
      <c r="T1470" s="5" t="s">
        <v>14574</v>
      </c>
      <c r="U1470" s="5" t="s">
        <v>33</v>
      </c>
      <c r="V1470" s="5" t="s">
        <v>37</v>
      </c>
      <c r="W1470" s="5">
        <v>22428487985</v>
      </c>
    </row>
    <row r="1471" spans="1:23" ht="12.5">
      <c r="A1471" s="5">
        <v>91977</v>
      </c>
      <c r="B1471" s="5" t="s">
        <v>18131</v>
      </c>
      <c r="C1471" s="5">
        <v>573226471069</v>
      </c>
      <c r="D1471" s="5">
        <v>52</v>
      </c>
      <c r="E1471" s="5" t="s">
        <v>6874</v>
      </c>
      <c r="F1471" s="5" t="s">
        <v>9925</v>
      </c>
      <c r="G1471" s="5" t="s">
        <v>3078</v>
      </c>
      <c r="H1471" s="5" t="s">
        <v>10100</v>
      </c>
      <c r="I1471" s="5">
        <v>3022453560</v>
      </c>
      <c r="J1471" s="12">
        <v>46067</v>
      </c>
      <c r="K1471" s="11">
        <v>0.375</v>
      </c>
      <c r="M1471" s="10" t="s">
        <v>16484</v>
      </c>
      <c r="N1471" s="12">
        <v>46066.650257025467</v>
      </c>
      <c r="O1471" s="10" t="s">
        <v>15882</v>
      </c>
      <c r="P1471" s="5" t="s">
        <v>14571</v>
      </c>
      <c r="Q1471" s="5" t="s">
        <v>14578</v>
      </c>
      <c r="R1471" s="5" t="s">
        <v>18132</v>
      </c>
      <c r="T1471" s="5" t="s">
        <v>5994</v>
      </c>
      <c r="U1471" s="5" t="s">
        <v>14618</v>
      </c>
      <c r="V1471" s="5" t="s">
        <v>7644</v>
      </c>
      <c r="W1471" s="5" t="s">
        <v>10103</v>
      </c>
    </row>
    <row r="1472" spans="1:23" ht="12.5">
      <c r="A1472" s="5">
        <v>91978</v>
      </c>
      <c r="B1472" s="5" t="s">
        <v>10107</v>
      </c>
      <c r="C1472" s="5">
        <v>18579305737</v>
      </c>
      <c r="D1472" s="5">
        <v>57</v>
      </c>
      <c r="E1472" s="5" t="s">
        <v>35</v>
      </c>
      <c r="F1472" s="5"/>
      <c r="G1472" s="5" t="s">
        <v>10104</v>
      </c>
      <c r="H1472" s="5" t="s">
        <v>10105</v>
      </c>
      <c r="I1472" s="5"/>
      <c r="J1472" s="12">
        <v>46066</v>
      </c>
      <c r="K1472" s="11">
        <v>0.20833333333212067</v>
      </c>
      <c r="M1472" s="10" t="s">
        <v>10581</v>
      </c>
      <c r="N1472" s="12">
        <v>46066.544560787035</v>
      </c>
      <c r="O1472" s="10" t="s">
        <v>15378</v>
      </c>
      <c r="P1472" s="5" t="s">
        <v>14571</v>
      </c>
      <c r="Q1472" s="5" t="s">
        <v>14612</v>
      </c>
      <c r="R1472" s="5" t="s">
        <v>18133</v>
      </c>
      <c r="T1472" s="5" t="s">
        <v>5994</v>
      </c>
      <c r="U1472" s="5"/>
      <c r="V1472" s="5" t="s">
        <v>2438</v>
      </c>
      <c r="W1472" s="5" t="s">
        <v>9612</v>
      </c>
    </row>
    <row r="1473" spans="1:23" ht="15.5">
      <c r="A1473" s="5">
        <v>91868</v>
      </c>
      <c r="B1473" s="25" t="s">
        <v>9623</v>
      </c>
      <c r="C1473" s="25">
        <v>1121339035</v>
      </c>
      <c r="D1473" s="5">
        <v>95</v>
      </c>
      <c r="E1473" s="27" t="s">
        <v>42</v>
      </c>
      <c r="F1473" s="25" t="s">
        <v>33</v>
      </c>
      <c r="G1473" s="25" t="s">
        <v>9623</v>
      </c>
      <c r="H1473" s="25" t="s">
        <v>34</v>
      </c>
      <c r="I1473" s="25">
        <v>3022989464</v>
      </c>
      <c r="J1473" s="28">
        <v>46067</v>
      </c>
      <c r="K1473" s="29">
        <v>0.33333333333333331</v>
      </c>
      <c r="M1473" s="25">
        <v>200000</v>
      </c>
      <c r="N1473" s="12">
        <v>46065</v>
      </c>
      <c r="O1473" s="7">
        <v>0</v>
      </c>
      <c r="P1473" s="5" t="s">
        <v>14571</v>
      </c>
      <c r="Q1473" s="5" t="s">
        <v>16907</v>
      </c>
      <c r="R1473" s="5" t="s">
        <v>18134</v>
      </c>
      <c r="T1473" s="5" t="s">
        <v>14574</v>
      </c>
      <c r="U1473" s="5" t="s">
        <v>33</v>
      </c>
      <c r="V1473" s="5" t="s">
        <v>196</v>
      </c>
      <c r="W1473" s="25" t="s">
        <v>9625</v>
      </c>
    </row>
    <row r="1474" spans="1:23" ht="12.5">
      <c r="A1474" s="5">
        <v>91979</v>
      </c>
      <c r="B1474" s="5" t="s">
        <v>18135</v>
      </c>
      <c r="C1474" s="5">
        <v>573116251075</v>
      </c>
      <c r="D1474" s="5">
        <v>29</v>
      </c>
      <c r="E1474" s="5" t="s">
        <v>309</v>
      </c>
      <c r="F1474" s="5"/>
      <c r="G1474" s="5" t="s">
        <v>10108</v>
      </c>
      <c r="H1474" s="5" t="s">
        <v>10109</v>
      </c>
      <c r="I1474" s="5"/>
      <c r="J1474" s="12">
        <v>46066</v>
      </c>
      <c r="K1474" s="11">
        <v>0</v>
      </c>
      <c r="M1474" s="10" t="s">
        <v>14627</v>
      </c>
      <c r="N1474" s="12">
        <v>46066.659976238428</v>
      </c>
      <c r="O1474" s="10" t="s">
        <v>15956</v>
      </c>
      <c r="P1474" s="5" t="s">
        <v>14571</v>
      </c>
      <c r="Q1474" s="5" t="s">
        <v>17688</v>
      </c>
      <c r="R1474" s="5" t="s">
        <v>18136</v>
      </c>
      <c r="T1474" s="5" t="s">
        <v>5994</v>
      </c>
      <c r="U1474" s="5"/>
      <c r="V1474" s="5" t="s">
        <v>2438</v>
      </c>
      <c r="W1474" s="5"/>
    </row>
    <row r="1475" spans="1:23" ht="12.5">
      <c r="A1475" s="5">
        <v>91980</v>
      </c>
      <c r="B1475" s="5" t="s">
        <v>18137</v>
      </c>
      <c r="C1475" s="5">
        <v>573152530349</v>
      </c>
      <c r="D1475" s="5">
        <v>29</v>
      </c>
      <c r="E1475" s="5" t="s">
        <v>309</v>
      </c>
      <c r="F1475" s="5" t="s">
        <v>892</v>
      </c>
      <c r="G1475" s="5" t="s">
        <v>10114</v>
      </c>
      <c r="H1475" s="5" t="s">
        <v>10115</v>
      </c>
      <c r="I1475" s="5">
        <v>3154392021</v>
      </c>
      <c r="J1475" s="12">
        <v>46067</v>
      </c>
      <c r="K1475" s="11">
        <v>0</v>
      </c>
      <c r="M1475" s="10" t="s">
        <v>14705</v>
      </c>
      <c r="N1475" s="12">
        <v>46066.652025636577</v>
      </c>
      <c r="O1475" s="10" t="s">
        <v>16223</v>
      </c>
      <c r="P1475" s="5" t="s">
        <v>14571</v>
      </c>
      <c r="Q1475" s="5" t="s">
        <v>17688</v>
      </c>
      <c r="R1475" s="5" t="s">
        <v>18138</v>
      </c>
      <c r="T1475" s="5" t="s">
        <v>5994</v>
      </c>
      <c r="U1475" s="5" t="s">
        <v>14593</v>
      </c>
      <c r="V1475" s="5" t="s">
        <v>7644</v>
      </c>
      <c r="W1475" s="5" t="s">
        <v>2708</v>
      </c>
    </row>
    <row r="1476" spans="1:23" ht="12.5">
      <c r="A1476" s="5">
        <v>91981</v>
      </c>
      <c r="B1476" s="5" t="s">
        <v>18139</v>
      </c>
      <c r="C1476" s="5">
        <v>573028640221</v>
      </c>
      <c r="D1476" s="5">
        <v>31</v>
      </c>
      <c r="E1476" s="5" t="s">
        <v>375</v>
      </c>
      <c r="F1476" s="5" t="s">
        <v>783</v>
      </c>
      <c r="G1476" s="5" t="s">
        <v>10119</v>
      </c>
      <c r="H1476" s="5" t="s">
        <v>10120</v>
      </c>
      <c r="I1476" s="5">
        <v>3114339762</v>
      </c>
      <c r="J1476" s="12">
        <v>46067</v>
      </c>
      <c r="K1476" s="11">
        <v>0.375</v>
      </c>
      <c r="M1476" s="10" t="s">
        <v>15525</v>
      </c>
      <c r="N1476" s="12">
        <v>46066.623185821758</v>
      </c>
      <c r="O1476" s="10" t="s">
        <v>16226</v>
      </c>
      <c r="P1476" s="5" t="s">
        <v>14571</v>
      </c>
      <c r="Q1476" s="5" t="s">
        <v>14572</v>
      </c>
      <c r="R1476" s="5" t="s">
        <v>18140</v>
      </c>
      <c r="T1476" s="5" t="s">
        <v>5994</v>
      </c>
      <c r="U1476" s="5"/>
      <c r="V1476" s="5" t="s">
        <v>83</v>
      </c>
      <c r="W1476" s="5" t="s">
        <v>9600</v>
      </c>
    </row>
    <row r="1477" spans="1:23" ht="12.5">
      <c r="A1477" s="5">
        <v>91982</v>
      </c>
      <c r="B1477" s="5" t="s">
        <v>18141</v>
      </c>
      <c r="C1477" s="5">
        <v>573016146980</v>
      </c>
      <c r="D1477" s="5">
        <v>56</v>
      </c>
      <c r="E1477" s="5" t="s">
        <v>9152</v>
      </c>
      <c r="F1477" s="5" t="s">
        <v>2090</v>
      </c>
      <c r="G1477" s="5" t="s">
        <v>10125</v>
      </c>
      <c r="H1477" s="5" t="s">
        <v>10126</v>
      </c>
      <c r="I1477" s="5"/>
      <c r="J1477" s="12">
        <v>46067</v>
      </c>
      <c r="K1477" s="11">
        <v>0.33333333333212067</v>
      </c>
      <c r="M1477" s="10" t="s">
        <v>14649</v>
      </c>
      <c r="N1477" s="12">
        <v>46066.648652800926</v>
      </c>
      <c r="O1477" s="10" t="s">
        <v>15372</v>
      </c>
      <c r="P1477" s="5" t="s">
        <v>14571</v>
      </c>
      <c r="Q1477" s="5" t="s">
        <v>17404</v>
      </c>
      <c r="R1477" s="5" t="s">
        <v>18142</v>
      </c>
      <c r="T1477" s="5" t="s">
        <v>5994</v>
      </c>
      <c r="U1477" s="5" t="s">
        <v>14618</v>
      </c>
      <c r="V1477" s="5" t="s">
        <v>1937</v>
      </c>
      <c r="W1477" s="5" t="s">
        <v>9612</v>
      </c>
    </row>
    <row r="1478" spans="1:23" ht="12.5">
      <c r="A1478" s="5">
        <v>91983</v>
      </c>
      <c r="B1478" s="5" t="s">
        <v>18143</v>
      </c>
      <c r="C1478" s="5">
        <v>570000</v>
      </c>
      <c r="D1478" s="5">
        <v>57</v>
      </c>
      <c r="E1478" s="5" t="s">
        <v>35</v>
      </c>
      <c r="F1478" s="5"/>
      <c r="G1478" s="5" t="s">
        <v>10130</v>
      </c>
      <c r="H1478" s="5" t="s">
        <v>10069</v>
      </c>
      <c r="I1478" s="10" t="s">
        <v>2686</v>
      </c>
      <c r="J1478" s="12">
        <v>46066</v>
      </c>
      <c r="K1478" s="11">
        <v>0</v>
      </c>
      <c r="M1478" s="10" t="s">
        <v>10581</v>
      </c>
      <c r="N1478" s="12">
        <v>46066.668601412035</v>
      </c>
      <c r="O1478" s="10" t="s">
        <v>15372</v>
      </c>
      <c r="P1478" s="5" t="s">
        <v>14571</v>
      </c>
      <c r="Q1478" s="5" t="s">
        <v>17990</v>
      </c>
      <c r="R1478" s="5" t="s">
        <v>18144</v>
      </c>
      <c r="T1478" s="5" t="s">
        <v>5994</v>
      </c>
      <c r="U1478" s="5"/>
      <c r="V1478" s="5" t="s">
        <v>196</v>
      </c>
      <c r="W1478" s="5"/>
    </row>
    <row r="1479" spans="1:23" ht="12.5">
      <c r="A1479" s="5">
        <v>91984</v>
      </c>
      <c r="B1479" s="5" t="s">
        <v>18145</v>
      </c>
      <c r="C1479" s="5">
        <v>573113467688</v>
      </c>
      <c r="D1479" s="5">
        <v>53</v>
      </c>
      <c r="E1479" s="5" t="s">
        <v>9576</v>
      </c>
      <c r="F1479" s="5" t="s">
        <v>328</v>
      </c>
      <c r="G1479" s="5" t="s">
        <v>492</v>
      </c>
      <c r="H1479" s="5" t="s">
        <v>10131</v>
      </c>
      <c r="I1479" s="5" t="s">
        <v>10132</v>
      </c>
      <c r="J1479" s="12">
        <v>46067</v>
      </c>
      <c r="K1479" s="11">
        <v>0.375</v>
      </c>
      <c r="M1479" s="10" t="s">
        <v>15632</v>
      </c>
      <c r="N1479" s="12">
        <v>46066.67322759259</v>
      </c>
      <c r="O1479" s="10" t="s">
        <v>14811</v>
      </c>
      <c r="P1479" s="5" t="s">
        <v>14571</v>
      </c>
      <c r="Q1479" s="5" t="s">
        <v>14612</v>
      </c>
      <c r="R1479" s="5" t="s">
        <v>18146</v>
      </c>
      <c r="T1479" s="5" t="s">
        <v>5994</v>
      </c>
      <c r="U1479" s="5"/>
      <c r="V1479" s="5" t="s">
        <v>7644</v>
      </c>
      <c r="W1479" s="5"/>
    </row>
    <row r="1480" spans="1:23" ht="12.5">
      <c r="A1480" s="5">
        <v>91985</v>
      </c>
      <c r="B1480" s="5" t="s">
        <v>18147</v>
      </c>
      <c r="C1480" s="10" t="s">
        <v>18148</v>
      </c>
      <c r="D1480" s="5">
        <v>44</v>
      </c>
      <c r="E1480" s="5" t="s">
        <v>1111</v>
      </c>
      <c r="F1480" s="5" t="s">
        <v>103</v>
      </c>
      <c r="G1480" s="5" t="s">
        <v>10134</v>
      </c>
      <c r="H1480" s="5" t="s">
        <v>10135</v>
      </c>
      <c r="I1480" s="5">
        <v>3007814789</v>
      </c>
      <c r="J1480" s="12">
        <v>46067</v>
      </c>
      <c r="K1480" s="11">
        <v>0.45833333333333331</v>
      </c>
      <c r="M1480" s="10" t="s">
        <v>14646</v>
      </c>
      <c r="N1480" s="12">
        <v>46066</v>
      </c>
      <c r="O1480" s="10" t="s">
        <v>16988</v>
      </c>
      <c r="P1480" s="5" t="s">
        <v>14571</v>
      </c>
      <c r="Q1480" s="5" t="s">
        <v>14578</v>
      </c>
      <c r="R1480" s="5" t="s">
        <v>18149</v>
      </c>
      <c r="T1480" s="5" t="s">
        <v>5994</v>
      </c>
      <c r="U1480" s="5" t="s">
        <v>14593</v>
      </c>
      <c r="V1480" s="5" t="s">
        <v>7644</v>
      </c>
      <c r="W1480" s="5" t="s">
        <v>9600</v>
      </c>
    </row>
    <row r="1481" spans="1:23" ht="12.5">
      <c r="A1481" s="5">
        <v>91986</v>
      </c>
      <c r="B1481" s="5" t="s">
        <v>18150</v>
      </c>
      <c r="C1481" s="5">
        <v>573103078739</v>
      </c>
      <c r="D1481" s="5">
        <v>29</v>
      </c>
      <c r="E1481" s="5" t="s">
        <v>309</v>
      </c>
      <c r="F1481" s="5" t="s">
        <v>79</v>
      </c>
      <c r="G1481" s="5" t="s">
        <v>10140</v>
      </c>
      <c r="H1481" s="5" t="s">
        <v>10141</v>
      </c>
      <c r="I1481" s="5">
        <v>3102776325</v>
      </c>
      <c r="J1481" s="12">
        <v>46066</v>
      </c>
      <c r="K1481" s="11">
        <v>0.375</v>
      </c>
      <c r="M1481" s="10" t="s">
        <v>14705</v>
      </c>
      <c r="N1481" s="12">
        <v>46066.140889571761</v>
      </c>
      <c r="O1481" s="10" t="s">
        <v>17550</v>
      </c>
      <c r="P1481" s="5" t="s">
        <v>14571</v>
      </c>
      <c r="Q1481" s="5" t="s">
        <v>14612</v>
      </c>
      <c r="R1481" s="5" t="s">
        <v>18151</v>
      </c>
      <c r="T1481" s="5" t="s">
        <v>5994</v>
      </c>
      <c r="U1481" s="5" t="s">
        <v>14593</v>
      </c>
      <c r="V1481" s="5" t="s">
        <v>1937</v>
      </c>
      <c r="W1481" s="5"/>
    </row>
    <row r="1482" spans="1:23" ht="12.5">
      <c r="A1482" s="5">
        <v>91987</v>
      </c>
      <c r="B1482" s="5" t="s">
        <v>18152</v>
      </c>
      <c r="C1482" s="5">
        <v>573212739897</v>
      </c>
      <c r="D1482" s="5">
        <v>103</v>
      </c>
      <c r="E1482" s="5" t="s">
        <v>10001</v>
      </c>
      <c r="F1482" s="5" t="s">
        <v>516</v>
      </c>
      <c r="G1482" s="5" t="s">
        <v>10146</v>
      </c>
      <c r="H1482" s="5" t="s">
        <v>10147</v>
      </c>
      <c r="I1482" s="5" t="s">
        <v>18153</v>
      </c>
      <c r="J1482" s="12">
        <v>46066</v>
      </c>
      <c r="K1482" s="11">
        <v>0.75</v>
      </c>
      <c r="M1482" s="10" t="s">
        <v>14777</v>
      </c>
      <c r="N1482" s="12">
        <v>46066.59884387732</v>
      </c>
      <c r="O1482" s="10" t="s">
        <v>15661</v>
      </c>
      <c r="P1482" s="5" t="s">
        <v>14571</v>
      </c>
      <c r="Q1482" s="5" t="s">
        <v>16907</v>
      </c>
      <c r="R1482" s="5" t="s">
        <v>18154</v>
      </c>
      <c r="T1482" s="5" t="s">
        <v>5994</v>
      </c>
      <c r="U1482" s="5" t="s">
        <v>14580</v>
      </c>
      <c r="V1482" s="5" t="s">
        <v>83</v>
      </c>
      <c r="W1482" s="5"/>
    </row>
    <row r="1483" spans="1:23" ht="12.5">
      <c r="A1483" s="5">
        <v>91988</v>
      </c>
      <c r="B1483" s="5" t="s">
        <v>18155</v>
      </c>
      <c r="C1483" s="5">
        <v>5751942932654</v>
      </c>
      <c r="D1483" s="5">
        <v>52</v>
      </c>
      <c r="E1483" s="5" t="s">
        <v>6874</v>
      </c>
      <c r="F1483" s="5" t="s">
        <v>185</v>
      </c>
      <c r="G1483" s="5" t="s">
        <v>10152</v>
      </c>
      <c r="H1483" s="5" t="s">
        <v>10153</v>
      </c>
      <c r="I1483" s="5">
        <v>3015068968</v>
      </c>
      <c r="J1483" s="12">
        <v>46067</v>
      </c>
      <c r="K1483" s="11">
        <v>0</v>
      </c>
      <c r="M1483" s="10" t="s">
        <v>14885</v>
      </c>
      <c r="N1483" s="12">
        <v>46066.61394491898</v>
      </c>
      <c r="O1483" s="10" t="s">
        <v>15661</v>
      </c>
      <c r="P1483" s="5" t="s">
        <v>14571</v>
      </c>
      <c r="Q1483" s="5" t="s">
        <v>14578</v>
      </c>
      <c r="R1483" s="5" t="s">
        <v>18156</v>
      </c>
      <c r="T1483" s="5" t="s">
        <v>5994</v>
      </c>
      <c r="U1483" s="5" t="s">
        <v>14580</v>
      </c>
      <c r="V1483" s="5" t="s">
        <v>1937</v>
      </c>
      <c r="W1483" s="5"/>
    </row>
    <row r="1484" spans="1:23" ht="12.5">
      <c r="A1484" s="5">
        <v>91989</v>
      </c>
      <c r="B1484" s="5" t="s">
        <v>2955</v>
      </c>
      <c r="C1484" s="10" t="s">
        <v>18157</v>
      </c>
      <c r="D1484" s="5">
        <v>104</v>
      </c>
      <c r="E1484" s="5" t="s">
        <v>10157</v>
      </c>
      <c r="F1484" s="5" t="s">
        <v>79</v>
      </c>
      <c r="G1484" s="5" t="s">
        <v>10155</v>
      </c>
      <c r="H1484" s="5" t="s">
        <v>10156</v>
      </c>
      <c r="I1484" s="5"/>
      <c r="J1484" s="12">
        <v>46067</v>
      </c>
      <c r="K1484" s="11">
        <v>0.41666666666666669</v>
      </c>
      <c r="M1484" s="10" t="s">
        <v>18158</v>
      </c>
      <c r="N1484" s="12">
        <v>46066</v>
      </c>
      <c r="O1484" s="10" t="s">
        <v>15892</v>
      </c>
      <c r="P1484" s="5" t="s">
        <v>14571</v>
      </c>
      <c r="Q1484" s="5" t="s">
        <v>17688</v>
      </c>
      <c r="R1484" s="5" t="s">
        <v>18159</v>
      </c>
      <c r="T1484" s="5" t="s">
        <v>5994</v>
      </c>
      <c r="U1484" s="5" t="s">
        <v>14593</v>
      </c>
      <c r="V1484" s="5" t="s">
        <v>7644</v>
      </c>
      <c r="W1484" s="5" t="s">
        <v>9600</v>
      </c>
    </row>
    <row r="1485" spans="1:23" ht="12.5">
      <c r="A1485" s="5">
        <v>91990</v>
      </c>
      <c r="B1485" s="5" t="s">
        <v>10160</v>
      </c>
      <c r="C1485" s="10" t="s">
        <v>18160</v>
      </c>
      <c r="D1485" s="5">
        <v>104</v>
      </c>
      <c r="E1485" s="5" t="s">
        <v>9280</v>
      </c>
      <c r="F1485" s="5" t="s">
        <v>307</v>
      </c>
      <c r="G1485" s="5" t="s">
        <v>10160</v>
      </c>
      <c r="H1485" s="5" t="s">
        <v>10161</v>
      </c>
      <c r="I1485" s="5">
        <v>3058681889</v>
      </c>
      <c r="J1485" s="12">
        <v>46066</v>
      </c>
      <c r="K1485" s="11">
        <v>0</v>
      </c>
      <c r="M1485" s="10" t="s">
        <v>15179</v>
      </c>
      <c r="N1485" s="12">
        <v>46066</v>
      </c>
      <c r="O1485" s="10" t="s">
        <v>15037</v>
      </c>
      <c r="P1485" s="5" t="s">
        <v>14571</v>
      </c>
      <c r="Q1485" s="5" t="s">
        <v>14612</v>
      </c>
      <c r="R1485" s="5" t="s">
        <v>18161</v>
      </c>
      <c r="T1485" s="5" t="s">
        <v>5994</v>
      </c>
      <c r="U1485" s="5" t="s">
        <v>14618</v>
      </c>
      <c r="V1485" s="5" t="s">
        <v>7644</v>
      </c>
      <c r="W1485" s="5" t="s">
        <v>2708</v>
      </c>
    </row>
    <row r="1486" spans="1:23" ht="12.5">
      <c r="A1486" s="5">
        <v>91991</v>
      </c>
      <c r="B1486" s="5" t="s">
        <v>18162</v>
      </c>
      <c r="C1486" s="10" t="s">
        <v>18163</v>
      </c>
      <c r="D1486" s="5">
        <v>98</v>
      </c>
      <c r="E1486" s="5" t="s">
        <v>9478</v>
      </c>
      <c r="F1486" s="5" t="s">
        <v>73</v>
      </c>
      <c r="G1486" s="5" t="s">
        <v>10165</v>
      </c>
      <c r="H1486" s="5" t="s">
        <v>10166</v>
      </c>
      <c r="I1486" s="5">
        <v>3008366502</v>
      </c>
      <c r="J1486" s="12">
        <v>46067</v>
      </c>
      <c r="K1486" s="11">
        <v>0.41666666666666669</v>
      </c>
      <c r="M1486" s="10" t="s">
        <v>16647</v>
      </c>
      <c r="N1486" s="12">
        <v>46066</v>
      </c>
      <c r="O1486" s="10" t="s">
        <v>17960</v>
      </c>
      <c r="P1486" s="5" t="s">
        <v>14571</v>
      </c>
      <c r="Q1486" s="5" t="s">
        <v>14572</v>
      </c>
      <c r="R1486" s="5" t="s">
        <v>18164</v>
      </c>
      <c r="T1486" s="5" t="s">
        <v>5994</v>
      </c>
      <c r="U1486" s="5" t="s">
        <v>14593</v>
      </c>
      <c r="V1486" s="5" t="s">
        <v>7644</v>
      </c>
      <c r="W1486" s="5" t="s">
        <v>10168</v>
      </c>
    </row>
    <row r="1487" spans="1:23" ht="12.5">
      <c r="A1487" s="5">
        <v>91992</v>
      </c>
      <c r="B1487" s="5" t="s">
        <v>18165</v>
      </c>
      <c r="C1487" s="5">
        <v>573013945945</v>
      </c>
      <c r="D1487" s="5" t="s">
        <v>18166</v>
      </c>
      <c r="E1487" s="5" t="s">
        <v>10173</v>
      </c>
      <c r="F1487" s="5" t="s">
        <v>2090</v>
      </c>
      <c r="G1487" s="5" t="s">
        <v>10170</v>
      </c>
      <c r="H1487" s="5" t="s">
        <v>10171</v>
      </c>
      <c r="I1487" s="10" t="s">
        <v>10172</v>
      </c>
      <c r="J1487" s="12">
        <v>46066</v>
      </c>
      <c r="K1487" s="11">
        <v>0</v>
      </c>
      <c r="M1487" s="10" t="s">
        <v>18167</v>
      </c>
      <c r="N1487" s="12">
        <v>46066.70299262731</v>
      </c>
      <c r="O1487" s="10" t="s">
        <v>15033</v>
      </c>
      <c r="P1487" s="5" t="s">
        <v>14571</v>
      </c>
      <c r="Q1487" s="5" t="s">
        <v>14612</v>
      </c>
      <c r="R1487" s="5" t="s">
        <v>18168</v>
      </c>
      <c r="T1487" s="5" t="s">
        <v>5994</v>
      </c>
      <c r="U1487" s="5" t="s">
        <v>14618</v>
      </c>
      <c r="V1487" s="5" t="s">
        <v>7644</v>
      </c>
      <c r="W1487" s="5" t="s">
        <v>2708</v>
      </c>
    </row>
    <row r="1488" spans="1:23" ht="12.5">
      <c r="A1488" s="5">
        <v>91993</v>
      </c>
      <c r="B1488" s="5" t="s">
        <v>18169</v>
      </c>
      <c r="C1488" s="5">
        <v>573003954858</v>
      </c>
      <c r="D1488" s="5">
        <v>13</v>
      </c>
      <c r="E1488" s="5" t="s">
        <v>4516</v>
      </c>
      <c r="F1488" s="5" t="s">
        <v>886</v>
      </c>
      <c r="G1488" s="5" t="s">
        <v>10176</v>
      </c>
      <c r="H1488" s="5" t="s">
        <v>10177</v>
      </c>
      <c r="I1488" s="5"/>
      <c r="J1488" s="12">
        <v>46066</v>
      </c>
      <c r="K1488" s="11">
        <v>0.75</v>
      </c>
      <c r="M1488" s="10" t="s">
        <v>18170</v>
      </c>
      <c r="N1488" s="12">
        <v>46066.733815694446</v>
      </c>
      <c r="O1488" s="10" t="s">
        <v>15735</v>
      </c>
      <c r="P1488" s="5" t="s">
        <v>14571</v>
      </c>
      <c r="Q1488" s="5" t="s">
        <v>14612</v>
      </c>
      <c r="R1488" s="5" t="s">
        <v>18171</v>
      </c>
      <c r="T1488" s="5" t="s">
        <v>5994</v>
      </c>
      <c r="U1488" s="5" t="s">
        <v>14618</v>
      </c>
      <c r="V1488" s="5" t="s">
        <v>7644</v>
      </c>
      <c r="W1488" s="5"/>
    </row>
    <row r="1489" spans="1:23" ht="12.5">
      <c r="A1489" s="5">
        <v>91994</v>
      </c>
      <c r="B1489" s="5" t="s">
        <v>18172</v>
      </c>
      <c r="C1489" s="10" t="s">
        <v>18173</v>
      </c>
      <c r="D1489" s="5">
        <v>29</v>
      </c>
      <c r="E1489" s="5" t="s">
        <v>309</v>
      </c>
      <c r="F1489" s="5" t="s">
        <v>73</v>
      </c>
      <c r="G1489" s="5" t="s">
        <v>18174</v>
      </c>
      <c r="H1489" s="5" t="s">
        <v>10181</v>
      </c>
      <c r="I1489" s="5">
        <v>3012282165</v>
      </c>
      <c r="J1489" s="12">
        <v>46066</v>
      </c>
      <c r="K1489" s="11">
        <v>0</v>
      </c>
      <c r="M1489" s="10" t="s">
        <v>15064</v>
      </c>
      <c r="N1489" s="12">
        <v>46066</v>
      </c>
      <c r="O1489" s="10" t="s">
        <v>16867</v>
      </c>
      <c r="P1489" s="5" t="s">
        <v>14571</v>
      </c>
      <c r="Q1489" s="5" t="s">
        <v>14572</v>
      </c>
      <c r="R1489" s="5" t="s">
        <v>18175</v>
      </c>
      <c r="T1489" s="5" t="s">
        <v>5994</v>
      </c>
      <c r="U1489" s="5" t="s">
        <v>14593</v>
      </c>
      <c r="V1489" s="5" t="s">
        <v>7644</v>
      </c>
      <c r="W1489" s="5" t="s">
        <v>2708</v>
      </c>
    </row>
    <row r="1490" spans="1:23" ht="12.5">
      <c r="A1490" s="5">
        <v>91995</v>
      </c>
      <c r="B1490" s="5" t="s">
        <v>18176</v>
      </c>
      <c r="C1490" s="10" t="s">
        <v>18177</v>
      </c>
      <c r="D1490" s="5">
        <v>52</v>
      </c>
      <c r="E1490" s="5" t="s">
        <v>6874</v>
      </c>
      <c r="F1490" s="5" t="s">
        <v>328</v>
      </c>
      <c r="G1490" s="5" t="s">
        <v>10185</v>
      </c>
      <c r="H1490" s="5" t="s">
        <v>10186</v>
      </c>
      <c r="I1490" s="5">
        <v>3007463854</v>
      </c>
      <c r="J1490" s="12">
        <v>46067</v>
      </c>
      <c r="K1490" s="11">
        <v>0.375</v>
      </c>
      <c r="M1490" s="10" t="s">
        <v>14960</v>
      </c>
      <c r="N1490" s="12">
        <v>46066</v>
      </c>
      <c r="O1490" s="10" t="s">
        <v>15665</v>
      </c>
      <c r="P1490" s="5" t="s">
        <v>14571</v>
      </c>
      <c r="Q1490" s="5" t="s">
        <v>14578</v>
      </c>
      <c r="R1490" s="5" t="s">
        <v>18178</v>
      </c>
      <c r="T1490" s="5" t="s">
        <v>5994</v>
      </c>
      <c r="U1490" s="5"/>
      <c r="V1490" s="5" t="s">
        <v>7644</v>
      </c>
      <c r="W1490" s="5"/>
    </row>
    <row r="1491" spans="1:23" ht="12.5">
      <c r="A1491" s="5">
        <v>91996</v>
      </c>
      <c r="B1491" s="5" t="s">
        <v>18179</v>
      </c>
      <c r="C1491" s="5">
        <v>573014833570</v>
      </c>
      <c r="D1491" s="5">
        <v>52</v>
      </c>
      <c r="E1491" s="5" t="s">
        <v>6874</v>
      </c>
      <c r="F1491" s="5" t="s">
        <v>10191</v>
      </c>
      <c r="G1491" s="5" t="s">
        <v>10190</v>
      </c>
      <c r="H1491" s="5" t="s">
        <v>10192</v>
      </c>
      <c r="I1491" s="5">
        <v>3054198028</v>
      </c>
      <c r="J1491" s="12">
        <v>46067</v>
      </c>
      <c r="K1491" s="11">
        <v>0</v>
      </c>
      <c r="M1491" s="10" t="s">
        <v>14646</v>
      </c>
      <c r="N1491" s="12">
        <v>46066.733702280093</v>
      </c>
      <c r="O1491" s="10" t="s">
        <v>18180</v>
      </c>
      <c r="P1491" s="5" t="s">
        <v>14571</v>
      </c>
      <c r="Q1491" s="5" t="s">
        <v>14612</v>
      </c>
      <c r="R1491" s="5" t="s">
        <v>18181</v>
      </c>
      <c r="T1491" s="5" t="s">
        <v>5994</v>
      </c>
      <c r="U1491" s="5" t="s">
        <v>14691</v>
      </c>
      <c r="V1491" s="5" t="s">
        <v>7644</v>
      </c>
      <c r="W1491" s="5" t="s">
        <v>2708</v>
      </c>
    </row>
    <row r="1492" spans="1:23" ht="12.5">
      <c r="A1492" s="5">
        <v>91997</v>
      </c>
      <c r="B1492" s="5" t="s">
        <v>18182</v>
      </c>
      <c r="C1492" s="5">
        <v>573507722312</v>
      </c>
      <c r="D1492" s="5">
        <v>103</v>
      </c>
      <c r="E1492" s="5" t="s">
        <v>10001</v>
      </c>
      <c r="F1492" s="5" t="s">
        <v>103</v>
      </c>
      <c r="G1492" s="5" t="s">
        <v>10195</v>
      </c>
      <c r="H1492" s="5" t="s">
        <v>10196</v>
      </c>
      <c r="I1492" s="5">
        <v>3137795620</v>
      </c>
      <c r="J1492" s="12">
        <v>46067</v>
      </c>
      <c r="K1492" s="11">
        <v>0</v>
      </c>
      <c r="M1492" s="10" t="s">
        <v>14777</v>
      </c>
      <c r="N1492" s="12">
        <v>46066.712954282411</v>
      </c>
      <c r="O1492" s="10" t="s">
        <v>17979</v>
      </c>
      <c r="P1492" s="5" t="s">
        <v>14571</v>
      </c>
      <c r="Q1492" s="5" t="s">
        <v>14572</v>
      </c>
      <c r="R1492" s="5" t="s">
        <v>18183</v>
      </c>
      <c r="T1492" s="5" t="s">
        <v>5994</v>
      </c>
      <c r="U1492" s="5" t="s">
        <v>14593</v>
      </c>
      <c r="V1492" s="5" t="s">
        <v>7644</v>
      </c>
      <c r="W1492" s="5" t="s">
        <v>2708</v>
      </c>
    </row>
    <row r="1493" spans="1:23" ht="12.5">
      <c r="A1493" s="5">
        <v>91998</v>
      </c>
      <c r="B1493" s="5" t="s">
        <v>10203</v>
      </c>
      <c r="C1493" s="10" t="s">
        <v>18184</v>
      </c>
      <c r="D1493" s="5">
        <v>57</v>
      </c>
      <c r="E1493" s="5" t="s">
        <v>35</v>
      </c>
      <c r="F1493" s="5" t="s">
        <v>193</v>
      </c>
      <c r="G1493" s="5" t="s">
        <v>18185</v>
      </c>
      <c r="H1493" s="5" t="s">
        <v>10201</v>
      </c>
      <c r="I1493" s="5">
        <v>633888910</v>
      </c>
      <c r="J1493" s="12">
        <v>46067</v>
      </c>
      <c r="K1493" s="11">
        <v>0.41666666666666669</v>
      </c>
      <c r="M1493" s="10" t="s">
        <v>16077</v>
      </c>
      <c r="N1493" s="12">
        <v>46066</v>
      </c>
      <c r="O1493" s="10" t="s">
        <v>16430</v>
      </c>
      <c r="P1493" s="5" t="s">
        <v>14571</v>
      </c>
      <c r="Q1493" s="5" t="s">
        <v>17688</v>
      </c>
      <c r="R1493" s="5" t="s">
        <v>18186</v>
      </c>
      <c r="T1493" s="5" t="s">
        <v>5994</v>
      </c>
      <c r="U1493" s="5" t="s">
        <v>14580</v>
      </c>
      <c r="V1493" s="5" t="s">
        <v>7644</v>
      </c>
      <c r="W1493" s="5" t="s">
        <v>10204</v>
      </c>
    </row>
    <row r="1494" spans="1:23" ht="12.5">
      <c r="A1494" s="5">
        <v>91999</v>
      </c>
      <c r="B1494" s="5" t="s">
        <v>10207</v>
      </c>
      <c r="C1494" s="5">
        <v>573007503700</v>
      </c>
      <c r="D1494" s="5" t="s">
        <v>14589</v>
      </c>
      <c r="E1494" s="5" t="s">
        <v>10208</v>
      </c>
      <c r="F1494" s="5" t="s">
        <v>33</v>
      </c>
      <c r="G1494" s="5" t="s">
        <v>10207</v>
      </c>
      <c r="H1494" s="5" t="s">
        <v>34</v>
      </c>
      <c r="I1494" s="5">
        <v>3007503700</v>
      </c>
      <c r="J1494" s="12">
        <v>46066</v>
      </c>
      <c r="K1494" s="11">
        <v>0</v>
      </c>
      <c r="M1494" s="10" t="s">
        <v>14705</v>
      </c>
      <c r="N1494" s="12">
        <v>46066.744386828708</v>
      </c>
      <c r="O1494" s="10" t="s">
        <v>16430</v>
      </c>
      <c r="P1494" s="5" t="s">
        <v>14571</v>
      </c>
      <c r="Q1494" s="5" t="s">
        <v>14578</v>
      </c>
      <c r="R1494" s="5" t="s">
        <v>18187</v>
      </c>
      <c r="T1494" s="5" t="s">
        <v>14574</v>
      </c>
      <c r="U1494" s="5" t="s">
        <v>33</v>
      </c>
      <c r="V1494" s="5" t="s">
        <v>1705</v>
      </c>
      <c r="W1494" s="5"/>
    </row>
    <row r="1495" spans="1:23" ht="12.5">
      <c r="A1495" s="5">
        <v>92000</v>
      </c>
      <c r="B1495" s="5" t="s">
        <v>13717</v>
      </c>
      <c r="C1495" s="5">
        <v>573106364062</v>
      </c>
      <c r="D1495" s="5">
        <v>57</v>
      </c>
      <c r="E1495" s="5" t="s">
        <v>35</v>
      </c>
      <c r="F1495" s="5" t="s">
        <v>161</v>
      </c>
      <c r="G1495" s="5" t="s">
        <v>10211</v>
      </c>
      <c r="H1495" s="5" t="s">
        <v>10212</v>
      </c>
      <c r="I1495" s="5">
        <v>3106865424</v>
      </c>
      <c r="J1495" s="12">
        <v>46067</v>
      </c>
      <c r="K1495" s="11">
        <v>0</v>
      </c>
      <c r="M1495" s="10" t="s">
        <v>15656</v>
      </c>
      <c r="N1495" s="12">
        <v>46066.749371944446</v>
      </c>
      <c r="O1495" s="10" t="s">
        <v>17824</v>
      </c>
      <c r="P1495" s="5" t="s">
        <v>14571</v>
      </c>
      <c r="Q1495" s="5" t="s">
        <v>14612</v>
      </c>
      <c r="R1495" s="5" t="s">
        <v>18188</v>
      </c>
      <c r="T1495" s="5" t="s">
        <v>5994</v>
      </c>
      <c r="U1495" s="5" t="s">
        <v>14593</v>
      </c>
      <c r="V1495" s="5" t="s">
        <v>7644</v>
      </c>
      <c r="W1495" s="5" t="s">
        <v>2708</v>
      </c>
    </row>
    <row r="1496" spans="1:23" ht="12.5">
      <c r="A1496" s="5">
        <v>92001</v>
      </c>
      <c r="B1496" s="5" t="s">
        <v>18189</v>
      </c>
      <c r="C1496" s="5">
        <v>573156127941</v>
      </c>
      <c r="D1496" s="5">
        <v>70</v>
      </c>
      <c r="E1496" s="5" t="s">
        <v>559</v>
      </c>
      <c r="F1496" s="5" t="s">
        <v>185</v>
      </c>
      <c r="G1496" s="5" t="s">
        <v>10215</v>
      </c>
      <c r="H1496" s="5" t="s">
        <v>10216</v>
      </c>
      <c r="I1496" s="5">
        <v>3106309359</v>
      </c>
      <c r="J1496" s="12">
        <v>46067</v>
      </c>
      <c r="K1496" s="11">
        <v>0</v>
      </c>
      <c r="M1496" s="10" t="s">
        <v>16470</v>
      </c>
      <c r="N1496" s="12">
        <v>46066.732440995373</v>
      </c>
      <c r="O1496" s="10" t="s">
        <v>14801</v>
      </c>
      <c r="P1496" s="5" t="s">
        <v>14571</v>
      </c>
      <c r="Q1496" s="5" t="s">
        <v>14572</v>
      </c>
      <c r="R1496" s="5" t="s">
        <v>18190</v>
      </c>
      <c r="T1496" s="5" t="s">
        <v>5994</v>
      </c>
      <c r="U1496" s="5" t="s">
        <v>14580</v>
      </c>
      <c r="V1496" s="5" t="s">
        <v>7644</v>
      </c>
      <c r="W1496" s="5" t="s">
        <v>2708</v>
      </c>
    </row>
    <row r="1497" spans="1:23" ht="12.5">
      <c r="A1497" s="5">
        <v>92002</v>
      </c>
      <c r="B1497" s="5" t="s">
        <v>10220</v>
      </c>
      <c r="C1497" s="5">
        <v>570000</v>
      </c>
      <c r="D1497" s="5">
        <v>95</v>
      </c>
      <c r="E1497" s="5" t="s">
        <v>42</v>
      </c>
      <c r="F1497" s="5" t="s">
        <v>33</v>
      </c>
      <c r="G1497" s="5" t="s">
        <v>10220</v>
      </c>
      <c r="H1497" s="5" t="s">
        <v>34</v>
      </c>
      <c r="I1497" s="5"/>
      <c r="J1497" s="12">
        <v>46066</v>
      </c>
      <c r="K1497" s="11">
        <v>0</v>
      </c>
      <c r="M1497" s="10" t="s">
        <v>15352</v>
      </c>
      <c r="N1497" s="12">
        <v>46066.769391585651</v>
      </c>
      <c r="O1497" s="10" t="s">
        <v>14797</v>
      </c>
      <c r="P1497" s="5" t="s">
        <v>14571</v>
      </c>
      <c r="Q1497" s="5" t="s">
        <v>14572</v>
      </c>
      <c r="R1497" s="5" t="s">
        <v>18191</v>
      </c>
      <c r="T1497" s="5" t="s">
        <v>14574</v>
      </c>
      <c r="U1497" s="5" t="s">
        <v>33</v>
      </c>
      <c r="V1497" s="5" t="s">
        <v>196</v>
      </c>
      <c r="W1497" s="5"/>
    </row>
    <row r="1498" spans="1:23" ht="12.5">
      <c r="A1498" s="5">
        <v>92003</v>
      </c>
      <c r="B1498" s="5" t="s">
        <v>10221</v>
      </c>
      <c r="C1498" s="10" t="s">
        <v>18192</v>
      </c>
      <c r="D1498" s="5">
        <v>52</v>
      </c>
      <c r="E1498" s="5" t="s">
        <v>6874</v>
      </c>
      <c r="F1498" s="5" t="s">
        <v>33</v>
      </c>
      <c r="G1498" s="5" t="s">
        <v>10221</v>
      </c>
      <c r="H1498" s="5" t="s">
        <v>34</v>
      </c>
      <c r="I1498" s="5">
        <v>3153143394</v>
      </c>
      <c r="J1498" s="12">
        <v>46066</v>
      </c>
      <c r="K1498" s="11">
        <v>0</v>
      </c>
      <c r="M1498" s="10" t="s">
        <v>15594</v>
      </c>
      <c r="N1498" s="12">
        <v>46066</v>
      </c>
      <c r="O1498" s="10" t="s">
        <v>15206</v>
      </c>
      <c r="P1498" s="5" t="s">
        <v>14571</v>
      </c>
      <c r="Q1498" s="5" t="s">
        <v>14572</v>
      </c>
      <c r="R1498" s="5" t="s">
        <v>18193</v>
      </c>
      <c r="T1498" s="5" t="s">
        <v>14574</v>
      </c>
      <c r="U1498" s="5" t="s">
        <v>33</v>
      </c>
      <c r="V1498" s="5" t="s">
        <v>1705</v>
      </c>
      <c r="W1498" s="5"/>
    </row>
    <row r="1499" spans="1:23" ht="12.5">
      <c r="A1499" s="5">
        <v>92004</v>
      </c>
      <c r="B1499" s="5" t="s">
        <v>10223</v>
      </c>
      <c r="C1499" s="10" t="s">
        <v>14799</v>
      </c>
      <c r="D1499" s="5">
        <v>52</v>
      </c>
      <c r="E1499" s="5" t="s">
        <v>6874</v>
      </c>
      <c r="F1499" s="5" t="s">
        <v>33</v>
      </c>
      <c r="G1499" s="5" t="s">
        <v>10223</v>
      </c>
      <c r="H1499" s="5" t="s">
        <v>34</v>
      </c>
      <c r="I1499" s="10" t="s">
        <v>2686</v>
      </c>
      <c r="J1499" s="12">
        <v>46067</v>
      </c>
      <c r="K1499" s="11">
        <v>0.41666666666666669</v>
      </c>
      <c r="M1499" s="10" t="s">
        <v>15594</v>
      </c>
      <c r="N1499" s="12">
        <v>46066</v>
      </c>
      <c r="O1499" s="10" t="s">
        <v>18194</v>
      </c>
      <c r="P1499" s="5" t="s">
        <v>14571</v>
      </c>
      <c r="Q1499" s="5" t="s">
        <v>14578</v>
      </c>
      <c r="R1499" s="5" t="s">
        <v>18195</v>
      </c>
      <c r="T1499" s="5" t="s">
        <v>14574</v>
      </c>
      <c r="U1499" s="5" t="s">
        <v>33</v>
      </c>
      <c r="V1499" s="5" t="s">
        <v>43</v>
      </c>
      <c r="W1499" s="5" t="s">
        <v>10224</v>
      </c>
    </row>
    <row r="1500" spans="1:23" ht="12.5">
      <c r="A1500" s="5">
        <v>92005</v>
      </c>
      <c r="B1500" s="5" t="s">
        <v>9486</v>
      </c>
      <c r="C1500" s="5">
        <v>574086795988000</v>
      </c>
      <c r="D1500" s="5">
        <v>52</v>
      </c>
      <c r="E1500" s="5" t="s">
        <v>6874</v>
      </c>
      <c r="F1500" s="5" t="s">
        <v>33</v>
      </c>
      <c r="G1500" s="5" t="s">
        <v>9486</v>
      </c>
      <c r="H1500" s="5" t="s">
        <v>34</v>
      </c>
      <c r="I1500" s="5">
        <v>4086795988000</v>
      </c>
      <c r="J1500" s="12">
        <v>46067</v>
      </c>
      <c r="K1500" s="11">
        <v>0.375</v>
      </c>
      <c r="M1500" s="10" t="s">
        <v>15594</v>
      </c>
      <c r="N1500" s="12">
        <v>46066.803540208333</v>
      </c>
      <c r="O1500" s="10" t="s">
        <v>18196</v>
      </c>
      <c r="P1500" s="5" t="s">
        <v>14571</v>
      </c>
      <c r="Q1500" s="5" t="s">
        <v>14612</v>
      </c>
      <c r="R1500" s="5" t="s">
        <v>18197</v>
      </c>
      <c r="T1500" s="5" t="s">
        <v>14574</v>
      </c>
      <c r="U1500" s="5" t="s">
        <v>33</v>
      </c>
      <c r="V1500" s="5" t="s">
        <v>37</v>
      </c>
      <c r="W1500" s="5" t="s">
        <v>10226</v>
      </c>
    </row>
    <row r="1501" spans="1:23" ht="12.5">
      <c r="A1501" s="5">
        <v>92006</v>
      </c>
      <c r="B1501" s="5" t="s">
        <v>18198</v>
      </c>
      <c r="C1501" s="5">
        <v>14153746935</v>
      </c>
      <c r="D1501" s="5" t="s">
        <v>18199</v>
      </c>
      <c r="E1501" s="5" t="s">
        <v>10231</v>
      </c>
      <c r="F1501" s="5" t="s">
        <v>10229</v>
      </c>
      <c r="G1501" s="5" t="s">
        <v>10228</v>
      </c>
      <c r="H1501" s="5" t="s">
        <v>10230</v>
      </c>
      <c r="I1501" s="5"/>
      <c r="J1501" s="12">
        <v>46067</v>
      </c>
      <c r="K1501" s="11">
        <v>0.41666666666787933</v>
      </c>
      <c r="M1501" s="10" t="s">
        <v>17849</v>
      </c>
      <c r="N1501" s="12">
        <v>46066.667393263888</v>
      </c>
      <c r="O1501" s="10" t="s">
        <v>18200</v>
      </c>
      <c r="P1501" s="5" t="s">
        <v>14571</v>
      </c>
      <c r="Q1501" s="5" t="s">
        <v>14572</v>
      </c>
      <c r="R1501" s="5" t="s">
        <v>18201</v>
      </c>
      <c r="T1501" s="5" t="s">
        <v>5994</v>
      </c>
      <c r="U1501" s="5" t="s">
        <v>14598</v>
      </c>
      <c r="V1501" s="5" t="s">
        <v>1705</v>
      </c>
      <c r="W1501" s="5"/>
    </row>
    <row r="1502" spans="1:23" ht="12.5">
      <c r="A1502" s="5">
        <v>92007</v>
      </c>
      <c r="B1502" s="5" t="s">
        <v>13252</v>
      </c>
      <c r="C1502" s="5">
        <v>57000</v>
      </c>
      <c r="D1502" s="5">
        <v>54</v>
      </c>
      <c r="E1502" s="5" t="s">
        <v>9336</v>
      </c>
      <c r="F1502" s="5" t="s">
        <v>892</v>
      </c>
      <c r="G1502" s="5" t="s">
        <v>10236</v>
      </c>
      <c r="H1502" s="5" t="s">
        <v>10237</v>
      </c>
      <c r="I1502" s="5"/>
      <c r="J1502" s="12">
        <v>46067</v>
      </c>
      <c r="K1502" s="11">
        <v>0</v>
      </c>
      <c r="M1502" s="10" t="s">
        <v>17753</v>
      </c>
      <c r="N1502" s="12">
        <v>46066.817501840276</v>
      </c>
      <c r="O1502" s="10" t="s">
        <v>18202</v>
      </c>
      <c r="P1502" s="5" t="s">
        <v>14571</v>
      </c>
      <c r="Q1502" s="5" t="s">
        <v>14578</v>
      </c>
      <c r="R1502" s="5" t="s">
        <v>18203</v>
      </c>
      <c r="T1502" s="5" t="s">
        <v>5994</v>
      </c>
      <c r="U1502" s="5" t="s">
        <v>14593</v>
      </c>
      <c r="V1502" s="5" t="s">
        <v>7644</v>
      </c>
      <c r="W1502" s="5"/>
    </row>
    <row r="1503" spans="1:23" ht="12.5">
      <c r="A1503" s="5">
        <v>92010</v>
      </c>
      <c r="B1503" s="5" t="s">
        <v>10248</v>
      </c>
      <c r="C1503" s="5">
        <v>573044616834</v>
      </c>
      <c r="D1503" s="5">
        <v>96</v>
      </c>
      <c r="E1503" s="5" t="s">
        <v>10249</v>
      </c>
      <c r="F1503" s="5" t="s">
        <v>33</v>
      </c>
      <c r="G1503" s="5" t="s">
        <v>10248</v>
      </c>
      <c r="H1503" s="5" t="s">
        <v>34</v>
      </c>
      <c r="I1503" s="5">
        <v>3044616834</v>
      </c>
      <c r="J1503" s="12">
        <v>46067</v>
      </c>
      <c r="K1503" s="11">
        <v>0.41666666666787933</v>
      </c>
      <c r="M1503" s="10" t="s">
        <v>15415</v>
      </c>
      <c r="N1503" s="12">
        <v>46067.385608796292</v>
      </c>
      <c r="O1503" s="10" t="s">
        <v>15003</v>
      </c>
      <c r="P1503" s="5" t="s">
        <v>14571</v>
      </c>
      <c r="Q1503" s="5" t="s">
        <v>14572</v>
      </c>
      <c r="R1503" s="5" t="s">
        <v>18204</v>
      </c>
      <c r="T1503" s="5" t="s">
        <v>14574</v>
      </c>
      <c r="U1503" s="5" t="s">
        <v>33</v>
      </c>
      <c r="V1503" s="5" t="s">
        <v>1705</v>
      </c>
      <c r="W1503" s="5"/>
    </row>
    <row r="1504" spans="1:23" ht="12.5">
      <c r="A1504" s="5">
        <v>92011</v>
      </c>
      <c r="B1504" s="5" t="s">
        <v>18205</v>
      </c>
      <c r="C1504" s="5">
        <v>573012033643</v>
      </c>
      <c r="D1504" s="5" t="s">
        <v>18206</v>
      </c>
      <c r="E1504" s="5" t="s">
        <v>10254</v>
      </c>
      <c r="F1504" s="5" t="s">
        <v>63</v>
      </c>
      <c r="G1504" s="5" t="s">
        <v>10252</v>
      </c>
      <c r="H1504" s="5" t="s">
        <v>10253</v>
      </c>
      <c r="I1504" s="5">
        <v>3187157298</v>
      </c>
      <c r="J1504" s="12">
        <v>46067</v>
      </c>
      <c r="K1504" s="11">
        <v>0</v>
      </c>
      <c r="M1504" s="10" t="s">
        <v>17814</v>
      </c>
      <c r="N1504" s="12">
        <v>46066.816386979168</v>
      </c>
      <c r="O1504" s="10" t="s">
        <v>14673</v>
      </c>
      <c r="P1504" s="5" t="s">
        <v>14571</v>
      </c>
      <c r="Q1504" s="5" t="s">
        <v>14578</v>
      </c>
      <c r="R1504" s="5" t="s">
        <v>18207</v>
      </c>
      <c r="T1504" s="5" t="s">
        <v>5994</v>
      </c>
      <c r="U1504" s="5" t="s">
        <v>14598</v>
      </c>
      <c r="V1504" s="5" t="s">
        <v>7644</v>
      </c>
      <c r="W1504" s="5" t="s">
        <v>2708</v>
      </c>
    </row>
    <row r="1505" spans="1:23" ht="12.5">
      <c r="A1505" s="5">
        <v>92012</v>
      </c>
      <c r="B1505" s="5" t="s">
        <v>10259</v>
      </c>
      <c r="C1505" s="10" t="s">
        <v>18208</v>
      </c>
      <c r="D1505" s="5" t="s">
        <v>14589</v>
      </c>
      <c r="E1505" s="5" t="s">
        <v>10260</v>
      </c>
      <c r="F1505" s="5" t="s">
        <v>33</v>
      </c>
      <c r="G1505" s="5" t="s">
        <v>10259</v>
      </c>
      <c r="H1505" s="5" t="s">
        <v>34</v>
      </c>
      <c r="I1505" s="5">
        <v>3205413971</v>
      </c>
      <c r="J1505" s="12">
        <v>46067</v>
      </c>
      <c r="K1505" s="11">
        <v>0</v>
      </c>
      <c r="M1505" s="10" t="s">
        <v>14705</v>
      </c>
      <c r="N1505" s="12">
        <v>46067</v>
      </c>
      <c r="O1505" s="10" t="s">
        <v>15595</v>
      </c>
      <c r="P1505" s="5" t="s">
        <v>14571</v>
      </c>
      <c r="Q1505" s="5" t="s">
        <v>14612</v>
      </c>
      <c r="R1505" s="5" t="s">
        <v>18209</v>
      </c>
      <c r="T1505" s="5" t="s">
        <v>14574</v>
      </c>
      <c r="U1505" s="5" t="s">
        <v>33</v>
      </c>
      <c r="V1505" s="5" t="s">
        <v>1705</v>
      </c>
      <c r="W1505" s="5" t="s">
        <v>10261</v>
      </c>
    </row>
    <row r="1506" spans="1:23" ht="12.5">
      <c r="A1506" s="5">
        <v>92013</v>
      </c>
      <c r="B1506" s="5" t="s">
        <v>7175</v>
      </c>
      <c r="C1506" s="10" t="s">
        <v>18210</v>
      </c>
      <c r="D1506" s="5">
        <v>104</v>
      </c>
      <c r="E1506" s="5" t="s">
        <v>9280</v>
      </c>
      <c r="F1506" s="5" t="s">
        <v>33</v>
      </c>
      <c r="G1506" s="5" t="s">
        <v>7175</v>
      </c>
      <c r="H1506" s="5" t="s">
        <v>34</v>
      </c>
      <c r="I1506" s="5">
        <v>795430</v>
      </c>
      <c r="J1506" s="12">
        <v>46067</v>
      </c>
      <c r="K1506" s="11">
        <v>0</v>
      </c>
      <c r="M1506" s="10" t="s">
        <v>14595</v>
      </c>
      <c r="N1506" s="12">
        <v>46067</v>
      </c>
      <c r="O1506" s="10" t="s">
        <v>17731</v>
      </c>
      <c r="P1506" s="5" t="s">
        <v>14571</v>
      </c>
      <c r="Q1506" s="5" t="s">
        <v>14572</v>
      </c>
      <c r="R1506" s="5" t="s">
        <v>18211</v>
      </c>
      <c r="T1506" s="5" t="s">
        <v>14574</v>
      </c>
      <c r="U1506" s="5" t="s">
        <v>33</v>
      </c>
      <c r="V1506" s="5" t="s">
        <v>1705</v>
      </c>
      <c r="W1506" s="5"/>
    </row>
    <row r="1507" spans="1:23" ht="12.5">
      <c r="A1507" s="5">
        <v>92014</v>
      </c>
      <c r="B1507" s="5" t="s">
        <v>10263</v>
      </c>
      <c r="C1507" s="5">
        <v>573164375999</v>
      </c>
      <c r="D1507" s="5" t="s">
        <v>18212</v>
      </c>
      <c r="E1507" s="5" t="s">
        <v>10264</v>
      </c>
      <c r="F1507" s="5" t="s">
        <v>33</v>
      </c>
      <c r="G1507" s="5" t="s">
        <v>10263</v>
      </c>
      <c r="H1507" s="5" t="s">
        <v>34</v>
      </c>
      <c r="I1507" s="5">
        <v>3164375999</v>
      </c>
      <c r="J1507" s="12">
        <v>46067</v>
      </c>
      <c r="K1507" s="11">
        <v>0</v>
      </c>
      <c r="M1507" s="10" t="s">
        <v>15534</v>
      </c>
      <c r="N1507" s="12">
        <v>46067.39742523148</v>
      </c>
      <c r="O1507" s="10" t="s">
        <v>15416</v>
      </c>
      <c r="P1507" s="5" t="s">
        <v>14571</v>
      </c>
      <c r="Q1507" s="5" t="s">
        <v>14578</v>
      </c>
      <c r="R1507" s="5" t="s">
        <v>18213</v>
      </c>
      <c r="T1507" s="5" t="s">
        <v>14574</v>
      </c>
      <c r="U1507" s="5" t="s">
        <v>33</v>
      </c>
      <c r="V1507" s="5" t="s">
        <v>37</v>
      </c>
      <c r="W1507" s="5" t="s">
        <v>10265</v>
      </c>
    </row>
    <row r="1508" spans="1:23" ht="12.5">
      <c r="A1508" s="5">
        <v>92015</v>
      </c>
      <c r="B1508" s="5" t="s">
        <v>10268</v>
      </c>
      <c r="C1508" s="10" t="s">
        <v>17496</v>
      </c>
      <c r="D1508" s="5" t="s">
        <v>18214</v>
      </c>
      <c r="E1508" s="5" t="s">
        <v>10269</v>
      </c>
      <c r="F1508" s="5" t="s">
        <v>33</v>
      </c>
      <c r="G1508" s="5" t="s">
        <v>10268</v>
      </c>
      <c r="H1508" s="5" t="s">
        <v>34</v>
      </c>
      <c r="I1508" s="5"/>
      <c r="J1508" s="12">
        <v>46067</v>
      </c>
      <c r="K1508" s="11">
        <v>0</v>
      </c>
      <c r="M1508" s="10" t="s">
        <v>16003</v>
      </c>
      <c r="N1508" s="12">
        <v>46067</v>
      </c>
      <c r="O1508" s="10" t="s">
        <v>17020</v>
      </c>
      <c r="P1508" s="5" t="s">
        <v>14571</v>
      </c>
      <c r="Q1508" s="5" t="s">
        <v>17404</v>
      </c>
      <c r="R1508" s="5" t="s">
        <v>18215</v>
      </c>
      <c r="T1508" s="5" t="s">
        <v>14574</v>
      </c>
      <c r="U1508" s="5" t="s">
        <v>33</v>
      </c>
      <c r="V1508" s="5" t="s">
        <v>37</v>
      </c>
      <c r="W1508" s="5" t="s">
        <v>10270</v>
      </c>
    </row>
    <row r="1509" spans="1:23" ht="12.5">
      <c r="A1509" s="5">
        <v>92016</v>
      </c>
      <c r="B1509" s="5" t="s">
        <v>10273</v>
      </c>
      <c r="C1509" s="5">
        <v>573107217947</v>
      </c>
      <c r="D1509" s="5">
        <v>29</v>
      </c>
      <c r="E1509" s="5" t="s">
        <v>309</v>
      </c>
      <c r="F1509" s="5" t="s">
        <v>33</v>
      </c>
      <c r="G1509" s="5" t="s">
        <v>10273</v>
      </c>
      <c r="H1509" s="5" t="s">
        <v>34</v>
      </c>
      <c r="I1509" s="5" t="s">
        <v>10274</v>
      </c>
      <c r="J1509" s="12">
        <v>46067</v>
      </c>
      <c r="K1509" s="11">
        <v>0.45833333333212067</v>
      </c>
      <c r="M1509" s="10" t="s">
        <v>10581</v>
      </c>
      <c r="N1509" s="12">
        <v>46067.406582870375</v>
      </c>
      <c r="O1509" s="10" t="s">
        <v>15986</v>
      </c>
      <c r="P1509" s="5" t="s">
        <v>14571</v>
      </c>
      <c r="Q1509" s="5" t="s">
        <v>14572</v>
      </c>
      <c r="R1509" s="5" t="s">
        <v>18216</v>
      </c>
      <c r="T1509" s="5" t="s">
        <v>14574</v>
      </c>
      <c r="U1509" s="5" t="s">
        <v>33</v>
      </c>
      <c r="V1509" s="5" t="s">
        <v>1705</v>
      </c>
      <c r="W1509" s="5" t="s">
        <v>10275</v>
      </c>
    </row>
    <row r="1510" spans="1:23" ht="12.5">
      <c r="A1510" s="5">
        <v>92017</v>
      </c>
      <c r="B1510" s="5" t="s">
        <v>18217</v>
      </c>
      <c r="C1510" s="10" t="s">
        <v>18218</v>
      </c>
      <c r="D1510" s="5">
        <v>57</v>
      </c>
      <c r="E1510" s="5" t="s">
        <v>35</v>
      </c>
      <c r="F1510" s="5" t="s">
        <v>328</v>
      </c>
      <c r="G1510" s="5" t="s">
        <v>10278</v>
      </c>
      <c r="H1510" s="5" t="s">
        <v>10279</v>
      </c>
      <c r="I1510" s="5">
        <v>3014109562</v>
      </c>
      <c r="J1510" s="12">
        <v>46067</v>
      </c>
      <c r="K1510" s="11">
        <v>0</v>
      </c>
      <c r="M1510" s="10" t="s">
        <v>15076</v>
      </c>
      <c r="N1510" s="12">
        <v>46067</v>
      </c>
      <c r="O1510" s="10" t="s">
        <v>16186</v>
      </c>
      <c r="P1510" s="5" t="s">
        <v>14571</v>
      </c>
      <c r="Q1510" s="5" t="s">
        <v>14578</v>
      </c>
      <c r="R1510" s="5" t="s">
        <v>18219</v>
      </c>
      <c r="T1510" s="5" t="s">
        <v>5994</v>
      </c>
      <c r="U1510" s="5"/>
      <c r="V1510" s="5" t="s">
        <v>9695</v>
      </c>
      <c r="W1510" s="5" t="s">
        <v>2708</v>
      </c>
    </row>
    <row r="1511" spans="1:23" ht="12.5">
      <c r="A1511" s="5">
        <v>92018</v>
      </c>
      <c r="B1511" s="5" t="s">
        <v>10283</v>
      </c>
      <c r="C1511" s="10" t="s">
        <v>14799</v>
      </c>
      <c r="D1511" s="5">
        <v>51</v>
      </c>
      <c r="E1511" s="5" t="s">
        <v>9842</v>
      </c>
      <c r="F1511" s="5" t="s">
        <v>33</v>
      </c>
      <c r="G1511" s="5" t="s">
        <v>10283</v>
      </c>
      <c r="H1511" s="5" t="s">
        <v>34</v>
      </c>
      <c r="I1511" s="10" t="s">
        <v>2686</v>
      </c>
      <c r="J1511" s="12">
        <v>46067</v>
      </c>
      <c r="K1511" s="11">
        <v>0</v>
      </c>
      <c r="M1511" s="10" t="s">
        <v>14712</v>
      </c>
      <c r="N1511" s="12">
        <v>46067</v>
      </c>
      <c r="O1511" s="10" t="s">
        <v>17861</v>
      </c>
      <c r="P1511" s="5" t="s">
        <v>14571</v>
      </c>
      <c r="Q1511" s="5" t="s">
        <v>17404</v>
      </c>
      <c r="R1511" s="5" t="s">
        <v>18220</v>
      </c>
      <c r="T1511" s="5" t="s">
        <v>14574</v>
      </c>
      <c r="U1511" s="5" t="s">
        <v>33</v>
      </c>
      <c r="V1511" s="5" t="s">
        <v>1705</v>
      </c>
      <c r="W1511" s="5"/>
    </row>
    <row r="1512" spans="1:23" ht="12.5">
      <c r="A1512" s="5">
        <v>92019</v>
      </c>
      <c r="B1512" s="5" t="s">
        <v>18221</v>
      </c>
      <c r="C1512" s="10" t="s">
        <v>18222</v>
      </c>
      <c r="D1512" s="5">
        <v>56</v>
      </c>
      <c r="E1512" s="5" t="s">
        <v>9152</v>
      </c>
      <c r="F1512" s="5" t="s">
        <v>3874</v>
      </c>
      <c r="G1512" s="5" t="s">
        <v>18223</v>
      </c>
      <c r="H1512" s="5" t="s">
        <v>10286</v>
      </c>
      <c r="I1512" s="5">
        <v>3217556823</v>
      </c>
      <c r="J1512" s="12">
        <v>46067</v>
      </c>
      <c r="K1512" s="11">
        <v>0.45833333333333331</v>
      </c>
      <c r="M1512" s="10" t="s">
        <v>14697</v>
      </c>
      <c r="N1512" s="12">
        <v>46067</v>
      </c>
      <c r="O1512" s="10" t="s">
        <v>15309</v>
      </c>
      <c r="P1512" s="5" t="s">
        <v>14571</v>
      </c>
      <c r="Q1512" s="5" t="s">
        <v>14572</v>
      </c>
      <c r="R1512" s="5" t="s">
        <v>18224</v>
      </c>
      <c r="T1512" s="5" t="s">
        <v>5994</v>
      </c>
      <c r="U1512" s="5" t="s">
        <v>14580</v>
      </c>
      <c r="V1512" s="5" t="s">
        <v>3754</v>
      </c>
      <c r="W1512" s="5" t="s">
        <v>9612</v>
      </c>
    </row>
    <row r="1513" spans="1:23" ht="12.5">
      <c r="A1513" s="5">
        <v>92020</v>
      </c>
      <c r="B1513" s="5" t="s">
        <v>18225</v>
      </c>
      <c r="C1513" s="10" t="s">
        <v>18226</v>
      </c>
      <c r="D1513" s="5">
        <v>52</v>
      </c>
      <c r="E1513" s="5" t="s">
        <v>6874</v>
      </c>
      <c r="F1513" s="5" t="s">
        <v>7476</v>
      </c>
      <c r="G1513" s="5" t="s">
        <v>18227</v>
      </c>
      <c r="H1513" s="5" t="s">
        <v>10291</v>
      </c>
      <c r="I1513" s="5">
        <v>3203226165</v>
      </c>
      <c r="J1513" s="12">
        <v>46067</v>
      </c>
      <c r="K1513" s="11">
        <v>0</v>
      </c>
      <c r="M1513" s="10" t="s">
        <v>14643</v>
      </c>
      <c r="N1513" s="12">
        <v>46067</v>
      </c>
      <c r="O1513" s="10" t="s">
        <v>16952</v>
      </c>
      <c r="P1513" s="5" t="s">
        <v>14571</v>
      </c>
      <c r="Q1513" s="5" t="s">
        <v>14578</v>
      </c>
      <c r="R1513" s="5" t="s">
        <v>18228</v>
      </c>
      <c r="T1513" s="5" t="s">
        <v>5994</v>
      </c>
      <c r="U1513" s="5" t="s">
        <v>15349</v>
      </c>
      <c r="V1513" s="5" t="s">
        <v>7644</v>
      </c>
      <c r="W1513" s="5" t="s">
        <v>2708</v>
      </c>
    </row>
    <row r="1514" spans="1:23" ht="12.5">
      <c r="A1514" s="5">
        <v>92021</v>
      </c>
      <c r="B1514" s="5" t="s">
        <v>18229</v>
      </c>
      <c r="C1514" s="5">
        <v>13217459164</v>
      </c>
      <c r="D1514" s="5">
        <v>57</v>
      </c>
      <c r="E1514" s="5" t="s">
        <v>35</v>
      </c>
      <c r="F1514" s="5" t="s">
        <v>351</v>
      </c>
      <c r="G1514" s="5" t="s">
        <v>10293</v>
      </c>
      <c r="H1514" s="5" t="s">
        <v>10294</v>
      </c>
      <c r="I1514" s="5">
        <v>3056442527</v>
      </c>
      <c r="J1514" s="12">
        <v>46067</v>
      </c>
      <c r="K1514" s="11">
        <v>0</v>
      </c>
      <c r="M1514" s="10" t="s">
        <v>15076</v>
      </c>
      <c r="N1514" s="12">
        <v>46067.353519791664</v>
      </c>
      <c r="O1514" s="10" t="s">
        <v>16509</v>
      </c>
      <c r="P1514" s="5" t="s">
        <v>14571</v>
      </c>
      <c r="Q1514" s="5" t="s">
        <v>14578</v>
      </c>
      <c r="R1514" s="5" t="s">
        <v>18230</v>
      </c>
      <c r="T1514" s="5" t="s">
        <v>5994</v>
      </c>
      <c r="U1514" s="5" t="s">
        <v>14580</v>
      </c>
      <c r="V1514" s="5" t="s">
        <v>7644</v>
      </c>
      <c r="W1514" s="5" t="s">
        <v>2708</v>
      </c>
    </row>
    <row r="1515" spans="1:23" ht="12.5">
      <c r="A1515" s="5">
        <v>92022</v>
      </c>
      <c r="B1515" s="5" t="s">
        <v>10297</v>
      </c>
      <c r="C1515" s="5">
        <v>573007645151</v>
      </c>
      <c r="D1515" s="5">
        <v>53</v>
      </c>
      <c r="E1515" s="5" t="s">
        <v>9576</v>
      </c>
      <c r="F1515" s="5" t="s">
        <v>33</v>
      </c>
      <c r="G1515" s="5" t="s">
        <v>10297</v>
      </c>
      <c r="H1515" s="5" t="s">
        <v>34</v>
      </c>
      <c r="I1515" s="5">
        <v>3007645151</v>
      </c>
      <c r="J1515" s="12">
        <v>46067</v>
      </c>
      <c r="K1515" s="11">
        <v>0</v>
      </c>
      <c r="M1515" s="10" t="s">
        <v>14627</v>
      </c>
      <c r="N1515" s="12">
        <v>46067.433170879631</v>
      </c>
      <c r="O1515" s="10" t="s">
        <v>17658</v>
      </c>
      <c r="P1515" s="5" t="s">
        <v>14571</v>
      </c>
      <c r="Q1515" s="5" t="s">
        <v>14572</v>
      </c>
      <c r="R1515" s="5" t="s">
        <v>18231</v>
      </c>
      <c r="T1515" s="5" t="s">
        <v>14574</v>
      </c>
      <c r="U1515" s="5" t="s">
        <v>33</v>
      </c>
      <c r="V1515" s="5" t="s">
        <v>1705</v>
      </c>
      <c r="W1515" s="5"/>
    </row>
    <row r="1516" spans="1:23" ht="12.5">
      <c r="A1516" s="5">
        <v>92023</v>
      </c>
      <c r="B1516" s="5" t="s">
        <v>18232</v>
      </c>
      <c r="C1516" s="10" t="s">
        <v>18233</v>
      </c>
      <c r="D1516" s="5">
        <v>23</v>
      </c>
      <c r="E1516" s="5" t="s">
        <v>50</v>
      </c>
      <c r="F1516" s="5" t="s">
        <v>103</v>
      </c>
      <c r="G1516" s="5" t="s">
        <v>8586</v>
      </c>
      <c r="H1516" s="5" t="s">
        <v>10299</v>
      </c>
      <c r="I1516" s="5">
        <v>3505834440</v>
      </c>
      <c r="J1516" s="12">
        <v>46067</v>
      </c>
      <c r="K1516" s="11">
        <v>0</v>
      </c>
      <c r="M1516" s="10" t="s">
        <v>14649</v>
      </c>
      <c r="N1516" s="12">
        <v>46067</v>
      </c>
      <c r="O1516" s="10" t="s">
        <v>15500</v>
      </c>
      <c r="P1516" s="5" t="s">
        <v>14571</v>
      </c>
      <c r="Q1516" s="5" t="s">
        <v>14578</v>
      </c>
      <c r="R1516" s="5" t="s">
        <v>18234</v>
      </c>
      <c r="T1516" s="5" t="s">
        <v>5994</v>
      </c>
      <c r="U1516" s="5" t="s">
        <v>14593</v>
      </c>
      <c r="V1516" s="5" t="s">
        <v>7644</v>
      </c>
      <c r="W1516" s="5" t="s">
        <v>2708</v>
      </c>
    </row>
    <row r="1517" spans="1:23" ht="12.5">
      <c r="A1517" s="5">
        <v>92024</v>
      </c>
      <c r="B1517" s="5" t="s">
        <v>10303</v>
      </c>
      <c r="C1517" s="10" t="s">
        <v>18235</v>
      </c>
      <c r="D1517" s="5">
        <v>29</v>
      </c>
      <c r="E1517" s="5" t="s">
        <v>309</v>
      </c>
      <c r="F1517" s="5" t="s">
        <v>33</v>
      </c>
      <c r="G1517" s="5" t="s">
        <v>10303</v>
      </c>
      <c r="H1517" s="5" t="s">
        <v>34</v>
      </c>
      <c r="I1517" s="5">
        <v>3156125956</v>
      </c>
      <c r="J1517" s="12">
        <v>46067</v>
      </c>
      <c r="K1517" s="11">
        <v>0</v>
      </c>
      <c r="M1517" s="10" t="s">
        <v>14627</v>
      </c>
      <c r="N1517" s="12">
        <v>46067</v>
      </c>
      <c r="O1517" s="10" t="s">
        <v>17110</v>
      </c>
      <c r="P1517" s="5" t="s">
        <v>14571</v>
      </c>
      <c r="Q1517" s="5" t="s">
        <v>14612</v>
      </c>
      <c r="R1517" s="5" t="s">
        <v>18236</v>
      </c>
      <c r="T1517" s="5" t="s">
        <v>14574</v>
      </c>
      <c r="U1517" s="5" t="s">
        <v>33</v>
      </c>
      <c r="V1517" s="5" t="s">
        <v>1705</v>
      </c>
      <c r="W1517" s="5"/>
    </row>
    <row r="1518" spans="1:23" ht="12.5">
      <c r="A1518" s="5">
        <v>92025</v>
      </c>
      <c r="B1518" s="5" t="s">
        <v>10306</v>
      </c>
      <c r="C1518" s="5">
        <v>572428745459</v>
      </c>
      <c r="D1518" s="5">
        <v>57</v>
      </c>
      <c r="E1518" s="5" t="s">
        <v>35</v>
      </c>
      <c r="F1518" s="5"/>
      <c r="G1518" s="5" t="s">
        <v>10306</v>
      </c>
      <c r="H1518" s="5" t="s">
        <v>34</v>
      </c>
      <c r="I1518" s="5">
        <v>2428745459</v>
      </c>
      <c r="J1518" s="12">
        <v>46067</v>
      </c>
      <c r="K1518" s="11">
        <v>0</v>
      </c>
      <c r="M1518" s="10" t="s">
        <v>10581</v>
      </c>
      <c r="N1518" s="12">
        <v>46067.441669039355</v>
      </c>
      <c r="O1518" s="10" t="s">
        <v>15760</v>
      </c>
      <c r="P1518" s="5" t="s">
        <v>14571</v>
      </c>
      <c r="Q1518" s="5" t="s">
        <v>17404</v>
      </c>
      <c r="R1518" s="5" t="s">
        <v>18237</v>
      </c>
      <c r="T1518" s="5" t="s">
        <v>5994</v>
      </c>
      <c r="U1518" s="5"/>
      <c r="V1518" s="5" t="s">
        <v>37</v>
      </c>
      <c r="W1518" s="5"/>
    </row>
    <row r="1519" spans="1:23" ht="12.5">
      <c r="A1519" s="5">
        <v>92026</v>
      </c>
      <c r="B1519" s="5" t="s">
        <v>18238</v>
      </c>
      <c r="C1519" s="5">
        <v>573002525881</v>
      </c>
      <c r="D1519" s="5">
        <v>53</v>
      </c>
      <c r="E1519" s="5" t="s">
        <v>75</v>
      </c>
      <c r="F1519" s="5" t="s">
        <v>6662</v>
      </c>
      <c r="G1519" s="5" t="s">
        <v>10308</v>
      </c>
      <c r="H1519" s="5" t="s">
        <v>10309</v>
      </c>
      <c r="I1519" s="5" t="s">
        <v>10310</v>
      </c>
      <c r="J1519" s="12">
        <v>46067</v>
      </c>
      <c r="K1519" s="11">
        <v>0</v>
      </c>
      <c r="M1519" s="10" t="s">
        <v>14595</v>
      </c>
      <c r="N1519" s="12">
        <v>46067.444522627316</v>
      </c>
      <c r="O1519" s="10" t="s">
        <v>18239</v>
      </c>
      <c r="P1519" s="5" t="s">
        <v>14571</v>
      </c>
      <c r="Q1519" s="5" t="s">
        <v>14578</v>
      </c>
      <c r="R1519" s="5" t="s">
        <v>18240</v>
      </c>
      <c r="T1519" s="5" t="s">
        <v>5994</v>
      </c>
      <c r="U1519" s="5" t="s">
        <v>14580</v>
      </c>
      <c r="V1519" s="5" t="s">
        <v>7644</v>
      </c>
      <c r="W1519" s="5" t="s">
        <v>10312</v>
      </c>
    </row>
    <row r="1520" spans="1:23" ht="12.5">
      <c r="A1520" s="5">
        <v>92027</v>
      </c>
      <c r="B1520" s="5" t="s">
        <v>18241</v>
      </c>
      <c r="C1520" s="5">
        <v>19549956972</v>
      </c>
      <c r="D1520" s="5" t="s">
        <v>18242</v>
      </c>
      <c r="E1520" s="5" t="s">
        <v>10317</v>
      </c>
      <c r="F1520" s="5" t="s">
        <v>783</v>
      </c>
      <c r="G1520" s="5" t="s">
        <v>10315</v>
      </c>
      <c r="H1520" s="5" t="s">
        <v>10316</v>
      </c>
      <c r="I1520" s="5"/>
      <c r="J1520" s="12">
        <v>46067</v>
      </c>
      <c r="K1520" s="11">
        <v>0</v>
      </c>
      <c r="M1520" s="10" t="s">
        <v>17852</v>
      </c>
      <c r="N1520" s="12">
        <v>46067.416502673615</v>
      </c>
      <c r="O1520" s="10" t="s">
        <v>18243</v>
      </c>
      <c r="P1520" s="5" t="s">
        <v>14571</v>
      </c>
      <c r="Q1520" s="5" t="s">
        <v>17404</v>
      </c>
      <c r="R1520" s="5" t="s">
        <v>18244</v>
      </c>
      <c r="T1520" s="5" t="s">
        <v>5994</v>
      </c>
      <c r="U1520" s="5"/>
      <c r="V1520" s="5" t="s">
        <v>9695</v>
      </c>
      <c r="W1520" s="5"/>
    </row>
    <row r="1521" spans="1:23" ht="12.5">
      <c r="A1521" s="5">
        <v>92028</v>
      </c>
      <c r="B1521" s="5" t="s">
        <v>18245</v>
      </c>
      <c r="C1521" s="5">
        <v>573023773683</v>
      </c>
      <c r="D1521" s="5">
        <v>57</v>
      </c>
      <c r="E1521" s="5" t="s">
        <v>35</v>
      </c>
      <c r="F1521" s="5" t="s">
        <v>307</v>
      </c>
      <c r="G1521" s="5" t="s">
        <v>10322</v>
      </c>
      <c r="H1521" s="5" t="s">
        <v>10323</v>
      </c>
      <c r="I1521" s="5"/>
      <c r="J1521" s="12">
        <v>46067</v>
      </c>
      <c r="K1521" s="11">
        <v>0.5</v>
      </c>
      <c r="M1521" s="10" t="s">
        <v>14599</v>
      </c>
      <c r="N1521" s="12">
        <v>46067.432627245369</v>
      </c>
      <c r="O1521" s="10" t="s">
        <v>15834</v>
      </c>
      <c r="P1521" s="5" t="s">
        <v>14571</v>
      </c>
      <c r="Q1521" s="5" t="s">
        <v>14572</v>
      </c>
      <c r="R1521" s="5" t="s">
        <v>18246</v>
      </c>
      <c r="T1521" s="5" t="s">
        <v>5994</v>
      </c>
      <c r="U1521" s="5" t="s">
        <v>14618</v>
      </c>
      <c r="V1521" s="5" t="s">
        <v>7644</v>
      </c>
      <c r="W1521" s="5" t="s">
        <v>10326</v>
      </c>
    </row>
    <row r="1522" spans="1:23" ht="12.5">
      <c r="A1522" s="5">
        <v>92029</v>
      </c>
      <c r="B1522" s="5" t="s">
        <v>18247</v>
      </c>
      <c r="C1522" s="5">
        <v>573137308438</v>
      </c>
      <c r="D1522" s="5" t="s">
        <v>18248</v>
      </c>
      <c r="E1522" s="5" t="s">
        <v>10329</v>
      </c>
      <c r="F1522" s="5" t="s">
        <v>7476</v>
      </c>
      <c r="G1522" s="5" t="s">
        <v>10327</v>
      </c>
      <c r="H1522" s="5" t="s">
        <v>10328</v>
      </c>
      <c r="I1522" s="5">
        <v>3022614505</v>
      </c>
      <c r="J1522" s="12">
        <v>46067</v>
      </c>
      <c r="K1522" s="11">
        <v>0</v>
      </c>
      <c r="M1522" s="10" t="s">
        <v>14720</v>
      </c>
      <c r="N1522" s="12">
        <v>46067.42178074074</v>
      </c>
      <c r="O1522" s="10" t="s">
        <v>16056</v>
      </c>
      <c r="P1522" s="5" t="s">
        <v>14571</v>
      </c>
      <c r="Q1522" s="5" t="s">
        <v>14578</v>
      </c>
      <c r="R1522" s="5" t="s">
        <v>18249</v>
      </c>
      <c r="T1522" s="5" t="s">
        <v>5994</v>
      </c>
      <c r="U1522" s="5" t="s">
        <v>15349</v>
      </c>
      <c r="V1522" s="5" t="s">
        <v>9695</v>
      </c>
      <c r="W1522" s="5"/>
    </row>
    <row r="1523" spans="1:23" ht="12.5">
      <c r="A1523" s="5">
        <v>92030</v>
      </c>
      <c r="B1523" s="5" t="s">
        <v>17561</v>
      </c>
      <c r="C1523" s="10" t="s">
        <v>18250</v>
      </c>
      <c r="D1523" s="5">
        <v>20</v>
      </c>
      <c r="E1523" s="5" t="s">
        <v>187</v>
      </c>
      <c r="F1523" s="5" t="s">
        <v>598</v>
      </c>
      <c r="G1523" s="5" t="s">
        <v>8945</v>
      </c>
      <c r="H1523" s="5" t="s">
        <v>10330</v>
      </c>
      <c r="I1523" s="5" t="s">
        <v>8947</v>
      </c>
      <c r="J1523" s="12">
        <v>46067</v>
      </c>
      <c r="K1523" s="11">
        <v>0.52083333333333337</v>
      </c>
      <c r="M1523" s="10" t="s">
        <v>14649</v>
      </c>
      <c r="N1523" s="12">
        <v>46067</v>
      </c>
      <c r="O1523" s="10" t="s">
        <v>14650</v>
      </c>
      <c r="P1523" s="5" t="s">
        <v>14571</v>
      </c>
      <c r="Q1523" s="5" t="s">
        <v>14578</v>
      </c>
      <c r="R1523" s="5" t="s">
        <v>18251</v>
      </c>
      <c r="T1523" s="5" t="s">
        <v>5994</v>
      </c>
      <c r="U1523" s="5" t="s">
        <v>14593</v>
      </c>
      <c r="V1523" s="5" t="s">
        <v>7644</v>
      </c>
      <c r="W1523" s="5" t="s">
        <v>9612</v>
      </c>
    </row>
    <row r="1524" spans="1:23" ht="12.5">
      <c r="A1524" s="5">
        <v>92031</v>
      </c>
      <c r="B1524" s="5" t="s">
        <v>18252</v>
      </c>
      <c r="C1524" s="5">
        <v>573006607691</v>
      </c>
      <c r="D1524" s="5">
        <v>58</v>
      </c>
      <c r="E1524" s="5" t="s">
        <v>9892</v>
      </c>
      <c r="F1524" s="5" t="s">
        <v>161</v>
      </c>
      <c r="G1524" s="5" t="s">
        <v>10334</v>
      </c>
      <c r="H1524" s="5" t="s">
        <v>10335</v>
      </c>
      <c r="I1524" s="5">
        <v>3006607691</v>
      </c>
      <c r="J1524" s="12">
        <v>46067</v>
      </c>
      <c r="K1524" s="11">
        <v>0.52083333333212067</v>
      </c>
      <c r="M1524" s="10" t="s">
        <v>14885</v>
      </c>
      <c r="N1524" s="12">
        <v>46067.420538749997</v>
      </c>
      <c r="O1524" s="10" t="s">
        <v>18253</v>
      </c>
      <c r="P1524" s="5" t="s">
        <v>14571</v>
      </c>
      <c r="Q1524" s="5" t="s">
        <v>17404</v>
      </c>
      <c r="R1524" s="5" t="s">
        <v>18254</v>
      </c>
      <c r="T1524" s="5" t="s">
        <v>5994</v>
      </c>
      <c r="U1524" s="5" t="s">
        <v>14593</v>
      </c>
      <c r="V1524" s="5" t="s">
        <v>7644</v>
      </c>
      <c r="W1524" s="5" t="s">
        <v>9612</v>
      </c>
    </row>
    <row r="1525" spans="1:23" ht="12.5">
      <c r="A1525" s="5">
        <v>92032</v>
      </c>
      <c r="B1525" s="5" t="s">
        <v>18255</v>
      </c>
      <c r="C1525" s="5">
        <v>573043692560</v>
      </c>
      <c r="D1525" s="5">
        <v>52</v>
      </c>
      <c r="E1525" s="5" t="s">
        <v>6874</v>
      </c>
      <c r="F1525" s="5" t="s">
        <v>516</v>
      </c>
      <c r="G1525" s="5" t="s">
        <v>10339</v>
      </c>
      <c r="H1525" s="5" t="s">
        <v>10340</v>
      </c>
      <c r="I1525" s="5"/>
      <c r="J1525" s="12">
        <v>46067</v>
      </c>
      <c r="K1525" s="11">
        <v>0</v>
      </c>
      <c r="M1525" s="10" t="s">
        <v>10581</v>
      </c>
      <c r="N1525" s="12">
        <v>46067.445811053243</v>
      </c>
      <c r="O1525" s="10" t="s">
        <v>17239</v>
      </c>
      <c r="P1525" s="5" t="s">
        <v>14571</v>
      </c>
      <c r="Q1525" s="5" t="s">
        <v>14578</v>
      </c>
      <c r="R1525" s="5" t="s">
        <v>18256</v>
      </c>
      <c r="T1525" s="5" t="s">
        <v>5994</v>
      </c>
      <c r="U1525" s="5" t="s">
        <v>14580</v>
      </c>
      <c r="V1525" s="5" t="s">
        <v>7644</v>
      </c>
      <c r="W1525" s="5"/>
    </row>
    <row r="1526" spans="1:23" ht="12.5">
      <c r="A1526" s="5">
        <v>92033</v>
      </c>
      <c r="B1526" s="5" t="s">
        <v>10344</v>
      </c>
      <c r="C1526" s="10" t="s">
        <v>18257</v>
      </c>
      <c r="D1526" s="5">
        <v>58</v>
      </c>
      <c r="E1526" s="5" t="s">
        <v>9892</v>
      </c>
      <c r="F1526" s="5" t="s">
        <v>33</v>
      </c>
      <c r="G1526" s="5" t="s">
        <v>10344</v>
      </c>
      <c r="H1526" s="5" t="s">
        <v>34</v>
      </c>
      <c r="I1526" s="5">
        <v>3244926686</v>
      </c>
      <c r="J1526" s="12">
        <v>46067</v>
      </c>
      <c r="K1526" s="11">
        <v>0</v>
      </c>
      <c r="M1526" s="10" t="s">
        <v>15594</v>
      </c>
      <c r="N1526" s="12">
        <v>46067</v>
      </c>
      <c r="O1526" s="10" t="s">
        <v>14891</v>
      </c>
      <c r="P1526" s="5" t="s">
        <v>14571</v>
      </c>
      <c r="Q1526" s="5" t="s">
        <v>17404</v>
      </c>
      <c r="R1526" s="5" t="s">
        <v>18258</v>
      </c>
      <c r="T1526" s="5" t="s">
        <v>14574</v>
      </c>
      <c r="U1526" s="5" t="s">
        <v>33</v>
      </c>
      <c r="V1526" s="5" t="s">
        <v>7644</v>
      </c>
      <c r="W1526" s="5"/>
    </row>
    <row r="1527" spans="1:23" ht="12.5">
      <c r="A1527" s="5">
        <v>92034</v>
      </c>
      <c r="B1527" s="5" t="s">
        <v>10346</v>
      </c>
      <c r="C1527" s="5">
        <v>572428768683</v>
      </c>
      <c r="D1527" s="5">
        <v>29</v>
      </c>
      <c r="E1527" s="5" t="s">
        <v>309</v>
      </c>
      <c r="F1527" s="5" t="s">
        <v>33</v>
      </c>
      <c r="G1527" s="5" t="s">
        <v>10346</v>
      </c>
      <c r="H1527" s="5" t="s">
        <v>34</v>
      </c>
      <c r="I1527" s="5">
        <v>2428768683</v>
      </c>
      <c r="J1527" s="12">
        <v>46067</v>
      </c>
      <c r="K1527" s="11">
        <v>0</v>
      </c>
      <c r="M1527" s="10" t="s">
        <v>14627</v>
      </c>
      <c r="N1527" s="12">
        <v>46067.465902928241</v>
      </c>
      <c r="O1527" s="10" t="s">
        <v>15768</v>
      </c>
      <c r="P1527" s="5" t="s">
        <v>14571</v>
      </c>
      <c r="Q1527" s="5" t="s">
        <v>14572</v>
      </c>
      <c r="R1527" s="5" t="s">
        <v>18259</v>
      </c>
      <c r="T1527" s="5" t="s">
        <v>14574</v>
      </c>
      <c r="U1527" s="5" t="s">
        <v>33</v>
      </c>
      <c r="V1527" s="5" t="s">
        <v>37</v>
      </c>
      <c r="W1527" s="5"/>
    </row>
    <row r="1528" spans="1:23" ht="12.5">
      <c r="A1528" s="5">
        <v>92035</v>
      </c>
      <c r="B1528" s="5" t="s">
        <v>18260</v>
      </c>
      <c r="C1528" s="10" t="s">
        <v>18261</v>
      </c>
      <c r="D1528" s="5">
        <v>53</v>
      </c>
      <c r="E1528" s="5" t="s">
        <v>10352</v>
      </c>
      <c r="F1528" s="5" t="s">
        <v>9925</v>
      </c>
      <c r="G1528" s="5" t="s">
        <v>18262</v>
      </c>
      <c r="H1528" s="5" t="s">
        <v>10351</v>
      </c>
      <c r="I1528" s="5">
        <v>3145048313</v>
      </c>
      <c r="J1528" s="12">
        <v>46067</v>
      </c>
      <c r="K1528" s="11">
        <v>0.52083333333333337</v>
      </c>
      <c r="M1528" s="10" t="s">
        <v>14636</v>
      </c>
      <c r="N1528" s="12">
        <v>46067</v>
      </c>
      <c r="O1528" s="10" t="s">
        <v>15768</v>
      </c>
      <c r="P1528" s="5" t="s">
        <v>14571</v>
      </c>
      <c r="Q1528" s="5" t="s">
        <v>14578</v>
      </c>
      <c r="R1528" s="5" t="s">
        <v>18263</v>
      </c>
      <c r="T1528" s="5" t="s">
        <v>5994</v>
      </c>
      <c r="U1528" s="5" t="s">
        <v>14618</v>
      </c>
      <c r="V1528" s="5" t="s">
        <v>7644</v>
      </c>
      <c r="W1528" s="5" t="s">
        <v>9612</v>
      </c>
    </row>
    <row r="1529" spans="1:23" ht="12.5">
      <c r="A1529" s="5">
        <v>92036</v>
      </c>
      <c r="B1529" s="5" t="s">
        <v>18260</v>
      </c>
      <c r="C1529" s="5">
        <v>41774494454</v>
      </c>
      <c r="D1529" s="5">
        <v>28</v>
      </c>
      <c r="E1529" s="5" t="s">
        <v>9693</v>
      </c>
      <c r="F1529" s="5" t="s">
        <v>907</v>
      </c>
      <c r="G1529" s="5" t="s">
        <v>10356</v>
      </c>
      <c r="H1529" s="5" t="s">
        <v>10357</v>
      </c>
      <c r="I1529" s="5" t="s">
        <v>10358</v>
      </c>
      <c r="J1529" s="12">
        <v>46067</v>
      </c>
      <c r="K1529" s="11">
        <v>0.52083333333212067</v>
      </c>
      <c r="M1529" s="10" t="s">
        <v>14595</v>
      </c>
      <c r="N1529" s="12">
        <v>46071</v>
      </c>
      <c r="O1529" s="10" t="s">
        <v>16195</v>
      </c>
      <c r="P1529" s="5" t="s">
        <v>14571</v>
      </c>
      <c r="Q1529" s="5" t="s">
        <v>14572</v>
      </c>
      <c r="R1529" s="5" t="s">
        <v>18264</v>
      </c>
      <c r="T1529" s="5" t="s">
        <v>5994</v>
      </c>
      <c r="U1529" s="5"/>
      <c r="V1529" s="5" t="s">
        <v>7644</v>
      </c>
      <c r="W1529" s="5" t="s">
        <v>18265</v>
      </c>
    </row>
    <row r="1530" spans="1:23" ht="12.5">
      <c r="A1530" s="5">
        <v>92037</v>
      </c>
      <c r="B1530" s="5" t="s">
        <v>10361</v>
      </c>
      <c r="C1530" s="10" t="s">
        <v>18266</v>
      </c>
      <c r="D1530" s="5">
        <v>29</v>
      </c>
      <c r="E1530" s="5" t="s">
        <v>309</v>
      </c>
      <c r="F1530" s="5" t="s">
        <v>33</v>
      </c>
      <c r="G1530" s="5" t="s">
        <v>10361</v>
      </c>
      <c r="H1530" s="5" t="s">
        <v>34</v>
      </c>
      <c r="I1530" s="5">
        <v>2428754066</v>
      </c>
      <c r="J1530" s="12">
        <v>46067</v>
      </c>
      <c r="K1530" s="11">
        <v>0</v>
      </c>
      <c r="M1530" s="10" t="s">
        <v>14627</v>
      </c>
      <c r="N1530" s="12">
        <v>46067</v>
      </c>
      <c r="O1530" s="10" t="s">
        <v>16195</v>
      </c>
      <c r="P1530" s="5" t="s">
        <v>14571</v>
      </c>
      <c r="Q1530" s="5" t="s">
        <v>14572</v>
      </c>
      <c r="R1530" s="5" t="s">
        <v>18267</v>
      </c>
      <c r="T1530" s="5" t="s">
        <v>14574</v>
      </c>
      <c r="U1530" s="5" t="s">
        <v>33</v>
      </c>
      <c r="V1530" s="5" t="s">
        <v>37</v>
      </c>
      <c r="W1530" s="5"/>
    </row>
    <row r="1531" spans="1:23" ht="12.5">
      <c r="A1531" s="5">
        <v>92038</v>
      </c>
      <c r="B1531" s="5" t="s">
        <v>10363</v>
      </c>
      <c r="C1531" s="10" t="s">
        <v>18268</v>
      </c>
      <c r="D1531" s="5">
        <v>58</v>
      </c>
      <c r="E1531" s="5" t="s">
        <v>9892</v>
      </c>
      <c r="F1531" s="5" t="s">
        <v>33</v>
      </c>
      <c r="G1531" s="5" t="s">
        <v>10363</v>
      </c>
      <c r="H1531" s="5" t="s">
        <v>34</v>
      </c>
      <c r="I1531" s="5">
        <v>2428762519</v>
      </c>
      <c r="J1531" s="12">
        <v>46067</v>
      </c>
      <c r="K1531" s="11">
        <v>0</v>
      </c>
      <c r="M1531" s="10" t="s">
        <v>15594</v>
      </c>
      <c r="N1531" s="12">
        <v>46067</v>
      </c>
      <c r="O1531" s="10" t="s">
        <v>15997</v>
      </c>
      <c r="P1531" s="5" t="s">
        <v>14571</v>
      </c>
      <c r="Q1531" s="5" t="s">
        <v>14578</v>
      </c>
      <c r="R1531" s="5" t="s">
        <v>18269</v>
      </c>
      <c r="T1531" s="5" t="s">
        <v>14574</v>
      </c>
      <c r="U1531" s="5" t="s">
        <v>33</v>
      </c>
      <c r="V1531" s="5" t="s">
        <v>37</v>
      </c>
      <c r="W1531" s="5"/>
    </row>
    <row r="1532" spans="1:23" ht="12.5">
      <c r="A1532" s="5">
        <v>92039</v>
      </c>
      <c r="B1532" s="5" t="s">
        <v>18270</v>
      </c>
      <c r="C1532" s="5">
        <v>573105816661</v>
      </c>
      <c r="D1532" s="5">
        <v>29</v>
      </c>
      <c r="E1532" s="5" t="s">
        <v>309</v>
      </c>
      <c r="F1532" s="5" t="s">
        <v>7476</v>
      </c>
      <c r="G1532" s="5" t="s">
        <v>10365</v>
      </c>
      <c r="H1532" s="5" t="s">
        <v>10366</v>
      </c>
      <c r="I1532" s="5" t="s">
        <v>10367</v>
      </c>
      <c r="J1532" s="12">
        <v>46067</v>
      </c>
      <c r="K1532" s="11">
        <v>0</v>
      </c>
      <c r="M1532" s="10" t="s">
        <v>15179</v>
      </c>
      <c r="N1532" s="12">
        <v>46067.445860138891</v>
      </c>
      <c r="O1532" s="10" t="s">
        <v>15772</v>
      </c>
      <c r="P1532" s="5" t="s">
        <v>14571</v>
      </c>
      <c r="Q1532" s="5" t="s">
        <v>17688</v>
      </c>
      <c r="R1532" s="5" t="s">
        <v>18271</v>
      </c>
      <c r="T1532" s="5" t="s">
        <v>5994</v>
      </c>
      <c r="U1532" s="5" t="s">
        <v>15349</v>
      </c>
      <c r="V1532" s="5" t="s">
        <v>7644</v>
      </c>
      <c r="W1532" s="5" t="s">
        <v>2708</v>
      </c>
    </row>
    <row r="1533" spans="1:23" ht="12.5">
      <c r="A1533" s="5">
        <v>92040</v>
      </c>
      <c r="B1533" s="5" t="s">
        <v>10371</v>
      </c>
      <c r="C1533" s="10" t="s">
        <v>18272</v>
      </c>
      <c r="D1533" s="5">
        <v>57</v>
      </c>
      <c r="E1533" s="5" t="s">
        <v>35</v>
      </c>
      <c r="F1533" s="5" t="s">
        <v>124</v>
      </c>
      <c r="G1533" s="5" t="s">
        <v>10371</v>
      </c>
      <c r="H1533" s="5" t="s">
        <v>10372</v>
      </c>
      <c r="I1533" s="5">
        <v>3013791058</v>
      </c>
      <c r="J1533" s="12">
        <v>46067</v>
      </c>
      <c r="K1533" s="11">
        <v>4.1666666666666664E-2</v>
      </c>
      <c r="M1533" s="10" t="s">
        <v>15076</v>
      </c>
      <c r="N1533" s="12">
        <v>46067</v>
      </c>
      <c r="O1533" s="10" t="s">
        <v>15079</v>
      </c>
      <c r="P1533" s="5" t="s">
        <v>14571</v>
      </c>
      <c r="Q1533" s="5" t="s">
        <v>17404</v>
      </c>
      <c r="R1533" s="5" t="s">
        <v>18273</v>
      </c>
      <c r="T1533" s="5" t="s">
        <v>5994</v>
      </c>
      <c r="U1533" s="5" t="s">
        <v>14775</v>
      </c>
      <c r="V1533" s="5" t="s">
        <v>7644</v>
      </c>
      <c r="W1533" s="5" t="s">
        <v>9612</v>
      </c>
    </row>
    <row r="1534" spans="1:23" ht="12.5">
      <c r="A1534" s="5">
        <v>92041</v>
      </c>
      <c r="B1534" s="5" t="s">
        <v>18274</v>
      </c>
      <c r="C1534" s="5">
        <v>573003987082</v>
      </c>
      <c r="D1534" s="5">
        <v>104</v>
      </c>
      <c r="E1534" s="5" t="s">
        <v>9280</v>
      </c>
      <c r="F1534" s="5" t="s">
        <v>448</v>
      </c>
      <c r="G1534" s="5" t="s">
        <v>10376</v>
      </c>
      <c r="H1534" s="5" t="s">
        <v>10377</v>
      </c>
      <c r="I1534" s="5">
        <v>3022088217</v>
      </c>
      <c r="J1534" s="12">
        <v>46067</v>
      </c>
      <c r="K1534" s="11">
        <v>0</v>
      </c>
      <c r="M1534" s="10" t="s">
        <v>15161</v>
      </c>
      <c r="N1534" s="12">
        <v>46067.39779260417</v>
      </c>
      <c r="O1534" s="10" t="s">
        <v>16523</v>
      </c>
      <c r="P1534" s="5" t="s">
        <v>14571</v>
      </c>
      <c r="Q1534" s="5" t="s">
        <v>14578</v>
      </c>
      <c r="R1534" s="5" t="s">
        <v>18275</v>
      </c>
      <c r="T1534" s="5" t="s">
        <v>5994</v>
      </c>
      <c r="U1534" s="5" t="s">
        <v>14580</v>
      </c>
      <c r="V1534" s="5" t="s">
        <v>7644</v>
      </c>
      <c r="W1534" s="5" t="s">
        <v>2708</v>
      </c>
    </row>
    <row r="1535" spans="1:23" ht="12.5">
      <c r="A1535" s="5">
        <v>92042</v>
      </c>
      <c r="B1535" s="5" t="s">
        <v>18276</v>
      </c>
      <c r="C1535" s="5">
        <v>573503394890</v>
      </c>
      <c r="D1535" s="5">
        <v>53</v>
      </c>
      <c r="E1535" s="5" t="s">
        <v>9576</v>
      </c>
      <c r="F1535" s="5" t="s">
        <v>265</v>
      </c>
      <c r="G1535" s="5" t="s">
        <v>10380</v>
      </c>
      <c r="H1535" s="5" t="s">
        <v>10381</v>
      </c>
      <c r="I1535" s="5"/>
      <c r="J1535" s="12">
        <v>46067</v>
      </c>
      <c r="K1535" s="11">
        <v>0</v>
      </c>
      <c r="M1535" s="10" t="s">
        <v>16470</v>
      </c>
      <c r="N1535" s="12">
        <v>46067.458976666661</v>
      </c>
      <c r="O1535" s="10" t="s">
        <v>15290</v>
      </c>
      <c r="P1535" s="5" t="s">
        <v>14571</v>
      </c>
      <c r="Q1535" s="5" t="s">
        <v>14612</v>
      </c>
      <c r="R1535" s="5" t="s">
        <v>18277</v>
      </c>
      <c r="T1535" s="5" t="s">
        <v>5994</v>
      </c>
      <c r="U1535" s="5" t="s">
        <v>14691</v>
      </c>
      <c r="V1535" s="5" t="s">
        <v>7644</v>
      </c>
      <c r="W1535" s="5" t="s">
        <v>2708</v>
      </c>
    </row>
    <row r="1536" spans="1:23" ht="12.5">
      <c r="A1536" s="5">
        <v>92043</v>
      </c>
      <c r="B1536" s="5" t="s">
        <v>10398</v>
      </c>
      <c r="C1536" s="5">
        <v>573013886448</v>
      </c>
      <c r="D1536" s="5">
        <v>104</v>
      </c>
      <c r="E1536" s="5" t="s">
        <v>9280</v>
      </c>
      <c r="F1536" s="5" t="s">
        <v>33</v>
      </c>
      <c r="G1536" s="5" t="s">
        <v>10398</v>
      </c>
      <c r="H1536" s="5" t="s">
        <v>34</v>
      </c>
      <c r="I1536" s="5">
        <v>3013886448</v>
      </c>
      <c r="J1536" s="12">
        <v>46067</v>
      </c>
      <c r="K1536" s="11">
        <v>0</v>
      </c>
      <c r="M1536" s="10" t="s">
        <v>14595</v>
      </c>
      <c r="N1536" s="12">
        <v>46067.485256377317</v>
      </c>
      <c r="O1536" s="10" t="s">
        <v>16526</v>
      </c>
      <c r="P1536" s="5" t="s">
        <v>14571</v>
      </c>
      <c r="Q1536" s="5" t="s">
        <v>14572</v>
      </c>
      <c r="R1536" s="5" t="s">
        <v>18278</v>
      </c>
      <c r="T1536" s="5" t="s">
        <v>14574</v>
      </c>
      <c r="U1536" s="5" t="s">
        <v>33</v>
      </c>
      <c r="V1536" s="5" t="s">
        <v>1705</v>
      </c>
      <c r="W1536" s="5"/>
    </row>
    <row r="1537" spans="1:23" ht="12.5">
      <c r="A1537" s="5">
        <v>92044</v>
      </c>
      <c r="B1537" s="5" t="s">
        <v>10387</v>
      </c>
      <c r="C1537" s="10" t="s">
        <v>18279</v>
      </c>
      <c r="D1537" s="5">
        <v>52</v>
      </c>
      <c r="E1537" s="5" t="s">
        <v>6874</v>
      </c>
      <c r="F1537" s="5" t="s">
        <v>33</v>
      </c>
      <c r="G1537" s="5" t="s">
        <v>10387</v>
      </c>
      <c r="H1537" s="5" t="s">
        <v>34</v>
      </c>
      <c r="I1537" s="5">
        <v>3172648892</v>
      </c>
      <c r="J1537" s="12">
        <v>46067</v>
      </c>
      <c r="K1537" s="11">
        <v>0</v>
      </c>
      <c r="M1537" s="10" t="s">
        <v>15594</v>
      </c>
      <c r="N1537" s="12">
        <v>46067</v>
      </c>
      <c r="O1537" s="10" t="s">
        <v>18280</v>
      </c>
      <c r="P1537" s="5" t="s">
        <v>14571</v>
      </c>
      <c r="Q1537" s="5" t="s">
        <v>14578</v>
      </c>
      <c r="R1537" s="5" t="s">
        <v>18281</v>
      </c>
      <c r="T1537" s="5" t="s">
        <v>14574</v>
      </c>
      <c r="U1537" s="5" t="s">
        <v>33</v>
      </c>
      <c r="V1537" s="5" t="s">
        <v>1705</v>
      </c>
      <c r="W1537" s="5"/>
    </row>
    <row r="1538" spans="1:23" ht="12.5">
      <c r="A1538" s="5">
        <v>92045</v>
      </c>
      <c r="B1538" s="5" t="s">
        <v>18282</v>
      </c>
      <c r="C1538" s="5">
        <v>573122486421</v>
      </c>
      <c r="D1538" s="5">
        <v>31</v>
      </c>
      <c r="E1538" s="5" t="s">
        <v>375</v>
      </c>
      <c r="F1538" s="5" t="s">
        <v>54</v>
      </c>
      <c r="G1538" s="5" t="s">
        <v>10389</v>
      </c>
      <c r="H1538" s="5" t="s">
        <v>10390</v>
      </c>
      <c r="I1538" s="5">
        <v>3022820261</v>
      </c>
      <c r="J1538" s="12">
        <v>46067</v>
      </c>
      <c r="K1538" s="11">
        <v>0</v>
      </c>
      <c r="M1538" s="10" t="s">
        <v>14705</v>
      </c>
      <c r="N1538" s="12">
        <v>46066.936463692131</v>
      </c>
      <c r="O1538" s="10" t="s">
        <v>17118</v>
      </c>
      <c r="P1538" s="5" t="s">
        <v>14571</v>
      </c>
      <c r="Q1538" s="5" t="s">
        <v>17688</v>
      </c>
      <c r="R1538" s="5" t="s">
        <v>18283</v>
      </c>
      <c r="T1538" s="5" t="s">
        <v>5994</v>
      </c>
      <c r="U1538" s="5" t="s">
        <v>14580</v>
      </c>
      <c r="V1538" s="5" t="s">
        <v>7644</v>
      </c>
      <c r="W1538" s="5" t="s">
        <v>2708</v>
      </c>
    </row>
    <row r="1539" spans="1:23" ht="12.5">
      <c r="A1539" s="5">
        <v>92046</v>
      </c>
      <c r="B1539" s="5" t="s">
        <v>18284</v>
      </c>
      <c r="C1539" s="5">
        <v>17866453589</v>
      </c>
      <c r="D1539" s="5">
        <v>95</v>
      </c>
      <c r="E1539" s="5" t="s">
        <v>42</v>
      </c>
      <c r="F1539" s="5" t="s">
        <v>33</v>
      </c>
      <c r="G1539" s="5" t="s">
        <v>10393</v>
      </c>
      <c r="H1539" s="5" t="s">
        <v>34</v>
      </c>
      <c r="I1539" s="5">
        <v>7866453589</v>
      </c>
      <c r="J1539" s="12">
        <v>46067</v>
      </c>
      <c r="K1539" s="11">
        <v>0.52083333333212067</v>
      </c>
      <c r="M1539" s="10" t="s">
        <v>14923</v>
      </c>
      <c r="N1539" s="12">
        <v>46067.490124884258</v>
      </c>
      <c r="O1539" s="10" t="s">
        <v>15077</v>
      </c>
      <c r="P1539" s="5" t="s">
        <v>14571</v>
      </c>
      <c r="Q1539" s="5" t="s">
        <v>14572</v>
      </c>
      <c r="R1539" s="5" t="s">
        <v>18285</v>
      </c>
      <c r="T1539" s="5" t="s">
        <v>14574</v>
      </c>
      <c r="U1539" s="5" t="s">
        <v>33</v>
      </c>
      <c r="V1539" s="5" t="s">
        <v>2438</v>
      </c>
      <c r="W1539" s="5" t="s">
        <v>10395</v>
      </c>
    </row>
    <row r="1540" spans="1:23" ht="12.5">
      <c r="A1540" s="5">
        <v>92049</v>
      </c>
      <c r="B1540" s="5" t="s">
        <v>18286</v>
      </c>
      <c r="C1540" s="5">
        <v>573008022701</v>
      </c>
      <c r="D1540" s="5">
        <v>52</v>
      </c>
      <c r="E1540" s="5" t="s">
        <v>6874</v>
      </c>
      <c r="F1540" s="5" t="s">
        <v>79</v>
      </c>
      <c r="G1540" s="5" t="s">
        <v>10404</v>
      </c>
      <c r="H1540" s="5" t="s">
        <v>10405</v>
      </c>
      <c r="I1540" s="5"/>
      <c r="J1540" s="12">
        <v>46067</v>
      </c>
      <c r="K1540" s="11">
        <v>0</v>
      </c>
      <c r="M1540" s="10" t="s">
        <v>10581</v>
      </c>
      <c r="N1540" s="12">
        <v>46067.493374675927</v>
      </c>
      <c r="O1540" s="10" t="s">
        <v>15404</v>
      </c>
      <c r="P1540" s="5" t="s">
        <v>14571</v>
      </c>
      <c r="Q1540" s="5" t="s">
        <v>17404</v>
      </c>
      <c r="R1540" s="5" t="s">
        <v>18287</v>
      </c>
      <c r="T1540" s="5" t="s">
        <v>5994</v>
      </c>
      <c r="U1540" s="5" t="s">
        <v>14593</v>
      </c>
      <c r="V1540" s="5" t="s">
        <v>7644</v>
      </c>
      <c r="W1540" s="5" t="s">
        <v>2708</v>
      </c>
    </row>
    <row r="1541" spans="1:23" ht="12.5">
      <c r="A1541" s="5">
        <v>92051</v>
      </c>
      <c r="B1541" s="5" t="s">
        <v>18288</v>
      </c>
      <c r="C1541" s="5">
        <v>573011445505</v>
      </c>
      <c r="D1541" s="5">
        <v>52</v>
      </c>
      <c r="E1541" s="5" t="s">
        <v>6874</v>
      </c>
      <c r="F1541" s="5" t="s">
        <v>73</v>
      </c>
      <c r="G1541" s="5" t="s">
        <v>10442</v>
      </c>
      <c r="H1541" s="5" t="s">
        <v>10443</v>
      </c>
      <c r="I1541" s="5">
        <v>3011445505</v>
      </c>
      <c r="J1541" s="12">
        <v>46067</v>
      </c>
      <c r="K1541" s="11">
        <v>0</v>
      </c>
      <c r="M1541" s="10" t="s">
        <v>14885</v>
      </c>
      <c r="N1541" s="12">
        <v>46067.496141238429</v>
      </c>
      <c r="O1541" s="10" t="s">
        <v>14744</v>
      </c>
      <c r="P1541" s="5" t="s">
        <v>14571</v>
      </c>
      <c r="Q1541" s="5" t="s">
        <v>14612</v>
      </c>
      <c r="R1541" s="5" t="s">
        <v>18289</v>
      </c>
      <c r="T1541" s="5" t="s">
        <v>5994</v>
      </c>
      <c r="U1541" s="5" t="s">
        <v>14593</v>
      </c>
      <c r="V1541" s="5" t="s">
        <v>7644</v>
      </c>
      <c r="W1541" s="5" t="s">
        <v>10446</v>
      </c>
    </row>
    <row r="1542" spans="1:23" ht="12.5">
      <c r="A1542" s="5">
        <v>92052</v>
      </c>
      <c r="B1542" s="5" t="s">
        <v>18290</v>
      </c>
      <c r="C1542" s="5">
        <v>573148447485</v>
      </c>
      <c r="D1542" s="5">
        <v>51</v>
      </c>
      <c r="E1542" s="5" t="s">
        <v>9842</v>
      </c>
      <c r="F1542" s="5" t="s">
        <v>249</v>
      </c>
      <c r="G1542" s="5" t="s">
        <v>10414</v>
      </c>
      <c r="H1542" s="5" t="s">
        <v>10415</v>
      </c>
      <c r="I1542" s="5">
        <v>3103897558</v>
      </c>
      <c r="J1542" s="12">
        <v>46067</v>
      </c>
      <c r="K1542" s="11">
        <v>0</v>
      </c>
      <c r="M1542" s="10" t="s">
        <v>14777</v>
      </c>
      <c r="N1542" s="12">
        <v>46067.422189942125</v>
      </c>
      <c r="O1542" s="10" t="s">
        <v>15849</v>
      </c>
      <c r="P1542" s="5" t="s">
        <v>14571</v>
      </c>
      <c r="Q1542" s="5" t="s">
        <v>14572</v>
      </c>
      <c r="R1542" s="5" t="s">
        <v>18291</v>
      </c>
      <c r="T1542" s="5" t="s">
        <v>5994</v>
      </c>
      <c r="U1542" s="5" t="s">
        <v>14593</v>
      </c>
      <c r="V1542" s="5" t="s">
        <v>7644</v>
      </c>
      <c r="W1542" s="5" t="s">
        <v>2708</v>
      </c>
    </row>
    <row r="1543" spans="1:23" ht="12.5">
      <c r="A1543" s="5">
        <v>92053</v>
      </c>
      <c r="B1543" s="5" t="s">
        <v>18292</v>
      </c>
      <c r="C1543" s="5">
        <v>573205428081</v>
      </c>
      <c r="D1543" s="5">
        <v>95</v>
      </c>
      <c r="E1543" s="5" t="s">
        <v>42</v>
      </c>
      <c r="F1543" s="5" t="s">
        <v>103</v>
      </c>
      <c r="G1543" s="5" t="s">
        <v>10458</v>
      </c>
      <c r="H1543" s="5" t="s">
        <v>10459</v>
      </c>
      <c r="I1543" s="5"/>
      <c r="J1543" s="12">
        <v>46067</v>
      </c>
      <c r="K1543" s="11">
        <v>6.25E-2</v>
      </c>
      <c r="M1543" s="10" t="s">
        <v>15161</v>
      </c>
      <c r="N1543" s="12">
        <v>46067.514013958338</v>
      </c>
      <c r="O1543" s="10" t="s">
        <v>16458</v>
      </c>
      <c r="P1543" s="5" t="s">
        <v>14571</v>
      </c>
      <c r="Q1543" s="5" t="s">
        <v>14578</v>
      </c>
      <c r="R1543" s="5" t="s">
        <v>18293</v>
      </c>
      <c r="T1543" s="5" t="s">
        <v>5994</v>
      </c>
      <c r="U1543" s="5" t="s">
        <v>14593</v>
      </c>
      <c r="V1543" s="5" t="s">
        <v>7644</v>
      </c>
      <c r="W1543" s="5" t="s">
        <v>10461</v>
      </c>
    </row>
    <row r="1544" spans="1:23" ht="12.5">
      <c r="A1544" s="5">
        <v>92054</v>
      </c>
      <c r="B1544" s="5" t="s">
        <v>10463</v>
      </c>
      <c r="C1544" s="10" t="s">
        <v>18294</v>
      </c>
      <c r="D1544" s="5">
        <v>57</v>
      </c>
      <c r="E1544" s="5" t="s">
        <v>35</v>
      </c>
      <c r="F1544" s="5" t="s">
        <v>33</v>
      </c>
      <c r="G1544" s="5" t="s">
        <v>10463</v>
      </c>
      <c r="H1544" s="5" t="s">
        <v>34</v>
      </c>
      <c r="I1544" s="5">
        <v>2428791648</v>
      </c>
      <c r="J1544" s="12">
        <v>46067</v>
      </c>
      <c r="K1544" s="11">
        <v>0</v>
      </c>
      <c r="M1544" s="10" t="s">
        <v>10581</v>
      </c>
      <c r="N1544" s="12">
        <v>46067</v>
      </c>
      <c r="O1544" s="10" t="s">
        <v>18295</v>
      </c>
      <c r="P1544" s="5" t="s">
        <v>14571</v>
      </c>
      <c r="Q1544" s="5" t="s">
        <v>14612</v>
      </c>
      <c r="R1544" s="5" t="s">
        <v>18296</v>
      </c>
      <c r="T1544" s="5" t="s">
        <v>14574</v>
      </c>
      <c r="U1544" s="5" t="s">
        <v>33</v>
      </c>
      <c r="V1544" s="5" t="s">
        <v>37</v>
      </c>
      <c r="W1544" s="5"/>
    </row>
    <row r="1545" spans="1:23" ht="12.5">
      <c r="A1545" s="5">
        <v>92055</v>
      </c>
      <c r="B1545" s="5" t="s">
        <v>13909</v>
      </c>
      <c r="C1545" s="5">
        <v>573046167890</v>
      </c>
      <c r="D1545" s="5">
        <v>52</v>
      </c>
      <c r="E1545" s="5" t="s">
        <v>6874</v>
      </c>
      <c r="F1545" s="5" t="s">
        <v>892</v>
      </c>
      <c r="G1545" s="5" t="s">
        <v>3450</v>
      </c>
      <c r="H1545" s="5" t="s">
        <v>10452</v>
      </c>
      <c r="I1545" s="5">
        <v>3207472778</v>
      </c>
      <c r="J1545" s="12">
        <v>46067</v>
      </c>
      <c r="K1545" s="11">
        <v>8.3333333332120674E-2</v>
      </c>
      <c r="M1545" s="10" t="s">
        <v>10581</v>
      </c>
      <c r="N1545" s="12">
        <v>46067.499895879635</v>
      </c>
      <c r="O1545" s="10" t="s">
        <v>18297</v>
      </c>
      <c r="P1545" s="5" t="s">
        <v>14571</v>
      </c>
      <c r="Q1545" s="5" t="s">
        <v>14572</v>
      </c>
      <c r="R1545" s="5" t="s">
        <v>18298</v>
      </c>
      <c r="T1545" s="5" t="s">
        <v>5994</v>
      </c>
      <c r="U1545" s="5" t="s">
        <v>14593</v>
      </c>
      <c r="V1545" s="5" t="s">
        <v>7644</v>
      </c>
      <c r="W1545" s="5" t="s">
        <v>9612</v>
      </c>
    </row>
    <row r="1546" spans="1:23" ht="12.5">
      <c r="A1546" s="5">
        <v>92056</v>
      </c>
      <c r="B1546" s="5" t="s">
        <v>10451</v>
      </c>
      <c r="C1546" s="5">
        <v>573042048136</v>
      </c>
      <c r="D1546" s="5" t="s">
        <v>18299</v>
      </c>
      <c r="E1546" s="5" t="s">
        <v>10449</v>
      </c>
      <c r="F1546" s="5" t="s">
        <v>892</v>
      </c>
      <c r="G1546" s="5" t="s">
        <v>10447</v>
      </c>
      <c r="H1546" s="5" t="s">
        <v>10448</v>
      </c>
      <c r="I1546" s="5">
        <v>3105001555</v>
      </c>
      <c r="J1546" s="12">
        <v>46067</v>
      </c>
      <c r="K1546" s="11">
        <v>0</v>
      </c>
      <c r="M1546" s="10" t="s">
        <v>14927</v>
      </c>
      <c r="N1546" s="12">
        <v>46067.497739803242</v>
      </c>
      <c r="O1546" s="10" t="s">
        <v>15609</v>
      </c>
      <c r="P1546" s="5" t="s">
        <v>14571</v>
      </c>
      <c r="Q1546" s="5" t="s">
        <v>14578</v>
      </c>
      <c r="R1546" s="5" t="s">
        <v>18300</v>
      </c>
      <c r="T1546" s="5" t="s">
        <v>5994</v>
      </c>
      <c r="U1546" s="5" t="s">
        <v>14593</v>
      </c>
      <c r="V1546" s="5" t="s">
        <v>7644</v>
      </c>
      <c r="W1546" s="5"/>
    </row>
    <row r="1547" spans="1:23" ht="12.5">
      <c r="A1547" s="5">
        <v>92057</v>
      </c>
      <c r="B1547" s="5" t="s">
        <v>18301</v>
      </c>
      <c r="C1547" s="5">
        <v>573004455700</v>
      </c>
      <c r="D1547" s="5">
        <v>52</v>
      </c>
      <c r="E1547" s="5" t="s">
        <v>6874</v>
      </c>
      <c r="F1547" s="5" t="s">
        <v>307</v>
      </c>
      <c r="G1547" s="5" t="s">
        <v>10427</v>
      </c>
      <c r="H1547" s="5" t="s">
        <v>10428</v>
      </c>
      <c r="I1547" s="5">
        <v>3184000726</v>
      </c>
      <c r="J1547" s="12">
        <v>46067</v>
      </c>
      <c r="K1547" s="11">
        <v>0</v>
      </c>
      <c r="M1547" s="10" t="s">
        <v>10581</v>
      </c>
      <c r="N1547" s="12">
        <v>46067.429198090278</v>
      </c>
      <c r="O1547" s="10" t="s">
        <v>18302</v>
      </c>
      <c r="P1547" s="5" t="s">
        <v>14571</v>
      </c>
      <c r="Q1547" s="5" t="s">
        <v>14612</v>
      </c>
      <c r="R1547" s="5" t="s">
        <v>18303</v>
      </c>
      <c r="T1547" s="5" t="s">
        <v>5994</v>
      </c>
      <c r="U1547" s="5" t="s">
        <v>14618</v>
      </c>
      <c r="V1547" s="5" t="s">
        <v>7644</v>
      </c>
      <c r="W1547" s="5" t="s">
        <v>2708</v>
      </c>
    </row>
    <row r="1548" spans="1:23" ht="12.5">
      <c r="A1548" s="5">
        <v>92058</v>
      </c>
      <c r="B1548" s="5" t="s">
        <v>17654</v>
      </c>
      <c r="C1548" s="10" t="s">
        <v>18304</v>
      </c>
      <c r="D1548" s="5">
        <v>58</v>
      </c>
      <c r="E1548" s="5" t="s">
        <v>9892</v>
      </c>
      <c r="F1548" s="5" t="s">
        <v>185</v>
      </c>
      <c r="G1548" s="5" t="s">
        <v>9143</v>
      </c>
      <c r="H1548" s="5" t="s">
        <v>10455</v>
      </c>
      <c r="I1548" s="5">
        <v>3156656633</v>
      </c>
      <c r="J1548" s="12">
        <v>46067</v>
      </c>
      <c r="K1548" s="11">
        <v>8.3333333333333329E-2</v>
      </c>
      <c r="M1548" s="10" t="s">
        <v>14885</v>
      </c>
      <c r="N1548" s="12">
        <v>46067</v>
      </c>
      <c r="O1548" s="10" t="s">
        <v>15528</v>
      </c>
      <c r="P1548" s="5" t="s">
        <v>14571</v>
      </c>
      <c r="Q1548" s="5" t="s">
        <v>14572</v>
      </c>
      <c r="R1548" s="5" t="s">
        <v>18305</v>
      </c>
      <c r="T1548" s="5" t="s">
        <v>5994</v>
      </c>
      <c r="U1548" s="5" t="s">
        <v>14580</v>
      </c>
      <c r="V1548" s="5" t="s">
        <v>1937</v>
      </c>
      <c r="W1548" s="5" t="s">
        <v>9612</v>
      </c>
    </row>
    <row r="1549" spans="1:23" ht="12.5">
      <c r="A1549" s="5">
        <v>92059</v>
      </c>
      <c r="B1549" s="5" t="s">
        <v>13465</v>
      </c>
      <c r="C1549" s="5">
        <v>50450497268800</v>
      </c>
      <c r="D1549" s="5">
        <v>56</v>
      </c>
      <c r="E1549" s="5" t="s">
        <v>9152</v>
      </c>
      <c r="F1549" s="5" t="s">
        <v>63</v>
      </c>
      <c r="G1549" s="5" t="s">
        <v>10464</v>
      </c>
      <c r="H1549" s="5" t="s">
        <v>10465</v>
      </c>
      <c r="I1549" s="5"/>
      <c r="J1549" s="12">
        <v>46067</v>
      </c>
      <c r="K1549" s="11">
        <v>0</v>
      </c>
      <c r="M1549" s="10" t="s">
        <v>14870</v>
      </c>
      <c r="N1549" s="12">
        <v>46067.518264016202</v>
      </c>
      <c r="O1549" s="10" t="s">
        <v>16302</v>
      </c>
      <c r="P1549" s="5" t="s">
        <v>14571</v>
      </c>
      <c r="Q1549" s="5" t="s">
        <v>14578</v>
      </c>
      <c r="R1549" s="5" t="s">
        <v>18306</v>
      </c>
      <c r="T1549" s="5" t="s">
        <v>5994</v>
      </c>
      <c r="U1549" s="5" t="s">
        <v>14598</v>
      </c>
      <c r="V1549" s="5" t="s">
        <v>1937</v>
      </c>
      <c r="W1549" s="5" t="s">
        <v>10468</v>
      </c>
    </row>
    <row r="1550" spans="1:23" ht="12.5">
      <c r="A1550" s="5">
        <v>92060</v>
      </c>
      <c r="B1550" s="5" t="s">
        <v>18307</v>
      </c>
      <c r="C1550" s="5">
        <v>573108362504</v>
      </c>
      <c r="D1550" s="5">
        <v>103</v>
      </c>
      <c r="E1550" s="5" t="s">
        <v>10001</v>
      </c>
      <c r="F1550" s="5" t="s">
        <v>33</v>
      </c>
      <c r="G1550" s="5" t="s">
        <v>10438</v>
      </c>
      <c r="H1550" s="5" t="s">
        <v>10439</v>
      </c>
      <c r="I1550" s="5">
        <v>3108362504</v>
      </c>
      <c r="J1550" s="12">
        <v>46067</v>
      </c>
      <c r="K1550" s="11">
        <v>8.3333333332120674E-2</v>
      </c>
      <c r="M1550" s="10" t="s">
        <v>14712</v>
      </c>
      <c r="N1550" s="12">
        <v>46067.487972303235</v>
      </c>
      <c r="O1550" s="10" t="s">
        <v>16818</v>
      </c>
      <c r="P1550" s="5" t="s">
        <v>14571</v>
      </c>
      <c r="Q1550" s="5" t="s">
        <v>14578</v>
      </c>
      <c r="R1550" s="5" t="s">
        <v>18308</v>
      </c>
      <c r="T1550" s="5" t="s">
        <v>14574</v>
      </c>
      <c r="U1550" s="5" t="s">
        <v>33</v>
      </c>
      <c r="V1550" s="5" t="s">
        <v>7644</v>
      </c>
      <c r="W1550" s="5" t="s">
        <v>9612</v>
      </c>
    </row>
    <row r="1551" spans="1:23" ht="12.5">
      <c r="A1551" s="5">
        <v>92061</v>
      </c>
      <c r="B1551" s="5" t="s">
        <v>18309</v>
      </c>
      <c r="C1551" s="5">
        <v>573126989935</v>
      </c>
      <c r="D1551" s="5">
        <v>67</v>
      </c>
      <c r="E1551" s="5" t="s">
        <v>9350</v>
      </c>
      <c r="F1551" s="5" t="s">
        <v>73</v>
      </c>
      <c r="G1551" s="5" t="s">
        <v>10471</v>
      </c>
      <c r="H1551" s="5" t="s">
        <v>10472</v>
      </c>
      <c r="I1551" s="5">
        <v>3106279289</v>
      </c>
      <c r="J1551" s="12">
        <v>46067</v>
      </c>
      <c r="K1551" s="11">
        <v>8.3333333332120674E-2</v>
      </c>
      <c r="M1551" s="10" t="s">
        <v>15623</v>
      </c>
      <c r="N1551" s="12">
        <v>46067.527006574077</v>
      </c>
      <c r="O1551" s="10" t="s">
        <v>16722</v>
      </c>
      <c r="P1551" s="5" t="s">
        <v>14571</v>
      </c>
      <c r="Q1551" s="5" t="s">
        <v>14572</v>
      </c>
      <c r="R1551" s="5" t="s">
        <v>18310</v>
      </c>
      <c r="T1551" s="5" t="s">
        <v>5994</v>
      </c>
      <c r="U1551" s="5" t="s">
        <v>14593</v>
      </c>
      <c r="V1551" s="5" t="s">
        <v>7644</v>
      </c>
      <c r="W1551" s="5" t="s">
        <v>9612</v>
      </c>
    </row>
    <row r="1552" spans="1:23" ht="12.5">
      <c r="A1552" s="5">
        <v>92062</v>
      </c>
      <c r="B1552" s="5" t="s">
        <v>18311</v>
      </c>
      <c r="C1552" s="5">
        <v>573217684110</v>
      </c>
      <c r="D1552" s="5">
        <v>95</v>
      </c>
      <c r="E1552" s="5" t="s">
        <v>42</v>
      </c>
      <c r="F1552" s="5" t="s">
        <v>63</v>
      </c>
      <c r="G1552" s="5" t="s">
        <v>10482</v>
      </c>
      <c r="H1552" s="5" t="s">
        <v>10483</v>
      </c>
      <c r="I1552" s="5">
        <v>3217684110</v>
      </c>
      <c r="J1552" s="12">
        <v>46067</v>
      </c>
      <c r="K1552" s="11">
        <v>0</v>
      </c>
      <c r="M1552" s="10" t="s">
        <v>18312</v>
      </c>
      <c r="N1552" s="12">
        <v>46067.535962789349</v>
      </c>
      <c r="O1552" s="10" t="s">
        <v>18313</v>
      </c>
      <c r="P1552" s="5" t="s">
        <v>14571</v>
      </c>
      <c r="Q1552" s="5" t="s">
        <v>14578</v>
      </c>
      <c r="R1552" s="5" t="s">
        <v>18314</v>
      </c>
      <c r="T1552" s="5" t="s">
        <v>5994</v>
      </c>
      <c r="U1552" s="5" t="s">
        <v>14598</v>
      </c>
      <c r="V1552" s="5" t="s">
        <v>7644</v>
      </c>
      <c r="W1552" s="5"/>
    </row>
    <row r="1553" spans="1:23" ht="12.5">
      <c r="A1553" s="5">
        <v>92063</v>
      </c>
      <c r="B1553" s="5" t="s">
        <v>12290</v>
      </c>
      <c r="C1553" s="10" t="s">
        <v>18315</v>
      </c>
      <c r="D1553" s="5">
        <v>58</v>
      </c>
      <c r="E1553" s="5" t="s">
        <v>57</v>
      </c>
      <c r="F1553" s="5" t="s">
        <v>33</v>
      </c>
      <c r="G1553" s="5" t="s">
        <v>1928</v>
      </c>
      <c r="H1553" s="5" t="s">
        <v>34</v>
      </c>
      <c r="I1553" s="5">
        <v>3005116760</v>
      </c>
      <c r="J1553" s="12">
        <v>46067</v>
      </c>
      <c r="K1553" s="11">
        <v>0</v>
      </c>
      <c r="M1553" s="10" t="s">
        <v>15594</v>
      </c>
      <c r="N1553" s="12">
        <v>46067</v>
      </c>
      <c r="O1553" s="10" t="s">
        <v>14854</v>
      </c>
      <c r="P1553" s="5" t="s">
        <v>14571</v>
      </c>
      <c r="Q1553" s="5" t="s">
        <v>14612</v>
      </c>
      <c r="R1553" s="5" t="s">
        <v>18316</v>
      </c>
      <c r="T1553" s="5" t="s">
        <v>14574</v>
      </c>
      <c r="U1553" s="5" t="s">
        <v>33</v>
      </c>
      <c r="V1553" s="5" t="s">
        <v>2438</v>
      </c>
      <c r="W1553" s="5" t="s">
        <v>2708</v>
      </c>
    </row>
    <row r="1554" spans="1:23" ht="12.5">
      <c r="A1554" s="5">
        <v>92064</v>
      </c>
      <c r="B1554" s="5" t="s">
        <v>18317</v>
      </c>
      <c r="C1554" s="5">
        <v>573207350254</v>
      </c>
      <c r="D1554" s="5">
        <v>104</v>
      </c>
      <c r="E1554" s="5" t="s">
        <v>9280</v>
      </c>
      <c r="F1554" s="5" t="s">
        <v>351</v>
      </c>
      <c r="G1554" s="5" t="s">
        <v>10476</v>
      </c>
      <c r="H1554" s="5" t="s">
        <v>10477</v>
      </c>
      <c r="I1554" s="5">
        <v>3102226787</v>
      </c>
      <c r="J1554" s="12">
        <v>46067</v>
      </c>
      <c r="K1554" s="11">
        <v>0.10416666666787933</v>
      </c>
      <c r="M1554" s="10" t="s">
        <v>16470</v>
      </c>
      <c r="N1554" s="12">
        <v>46067.534943900464</v>
      </c>
      <c r="O1554" s="10" t="s">
        <v>18075</v>
      </c>
      <c r="P1554" s="5" t="s">
        <v>14571</v>
      </c>
      <c r="Q1554" s="5" t="s">
        <v>14572</v>
      </c>
      <c r="R1554" s="5" t="s">
        <v>18318</v>
      </c>
      <c r="T1554" s="5" t="s">
        <v>5994</v>
      </c>
      <c r="U1554" s="5" t="s">
        <v>14580</v>
      </c>
      <c r="V1554" s="5" t="s">
        <v>7644</v>
      </c>
      <c r="W1554" s="5" t="s">
        <v>10480</v>
      </c>
    </row>
    <row r="1555" spans="1:23" ht="12.5">
      <c r="A1555" s="5">
        <v>92065</v>
      </c>
      <c r="B1555" s="5" t="s">
        <v>18319</v>
      </c>
      <c r="C1555" s="5">
        <v>573017240790</v>
      </c>
      <c r="D1555" s="5">
        <v>28</v>
      </c>
      <c r="E1555" s="5" t="s">
        <v>9693</v>
      </c>
      <c r="F1555" s="5" t="s">
        <v>73</v>
      </c>
      <c r="G1555" s="5" t="s">
        <v>10487</v>
      </c>
      <c r="H1555" s="5" t="s">
        <v>10488</v>
      </c>
      <c r="I1555" s="5" t="s">
        <v>10489</v>
      </c>
      <c r="J1555" s="12">
        <v>46067</v>
      </c>
      <c r="K1555" s="11">
        <v>0.125</v>
      </c>
      <c r="M1555" s="10" t="s">
        <v>15674</v>
      </c>
      <c r="N1555" s="12">
        <v>46067.54857846065</v>
      </c>
      <c r="O1555" s="10" t="s">
        <v>17779</v>
      </c>
      <c r="P1555" s="5" t="s">
        <v>14571</v>
      </c>
      <c r="Q1555" s="5" t="s">
        <v>14578</v>
      </c>
      <c r="R1555" s="5" t="s">
        <v>18320</v>
      </c>
      <c r="T1555" s="5" t="s">
        <v>5994</v>
      </c>
      <c r="U1555" s="5" t="s">
        <v>14593</v>
      </c>
      <c r="V1555" s="5" t="s">
        <v>7644</v>
      </c>
      <c r="W1555" s="5" t="s">
        <v>10490</v>
      </c>
    </row>
    <row r="1556" spans="1:23" ht="12.5">
      <c r="A1556" s="5">
        <v>92066</v>
      </c>
      <c r="B1556" s="5" t="s">
        <v>18321</v>
      </c>
      <c r="C1556" s="5">
        <v>570000</v>
      </c>
      <c r="D1556" s="5">
        <v>95</v>
      </c>
      <c r="E1556" s="5" t="s">
        <v>42</v>
      </c>
      <c r="F1556" s="5" t="s">
        <v>73</v>
      </c>
      <c r="G1556" s="5" t="s">
        <v>10491</v>
      </c>
      <c r="H1556" s="5" t="s">
        <v>10493</v>
      </c>
      <c r="I1556" s="5">
        <v>3105730849</v>
      </c>
      <c r="J1556" s="12">
        <v>46067</v>
      </c>
      <c r="K1556" s="11">
        <v>0.58333333333212067</v>
      </c>
      <c r="M1556" s="10" t="s">
        <v>15064</v>
      </c>
      <c r="N1556" s="12">
        <v>46067.555763113429</v>
      </c>
      <c r="O1556" s="10" t="s">
        <v>18322</v>
      </c>
      <c r="P1556" s="5" t="s">
        <v>14571</v>
      </c>
      <c r="Q1556" s="5" t="s">
        <v>14612</v>
      </c>
      <c r="R1556" s="5" t="s">
        <v>18323</v>
      </c>
      <c r="T1556" s="5" t="s">
        <v>5994</v>
      </c>
      <c r="U1556" s="5" t="s">
        <v>14593</v>
      </c>
      <c r="V1556" s="5" t="s">
        <v>67</v>
      </c>
      <c r="W1556" s="5" t="s">
        <v>10494</v>
      </c>
    </row>
    <row r="1557" spans="1:23" ht="12.5">
      <c r="A1557" s="5">
        <v>92067</v>
      </c>
      <c r="B1557" s="5" t="s">
        <v>16051</v>
      </c>
      <c r="C1557" s="5">
        <v>573003415463</v>
      </c>
      <c r="D1557" s="5">
        <v>29</v>
      </c>
      <c r="E1557" s="5" t="s">
        <v>309</v>
      </c>
      <c r="F1557" s="5" t="s">
        <v>265</v>
      </c>
      <c r="G1557" s="5" t="s">
        <v>10408</v>
      </c>
      <c r="H1557" s="5" t="s">
        <v>10409</v>
      </c>
      <c r="I1557" s="5">
        <v>3046497409</v>
      </c>
      <c r="J1557" s="12">
        <v>46067</v>
      </c>
      <c r="K1557" s="11">
        <v>0.625</v>
      </c>
      <c r="M1557" s="10" t="s">
        <v>16470</v>
      </c>
      <c r="N1557" s="12">
        <v>46067.363322280093</v>
      </c>
      <c r="O1557" s="10" t="s">
        <v>15388</v>
      </c>
      <c r="P1557" s="5" t="s">
        <v>14571</v>
      </c>
      <c r="Q1557" s="5" t="s">
        <v>14572</v>
      </c>
      <c r="R1557" s="5" t="s">
        <v>18324</v>
      </c>
      <c r="T1557" s="5" t="s">
        <v>5994</v>
      </c>
      <c r="U1557" s="5" t="s">
        <v>14691</v>
      </c>
      <c r="V1557" s="5" t="s">
        <v>9695</v>
      </c>
      <c r="W1557" s="5" t="s">
        <v>10411</v>
      </c>
    </row>
    <row r="1558" spans="1:23" ht="12.5">
      <c r="A1558" s="5">
        <v>92068</v>
      </c>
      <c r="B1558" s="5" t="s">
        <v>18325</v>
      </c>
      <c r="C1558" s="10" t="s">
        <v>18326</v>
      </c>
      <c r="D1558" s="5">
        <v>44</v>
      </c>
      <c r="E1558" s="5" t="s">
        <v>1111</v>
      </c>
      <c r="F1558" s="5" t="s">
        <v>249</v>
      </c>
      <c r="G1558" s="5" t="s">
        <v>10511</v>
      </c>
      <c r="H1558" s="5" t="s">
        <v>10512</v>
      </c>
      <c r="I1558" s="5">
        <v>3214326156</v>
      </c>
      <c r="J1558" s="12">
        <v>46067</v>
      </c>
      <c r="K1558" s="11">
        <v>0.125</v>
      </c>
      <c r="M1558" s="10" t="s">
        <v>14646</v>
      </c>
      <c r="N1558" s="12">
        <v>46067</v>
      </c>
      <c r="O1558" s="10" t="s">
        <v>16138</v>
      </c>
      <c r="P1558" s="5" t="s">
        <v>14571</v>
      </c>
      <c r="Q1558" s="5" t="s">
        <v>14578</v>
      </c>
      <c r="R1558" s="5" t="s">
        <v>18327</v>
      </c>
      <c r="T1558" s="5" t="s">
        <v>5994</v>
      </c>
      <c r="U1558" s="5" t="s">
        <v>14593</v>
      </c>
      <c r="V1558" s="5" t="s">
        <v>7644</v>
      </c>
      <c r="W1558" s="5" t="s">
        <v>9612</v>
      </c>
    </row>
    <row r="1559" spans="1:23" ht="12.5">
      <c r="A1559" s="5">
        <v>92069</v>
      </c>
      <c r="B1559" s="5" t="s">
        <v>18328</v>
      </c>
      <c r="C1559" s="5">
        <v>573223789127</v>
      </c>
      <c r="D1559" s="5">
        <v>29</v>
      </c>
      <c r="E1559" s="5" t="s">
        <v>309</v>
      </c>
      <c r="F1559" s="5" t="s">
        <v>154</v>
      </c>
      <c r="G1559" s="5" t="s">
        <v>10501</v>
      </c>
      <c r="H1559" s="5" t="s">
        <v>10502</v>
      </c>
      <c r="I1559" s="5">
        <v>3105638845</v>
      </c>
      <c r="J1559" s="12">
        <v>46067</v>
      </c>
      <c r="K1559" s="11">
        <v>0.125</v>
      </c>
      <c r="M1559" s="10" t="s">
        <v>15064</v>
      </c>
      <c r="N1559" s="12">
        <v>46067.559436921292</v>
      </c>
      <c r="O1559" s="10" t="s">
        <v>16834</v>
      </c>
      <c r="P1559" s="5" t="s">
        <v>14571</v>
      </c>
      <c r="Q1559" s="5" t="s">
        <v>14612</v>
      </c>
      <c r="R1559" s="5" t="s">
        <v>18329</v>
      </c>
      <c r="T1559" s="5" t="s">
        <v>5994</v>
      </c>
      <c r="U1559" s="5" t="s">
        <v>14593</v>
      </c>
      <c r="V1559" s="5" t="s">
        <v>7644</v>
      </c>
      <c r="W1559" s="5" t="s">
        <v>9612</v>
      </c>
    </row>
    <row r="1560" spans="1:23" ht="12.5">
      <c r="A1560" s="5">
        <v>92070</v>
      </c>
      <c r="B1560" s="5" t="s">
        <v>18330</v>
      </c>
      <c r="C1560" s="5">
        <v>573116673450</v>
      </c>
      <c r="D1560" s="5">
        <v>29</v>
      </c>
      <c r="E1560" s="5" t="s">
        <v>309</v>
      </c>
      <c r="F1560" s="5" t="s">
        <v>420</v>
      </c>
      <c r="G1560" s="5" t="s">
        <v>10506</v>
      </c>
      <c r="H1560" s="5" t="s">
        <v>18331</v>
      </c>
      <c r="I1560" s="5">
        <v>3013201719</v>
      </c>
      <c r="J1560" s="12">
        <v>46067</v>
      </c>
      <c r="K1560" s="11">
        <v>0.125</v>
      </c>
      <c r="M1560" s="10" t="s">
        <v>18332</v>
      </c>
      <c r="N1560" s="12">
        <v>46067.55945458333</v>
      </c>
      <c r="O1560" s="10" t="s">
        <v>14956</v>
      </c>
      <c r="P1560" s="5" t="s">
        <v>14571</v>
      </c>
      <c r="Q1560" s="5" t="s">
        <v>14572</v>
      </c>
      <c r="R1560" s="5" t="s">
        <v>18333</v>
      </c>
      <c r="T1560" s="5" t="s">
        <v>5994</v>
      </c>
      <c r="U1560" s="5" t="s">
        <v>14580</v>
      </c>
      <c r="V1560" s="5" t="s">
        <v>7644</v>
      </c>
      <c r="W1560" s="5" t="s">
        <v>2708</v>
      </c>
    </row>
    <row r="1561" spans="1:23" ht="12.5">
      <c r="A1561" s="5">
        <v>92071</v>
      </c>
      <c r="B1561" s="5" t="s">
        <v>10533</v>
      </c>
      <c r="C1561" s="10" t="s">
        <v>18334</v>
      </c>
      <c r="D1561" s="5">
        <v>51</v>
      </c>
      <c r="E1561" s="5" t="s">
        <v>9842</v>
      </c>
      <c r="F1561" s="5" t="s">
        <v>33</v>
      </c>
      <c r="G1561" s="5" t="s">
        <v>10533</v>
      </c>
      <c r="H1561" s="5" t="s">
        <v>34</v>
      </c>
      <c r="I1561" s="5">
        <v>3022102353</v>
      </c>
      <c r="J1561" s="12">
        <v>46067</v>
      </c>
      <c r="K1561" s="11">
        <v>0.125</v>
      </c>
      <c r="M1561" s="10" t="s">
        <v>14712</v>
      </c>
      <c r="N1561" s="12">
        <v>46067</v>
      </c>
      <c r="O1561" s="10" t="s">
        <v>16728</v>
      </c>
      <c r="P1561" s="5" t="s">
        <v>14571</v>
      </c>
      <c r="Q1561" s="5" t="s">
        <v>14578</v>
      </c>
      <c r="R1561" s="5" t="s">
        <v>18335</v>
      </c>
      <c r="T1561" s="5" t="s">
        <v>14574</v>
      </c>
      <c r="U1561" s="5" t="s">
        <v>33</v>
      </c>
      <c r="V1561" s="5" t="s">
        <v>2438</v>
      </c>
      <c r="W1561" s="5" t="s">
        <v>9612</v>
      </c>
    </row>
    <row r="1562" spans="1:23" ht="12.5">
      <c r="A1562" s="5">
        <v>92072</v>
      </c>
      <c r="B1562" s="5" t="s">
        <v>18336</v>
      </c>
      <c r="C1562" s="10" t="s">
        <v>18337</v>
      </c>
      <c r="D1562" s="5">
        <v>56</v>
      </c>
      <c r="E1562" s="5" t="s">
        <v>9152</v>
      </c>
      <c r="F1562" s="5" t="s">
        <v>265</v>
      </c>
      <c r="G1562" s="5" t="s">
        <v>10419</v>
      </c>
      <c r="H1562" s="5" t="s">
        <v>10420</v>
      </c>
      <c r="I1562" s="5" t="s">
        <v>10421</v>
      </c>
      <c r="J1562" s="12">
        <v>46067</v>
      </c>
      <c r="K1562" s="11">
        <v>0</v>
      </c>
      <c r="M1562" s="10" t="s">
        <v>14870</v>
      </c>
      <c r="N1562" s="12">
        <v>46067</v>
      </c>
      <c r="O1562" s="10" t="s">
        <v>16320</v>
      </c>
      <c r="P1562" s="5" t="s">
        <v>14571</v>
      </c>
      <c r="Q1562" s="5" t="s">
        <v>14612</v>
      </c>
      <c r="R1562" s="5" t="s">
        <v>18338</v>
      </c>
      <c r="T1562" s="5" t="s">
        <v>5994</v>
      </c>
      <c r="U1562" s="5" t="s">
        <v>14691</v>
      </c>
      <c r="V1562" s="5" t="s">
        <v>7644</v>
      </c>
      <c r="W1562" s="5" t="s">
        <v>10424</v>
      </c>
    </row>
    <row r="1563" spans="1:23" ht="12.5">
      <c r="A1563" s="5">
        <v>92073</v>
      </c>
      <c r="B1563" s="5" t="s">
        <v>10549</v>
      </c>
      <c r="C1563" s="10" t="s">
        <v>18339</v>
      </c>
      <c r="D1563" s="5">
        <v>95</v>
      </c>
      <c r="E1563" s="5" t="s">
        <v>42</v>
      </c>
      <c r="F1563" s="5" t="s">
        <v>33</v>
      </c>
      <c r="G1563" s="5" t="s">
        <v>10549</v>
      </c>
      <c r="H1563" s="5" t="s">
        <v>34</v>
      </c>
      <c r="I1563" s="5">
        <v>3001241116</v>
      </c>
      <c r="J1563" s="12">
        <v>46067</v>
      </c>
      <c r="K1563" s="11">
        <v>0</v>
      </c>
      <c r="M1563" s="10" t="s">
        <v>14923</v>
      </c>
      <c r="N1563" s="12">
        <v>46067</v>
      </c>
      <c r="O1563" s="10" t="s">
        <v>15941</v>
      </c>
      <c r="P1563" s="5" t="s">
        <v>14571</v>
      </c>
      <c r="Q1563" s="5" t="s">
        <v>14572</v>
      </c>
      <c r="R1563" s="5" t="s">
        <v>18340</v>
      </c>
      <c r="T1563" s="5" t="s">
        <v>14574</v>
      </c>
      <c r="U1563" s="5" t="s">
        <v>33</v>
      </c>
      <c r="V1563" s="5" t="s">
        <v>196</v>
      </c>
      <c r="W1563" s="5" t="s">
        <v>10550</v>
      </c>
    </row>
    <row r="1564" spans="1:23" ht="12.5">
      <c r="A1564" s="5">
        <v>92074</v>
      </c>
      <c r="B1564" s="5" t="s">
        <v>10542</v>
      </c>
      <c r="C1564" s="5">
        <v>573147821786</v>
      </c>
      <c r="D1564" s="5">
        <v>28</v>
      </c>
      <c r="E1564" s="5" t="s">
        <v>9693</v>
      </c>
      <c r="F1564" s="5"/>
      <c r="G1564" s="5" t="s">
        <v>10539</v>
      </c>
      <c r="H1564" s="5" t="s">
        <v>10540</v>
      </c>
      <c r="I1564" s="5">
        <v>3008970260</v>
      </c>
      <c r="J1564" s="12">
        <v>46067</v>
      </c>
      <c r="K1564" s="11">
        <v>0</v>
      </c>
      <c r="M1564" s="10" t="s">
        <v>16222</v>
      </c>
      <c r="N1564" s="12">
        <v>46067.575875937502</v>
      </c>
      <c r="O1564" s="10" t="s">
        <v>14616</v>
      </c>
      <c r="P1564" s="5" t="s">
        <v>14571</v>
      </c>
      <c r="Q1564" s="5" t="s">
        <v>14578</v>
      </c>
      <c r="R1564" s="5" t="s">
        <v>18341</v>
      </c>
      <c r="T1564" s="5" t="s">
        <v>5994</v>
      </c>
      <c r="U1564" s="5"/>
      <c r="V1564" s="5" t="s">
        <v>7644</v>
      </c>
      <c r="W1564" s="5"/>
    </row>
    <row r="1565" spans="1:23" ht="12.5">
      <c r="A1565" s="5">
        <v>92075</v>
      </c>
      <c r="B1565" s="5" t="s">
        <v>18342</v>
      </c>
      <c r="C1565" s="10" t="s">
        <v>18343</v>
      </c>
      <c r="D1565" s="5">
        <v>52</v>
      </c>
      <c r="E1565" s="5" t="s">
        <v>6874</v>
      </c>
      <c r="F1565" s="5" t="s">
        <v>10526</v>
      </c>
      <c r="G1565" s="5" t="s">
        <v>18344</v>
      </c>
      <c r="H1565" s="5" t="s">
        <v>10527</v>
      </c>
      <c r="I1565" s="5">
        <v>3158585683</v>
      </c>
      <c r="J1565" s="12">
        <v>46067</v>
      </c>
      <c r="K1565" s="11">
        <v>0.125</v>
      </c>
      <c r="M1565" s="10" t="s">
        <v>14960</v>
      </c>
      <c r="N1565" s="12">
        <v>46067</v>
      </c>
      <c r="O1565" s="10" t="s">
        <v>17051</v>
      </c>
      <c r="P1565" s="5" t="s">
        <v>14571</v>
      </c>
      <c r="Q1565" s="5" t="s">
        <v>14612</v>
      </c>
      <c r="R1565" s="5" t="s">
        <v>18345</v>
      </c>
      <c r="T1565" s="5" t="s">
        <v>5994</v>
      </c>
      <c r="U1565" s="5" t="s">
        <v>14593</v>
      </c>
      <c r="V1565" s="5" t="s">
        <v>1937</v>
      </c>
      <c r="W1565" s="5" t="s">
        <v>10530</v>
      </c>
    </row>
    <row r="1566" spans="1:23" ht="12.5">
      <c r="A1566" s="5">
        <v>92076</v>
      </c>
      <c r="B1566" s="5" t="s">
        <v>10559</v>
      </c>
      <c r="C1566" s="10" t="s">
        <v>18346</v>
      </c>
      <c r="D1566" s="5">
        <v>52</v>
      </c>
      <c r="E1566" s="5" t="s">
        <v>6874</v>
      </c>
      <c r="F1566" s="5" t="s">
        <v>33</v>
      </c>
      <c r="G1566" s="5" t="s">
        <v>10559</v>
      </c>
      <c r="H1566" s="5" t="s">
        <v>34</v>
      </c>
      <c r="I1566" s="5">
        <v>3155811212</v>
      </c>
      <c r="J1566" s="12">
        <v>46067</v>
      </c>
      <c r="K1566" s="11">
        <v>0</v>
      </c>
      <c r="M1566" s="10" t="s">
        <v>15594</v>
      </c>
      <c r="N1566" s="12">
        <v>46067</v>
      </c>
      <c r="O1566" s="10" t="s">
        <v>15701</v>
      </c>
      <c r="P1566" s="5" t="s">
        <v>14571</v>
      </c>
      <c r="Q1566" s="5" t="s">
        <v>14572</v>
      </c>
      <c r="R1566" s="5" t="s">
        <v>18347</v>
      </c>
      <c r="T1566" s="5" t="s">
        <v>14574</v>
      </c>
      <c r="U1566" s="5" t="s">
        <v>33</v>
      </c>
      <c r="V1566" s="5" t="s">
        <v>1705</v>
      </c>
      <c r="W1566" s="5"/>
    </row>
    <row r="1567" spans="1:23" ht="12.5">
      <c r="A1567" s="5">
        <v>92077</v>
      </c>
      <c r="B1567" s="5" t="s">
        <v>1146</v>
      </c>
      <c r="C1567" s="10" t="s">
        <v>18348</v>
      </c>
      <c r="D1567" s="5">
        <v>52</v>
      </c>
      <c r="E1567" s="5" t="s">
        <v>6874</v>
      </c>
      <c r="F1567" s="5" t="s">
        <v>33</v>
      </c>
      <c r="G1567" s="5" t="s">
        <v>1146</v>
      </c>
      <c r="H1567" s="5" t="s">
        <v>34</v>
      </c>
      <c r="I1567" s="5">
        <v>3153514436</v>
      </c>
      <c r="J1567" s="12">
        <v>46067</v>
      </c>
      <c r="K1567" s="11">
        <v>0</v>
      </c>
      <c r="M1567" s="10" t="s">
        <v>15594</v>
      </c>
      <c r="N1567" s="12">
        <v>46067</v>
      </c>
      <c r="O1567" s="10" t="s">
        <v>17531</v>
      </c>
      <c r="P1567" s="5" t="s">
        <v>14571</v>
      </c>
      <c r="Q1567" s="5" t="s">
        <v>14578</v>
      </c>
      <c r="R1567" s="5" t="s">
        <v>18349</v>
      </c>
      <c r="T1567" s="5" t="s">
        <v>14574</v>
      </c>
      <c r="U1567" s="5" t="s">
        <v>33</v>
      </c>
      <c r="V1567" s="5" t="s">
        <v>1705</v>
      </c>
      <c r="W1567" s="5"/>
    </row>
    <row r="1568" spans="1:23" ht="12.5">
      <c r="A1568" s="5">
        <v>92078</v>
      </c>
      <c r="B1568" s="5" t="s">
        <v>17221</v>
      </c>
      <c r="C1568" s="5">
        <v>182918293411451</v>
      </c>
      <c r="D1568" s="5">
        <v>38</v>
      </c>
      <c r="E1568" s="5" t="s">
        <v>458</v>
      </c>
      <c r="F1568" s="5" t="s">
        <v>185</v>
      </c>
      <c r="G1568" s="5" t="s">
        <v>8253</v>
      </c>
      <c r="H1568" s="5" t="s">
        <v>10536</v>
      </c>
      <c r="I1568" s="5"/>
      <c r="J1568" s="12">
        <v>46067</v>
      </c>
      <c r="K1568" s="11">
        <v>0</v>
      </c>
      <c r="M1568" s="10" t="s">
        <v>16192</v>
      </c>
      <c r="N1568" s="12">
        <v>46067.575326423612</v>
      </c>
      <c r="O1568" s="10" t="s">
        <v>15544</v>
      </c>
      <c r="P1568" s="5" t="s">
        <v>14571</v>
      </c>
      <c r="Q1568" s="5" t="s">
        <v>14612</v>
      </c>
      <c r="R1568" s="5" t="s">
        <v>18350</v>
      </c>
      <c r="T1568" s="5" t="s">
        <v>5994</v>
      </c>
      <c r="U1568" s="5" t="s">
        <v>14580</v>
      </c>
      <c r="V1568" s="5" t="s">
        <v>3754</v>
      </c>
      <c r="W1568" s="5" t="s">
        <v>2708</v>
      </c>
    </row>
    <row r="1569" spans="1:23" ht="12.5">
      <c r="A1569" s="5">
        <v>92079</v>
      </c>
      <c r="B1569" s="5" t="s">
        <v>10572</v>
      </c>
      <c r="C1569" s="5">
        <v>573215534601</v>
      </c>
      <c r="D1569" s="5">
        <v>95</v>
      </c>
      <c r="E1569" s="5" t="s">
        <v>42</v>
      </c>
      <c r="F1569" s="5" t="s">
        <v>33</v>
      </c>
      <c r="G1569" s="5" t="s">
        <v>10572</v>
      </c>
      <c r="H1569" s="5" t="s">
        <v>34</v>
      </c>
      <c r="I1569" s="5">
        <v>3215534601</v>
      </c>
      <c r="J1569" s="12">
        <v>46067</v>
      </c>
      <c r="K1569" s="11">
        <v>0</v>
      </c>
      <c r="M1569" s="10" t="s">
        <v>15594</v>
      </c>
      <c r="N1569" s="12">
        <v>46067.590661793976</v>
      </c>
      <c r="O1569" s="10" t="s">
        <v>15636</v>
      </c>
      <c r="P1569" s="5" t="s">
        <v>14571</v>
      </c>
      <c r="Q1569" s="5" t="s">
        <v>14572</v>
      </c>
      <c r="R1569" s="5" t="s">
        <v>18351</v>
      </c>
      <c r="T1569" s="5" t="s">
        <v>14574</v>
      </c>
      <c r="U1569" s="5" t="s">
        <v>33</v>
      </c>
      <c r="V1569" s="5" t="s">
        <v>1705</v>
      </c>
      <c r="W1569" s="5"/>
    </row>
    <row r="1570" spans="1:23" ht="12.5">
      <c r="A1570" s="5">
        <v>92080</v>
      </c>
      <c r="B1570" s="5" t="s">
        <v>18352</v>
      </c>
      <c r="C1570" s="10" t="s">
        <v>18353</v>
      </c>
      <c r="D1570" s="5">
        <v>49</v>
      </c>
      <c r="E1570" s="5" t="s">
        <v>9546</v>
      </c>
      <c r="F1570" s="5" t="s">
        <v>103</v>
      </c>
      <c r="G1570" s="5" t="s">
        <v>10575</v>
      </c>
      <c r="H1570" s="5" t="s">
        <v>10576</v>
      </c>
      <c r="I1570" s="5">
        <v>3128516965</v>
      </c>
      <c r="J1570" s="12">
        <v>46067</v>
      </c>
      <c r="K1570" s="11">
        <v>0.14583333333333334</v>
      </c>
      <c r="M1570" s="10" t="s">
        <v>14796</v>
      </c>
      <c r="N1570" s="12">
        <v>46067</v>
      </c>
      <c r="O1570" s="10" t="s">
        <v>14611</v>
      </c>
      <c r="P1570" s="5" t="s">
        <v>14571</v>
      </c>
      <c r="Q1570" s="5" t="s">
        <v>14578</v>
      </c>
      <c r="R1570" s="5" t="s">
        <v>18354</v>
      </c>
      <c r="T1570" s="5" t="s">
        <v>5994</v>
      </c>
      <c r="U1570" s="5" t="s">
        <v>14593</v>
      </c>
      <c r="V1570" s="5" t="s">
        <v>7644</v>
      </c>
      <c r="W1570" s="5" t="s">
        <v>10578</v>
      </c>
    </row>
    <row r="1571" spans="1:23" ht="12.5">
      <c r="A1571" s="5">
        <v>92081</v>
      </c>
      <c r="B1571" s="5" t="s">
        <v>18355</v>
      </c>
      <c r="C1571" s="10" t="s">
        <v>18356</v>
      </c>
      <c r="D1571" s="5">
        <v>56</v>
      </c>
      <c r="E1571" s="5" t="s">
        <v>9152</v>
      </c>
      <c r="F1571" s="5" t="s">
        <v>79</v>
      </c>
      <c r="G1571" s="5" t="s">
        <v>10544</v>
      </c>
      <c r="H1571" s="5" t="s">
        <v>10545</v>
      </c>
      <c r="I1571" s="5"/>
      <c r="J1571" s="12">
        <v>46067</v>
      </c>
      <c r="K1571" s="11">
        <v>0</v>
      </c>
      <c r="M1571" s="10" t="s">
        <v>16317</v>
      </c>
      <c r="N1571" s="12">
        <v>46067</v>
      </c>
      <c r="O1571" s="10" t="s">
        <v>15944</v>
      </c>
      <c r="P1571" s="5" t="s">
        <v>14571</v>
      </c>
      <c r="Q1571" s="5" t="s">
        <v>14612</v>
      </c>
      <c r="R1571" s="5" t="s">
        <v>18357</v>
      </c>
      <c r="T1571" s="5" t="s">
        <v>5994</v>
      </c>
      <c r="U1571" s="5" t="s">
        <v>14593</v>
      </c>
      <c r="V1571" s="5" t="s">
        <v>7644</v>
      </c>
      <c r="W1571" s="5" t="s">
        <v>2708</v>
      </c>
    </row>
    <row r="1572" spans="1:23" ht="12.5">
      <c r="A1572" s="5">
        <v>92082</v>
      </c>
      <c r="B1572" s="5" t="s">
        <v>10579</v>
      </c>
      <c r="C1572" s="5">
        <v>573116853400</v>
      </c>
      <c r="D1572" s="5">
        <v>43</v>
      </c>
      <c r="E1572" s="5" t="s">
        <v>679</v>
      </c>
      <c r="F1572" s="5" t="s">
        <v>33</v>
      </c>
      <c r="G1572" s="5" t="s">
        <v>10579</v>
      </c>
      <c r="H1572" s="5" t="s">
        <v>34</v>
      </c>
      <c r="I1572" s="5">
        <v>3116853400</v>
      </c>
      <c r="J1572" s="12">
        <v>46067</v>
      </c>
      <c r="K1572" s="11">
        <v>0</v>
      </c>
      <c r="M1572" s="10" t="s">
        <v>14712</v>
      </c>
      <c r="N1572" s="12">
        <v>46067.602023692132</v>
      </c>
      <c r="O1572" s="10" t="s">
        <v>16148</v>
      </c>
      <c r="P1572" s="5" t="s">
        <v>14571</v>
      </c>
      <c r="Q1572" s="5" t="s">
        <v>14572</v>
      </c>
      <c r="R1572" s="5" t="s">
        <v>18358</v>
      </c>
      <c r="T1572" s="5" t="s">
        <v>14574</v>
      </c>
      <c r="U1572" s="5" t="s">
        <v>33</v>
      </c>
      <c r="V1572" s="5" t="s">
        <v>1705</v>
      </c>
      <c r="W1572" s="5"/>
    </row>
    <row r="1573" spans="1:23" ht="12.5">
      <c r="A1573" s="5">
        <v>92083</v>
      </c>
      <c r="B1573" s="5" t="s">
        <v>18359</v>
      </c>
      <c r="C1573" s="10" t="s">
        <v>18360</v>
      </c>
      <c r="D1573" s="5">
        <v>58</v>
      </c>
      <c r="E1573" s="5" t="s">
        <v>9892</v>
      </c>
      <c r="F1573" s="5" t="s">
        <v>1006</v>
      </c>
      <c r="G1573" s="5" t="s">
        <v>10430</v>
      </c>
      <c r="H1573" s="5" t="s">
        <v>10431</v>
      </c>
      <c r="I1573" s="5" t="s">
        <v>15231</v>
      </c>
      <c r="J1573" s="12">
        <v>46074</v>
      </c>
      <c r="K1573" s="11">
        <v>0.33333333333333331</v>
      </c>
      <c r="M1573" s="10" t="s">
        <v>15656</v>
      </c>
      <c r="N1573" s="12">
        <v>46067</v>
      </c>
      <c r="O1573" s="10" t="s">
        <v>16021</v>
      </c>
      <c r="P1573" s="5" t="s">
        <v>14571</v>
      </c>
      <c r="Q1573" s="5" t="s">
        <v>14572</v>
      </c>
      <c r="R1573" s="5" t="s">
        <v>18361</v>
      </c>
      <c r="T1573" s="5" t="s">
        <v>5994</v>
      </c>
      <c r="U1573" s="5"/>
      <c r="V1573" s="5" t="s">
        <v>3754</v>
      </c>
      <c r="W1573" s="5" t="s">
        <v>2708</v>
      </c>
    </row>
    <row r="1574" spans="1:23" ht="12.5">
      <c r="A1574" s="5">
        <v>92084</v>
      </c>
      <c r="B1574" s="5" t="s">
        <v>12342</v>
      </c>
      <c r="C1574" s="10" t="s">
        <v>18362</v>
      </c>
      <c r="D1574" s="5">
        <v>49</v>
      </c>
      <c r="E1574" s="5" t="s">
        <v>9546</v>
      </c>
      <c r="F1574" s="5" t="s">
        <v>5574</v>
      </c>
      <c r="G1574" s="5" t="s">
        <v>1369</v>
      </c>
      <c r="H1574" s="5" t="s">
        <v>10555</v>
      </c>
      <c r="I1574" s="5"/>
      <c r="J1574" s="12">
        <v>46067</v>
      </c>
      <c r="K1574" s="11">
        <v>0</v>
      </c>
      <c r="M1574" s="10" t="s">
        <v>14796</v>
      </c>
      <c r="N1574" s="12">
        <v>46067</v>
      </c>
      <c r="O1574" s="10" t="s">
        <v>14603</v>
      </c>
      <c r="P1574" s="5" t="s">
        <v>14571</v>
      </c>
      <c r="Q1574" s="5" t="s">
        <v>14578</v>
      </c>
      <c r="R1574" s="5" t="s">
        <v>18363</v>
      </c>
      <c r="T1574" s="5" t="s">
        <v>5994</v>
      </c>
      <c r="U1574" s="5" t="s">
        <v>14593</v>
      </c>
      <c r="V1574" s="5" t="s">
        <v>1937</v>
      </c>
      <c r="W1574" s="5" t="s">
        <v>2708</v>
      </c>
    </row>
    <row r="1575" spans="1:23" ht="12.5">
      <c r="A1575" s="5">
        <v>92085</v>
      </c>
      <c r="B1575" s="5" t="s">
        <v>18364</v>
      </c>
      <c r="C1575" s="5">
        <v>572428877424</v>
      </c>
      <c r="D1575" s="5">
        <v>57</v>
      </c>
      <c r="E1575" s="5" t="s">
        <v>35</v>
      </c>
      <c r="F1575" s="5" t="s">
        <v>33</v>
      </c>
      <c r="G1575" s="5" t="s">
        <v>10580</v>
      </c>
      <c r="H1575" s="5" t="s">
        <v>34</v>
      </c>
      <c r="I1575" s="5">
        <v>2428877424</v>
      </c>
      <c r="J1575" s="12">
        <v>46067</v>
      </c>
      <c r="K1575" s="11">
        <v>0</v>
      </c>
      <c r="M1575" s="10" t="s">
        <v>10581</v>
      </c>
      <c r="N1575" s="12">
        <v>46067.609480173611</v>
      </c>
      <c r="O1575" s="10" t="s">
        <v>15801</v>
      </c>
      <c r="P1575" s="5" t="s">
        <v>14571</v>
      </c>
      <c r="Q1575" s="5" t="s">
        <v>14612</v>
      </c>
      <c r="R1575" s="5" t="s">
        <v>18365</v>
      </c>
      <c r="T1575" s="5" t="s">
        <v>14574</v>
      </c>
      <c r="U1575" s="5" t="s">
        <v>33</v>
      </c>
      <c r="V1575" s="5" t="s">
        <v>37</v>
      </c>
      <c r="W1575" s="5"/>
    </row>
    <row r="1576" spans="1:23" ht="12.5">
      <c r="A1576" s="5">
        <v>92086</v>
      </c>
      <c r="B1576" s="5" t="s">
        <v>13885</v>
      </c>
      <c r="C1576" s="5">
        <v>573013894849</v>
      </c>
      <c r="D1576" s="5">
        <v>55</v>
      </c>
      <c r="E1576" s="5" t="s">
        <v>9238</v>
      </c>
      <c r="F1576" s="5" t="s">
        <v>63</v>
      </c>
      <c r="G1576" s="5" t="s">
        <v>10497</v>
      </c>
      <c r="H1576" s="5" t="s">
        <v>18366</v>
      </c>
      <c r="I1576" s="5">
        <v>3013894849</v>
      </c>
      <c r="J1576" s="12">
        <v>46067</v>
      </c>
      <c r="K1576" s="11">
        <v>0</v>
      </c>
      <c r="M1576" s="10" t="s">
        <v>17427</v>
      </c>
      <c r="N1576" s="12">
        <v>46067.55699542824</v>
      </c>
      <c r="O1576" s="10" t="s">
        <v>15801</v>
      </c>
      <c r="P1576" s="5" t="s">
        <v>14571</v>
      </c>
      <c r="Q1576" s="5" t="s">
        <v>14572</v>
      </c>
      <c r="R1576" s="5" t="s">
        <v>18367</v>
      </c>
      <c r="T1576" s="5" t="s">
        <v>5994</v>
      </c>
      <c r="U1576" s="5" t="s">
        <v>14598</v>
      </c>
      <c r="V1576" s="5" t="s">
        <v>2438</v>
      </c>
      <c r="W1576" s="5"/>
    </row>
    <row r="1577" spans="1:23" ht="12.5">
      <c r="A1577" s="5">
        <v>92087</v>
      </c>
      <c r="B1577" s="5" t="s">
        <v>18368</v>
      </c>
      <c r="C1577" s="10" t="s">
        <v>18369</v>
      </c>
      <c r="D1577" s="5">
        <v>57</v>
      </c>
      <c r="E1577" s="5" t="s">
        <v>35</v>
      </c>
      <c r="F1577" s="5" t="s">
        <v>193</v>
      </c>
      <c r="G1577" s="5" t="s">
        <v>18370</v>
      </c>
      <c r="H1577" s="5" t="s">
        <v>10552</v>
      </c>
      <c r="I1577" s="5"/>
      <c r="J1577" s="12">
        <v>46067</v>
      </c>
      <c r="K1577" s="11">
        <v>0</v>
      </c>
      <c r="M1577" s="10" t="s">
        <v>16077</v>
      </c>
      <c r="N1577" s="12">
        <v>46067</v>
      </c>
      <c r="O1577" s="10" t="s">
        <v>15547</v>
      </c>
      <c r="P1577" s="5" t="s">
        <v>14571</v>
      </c>
      <c r="Q1577" s="5" t="s">
        <v>14578</v>
      </c>
      <c r="R1577" s="5" t="s">
        <v>18371</v>
      </c>
      <c r="T1577" s="5" t="s">
        <v>5994</v>
      </c>
      <c r="U1577" s="5" t="s">
        <v>14580</v>
      </c>
      <c r="V1577" s="5" t="s">
        <v>7644</v>
      </c>
      <c r="W1577" s="5"/>
    </row>
    <row r="1578" spans="1:23" ht="12.5">
      <c r="A1578" s="5">
        <v>92088</v>
      </c>
      <c r="B1578" s="5" t="s">
        <v>18372</v>
      </c>
      <c r="C1578" s="5">
        <v>573154526922</v>
      </c>
      <c r="D1578" s="5">
        <v>57</v>
      </c>
      <c r="E1578" s="5" t="s">
        <v>35</v>
      </c>
      <c r="F1578" s="5" t="s">
        <v>73</v>
      </c>
      <c r="G1578" s="5" t="s">
        <v>10560</v>
      </c>
      <c r="H1578" s="5" t="s">
        <v>10561</v>
      </c>
      <c r="I1578" s="5"/>
      <c r="J1578" s="12">
        <v>46067</v>
      </c>
      <c r="K1578" s="11">
        <v>0.16666666666787933</v>
      </c>
      <c r="M1578" s="10" t="s">
        <v>15656</v>
      </c>
      <c r="N1578" s="12">
        <v>46067.584202337966</v>
      </c>
      <c r="O1578" s="10" t="s">
        <v>14954</v>
      </c>
      <c r="P1578" s="5" t="s">
        <v>14571</v>
      </c>
      <c r="Q1578" s="5" t="s">
        <v>14612</v>
      </c>
      <c r="R1578" s="5" t="s">
        <v>18373</v>
      </c>
      <c r="T1578" s="5" t="s">
        <v>5994</v>
      </c>
      <c r="U1578" s="5" t="s">
        <v>14593</v>
      </c>
      <c r="V1578" s="5" t="s">
        <v>7644</v>
      </c>
      <c r="W1578" s="5" t="s">
        <v>9612</v>
      </c>
    </row>
    <row r="1579" spans="1:23" ht="12.5">
      <c r="A1579" s="5">
        <v>92089</v>
      </c>
      <c r="B1579" s="5" t="s">
        <v>12731</v>
      </c>
      <c r="C1579" s="10" t="s">
        <v>18374</v>
      </c>
      <c r="D1579" s="5">
        <v>52</v>
      </c>
      <c r="E1579" s="5" t="s">
        <v>178</v>
      </c>
      <c r="F1579" s="5" t="s">
        <v>185</v>
      </c>
      <c r="G1579" s="5" t="s">
        <v>10564</v>
      </c>
      <c r="H1579" s="5" t="s">
        <v>10565</v>
      </c>
      <c r="I1579" s="5">
        <v>3156540065</v>
      </c>
      <c r="J1579" s="12">
        <v>46067</v>
      </c>
      <c r="K1579" s="11">
        <v>0</v>
      </c>
      <c r="M1579" s="10" t="s">
        <v>15043</v>
      </c>
      <c r="N1579" s="12">
        <v>46067</v>
      </c>
      <c r="O1579" s="10" t="s">
        <v>16402</v>
      </c>
      <c r="P1579" s="5" t="s">
        <v>14571</v>
      </c>
      <c r="Q1579" s="5" t="s">
        <v>14572</v>
      </c>
      <c r="R1579" s="5" t="s">
        <v>18375</v>
      </c>
      <c r="T1579" s="5" t="s">
        <v>5994</v>
      </c>
      <c r="U1579" s="5" t="s">
        <v>14580</v>
      </c>
      <c r="V1579" s="5" t="s">
        <v>7644</v>
      </c>
      <c r="W1579" s="5" t="s">
        <v>2708</v>
      </c>
    </row>
    <row r="1580" spans="1:23" ht="12.5">
      <c r="A1580" s="5">
        <v>92090</v>
      </c>
      <c r="B1580" s="5" t="s">
        <v>10584</v>
      </c>
      <c r="C1580" s="5">
        <v>573054555576</v>
      </c>
      <c r="D1580" s="5">
        <v>53</v>
      </c>
      <c r="E1580" s="5" t="s">
        <v>9576</v>
      </c>
      <c r="F1580" s="5" t="s">
        <v>33</v>
      </c>
      <c r="G1580" s="5" t="s">
        <v>10584</v>
      </c>
      <c r="H1580" s="5" t="s">
        <v>34</v>
      </c>
      <c r="I1580" s="5">
        <v>3054555576</v>
      </c>
      <c r="J1580" s="12">
        <v>46067</v>
      </c>
      <c r="K1580" s="11">
        <v>0</v>
      </c>
      <c r="M1580" s="10" t="s">
        <v>15179</v>
      </c>
      <c r="N1580" s="12">
        <v>46067.61535162037</v>
      </c>
      <c r="O1580" s="10" t="s">
        <v>16402</v>
      </c>
      <c r="P1580" s="5" t="s">
        <v>14571</v>
      </c>
      <c r="Q1580" s="5" t="s">
        <v>14578</v>
      </c>
      <c r="R1580" s="5" t="s">
        <v>18376</v>
      </c>
      <c r="T1580" s="5" t="s">
        <v>14574</v>
      </c>
      <c r="U1580" s="5" t="s">
        <v>33</v>
      </c>
      <c r="V1580" s="5" t="s">
        <v>196</v>
      </c>
      <c r="W1580" s="5" t="s">
        <v>10585</v>
      </c>
    </row>
    <row r="1581" spans="1:23" ht="12.5">
      <c r="A1581" s="5">
        <v>92091</v>
      </c>
      <c r="B1581" s="5" t="s">
        <v>18377</v>
      </c>
      <c r="C1581" s="10" t="s">
        <v>18378</v>
      </c>
      <c r="D1581" s="5">
        <v>53</v>
      </c>
      <c r="E1581" s="5" t="s">
        <v>9576</v>
      </c>
      <c r="F1581" s="5" t="s">
        <v>7476</v>
      </c>
      <c r="G1581" s="5" t="s">
        <v>18379</v>
      </c>
      <c r="H1581" s="5" t="s">
        <v>10568</v>
      </c>
      <c r="I1581" s="5"/>
      <c r="J1581" s="12">
        <v>46067</v>
      </c>
      <c r="K1581" s="11">
        <v>0</v>
      </c>
      <c r="M1581" s="10" t="s">
        <v>15612</v>
      </c>
      <c r="N1581" s="12">
        <v>46067</v>
      </c>
      <c r="O1581" s="10" t="s">
        <v>17694</v>
      </c>
      <c r="P1581" s="5" t="s">
        <v>14571</v>
      </c>
      <c r="Q1581" s="5" t="s">
        <v>14612</v>
      </c>
      <c r="R1581" s="5" t="s">
        <v>18380</v>
      </c>
      <c r="T1581" s="5" t="s">
        <v>5994</v>
      </c>
      <c r="U1581" s="5" t="s">
        <v>15349</v>
      </c>
      <c r="V1581" s="5" t="s">
        <v>7644</v>
      </c>
      <c r="W1581" s="5" t="s">
        <v>10571</v>
      </c>
    </row>
    <row r="1582" spans="1:23" ht="12.5">
      <c r="A1582" s="5">
        <v>92092</v>
      </c>
      <c r="B1582" s="5" t="s">
        <v>18381</v>
      </c>
      <c r="C1582" s="5">
        <v>584149190080</v>
      </c>
      <c r="D1582" s="5" t="s">
        <v>18382</v>
      </c>
      <c r="E1582" s="5" t="s">
        <v>10519</v>
      </c>
      <c r="F1582" s="5" t="s">
        <v>185</v>
      </c>
      <c r="G1582" s="5" t="s">
        <v>10517</v>
      </c>
      <c r="H1582" s="5" t="s">
        <v>10518</v>
      </c>
      <c r="I1582" s="5"/>
      <c r="J1582" s="12">
        <v>46067</v>
      </c>
      <c r="K1582" s="11">
        <v>0.16666666666787933</v>
      </c>
      <c r="M1582" s="10" t="s">
        <v>18383</v>
      </c>
      <c r="N1582" s="12">
        <v>46067.564101249998</v>
      </c>
      <c r="O1582" s="10" t="s">
        <v>15249</v>
      </c>
      <c r="P1582" s="5" t="s">
        <v>14571</v>
      </c>
      <c r="Q1582" s="5" t="s">
        <v>14572</v>
      </c>
      <c r="R1582" s="5" t="s">
        <v>18384</v>
      </c>
      <c r="T1582" s="5" t="s">
        <v>5994</v>
      </c>
      <c r="U1582" s="5" t="s">
        <v>14580</v>
      </c>
      <c r="V1582" s="5" t="s">
        <v>3754</v>
      </c>
      <c r="W1582" s="5" t="s">
        <v>9612</v>
      </c>
    </row>
    <row r="1583" spans="1:23" ht="12.5">
      <c r="A1583" s="5">
        <v>92093</v>
      </c>
      <c r="B1583" s="5" t="s">
        <v>10598</v>
      </c>
      <c r="C1583" s="5">
        <v>573176582298</v>
      </c>
      <c r="D1583" s="5">
        <v>50</v>
      </c>
      <c r="E1583" s="5" t="s">
        <v>9444</v>
      </c>
      <c r="F1583" s="5" t="s">
        <v>33</v>
      </c>
      <c r="G1583" s="5" t="s">
        <v>10598</v>
      </c>
      <c r="H1583" s="5" t="s">
        <v>34</v>
      </c>
      <c r="I1583" s="5">
        <v>3176582298</v>
      </c>
      <c r="J1583" s="12">
        <v>46067</v>
      </c>
      <c r="K1583" s="11">
        <v>0</v>
      </c>
      <c r="M1583" s="10" t="s">
        <v>15301</v>
      </c>
      <c r="N1583" s="12">
        <v>46067.62980174768</v>
      </c>
      <c r="O1583" s="10" t="s">
        <v>18385</v>
      </c>
      <c r="P1583" s="5" t="s">
        <v>14571</v>
      </c>
      <c r="Q1583" s="5" t="s">
        <v>14578</v>
      </c>
      <c r="R1583" s="5" t="s">
        <v>18386</v>
      </c>
      <c r="T1583" s="5" t="s">
        <v>14574</v>
      </c>
      <c r="U1583" s="5" t="s">
        <v>33</v>
      </c>
      <c r="V1583" s="5" t="s">
        <v>7644</v>
      </c>
      <c r="W1583" s="5"/>
    </row>
    <row r="1584" spans="1:23" ht="12.5">
      <c r="A1584" s="5">
        <v>92094</v>
      </c>
      <c r="B1584" s="5" t="s">
        <v>10600</v>
      </c>
      <c r="C1584" s="10" t="s">
        <v>18387</v>
      </c>
      <c r="D1584" s="5">
        <v>52</v>
      </c>
      <c r="E1584" s="5" t="s">
        <v>6874</v>
      </c>
      <c r="F1584" s="5" t="s">
        <v>33</v>
      </c>
      <c r="G1584" s="5" t="s">
        <v>10600</v>
      </c>
      <c r="H1584" s="5" t="s">
        <v>34</v>
      </c>
      <c r="I1584" s="5">
        <v>3145968573</v>
      </c>
      <c r="J1584" s="12">
        <v>46067</v>
      </c>
      <c r="K1584" s="11">
        <v>0</v>
      </c>
      <c r="M1584" s="10" t="s">
        <v>15594</v>
      </c>
      <c r="N1584" s="12">
        <v>46067</v>
      </c>
      <c r="O1584" s="10" t="s">
        <v>15558</v>
      </c>
      <c r="P1584" s="5" t="s">
        <v>14571</v>
      </c>
      <c r="Q1584" s="5" t="s">
        <v>14612</v>
      </c>
      <c r="R1584" s="5" t="s">
        <v>18388</v>
      </c>
      <c r="T1584" s="5" t="s">
        <v>14574</v>
      </c>
      <c r="U1584" s="5" t="s">
        <v>33</v>
      </c>
      <c r="V1584" s="5" t="s">
        <v>7644</v>
      </c>
      <c r="W1584" s="5"/>
    </row>
    <row r="1585" spans="1:23" ht="12.5">
      <c r="A1585" s="5">
        <v>92095</v>
      </c>
      <c r="B1585" s="5" t="s">
        <v>10601</v>
      </c>
      <c r="C1585" s="10" t="s">
        <v>18389</v>
      </c>
      <c r="D1585" s="5">
        <v>29</v>
      </c>
      <c r="E1585" s="5" t="s">
        <v>309</v>
      </c>
      <c r="F1585" s="5" t="s">
        <v>87</v>
      </c>
      <c r="G1585" s="5" t="s">
        <v>10601</v>
      </c>
      <c r="H1585" s="5" t="s">
        <v>10602</v>
      </c>
      <c r="I1585" s="5">
        <v>3008700406</v>
      </c>
      <c r="J1585" s="12">
        <v>46067</v>
      </c>
      <c r="K1585" s="11">
        <v>0</v>
      </c>
      <c r="M1585" s="10" t="s">
        <v>14899</v>
      </c>
      <c r="N1585" s="12">
        <v>46067</v>
      </c>
      <c r="O1585" s="10" t="s">
        <v>15453</v>
      </c>
      <c r="P1585" s="5" t="s">
        <v>14571</v>
      </c>
      <c r="Q1585" s="5" t="s">
        <v>14572</v>
      </c>
      <c r="R1585" s="5" t="s">
        <v>18390</v>
      </c>
      <c r="T1585" s="5" t="s">
        <v>5994</v>
      </c>
      <c r="U1585" s="5" t="s">
        <v>14580</v>
      </c>
      <c r="V1585" s="5" t="s">
        <v>7644</v>
      </c>
      <c r="W1585" s="5"/>
    </row>
    <row r="1586" spans="1:23" ht="12.5">
      <c r="A1586" s="5">
        <v>92096</v>
      </c>
      <c r="B1586" s="5" t="s">
        <v>18391</v>
      </c>
      <c r="C1586" s="10" t="s">
        <v>18392</v>
      </c>
      <c r="D1586" s="5" t="s">
        <v>18393</v>
      </c>
      <c r="E1586" s="5" t="s">
        <v>10608</v>
      </c>
      <c r="F1586" s="5" t="s">
        <v>1317</v>
      </c>
      <c r="G1586" s="5" t="s">
        <v>18394</v>
      </c>
      <c r="H1586" s="5" t="s">
        <v>10607</v>
      </c>
      <c r="I1586" s="5"/>
      <c r="J1586" s="12">
        <v>46067</v>
      </c>
      <c r="K1586" s="11">
        <v>0</v>
      </c>
      <c r="M1586" s="10" t="s">
        <v>18395</v>
      </c>
      <c r="N1586" s="12">
        <v>46067</v>
      </c>
      <c r="O1586" s="10" t="s">
        <v>16790</v>
      </c>
      <c r="P1586" s="5" t="s">
        <v>14571</v>
      </c>
      <c r="Q1586" s="5" t="s">
        <v>14578</v>
      </c>
      <c r="R1586" s="5" t="s">
        <v>18396</v>
      </c>
      <c r="T1586" s="5" t="s">
        <v>5994</v>
      </c>
      <c r="U1586" s="5" t="s">
        <v>15349</v>
      </c>
      <c r="V1586" s="5" t="s">
        <v>7644</v>
      </c>
      <c r="W1586" s="5" t="s">
        <v>5294</v>
      </c>
    </row>
    <row r="1587" spans="1:23" ht="12.5">
      <c r="A1587" s="5">
        <v>92097</v>
      </c>
      <c r="B1587" s="5" t="s">
        <v>18397</v>
      </c>
      <c r="C1587" s="5">
        <v>573164217190</v>
      </c>
      <c r="D1587" s="5" t="s">
        <v>18398</v>
      </c>
      <c r="E1587" s="5" t="s">
        <v>10589</v>
      </c>
      <c r="F1587" s="5" t="s">
        <v>7476</v>
      </c>
      <c r="G1587" s="5" t="s">
        <v>10587</v>
      </c>
      <c r="H1587" s="5" t="s">
        <v>10588</v>
      </c>
      <c r="I1587" s="5">
        <v>3042862546</v>
      </c>
      <c r="J1587" s="12">
        <v>46067</v>
      </c>
      <c r="K1587" s="11">
        <v>0</v>
      </c>
      <c r="M1587" s="10" t="s">
        <v>10581</v>
      </c>
      <c r="N1587" s="12">
        <v>46067.625005995375</v>
      </c>
      <c r="O1587" s="10" t="s">
        <v>15059</v>
      </c>
      <c r="P1587" s="5" t="s">
        <v>14571</v>
      </c>
      <c r="Q1587" s="5" t="s">
        <v>14612</v>
      </c>
      <c r="R1587" s="5" t="s">
        <v>18399</v>
      </c>
      <c r="T1587" s="5" t="s">
        <v>5994</v>
      </c>
      <c r="U1587" s="5" t="s">
        <v>15349</v>
      </c>
      <c r="V1587" s="5" t="s">
        <v>7644</v>
      </c>
      <c r="W1587" s="5"/>
    </row>
    <row r="1588" spans="1:23" ht="12.5">
      <c r="A1588" s="5">
        <v>92098</v>
      </c>
      <c r="B1588" s="5" t="s">
        <v>10615</v>
      </c>
      <c r="C1588" s="10" t="s">
        <v>18400</v>
      </c>
      <c r="D1588" s="5">
        <v>52</v>
      </c>
      <c r="E1588" s="5" t="s">
        <v>10616</v>
      </c>
      <c r="F1588" s="5" t="s">
        <v>33</v>
      </c>
      <c r="G1588" s="5" t="s">
        <v>10615</v>
      </c>
      <c r="H1588" s="5" t="s">
        <v>34</v>
      </c>
      <c r="I1588" s="5">
        <v>3205760938</v>
      </c>
      <c r="J1588" s="12">
        <v>46067</v>
      </c>
      <c r="K1588" s="11">
        <v>0</v>
      </c>
      <c r="M1588" s="10" t="s">
        <v>14910</v>
      </c>
      <c r="N1588" s="12">
        <v>46067</v>
      </c>
      <c r="O1588" s="10" t="s">
        <v>15056</v>
      </c>
      <c r="P1588" s="5" t="s">
        <v>14571</v>
      </c>
      <c r="Q1588" s="5" t="s">
        <v>14572</v>
      </c>
      <c r="R1588" s="5" t="s">
        <v>18401</v>
      </c>
      <c r="T1588" s="5" t="s">
        <v>14574</v>
      </c>
      <c r="U1588" s="5" t="s">
        <v>33</v>
      </c>
      <c r="V1588" s="5" t="s">
        <v>7644</v>
      </c>
      <c r="W1588" s="5"/>
    </row>
    <row r="1589" spans="1:23" ht="12.5">
      <c r="A1589" s="5">
        <v>92099</v>
      </c>
      <c r="B1589" s="5" t="s">
        <v>10619</v>
      </c>
      <c r="C1589" s="5">
        <v>573017450007</v>
      </c>
      <c r="D1589" s="5">
        <v>52</v>
      </c>
      <c r="E1589" s="5" t="s">
        <v>6874</v>
      </c>
      <c r="F1589" s="5" t="s">
        <v>33</v>
      </c>
      <c r="G1589" s="5" t="s">
        <v>10619</v>
      </c>
      <c r="H1589" s="5" t="s">
        <v>34</v>
      </c>
      <c r="I1589" s="5">
        <v>3017450007</v>
      </c>
      <c r="J1589" s="12">
        <v>46067</v>
      </c>
      <c r="K1589" s="11">
        <v>0</v>
      </c>
      <c r="M1589" s="10" t="s">
        <v>15594</v>
      </c>
      <c r="N1589" s="12">
        <v>46067.650222673612</v>
      </c>
      <c r="O1589" s="10" t="s">
        <v>18402</v>
      </c>
      <c r="P1589" s="5" t="s">
        <v>14571</v>
      </c>
      <c r="Q1589" s="5" t="s">
        <v>14578</v>
      </c>
      <c r="R1589" s="5" t="s">
        <v>18403</v>
      </c>
      <c r="T1589" s="5" t="s">
        <v>14574</v>
      </c>
      <c r="U1589" s="5" t="s">
        <v>33</v>
      </c>
      <c r="V1589" s="5" t="s">
        <v>1705</v>
      </c>
      <c r="W1589" s="5"/>
    </row>
    <row r="1590" spans="1:23" ht="12.5">
      <c r="A1590" s="5">
        <v>92100</v>
      </c>
      <c r="B1590" s="5" t="s">
        <v>16982</v>
      </c>
      <c r="C1590" s="5">
        <v>573002839116</v>
      </c>
      <c r="D1590" s="5">
        <v>8</v>
      </c>
      <c r="E1590" s="5" t="s">
        <v>8347</v>
      </c>
      <c r="F1590" s="5" t="s">
        <v>73</v>
      </c>
      <c r="G1590" s="5" t="s">
        <v>1467</v>
      </c>
      <c r="H1590" s="5" t="s">
        <v>10522</v>
      </c>
      <c r="I1590" s="5">
        <v>3043867003</v>
      </c>
      <c r="J1590" s="12">
        <v>46067</v>
      </c>
      <c r="K1590" s="11">
        <v>0</v>
      </c>
      <c r="M1590" s="10" t="s">
        <v>14903</v>
      </c>
      <c r="N1590" s="12">
        <v>46067.567750208334</v>
      </c>
      <c r="O1590" s="10" t="s">
        <v>16477</v>
      </c>
      <c r="P1590" s="5" t="s">
        <v>14571</v>
      </c>
      <c r="Q1590" s="5" t="s">
        <v>14612</v>
      </c>
      <c r="R1590" s="5" t="s">
        <v>18404</v>
      </c>
      <c r="T1590" s="5" t="s">
        <v>5994</v>
      </c>
      <c r="U1590" s="5" t="s">
        <v>14593</v>
      </c>
      <c r="V1590" s="5" t="s">
        <v>67</v>
      </c>
      <c r="W1590" s="5" t="s">
        <v>9612</v>
      </c>
    </row>
    <row r="1591" spans="1:23" ht="12.5">
      <c r="A1591" s="5">
        <v>92101</v>
      </c>
      <c r="B1591" s="5" t="s">
        <v>10610</v>
      </c>
      <c r="C1591" s="10" t="s">
        <v>18405</v>
      </c>
      <c r="D1591" s="5">
        <v>31</v>
      </c>
      <c r="E1591" s="5" t="s">
        <v>375</v>
      </c>
      <c r="F1591" s="5" t="s">
        <v>33</v>
      </c>
      <c r="G1591" s="5" t="s">
        <v>10610</v>
      </c>
      <c r="H1591" s="5" t="s">
        <v>34</v>
      </c>
      <c r="I1591" s="5">
        <v>3144544581</v>
      </c>
      <c r="J1591" s="12">
        <v>46067</v>
      </c>
      <c r="K1591" s="11">
        <v>0</v>
      </c>
      <c r="M1591" s="10" t="s">
        <v>14585</v>
      </c>
      <c r="N1591" s="12">
        <v>46067</v>
      </c>
      <c r="O1591" s="10" t="s">
        <v>14821</v>
      </c>
      <c r="P1591" s="5" t="s">
        <v>14571</v>
      </c>
      <c r="Q1591" s="5" t="s">
        <v>14572</v>
      </c>
      <c r="R1591" s="5" t="s">
        <v>18406</v>
      </c>
      <c r="T1591" s="5" t="s">
        <v>14574</v>
      </c>
      <c r="U1591" s="5" t="s">
        <v>33</v>
      </c>
      <c r="V1591" s="5" t="s">
        <v>67</v>
      </c>
      <c r="W1591" s="5" t="s">
        <v>2708</v>
      </c>
    </row>
    <row r="1592" spans="1:23" ht="12.5">
      <c r="A1592" s="5">
        <v>92102</v>
      </c>
      <c r="B1592" s="5" t="s">
        <v>10626</v>
      </c>
      <c r="C1592" s="10" t="s">
        <v>18407</v>
      </c>
      <c r="D1592" s="5">
        <v>95</v>
      </c>
      <c r="E1592" s="5" t="s">
        <v>42</v>
      </c>
      <c r="F1592" s="5" t="s">
        <v>33</v>
      </c>
      <c r="G1592" s="5" t="s">
        <v>10626</v>
      </c>
      <c r="H1592" s="5" t="s">
        <v>34</v>
      </c>
      <c r="I1592" s="5">
        <v>3215415485</v>
      </c>
      <c r="J1592" s="12">
        <v>46067</v>
      </c>
      <c r="K1592" s="11">
        <v>0</v>
      </c>
      <c r="M1592" s="10" t="s">
        <v>14740</v>
      </c>
      <c r="N1592" s="12">
        <v>46067</v>
      </c>
      <c r="O1592" s="10" t="s">
        <v>15956</v>
      </c>
      <c r="P1592" s="5" t="s">
        <v>14571</v>
      </c>
      <c r="Q1592" s="5" t="s">
        <v>14578</v>
      </c>
      <c r="R1592" s="5" t="s">
        <v>18408</v>
      </c>
      <c r="T1592" s="5" t="s">
        <v>14574</v>
      </c>
      <c r="U1592" s="5" t="s">
        <v>33</v>
      </c>
      <c r="V1592" s="5" t="s">
        <v>196</v>
      </c>
      <c r="W1592" s="5" t="s">
        <v>10627</v>
      </c>
    </row>
    <row r="1593" spans="1:23" ht="12.5">
      <c r="A1593" s="5">
        <v>92103</v>
      </c>
      <c r="B1593" s="5" t="s">
        <v>10634</v>
      </c>
      <c r="C1593" s="10" t="s">
        <v>18409</v>
      </c>
      <c r="D1593" s="5">
        <v>53</v>
      </c>
      <c r="E1593" s="5" t="s">
        <v>9576</v>
      </c>
      <c r="F1593" s="5" t="s">
        <v>33</v>
      </c>
      <c r="G1593" s="5" t="s">
        <v>10634</v>
      </c>
      <c r="H1593" s="5" t="s">
        <v>34</v>
      </c>
      <c r="I1593" s="5">
        <v>3012402716</v>
      </c>
      <c r="J1593" s="12">
        <v>46067</v>
      </c>
      <c r="K1593" s="11">
        <v>0</v>
      </c>
      <c r="M1593" s="10" t="s">
        <v>14627</v>
      </c>
      <c r="N1593" s="12">
        <v>46067</v>
      </c>
      <c r="O1593" s="10" t="s">
        <v>15050</v>
      </c>
      <c r="P1593" s="5" t="s">
        <v>14571</v>
      </c>
      <c r="Q1593" s="5" t="s">
        <v>14612</v>
      </c>
      <c r="R1593" s="5" t="s">
        <v>18410</v>
      </c>
      <c r="T1593" s="5" t="s">
        <v>14574</v>
      </c>
      <c r="U1593" s="5" t="s">
        <v>33</v>
      </c>
      <c r="V1593" s="5" t="s">
        <v>1705</v>
      </c>
      <c r="W1593" s="5"/>
    </row>
    <row r="1594" spans="1:23" ht="12.5">
      <c r="A1594" s="5">
        <v>92104</v>
      </c>
      <c r="B1594" s="5" t="s">
        <v>18411</v>
      </c>
      <c r="C1594" s="5">
        <v>573015064609</v>
      </c>
      <c r="D1594" s="5">
        <v>51</v>
      </c>
      <c r="E1594" s="5" t="s">
        <v>9842</v>
      </c>
      <c r="F1594" s="5"/>
      <c r="G1594" s="5" t="s">
        <v>10621</v>
      </c>
      <c r="H1594" s="5" t="s">
        <v>10622</v>
      </c>
      <c r="I1594" s="5">
        <v>3015064609</v>
      </c>
      <c r="J1594" s="12">
        <v>46067</v>
      </c>
      <c r="K1594" s="11">
        <v>0</v>
      </c>
      <c r="M1594" s="10" t="s">
        <v>14777</v>
      </c>
      <c r="N1594" s="12">
        <v>46067.655655023147</v>
      </c>
      <c r="O1594" s="10" t="s">
        <v>15047</v>
      </c>
      <c r="P1594" s="5" t="s">
        <v>14571</v>
      </c>
      <c r="Q1594" s="5" t="s">
        <v>14572</v>
      </c>
      <c r="R1594" s="5" t="s">
        <v>18412</v>
      </c>
      <c r="T1594" s="5" t="s">
        <v>5994</v>
      </c>
      <c r="U1594" s="5"/>
      <c r="V1594" s="5" t="s">
        <v>7644</v>
      </c>
      <c r="W1594" s="5"/>
    </row>
    <row r="1595" spans="1:23" ht="12.5">
      <c r="A1595" s="5">
        <v>92105</v>
      </c>
      <c r="B1595" s="5" t="s">
        <v>18413</v>
      </c>
      <c r="C1595" s="10" t="s">
        <v>18414</v>
      </c>
      <c r="D1595" s="5">
        <v>43</v>
      </c>
      <c r="E1595" s="5" t="s">
        <v>679</v>
      </c>
      <c r="F1595" s="5" t="s">
        <v>161</v>
      </c>
      <c r="G1595" s="5" t="s">
        <v>10629</v>
      </c>
      <c r="H1595" s="5" t="s">
        <v>10630</v>
      </c>
      <c r="I1595" s="5">
        <v>3046494553</v>
      </c>
      <c r="J1595" s="12">
        <v>46067</v>
      </c>
      <c r="K1595" s="11">
        <v>0.20833333333333334</v>
      </c>
      <c r="M1595" s="10" t="s">
        <v>15140</v>
      </c>
      <c r="N1595" s="12">
        <v>46067</v>
      </c>
      <c r="O1595" s="10" t="s">
        <v>17544</v>
      </c>
      <c r="P1595" s="5" t="s">
        <v>14571</v>
      </c>
      <c r="Q1595" s="5" t="s">
        <v>14578</v>
      </c>
      <c r="R1595" s="5" t="s">
        <v>18415</v>
      </c>
      <c r="T1595" s="5" t="s">
        <v>5994</v>
      </c>
      <c r="U1595" s="5" t="s">
        <v>14593</v>
      </c>
      <c r="V1595" s="5" t="s">
        <v>7644</v>
      </c>
      <c r="W1595" s="5" t="s">
        <v>9612</v>
      </c>
    </row>
    <row r="1596" spans="1:23" ht="12.5">
      <c r="A1596" s="5">
        <v>92106</v>
      </c>
      <c r="B1596" s="5" t="s">
        <v>12734</v>
      </c>
      <c r="C1596" s="10" t="s">
        <v>18416</v>
      </c>
      <c r="D1596" s="5">
        <v>52</v>
      </c>
      <c r="E1596" s="5" t="s">
        <v>6874</v>
      </c>
      <c r="F1596" s="5" t="s">
        <v>5574</v>
      </c>
      <c r="G1596" s="5" t="s">
        <v>10434</v>
      </c>
      <c r="H1596" s="5" t="s">
        <v>10435</v>
      </c>
      <c r="I1596" s="5">
        <v>3242557097</v>
      </c>
      <c r="J1596" s="12">
        <v>46067</v>
      </c>
      <c r="K1596" s="11">
        <v>0</v>
      </c>
      <c r="M1596" s="10" t="s">
        <v>10581</v>
      </c>
      <c r="N1596" s="12">
        <v>46067</v>
      </c>
      <c r="O1596" s="10" t="s">
        <v>16550</v>
      </c>
      <c r="P1596" s="5" t="s">
        <v>14571</v>
      </c>
      <c r="Q1596" s="5" t="s">
        <v>14612</v>
      </c>
      <c r="R1596" s="5" t="s">
        <v>18417</v>
      </c>
      <c r="T1596" s="5" t="s">
        <v>5994</v>
      </c>
      <c r="U1596" s="5" t="s">
        <v>14593</v>
      </c>
      <c r="V1596" s="5" t="s">
        <v>7644</v>
      </c>
      <c r="W1596" s="5"/>
    </row>
    <row r="1597" spans="1:23" ht="12.5">
      <c r="A1597" s="5">
        <v>92107</v>
      </c>
      <c r="B1597" s="5" t="s">
        <v>18418</v>
      </c>
      <c r="C1597" s="10" t="s">
        <v>18419</v>
      </c>
      <c r="D1597" s="5">
        <v>29</v>
      </c>
      <c r="E1597" s="5" t="s">
        <v>309</v>
      </c>
      <c r="F1597" s="5" t="s">
        <v>307</v>
      </c>
      <c r="G1597" s="5" t="s">
        <v>10636</v>
      </c>
      <c r="H1597" s="5" t="s">
        <v>10637</v>
      </c>
      <c r="I1597" s="5">
        <v>3053164383</v>
      </c>
      <c r="J1597" s="12">
        <v>46067</v>
      </c>
      <c r="K1597" s="11">
        <v>0</v>
      </c>
      <c r="M1597" s="10" t="s">
        <v>14705</v>
      </c>
      <c r="N1597" s="12">
        <v>46067</v>
      </c>
      <c r="O1597" s="10" t="s">
        <v>14713</v>
      </c>
      <c r="P1597" s="5" t="s">
        <v>14571</v>
      </c>
      <c r="Q1597" s="5" t="s">
        <v>14572</v>
      </c>
      <c r="R1597" s="5" t="s">
        <v>18420</v>
      </c>
      <c r="T1597" s="5" t="s">
        <v>5994</v>
      </c>
      <c r="U1597" s="5" t="s">
        <v>14618</v>
      </c>
      <c r="V1597" s="5" t="s">
        <v>7644</v>
      </c>
      <c r="W1597" s="5"/>
    </row>
    <row r="1598" spans="1:23" ht="12.5">
      <c r="A1598" s="5">
        <v>92108</v>
      </c>
      <c r="B1598" s="5" t="s">
        <v>10643</v>
      </c>
      <c r="C1598" s="10" t="s">
        <v>18421</v>
      </c>
      <c r="D1598" s="5">
        <v>67</v>
      </c>
      <c r="E1598" s="5" t="s">
        <v>9350</v>
      </c>
      <c r="F1598" s="5" t="s">
        <v>63</v>
      </c>
      <c r="G1598" s="5" t="s">
        <v>10640</v>
      </c>
      <c r="H1598" s="5" t="s">
        <v>10641</v>
      </c>
      <c r="I1598" s="5"/>
      <c r="J1598" s="12">
        <v>46067</v>
      </c>
      <c r="K1598" s="11">
        <v>0</v>
      </c>
      <c r="M1598" s="10" t="s">
        <v>15356</v>
      </c>
      <c r="N1598" s="12">
        <v>46067</v>
      </c>
      <c r="O1598" s="10" t="s">
        <v>17547</v>
      </c>
      <c r="P1598" s="5" t="s">
        <v>14571</v>
      </c>
      <c r="Q1598" s="5" t="s">
        <v>14578</v>
      </c>
      <c r="R1598" s="5" t="s">
        <v>18422</v>
      </c>
      <c r="T1598" s="5" t="s">
        <v>5994</v>
      </c>
      <c r="U1598" s="5" t="s">
        <v>14598</v>
      </c>
      <c r="V1598" s="5" t="s">
        <v>7644</v>
      </c>
      <c r="W1598" s="5"/>
    </row>
    <row r="1599" spans="1:23" ht="12.5">
      <c r="A1599" s="5">
        <v>92109</v>
      </c>
      <c r="B1599" s="5" t="s">
        <v>10648</v>
      </c>
      <c r="C1599" s="5">
        <v>573157827681</v>
      </c>
      <c r="D1599" s="5">
        <v>29</v>
      </c>
      <c r="E1599" s="5" t="s">
        <v>10649</v>
      </c>
      <c r="F1599" s="5" t="s">
        <v>33</v>
      </c>
      <c r="G1599" s="5" t="s">
        <v>10648</v>
      </c>
      <c r="H1599" s="5" t="s">
        <v>34</v>
      </c>
      <c r="I1599" s="5">
        <v>3157827681</v>
      </c>
      <c r="J1599" s="12">
        <v>46067</v>
      </c>
      <c r="K1599" s="11">
        <v>0</v>
      </c>
      <c r="M1599" s="10" t="s">
        <v>14627</v>
      </c>
      <c r="N1599" s="12">
        <v>46067.692846342594</v>
      </c>
      <c r="O1599" s="10" t="s">
        <v>16611</v>
      </c>
      <c r="P1599" s="5" t="s">
        <v>14571</v>
      </c>
      <c r="Q1599" s="5" t="s">
        <v>14612</v>
      </c>
      <c r="R1599" s="5" t="s">
        <v>18423</v>
      </c>
      <c r="T1599" s="5" t="s">
        <v>14574</v>
      </c>
      <c r="U1599" s="5" t="s">
        <v>33</v>
      </c>
      <c r="V1599" s="5" t="s">
        <v>1705</v>
      </c>
      <c r="W1599" s="5"/>
    </row>
    <row r="1600" spans="1:23" ht="12.5">
      <c r="A1600" s="5">
        <v>92110</v>
      </c>
      <c r="B1600" s="5" t="s">
        <v>18424</v>
      </c>
      <c r="C1600" s="10" t="s">
        <v>18425</v>
      </c>
      <c r="D1600" s="5">
        <v>95</v>
      </c>
      <c r="E1600" s="5" t="s">
        <v>42</v>
      </c>
      <c r="F1600" s="5" t="s">
        <v>307</v>
      </c>
      <c r="G1600" s="5" t="s">
        <v>18424</v>
      </c>
      <c r="H1600" s="5" t="s">
        <v>10645</v>
      </c>
      <c r="I1600" s="5">
        <v>3124724429</v>
      </c>
      <c r="J1600" s="12">
        <v>46067</v>
      </c>
      <c r="K1600" s="11">
        <v>0</v>
      </c>
      <c r="M1600" s="10" t="s">
        <v>14800</v>
      </c>
      <c r="N1600" s="12">
        <v>46067</v>
      </c>
      <c r="O1600" s="10" t="s">
        <v>15223</v>
      </c>
      <c r="P1600" s="5" t="s">
        <v>14571</v>
      </c>
      <c r="Q1600" s="5" t="s">
        <v>14572</v>
      </c>
      <c r="R1600" s="5" t="s">
        <v>18426</v>
      </c>
      <c r="T1600" s="5" t="s">
        <v>5994</v>
      </c>
      <c r="U1600" s="5" t="s">
        <v>14618</v>
      </c>
      <c r="V1600" s="5" t="s">
        <v>7644</v>
      </c>
      <c r="W1600" s="5" t="s">
        <v>10646</v>
      </c>
    </row>
    <row r="1601" spans="1:23" ht="12.5">
      <c r="A1601" s="5">
        <v>92111</v>
      </c>
      <c r="B1601" s="5" t="s">
        <v>18427</v>
      </c>
      <c r="C1601" s="10" t="s">
        <v>18428</v>
      </c>
      <c r="D1601" s="5">
        <v>52</v>
      </c>
      <c r="E1601" s="5" t="s">
        <v>6874</v>
      </c>
      <c r="F1601" s="5" t="s">
        <v>103</v>
      </c>
      <c r="G1601" s="5" t="s">
        <v>10593</v>
      </c>
      <c r="H1601" s="5" t="s">
        <v>10594</v>
      </c>
      <c r="I1601" s="5">
        <v>3015646140</v>
      </c>
      <c r="J1601" s="12">
        <v>46067</v>
      </c>
      <c r="K1601" s="11">
        <v>0</v>
      </c>
      <c r="M1601" s="10" t="s">
        <v>10581</v>
      </c>
      <c r="N1601" s="12">
        <v>46067</v>
      </c>
      <c r="O1601" s="10" t="s">
        <v>16931</v>
      </c>
      <c r="P1601" s="5" t="s">
        <v>14571</v>
      </c>
      <c r="Q1601" s="5" t="s">
        <v>14578</v>
      </c>
      <c r="R1601" s="5" t="s">
        <v>18429</v>
      </c>
      <c r="T1601" s="5" t="s">
        <v>5994</v>
      </c>
      <c r="U1601" s="5" t="s">
        <v>14593</v>
      </c>
      <c r="V1601" s="5" t="s">
        <v>7644</v>
      </c>
      <c r="W1601" s="5" t="s">
        <v>2708</v>
      </c>
    </row>
    <row r="1602" spans="1:23" ht="12.5">
      <c r="A1602" s="5">
        <v>92112</v>
      </c>
      <c r="B1602" s="5" t="s">
        <v>18430</v>
      </c>
      <c r="C1602" s="5">
        <v>14348824401</v>
      </c>
      <c r="D1602" s="5">
        <v>95</v>
      </c>
      <c r="E1602" s="5" t="s">
        <v>42</v>
      </c>
      <c r="F1602" s="5" t="s">
        <v>265</v>
      </c>
      <c r="G1602" s="5" t="s">
        <v>10652</v>
      </c>
      <c r="H1602" s="5" t="s">
        <v>18431</v>
      </c>
      <c r="I1602" s="5" t="s">
        <v>10654</v>
      </c>
      <c r="J1602" s="12">
        <v>46067</v>
      </c>
      <c r="K1602" s="11">
        <v>0</v>
      </c>
      <c r="M1602" s="10" t="s">
        <v>15409</v>
      </c>
      <c r="N1602" s="12">
        <v>46067.706396168986</v>
      </c>
      <c r="O1602" s="10" t="s">
        <v>16988</v>
      </c>
      <c r="P1602" s="5" t="s">
        <v>14571</v>
      </c>
      <c r="Q1602" s="5" t="s">
        <v>14612</v>
      </c>
      <c r="R1602" s="5" t="s">
        <v>18432</v>
      </c>
      <c r="T1602" s="5" t="s">
        <v>5994</v>
      </c>
      <c r="U1602" s="5" t="s">
        <v>14691</v>
      </c>
      <c r="V1602" s="5" t="s">
        <v>1937</v>
      </c>
      <c r="W1602" s="5" t="s">
        <v>10656</v>
      </c>
    </row>
    <row r="1603" spans="1:23" ht="12.5">
      <c r="A1603" s="5">
        <v>92113</v>
      </c>
      <c r="B1603" s="5" t="s">
        <v>10659</v>
      </c>
      <c r="C1603" s="5">
        <v>570000</v>
      </c>
      <c r="D1603" s="5">
        <v>95</v>
      </c>
      <c r="E1603" s="5" t="s">
        <v>42</v>
      </c>
      <c r="F1603" s="5" t="s">
        <v>33</v>
      </c>
      <c r="G1603" s="5" t="s">
        <v>10659</v>
      </c>
      <c r="H1603" s="5" t="s">
        <v>34</v>
      </c>
      <c r="I1603" s="10" t="s">
        <v>2686</v>
      </c>
      <c r="J1603" s="12">
        <v>46067</v>
      </c>
      <c r="K1603" s="11">
        <v>0</v>
      </c>
      <c r="M1603" s="10" t="s">
        <v>14705</v>
      </c>
      <c r="N1603" s="12">
        <v>46067.726367256946</v>
      </c>
      <c r="O1603" s="10" t="s">
        <v>14698</v>
      </c>
      <c r="P1603" s="5" t="s">
        <v>14571</v>
      </c>
      <c r="Q1603" s="5" t="s">
        <v>14572</v>
      </c>
      <c r="R1603" s="5" t="s">
        <v>18433</v>
      </c>
      <c r="T1603" s="5" t="s">
        <v>14574</v>
      </c>
      <c r="U1603" s="5" t="s">
        <v>33</v>
      </c>
      <c r="V1603" s="5" t="s">
        <v>1705</v>
      </c>
      <c r="W1603" s="5" t="s">
        <v>10660</v>
      </c>
    </row>
    <row r="1604" spans="1:23" ht="12.5">
      <c r="A1604" s="5">
        <v>92114</v>
      </c>
      <c r="B1604" s="5" t="s">
        <v>5734</v>
      </c>
      <c r="C1604" s="5">
        <v>573007682024</v>
      </c>
      <c r="D1604" s="5">
        <v>95</v>
      </c>
      <c r="E1604" s="5" t="s">
        <v>42</v>
      </c>
      <c r="F1604" s="5" t="s">
        <v>33</v>
      </c>
      <c r="G1604" s="5" t="s">
        <v>5734</v>
      </c>
      <c r="H1604" s="5" t="s">
        <v>34</v>
      </c>
      <c r="I1604" s="5">
        <v>3007682024</v>
      </c>
      <c r="J1604" s="12">
        <v>46071</v>
      </c>
      <c r="K1604" s="11">
        <v>0</v>
      </c>
      <c r="M1604" s="10" t="s">
        <v>2686</v>
      </c>
      <c r="N1604" s="12">
        <v>46071.318592175929</v>
      </c>
      <c r="O1604" s="10" t="s">
        <v>18434</v>
      </c>
      <c r="P1604" s="5" t="s">
        <v>14571</v>
      </c>
      <c r="Q1604" s="5" t="s">
        <v>14572</v>
      </c>
      <c r="R1604" s="5" t="s">
        <v>18435</v>
      </c>
      <c r="T1604" s="5" t="s">
        <v>14574</v>
      </c>
      <c r="U1604" s="5" t="s">
        <v>33</v>
      </c>
      <c r="V1604" s="5" t="s">
        <v>43</v>
      </c>
      <c r="W1604" s="5" t="s">
        <v>10669</v>
      </c>
    </row>
    <row r="1605" spans="1:23" ht="12.5">
      <c r="A1605" s="5">
        <v>92115</v>
      </c>
      <c r="B1605" s="5" t="s">
        <v>10674</v>
      </c>
      <c r="C1605" s="10" t="s">
        <v>18436</v>
      </c>
      <c r="D1605" s="5">
        <v>95</v>
      </c>
      <c r="E1605" s="5" t="s">
        <v>42</v>
      </c>
      <c r="F1605" s="5" t="s">
        <v>33</v>
      </c>
      <c r="G1605" s="5" t="s">
        <v>10674</v>
      </c>
      <c r="H1605" s="5" t="s">
        <v>34</v>
      </c>
      <c r="I1605" s="5"/>
      <c r="J1605" s="12">
        <v>46071</v>
      </c>
      <c r="K1605" s="11">
        <v>0</v>
      </c>
      <c r="M1605" s="10" t="s">
        <v>15352</v>
      </c>
      <c r="N1605" s="12">
        <v>46071</v>
      </c>
      <c r="O1605" s="10" t="s">
        <v>14577</v>
      </c>
      <c r="P1605" s="5" t="s">
        <v>14571</v>
      </c>
      <c r="Q1605" s="5" t="s">
        <v>14572</v>
      </c>
      <c r="R1605" s="5" t="s">
        <v>18437</v>
      </c>
      <c r="T1605" s="5" t="s">
        <v>14574</v>
      </c>
      <c r="U1605" s="5" t="s">
        <v>33</v>
      </c>
      <c r="V1605" s="5" t="s">
        <v>196</v>
      </c>
      <c r="W1605" s="5" t="s">
        <v>2275</v>
      </c>
    </row>
    <row r="1606" spans="1:23" ht="12.5">
      <c r="A1606" s="5">
        <v>92116</v>
      </c>
      <c r="B1606" s="5" t="s">
        <v>10676</v>
      </c>
      <c r="C1606" s="5">
        <v>573005088989</v>
      </c>
      <c r="D1606" s="5">
        <v>29</v>
      </c>
      <c r="E1606" s="5" t="s">
        <v>309</v>
      </c>
      <c r="F1606" s="5" t="s">
        <v>33</v>
      </c>
      <c r="G1606" s="5" t="s">
        <v>10676</v>
      </c>
      <c r="H1606" s="5" t="s">
        <v>34</v>
      </c>
      <c r="I1606" s="5">
        <v>3005088989</v>
      </c>
      <c r="J1606" s="12">
        <v>46071</v>
      </c>
      <c r="K1606" s="11">
        <v>0</v>
      </c>
      <c r="M1606" s="10" t="s">
        <v>14850</v>
      </c>
      <c r="N1606" s="12">
        <v>46071.348454490741</v>
      </c>
      <c r="O1606" s="10" t="s">
        <v>16262</v>
      </c>
      <c r="P1606" s="5" t="s">
        <v>14571</v>
      </c>
      <c r="Q1606" s="5" t="s">
        <v>14572</v>
      </c>
      <c r="R1606" s="5" t="s">
        <v>18438</v>
      </c>
      <c r="T1606" s="5" t="s">
        <v>14574</v>
      </c>
      <c r="U1606" s="5" t="s">
        <v>33</v>
      </c>
      <c r="V1606" s="5" t="s">
        <v>37</v>
      </c>
      <c r="W1606" s="5" t="s">
        <v>10677</v>
      </c>
    </row>
    <row r="1607" spans="1:23" ht="12.5">
      <c r="A1607" s="5">
        <v>92117</v>
      </c>
      <c r="B1607" s="5" t="s">
        <v>10680</v>
      </c>
      <c r="C1607" s="10" t="s">
        <v>18439</v>
      </c>
      <c r="D1607" s="5">
        <v>29</v>
      </c>
      <c r="E1607" s="5" t="s">
        <v>309</v>
      </c>
      <c r="F1607" s="5" t="s">
        <v>33</v>
      </c>
      <c r="G1607" s="5" t="s">
        <v>10680</v>
      </c>
      <c r="H1607" s="5" t="s">
        <v>34</v>
      </c>
      <c r="I1607" s="5">
        <v>3013640820</v>
      </c>
      <c r="J1607" s="12">
        <v>46071</v>
      </c>
      <c r="K1607" s="11">
        <v>0</v>
      </c>
      <c r="M1607" s="10" t="s">
        <v>14850</v>
      </c>
      <c r="N1607" s="12">
        <v>46071</v>
      </c>
      <c r="O1607" s="10" t="s">
        <v>16262</v>
      </c>
      <c r="P1607" s="5" t="s">
        <v>14571</v>
      </c>
      <c r="Q1607" s="5" t="s">
        <v>14572</v>
      </c>
      <c r="R1607" s="5" t="s">
        <v>18440</v>
      </c>
      <c r="T1607" s="5" t="s">
        <v>14574</v>
      </c>
      <c r="U1607" s="5" t="s">
        <v>33</v>
      </c>
      <c r="V1607" s="5" t="s">
        <v>37</v>
      </c>
      <c r="W1607" s="5" t="s">
        <v>10681</v>
      </c>
    </row>
    <row r="1608" spans="1:23" ht="12.5">
      <c r="A1608" s="5">
        <v>92118</v>
      </c>
      <c r="B1608" s="5" t="s">
        <v>18441</v>
      </c>
      <c r="C1608" s="5">
        <v>573118660183</v>
      </c>
      <c r="D1608" s="5">
        <v>29</v>
      </c>
      <c r="E1608" s="5" t="s">
        <v>10664</v>
      </c>
      <c r="F1608" s="5" t="s">
        <v>249</v>
      </c>
      <c r="G1608" s="5" t="s">
        <v>10662</v>
      </c>
      <c r="H1608" s="5" t="s">
        <v>10663</v>
      </c>
      <c r="I1608" s="5">
        <v>3118660183</v>
      </c>
      <c r="J1608" s="12">
        <v>46071</v>
      </c>
      <c r="K1608" s="11">
        <v>0.41666666666787933</v>
      </c>
      <c r="M1608" s="10" t="s">
        <v>15064</v>
      </c>
      <c r="N1608" s="12">
        <v>46070.699510844905</v>
      </c>
      <c r="O1608" s="10" t="s">
        <v>15190</v>
      </c>
      <c r="P1608" s="5" t="s">
        <v>14571</v>
      </c>
      <c r="Q1608" s="5" t="s">
        <v>14572</v>
      </c>
      <c r="R1608" s="5" t="s">
        <v>18442</v>
      </c>
      <c r="T1608" s="5" t="s">
        <v>5994</v>
      </c>
      <c r="U1608" s="5" t="s">
        <v>14593</v>
      </c>
      <c r="V1608" s="5" t="s">
        <v>1481</v>
      </c>
      <c r="W1608" s="5"/>
    </row>
    <row r="1609" spans="1:23" ht="12.5">
      <c r="A1609" s="5">
        <v>92119</v>
      </c>
      <c r="B1609" s="5" t="s">
        <v>18443</v>
      </c>
      <c r="C1609" s="5">
        <v>573145037702</v>
      </c>
      <c r="D1609" s="5">
        <v>65</v>
      </c>
      <c r="E1609" s="5" t="s">
        <v>322</v>
      </c>
      <c r="F1609" s="5" t="s">
        <v>103</v>
      </c>
      <c r="G1609" s="5" t="s">
        <v>10695</v>
      </c>
      <c r="H1609" s="5" t="s">
        <v>10696</v>
      </c>
      <c r="I1609" s="5">
        <v>3145037702</v>
      </c>
      <c r="J1609" s="12">
        <v>46071</v>
      </c>
      <c r="K1609" s="11">
        <v>0.41666666666787933</v>
      </c>
      <c r="M1609" s="10" t="s">
        <v>16077</v>
      </c>
      <c r="N1609" s="12">
        <v>46071.362761192126</v>
      </c>
      <c r="O1609" s="10" t="s">
        <v>15971</v>
      </c>
      <c r="P1609" s="5" t="s">
        <v>14571</v>
      </c>
      <c r="Q1609" s="5" t="s">
        <v>14578</v>
      </c>
      <c r="R1609" s="5" t="s">
        <v>18444</v>
      </c>
      <c r="T1609" s="5" t="s">
        <v>5994</v>
      </c>
      <c r="U1609" s="5" t="s">
        <v>14593</v>
      </c>
      <c r="V1609" s="5" t="s">
        <v>1481</v>
      </c>
      <c r="W1609" s="5" t="s">
        <v>10697</v>
      </c>
    </row>
    <row r="1610" spans="1:23" ht="12.5">
      <c r="A1610" s="5">
        <v>92120</v>
      </c>
      <c r="B1610" s="5" t="s">
        <v>18445</v>
      </c>
      <c r="C1610" s="10" t="s">
        <v>18446</v>
      </c>
      <c r="D1610" s="5">
        <v>53</v>
      </c>
      <c r="E1610" s="5" t="s">
        <v>75</v>
      </c>
      <c r="F1610" s="5" t="s">
        <v>103</v>
      </c>
      <c r="G1610" s="5" t="s">
        <v>18447</v>
      </c>
      <c r="H1610" s="5" t="s">
        <v>10685</v>
      </c>
      <c r="I1610" s="5">
        <v>3008771538</v>
      </c>
      <c r="J1610" s="12">
        <v>46071</v>
      </c>
      <c r="K1610" s="11">
        <v>0.41666666666666669</v>
      </c>
      <c r="M1610" s="10" t="s">
        <v>14627</v>
      </c>
      <c r="N1610" s="12">
        <v>46071</v>
      </c>
      <c r="O1610" s="10" t="s">
        <v>17222</v>
      </c>
      <c r="P1610" s="5" t="s">
        <v>14571</v>
      </c>
      <c r="Q1610" s="5" t="s">
        <v>14572</v>
      </c>
      <c r="R1610" s="5" t="s">
        <v>18448</v>
      </c>
      <c r="T1610" s="5" t="s">
        <v>5994</v>
      </c>
      <c r="U1610" s="5" t="s">
        <v>14593</v>
      </c>
      <c r="V1610" s="5" t="s">
        <v>180</v>
      </c>
      <c r="W1610" s="5"/>
    </row>
    <row r="1611" spans="1:23" ht="12.5">
      <c r="A1611" s="5">
        <v>92121</v>
      </c>
      <c r="B1611" s="5" t="s">
        <v>18449</v>
      </c>
      <c r="C1611" s="10" t="s">
        <v>18450</v>
      </c>
      <c r="D1611" s="5">
        <v>29</v>
      </c>
      <c r="E1611" s="5" t="s">
        <v>309</v>
      </c>
      <c r="F1611" s="5" t="s">
        <v>1317</v>
      </c>
      <c r="G1611" s="5" t="s">
        <v>10699</v>
      </c>
      <c r="H1611" s="5" t="s">
        <v>10700</v>
      </c>
      <c r="I1611" s="5">
        <v>3023900082</v>
      </c>
      <c r="J1611" s="12">
        <v>46071</v>
      </c>
      <c r="K1611" s="11">
        <v>0.41666666666666669</v>
      </c>
      <c r="M1611" s="10" t="s">
        <v>14705</v>
      </c>
      <c r="N1611" s="12">
        <v>46071</v>
      </c>
      <c r="O1611" s="10" t="s">
        <v>18451</v>
      </c>
      <c r="P1611" s="5" t="s">
        <v>14571</v>
      </c>
      <c r="Q1611" s="5" t="s">
        <v>14572</v>
      </c>
      <c r="R1611" s="5" t="s">
        <v>18452</v>
      </c>
      <c r="T1611" s="5" t="s">
        <v>5994</v>
      </c>
      <c r="U1611" s="5" t="s">
        <v>15349</v>
      </c>
      <c r="V1611" s="5" t="s">
        <v>1481</v>
      </c>
      <c r="W1611" s="5" t="s">
        <v>10703</v>
      </c>
    </row>
    <row r="1612" spans="1:23" ht="12.5">
      <c r="A1612" s="5">
        <v>92122</v>
      </c>
      <c r="B1612" s="5" t="s">
        <v>18453</v>
      </c>
      <c r="C1612" s="5">
        <v>573053433925</v>
      </c>
      <c r="D1612" s="5">
        <v>8</v>
      </c>
      <c r="E1612" s="5" t="s">
        <v>8347</v>
      </c>
      <c r="F1612" s="5" t="s">
        <v>124</v>
      </c>
      <c r="G1612" s="5" t="s">
        <v>10689</v>
      </c>
      <c r="H1612" s="5" t="s">
        <v>10690</v>
      </c>
      <c r="I1612" s="5">
        <v>3017704566</v>
      </c>
      <c r="J1612" s="12">
        <v>46071</v>
      </c>
      <c r="K1612" s="11">
        <v>0</v>
      </c>
      <c r="M1612" s="10" t="s">
        <v>17430</v>
      </c>
      <c r="N1612" s="12">
        <v>46071.361999629633</v>
      </c>
      <c r="O1612" s="10" t="s">
        <v>15007</v>
      </c>
      <c r="P1612" s="5" t="s">
        <v>14571</v>
      </c>
      <c r="Q1612" s="5" t="s">
        <v>14612</v>
      </c>
      <c r="R1612" s="5" t="s">
        <v>18454</v>
      </c>
      <c r="T1612" s="5" t="s">
        <v>5994</v>
      </c>
      <c r="U1612" s="5" t="s">
        <v>14775</v>
      </c>
      <c r="V1612" s="5" t="s">
        <v>1481</v>
      </c>
      <c r="W1612" s="5"/>
    </row>
    <row r="1613" spans="1:23" ht="12.5">
      <c r="A1613" s="5">
        <v>92123</v>
      </c>
      <c r="B1613" s="5" t="s">
        <v>10705</v>
      </c>
      <c r="C1613" s="10" t="s">
        <v>18455</v>
      </c>
      <c r="D1613" s="5">
        <v>8</v>
      </c>
      <c r="E1613" s="5" t="s">
        <v>8347</v>
      </c>
      <c r="F1613" s="5" t="s">
        <v>33</v>
      </c>
      <c r="G1613" s="5" t="s">
        <v>10705</v>
      </c>
      <c r="H1613" s="5" t="s">
        <v>34</v>
      </c>
      <c r="I1613" s="5">
        <v>3023611782</v>
      </c>
      <c r="J1613" s="12">
        <v>46071</v>
      </c>
      <c r="K1613" s="11">
        <v>0.4375</v>
      </c>
      <c r="M1613" s="10" t="s">
        <v>15480</v>
      </c>
      <c r="N1613" s="12">
        <v>46071</v>
      </c>
      <c r="O1613" s="10" t="s">
        <v>16757</v>
      </c>
      <c r="P1613" s="5" t="s">
        <v>14571</v>
      </c>
      <c r="Q1613" s="5" t="s">
        <v>14578</v>
      </c>
      <c r="R1613" s="5" t="s">
        <v>18456</v>
      </c>
      <c r="T1613" s="5" t="s">
        <v>14574</v>
      </c>
      <c r="U1613" s="5" t="s">
        <v>33</v>
      </c>
      <c r="V1613" s="5" t="s">
        <v>1705</v>
      </c>
      <c r="W1613" s="5" t="s">
        <v>10706</v>
      </c>
    </row>
    <row r="1614" spans="1:23" ht="12.5">
      <c r="A1614" s="5">
        <v>92124</v>
      </c>
      <c r="B1614" s="5" t="s">
        <v>18457</v>
      </c>
      <c r="C1614" s="5">
        <v>573205746096</v>
      </c>
      <c r="D1614" s="5">
        <v>73</v>
      </c>
      <c r="E1614" s="5" t="s">
        <v>918</v>
      </c>
      <c r="F1614" s="5" t="s">
        <v>307</v>
      </c>
      <c r="G1614" s="5" t="s">
        <v>10670</v>
      </c>
      <c r="H1614" s="5" t="s">
        <v>10671</v>
      </c>
      <c r="I1614" s="5">
        <v>3015016575</v>
      </c>
      <c r="J1614" s="12">
        <v>46072</v>
      </c>
      <c r="K1614" s="11">
        <v>0.45833333333212067</v>
      </c>
      <c r="M1614" s="10" t="s">
        <v>15859</v>
      </c>
      <c r="N1614" s="12">
        <v>46071.326851307866</v>
      </c>
      <c r="O1614" s="10" t="s">
        <v>14999</v>
      </c>
      <c r="P1614" s="5" t="s">
        <v>14571</v>
      </c>
      <c r="Q1614" s="5" t="s">
        <v>14612</v>
      </c>
      <c r="R1614" s="5" t="s">
        <v>18458</v>
      </c>
      <c r="T1614" s="5" t="s">
        <v>5994</v>
      </c>
      <c r="U1614" s="5" t="s">
        <v>14618</v>
      </c>
      <c r="V1614" s="5" t="s">
        <v>1937</v>
      </c>
      <c r="W1614" s="5"/>
    </row>
    <row r="1615" spans="1:23" ht="12.5">
      <c r="A1615" s="5">
        <v>92125</v>
      </c>
      <c r="B1615" s="5" t="s">
        <v>18459</v>
      </c>
      <c r="C1615" s="5">
        <v>573185720163</v>
      </c>
      <c r="D1615" s="5">
        <v>95</v>
      </c>
      <c r="E1615" s="5" t="s">
        <v>42</v>
      </c>
      <c r="F1615" s="5" t="s">
        <v>6905</v>
      </c>
      <c r="G1615" s="5" t="s">
        <v>10716</v>
      </c>
      <c r="H1615" s="5" t="s">
        <v>10717</v>
      </c>
      <c r="I1615" s="5"/>
      <c r="J1615" s="12">
        <v>46071</v>
      </c>
      <c r="K1615" s="11">
        <v>0.45833333333212067</v>
      </c>
      <c r="M1615" s="10" t="s">
        <v>16073</v>
      </c>
      <c r="N1615" s="12">
        <v>46071.403294756943</v>
      </c>
      <c r="O1615" s="10" t="s">
        <v>16947</v>
      </c>
      <c r="P1615" s="5" t="s">
        <v>14571</v>
      </c>
      <c r="Q1615" s="5" t="s">
        <v>14572</v>
      </c>
      <c r="R1615" s="5" t="s">
        <v>18460</v>
      </c>
      <c r="T1615" s="5" t="s">
        <v>5994</v>
      </c>
      <c r="U1615" s="5" t="s">
        <v>14598</v>
      </c>
      <c r="V1615" s="5" t="s">
        <v>1481</v>
      </c>
      <c r="W1615" s="5" t="s">
        <v>10719</v>
      </c>
    </row>
    <row r="1616" spans="1:23" ht="12.5">
      <c r="A1616" s="5">
        <v>92126</v>
      </c>
      <c r="B1616" s="5" t="s">
        <v>18461</v>
      </c>
      <c r="C1616" s="5">
        <v>573173467743</v>
      </c>
      <c r="D1616" s="5">
        <v>5</v>
      </c>
      <c r="E1616" s="5" t="s">
        <v>3111</v>
      </c>
      <c r="F1616" s="5" t="s">
        <v>73</v>
      </c>
      <c r="G1616" s="5" t="s">
        <v>10721</v>
      </c>
      <c r="H1616" s="5" t="s">
        <v>10722</v>
      </c>
      <c r="I1616" s="5">
        <v>3133954102</v>
      </c>
      <c r="J1616" s="12">
        <v>46071</v>
      </c>
      <c r="K1616" s="11">
        <v>0</v>
      </c>
      <c r="M1616" s="10" t="s">
        <v>14890</v>
      </c>
      <c r="N1616" s="12">
        <v>46071.411337488425</v>
      </c>
      <c r="O1616" s="10" t="s">
        <v>18462</v>
      </c>
      <c r="P1616" s="5" t="s">
        <v>14571</v>
      </c>
      <c r="Q1616" s="5" t="s">
        <v>14572</v>
      </c>
      <c r="R1616" s="5" t="s">
        <v>18463</v>
      </c>
      <c r="T1616" s="5" t="s">
        <v>5994</v>
      </c>
      <c r="U1616" s="5" t="s">
        <v>14593</v>
      </c>
      <c r="V1616" s="5" t="s">
        <v>1937</v>
      </c>
      <c r="W1616" s="5"/>
    </row>
    <row r="1617" spans="1:23" ht="12.5">
      <c r="A1617" s="5">
        <v>92127</v>
      </c>
      <c r="B1617" s="5" t="s">
        <v>18464</v>
      </c>
      <c r="C1617" s="10" t="s">
        <v>18465</v>
      </c>
      <c r="D1617" s="5">
        <v>6</v>
      </c>
      <c r="E1617" s="5" t="s">
        <v>1049</v>
      </c>
      <c r="F1617" s="5" t="s">
        <v>73</v>
      </c>
      <c r="G1617" s="5" t="s">
        <v>18466</v>
      </c>
      <c r="H1617" s="5" t="s">
        <v>10708</v>
      </c>
      <c r="I1617" s="5">
        <v>3004410923</v>
      </c>
      <c r="J1617" s="12">
        <v>46074</v>
      </c>
      <c r="K1617" s="11">
        <v>0</v>
      </c>
      <c r="M1617" s="10" t="s">
        <v>14672</v>
      </c>
      <c r="N1617" s="12">
        <v>46071</v>
      </c>
      <c r="O1617" s="10" t="s">
        <v>17105</v>
      </c>
      <c r="P1617" s="5" t="s">
        <v>14571</v>
      </c>
      <c r="Q1617" s="5" t="s">
        <v>14578</v>
      </c>
      <c r="R1617" s="5" t="s">
        <v>18467</v>
      </c>
      <c r="T1617" s="5" t="s">
        <v>5994</v>
      </c>
      <c r="U1617" s="5" t="s">
        <v>14593</v>
      </c>
      <c r="V1617" s="5" t="s">
        <v>1481</v>
      </c>
      <c r="W1617" s="5" t="s">
        <v>10711</v>
      </c>
    </row>
    <row r="1618" spans="1:23" ht="12.5">
      <c r="A1618" s="5">
        <v>92128</v>
      </c>
      <c r="B1618" s="5" t="s">
        <v>15307</v>
      </c>
      <c r="C1618" s="5">
        <v>573192835538</v>
      </c>
      <c r="D1618" s="5">
        <v>32</v>
      </c>
      <c r="E1618" s="5" t="s">
        <v>65</v>
      </c>
      <c r="F1618" s="5" t="s">
        <v>185</v>
      </c>
      <c r="G1618" s="5" t="s">
        <v>4071</v>
      </c>
      <c r="H1618" s="5" t="s">
        <v>10712</v>
      </c>
      <c r="I1618" s="5">
        <v>3192835538</v>
      </c>
      <c r="J1618" s="12">
        <v>46077</v>
      </c>
      <c r="K1618" s="11">
        <v>0</v>
      </c>
      <c r="M1618" s="10" t="s">
        <v>14850</v>
      </c>
      <c r="N1618" s="12">
        <v>46071.397567835651</v>
      </c>
      <c r="O1618" s="10" t="s">
        <v>16454</v>
      </c>
      <c r="P1618" s="5" t="s">
        <v>14571</v>
      </c>
      <c r="Q1618" s="5" t="s">
        <v>14578</v>
      </c>
      <c r="R1618" s="5" t="s">
        <v>18468</v>
      </c>
      <c r="T1618" s="5" t="s">
        <v>5994</v>
      </c>
      <c r="U1618" s="5" t="s">
        <v>14580</v>
      </c>
      <c r="V1618" s="5" t="s">
        <v>1705</v>
      </c>
      <c r="W1618" s="5" t="s">
        <v>10714</v>
      </c>
    </row>
    <row r="1619" spans="1:23" ht="12.5">
      <c r="A1619" s="5">
        <v>92129</v>
      </c>
      <c r="B1619" s="5" t="s">
        <v>10727</v>
      </c>
      <c r="C1619" s="5">
        <v>573004605616</v>
      </c>
      <c r="D1619" s="5">
        <v>28</v>
      </c>
      <c r="E1619" s="5" t="s">
        <v>435</v>
      </c>
      <c r="F1619" s="5" t="s">
        <v>33</v>
      </c>
      <c r="G1619" s="5" t="s">
        <v>10727</v>
      </c>
      <c r="H1619" s="5" t="s">
        <v>34</v>
      </c>
      <c r="I1619" s="5">
        <v>3004605616</v>
      </c>
      <c r="J1619" s="12">
        <v>46071</v>
      </c>
      <c r="K1619" s="11">
        <v>0</v>
      </c>
      <c r="M1619" s="10" t="s">
        <v>16222</v>
      </c>
      <c r="N1619" s="12">
        <v>46071.44630466435</v>
      </c>
      <c r="O1619" s="10" t="s">
        <v>18469</v>
      </c>
      <c r="P1619" s="5" t="s">
        <v>14571</v>
      </c>
      <c r="Q1619" s="5" t="s">
        <v>14578</v>
      </c>
      <c r="R1619" s="5" t="s">
        <v>18470</v>
      </c>
      <c r="T1619" s="5" t="s">
        <v>14574</v>
      </c>
      <c r="U1619" s="5" t="s">
        <v>33</v>
      </c>
      <c r="V1619" s="5" t="s">
        <v>37</v>
      </c>
      <c r="W1619" s="5" t="s">
        <v>10728</v>
      </c>
    </row>
    <row r="1620" spans="1:23" ht="12.5">
      <c r="A1620" s="5">
        <v>92130</v>
      </c>
      <c r="B1620" s="5" t="s">
        <v>10729</v>
      </c>
      <c r="C1620" s="5">
        <v>5730157180100</v>
      </c>
      <c r="D1620" s="5">
        <v>45</v>
      </c>
      <c r="E1620" s="5" t="s">
        <v>210</v>
      </c>
      <c r="F1620" s="5" t="s">
        <v>33</v>
      </c>
      <c r="G1620" s="5" t="s">
        <v>10729</v>
      </c>
      <c r="H1620" s="5" t="s">
        <v>34</v>
      </c>
      <c r="I1620" s="5">
        <v>30157180100</v>
      </c>
      <c r="J1620" s="12">
        <v>46071</v>
      </c>
      <c r="K1620" s="11">
        <v>0.47916666666787933</v>
      </c>
      <c r="M1620" s="10" t="s">
        <v>14734</v>
      </c>
      <c r="N1620" s="12">
        <v>46071.44640100695</v>
      </c>
      <c r="O1620" s="10" t="s">
        <v>18471</v>
      </c>
      <c r="P1620" s="5" t="s">
        <v>14571</v>
      </c>
      <c r="Q1620" s="5" t="s">
        <v>14612</v>
      </c>
      <c r="R1620" s="5" t="s">
        <v>18472</v>
      </c>
      <c r="T1620" s="5" t="s">
        <v>14574</v>
      </c>
      <c r="U1620" s="5" t="s">
        <v>33</v>
      </c>
      <c r="V1620" s="5" t="s">
        <v>1481</v>
      </c>
      <c r="W1620" s="5"/>
    </row>
    <row r="1621" spans="1:23" ht="12.5">
      <c r="A1621" s="5">
        <v>92131</v>
      </c>
      <c r="B1621" s="5" t="s">
        <v>10731</v>
      </c>
      <c r="C1621" s="5">
        <v>573016973797</v>
      </c>
      <c r="D1621" s="5">
        <v>52</v>
      </c>
      <c r="E1621" s="5" t="s">
        <v>178</v>
      </c>
      <c r="F1621" s="5" t="s">
        <v>33</v>
      </c>
      <c r="G1621" s="5" t="s">
        <v>10731</v>
      </c>
      <c r="H1621" s="5" t="s">
        <v>34</v>
      </c>
      <c r="I1621" s="5">
        <v>3016973797</v>
      </c>
      <c r="J1621" s="12">
        <v>46071</v>
      </c>
      <c r="K1621" s="11">
        <v>0</v>
      </c>
      <c r="M1621" s="10" t="s">
        <v>15161</v>
      </c>
      <c r="N1621" s="12">
        <v>46071.455798981478</v>
      </c>
      <c r="O1621" s="10" t="s">
        <v>14654</v>
      </c>
      <c r="P1621" s="5" t="s">
        <v>14571</v>
      </c>
      <c r="Q1621" s="5" t="s">
        <v>14572</v>
      </c>
      <c r="R1621" s="5" t="s">
        <v>18473</v>
      </c>
      <c r="T1621" s="5" t="s">
        <v>14574</v>
      </c>
      <c r="U1621" s="5" t="s">
        <v>33</v>
      </c>
      <c r="V1621" s="5" t="s">
        <v>37</v>
      </c>
      <c r="W1621" s="5" t="s">
        <v>10732</v>
      </c>
    </row>
    <row r="1622" spans="1:23" ht="12.5">
      <c r="A1622" s="5">
        <v>92132</v>
      </c>
      <c r="B1622" s="5" t="s">
        <v>18474</v>
      </c>
      <c r="C1622" s="5">
        <v>57000</v>
      </c>
      <c r="D1622" s="5">
        <v>95</v>
      </c>
      <c r="E1622" s="5" t="s">
        <v>42</v>
      </c>
      <c r="F1622" s="5"/>
      <c r="G1622" s="5" t="s">
        <v>10735</v>
      </c>
      <c r="H1622" s="5" t="s">
        <v>10736</v>
      </c>
      <c r="I1622" s="5"/>
      <c r="J1622" s="12">
        <v>46071</v>
      </c>
      <c r="K1622" s="11">
        <v>0</v>
      </c>
      <c r="M1622" s="10" t="s">
        <v>10581</v>
      </c>
      <c r="N1622" s="12">
        <v>46071.459850277781</v>
      </c>
      <c r="O1622" s="10" t="s">
        <v>14984</v>
      </c>
      <c r="P1622" s="5" t="s">
        <v>14571</v>
      </c>
      <c r="Q1622" s="5" t="s">
        <v>14578</v>
      </c>
      <c r="R1622" s="5" t="s">
        <v>18475</v>
      </c>
      <c r="T1622" s="5" t="s">
        <v>5994</v>
      </c>
      <c r="U1622" s="5"/>
      <c r="V1622" s="5" t="s">
        <v>7644</v>
      </c>
      <c r="W1622" s="5" t="s">
        <v>10738</v>
      </c>
    </row>
    <row r="1623" spans="1:23" ht="12.5">
      <c r="A1623" s="5">
        <v>92133</v>
      </c>
      <c r="B1623" s="5" t="s">
        <v>4232</v>
      </c>
      <c r="C1623" s="10" t="s">
        <v>18476</v>
      </c>
      <c r="D1623" s="5">
        <v>95</v>
      </c>
      <c r="E1623" s="5" t="s">
        <v>42</v>
      </c>
      <c r="F1623" s="5" t="s">
        <v>33</v>
      </c>
      <c r="G1623" s="5" t="s">
        <v>4232</v>
      </c>
      <c r="H1623" s="5" t="s">
        <v>34</v>
      </c>
      <c r="I1623" s="5">
        <v>3013638788</v>
      </c>
      <c r="J1623" s="12">
        <v>46071</v>
      </c>
      <c r="K1623" s="11">
        <v>0</v>
      </c>
      <c r="M1623" s="10" t="s">
        <v>14627</v>
      </c>
      <c r="N1623" s="12">
        <v>46071</v>
      </c>
      <c r="O1623" s="10" t="s">
        <v>15079</v>
      </c>
      <c r="P1623" s="5" t="s">
        <v>14571</v>
      </c>
      <c r="Q1623" s="5" t="s">
        <v>14572</v>
      </c>
      <c r="R1623" s="5" t="s">
        <v>18477</v>
      </c>
      <c r="T1623" s="5" t="s">
        <v>14574</v>
      </c>
      <c r="U1623" s="5" t="s">
        <v>33</v>
      </c>
      <c r="V1623" s="5" t="s">
        <v>1481</v>
      </c>
      <c r="W1623" s="5" t="s">
        <v>525</v>
      </c>
    </row>
    <row r="1624" spans="1:23" ht="12.5">
      <c r="A1624" s="5">
        <v>92134</v>
      </c>
      <c r="B1624" s="5" t="s">
        <v>10667</v>
      </c>
      <c r="C1624" s="5">
        <v>573228690977</v>
      </c>
      <c r="D1624" s="5">
        <v>95</v>
      </c>
      <c r="E1624" s="5" t="s">
        <v>42</v>
      </c>
      <c r="F1624" s="5" t="s">
        <v>33</v>
      </c>
      <c r="G1624" s="5" t="s">
        <v>10667</v>
      </c>
      <c r="H1624" s="5" t="s">
        <v>34</v>
      </c>
      <c r="I1624" s="5">
        <v>3228690977</v>
      </c>
      <c r="J1624" s="12">
        <v>46071</v>
      </c>
      <c r="K1624" s="11">
        <v>0</v>
      </c>
      <c r="M1624" s="10" t="s">
        <v>15352</v>
      </c>
      <c r="N1624" s="12">
        <v>46071.283499027777</v>
      </c>
      <c r="O1624" s="10" t="s">
        <v>15843</v>
      </c>
      <c r="P1624" s="5" t="s">
        <v>14571</v>
      </c>
      <c r="Q1624" s="5" t="s">
        <v>14572</v>
      </c>
      <c r="R1624" s="5" t="s">
        <v>18478</v>
      </c>
      <c r="T1624" s="5" t="s">
        <v>14574</v>
      </c>
      <c r="U1624" s="5" t="s">
        <v>33</v>
      </c>
      <c r="V1624" s="5" t="s">
        <v>1481</v>
      </c>
      <c r="W1624" s="5" t="s">
        <v>7733</v>
      </c>
    </row>
    <row r="1625" spans="1:23" ht="12.5">
      <c r="A1625" s="5">
        <v>92135</v>
      </c>
      <c r="B1625" s="5" t="s">
        <v>18479</v>
      </c>
      <c r="C1625" s="5">
        <v>573125108177</v>
      </c>
      <c r="D1625" s="5" t="s">
        <v>14589</v>
      </c>
      <c r="E1625" s="5" t="s">
        <v>7527</v>
      </c>
      <c r="F1625" s="5" t="s">
        <v>63</v>
      </c>
      <c r="G1625" s="5" t="s">
        <v>10740</v>
      </c>
      <c r="H1625" s="5" t="s">
        <v>10741</v>
      </c>
      <c r="I1625" s="5">
        <v>3245900846</v>
      </c>
      <c r="J1625" s="12">
        <v>46071</v>
      </c>
      <c r="K1625" s="11">
        <v>0</v>
      </c>
      <c r="M1625" s="10" t="s">
        <v>15359</v>
      </c>
      <c r="N1625" s="12">
        <v>46071.506222407406</v>
      </c>
      <c r="O1625" s="10" t="s">
        <v>15073</v>
      </c>
      <c r="P1625" s="5" t="s">
        <v>14571</v>
      </c>
      <c r="Q1625" s="5" t="s">
        <v>14578</v>
      </c>
      <c r="R1625" s="5" t="s">
        <v>18480</v>
      </c>
      <c r="T1625" s="5" t="s">
        <v>5994</v>
      </c>
      <c r="U1625" s="5" t="s">
        <v>14598</v>
      </c>
      <c r="V1625" s="5" t="s">
        <v>204</v>
      </c>
      <c r="W1625" s="5" t="s">
        <v>10744</v>
      </c>
    </row>
    <row r="1626" spans="1:23" ht="12.5">
      <c r="A1626" s="5">
        <v>92136</v>
      </c>
      <c r="B1626" s="5" t="s">
        <v>18481</v>
      </c>
      <c r="C1626" s="10" t="s">
        <v>18482</v>
      </c>
      <c r="D1626" s="5">
        <v>95</v>
      </c>
      <c r="E1626" s="5" t="s">
        <v>42</v>
      </c>
      <c r="F1626" s="5" t="s">
        <v>161</v>
      </c>
      <c r="G1626" s="5" t="s">
        <v>10750</v>
      </c>
      <c r="H1626" s="5" t="s">
        <v>10751</v>
      </c>
      <c r="I1626" s="5"/>
      <c r="J1626" s="12">
        <v>46071</v>
      </c>
      <c r="K1626" s="11">
        <v>0</v>
      </c>
      <c r="M1626" s="10" t="s">
        <v>16228</v>
      </c>
      <c r="N1626" s="12">
        <v>46071</v>
      </c>
      <c r="O1626" s="10" t="s">
        <v>15531</v>
      </c>
      <c r="P1626" s="5" t="s">
        <v>14571</v>
      </c>
      <c r="Q1626" s="5" t="s">
        <v>14612</v>
      </c>
      <c r="R1626" s="5" t="s">
        <v>18483</v>
      </c>
      <c r="T1626" s="5" t="s">
        <v>5994</v>
      </c>
      <c r="U1626" s="5" t="s">
        <v>14593</v>
      </c>
      <c r="V1626" s="5" t="s">
        <v>1481</v>
      </c>
      <c r="W1626" s="5" t="s">
        <v>10752</v>
      </c>
    </row>
    <row r="1627" spans="1:23" ht="12.5">
      <c r="A1627" s="5">
        <v>92137</v>
      </c>
      <c r="B1627" s="5" t="s">
        <v>10747</v>
      </c>
      <c r="C1627" s="5">
        <v>57000</v>
      </c>
      <c r="D1627" s="5">
        <v>95</v>
      </c>
      <c r="E1627" s="5" t="s">
        <v>42</v>
      </c>
      <c r="F1627" s="5" t="s">
        <v>33</v>
      </c>
      <c r="G1627" s="5" t="s">
        <v>10747</v>
      </c>
      <c r="H1627" s="5" t="s">
        <v>34</v>
      </c>
      <c r="I1627" s="10" t="s">
        <v>2686</v>
      </c>
      <c r="J1627" s="12">
        <v>46071</v>
      </c>
      <c r="K1627" s="11">
        <v>0</v>
      </c>
      <c r="M1627" s="10" t="s">
        <v>14910</v>
      </c>
      <c r="N1627" s="12">
        <v>46071.520703379632</v>
      </c>
      <c r="O1627" s="10" t="s">
        <v>16534</v>
      </c>
      <c r="P1627" s="5" t="s">
        <v>14571</v>
      </c>
      <c r="Q1627" s="5" t="s">
        <v>14578</v>
      </c>
      <c r="R1627" s="5" t="s">
        <v>18484</v>
      </c>
      <c r="T1627" s="5" t="s">
        <v>14574</v>
      </c>
      <c r="U1627" s="5" t="s">
        <v>33</v>
      </c>
      <c r="V1627" s="5" t="s">
        <v>1705</v>
      </c>
      <c r="W1627" s="5" t="s">
        <v>10748</v>
      </c>
    </row>
    <row r="1628" spans="1:23" ht="12.5">
      <c r="A1628" s="5">
        <v>92138</v>
      </c>
      <c r="B1628" s="5" t="s">
        <v>18485</v>
      </c>
      <c r="C1628" s="10" t="s">
        <v>18486</v>
      </c>
      <c r="D1628" s="5">
        <v>21</v>
      </c>
      <c r="E1628" s="5" t="s">
        <v>330</v>
      </c>
      <c r="F1628" s="5" t="s">
        <v>124</v>
      </c>
      <c r="G1628" s="5" t="s">
        <v>10758</v>
      </c>
      <c r="H1628" s="5" t="s">
        <v>10759</v>
      </c>
      <c r="I1628" s="5">
        <v>3006113742</v>
      </c>
      <c r="J1628" s="12">
        <v>46071</v>
      </c>
      <c r="K1628" s="11">
        <v>0</v>
      </c>
      <c r="M1628" s="10" t="s">
        <v>14615</v>
      </c>
      <c r="N1628" s="12">
        <v>46071</v>
      </c>
      <c r="O1628" s="10" t="s">
        <v>16200</v>
      </c>
      <c r="P1628" s="5" t="s">
        <v>14571</v>
      </c>
      <c r="Q1628" s="5" t="s">
        <v>14578</v>
      </c>
      <c r="R1628" s="5" t="s">
        <v>18487</v>
      </c>
      <c r="T1628" s="5" t="s">
        <v>5994</v>
      </c>
      <c r="U1628" s="5" t="s">
        <v>14775</v>
      </c>
      <c r="V1628" s="5" t="s">
        <v>1481</v>
      </c>
      <c r="W1628" s="5"/>
    </row>
    <row r="1629" spans="1:23" ht="12.5">
      <c r="A1629" s="5">
        <v>92139</v>
      </c>
      <c r="B1629" s="5" t="s">
        <v>10774</v>
      </c>
      <c r="C1629" s="10" t="s">
        <v>18488</v>
      </c>
      <c r="D1629" s="5">
        <v>29</v>
      </c>
      <c r="E1629" s="5" t="s">
        <v>309</v>
      </c>
      <c r="F1629" s="5" t="s">
        <v>33</v>
      </c>
      <c r="G1629" s="5" t="s">
        <v>10774</v>
      </c>
      <c r="H1629" s="5" t="s">
        <v>34</v>
      </c>
      <c r="I1629" s="5">
        <v>3002447555</v>
      </c>
      <c r="J1629" s="12">
        <v>46071</v>
      </c>
      <c r="K1629" s="11">
        <v>0</v>
      </c>
      <c r="M1629" s="10" t="s">
        <v>14850</v>
      </c>
      <c r="N1629" s="12">
        <v>46071</v>
      </c>
      <c r="O1629" s="10" t="s">
        <v>18489</v>
      </c>
      <c r="P1629" s="5" t="s">
        <v>14571</v>
      </c>
      <c r="Q1629" s="5" t="s">
        <v>14612</v>
      </c>
      <c r="R1629" s="5" t="s">
        <v>18490</v>
      </c>
      <c r="T1629" s="5" t="s">
        <v>14574</v>
      </c>
      <c r="U1629" s="5" t="s">
        <v>33</v>
      </c>
      <c r="V1629" s="5" t="s">
        <v>37</v>
      </c>
      <c r="W1629" s="5" t="s">
        <v>10775</v>
      </c>
    </row>
    <row r="1630" spans="1:23" ht="12.5">
      <c r="A1630" s="5">
        <v>92140</v>
      </c>
      <c r="B1630" s="5" t="s">
        <v>18491</v>
      </c>
      <c r="C1630" s="5">
        <v>573044900659</v>
      </c>
      <c r="D1630" s="5">
        <v>69</v>
      </c>
      <c r="E1630" s="5" t="s">
        <v>335</v>
      </c>
      <c r="F1630" s="5" t="s">
        <v>103</v>
      </c>
      <c r="G1630" s="5" t="s">
        <v>5827</v>
      </c>
      <c r="H1630" s="5" t="s">
        <v>10755</v>
      </c>
      <c r="I1630" s="5">
        <v>3023618030</v>
      </c>
      <c r="J1630" s="12">
        <v>46071</v>
      </c>
      <c r="K1630" s="11">
        <v>0</v>
      </c>
      <c r="M1630" s="10" t="s">
        <v>10581</v>
      </c>
      <c r="N1630" s="12">
        <v>46071.53859729167</v>
      </c>
      <c r="O1630" s="10" t="s">
        <v>16395</v>
      </c>
      <c r="P1630" s="5" t="s">
        <v>14571</v>
      </c>
      <c r="Q1630" s="5" t="s">
        <v>14572</v>
      </c>
      <c r="R1630" s="5" t="s">
        <v>18492</v>
      </c>
      <c r="T1630" s="5" t="s">
        <v>5994</v>
      </c>
      <c r="U1630" s="5" t="s">
        <v>14593</v>
      </c>
      <c r="V1630" s="5" t="s">
        <v>204</v>
      </c>
      <c r="W1630" s="5"/>
    </row>
    <row r="1631" spans="1:23" ht="12.5">
      <c r="A1631" s="5">
        <v>92141</v>
      </c>
      <c r="B1631" s="5" t="s">
        <v>18493</v>
      </c>
      <c r="C1631" s="5">
        <v>573176652449</v>
      </c>
      <c r="D1631" s="5" t="s">
        <v>18494</v>
      </c>
      <c r="E1631" s="5" t="s">
        <v>10771</v>
      </c>
      <c r="F1631" s="5" t="s">
        <v>161</v>
      </c>
      <c r="G1631" s="5" t="s">
        <v>10769</v>
      </c>
      <c r="H1631" s="5" t="s">
        <v>10770</v>
      </c>
      <c r="I1631" s="5"/>
      <c r="J1631" s="12">
        <v>46071</v>
      </c>
      <c r="K1631" s="11">
        <v>0</v>
      </c>
      <c r="M1631" s="10" t="s">
        <v>18495</v>
      </c>
      <c r="N1631" s="12">
        <v>46071.565991493058</v>
      </c>
      <c r="O1631" s="10" t="s">
        <v>15868</v>
      </c>
      <c r="P1631" s="5" t="s">
        <v>14571</v>
      </c>
      <c r="Q1631" s="5" t="s">
        <v>14572</v>
      </c>
      <c r="R1631" s="5" t="s">
        <v>18496</v>
      </c>
      <c r="T1631" s="5" t="s">
        <v>5994</v>
      </c>
      <c r="U1631" s="5" t="s">
        <v>14593</v>
      </c>
      <c r="V1631" s="5" t="s">
        <v>2163</v>
      </c>
      <c r="W1631" s="5"/>
    </row>
    <row r="1632" spans="1:23" ht="12.5">
      <c r="A1632" s="5">
        <v>92142</v>
      </c>
      <c r="B1632" s="5" t="s">
        <v>10764</v>
      </c>
      <c r="C1632" s="5">
        <v>573215240869</v>
      </c>
      <c r="D1632" s="5">
        <v>51</v>
      </c>
      <c r="E1632" s="5" t="s">
        <v>384</v>
      </c>
      <c r="F1632" s="5" t="s">
        <v>33</v>
      </c>
      <c r="G1632" s="5" t="s">
        <v>10764</v>
      </c>
      <c r="H1632" s="5" t="s">
        <v>34</v>
      </c>
      <c r="I1632" s="5">
        <v>3215240869</v>
      </c>
      <c r="J1632" s="12">
        <v>46071</v>
      </c>
      <c r="K1632" s="11">
        <v>0</v>
      </c>
      <c r="M1632" s="10" t="s">
        <v>14712</v>
      </c>
      <c r="N1632" s="12">
        <v>46071.55447278935</v>
      </c>
      <c r="O1632" s="10" t="s">
        <v>16728</v>
      </c>
      <c r="P1632" s="5" t="s">
        <v>14571</v>
      </c>
      <c r="Q1632" s="5" t="s">
        <v>14572</v>
      </c>
      <c r="R1632" s="5" t="s">
        <v>18497</v>
      </c>
      <c r="T1632" s="5" t="s">
        <v>14574</v>
      </c>
      <c r="U1632" s="5" t="s">
        <v>33</v>
      </c>
      <c r="V1632" s="5" t="s">
        <v>1481</v>
      </c>
      <c r="W1632" s="5"/>
    </row>
    <row r="1633" spans="1:23" ht="12.5">
      <c r="A1633" s="5">
        <v>92143</v>
      </c>
      <c r="B1633" s="5" t="s">
        <v>10782</v>
      </c>
      <c r="C1633" s="5">
        <v>57973824520</v>
      </c>
      <c r="D1633" s="5">
        <v>51</v>
      </c>
      <c r="E1633" s="5" t="s">
        <v>384</v>
      </c>
      <c r="F1633" s="5" t="s">
        <v>33</v>
      </c>
      <c r="G1633" s="5" t="s">
        <v>10782</v>
      </c>
      <c r="H1633" s="5" t="s">
        <v>34</v>
      </c>
      <c r="I1633" s="5">
        <v>973824520</v>
      </c>
      <c r="J1633" s="12">
        <v>46071</v>
      </c>
      <c r="K1633" s="11">
        <v>0</v>
      </c>
      <c r="M1633" s="10" t="s">
        <v>14712</v>
      </c>
      <c r="N1633" s="12">
        <v>46071.608954814816</v>
      </c>
      <c r="O1633" s="10" t="s">
        <v>14603</v>
      </c>
      <c r="P1633" s="5" t="s">
        <v>14571</v>
      </c>
      <c r="Q1633" s="5" t="s">
        <v>14572</v>
      </c>
      <c r="R1633" s="5" t="s">
        <v>18498</v>
      </c>
      <c r="T1633" s="5" t="s">
        <v>14574</v>
      </c>
      <c r="U1633" s="5" t="s">
        <v>33</v>
      </c>
      <c r="V1633" s="5" t="s">
        <v>43</v>
      </c>
      <c r="W1633" s="5" t="s">
        <v>10783</v>
      </c>
    </row>
    <row r="1634" spans="1:23" ht="12.5">
      <c r="A1634" s="5">
        <v>92144</v>
      </c>
      <c r="B1634" s="5" t="s">
        <v>17554</v>
      </c>
      <c r="C1634" s="5">
        <v>573145404704</v>
      </c>
      <c r="D1634" s="5">
        <v>62</v>
      </c>
      <c r="E1634" s="5" t="s">
        <v>2586</v>
      </c>
      <c r="F1634" s="5" t="s">
        <v>185</v>
      </c>
      <c r="G1634" s="5" t="s">
        <v>10788</v>
      </c>
      <c r="H1634" s="5" t="s">
        <v>10789</v>
      </c>
      <c r="I1634" s="5"/>
      <c r="J1634" s="12">
        <v>46071</v>
      </c>
      <c r="K1634" s="11">
        <v>0</v>
      </c>
      <c r="M1634" s="10" t="s">
        <v>14853</v>
      </c>
      <c r="N1634" s="12">
        <v>46071.614811134263</v>
      </c>
      <c r="O1634" s="10" t="s">
        <v>14954</v>
      </c>
      <c r="P1634" s="5" t="s">
        <v>14571</v>
      </c>
      <c r="Q1634" s="5" t="s">
        <v>14612</v>
      </c>
      <c r="R1634" s="5" t="s">
        <v>18499</v>
      </c>
      <c r="T1634" s="5" t="s">
        <v>5994</v>
      </c>
      <c r="U1634" s="5" t="s">
        <v>14580</v>
      </c>
      <c r="V1634" s="5" t="s">
        <v>1481</v>
      </c>
      <c r="W1634" s="5"/>
    </row>
    <row r="1635" spans="1:23" ht="12.5">
      <c r="A1635" s="5">
        <v>92145</v>
      </c>
      <c r="B1635" s="5" t="s">
        <v>18500</v>
      </c>
      <c r="C1635" s="10" t="s">
        <v>18501</v>
      </c>
      <c r="D1635" s="5">
        <v>64</v>
      </c>
      <c r="E1635" s="5" t="s">
        <v>133</v>
      </c>
      <c r="F1635" s="5" t="s">
        <v>73</v>
      </c>
      <c r="G1635" s="5" t="s">
        <v>10784</v>
      </c>
      <c r="H1635" s="5" t="s">
        <v>10785</v>
      </c>
      <c r="I1635" s="5"/>
      <c r="J1635" s="12">
        <v>46071</v>
      </c>
      <c r="K1635" s="11">
        <v>0</v>
      </c>
      <c r="M1635" s="10" t="s">
        <v>15623</v>
      </c>
      <c r="N1635" s="12">
        <v>46071</v>
      </c>
      <c r="O1635" s="10" t="s">
        <v>17329</v>
      </c>
      <c r="P1635" s="5" t="s">
        <v>14571</v>
      </c>
      <c r="Q1635" s="5" t="s">
        <v>14612</v>
      </c>
      <c r="R1635" s="5" t="s">
        <v>18502</v>
      </c>
      <c r="T1635" s="5" t="s">
        <v>5994</v>
      </c>
      <c r="U1635" s="5" t="s">
        <v>14593</v>
      </c>
      <c r="V1635" s="5" t="s">
        <v>1937</v>
      </c>
      <c r="W1635" s="5"/>
    </row>
    <row r="1636" spans="1:23" ht="12.5">
      <c r="A1636" s="5">
        <v>92146</v>
      </c>
      <c r="B1636" s="5" t="s">
        <v>18503</v>
      </c>
      <c r="C1636" s="5">
        <v>573006243506</v>
      </c>
      <c r="D1636" s="5">
        <v>30</v>
      </c>
      <c r="E1636" s="5" t="s">
        <v>156</v>
      </c>
      <c r="F1636" s="5" t="s">
        <v>405</v>
      </c>
      <c r="G1636" s="5" t="s">
        <v>7673</v>
      </c>
      <c r="H1636" s="5" t="s">
        <v>10792</v>
      </c>
      <c r="I1636" s="5">
        <v>3006243506</v>
      </c>
      <c r="J1636" s="12">
        <v>46071</v>
      </c>
      <c r="K1636" s="11">
        <v>0</v>
      </c>
      <c r="M1636" s="10" t="s">
        <v>15161</v>
      </c>
      <c r="N1636" s="12">
        <v>46071.616529131948</v>
      </c>
      <c r="O1636" s="10" t="s">
        <v>15710</v>
      </c>
      <c r="P1636" s="5" t="s">
        <v>14571</v>
      </c>
      <c r="Q1636" s="5" t="s">
        <v>14572</v>
      </c>
      <c r="R1636" s="5" t="s">
        <v>18504</v>
      </c>
      <c r="T1636" s="5" t="s">
        <v>5994</v>
      </c>
      <c r="U1636" s="5"/>
      <c r="V1636" s="5" t="s">
        <v>67</v>
      </c>
      <c r="W1636" s="5"/>
    </row>
    <row r="1637" spans="1:23" ht="12.5">
      <c r="A1637" s="5">
        <v>92147</v>
      </c>
      <c r="B1637" s="5" t="s">
        <v>167</v>
      </c>
      <c r="C1637" s="5">
        <v>573209485304</v>
      </c>
      <c r="D1637" s="5">
        <v>42</v>
      </c>
      <c r="E1637" s="5" t="s">
        <v>649</v>
      </c>
      <c r="F1637" s="5" t="s">
        <v>33</v>
      </c>
      <c r="G1637" s="5" t="s">
        <v>10780</v>
      </c>
      <c r="H1637" s="5" t="s">
        <v>34</v>
      </c>
      <c r="I1637" s="5"/>
      <c r="J1637" s="12">
        <v>46071</v>
      </c>
      <c r="K1637" s="11">
        <v>0</v>
      </c>
      <c r="M1637" s="10" t="s">
        <v>14712</v>
      </c>
      <c r="N1637" s="12">
        <v>46071.581671782405</v>
      </c>
      <c r="O1637" s="10" t="s">
        <v>18505</v>
      </c>
      <c r="P1637" s="5" t="s">
        <v>14571</v>
      </c>
      <c r="Q1637" s="5" t="s">
        <v>14572</v>
      </c>
      <c r="R1637" s="5" t="s">
        <v>18506</v>
      </c>
      <c r="T1637" s="5" t="s">
        <v>14574</v>
      </c>
      <c r="U1637" s="5" t="s">
        <v>33</v>
      </c>
      <c r="V1637" s="5" t="s">
        <v>1481</v>
      </c>
      <c r="W1637" s="5"/>
    </row>
    <row r="1638" spans="1:23" ht="12.5">
      <c r="A1638" s="5">
        <v>92148</v>
      </c>
      <c r="B1638" s="5" t="s">
        <v>18507</v>
      </c>
      <c r="C1638" s="10" t="s">
        <v>18508</v>
      </c>
      <c r="D1638" s="5">
        <v>29</v>
      </c>
      <c r="E1638" s="5" t="s">
        <v>309</v>
      </c>
      <c r="F1638" s="5" t="s">
        <v>33</v>
      </c>
      <c r="G1638" s="5" t="s">
        <v>18509</v>
      </c>
      <c r="H1638" s="5" t="s">
        <v>34</v>
      </c>
      <c r="I1638" s="5"/>
      <c r="J1638" s="12">
        <v>46071</v>
      </c>
      <c r="K1638" s="11">
        <v>0.66666666666666663</v>
      </c>
      <c r="M1638" s="10" t="s">
        <v>14850</v>
      </c>
      <c r="N1638" s="12">
        <v>46071</v>
      </c>
      <c r="O1638" s="10" t="s">
        <v>15453</v>
      </c>
      <c r="P1638" s="5" t="s">
        <v>14571</v>
      </c>
      <c r="Q1638" s="5" t="s">
        <v>14612</v>
      </c>
      <c r="R1638" s="5" t="s">
        <v>18510</v>
      </c>
      <c r="T1638" s="5" t="s">
        <v>14574</v>
      </c>
      <c r="U1638" s="5" t="s">
        <v>33</v>
      </c>
      <c r="V1638" s="5" t="s">
        <v>2163</v>
      </c>
      <c r="W1638" s="5" t="s">
        <v>10798</v>
      </c>
    </row>
    <row r="1639" spans="1:23" ht="12.5">
      <c r="A1639" s="5">
        <v>92149</v>
      </c>
      <c r="B1639" s="5" t="s">
        <v>18511</v>
      </c>
      <c r="C1639" s="10" t="s">
        <v>18512</v>
      </c>
      <c r="D1639" s="5">
        <v>29</v>
      </c>
      <c r="E1639" s="5" t="s">
        <v>309</v>
      </c>
      <c r="F1639" s="5" t="s">
        <v>63</v>
      </c>
      <c r="G1639" s="5" t="s">
        <v>10804</v>
      </c>
      <c r="H1639" s="5" t="s">
        <v>10801</v>
      </c>
      <c r="I1639" s="5">
        <v>3017395185</v>
      </c>
      <c r="J1639" s="12">
        <v>46071</v>
      </c>
      <c r="K1639" s="11">
        <v>0</v>
      </c>
      <c r="M1639" s="10" t="s">
        <v>15179</v>
      </c>
      <c r="N1639" s="12">
        <v>46071</v>
      </c>
      <c r="O1639" s="10" t="s">
        <v>16925</v>
      </c>
      <c r="P1639" s="5" t="s">
        <v>14571</v>
      </c>
      <c r="Q1639" s="5" t="s">
        <v>14572</v>
      </c>
      <c r="R1639" s="5" t="s">
        <v>18513</v>
      </c>
      <c r="T1639" s="5" t="s">
        <v>5994</v>
      </c>
      <c r="U1639" s="5" t="s">
        <v>14598</v>
      </c>
      <c r="V1639" s="5" t="s">
        <v>67</v>
      </c>
      <c r="W1639" s="5" t="s">
        <v>10804</v>
      </c>
    </row>
    <row r="1640" spans="1:23" ht="12.5">
      <c r="A1640" s="5">
        <v>92150</v>
      </c>
      <c r="B1640" s="5" t="s">
        <v>10778</v>
      </c>
      <c r="C1640" s="5">
        <v>573106462770</v>
      </c>
      <c r="D1640" s="5">
        <v>95</v>
      </c>
      <c r="E1640" s="5" t="s">
        <v>42</v>
      </c>
      <c r="F1640" s="5" t="s">
        <v>516</v>
      </c>
      <c r="G1640" s="5" t="s">
        <v>10778</v>
      </c>
      <c r="H1640" s="5" t="s">
        <v>10779</v>
      </c>
      <c r="I1640" s="5">
        <v>3106462770</v>
      </c>
      <c r="J1640" s="12">
        <v>46072</v>
      </c>
      <c r="K1640" s="11">
        <v>0.375</v>
      </c>
      <c r="M1640" s="10" t="s">
        <v>18514</v>
      </c>
      <c r="N1640" s="12">
        <v>46071.571474375</v>
      </c>
      <c r="O1640" s="10" t="s">
        <v>15445</v>
      </c>
      <c r="P1640" s="5" t="s">
        <v>14571</v>
      </c>
      <c r="Q1640" s="5" t="s">
        <v>14572</v>
      </c>
      <c r="R1640" s="5" t="s">
        <v>18515</v>
      </c>
      <c r="T1640" s="5" t="s">
        <v>5994</v>
      </c>
      <c r="U1640" s="5" t="s">
        <v>14580</v>
      </c>
      <c r="V1640" s="5" t="s">
        <v>67</v>
      </c>
      <c r="W1640" s="5"/>
    </row>
    <row r="1641" spans="1:23" ht="12.5">
      <c r="A1641" s="5">
        <v>92151</v>
      </c>
      <c r="B1641" s="5" t="s">
        <v>10816</v>
      </c>
      <c r="C1641" s="5">
        <v>573167433876</v>
      </c>
      <c r="D1641" s="5">
        <v>95</v>
      </c>
      <c r="E1641" s="5" t="s">
        <v>42</v>
      </c>
      <c r="F1641" s="5" t="s">
        <v>33</v>
      </c>
      <c r="G1641" s="5" t="s">
        <v>10816</v>
      </c>
      <c r="H1641" s="5" t="s">
        <v>34</v>
      </c>
      <c r="I1641" s="5">
        <v>3167433876</v>
      </c>
      <c r="J1641" s="12">
        <v>46071</v>
      </c>
      <c r="K1641" s="11">
        <v>0</v>
      </c>
      <c r="M1641" s="10" t="s">
        <v>18516</v>
      </c>
      <c r="N1641" s="12">
        <v>46071.707357638894</v>
      </c>
      <c r="O1641" s="10" t="s">
        <v>14706</v>
      </c>
      <c r="P1641" s="5" t="s">
        <v>14571</v>
      </c>
      <c r="Q1641" s="5" t="s">
        <v>14578</v>
      </c>
      <c r="R1641" s="5" t="s">
        <v>18517</v>
      </c>
      <c r="T1641" s="5" t="s">
        <v>14574</v>
      </c>
      <c r="U1641" s="5" t="s">
        <v>33</v>
      </c>
      <c r="V1641" s="5" t="s">
        <v>2636</v>
      </c>
      <c r="W1641" s="5"/>
    </row>
    <row r="1642" spans="1:23" ht="12.5">
      <c r="A1642" s="5">
        <v>92152</v>
      </c>
      <c r="B1642" s="5" t="s">
        <v>18518</v>
      </c>
      <c r="C1642" s="10" t="s">
        <v>18519</v>
      </c>
      <c r="D1642" s="5">
        <v>71</v>
      </c>
      <c r="E1642" s="5" t="s">
        <v>734</v>
      </c>
      <c r="F1642" s="5" t="s">
        <v>73</v>
      </c>
      <c r="G1642" s="5" t="s">
        <v>10811</v>
      </c>
      <c r="H1642" s="5" t="s">
        <v>10812</v>
      </c>
      <c r="I1642" s="5"/>
      <c r="J1642" s="12">
        <v>46071</v>
      </c>
      <c r="K1642" s="11">
        <v>0</v>
      </c>
      <c r="M1642" s="10" t="s">
        <v>16470</v>
      </c>
      <c r="N1642" s="12">
        <v>46071</v>
      </c>
      <c r="O1642" s="10" t="s">
        <v>17270</v>
      </c>
      <c r="P1642" s="5" t="s">
        <v>14571</v>
      </c>
      <c r="Q1642" s="5" t="s">
        <v>14578</v>
      </c>
      <c r="R1642" s="5" t="s">
        <v>18520</v>
      </c>
      <c r="T1642" s="5" t="s">
        <v>5994</v>
      </c>
      <c r="U1642" s="5" t="s">
        <v>14593</v>
      </c>
      <c r="V1642" s="5" t="s">
        <v>1937</v>
      </c>
      <c r="W1642" s="5"/>
    </row>
    <row r="1643" spans="1:23" ht="12.5">
      <c r="A1643" s="5">
        <v>92153</v>
      </c>
      <c r="B1643" s="5" t="s">
        <v>10807</v>
      </c>
      <c r="C1643" s="5">
        <v>573015156415</v>
      </c>
      <c r="D1643" s="5" t="s">
        <v>18521</v>
      </c>
      <c r="E1643" s="5" t="s">
        <v>3159</v>
      </c>
      <c r="F1643" s="5" t="s">
        <v>33</v>
      </c>
      <c r="G1643" s="5" t="s">
        <v>10807</v>
      </c>
      <c r="H1643" s="5" t="s">
        <v>34</v>
      </c>
      <c r="I1643" s="5"/>
      <c r="J1643" s="12">
        <v>46074</v>
      </c>
      <c r="K1643" s="11">
        <v>0.375</v>
      </c>
      <c r="M1643" s="10" t="s">
        <v>14569</v>
      </c>
      <c r="N1643" s="12">
        <v>46071.705091944445</v>
      </c>
      <c r="O1643" s="10" t="s">
        <v>16244</v>
      </c>
      <c r="P1643" s="5" t="s">
        <v>14571</v>
      </c>
      <c r="Q1643" s="5" t="s">
        <v>14612</v>
      </c>
      <c r="R1643" s="5" t="s">
        <v>18522</v>
      </c>
      <c r="T1643" s="5" t="s">
        <v>14574</v>
      </c>
      <c r="U1643" s="5" t="s">
        <v>33</v>
      </c>
      <c r="V1643" s="5" t="s">
        <v>67</v>
      </c>
      <c r="W1643" s="5"/>
    </row>
    <row r="1644" spans="1:23" ht="12.5">
      <c r="A1644" s="5">
        <v>92154</v>
      </c>
      <c r="B1644" s="5" t="s">
        <v>10819</v>
      </c>
      <c r="C1644" s="5">
        <v>573003816859</v>
      </c>
      <c r="D1644" s="5">
        <v>29</v>
      </c>
      <c r="E1644" s="5" t="s">
        <v>309</v>
      </c>
      <c r="F1644" s="5" t="s">
        <v>33</v>
      </c>
      <c r="G1644" s="5" t="s">
        <v>10819</v>
      </c>
      <c r="H1644" s="5" t="s">
        <v>34</v>
      </c>
      <c r="I1644" s="5">
        <v>3003816859</v>
      </c>
      <c r="J1644" s="12">
        <v>46071</v>
      </c>
      <c r="K1644" s="11">
        <v>0</v>
      </c>
      <c r="M1644" s="10" t="s">
        <v>14850</v>
      </c>
      <c r="N1644" s="12">
        <v>46071.726996365745</v>
      </c>
      <c r="O1644" s="10" t="s">
        <v>17206</v>
      </c>
      <c r="P1644" s="5" t="s">
        <v>14571</v>
      </c>
      <c r="Q1644" s="5" t="s">
        <v>14578</v>
      </c>
      <c r="R1644" s="5" t="s">
        <v>18523</v>
      </c>
      <c r="T1644" s="5" t="s">
        <v>14574</v>
      </c>
      <c r="U1644" s="5" t="s">
        <v>33</v>
      </c>
      <c r="V1644" s="5" t="s">
        <v>37</v>
      </c>
      <c r="W1644" s="5" t="s">
        <v>10820</v>
      </c>
    </row>
    <row r="1645" spans="1:23" ht="12.5">
      <c r="A1645" s="5">
        <v>92155</v>
      </c>
      <c r="B1645" s="5" t="s">
        <v>10828</v>
      </c>
      <c r="C1645" s="5">
        <v>573003278825</v>
      </c>
      <c r="D1645" s="5">
        <v>95</v>
      </c>
      <c r="E1645" s="5" t="s">
        <v>42</v>
      </c>
      <c r="F1645" s="5" t="s">
        <v>33</v>
      </c>
      <c r="G1645" s="5" t="s">
        <v>10828</v>
      </c>
      <c r="H1645" s="5" t="s">
        <v>34</v>
      </c>
      <c r="I1645" s="5">
        <v>3003278825</v>
      </c>
      <c r="J1645" s="12">
        <v>46071</v>
      </c>
      <c r="K1645" s="11">
        <v>0</v>
      </c>
      <c r="M1645" s="10" t="s">
        <v>16308</v>
      </c>
      <c r="N1645" s="12">
        <v>46071.747425682872</v>
      </c>
      <c r="O1645" s="10" t="s">
        <v>15344</v>
      </c>
      <c r="P1645" s="5" t="s">
        <v>14571</v>
      </c>
      <c r="Q1645" s="5" t="s">
        <v>14578</v>
      </c>
      <c r="R1645" s="5" t="s">
        <v>18524</v>
      </c>
      <c r="T1645" s="5" t="s">
        <v>14574</v>
      </c>
      <c r="U1645" s="5" t="s">
        <v>33</v>
      </c>
      <c r="V1645" s="5" t="s">
        <v>1705</v>
      </c>
      <c r="W1645" s="5"/>
    </row>
    <row r="1646" spans="1:23" ht="12.5">
      <c r="A1646" s="5">
        <v>92156</v>
      </c>
      <c r="B1646" s="5" t="s">
        <v>10828</v>
      </c>
      <c r="C1646" s="10" t="s">
        <v>14799</v>
      </c>
      <c r="D1646" s="5">
        <v>95</v>
      </c>
      <c r="E1646" s="5" t="s">
        <v>42</v>
      </c>
      <c r="F1646" s="5" t="s">
        <v>33</v>
      </c>
      <c r="G1646" s="5" t="s">
        <v>10828</v>
      </c>
      <c r="H1646" s="5" t="s">
        <v>34</v>
      </c>
      <c r="I1646" s="10" t="s">
        <v>2686</v>
      </c>
      <c r="J1646" s="12">
        <v>46071</v>
      </c>
      <c r="K1646" s="11">
        <v>0</v>
      </c>
      <c r="M1646" s="10" t="s">
        <v>15352</v>
      </c>
      <c r="N1646" s="12">
        <v>46071</v>
      </c>
      <c r="O1646" s="10" t="s">
        <v>15210</v>
      </c>
      <c r="P1646" s="5" t="s">
        <v>14571</v>
      </c>
      <c r="Q1646" s="5" t="s">
        <v>14612</v>
      </c>
      <c r="R1646" s="5" t="s">
        <v>18525</v>
      </c>
      <c r="T1646" s="5" t="s">
        <v>14574</v>
      </c>
      <c r="U1646" s="5" t="s">
        <v>33</v>
      </c>
      <c r="V1646" s="5" t="s">
        <v>1705</v>
      </c>
      <c r="W1646" s="5"/>
    </row>
    <row r="1647" spans="1:23" ht="12.5">
      <c r="A1647" s="5">
        <v>92157</v>
      </c>
      <c r="B1647" s="5" t="s">
        <v>18526</v>
      </c>
      <c r="C1647" s="5">
        <v>573006423322</v>
      </c>
      <c r="D1647" s="5">
        <v>40</v>
      </c>
      <c r="E1647" s="5" t="s">
        <v>3142</v>
      </c>
      <c r="F1647" s="5" t="s">
        <v>2880</v>
      </c>
      <c r="G1647" s="5" t="s">
        <v>10824</v>
      </c>
      <c r="H1647" s="5" t="s">
        <v>10825</v>
      </c>
      <c r="I1647" s="5">
        <v>3016734063</v>
      </c>
      <c r="J1647" s="12">
        <v>46072</v>
      </c>
      <c r="K1647" s="11">
        <v>0.375</v>
      </c>
      <c r="M1647" s="10" t="s">
        <v>18527</v>
      </c>
      <c r="N1647" s="12">
        <v>46071.738229756942</v>
      </c>
      <c r="O1647" s="10" t="s">
        <v>18528</v>
      </c>
      <c r="P1647" s="5" t="s">
        <v>14571</v>
      </c>
      <c r="Q1647" s="5" t="s">
        <v>14578</v>
      </c>
      <c r="R1647" s="5" t="s">
        <v>18529</v>
      </c>
      <c r="T1647" s="5" t="s">
        <v>5994</v>
      </c>
      <c r="U1647" s="5" t="s">
        <v>14691</v>
      </c>
      <c r="V1647" s="5" t="s">
        <v>67</v>
      </c>
      <c r="W1647" s="5"/>
    </row>
    <row r="1648" spans="1:23" ht="12.5">
      <c r="A1648" s="5">
        <v>92158</v>
      </c>
      <c r="B1648" s="5" t="s">
        <v>10829</v>
      </c>
      <c r="C1648" s="5">
        <v>573013390806</v>
      </c>
      <c r="D1648" s="5">
        <v>51</v>
      </c>
      <c r="E1648" s="5" t="s">
        <v>384</v>
      </c>
      <c r="F1648" s="5" t="s">
        <v>33</v>
      </c>
      <c r="G1648" s="5" t="s">
        <v>10829</v>
      </c>
      <c r="H1648" s="5" t="s">
        <v>34</v>
      </c>
      <c r="I1648" s="5">
        <v>3013390806</v>
      </c>
      <c r="J1648" s="12">
        <v>46071</v>
      </c>
      <c r="K1648" s="11">
        <v>0</v>
      </c>
      <c r="M1648" s="10" t="s">
        <v>14712</v>
      </c>
      <c r="N1648" s="12">
        <v>46071.756604930561</v>
      </c>
      <c r="O1648" s="10" t="s">
        <v>16995</v>
      </c>
      <c r="P1648" s="5" t="s">
        <v>14571</v>
      </c>
      <c r="Q1648" s="5" t="s">
        <v>14578</v>
      </c>
      <c r="R1648" s="5"/>
      <c r="T1648" s="5" t="s">
        <v>14574</v>
      </c>
      <c r="U1648" s="5" t="s">
        <v>33</v>
      </c>
      <c r="V1648" s="5" t="s">
        <v>1705</v>
      </c>
      <c r="W1648" s="5"/>
    </row>
    <row r="1649" spans="1:23" ht="12.5">
      <c r="A1649" s="5">
        <v>92159</v>
      </c>
      <c r="B1649" s="5" t="s">
        <v>18530</v>
      </c>
      <c r="C1649" s="5">
        <v>573023618030</v>
      </c>
      <c r="D1649" s="5">
        <v>31</v>
      </c>
      <c r="E1649" s="5" t="s">
        <v>375</v>
      </c>
      <c r="F1649" s="5" t="s">
        <v>154</v>
      </c>
      <c r="G1649" s="5" t="s">
        <v>10821</v>
      </c>
      <c r="H1649" s="5" t="s">
        <v>9753</v>
      </c>
      <c r="I1649" s="5">
        <v>3243204809</v>
      </c>
      <c r="J1649" s="12">
        <v>46072</v>
      </c>
      <c r="K1649" s="11">
        <v>0.375</v>
      </c>
      <c r="M1649" s="10" t="s">
        <v>14850</v>
      </c>
      <c r="N1649" s="12">
        <v>46071.728763865744</v>
      </c>
      <c r="O1649" s="10" t="s">
        <v>18531</v>
      </c>
      <c r="P1649" s="5" t="s">
        <v>14571</v>
      </c>
      <c r="Q1649" s="5" t="s">
        <v>14572</v>
      </c>
      <c r="R1649" s="5" t="s">
        <v>18532</v>
      </c>
      <c r="T1649" s="5" t="s">
        <v>5994</v>
      </c>
      <c r="U1649" s="5" t="s">
        <v>14593</v>
      </c>
      <c r="V1649" s="5" t="s">
        <v>180</v>
      </c>
      <c r="W1649" s="5"/>
    </row>
    <row r="1650" spans="1:23" ht="12.5">
      <c r="A1650" s="5">
        <v>92160</v>
      </c>
      <c r="B1650" s="5" t="s">
        <v>10832</v>
      </c>
      <c r="C1650" s="5">
        <v>573136502403</v>
      </c>
      <c r="D1650" s="5">
        <v>29</v>
      </c>
      <c r="E1650" s="5" t="s">
        <v>309</v>
      </c>
      <c r="F1650" s="5" t="s">
        <v>33</v>
      </c>
      <c r="G1650" s="5" t="s">
        <v>10832</v>
      </c>
      <c r="H1650" s="5" t="s">
        <v>34</v>
      </c>
      <c r="I1650" s="5">
        <v>3136502403</v>
      </c>
      <c r="J1650" s="12">
        <v>46072</v>
      </c>
      <c r="K1650" s="11">
        <v>0.375</v>
      </c>
      <c r="M1650" s="10" t="s">
        <v>14850</v>
      </c>
      <c r="N1650" s="12">
        <v>46072.298866990735</v>
      </c>
      <c r="O1650" s="10" t="s">
        <v>18533</v>
      </c>
      <c r="P1650" s="5" t="s">
        <v>14571</v>
      </c>
      <c r="Q1650" s="5" t="s">
        <v>14572</v>
      </c>
      <c r="R1650" s="5" t="s">
        <v>18534</v>
      </c>
      <c r="T1650" s="5" t="s">
        <v>14574</v>
      </c>
      <c r="U1650" s="5" t="s">
        <v>33</v>
      </c>
      <c r="V1650" s="5" t="s">
        <v>37</v>
      </c>
      <c r="W1650" s="5" t="s">
        <v>10833</v>
      </c>
    </row>
    <row r="1651" spans="1:23" ht="12.5">
      <c r="A1651" s="5">
        <v>92161</v>
      </c>
      <c r="B1651" s="5" t="s">
        <v>10836</v>
      </c>
      <c r="C1651" s="5">
        <v>573225272205</v>
      </c>
      <c r="D1651" s="5">
        <v>57</v>
      </c>
      <c r="E1651" s="5" t="s">
        <v>1085</v>
      </c>
      <c r="F1651" s="5" t="s">
        <v>33</v>
      </c>
      <c r="G1651" s="5" t="s">
        <v>10836</v>
      </c>
      <c r="H1651" s="5" t="s">
        <v>34</v>
      </c>
      <c r="I1651" s="5">
        <v>3225272205</v>
      </c>
      <c r="J1651" s="12">
        <v>46072</v>
      </c>
      <c r="K1651" s="11">
        <v>0.375</v>
      </c>
      <c r="M1651" s="10" t="s">
        <v>10581</v>
      </c>
      <c r="N1651" s="12">
        <v>46072.300621597227</v>
      </c>
      <c r="O1651" s="10" t="s">
        <v>17369</v>
      </c>
      <c r="P1651" s="5" t="s">
        <v>14571</v>
      </c>
      <c r="Q1651" s="5" t="s">
        <v>14572</v>
      </c>
      <c r="R1651" s="5" t="s">
        <v>18535</v>
      </c>
      <c r="T1651" s="5" t="s">
        <v>14574</v>
      </c>
      <c r="U1651" s="5" t="s">
        <v>33</v>
      </c>
      <c r="V1651" s="5" t="s">
        <v>37</v>
      </c>
      <c r="W1651" s="5" t="s">
        <v>10838</v>
      </c>
    </row>
    <row r="1652" spans="1:23" ht="12.5">
      <c r="A1652" s="5">
        <v>92162</v>
      </c>
      <c r="B1652" s="5" t="s">
        <v>3007</v>
      </c>
      <c r="C1652" s="5">
        <v>573157132910</v>
      </c>
      <c r="D1652" s="5">
        <v>53</v>
      </c>
      <c r="E1652" s="5" t="s">
        <v>75</v>
      </c>
      <c r="F1652" s="5" t="s">
        <v>33</v>
      </c>
      <c r="G1652" s="5" t="s">
        <v>3007</v>
      </c>
      <c r="H1652" s="5" t="s">
        <v>34</v>
      </c>
      <c r="I1652" s="5">
        <v>3157132910</v>
      </c>
      <c r="J1652" s="12">
        <v>46072</v>
      </c>
      <c r="K1652" s="11">
        <v>0.41666666666787933</v>
      </c>
      <c r="M1652" s="10" t="s">
        <v>14585</v>
      </c>
      <c r="N1652" s="12">
        <v>46072.320830104167</v>
      </c>
      <c r="O1652" s="10" t="s">
        <v>15122</v>
      </c>
      <c r="P1652" s="5" t="s">
        <v>14571</v>
      </c>
      <c r="Q1652" s="5" t="s">
        <v>14572</v>
      </c>
      <c r="R1652" s="5" t="s">
        <v>18536</v>
      </c>
      <c r="T1652" s="5" t="s">
        <v>14574</v>
      </c>
      <c r="U1652" s="5" t="s">
        <v>33</v>
      </c>
      <c r="V1652" s="5" t="s">
        <v>180</v>
      </c>
      <c r="W1652" s="5"/>
    </row>
    <row r="1653" spans="1:23" ht="12.5">
      <c r="A1653" s="5">
        <v>92163</v>
      </c>
      <c r="B1653" s="5" t="s">
        <v>8564</v>
      </c>
      <c r="C1653" s="5">
        <v>573105095798</v>
      </c>
      <c r="D1653" s="5">
        <v>95</v>
      </c>
      <c r="E1653" s="5" t="s">
        <v>42</v>
      </c>
      <c r="F1653" s="5" t="s">
        <v>154</v>
      </c>
      <c r="G1653" s="5" t="s">
        <v>8564</v>
      </c>
      <c r="H1653" s="5" t="s">
        <v>10848</v>
      </c>
      <c r="I1653" s="5"/>
      <c r="J1653" s="12">
        <v>46072</v>
      </c>
      <c r="K1653" s="11">
        <v>0.41666666666787933</v>
      </c>
      <c r="M1653" s="10" t="s">
        <v>16456</v>
      </c>
      <c r="N1653" s="12">
        <v>46072.358448333332</v>
      </c>
      <c r="O1653" s="10" t="s">
        <v>15332</v>
      </c>
      <c r="P1653" s="5" t="s">
        <v>14571</v>
      </c>
      <c r="Q1653" s="5" t="s">
        <v>14572</v>
      </c>
      <c r="R1653" s="5" t="s">
        <v>18537</v>
      </c>
      <c r="T1653" s="5" t="s">
        <v>5994</v>
      </c>
      <c r="U1653" s="5" t="s">
        <v>14593</v>
      </c>
      <c r="V1653" s="5" t="s">
        <v>196</v>
      </c>
      <c r="W1653" s="5"/>
    </row>
    <row r="1654" spans="1:23" ht="12.5">
      <c r="A1654" s="5">
        <v>92164</v>
      </c>
      <c r="B1654" s="5" t="s">
        <v>18538</v>
      </c>
      <c r="C1654" s="5">
        <v>573115736914</v>
      </c>
      <c r="D1654" s="5">
        <v>32</v>
      </c>
      <c r="E1654" s="5" t="s">
        <v>65</v>
      </c>
      <c r="F1654" s="5" t="s">
        <v>265</v>
      </c>
      <c r="G1654" s="5" t="s">
        <v>10840</v>
      </c>
      <c r="H1654" s="5" t="s">
        <v>10841</v>
      </c>
      <c r="I1654" s="5">
        <v>3044194720</v>
      </c>
      <c r="J1654" s="12">
        <v>46072</v>
      </c>
      <c r="K1654" s="11">
        <v>0.41666666666787933</v>
      </c>
      <c r="M1654" s="10" t="s">
        <v>15525</v>
      </c>
      <c r="N1654" s="12">
        <v>46072.350925949075</v>
      </c>
      <c r="O1654" s="10" t="s">
        <v>15007</v>
      </c>
      <c r="P1654" s="5" t="s">
        <v>14571</v>
      </c>
      <c r="Q1654" s="5" t="s">
        <v>14572</v>
      </c>
      <c r="R1654" s="5" t="s">
        <v>18539</v>
      </c>
      <c r="T1654" s="5" t="s">
        <v>5994</v>
      </c>
      <c r="U1654" s="5" t="s">
        <v>14691</v>
      </c>
      <c r="V1654" s="5" t="s">
        <v>1481</v>
      </c>
      <c r="W1654" s="5" t="s">
        <v>10843</v>
      </c>
    </row>
    <row r="1655" spans="1:23" ht="12.5">
      <c r="A1655" s="5">
        <v>92165</v>
      </c>
      <c r="B1655" s="5" t="s">
        <v>10847</v>
      </c>
      <c r="C1655" s="5">
        <v>573145410442</v>
      </c>
      <c r="D1655" s="5">
        <v>64</v>
      </c>
      <c r="E1655" s="5" t="s">
        <v>133</v>
      </c>
      <c r="F1655" s="5" t="s">
        <v>5574</v>
      </c>
      <c r="G1655" s="5" t="s">
        <v>10844</v>
      </c>
      <c r="H1655" s="5" t="s">
        <v>10845</v>
      </c>
      <c r="I1655" s="5"/>
      <c r="J1655" s="12">
        <v>46072</v>
      </c>
      <c r="K1655" s="11">
        <v>0.41666666666787933</v>
      </c>
      <c r="M1655" s="10" t="s">
        <v>18540</v>
      </c>
      <c r="N1655" s="12">
        <v>46072.355597488422</v>
      </c>
      <c r="O1655" s="10" t="s">
        <v>16102</v>
      </c>
      <c r="P1655" s="5" t="s">
        <v>14571</v>
      </c>
      <c r="Q1655" s="5" t="s">
        <v>14572</v>
      </c>
      <c r="R1655" s="5" t="s">
        <v>18541</v>
      </c>
      <c r="T1655" s="5" t="s">
        <v>5994</v>
      </c>
      <c r="U1655" s="5" t="s">
        <v>14593</v>
      </c>
      <c r="V1655" s="5" t="s">
        <v>1481</v>
      </c>
      <c r="W1655" s="5"/>
    </row>
    <row r="1656" spans="1:23" ht="12.5">
      <c r="A1656" s="5">
        <v>92166</v>
      </c>
      <c r="B1656" s="5" t="s">
        <v>18542</v>
      </c>
      <c r="C1656" s="5">
        <v>573007657567</v>
      </c>
      <c r="D1656" s="5">
        <v>54</v>
      </c>
      <c r="E1656" s="5" t="s">
        <v>3014</v>
      </c>
      <c r="F1656" s="5" t="s">
        <v>5574</v>
      </c>
      <c r="G1656" s="5" t="s">
        <v>10851</v>
      </c>
      <c r="H1656" s="5" t="s">
        <v>10852</v>
      </c>
      <c r="I1656" s="5" t="s">
        <v>10853</v>
      </c>
      <c r="J1656" s="12">
        <v>46072</v>
      </c>
      <c r="K1656" s="11">
        <v>0.41666666666787933</v>
      </c>
      <c r="M1656" s="10" t="s">
        <v>17753</v>
      </c>
      <c r="N1656" s="12">
        <v>46072.376655011569</v>
      </c>
      <c r="O1656" s="10" t="s">
        <v>15324</v>
      </c>
      <c r="P1656" s="5" t="s">
        <v>14571</v>
      </c>
      <c r="Q1656" s="5" t="s">
        <v>14578</v>
      </c>
      <c r="R1656" s="5" t="s">
        <v>18543</v>
      </c>
      <c r="T1656" s="5" t="s">
        <v>5994</v>
      </c>
      <c r="U1656" s="5" t="s">
        <v>14593</v>
      </c>
      <c r="V1656" s="5" t="s">
        <v>2151</v>
      </c>
      <c r="W1656" s="5"/>
    </row>
    <row r="1657" spans="1:23" ht="12.5">
      <c r="A1657" s="5">
        <v>92167</v>
      </c>
      <c r="B1657" s="5" t="s">
        <v>10856</v>
      </c>
      <c r="C1657" s="5">
        <v>573173009284</v>
      </c>
      <c r="D1657" s="5">
        <v>29</v>
      </c>
      <c r="E1657" s="5" t="s">
        <v>309</v>
      </c>
      <c r="F1657" s="5" t="s">
        <v>33</v>
      </c>
      <c r="G1657" s="5" t="s">
        <v>10856</v>
      </c>
      <c r="H1657" s="5" t="s">
        <v>34</v>
      </c>
      <c r="I1657" s="5" t="s">
        <v>10857</v>
      </c>
      <c r="J1657" s="12">
        <v>46072</v>
      </c>
      <c r="K1657" s="11">
        <v>0.4375</v>
      </c>
      <c r="M1657" s="10" t="s">
        <v>14850</v>
      </c>
      <c r="N1657" s="12">
        <v>46072.388419097224</v>
      </c>
      <c r="O1657" s="10" t="s">
        <v>15678</v>
      </c>
      <c r="P1657" s="5" t="s">
        <v>14571</v>
      </c>
      <c r="Q1657" s="5" t="s">
        <v>14572</v>
      </c>
      <c r="R1657" s="5" t="s">
        <v>18544</v>
      </c>
      <c r="T1657" s="5" t="s">
        <v>14574</v>
      </c>
      <c r="U1657" s="5" t="s">
        <v>33</v>
      </c>
      <c r="V1657" s="5" t="s">
        <v>196</v>
      </c>
      <c r="W1657" s="5" t="s">
        <v>10859</v>
      </c>
    </row>
    <row r="1658" spans="1:23" ht="12.5">
      <c r="A1658" s="5">
        <v>92168</v>
      </c>
      <c r="B1658" s="5" t="s">
        <v>18545</v>
      </c>
      <c r="C1658" s="5">
        <v>573046097173</v>
      </c>
      <c r="D1658" s="5">
        <v>31</v>
      </c>
      <c r="E1658" s="5" t="s">
        <v>375</v>
      </c>
      <c r="F1658" s="5" t="s">
        <v>1047</v>
      </c>
      <c r="G1658" s="5" t="s">
        <v>10862</v>
      </c>
      <c r="H1658" s="5" t="s">
        <v>10863</v>
      </c>
      <c r="I1658" s="5">
        <v>3007093553</v>
      </c>
      <c r="J1658" s="12">
        <v>46072</v>
      </c>
      <c r="K1658" s="11">
        <v>0.45833333333212067</v>
      </c>
      <c r="M1658" s="10" t="s">
        <v>14595</v>
      </c>
      <c r="N1658" s="12">
        <v>46072.401215972219</v>
      </c>
      <c r="O1658" s="10" t="s">
        <v>15986</v>
      </c>
      <c r="P1658" s="5" t="s">
        <v>14571</v>
      </c>
      <c r="Q1658" s="5" t="s">
        <v>14572</v>
      </c>
      <c r="R1658" s="5" t="s">
        <v>18546</v>
      </c>
      <c r="T1658" s="5" t="s">
        <v>5994</v>
      </c>
      <c r="U1658" s="5" t="s">
        <v>14580</v>
      </c>
      <c r="V1658" s="5" t="s">
        <v>1481</v>
      </c>
      <c r="W1658" s="5"/>
    </row>
    <row r="1659" spans="1:23" ht="12.5">
      <c r="A1659" s="5">
        <v>92169</v>
      </c>
      <c r="B1659" s="5" t="s">
        <v>10868</v>
      </c>
      <c r="C1659" s="5">
        <v>573145958525</v>
      </c>
      <c r="D1659" s="5">
        <v>53</v>
      </c>
      <c r="E1659" s="5" t="s">
        <v>75</v>
      </c>
      <c r="F1659" s="5" t="s">
        <v>33</v>
      </c>
      <c r="G1659" s="5" t="s">
        <v>10868</v>
      </c>
      <c r="H1659" s="5" t="s">
        <v>34</v>
      </c>
      <c r="I1659" s="5" t="s">
        <v>10869</v>
      </c>
      <c r="J1659" s="12">
        <v>46072</v>
      </c>
      <c r="K1659" s="11">
        <v>0.58333333333212067</v>
      </c>
      <c r="M1659" s="10" t="s">
        <v>14585</v>
      </c>
      <c r="N1659" s="12">
        <v>46072.410847743056</v>
      </c>
      <c r="O1659" s="10" t="s">
        <v>16275</v>
      </c>
      <c r="P1659" s="5" t="s">
        <v>14571</v>
      </c>
      <c r="Q1659" s="5" t="s">
        <v>14572</v>
      </c>
      <c r="R1659" s="5" t="s">
        <v>18547</v>
      </c>
      <c r="T1659" s="5" t="s">
        <v>14574</v>
      </c>
      <c r="U1659" s="5" t="s">
        <v>33</v>
      </c>
      <c r="V1659" s="5" t="s">
        <v>196</v>
      </c>
      <c r="W1659" s="5"/>
    </row>
    <row r="1660" spans="1:23" ht="12.5">
      <c r="A1660" s="5">
        <v>92170</v>
      </c>
      <c r="B1660" s="5" t="s">
        <v>18548</v>
      </c>
      <c r="C1660" s="5">
        <v>573218135927</v>
      </c>
      <c r="D1660" s="5">
        <v>50</v>
      </c>
      <c r="E1660" s="5" t="s">
        <v>347</v>
      </c>
      <c r="F1660" s="5" t="s">
        <v>4533</v>
      </c>
      <c r="G1660" s="5" t="s">
        <v>10876</v>
      </c>
      <c r="H1660" s="5" t="s">
        <v>10877</v>
      </c>
      <c r="I1660" s="5" t="s">
        <v>10878</v>
      </c>
      <c r="J1660" s="12">
        <v>46072</v>
      </c>
      <c r="K1660" s="11">
        <v>0</v>
      </c>
      <c r="M1660" s="10" t="s">
        <v>15859</v>
      </c>
      <c r="N1660" s="12">
        <v>46072.424106990744</v>
      </c>
      <c r="O1660" s="10" t="s">
        <v>15684</v>
      </c>
      <c r="P1660" s="5" t="s">
        <v>14571</v>
      </c>
      <c r="Q1660" s="5" t="s">
        <v>14572</v>
      </c>
      <c r="R1660" s="5" t="s">
        <v>18549</v>
      </c>
      <c r="T1660" s="5" t="s">
        <v>5994</v>
      </c>
      <c r="U1660" s="5" t="s">
        <v>14618</v>
      </c>
      <c r="V1660" s="5" t="s">
        <v>1481</v>
      </c>
      <c r="W1660" s="5"/>
    </row>
    <row r="1661" spans="1:23" ht="12.5">
      <c r="A1661" s="5">
        <v>92171</v>
      </c>
      <c r="B1661" s="5" t="s">
        <v>18550</v>
      </c>
      <c r="C1661" s="5">
        <v>573242223810</v>
      </c>
      <c r="D1661" s="5">
        <v>52</v>
      </c>
      <c r="E1661" s="5" t="s">
        <v>178</v>
      </c>
      <c r="F1661" s="5" t="s">
        <v>598</v>
      </c>
      <c r="G1661" s="5" t="s">
        <v>10870</v>
      </c>
      <c r="H1661" s="5" t="s">
        <v>10871</v>
      </c>
      <c r="I1661" s="5">
        <v>3015926162</v>
      </c>
      <c r="J1661" s="12">
        <v>46072</v>
      </c>
      <c r="K1661" s="11">
        <v>0</v>
      </c>
      <c r="M1661" s="10" t="s">
        <v>15594</v>
      </c>
      <c r="N1661" s="12">
        <v>46072.418498819447</v>
      </c>
      <c r="O1661" s="10" t="s">
        <v>16509</v>
      </c>
      <c r="P1661" s="5" t="s">
        <v>14571</v>
      </c>
      <c r="Q1661" s="5" t="s">
        <v>14572</v>
      </c>
      <c r="R1661" s="5" t="s">
        <v>18551</v>
      </c>
      <c r="T1661" s="5" t="s">
        <v>5994</v>
      </c>
      <c r="U1661" s="5" t="s">
        <v>14593</v>
      </c>
      <c r="V1661" s="5" t="s">
        <v>1481</v>
      </c>
      <c r="W1661" s="5" t="s">
        <v>10874</v>
      </c>
    </row>
    <row r="1662" spans="1:23" ht="12.5">
      <c r="A1662" s="5">
        <v>92172</v>
      </c>
      <c r="B1662" s="5" t="s">
        <v>4351</v>
      </c>
      <c r="C1662" s="5">
        <v>573008148314</v>
      </c>
      <c r="D1662" s="5">
        <v>95</v>
      </c>
      <c r="E1662" s="5" t="s">
        <v>42</v>
      </c>
      <c r="F1662" s="5" t="s">
        <v>33</v>
      </c>
      <c r="G1662" s="5" t="s">
        <v>10886</v>
      </c>
      <c r="H1662" s="5" t="s">
        <v>34</v>
      </c>
      <c r="I1662" s="5"/>
      <c r="J1662" s="12">
        <v>46072</v>
      </c>
      <c r="K1662" s="11">
        <v>0</v>
      </c>
      <c r="M1662" s="10" t="s">
        <v>14832</v>
      </c>
      <c r="N1662" s="12">
        <v>46072.44296226852</v>
      </c>
      <c r="O1662" s="10" t="s">
        <v>16053</v>
      </c>
      <c r="P1662" s="5" t="s">
        <v>14571</v>
      </c>
      <c r="Q1662" s="5" t="s">
        <v>14612</v>
      </c>
      <c r="R1662" s="5" t="s">
        <v>18552</v>
      </c>
      <c r="T1662" s="5" t="s">
        <v>14574</v>
      </c>
      <c r="U1662" s="5" t="s">
        <v>33</v>
      </c>
      <c r="V1662" s="5" t="s">
        <v>1705</v>
      </c>
      <c r="W1662" s="5" t="s">
        <v>1286</v>
      </c>
    </row>
    <row r="1663" spans="1:23" ht="12.5">
      <c r="A1663" s="5">
        <v>92173</v>
      </c>
      <c r="B1663" s="5" t="s">
        <v>5734</v>
      </c>
      <c r="C1663" s="5">
        <v>573007682024</v>
      </c>
      <c r="D1663" s="5">
        <v>95</v>
      </c>
      <c r="E1663" s="5" t="s">
        <v>42</v>
      </c>
      <c r="F1663" s="5"/>
      <c r="G1663" s="5" t="s">
        <v>1310</v>
      </c>
      <c r="H1663" s="5" t="s">
        <v>10887</v>
      </c>
      <c r="I1663" s="5"/>
      <c r="J1663" s="12">
        <v>46072</v>
      </c>
      <c r="K1663" s="11">
        <v>0</v>
      </c>
      <c r="M1663" s="10" t="s">
        <v>2686</v>
      </c>
      <c r="N1663" s="12">
        <v>46072.44446741898</v>
      </c>
      <c r="O1663" s="10" t="s">
        <v>18239</v>
      </c>
      <c r="P1663" s="5" t="s">
        <v>14571</v>
      </c>
      <c r="Q1663" s="5" t="s">
        <v>14612</v>
      </c>
      <c r="R1663" s="5" t="s">
        <v>18553</v>
      </c>
      <c r="T1663" s="5" t="s">
        <v>5994</v>
      </c>
      <c r="U1663" s="5"/>
      <c r="V1663" s="5" t="s">
        <v>43</v>
      </c>
      <c r="W1663" s="5" t="s">
        <v>10888</v>
      </c>
    </row>
    <row r="1664" spans="1:23" ht="12.5">
      <c r="A1664" s="5">
        <v>92174</v>
      </c>
      <c r="B1664" s="5" t="s">
        <v>18554</v>
      </c>
      <c r="C1664" s="5">
        <v>573176449067</v>
      </c>
      <c r="D1664" s="5">
        <v>49</v>
      </c>
      <c r="E1664" s="5" t="s">
        <v>380</v>
      </c>
      <c r="F1664" s="5" t="s">
        <v>401</v>
      </c>
      <c r="G1664" s="5" t="s">
        <v>10890</v>
      </c>
      <c r="H1664" s="5" t="s">
        <v>10891</v>
      </c>
      <c r="I1664" s="5">
        <v>3114032310</v>
      </c>
      <c r="J1664" s="12">
        <v>46072</v>
      </c>
      <c r="K1664" s="11">
        <v>0.54166666666787933</v>
      </c>
      <c r="M1664" s="10" t="s">
        <v>17012</v>
      </c>
      <c r="N1664" s="12">
        <v>46072.450001122685</v>
      </c>
      <c r="O1664" s="10" t="s">
        <v>15158</v>
      </c>
      <c r="P1664" s="5" t="s">
        <v>14571</v>
      </c>
      <c r="Q1664" s="5" t="s">
        <v>14612</v>
      </c>
      <c r="R1664" s="5" t="s">
        <v>18555</v>
      </c>
      <c r="T1664" s="5" t="s">
        <v>5994</v>
      </c>
      <c r="U1664" s="5" t="s">
        <v>14618</v>
      </c>
      <c r="V1664" s="5" t="s">
        <v>1481</v>
      </c>
      <c r="W1664" s="5"/>
    </row>
    <row r="1665" spans="1:23" ht="12.5">
      <c r="A1665" s="5">
        <v>92175</v>
      </c>
      <c r="B1665" s="5" t="s">
        <v>18556</v>
      </c>
      <c r="C1665" s="10" t="s">
        <v>18557</v>
      </c>
      <c r="D1665" s="5">
        <v>29</v>
      </c>
      <c r="E1665" s="5" t="s">
        <v>309</v>
      </c>
      <c r="F1665" s="5" t="s">
        <v>124</v>
      </c>
      <c r="G1665" s="5" t="s">
        <v>18558</v>
      </c>
      <c r="H1665" s="5" t="s">
        <v>10883</v>
      </c>
      <c r="I1665" s="5">
        <v>3203659741</v>
      </c>
      <c r="J1665" s="12">
        <v>46072</v>
      </c>
      <c r="K1665" s="11">
        <v>0</v>
      </c>
      <c r="M1665" s="10" t="s">
        <v>14705</v>
      </c>
      <c r="N1665" s="12">
        <v>46072</v>
      </c>
      <c r="O1665" s="10" t="s">
        <v>16124</v>
      </c>
      <c r="P1665" s="5" t="s">
        <v>14571</v>
      </c>
      <c r="Q1665" s="5" t="s">
        <v>14612</v>
      </c>
      <c r="R1665" s="5" t="s">
        <v>18559</v>
      </c>
      <c r="T1665" s="5" t="s">
        <v>5994</v>
      </c>
      <c r="U1665" s="5" t="s">
        <v>14775</v>
      </c>
      <c r="V1665" s="5" t="s">
        <v>1481</v>
      </c>
      <c r="W1665" s="5"/>
    </row>
    <row r="1666" spans="1:23" ht="12.5">
      <c r="A1666" s="5">
        <v>92176</v>
      </c>
      <c r="B1666" s="5" t="s">
        <v>18560</v>
      </c>
      <c r="C1666" s="10" t="s">
        <v>18561</v>
      </c>
      <c r="D1666" s="5">
        <v>68</v>
      </c>
      <c r="E1666" s="5" t="s">
        <v>361</v>
      </c>
      <c r="F1666" s="5" t="s">
        <v>185</v>
      </c>
      <c r="G1666" s="5" t="s">
        <v>18562</v>
      </c>
      <c r="H1666" s="5" t="s">
        <v>10895</v>
      </c>
      <c r="I1666" s="5"/>
      <c r="J1666" s="12">
        <v>46072</v>
      </c>
      <c r="K1666" s="11">
        <v>0</v>
      </c>
      <c r="M1666" s="10" t="s">
        <v>15140</v>
      </c>
      <c r="N1666" s="12">
        <v>46072</v>
      </c>
      <c r="O1666" s="10" t="s">
        <v>16526</v>
      </c>
      <c r="P1666" s="5" t="s">
        <v>14571</v>
      </c>
      <c r="Q1666" s="5" t="s">
        <v>14572</v>
      </c>
      <c r="R1666" s="5" t="s">
        <v>18563</v>
      </c>
      <c r="T1666" s="5" t="s">
        <v>5994</v>
      </c>
      <c r="U1666" s="5" t="s">
        <v>14580</v>
      </c>
      <c r="V1666" s="5" t="s">
        <v>204</v>
      </c>
      <c r="W1666" s="5"/>
    </row>
    <row r="1667" spans="1:23" ht="12.5">
      <c r="A1667" s="5">
        <v>92177</v>
      </c>
      <c r="B1667" s="5" t="s">
        <v>10899</v>
      </c>
      <c r="C1667" s="5">
        <v>573146550719</v>
      </c>
      <c r="D1667" s="5">
        <v>95</v>
      </c>
      <c r="E1667" s="5" t="s">
        <v>42</v>
      </c>
      <c r="F1667" s="5" t="s">
        <v>33</v>
      </c>
      <c r="G1667" s="5" t="s">
        <v>10899</v>
      </c>
      <c r="H1667" s="5" t="s">
        <v>34</v>
      </c>
      <c r="I1667" s="5">
        <v>3146550719</v>
      </c>
      <c r="J1667" s="12">
        <v>46072</v>
      </c>
      <c r="K1667" s="11">
        <v>0</v>
      </c>
      <c r="M1667" s="10" t="s">
        <v>14619</v>
      </c>
      <c r="N1667" s="12">
        <v>46072.490445567135</v>
      </c>
      <c r="O1667" s="10" t="s">
        <v>16289</v>
      </c>
      <c r="P1667" s="5" t="s">
        <v>14571</v>
      </c>
      <c r="Q1667" s="5" t="s">
        <v>14572</v>
      </c>
      <c r="R1667" s="5" t="s">
        <v>18564</v>
      </c>
      <c r="T1667" s="5" t="s">
        <v>14574</v>
      </c>
      <c r="U1667" s="5" t="s">
        <v>33</v>
      </c>
      <c r="V1667" s="5" t="s">
        <v>196</v>
      </c>
      <c r="W1667" s="5"/>
    </row>
    <row r="1668" spans="1:23" ht="12.5">
      <c r="A1668" s="5">
        <v>92178</v>
      </c>
      <c r="B1668" s="5" t="s">
        <v>1685</v>
      </c>
      <c r="C1668" s="5">
        <v>573173672739</v>
      </c>
      <c r="D1668" s="5">
        <v>95</v>
      </c>
      <c r="E1668" s="5" t="s">
        <v>42</v>
      </c>
      <c r="F1668" s="5" t="s">
        <v>33</v>
      </c>
      <c r="G1668" s="5" t="s">
        <v>1685</v>
      </c>
      <c r="H1668" s="5" t="s">
        <v>34</v>
      </c>
      <c r="I1668" s="5">
        <v>3173672739</v>
      </c>
      <c r="J1668" s="12">
        <v>46072</v>
      </c>
      <c r="K1668" s="11">
        <v>0</v>
      </c>
      <c r="M1668" s="10" t="s">
        <v>17026</v>
      </c>
      <c r="N1668" s="12">
        <v>46072.513064872684</v>
      </c>
      <c r="O1668" s="10" t="s">
        <v>17039</v>
      </c>
      <c r="P1668" s="5" t="s">
        <v>14571</v>
      </c>
      <c r="Q1668" s="5" t="s">
        <v>14578</v>
      </c>
      <c r="R1668" s="5" t="s">
        <v>18565</v>
      </c>
      <c r="T1668" s="5" t="s">
        <v>14574</v>
      </c>
      <c r="U1668" s="5" t="s">
        <v>33</v>
      </c>
      <c r="V1668" s="5" t="s">
        <v>83</v>
      </c>
      <c r="W1668" s="5"/>
    </row>
    <row r="1669" spans="1:23" ht="12.5">
      <c r="A1669" s="5">
        <v>92179</v>
      </c>
      <c r="B1669" s="5" t="s">
        <v>10901</v>
      </c>
      <c r="C1669" s="5">
        <v>573168339599</v>
      </c>
      <c r="D1669" s="5">
        <v>43</v>
      </c>
      <c r="E1669" s="5" t="s">
        <v>679</v>
      </c>
      <c r="F1669" s="5" t="s">
        <v>185</v>
      </c>
      <c r="G1669" s="5" t="s">
        <v>10901</v>
      </c>
      <c r="H1669" s="5" t="s">
        <v>10902</v>
      </c>
      <c r="I1669" s="5">
        <v>3569912</v>
      </c>
      <c r="J1669" s="12">
        <v>46072</v>
      </c>
      <c r="K1669" s="11">
        <v>0.58333333333212067</v>
      </c>
      <c r="M1669" s="10" t="s">
        <v>15140</v>
      </c>
      <c r="N1669" s="12">
        <v>46072.530028379631</v>
      </c>
      <c r="O1669" s="10" t="s">
        <v>16654</v>
      </c>
      <c r="P1669" s="5" t="s">
        <v>14571</v>
      </c>
      <c r="Q1669" s="5" t="s">
        <v>14578</v>
      </c>
      <c r="R1669" s="5" t="s">
        <v>18566</v>
      </c>
      <c r="T1669" s="5" t="s">
        <v>5994</v>
      </c>
      <c r="U1669" s="5" t="s">
        <v>14580</v>
      </c>
      <c r="V1669" s="5" t="s">
        <v>180</v>
      </c>
      <c r="W1669" s="5"/>
    </row>
    <row r="1670" spans="1:23" ht="12.5">
      <c r="A1670" s="5">
        <v>92180</v>
      </c>
      <c r="B1670" s="5" t="s">
        <v>18567</v>
      </c>
      <c r="C1670" s="5">
        <v>573158072325</v>
      </c>
      <c r="D1670" s="5">
        <v>52</v>
      </c>
      <c r="E1670" s="5" t="s">
        <v>178</v>
      </c>
      <c r="F1670" s="5" t="s">
        <v>33</v>
      </c>
      <c r="G1670" s="5" t="s">
        <v>10906</v>
      </c>
      <c r="H1670" s="5" t="s">
        <v>34</v>
      </c>
      <c r="I1670" s="5">
        <v>3158072325</v>
      </c>
      <c r="J1670" s="12">
        <v>46072</v>
      </c>
      <c r="K1670" s="11">
        <v>0.58333333333212067</v>
      </c>
      <c r="M1670" s="10" t="s">
        <v>15161</v>
      </c>
      <c r="N1670" s="12">
        <v>46072.53731240741</v>
      </c>
      <c r="O1670" s="10" t="s">
        <v>18568</v>
      </c>
      <c r="P1670" s="5" t="s">
        <v>14571</v>
      </c>
      <c r="Q1670" s="5" t="s">
        <v>14612</v>
      </c>
      <c r="R1670" s="5" t="s">
        <v>18569</v>
      </c>
      <c r="T1670" s="5" t="s">
        <v>14574</v>
      </c>
      <c r="U1670" s="5" t="s">
        <v>33</v>
      </c>
      <c r="V1670" s="5" t="s">
        <v>1481</v>
      </c>
      <c r="W1670" s="5"/>
    </row>
    <row r="1671" spans="1:23" ht="12.5">
      <c r="A1671" s="5">
        <v>92181</v>
      </c>
      <c r="B1671" s="5" t="s">
        <v>10914</v>
      </c>
      <c r="C1671" s="5">
        <v>573016674977</v>
      </c>
      <c r="D1671" s="5">
        <v>52</v>
      </c>
      <c r="E1671" s="5" t="s">
        <v>178</v>
      </c>
      <c r="F1671" s="5" t="s">
        <v>33</v>
      </c>
      <c r="G1671" s="5" t="s">
        <v>10914</v>
      </c>
      <c r="H1671" s="5" t="s">
        <v>34</v>
      </c>
      <c r="I1671" s="5">
        <v>3016674977</v>
      </c>
      <c r="J1671" s="12">
        <v>46072</v>
      </c>
      <c r="K1671" s="11">
        <v>0</v>
      </c>
      <c r="M1671" s="10" t="s">
        <v>15161</v>
      </c>
      <c r="N1671" s="12">
        <v>46072.558213541663</v>
      </c>
      <c r="O1671" s="10" t="s">
        <v>17525</v>
      </c>
      <c r="P1671" s="5" t="s">
        <v>14571</v>
      </c>
      <c r="Q1671" s="5" t="s">
        <v>14612</v>
      </c>
      <c r="R1671" s="5" t="s">
        <v>18570</v>
      </c>
      <c r="T1671" s="5" t="s">
        <v>14574</v>
      </c>
      <c r="U1671" s="5" t="s">
        <v>33</v>
      </c>
      <c r="V1671" s="5" t="s">
        <v>37</v>
      </c>
      <c r="W1671" s="5" t="s">
        <v>10915</v>
      </c>
    </row>
    <row r="1672" spans="1:23" ht="12.5">
      <c r="A1672" s="5">
        <v>92182</v>
      </c>
      <c r="B1672" s="5" t="s">
        <v>15816</v>
      </c>
      <c r="C1672" s="5">
        <v>573232205042</v>
      </c>
      <c r="D1672" s="5">
        <v>25</v>
      </c>
      <c r="E1672" s="5" t="s">
        <v>1792</v>
      </c>
      <c r="F1672" s="5" t="s">
        <v>161</v>
      </c>
      <c r="G1672" s="5" t="s">
        <v>5607</v>
      </c>
      <c r="H1672" s="5" t="s">
        <v>10909</v>
      </c>
      <c r="I1672" s="5"/>
      <c r="J1672" s="12">
        <v>46072</v>
      </c>
      <c r="K1672" s="11">
        <v>0.625</v>
      </c>
      <c r="M1672" s="10" t="s">
        <v>14576</v>
      </c>
      <c r="N1672" s="12">
        <v>46072.556088761572</v>
      </c>
      <c r="O1672" s="10" t="s">
        <v>15390</v>
      </c>
      <c r="P1672" s="5" t="s">
        <v>14571</v>
      </c>
      <c r="Q1672" s="5" t="s">
        <v>14578</v>
      </c>
      <c r="R1672" s="5" t="s">
        <v>18571</v>
      </c>
      <c r="T1672" s="5" t="s">
        <v>5994</v>
      </c>
      <c r="U1672" s="5" t="s">
        <v>14593</v>
      </c>
      <c r="V1672" s="5" t="s">
        <v>1481</v>
      </c>
      <c r="W1672" s="5" t="s">
        <v>10912</v>
      </c>
    </row>
    <row r="1673" spans="1:23" ht="12.5">
      <c r="A1673" s="5">
        <v>92183</v>
      </c>
      <c r="B1673" s="5" t="s">
        <v>10924</v>
      </c>
      <c r="C1673" s="5">
        <v>573126219968</v>
      </c>
      <c r="D1673" s="5">
        <v>70</v>
      </c>
      <c r="E1673" s="5" t="s">
        <v>559</v>
      </c>
      <c r="F1673" s="5" t="s">
        <v>185</v>
      </c>
      <c r="G1673" s="5" t="s">
        <v>10924</v>
      </c>
      <c r="H1673" s="5" t="s">
        <v>10925</v>
      </c>
      <c r="I1673" s="5">
        <v>3126219968</v>
      </c>
      <c r="J1673" s="12">
        <v>46072</v>
      </c>
      <c r="K1673" s="11">
        <v>0.625</v>
      </c>
      <c r="M1673" s="10" t="s">
        <v>16470</v>
      </c>
      <c r="N1673" s="12">
        <v>46072.596126909717</v>
      </c>
      <c r="O1673" s="10" t="s">
        <v>15253</v>
      </c>
      <c r="P1673" s="5" t="s">
        <v>14571</v>
      </c>
      <c r="Q1673" s="5" t="s">
        <v>14612</v>
      </c>
      <c r="R1673" s="5" t="s">
        <v>18572</v>
      </c>
      <c r="T1673" s="5" t="s">
        <v>5994</v>
      </c>
      <c r="U1673" s="5" t="s">
        <v>14580</v>
      </c>
      <c r="V1673" s="5" t="s">
        <v>67</v>
      </c>
      <c r="W1673" s="5"/>
    </row>
    <row r="1674" spans="1:23" ht="12.5">
      <c r="A1674" s="5">
        <v>92184</v>
      </c>
      <c r="B1674" s="5" t="s">
        <v>18573</v>
      </c>
      <c r="C1674" s="10" t="s">
        <v>18574</v>
      </c>
      <c r="D1674" s="5">
        <v>29</v>
      </c>
      <c r="E1674" s="5" t="s">
        <v>309</v>
      </c>
      <c r="F1674" s="5" t="s">
        <v>63</v>
      </c>
      <c r="G1674" s="5" t="s">
        <v>18575</v>
      </c>
      <c r="H1674" s="5" t="s">
        <v>10931</v>
      </c>
      <c r="I1674" s="5">
        <v>3145933711</v>
      </c>
      <c r="J1674" s="12">
        <v>46072</v>
      </c>
      <c r="K1674" s="11">
        <v>0.64583333333333337</v>
      </c>
      <c r="M1674" s="10" t="s">
        <v>15179</v>
      </c>
      <c r="N1674" s="12">
        <v>46072</v>
      </c>
      <c r="O1674" s="10" t="s">
        <v>15876</v>
      </c>
      <c r="P1674" s="5" t="s">
        <v>14571</v>
      </c>
      <c r="Q1674" s="5" t="s">
        <v>14572</v>
      </c>
      <c r="R1674" s="5" t="s">
        <v>18576</v>
      </c>
      <c r="T1674" s="5" t="s">
        <v>5994</v>
      </c>
      <c r="U1674" s="5" t="s">
        <v>14598</v>
      </c>
      <c r="V1674" s="5" t="s">
        <v>1481</v>
      </c>
      <c r="W1674" s="5"/>
    </row>
    <row r="1675" spans="1:23" ht="12.5">
      <c r="A1675" s="5">
        <v>92185</v>
      </c>
      <c r="B1675" s="5" t="s">
        <v>18577</v>
      </c>
      <c r="C1675" s="5">
        <v>573166924227</v>
      </c>
      <c r="D1675" s="5">
        <v>78</v>
      </c>
      <c r="E1675" s="5" t="s">
        <v>3892</v>
      </c>
      <c r="F1675" s="5" t="s">
        <v>405</v>
      </c>
      <c r="G1675" s="5" t="s">
        <v>10918</v>
      </c>
      <c r="H1675" s="5" t="s">
        <v>10919</v>
      </c>
      <c r="I1675" s="5">
        <v>3166924227</v>
      </c>
      <c r="J1675" s="12">
        <v>46073</v>
      </c>
      <c r="K1675" s="11">
        <v>0.66666666666787933</v>
      </c>
      <c r="M1675" s="10" t="s">
        <v>18578</v>
      </c>
      <c r="N1675" s="12">
        <v>46072.595790949075</v>
      </c>
      <c r="O1675" s="10" t="s">
        <v>14607</v>
      </c>
      <c r="P1675" s="5" t="s">
        <v>14571</v>
      </c>
      <c r="Q1675" s="5" t="s">
        <v>14572</v>
      </c>
      <c r="R1675" s="5" t="s">
        <v>18579</v>
      </c>
      <c r="T1675" s="5" t="s">
        <v>5994</v>
      </c>
      <c r="U1675" s="5"/>
      <c r="V1675" s="5" t="s">
        <v>67</v>
      </c>
      <c r="W1675" s="5" t="s">
        <v>10922</v>
      </c>
    </row>
    <row r="1676" spans="1:23" ht="12.5">
      <c r="A1676" s="5">
        <v>92186</v>
      </c>
      <c r="B1676" s="5" t="s">
        <v>18580</v>
      </c>
      <c r="C1676" s="5">
        <v>573016339247</v>
      </c>
      <c r="D1676" s="5">
        <v>51</v>
      </c>
      <c r="E1676" s="5" t="s">
        <v>384</v>
      </c>
      <c r="F1676" s="5" t="s">
        <v>33</v>
      </c>
      <c r="G1676" s="5" t="s">
        <v>10939</v>
      </c>
      <c r="H1676" s="5" t="s">
        <v>34</v>
      </c>
      <c r="I1676" s="5"/>
      <c r="J1676" s="12">
        <v>46074</v>
      </c>
      <c r="K1676" s="11">
        <v>0.375</v>
      </c>
      <c r="M1676" s="10" t="s">
        <v>14712</v>
      </c>
      <c r="N1676" s="12">
        <v>46072.634594409727</v>
      </c>
      <c r="O1676" s="10" t="s">
        <v>16790</v>
      </c>
      <c r="P1676" s="5" t="s">
        <v>14571</v>
      </c>
      <c r="Q1676" s="5" t="s">
        <v>14572</v>
      </c>
      <c r="R1676" s="5" t="s">
        <v>18581</v>
      </c>
      <c r="T1676" s="5" t="s">
        <v>14574</v>
      </c>
      <c r="U1676" s="5" t="s">
        <v>33</v>
      </c>
      <c r="V1676" s="5" t="s">
        <v>1481</v>
      </c>
      <c r="W1676" s="5"/>
    </row>
    <row r="1677" spans="1:23" ht="12.5">
      <c r="A1677" s="5">
        <v>92187</v>
      </c>
      <c r="B1677" s="5" t="s">
        <v>18582</v>
      </c>
      <c r="C1677" s="5">
        <v>573153084082</v>
      </c>
      <c r="D1677" s="5">
        <v>70</v>
      </c>
      <c r="E1677" s="5" t="s">
        <v>559</v>
      </c>
      <c r="F1677" s="5" t="s">
        <v>307</v>
      </c>
      <c r="G1677" s="5" t="s">
        <v>10933</v>
      </c>
      <c r="H1677" s="5" t="s">
        <v>10934</v>
      </c>
      <c r="I1677" s="5">
        <v>3106119745</v>
      </c>
      <c r="J1677" s="12">
        <v>46072</v>
      </c>
      <c r="K1677" s="11">
        <v>0.66666666666787933</v>
      </c>
      <c r="M1677" s="10" t="s">
        <v>14653</v>
      </c>
      <c r="N1677" s="12">
        <v>46072.632779629625</v>
      </c>
      <c r="O1677" s="10" t="s">
        <v>15466</v>
      </c>
      <c r="P1677" s="5" t="s">
        <v>14571</v>
      </c>
      <c r="Q1677" s="5" t="s">
        <v>14578</v>
      </c>
      <c r="R1677" s="5" t="s">
        <v>18583</v>
      </c>
      <c r="T1677" s="5" t="s">
        <v>5994</v>
      </c>
      <c r="U1677" s="5" t="s">
        <v>14618</v>
      </c>
      <c r="V1677" s="5" t="s">
        <v>1481</v>
      </c>
      <c r="W1677" s="5" t="s">
        <v>10937</v>
      </c>
    </row>
    <row r="1678" spans="1:23" ht="12.5">
      <c r="A1678" s="5">
        <v>92188</v>
      </c>
      <c r="B1678" s="5" t="s">
        <v>10950</v>
      </c>
      <c r="C1678" s="5">
        <v>573005021649</v>
      </c>
      <c r="D1678" s="5">
        <v>53</v>
      </c>
      <c r="E1678" s="5" t="s">
        <v>75</v>
      </c>
      <c r="F1678" s="5" t="s">
        <v>563</v>
      </c>
      <c r="G1678" s="5" t="s">
        <v>10950</v>
      </c>
      <c r="H1678" s="5" t="s">
        <v>10951</v>
      </c>
      <c r="I1678" s="5"/>
      <c r="J1678" s="12">
        <v>46072</v>
      </c>
      <c r="K1678" s="11">
        <v>0.70833333333212067</v>
      </c>
      <c r="M1678" s="10" t="s">
        <v>14832</v>
      </c>
      <c r="N1678" s="12">
        <v>46072.648876018517</v>
      </c>
      <c r="O1678" s="10" t="s">
        <v>15879</v>
      </c>
      <c r="P1678" s="5" t="s">
        <v>14571</v>
      </c>
      <c r="Q1678" s="5" t="s">
        <v>14572</v>
      </c>
      <c r="R1678" s="5" t="s">
        <v>18584</v>
      </c>
      <c r="T1678" s="5" t="s">
        <v>5994</v>
      </c>
      <c r="U1678" s="5" t="s">
        <v>14775</v>
      </c>
      <c r="V1678" s="5" t="s">
        <v>180</v>
      </c>
      <c r="W1678" s="5"/>
    </row>
    <row r="1679" spans="1:23" ht="12.5">
      <c r="A1679" s="5">
        <v>92189</v>
      </c>
      <c r="B1679" s="5" t="s">
        <v>18585</v>
      </c>
      <c r="C1679" s="10" t="s">
        <v>18586</v>
      </c>
      <c r="D1679" s="5" t="s">
        <v>14589</v>
      </c>
      <c r="E1679" s="5" t="s">
        <v>10945</v>
      </c>
      <c r="F1679" s="5" t="s">
        <v>73</v>
      </c>
      <c r="G1679" s="5" t="s">
        <v>18587</v>
      </c>
      <c r="H1679" s="5" t="s">
        <v>10944</v>
      </c>
      <c r="I1679" s="5"/>
      <c r="J1679" s="12">
        <v>46072</v>
      </c>
      <c r="K1679" s="11">
        <v>0.70833333333333337</v>
      </c>
      <c r="M1679" s="10" t="s">
        <v>14697</v>
      </c>
      <c r="N1679" s="12">
        <v>46072</v>
      </c>
      <c r="O1679" s="10" t="s">
        <v>16477</v>
      </c>
      <c r="P1679" s="5" t="s">
        <v>14571</v>
      </c>
      <c r="Q1679" s="5" t="s">
        <v>14578</v>
      </c>
      <c r="R1679" s="5" t="s">
        <v>18588</v>
      </c>
      <c r="T1679" s="5" t="s">
        <v>5994</v>
      </c>
      <c r="U1679" s="5" t="s">
        <v>14593</v>
      </c>
      <c r="V1679" s="5" t="s">
        <v>1481</v>
      </c>
      <c r="W1679" s="5"/>
    </row>
    <row r="1680" spans="1:23" ht="12.5">
      <c r="A1680" s="5">
        <v>92190</v>
      </c>
      <c r="B1680" s="5" t="s">
        <v>8664</v>
      </c>
      <c r="C1680" s="5">
        <v>573147791720</v>
      </c>
      <c r="D1680" s="5">
        <v>95</v>
      </c>
      <c r="E1680" s="5" t="s">
        <v>42</v>
      </c>
      <c r="F1680" s="5" t="s">
        <v>33</v>
      </c>
      <c r="G1680" s="5" t="s">
        <v>8664</v>
      </c>
      <c r="H1680" s="5" t="s">
        <v>34</v>
      </c>
      <c r="I1680" s="5">
        <v>3147791720</v>
      </c>
      <c r="J1680" s="12">
        <v>46072</v>
      </c>
      <c r="K1680" s="11">
        <v>0</v>
      </c>
      <c r="M1680" s="10" t="s">
        <v>17248</v>
      </c>
      <c r="N1680" s="12">
        <v>46072.663041018517</v>
      </c>
      <c r="O1680" s="10" t="s">
        <v>14931</v>
      </c>
      <c r="P1680" s="5" t="s">
        <v>14571</v>
      </c>
      <c r="Q1680" s="5" t="s">
        <v>14612</v>
      </c>
      <c r="R1680" s="5" t="s">
        <v>18589</v>
      </c>
      <c r="T1680" s="5" t="s">
        <v>14574</v>
      </c>
      <c r="U1680" s="5" t="s">
        <v>33</v>
      </c>
      <c r="V1680" s="5" t="s">
        <v>43</v>
      </c>
      <c r="W1680" s="5"/>
    </row>
    <row r="1681" spans="1:23" ht="12.5">
      <c r="A1681" s="5">
        <v>92191</v>
      </c>
      <c r="B1681" s="5" t="s">
        <v>5734</v>
      </c>
      <c r="C1681" s="5">
        <v>573007682024</v>
      </c>
      <c r="D1681" s="5">
        <v>95</v>
      </c>
      <c r="E1681" s="5" t="s">
        <v>42</v>
      </c>
      <c r="F1681" s="5" t="s">
        <v>33</v>
      </c>
      <c r="G1681" s="5" t="s">
        <v>5734</v>
      </c>
      <c r="H1681" s="5" t="s">
        <v>34</v>
      </c>
      <c r="I1681" s="5">
        <v>3007682024</v>
      </c>
      <c r="J1681" s="12">
        <v>46073</v>
      </c>
      <c r="K1681" s="11">
        <v>0.33333333333212067</v>
      </c>
      <c r="M1681" s="10" t="s">
        <v>2686</v>
      </c>
      <c r="N1681" s="12">
        <v>46073</v>
      </c>
      <c r="O1681" s="10" t="s">
        <v>16335</v>
      </c>
      <c r="P1681" s="5" t="s">
        <v>14571</v>
      </c>
      <c r="Q1681" s="5" t="s">
        <v>14572</v>
      </c>
      <c r="R1681" s="5" t="s">
        <v>18590</v>
      </c>
      <c r="T1681" s="5" t="s">
        <v>14574</v>
      </c>
      <c r="U1681" s="5" t="s">
        <v>33</v>
      </c>
      <c r="V1681" s="5" t="s">
        <v>43</v>
      </c>
      <c r="W1681" s="5" t="s">
        <v>10953</v>
      </c>
    </row>
    <row r="1682" spans="1:23" ht="12.5">
      <c r="A1682" s="5">
        <v>92192</v>
      </c>
      <c r="B1682" s="5" t="s">
        <v>10956</v>
      </c>
      <c r="C1682" s="5">
        <v>573182696179</v>
      </c>
      <c r="D1682" s="5">
        <v>29</v>
      </c>
      <c r="E1682" s="5" t="s">
        <v>309</v>
      </c>
      <c r="F1682" s="5" t="s">
        <v>33</v>
      </c>
      <c r="G1682" s="5" t="s">
        <v>10956</v>
      </c>
      <c r="H1682" s="5" t="s">
        <v>34</v>
      </c>
      <c r="I1682" s="5">
        <v>3182696179</v>
      </c>
      <c r="J1682" s="12">
        <v>46072</v>
      </c>
      <c r="K1682" s="11">
        <v>0</v>
      </c>
      <c r="M1682" s="10" t="s">
        <v>14850</v>
      </c>
      <c r="N1682" s="12">
        <v>46072.67212127315</v>
      </c>
      <c r="O1682" s="10" t="s">
        <v>16335</v>
      </c>
      <c r="P1682" s="5" t="s">
        <v>14571</v>
      </c>
      <c r="Q1682" s="5" t="s">
        <v>14578</v>
      </c>
      <c r="R1682" s="5" t="s">
        <v>18591</v>
      </c>
      <c r="T1682" s="5" t="s">
        <v>14574</v>
      </c>
      <c r="U1682" s="5" t="s">
        <v>33</v>
      </c>
      <c r="V1682" s="5" t="s">
        <v>43</v>
      </c>
      <c r="W1682" s="5" t="s">
        <v>10957</v>
      </c>
    </row>
    <row r="1683" spans="1:23" ht="12.5">
      <c r="A1683" s="5">
        <v>92193</v>
      </c>
      <c r="B1683" s="5" t="s">
        <v>10959</v>
      </c>
      <c r="C1683" s="5">
        <v>573162243517</v>
      </c>
      <c r="D1683" s="5">
        <v>57</v>
      </c>
      <c r="E1683" s="5" t="s">
        <v>1085</v>
      </c>
      <c r="F1683" s="5" t="s">
        <v>33</v>
      </c>
      <c r="G1683" s="5" t="s">
        <v>10959</v>
      </c>
      <c r="H1683" s="5" t="s">
        <v>34</v>
      </c>
      <c r="I1683" s="5">
        <v>3162243517</v>
      </c>
      <c r="J1683" s="12">
        <v>46072</v>
      </c>
      <c r="K1683" s="11">
        <v>0</v>
      </c>
      <c r="M1683" s="10" t="s">
        <v>10581</v>
      </c>
      <c r="N1683" s="12">
        <v>46072.674175057866</v>
      </c>
      <c r="O1683" s="10" t="s">
        <v>15717</v>
      </c>
      <c r="P1683" s="5" t="s">
        <v>14571</v>
      </c>
      <c r="Q1683" s="5" t="s">
        <v>14612</v>
      </c>
      <c r="R1683" s="5" t="s">
        <v>18592</v>
      </c>
      <c r="T1683" s="5" t="s">
        <v>14574</v>
      </c>
      <c r="U1683" s="5" t="s">
        <v>33</v>
      </c>
      <c r="V1683" s="5" t="s">
        <v>43</v>
      </c>
      <c r="W1683" s="5" t="s">
        <v>10960</v>
      </c>
    </row>
    <row r="1684" spans="1:23" ht="12.5">
      <c r="A1684" s="5">
        <v>92194</v>
      </c>
      <c r="B1684" s="5" t="s">
        <v>3580</v>
      </c>
      <c r="C1684" s="5">
        <v>573003182878</v>
      </c>
      <c r="D1684" s="5">
        <v>95</v>
      </c>
      <c r="E1684" s="5" t="s">
        <v>10963</v>
      </c>
      <c r="F1684" s="5"/>
      <c r="G1684" s="5" t="s">
        <v>10961</v>
      </c>
      <c r="H1684" s="5" t="s">
        <v>10962</v>
      </c>
      <c r="I1684" s="5">
        <v>3003182878</v>
      </c>
      <c r="J1684" s="12">
        <v>46073</v>
      </c>
      <c r="K1684" s="11">
        <v>0</v>
      </c>
      <c r="M1684" s="10" t="s">
        <v>18593</v>
      </c>
      <c r="N1684" s="12">
        <v>46073</v>
      </c>
      <c r="O1684" s="10" t="s">
        <v>16085</v>
      </c>
      <c r="P1684" s="5" t="s">
        <v>14571</v>
      </c>
      <c r="Q1684" s="5" t="s">
        <v>14612</v>
      </c>
      <c r="R1684" s="5" t="s">
        <v>18594</v>
      </c>
      <c r="T1684" s="5" t="s">
        <v>5994</v>
      </c>
      <c r="U1684" s="5"/>
      <c r="V1684" s="5" t="s">
        <v>67</v>
      </c>
      <c r="W1684" s="5"/>
    </row>
    <row r="1685" spans="1:23" ht="12.5">
      <c r="A1685" s="5">
        <v>92195</v>
      </c>
      <c r="B1685" s="5" t="s">
        <v>10966</v>
      </c>
      <c r="C1685" s="5">
        <v>573114889976</v>
      </c>
      <c r="D1685" s="5">
        <v>63</v>
      </c>
      <c r="E1685" s="5" t="s">
        <v>294</v>
      </c>
      <c r="F1685" s="5" t="s">
        <v>33</v>
      </c>
      <c r="G1685" s="5" t="s">
        <v>10966</v>
      </c>
      <c r="H1685" s="5" t="s">
        <v>34</v>
      </c>
      <c r="I1685" s="5">
        <v>3114889976</v>
      </c>
      <c r="J1685" s="12">
        <v>46073</v>
      </c>
      <c r="K1685" s="11">
        <v>0</v>
      </c>
      <c r="M1685" s="10" t="s">
        <v>14740</v>
      </c>
      <c r="N1685" s="12">
        <v>46072.702365543984</v>
      </c>
      <c r="O1685" s="10" t="s">
        <v>14805</v>
      </c>
      <c r="P1685" s="5" t="s">
        <v>14571</v>
      </c>
      <c r="Q1685" s="5" t="s">
        <v>14578</v>
      </c>
      <c r="R1685" s="5" t="s">
        <v>18595</v>
      </c>
      <c r="T1685" s="5" t="s">
        <v>14574</v>
      </c>
      <c r="U1685" s="5" t="s">
        <v>33</v>
      </c>
      <c r="V1685" s="5" t="s">
        <v>2438</v>
      </c>
      <c r="W1685" s="5" t="s">
        <v>5994</v>
      </c>
    </row>
    <row r="1686" spans="1:23" ht="12.5">
      <c r="A1686" s="5">
        <v>92196</v>
      </c>
      <c r="B1686" s="5" t="s">
        <v>18596</v>
      </c>
      <c r="C1686" s="5">
        <v>573113043191</v>
      </c>
      <c r="D1686" s="5">
        <v>95</v>
      </c>
      <c r="E1686" s="5" t="s">
        <v>42</v>
      </c>
      <c r="F1686" s="5" t="s">
        <v>154</v>
      </c>
      <c r="G1686" s="5" t="s">
        <v>6387</v>
      </c>
      <c r="H1686" s="5" t="s">
        <v>10969</v>
      </c>
      <c r="I1686" s="5">
        <v>3113043191</v>
      </c>
      <c r="J1686" s="12">
        <v>46072</v>
      </c>
      <c r="K1686" s="11">
        <v>0</v>
      </c>
      <c r="M1686" s="10" t="s">
        <v>18597</v>
      </c>
      <c r="N1686" s="12">
        <v>46072.710678958334</v>
      </c>
      <c r="O1686" s="10" t="s">
        <v>17270</v>
      </c>
      <c r="P1686" s="5" t="s">
        <v>14571</v>
      </c>
      <c r="Q1686" s="5" t="s">
        <v>14578</v>
      </c>
      <c r="R1686" s="5" t="s">
        <v>18598</v>
      </c>
      <c r="T1686" s="5" t="s">
        <v>5994</v>
      </c>
      <c r="U1686" s="5" t="s">
        <v>14593</v>
      </c>
      <c r="V1686" s="5" t="s">
        <v>67</v>
      </c>
      <c r="W1686" s="5"/>
    </row>
    <row r="1687" spans="1:23" ht="12.5">
      <c r="A1687" s="5">
        <v>92197</v>
      </c>
      <c r="B1687" s="5" t="s">
        <v>18599</v>
      </c>
      <c r="C1687" s="5">
        <v>573012946957</v>
      </c>
      <c r="D1687" s="5">
        <v>52</v>
      </c>
      <c r="E1687" s="5" t="s">
        <v>178</v>
      </c>
      <c r="F1687" s="5" t="s">
        <v>7476</v>
      </c>
      <c r="G1687" s="5" t="s">
        <v>883</v>
      </c>
      <c r="H1687" s="5" t="s">
        <v>10970</v>
      </c>
      <c r="I1687" s="5" t="s">
        <v>10971</v>
      </c>
      <c r="J1687" s="12">
        <v>46072</v>
      </c>
      <c r="K1687" s="11">
        <v>0</v>
      </c>
      <c r="M1687" s="10" t="s">
        <v>16408</v>
      </c>
      <c r="N1687" s="12">
        <v>46072.719886851854</v>
      </c>
      <c r="O1687" s="10" t="s">
        <v>18600</v>
      </c>
      <c r="P1687" s="5" t="s">
        <v>14571</v>
      </c>
      <c r="Q1687" s="5" t="s">
        <v>14612</v>
      </c>
      <c r="R1687" s="5" t="s">
        <v>18601</v>
      </c>
      <c r="T1687" s="5" t="s">
        <v>5994</v>
      </c>
      <c r="U1687" s="5" t="s">
        <v>15349</v>
      </c>
      <c r="V1687" s="5" t="s">
        <v>1481</v>
      </c>
      <c r="W1687" s="5" t="s">
        <v>10974</v>
      </c>
    </row>
    <row r="1688" spans="1:23" ht="12.5">
      <c r="A1688" s="5">
        <v>92198</v>
      </c>
      <c r="B1688" s="5" t="s">
        <v>10975</v>
      </c>
      <c r="C1688" s="5">
        <v>5700000</v>
      </c>
      <c r="D1688" s="5">
        <v>95</v>
      </c>
      <c r="E1688" s="5" t="s">
        <v>42</v>
      </c>
      <c r="F1688" s="5" t="s">
        <v>33</v>
      </c>
      <c r="G1688" s="5" t="s">
        <v>10975</v>
      </c>
      <c r="H1688" s="5" t="s">
        <v>34</v>
      </c>
      <c r="I1688" s="10" t="s">
        <v>2686</v>
      </c>
      <c r="J1688" s="12">
        <v>46072</v>
      </c>
      <c r="K1688" s="11">
        <v>0</v>
      </c>
      <c r="M1688" s="10" t="s">
        <v>15837</v>
      </c>
      <c r="N1688" s="12">
        <v>46072.738187407405</v>
      </c>
      <c r="O1688" s="10" t="s">
        <v>15665</v>
      </c>
      <c r="P1688" s="5" t="s">
        <v>14571</v>
      </c>
      <c r="Q1688" s="5" t="s">
        <v>14572</v>
      </c>
      <c r="R1688" s="5" t="s">
        <v>18602</v>
      </c>
      <c r="T1688" s="5" t="s">
        <v>14574</v>
      </c>
      <c r="U1688" s="5" t="s">
        <v>33</v>
      </c>
      <c r="V1688" s="5" t="s">
        <v>196</v>
      </c>
      <c r="W1688" s="5" t="s">
        <v>525</v>
      </c>
    </row>
    <row r="1689" spans="1:23" ht="12.5">
      <c r="A1689" s="5">
        <v>92199</v>
      </c>
      <c r="B1689" s="5" t="s">
        <v>18603</v>
      </c>
      <c r="C1689" s="5">
        <v>573145860469</v>
      </c>
      <c r="D1689" s="5">
        <v>95</v>
      </c>
      <c r="E1689" s="5" t="s">
        <v>42</v>
      </c>
      <c r="F1689" s="5" t="s">
        <v>124</v>
      </c>
      <c r="G1689" s="5" t="s">
        <v>10992</v>
      </c>
      <c r="H1689" s="5" t="s">
        <v>10993</v>
      </c>
      <c r="I1689" s="5"/>
      <c r="J1689" s="12">
        <v>46072</v>
      </c>
      <c r="K1689" s="11">
        <v>0.83333333333212067</v>
      </c>
      <c r="M1689" s="10" t="s">
        <v>15301</v>
      </c>
      <c r="N1689" s="12">
        <v>46072.765431805557</v>
      </c>
      <c r="O1689" s="10" t="s">
        <v>18604</v>
      </c>
      <c r="P1689" s="5" t="s">
        <v>14571</v>
      </c>
      <c r="Q1689" s="5" t="s">
        <v>14578</v>
      </c>
      <c r="R1689" s="5" t="s">
        <v>18605</v>
      </c>
      <c r="T1689" s="5" t="s">
        <v>5994</v>
      </c>
      <c r="U1689" s="5" t="s">
        <v>14775</v>
      </c>
      <c r="V1689" s="5" t="s">
        <v>43</v>
      </c>
      <c r="W1689" s="5" t="s">
        <v>10995</v>
      </c>
    </row>
    <row r="1690" spans="1:23" ht="12.5">
      <c r="A1690" s="5">
        <v>92200</v>
      </c>
      <c r="B1690" s="5" t="s">
        <v>7441</v>
      </c>
      <c r="C1690" s="5">
        <v>573024694357</v>
      </c>
      <c r="D1690" s="5">
        <v>95</v>
      </c>
      <c r="E1690" s="5" t="s">
        <v>42</v>
      </c>
      <c r="F1690" s="5" t="s">
        <v>33</v>
      </c>
      <c r="G1690" s="5" t="s">
        <v>7441</v>
      </c>
      <c r="H1690" s="5" t="s">
        <v>34</v>
      </c>
      <c r="I1690" s="5">
        <v>3024694357</v>
      </c>
      <c r="J1690" s="12">
        <v>46072</v>
      </c>
      <c r="K1690" s="11">
        <v>0</v>
      </c>
      <c r="M1690" s="10" t="s">
        <v>15582</v>
      </c>
      <c r="N1690" s="12">
        <v>46072.768084710653</v>
      </c>
      <c r="O1690" s="10" t="s">
        <v>14797</v>
      </c>
      <c r="P1690" s="5" t="s">
        <v>14571</v>
      </c>
      <c r="Q1690" s="5" t="s">
        <v>14612</v>
      </c>
      <c r="R1690" s="5" t="s">
        <v>18606</v>
      </c>
      <c r="T1690" s="5" t="s">
        <v>14574</v>
      </c>
      <c r="U1690" s="5" t="s">
        <v>33</v>
      </c>
      <c r="V1690" s="5" t="s">
        <v>1481</v>
      </c>
      <c r="W1690" s="5" t="s">
        <v>525</v>
      </c>
    </row>
    <row r="1691" spans="1:23" ht="12.5">
      <c r="A1691" s="5">
        <v>92201</v>
      </c>
      <c r="B1691" s="5" t="s">
        <v>18607</v>
      </c>
      <c r="C1691" s="5">
        <v>573185344593</v>
      </c>
      <c r="D1691" s="5" t="s">
        <v>18608</v>
      </c>
      <c r="E1691" s="5" t="s">
        <v>10988</v>
      </c>
      <c r="F1691" s="5" t="s">
        <v>328</v>
      </c>
      <c r="G1691" s="5" t="s">
        <v>10986</v>
      </c>
      <c r="H1691" s="5" t="s">
        <v>10987</v>
      </c>
      <c r="I1691" s="5">
        <v>3185698180</v>
      </c>
      <c r="J1691" s="12">
        <v>46072</v>
      </c>
      <c r="K1691" s="11">
        <v>0.35416666666787933</v>
      </c>
      <c r="M1691" s="10" t="s">
        <v>18609</v>
      </c>
      <c r="N1691" s="12">
        <v>46072.759233958335</v>
      </c>
      <c r="O1691" s="10" t="s">
        <v>18610</v>
      </c>
      <c r="P1691" s="5" t="s">
        <v>14571</v>
      </c>
      <c r="Q1691" s="5" t="s">
        <v>14572</v>
      </c>
      <c r="R1691" s="5" t="s">
        <v>18611</v>
      </c>
      <c r="T1691" s="5" t="s">
        <v>5994</v>
      </c>
      <c r="U1691" s="5"/>
      <c r="V1691" s="5" t="s">
        <v>180</v>
      </c>
      <c r="W1691" s="5" t="s">
        <v>10990</v>
      </c>
    </row>
    <row r="1692" spans="1:23" ht="12.5">
      <c r="A1692" s="5">
        <v>92202</v>
      </c>
      <c r="B1692" s="5" t="s">
        <v>10976</v>
      </c>
      <c r="C1692" s="5">
        <v>573150463328</v>
      </c>
      <c r="D1692" s="5">
        <v>45</v>
      </c>
      <c r="E1692" s="5" t="s">
        <v>210</v>
      </c>
      <c r="F1692" s="5" t="s">
        <v>6194</v>
      </c>
      <c r="G1692" s="5" t="s">
        <v>10976</v>
      </c>
      <c r="H1692" s="5" t="s">
        <v>10977</v>
      </c>
      <c r="I1692" s="5">
        <v>3150463328</v>
      </c>
      <c r="J1692" s="12">
        <v>46076</v>
      </c>
      <c r="K1692" s="11">
        <v>0.41666666666787933</v>
      </c>
      <c r="M1692" s="10" t="s">
        <v>14657</v>
      </c>
      <c r="N1692" s="12">
        <v>46072.755660960647</v>
      </c>
      <c r="O1692" s="10" t="s">
        <v>16873</v>
      </c>
      <c r="P1692" s="5" t="s">
        <v>14571</v>
      </c>
      <c r="Q1692" s="5" t="s">
        <v>14578</v>
      </c>
      <c r="R1692" s="5" t="s">
        <v>18612</v>
      </c>
      <c r="T1692" s="5" t="s">
        <v>5994</v>
      </c>
      <c r="U1692" s="5" t="s">
        <v>14580</v>
      </c>
      <c r="V1692" s="5" t="s">
        <v>180</v>
      </c>
      <c r="W1692" s="5"/>
    </row>
    <row r="1693" spans="1:23" ht="12.5">
      <c r="A1693" s="5">
        <v>92203</v>
      </c>
      <c r="B1693" s="5" t="s">
        <v>18613</v>
      </c>
      <c r="C1693" s="5">
        <v>573225861836</v>
      </c>
      <c r="D1693" s="5">
        <v>29</v>
      </c>
      <c r="E1693" s="5" t="s">
        <v>309</v>
      </c>
      <c r="F1693" s="5" t="s">
        <v>328</v>
      </c>
      <c r="G1693" s="5" t="s">
        <v>10982</v>
      </c>
      <c r="H1693" s="5" t="s">
        <v>10983</v>
      </c>
      <c r="I1693" s="5">
        <v>3016092914</v>
      </c>
      <c r="J1693" s="12">
        <v>46073</v>
      </c>
      <c r="K1693" s="11">
        <v>0.375</v>
      </c>
      <c r="M1693" s="10" t="s">
        <v>14705</v>
      </c>
      <c r="N1693" s="12">
        <v>46072.75756690972</v>
      </c>
      <c r="O1693" s="10" t="s">
        <v>16171</v>
      </c>
      <c r="P1693" s="5" t="s">
        <v>14571</v>
      </c>
      <c r="Q1693" s="5" t="s">
        <v>14572</v>
      </c>
      <c r="R1693" s="5" t="s">
        <v>18614</v>
      </c>
      <c r="T1693" s="5" t="s">
        <v>5994</v>
      </c>
      <c r="U1693" s="5"/>
      <c r="V1693" s="5" t="s">
        <v>1481</v>
      </c>
      <c r="W1693" s="5"/>
    </row>
    <row r="1694" spans="1:23" ht="12.5">
      <c r="A1694" s="5">
        <v>92204</v>
      </c>
      <c r="B1694" s="5" t="s">
        <v>18615</v>
      </c>
      <c r="C1694" s="10" t="s">
        <v>18616</v>
      </c>
      <c r="D1694" s="5">
        <v>15</v>
      </c>
      <c r="E1694" s="5" t="s">
        <v>707</v>
      </c>
      <c r="F1694" s="5" t="s">
        <v>886</v>
      </c>
      <c r="G1694" s="5" t="s">
        <v>13329</v>
      </c>
      <c r="H1694" s="5" t="s">
        <v>10999</v>
      </c>
      <c r="I1694" s="5">
        <v>3168399827</v>
      </c>
      <c r="J1694" s="12">
        <v>46073</v>
      </c>
      <c r="K1694" s="11">
        <v>0.41666666666666669</v>
      </c>
      <c r="M1694" s="10" t="s">
        <v>16155</v>
      </c>
      <c r="N1694" s="12">
        <v>46073</v>
      </c>
      <c r="O1694" s="10" t="s">
        <v>15491</v>
      </c>
      <c r="P1694" s="5" t="s">
        <v>14571</v>
      </c>
      <c r="Q1694" s="5" t="s">
        <v>14572</v>
      </c>
      <c r="R1694" s="5" t="s">
        <v>18617</v>
      </c>
      <c r="T1694" s="5" t="s">
        <v>5994</v>
      </c>
      <c r="U1694" s="5" t="s">
        <v>14618</v>
      </c>
      <c r="V1694" s="5" t="s">
        <v>1481</v>
      </c>
      <c r="W1694" s="5"/>
    </row>
    <row r="1695" spans="1:23" ht="12.5">
      <c r="A1695" s="5">
        <v>92205</v>
      </c>
      <c r="B1695" s="5" t="s">
        <v>11004</v>
      </c>
      <c r="C1695" s="5">
        <v>5700000</v>
      </c>
      <c r="D1695" s="5">
        <v>95</v>
      </c>
      <c r="E1695" s="5" t="s">
        <v>42</v>
      </c>
      <c r="F1695" s="5" t="s">
        <v>33</v>
      </c>
      <c r="G1695" s="5" t="s">
        <v>11004</v>
      </c>
      <c r="H1695" s="5" t="s">
        <v>34</v>
      </c>
      <c r="I1695" s="10" t="s">
        <v>2686</v>
      </c>
      <c r="J1695" s="12">
        <v>46073</v>
      </c>
      <c r="K1695" s="11">
        <v>0</v>
      </c>
      <c r="M1695" s="10" t="s">
        <v>15785</v>
      </c>
      <c r="N1695" s="12">
        <v>46073.383449016204</v>
      </c>
      <c r="O1695" s="10" t="s">
        <v>15751</v>
      </c>
      <c r="P1695" s="5" t="s">
        <v>14571</v>
      </c>
      <c r="Q1695" s="5" t="s">
        <v>14612</v>
      </c>
      <c r="R1695" s="5" t="s">
        <v>18618</v>
      </c>
      <c r="T1695" s="5" t="s">
        <v>14574</v>
      </c>
      <c r="U1695" s="5" t="s">
        <v>33</v>
      </c>
      <c r="V1695" s="5" t="s">
        <v>196</v>
      </c>
      <c r="W1695" s="5"/>
    </row>
    <row r="1696" spans="1:23" ht="12.5">
      <c r="A1696" s="5">
        <v>92206</v>
      </c>
      <c r="B1696" s="5" t="s">
        <v>18619</v>
      </c>
      <c r="C1696" s="5">
        <v>573025953182</v>
      </c>
      <c r="D1696" s="5">
        <v>29</v>
      </c>
      <c r="E1696" s="5" t="s">
        <v>309</v>
      </c>
      <c r="F1696" s="5" t="s">
        <v>124</v>
      </c>
      <c r="G1696" s="5" t="s">
        <v>11001</v>
      </c>
      <c r="H1696" s="5" t="s">
        <v>11002</v>
      </c>
      <c r="I1696" s="5" t="s">
        <v>11003</v>
      </c>
      <c r="J1696" s="12">
        <v>46073</v>
      </c>
      <c r="K1696" s="11">
        <v>0.41666666666787933</v>
      </c>
      <c r="M1696" s="10" t="s">
        <v>14705</v>
      </c>
      <c r="N1696" s="12">
        <v>46073.382259456019</v>
      </c>
      <c r="O1696" s="10" t="s">
        <v>16754</v>
      </c>
      <c r="P1696" s="5" t="s">
        <v>14571</v>
      </c>
      <c r="Q1696" s="5" t="s">
        <v>14572</v>
      </c>
      <c r="R1696" s="5" t="s">
        <v>18620</v>
      </c>
      <c r="T1696" s="5" t="s">
        <v>5994</v>
      </c>
      <c r="U1696" s="5" t="s">
        <v>14775</v>
      </c>
      <c r="V1696" s="5" t="s">
        <v>1481</v>
      </c>
      <c r="W1696" s="5"/>
    </row>
    <row r="1697" spans="1:23" ht="12.5">
      <c r="A1697" s="5">
        <v>92207</v>
      </c>
      <c r="B1697" s="5" t="s">
        <v>18621</v>
      </c>
      <c r="C1697" s="10" t="s">
        <v>18622</v>
      </c>
      <c r="D1697" s="5">
        <v>45</v>
      </c>
      <c r="E1697" s="5" t="s">
        <v>210</v>
      </c>
      <c r="F1697" s="5" t="s">
        <v>161</v>
      </c>
      <c r="G1697" s="5" t="s">
        <v>18623</v>
      </c>
      <c r="H1697" s="5" t="s">
        <v>11012</v>
      </c>
      <c r="I1697" s="5">
        <v>3246826268</v>
      </c>
      <c r="J1697" s="12">
        <v>46073</v>
      </c>
      <c r="K1697" s="11">
        <v>0.41666666666666669</v>
      </c>
      <c r="M1697" s="10" t="s">
        <v>16429</v>
      </c>
      <c r="N1697" s="12">
        <v>46073</v>
      </c>
      <c r="O1697" s="10" t="s">
        <v>16947</v>
      </c>
      <c r="P1697" s="5" t="s">
        <v>14571</v>
      </c>
      <c r="Q1697" s="5" t="s">
        <v>14578</v>
      </c>
      <c r="R1697" s="5" t="s">
        <v>18624</v>
      </c>
      <c r="T1697" s="5" t="s">
        <v>5994</v>
      </c>
      <c r="U1697" s="5" t="s">
        <v>14593</v>
      </c>
      <c r="V1697" s="5" t="s">
        <v>1481</v>
      </c>
      <c r="W1697" s="5"/>
    </row>
    <row r="1698" spans="1:23" ht="12.5">
      <c r="A1698" s="5">
        <v>92208</v>
      </c>
      <c r="B1698" s="5" t="s">
        <v>15167</v>
      </c>
      <c r="C1698" s="5">
        <v>573004768221</v>
      </c>
      <c r="D1698" s="5">
        <v>21</v>
      </c>
      <c r="E1698" s="5" t="s">
        <v>330</v>
      </c>
      <c r="F1698" s="5" t="s">
        <v>1497</v>
      </c>
      <c r="G1698" s="5" t="s">
        <v>11015</v>
      </c>
      <c r="H1698" s="5" t="s">
        <v>11016</v>
      </c>
      <c r="I1698" s="5" t="s">
        <v>11017</v>
      </c>
      <c r="J1698" s="12">
        <v>46073</v>
      </c>
      <c r="K1698" s="11">
        <v>0.41666666666787933</v>
      </c>
      <c r="M1698" s="10" t="s">
        <v>14615</v>
      </c>
      <c r="N1698" s="12">
        <v>46073.407340138889</v>
      </c>
      <c r="O1698" s="10" t="s">
        <v>16186</v>
      </c>
      <c r="P1698" s="5" t="s">
        <v>14571</v>
      </c>
      <c r="Q1698" s="5" t="s">
        <v>14612</v>
      </c>
      <c r="R1698" s="5" t="s">
        <v>18625</v>
      </c>
      <c r="T1698" s="5" t="s">
        <v>5994</v>
      </c>
      <c r="U1698" s="5" t="s">
        <v>14593</v>
      </c>
      <c r="V1698" s="5" t="s">
        <v>1481</v>
      </c>
      <c r="W1698" s="5"/>
    </row>
    <row r="1699" spans="1:23" ht="12.5">
      <c r="A1699" s="5">
        <v>92209</v>
      </c>
      <c r="B1699" s="5" t="s">
        <v>18626</v>
      </c>
      <c r="C1699" s="5">
        <v>573244282423</v>
      </c>
      <c r="D1699" s="5" t="s">
        <v>14589</v>
      </c>
      <c r="E1699" s="5" t="s">
        <v>11022</v>
      </c>
      <c r="F1699" s="5" t="s">
        <v>448</v>
      </c>
      <c r="G1699" s="5" t="s">
        <v>11020</v>
      </c>
      <c r="H1699" s="5" t="s">
        <v>11021</v>
      </c>
      <c r="I1699" s="5">
        <v>3003750529</v>
      </c>
      <c r="J1699" s="12">
        <v>46074</v>
      </c>
      <c r="K1699" s="11">
        <v>0.39583333333212067</v>
      </c>
      <c r="M1699" s="10" t="s">
        <v>15619</v>
      </c>
      <c r="N1699" s="12">
        <v>46073.422041562502</v>
      </c>
      <c r="O1699" s="10" t="s">
        <v>16952</v>
      </c>
      <c r="P1699" s="5" t="s">
        <v>14571</v>
      </c>
      <c r="Q1699" s="5" t="s">
        <v>14612</v>
      </c>
      <c r="R1699" s="5" t="s">
        <v>18627</v>
      </c>
      <c r="T1699" s="5" t="s">
        <v>5994</v>
      </c>
      <c r="U1699" s="5" t="s">
        <v>14580</v>
      </c>
      <c r="V1699" s="5" t="s">
        <v>180</v>
      </c>
      <c r="W1699" s="5"/>
    </row>
    <row r="1700" spans="1:23" ht="12.5">
      <c r="A1700" s="5">
        <v>92210</v>
      </c>
      <c r="B1700" s="5" t="s">
        <v>11024</v>
      </c>
      <c r="C1700" s="5">
        <v>573053441637</v>
      </c>
      <c r="D1700" s="5" t="s">
        <v>14589</v>
      </c>
      <c r="E1700" s="5" t="s">
        <v>11025</v>
      </c>
      <c r="F1700" s="5" t="s">
        <v>33</v>
      </c>
      <c r="G1700" s="5" t="s">
        <v>11024</v>
      </c>
      <c r="H1700" s="5" t="s">
        <v>34</v>
      </c>
      <c r="I1700" s="5">
        <v>3053441637</v>
      </c>
      <c r="J1700" s="12">
        <v>46073</v>
      </c>
      <c r="K1700" s="11">
        <v>0</v>
      </c>
      <c r="M1700" s="10" t="s">
        <v>14712</v>
      </c>
      <c r="N1700" s="12">
        <v>46073.422231261575</v>
      </c>
      <c r="O1700" s="10" t="s">
        <v>17658</v>
      </c>
      <c r="P1700" s="5" t="s">
        <v>14571</v>
      </c>
      <c r="Q1700" s="5" t="s">
        <v>14572</v>
      </c>
      <c r="R1700" s="5" t="s">
        <v>18628</v>
      </c>
      <c r="T1700" s="5" t="s">
        <v>14574</v>
      </c>
      <c r="U1700" s="5" t="s">
        <v>33</v>
      </c>
      <c r="V1700" s="5" t="s">
        <v>1481</v>
      </c>
      <c r="W1700" s="5" t="s">
        <v>11028</v>
      </c>
    </row>
    <row r="1701" spans="1:23" ht="12.5">
      <c r="A1701" s="5">
        <v>92211</v>
      </c>
      <c r="B1701" s="5" t="s">
        <v>18629</v>
      </c>
      <c r="C1701" s="5">
        <v>573215205372</v>
      </c>
      <c r="D1701" s="5">
        <v>59</v>
      </c>
      <c r="E1701" s="5" t="s">
        <v>148</v>
      </c>
      <c r="F1701" s="5" t="s">
        <v>73</v>
      </c>
      <c r="G1701" s="5" t="s">
        <v>11029</v>
      </c>
      <c r="H1701" s="5" t="s">
        <v>11030</v>
      </c>
      <c r="I1701" s="5">
        <v>3215205372</v>
      </c>
      <c r="J1701" s="12">
        <v>46073</v>
      </c>
      <c r="K1701" s="11">
        <v>0.45833333333212067</v>
      </c>
      <c r="M1701" s="10" t="s">
        <v>14890</v>
      </c>
      <c r="N1701" s="12">
        <v>46073.435129398145</v>
      </c>
      <c r="O1701" s="10" t="s">
        <v>18630</v>
      </c>
      <c r="P1701" s="5" t="s">
        <v>14571</v>
      </c>
      <c r="Q1701" s="5" t="s">
        <v>14578</v>
      </c>
      <c r="R1701" s="5" t="s">
        <v>18631</v>
      </c>
      <c r="T1701" s="5" t="s">
        <v>5994</v>
      </c>
      <c r="U1701" s="5" t="s">
        <v>14593</v>
      </c>
      <c r="V1701" s="5" t="s">
        <v>1481</v>
      </c>
      <c r="W1701" s="5"/>
    </row>
    <row r="1702" spans="1:23" ht="12.5">
      <c r="A1702" s="5">
        <v>92212</v>
      </c>
      <c r="B1702" s="5" t="s">
        <v>13618</v>
      </c>
      <c r="C1702" s="5">
        <v>573125118337</v>
      </c>
      <c r="D1702" s="5">
        <v>67</v>
      </c>
      <c r="E1702" s="5" t="s">
        <v>542</v>
      </c>
      <c r="F1702" s="5" t="s">
        <v>328</v>
      </c>
      <c r="G1702" s="5" t="s">
        <v>4952</v>
      </c>
      <c r="H1702" s="5" t="s">
        <v>4953</v>
      </c>
      <c r="I1702" s="5">
        <v>3226529301</v>
      </c>
      <c r="J1702" s="12">
        <v>46073</v>
      </c>
      <c r="K1702" s="11">
        <v>0</v>
      </c>
      <c r="M1702" s="10" t="s">
        <v>14708</v>
      </c>
      <c r="N1702" s="12">
        <v>46073.465878668983</v>
      </c>
      <c r="O1702" s="10" t="s">
        <v>16520</v>
      </c>
      <c r="P1702" s="5" t="s">
        <v>14571</v>
      </c>
      <c r="Q1702" s="5" t="s">
        <v>14572</v>
      </c>
      <c r="R1702" s="5" t="s">
        <v>18632</v>
      </c>
      <c r="T1702" s="5" t="s">
        <v>5994</v>
      </c>
      <c r="U1702" s="5"/>
      <c r="V1702" s="5" t="s">
        <v>1481</v>
      </c>
      <c r="W1702" s="5"/>
    </row>
    <row r="1703" spans="1:23" ht="12.5">
      <c r="A1703" s="5">
        <v>92213</v>
      </c>
      <c r="B1703" s="5" t="s">
        <v>16574</v>
      </c>
      <c r="C1703" s="5">
        <v>573013119871</v>
      </c>
      <c r="D1703" s="5">
        <v>19</v>
      </c>
      <c r="E1703" s="5" t="s">
        <v>2120</v>
      </c>
      <c r="F1703" s="5" t="s">
        <v>185</v>
      </c>
      <c r="G1703" s="5" t="s">
        <v>11033</v>
      </c>
      <c r="H1703" s="5" t="s">
        <v>11034</v>
      </c>
      <c r="I1703" s="5" t="s">
        <v>15231</v>
      </c>
      <c r="J1703" s="12">
        <v>46073</v>
      </c>
      <c r="K1703" s="11">
        <v>0</v>
      </c>
      <c r="M1703" s="10" t="s">
        <v>14697</v>
      </c>
      <c r="N1703" s="12">
        <v>46073.444858194445</v>
      </c>
      <c r="O1703" s="10" t="s">
        <v>15846</v>
      </c>
      <c r="P1703" s="5" t="s">
        <v>14571</v>
      </c>
      <c r="Q1703" s="5" t="s">
        <v>14612</v>
      </c>
      <c r="R1703" s="5" t="s">
        <v>18633</v>
      </c>
      <c r="T1703" s="5" t="s">
        <v>5994</v>
      </c>
      <c r="U1703" s="5" t="s">
        <v>14580</v>
      </c>
      <c r="V1703" s="5" t="s">
        <v>1937</v>
      </c>
      <c r="W1703" s="5"/>
    </row>
    <row r="1704" spans="1:23" ht="12.5">
      <c r="A1704" s="5">
        <v>92214</v>
      </c>
      <c r="B1704" s="5" t="s">
        <v>18634</v>
      </c>
      <c r="C1704" s="5">
        <v>57573135539028</v>
      </c>
      <c r="D1704" s="5">
        <v>45</v>
      </c>
      <c r="E1704" s="5" t="s">
        <v>210</v>
      </c>
      <c r="F1704" s="5" t="s">
        <v>33</v>
      </c>
      <c r="G1704" s="5" t="s">
        <v>11006</v>
      </c>
      <c r="H1704" s="5" t="s">
        <v>34</v>
      </c>
      <c r="I1704" s="5"/>
      <c r="J1704" s="12">
        <v>46073</v>
      </c>
      <c r="K1704" s="11">
        <v>0</v>
      </c>
      <c r="M1704" s="10" t="s">
        <v>14734</v>
      </c>
      <c r="N1704" s="12">
        <v>46073.396159467593</v>
      </c>
      <c r="O1704" s="10" t="s">
        <v>16004</v>
      </c>
      <c r="P1704" s="5" t="s">
        <v>14571</v>
      </c>
      <c r="Q1704" s="5" t="s">
        <v>14578</v>
      </c>
      <c r="R1704" s="5" t="s">
        <v>18635</v>
      </c>
      <c r="T1704" s="5" t="s">
        <v>14574</v>
      </c>
      <c r="U1704" s="5" t="s">
        <v>33</v>
      </c>
      <c r="V1704" s="5" t="s">
        <v>1937</v>
      </c>
      <c r="W1704" s="5"/>
    </row>
    <row r="1705" spans="1:23" ht="12.5">
      <c r="A1705" s="5">
        <v>92215</v>
      </c>
      <c r="B1705" s="5" t="s">
        <v>18636</v>
      </c>
      <c r="C1705" s="5">
        <v>573008609388</v>
      </c>
      <c r="D1705" s="5">
        <v>95</v>
      </c>
      <c r="E1705" s="5" t="s">
        <v>42</v>
      </c>
      <c r="F1705" s="5" t="s">
        <v>249</v>
      </c>
      <c r="G1705" s="5" t="s">
        <v>1371</v>
      </c>
      <c r="H1705" s="5" t="s">
        <v>11038</v>
      </c>
      <c r="I1705" s="5">
        <v>3016336272</v>
      </c>
      <c r="J1705" s="12">
        <v>46073</v>
      </c>
      <c r="K1705" s="11">
        <v>0</v>
      </c>
      <c r="M1705" s="10" t="s">
        <v>14873</v>
      </c>
      <c r="N1705" s="12">
        <v>46073.483608946757</v>
      </c>
      <c r="O1705" s="10" t="s">
        <v>15777</v>
      </c>
      <c r="P1705" s="5" t="s">
        <v>14571</v>
      </c>
      <c r="Q1705" s="5" t="s">
        <v>14612</v>
      </c>
      <c r="R1705" s="5" t="s">
        <v>18637</v>
      </c>
      <c r="T1705" s="5" t="s">
        <v>5994</v>
      </c>
      <c r="U1705" s="5" t="s">
        <v>14593</v>
      </c>
      <c r="V1705" s="5" t="s">
        <v>1481</v>
      </c>
      <c r="W1705" s="5" t="s">
        <v>11041</v>
      </c>
    </row>
    <row r="1706" spans="1:23" ht="12.5">
      <c r="A1706" s="5">
        <v>92216</v>
      </c>
      <c r="B1706" s="5" t="s">
        <v>18638</v>
      </c>
      <c r="C1706" s="5">
        <v>573246349185</v>
      </c>
      <c r="D1706" s="5">
        <v>95</v>
      </c>
      <c r="E1706" s="5" t="s">
        <v>42</v>
      </c>
      <c r="F1706" s="5" t="s">
        <v>124</v>
      </c>
      <c r="G1706" s="5" t="s">
        <v>11043</v>
      </c>
      <c r="H1706" s="5" t="s">
        <v>11044</v>
      </c>
      <c r="I1706" s="5">
        <v>3246349185</v>
      </c>
      <c r="J1706" s="12">
        <v>46073</v>
      </c>
      <c r="K1706" s="11">
        <v>0</v>
      </c>
      <c r="M1706" s="10" t="s">
        <v>16376</v>
      </c>
      <c r="N1706" s="12">
        <v>46073.497385659721</v>
      </c>
      <c r="O1706" s="10" t="s">
        <v>14744</v>
      </c>
      <c r="P1706" s="5" t="s">
        <v>14571</v>
      </c>
      <c r="Q1706" s="5" t="s">
        <v>14572</v>
      </c>
      <c r="R1706" s="5" t="s">
        <v>18639</v>
      </c>
      <c r="T1706" s="5" t="s">
        <v>5994</v>
      </c>
      <c r="U1706" s="5" t="s">
        <v>14775</v>
      </c>
      <c r="V1706" s="5" t="s">
        <v>67</v>
      </c>
      <c r="W1706" s="5" t="s">
        <v>11047</v>
      </c>
    </row>
    <row r="1707" spans="1:23" ht="12.5">
      <c r="A1707" s="5">
        <v>92217</v>
      </c>
      <c r="B1707" s="5" t="s">
        <v>18640</v>
      </c>
      <c r="C1707" s="5">
        <v>573249010249</v>
      </c>
      <c r="D1707" s="5">
        <v>20</v>
      </c>
      <c r="E1707" s="5" t="s">
        <v>187</v>
      </c>
      <c r="F1707" s="5" t="s">
        <v>1047</v>
      </c>
      <c r="G1707" s="5" t="s">
        <v>11054</v>
      </c>
      <c r="H1707" s="5" t="s">
        <v>11055</v>
      </c>
      <c r="I1707" s="5">
        <v>3045271987</v>
      </c>
      <c r="J1707" s="12">
        <v>46073</v>
      </c>
      <c r="K1707" s="11">
        <v>0.625</v>
      </c>
      <c r="M1707" s="10" t="s">
        <v>14953</v>
      </c>
      <c r="N1707" s="12">
        <v>46073.537216979166</v>
      </c>
      <c r="O1707" s="10" t="s">
        <v>16313</v>
      </c>
      <c r="P1707" s="5" t="s">
        <v>14571</v>
      </c>
      <c r="Q1707" s="5" t="s">
        <v>14578</v>
      </c>
      <c r="R1707" s="5" t="s">
        <v>18641</v>
      </c>
      <c r="T1707" s="5" t="s">
        <v>5994</v>
      </c>
      <c r="U1707" s="5" t="s">
        <v>14580</v>
      </c>
      <c r="V1707" s="5" t="s">
        <v>67</v>
      </c>
      <c r="W1707" s="5" t="s">
        <v>11058</v>
      </c>
    </row>
    <row r="1708" spans="1:23" ht="12.5">
      <c r="A1708" s="5">
        <v>92218</v>
      </c>
      <c r="B1708" s="5" t="s">
        <v>18642</v>
      </c>
      <c r="C1708" s="10" t="s">
        <v>18643</v>
      </c>
      <c r="D1708" s="5">
        <v>62</v>
      </c>
      <c r="E1708" s="5" t="s">
        <v>2586</v>
      </c>
      <c r="F1708" s="5" t="s">
        <v>401</v>
      </c>
      <c r="G1708" s="5" t="s">
        <v>11048</v>
      </c>
      <c r="H1708" s="5" t="s">
        <v>11049</v>
      </c>
      <c r="I1708" s="5" t="s">
        <v>15231</v>
      </c>
      <c r="J1708" s="12">
        <v>46073</v>
      </c>
      <c r="K1708" s="11">
        <v>0.625</v>
      </c>
      <c r="M1708" s="10" t="s">
        <v>15767</v>
      </c>
      <c r="N1708" s="12">
        <v>46073</v>
      </c>
      <c r="O1708" s="10" t="s">
        <v>14854</v>
      </c>
      <c r="P1708" s="5" t="s">
        <v>14571</v>
      </c>
      <c r="Q1708" s="5" t="s">
        <v>14612</v>
      </c>
      <c r="R1708" s="5" t="s">
        <v>18644</v>
      </c>
      <c r="T1708" s="5" t="s">
        <v>5994</v>
      </c>
      <c r="U1708" s="5" t="s">
        <v>14618</v>
      </c>
      <c r="V1708" s="5" t="s">
        <v>1481</v>
      </c>
      <c r="W1708" s="5"/>
    </row>
    <row r="1709" spans="1:23" ht="12.5">
      <c r="A1709" s="5">
        <v>92219</v>
      </c>
      <c r="B1709" s="5" t="s">
        <v>18645</v>
      </c>
      <c r="C1709" s="10" t="s">
        <v>18646</v>
      </c>
      <c r="D1709" s="5">
        <v>53</v>
      </c>
      <c r="E1709" s="5" t="s">
        <v>75</v>
      </c>
      <c r="F1709" s="5" t="s">
        <v>33</v>
      </c>
      <c r="G1709" s="5" t="s">
        <v>11068</v>
      </c>
      <c r="H1709" s="5" t="s">
        <v>34</v>
      </c>
      <c r="I1709" s="5">
        <v>3115813885</v>
      </c>
      <c r="J1709" s="12">
        <v>46074</v>
      </c>
      <c r="K1709" s="11">
        <v>0.625</v>
      </c>
      <c r="M1709" s="10" t="s">
        <v>14585</v>
      </c>
      <c r="N1709" s="12">
        <v>46073</v>
      </c>
      <c r="O1709" s="10" t="s">
        <v>18322</v>
      </c>
      <c r="P1709" s="5" t="s">
        <v>14571</v>
      </c>
      <c r="Q1709" s="5" t="s">
        <v>14578</v>
      </c>
      <c r="R1709" s="5" t="s">
        <v>18647</v>
      </c>
      <c r="T1709" s="5" t="s">
        <v>14574</v>
      </c>
      <c r="U1709" s="5" t="s">
        <v>33</v>
      </c>
      <c r="V1709" s="5" t="s">
        <v>2438</v>
      </c>
      <c r="W1709" s="5"/>
    </row>
    <row r="1710" spans="1:23" ht="12.5">
      <c r="A1710" s="5">
        <v>92220</v>
      </c>
      <c r="B1710" s="5" t="s">
        <v>18648</v>
      </c>
      <c r="C1710" s="5">
        <v>573246295444</v>
      </c>
      <c r="D1710" s="5">
        <v>79</v>
      </c>
      <c r="E1710" s="5" t="s">
        <v>2059</v>
      </c>
      <c r="F1710" s="5" t="s">
        <v>11062</v>
      </c>
      <c r="G1710" s="5" t="s">
        <v>11061</v>
      </c>
      <c r="H1710" s="5" t="s">
        <v>11063</v>
      </c>
      <c r="I1710" s="5">
        <v>3246295444</v>
      </c>
      <c r="J1710" s="12">
        <v>46073</v>
      </c>
      <c r="K1710" s="11">
        <v>0.625</v>
      </c>
      <c r="M1710" s="10" t="s">
        <v>15415</v>
      </c>
      <c r="N1710" s="12">
        <v>46073.547254942125</v>
      </c>
      <c r="O1710" s="10" t="s">
        <v>15789</v>
      </c>
      <c r="P1710" s="5" t="s">
        <v>14571</v>
      </c>
      <c r="Q1710" s="5" t="s">
        <v>14572</v>
      </c>
      <c r="R1710" s="5" t="s">
        <v>18649</v>
      </c>
      <c r="T1710" s="5" t="s">
        <v>5994</v>
      </c>
      <c r="U1710" s="5" t="s">
        <v>15349</v>
      </c>
      <c r="V1710" s="5" t="s">
        <v>1481</v>
      </c>
      <c r="W1710" s="5" t="s">
        <v>11066</v>
      </c>
    </row>
    <row r="1711" spans="1:23" ht="12.5">
      <c r="A1711" s="5">
        <v>92221</v>
      </c>
      <c r="B1711" s="5" t="s">
        <v>18640</v>
      </c>
      <c r="C1711" s="5">
        <v>573249010249</v>
      </c>
      <c r="D1711" s="5">
        <v>81</v>
      </c>
      <c r="E1711" s="5" t="s">
        <v>9563</v>
      </c>
      <c r="F1711" s="5"/>
      <c r="G1711" s="5" t="s">
        <v>11076</v>
      </c>
      <c r="H1711" s="5" t="s">
        <v>11077</v>
      </c>
      <c r="I1711" s="5"/>
      <c r="J1711" s="12">
        <v>46073</v>
      </c>
      <c r="K1711" s="11">
        <v>0</v>
      </c>
      <c r="M1711" s="10" t="s">
        <v>15352</v>
      </c>
      <c r="N1711" s="12">
        <v>46073.570254328704</v>
      </c>
      <c r="O1711" s="10" t="s">
        <v>15791</v>
      </c>
      <c r="P1711" s="5" t="s">
        <v>14571</v>
      </c>
      <c r="Q1711" s="5" t="s">
        <v>14578</v>
      </c>
      <c r="R1711" s="5" t="s">
        <v>18650</v>
      </c>
      <c r="T1711" s="5" t="s">
        <v>5994</v>
      </c>
      <c r="U1711" s="5"/>
      <c r="V1711" s="5" t="s">
        <v>67</v>
      </c>
      <c r="W1711" s="5"/>
    </row>
    <row r="1712" spans="1:23" ht="12.5">
      <c r="A1712" s="5">
        <v>92222</v>
      </c>
      <c r="B1712" s="5" t="s">
        <v>7204</v>
      </c>
      <c r="C1712" s="10" t="s">
        <v>18651</v>
      </c>
      <c r="D1712" s="5">
        <v>95</v>
      </c>
      <c r="E1712" s="5" t="s">
        <v>42</v>
      </c>
      <c r="F1712" s="5" t="s">
        <v>33</v>
      </c>
      <c r="G1712" s="5" t="s">
        <v>7204</v>
      </c>
      <c r="H1712" s="5" t="s">
        <v>34</v>
      </c>
      <c r="I1712" s="5">
        <v>3008183491</v>
      </c>
      <c r="J1712" s="12">
        <v>46073</v>
      </c>
      <c r="K1712" s="11">
        <v>0</v>
      </c>
      <c r="M1712" s="10" t="s">
        <v>14599</v>
      </c>
      <c r="N1712" s="12">
        <v>46073</v>
      </c>
      <c r="O1712" s="10" t="s">
        <v>18652</v>
      </c>
      <c r="P1712" s="5" t="s">
        <v>14571</v>
      </c>
      <c r="Q1712" s="5" t="s">
        <v>14572</v>
      </c>
      <c r="R1712" s="5" t="s">
        <v>18653</v>
      </c>
      <c r="T1712" s="5" t="s">
        <v>14574</v>
      </c>
      <c r="U1712" s="5" t="s">
        <v>33</v>
      </c>
      <c r="V1712" s="5" t="s">
        <v>43</v>
      </c>
      <c r="W1712" s="5" t="s">
        <v>525</v>
      </c>
    </row>
    <row r="1713" spans="1:23" ht="12.5">
      <c r="A1713" s="5">
        <v>92223</v>
      </c>
      <c r="B1713" s="5" t="s">
        <v>18654</v>
      </c>
      <c r="C1713" s="5">
        <v>573176694971</v>
      </c>
      <c r="D1713" s="5">
        <v>31</v>
      </c>
      <c r="E1713" s="5" t="s">
        <v>375</v>
      </c>
      <c r="F1713" s="5" t="s">
        <v>1497</v>
      </c>
      <c r="G1713" s="5" t="s">
        <v>11086</v>
      </c>
      <c r="H1713" s="5" t="s">
        <v>11087</v>
      </c>
      <c r="I1713" s="5">
        <v>3013016587</v>
      </c>
      <c r="J1713" s="12">
        <v>46073</v>
      </c>
      <c r="K1713" s="11">
        <v>0</v>
      </c>
      <c r="M1713" s="10" t="s">
        <v>14832</v>
      </c>
      <c r="N1713" s="12">
        <v>46073.628027245373</v>
      </c>
      <c r="O1713" s="10" t="s">
        <v>16330</v>
      </c>
      <c r="P1713" s="5" t="s">
        <v>14571</v>
      </c>
      <c r="Q1713" s="5" t="s">
        <v>14572</v>
      </c>
      <c r="R1713" s="5" t="s">
        <v>18655</v>
      </c>
      <c r="T1713" s="5" t="s">
        <v>5994</v>
      </c>
      <c r="U1713" s="5" t="s">
        <v>14593</v>
      </c>
      <c r="V1713" s="5" t="s">
        <v>67</v>
      </c>
      <c r="W1713" s="5"/>
    </row>
    <row r="1714" spans="1:23" ht="12.5">
      <c r="A1714" s="5">
        <v>92224</v>
      </c>
      <c r="B1714" s="5" t="s">
        <v>18656</v>
      </c>
      <c r="C1714" s="5">
        <v>573016558896</v>
      </c>
      <c r="D1714" s="5">
        <v>52</v>
      </c>
      <c r="E1714" s="5" t="s">
        <v>178</v>
      </c>
      <c r="F1714" s="5" t="s">
        <v>73</v>
      </c>
      <c r="G1714" s="5" t="s">
        <v>11080</v>
      </c>
      <c r="H1714" s="5" t="s">
        <v>11081</v>
      </c>
      <c r="I1714" s="5">
        <v>3016558896</v>
      </c>
      <c r="J1714" s="12">
        <v>46074</v>
      </c>
      <c r="K1714" s="11">
        <v>0</v>
      </c>
      <c r="M1714" s="10" t="s">
        <v>15043</v>
      </c>
      <c r="N1714" s="12">
        <v>46073.574143854166</v>
      </c>
      <c r="O1714" s="10" t="s">
        <v>16925</v>
      </c>
      <c r="P1714" s="5" t="s">
        <v>14571</v>
      </c>
      <c r="Q1714" s="5" t="s">
        <v>14578</v>
      </c>
      <c r="R1714" s="5" t="s">
        <v>18657</v>
      </c>
      <c r="T1714" s="5" t="s">
        <v>5994</v>
      </c>
      <c r="U1714" s="5" t="s">
        <v>14593</v>
      </c>
      <c r="V1714" s="5" t="s">
        <v>67</v>
      </c>
      <c r="W1714" s="5" t="s">
        <v>11084</v>
      </c>
    </row>
    <row r="1715" spans="1:23" ht="12.5">
      <c r="A1715" s="5">
        <v>92225</v>
      </c>
      <c r="B1715" s="5" t="s">
        <v>18658</v>
      </c>
      <c r="C1715" s="5">
        <v>5700000</v>
      </c>
      <c r="D1715" s="5">
        <v>64</v>
      </c>
      <c r="E1715" s="5" t="s">
        <v>133</v>
      </c>
      <c r="F1715" s="5" t="s">
        <v>73</v>
      </c>
      <c r="G1715" s="5" t="s">
        <v>11096</v>
      </c>
      <c r="H1715" s="5" t="s">
        <v>11097</v>
      </c>
      <c r="I1715" s="10" t="s">
        <v>2686</v>
      </c>
      <c r="J1715" s="12">
        <v>46073</v>
      </c>
      <c r="K1715" s="11">
        <v>0</v>
      </c>
      <c r="M1715" s="10" t="s">
        <v>15623</v>
      </c>
      <c r="N1715" s="12">
        <v>46073.659586041671</v>
      </c>
      <c r="O1715" s="10" t="s">
        <v>15887</v>
      </c>
      <c r="P1715" s="5" t="s">
        <v>14571</v>
      </c>
      <c r="Q1715" s="5" t="s">
        <v>14612</v>
      </c>
      <c r="R1715" s="5" t="s">
        <v>18659</v>
      </c>
      <c r="T1715" s="5" t="s">
        <v>5994</v>
      </c>
      <c r="U1715" s="5" t="s">
        <v>14593</v>
      </c>
      <c r="V1715" s="5" t="s">
        <v>1481</v>
      </c>
      <c r="W1715" s="5"/>
    </row>
    <row r="1716" spans="1:23" ht="12.5">
      <c r="A1716" s="5">
        <v>92226</v>
      </c>
      <c r="B1716" s="5" t="s">
        <v>18660</v>
      </c>
      <c r="C1716" s="5">
        <v>573164362679</v>
      </c>
      <c r="D1716" s="5">
        <v>70</v>
      </c>
      <c r="E1716" s="5" t="s">
        <v>559</v>
      </c>
      <c r="F1716" s="5" t="s">
        <v>7476</v>
      </c>
      <c r="G1716" s="5" t="s">
        <v>6106</v>
      </c>
      <c r="H1716" s="5" t="s">
        <v>11071</v>
      </c>
      <c r="I1716" s="5">
        <v>3003914984</v>
      </c>
      <c r="J1716" s="12">
        <v>46073</v>
      </c>
      <c r="K1716" s="11">
        <v>0</v>
      </c>
      <c r="M1716" s="10" t="s">
        <v>17026</v>
      </c>
      <c r="N1716" s="12">
        <v>46073.570065821754</v>
      </c>
      <c r="O1716" s="10" t="s">
        <v>15714</v>
      </c>
      <c r="P1716" s="5" t="s">
        <v>14571</v>
      </c>
      <c r="Q1716" s="5" t="s">
        <v>14572</v>
      </c>
      <c r="R1716" s="5" t="s">
        <v>18661</v>
      </c>
      <c r="T1716" s="5" t="s">
        <v>5994</v>
      </c>
      <c r="U1716" s="5" t="s">
        <v>15349</v>
      </c>
      <c r="V1716" s="5" t="s">
        <v>1481</v>
      </c>
      <c r="W1716" s="5" t="s">
        <v>11074</v>
      </c>
    </row>
    <row r="1717" spans="1:23" ht="12.5">
      <c r="A1717" s="5">
        <v>92227</v>
      </c>
      <c r="B1717" s="5" t="s">
        <v>18662</v>
      </c>
      <c r="C1717" s="5">
        <v>573241595500</v>
      </c>
      <c r="D1717" s="5">
        <v>53</v>
      </c>
      <c r="E1717" s="5" t="s">
        <v>75</v>
      </c>
      <c r="F1717" s="5" t="s">
        <v>265</v>
      </c>
      <c r="G1717" s="5" t="s">
        <v>11091</v>
      </c>
      <c r="H1717" s="5" t="s">
        <v>11092</v>
      </c>
      <c r="I1717" s="5" t="s">
        <v>15231</v>
      </c>
      <c r="J1717" s="12">
        <v>46074</v>
      </c>
      <c r="K1717" s="11">
        <v>0</v>
      </c>
      <c r="M1717" s="10" t="s">
        <v>15525</v>
      </c>
      <c r="N1717" s="12">
        <v>46073.657185729171</v>
      </c>
      <c r="O1717" s="10" t="s">
        <v>18663</v>
      </c>
      <c r="P1717" s="5" t="s">
        <v>14571</v>
      </c>
      <c r="Q1717" s="5" t="s">
        <v>14612</v>
      </c>
      <c r="R1717" s="5" t="s">
        <v>18664</v>
      </c>
      <c r="T1717" s="5" t="s">
        <v>5994</v>
      </c>
      <c r="U1717" s="5" t="s">
        <v>14691</v>
      </c>
      <c r="V1717" s="5" t="s">
        <v>67</v>
      </c>
      <c r="W1717" s="5"/>
    </row>
    <row r="1718" spans="1:23" ht="12.5">
      <c r="A1718" s="5">
        <v>92228</v>
      </c>
      <c r="B1718" s="5" t="s">
        <v>18665</v>
      </c>
      <c r="C1718" s="10" t="s">
        <v>18666</v>
      </c>
      <c r="D1718" s="5">
        <v>95</v>
      </c>
      <c r="E1718" s="5" t="s">
        <v>42</v>
      </c>
      <c r="F1718" s="5" t="s">
        <v>516</v>
      </c>
      <c r="G1718" s="5" t="s">
        <v>4504</v>
      </c>
      <c r="H1718" s="5" t="s">
        <v>11100</v>
      </c>
      <c r="I1718" s="5">
        <v>3012364808</v>
      </c>
      <c r="J1718" s="12">
        <v>46089</v>
      </c>
      <c r="K1718" s="11">
        <v>0</v>
      </c>
      <c r="M1718" s="10" t="s">
        <v>15384</v>
      </c>
      <c r="N1718" s="12">
        <v>46073</v>
      </c>
      <c r="O1718" s="10" t="s">
        <v>15717</v>
      </c>
      <c r="P1718" s="5" t="s">
        <v>14571</v>
      </c>
      <c r="Q1718" s="5" t="s">
        <v>16907</v>
      </c>
      <c r="R1718" s="5" t="s">
        <v>18667</v>
      </c>
      <c r="T1718" s="5" t="s">
        <v>5994</v>
      </c>
      <c r="U1718" s="5" t="s">
        <v>14580</v>
      </c>
      <c r="V1718" s="5" t="s">
        <v>1937</v>
      </c>
      <c r="W1718" s="5" t="s">
        <v>11102</v>
      </c>
    </row>
    <row r="1719" spans="1:23" ht="12.5">
      <c r="A1719" s="5">
        <v>92229</v>
      </c>
      <c r="B1719" s="5" t="s">
        <v>18668</v>
      </c>
      <c r="C1719" s="5">
        <v>50763866101</v>
      </c>
      <c r="D1719" s="5">
        <v>52</v>
      </c>
      <c r="E1719" s="5" t="s">
        <v>178</v>
      </c>
      <c r="F1719" s="5" t="s">
        <v>328</v>
      </c>
      <c r="G1719" s="5" t="s">
        <v>11107</v>
      </c>
      <c r="H1719" s="5" t="s">
        <v>11108</v>
      </c>
      <c r="I1719" s="5" t="s">
        <v>15231</v>
      </c>
      <c r="J1719" s="12">
        <v>46073</v>
      </c>
      <c r="K1719" s="11">
        <v>0</v>
      </c>
      <c r="M1719" s="10" t="s">
        <v>16718</v>
      </c>
      <c r="N1719" s="12">
        <v>46073.674729618055</v>
      </c>
      <c r="O1719" s="10" t="s">
        <v>16553</v>
      </c>
      <c r="P1719" s="5" t="s">
        <v>14571</v>
      </c>
      <c r="Q1719" s="5" t="s">
        <v>14612</v>
      </c>
      <c r="R1719" s="5" t="s">
        <v>18669</v>
      </c>
      <c r="T1719" s="5" t="s">
        <v>5994</v>
      </c>
      <c r="U1719" s="5"/>
      <c r="V1719" s="5" t="s">
        <v>67</v>
      </c>
      <c r="W1719" s="5"/>
    </row>
    <row r="1720" spans="1:23" ht="12.5">
      <c r="A1720" s="5">
        <v>92230</v>
      </c>
      <c r="B1720" s="5" t="s">
        <v>18670</v>
      </c>
      <c r="C1720" s="5">
        <v>573215017568</v>
      </c>
      <c r="D1720" s="5">
        <v>31</v>
      </c>
      <c r="E1720" s="5" t="s">
        <v>375</v>
      </c>
      <c r="F1720" s="5" t="s">
        <v>2090</v>
      </c>
      <c r="G1720" s="5" t="s">
        <v>11121</v>
      </c>
      <c r="H1720" s="5" t="s">
        <v>11122</v>
      </c>
      <c r="I1720" s="5">
        <v>3215017568</v>
      </c>
      <c r="J1720" s="12">
        <v>46073</v>
      </c>
      <c r="K1720" s="11">
        <v>0</v>
      </c>
      <c r="M1720" s="10" t="s">
        <v>14627</v>
      </c>
      <c r="N1720" s="12">
        <v>46073.69489269676</v>
      </c>
      <c r="O1720" s="10" t="s">
        <v>18671</v>
      </c>
      <c r="P1720" s="5" t="s">
        <v>14571</v>
      </c>
      <c r="Q1720" s="5" t="s">
        <v>14578</v>
      </c>
      <c r="R1720" s="5" t="s">
        <v>18672</v>
      </c>
      <c r="T1720" s="5" t="s">
        <v>5994</v>
      </c>
      <c r="U1720" s="5" t="s">
        <v>14618</v>
      </c>
      <c r="V1720" s="5" t="s">
        <v>67</v>
      </c>
      <c r="W1720" s="5"/>
    </row>
    <row r="1721" spans="1:23" ht="12.5">
      <c r="A1721" s="5">
        <v>92231</v>
      </c>
      <c r="B1721" s="5" t="s">
        <v>18673</v>
      </c>
      <c r="C1721" s="5">
        <v>573174316629</v>
      </c>
      <c r="D1721" s="5" t="s">
        <v>18674</v>
      </c>
      <c r="E1721" s="5" t="s">
        <v>11115</v>
      </c>
      <c r="F1721" s="5" t="s">
        <v>103</v>
      </c>
      <c r="G1721" s="5" t="s">
        <v>11113</v>
      </c>
      <c r="H1721" s="5" t="s">
        <v>11114</v>
      </c>
      <c r="I1721" s="5">
        <v>3188565827</v>
      </c>
      <c r="J1721" s="12">
        <v>46074</v>
      </c>
      <c r="K1721" s="11">
        <v>0.375</v>
      </c>
      <c r="M1721" s="10" t="s">
        <v>14796</v>
      </c>
      <c r="N1721" s="12">
        <v>46073.686489444444</v>
      </c>
      <c r="O1721" s="10" t="s">
        <v>15353</v>
      </c>
      <c r="P1721" s="5" t="s">
        <v>14571</v>
      </c>
      <c r="Q1721" s="5" t="s">
        <v>14572</v>
      </c>
      <c r="R1721" s="5" t="s">
        <v>18675</v>
      </c>
      <c r="T1721" s="5" t="s">
        <v>5994</v>
      </c>
      <c r="U1721" s="5" t="s">
        <v>14593</v>
      </c>
      <c r="V1721" s="5" t="s">
        <v>1937</v>
      </c>
      <c r="W1721" s="5" t="s">
        <v>11118</v>
      </c>
    </row>
    <row r="1722" spans="1:23" ht="12.5">
      <c r="A1722" s="5">
        <v>92232</v>
      </c>
      <c r="B1722" s="5" t="s">
        <v>11125</v>
      </c>
      <c r="C1722" s="5">
        <v>57323914887</v>
      </c>
      <c r="D1722" s="5">
        <v>95</v>
      </c>
      <c r="E1722" s="5" t="s">
        <v>42</v>
      </c>
      <c r="F1722" s="5"/>
      <c r="G1722" s="5" t="s">
        <v>11125</v>
      </c>
      <c r="H1722" s="10" t="s">
        <v>3330</v>
      </c>
      <c r="I1722" s="5"/>
      <c r="J1722" s="12">
        <v>46073</v>
      </c>
      <c r="K1722" s="11">
        <v>0</v>
      </c>
      <c r="M1722" s="10" t="s">
        <v>15152</v>
      </c>
      <c r="N1722" s="12">
        <v>46073.701637152779</v>
      </c>
      <c r="O1722" s="10" t="s">
        <v>15727</v>
      </c>
      <c r="P1722" s="5" t="s">
        <v>14571</v>
      </c>
      <c r="Q1722" s="5" t="s">
        <v>14578</v>
      </c>
      <c r="R1722" s="5" t="s">
        <v>18676</v>
      </c>
      <c r="T1722" s="5" t="s">
        <v>5994</v>
      </c>
      <c r="U1722" s="5"/>
      <c r="V1722" s="5" t="s">
        <v>196</v>
      </c>
      <c r="W1722" s="5" t="s">
        <v>11126</v>
      </c>
    </row>
    <row r="1723" spans="1:23" ht="12.5">
      <c r="A1723" s="5">
        <v>92233</v>
      </c>
      <c r="B1723" s="5" t="s">
        <v>15423</v>
      </c>
      <c r="C1723" s="5">
        <v>573167483308</v>
      </c>
      <c r="D1723" s="5">
        <v>37</v>
      </c>
      <c r="E1723" s="5" t="s">
        <v>1696</v>
      </c>
      <c r="F1723" s="5" t="s">
        <v>1124</v>
      </c>
      <c r="G1723" s="5" t="s">
        <v>6841</v>
      </c>
      <c r="H1723" s="5" t="s">
        <v>3896</v>
      </c>
      <c r="I1723" s="5">
        <v>3053816242</v>
      </c>
      <c r="J1723" s="12">
        <v>46074</v>
      </c>
      <c r="K1723" s="11">
        <v>0.64583333333212067</v>
      </c>
      <c r="M1723" s="10" t="s">
        <v>18677</v>
      </c>
      <c r="N1723" s="12">
        <v>46073.67448559028</v>
      </c>
      <c r="O1723" s="10" t="s">
        <v>17550</v>
      </c>
      <c r="P1723" s="5" t="s">
        <v>14571</v>
      </c>
      <c r="Q1723" s="5" t="s">
        <v>14578</v>
      </c>
      <c r="R1723" s="5" t="s">
        <v>18678</v>
      </c>
      <c r="T1723" s="5" t="s">
        <v>5994</v>
      </c>
      <c r="U1723" s="5" t="s">
        <v>14691</v>
      </c>
      <c r="V1723" s="5" t="s">
        <v>1937</v>
      </c>
      <c r="W1723" s="5" t="s">
        <v>11104</v>
      </c>
    </row>
    <row r="1724" spans="1:23" ht="12.5">
      <c r="A1724" s="5">
        <v>92234</v>
      </c>
      <c r="B1724" s="5" t="s">
        <v>11129</v>
      </c>
      <c r="C1724" s="5">
        <v>573207169243</v>
      </c>
      <c r="D1724" s="5">
        <v>46</v>
      </c>
      <c r="E1724" s="5" t="s">
        <v>1126</v>
      </c>
      <c r="F1724" s="5" t="s">
        <v>33</v>
      </c>
      <c r="G1724" s="5" t="s">
        <v>11129</v>
      </c>
      <c r="H1724" s="5" t="s">
        <v>34</v>
      </c>
      <c r="I1724" s="5">
        <v>3207169243</v>
      </c>
      <c r="J1724" s="12">
        <v>46073</v>
      </c>
      <c r="K1724" s="11">
        <v>0.70833333333212067</v>
      </c>
      <c r="M1724" s="10" t="s">
        <v>16797</v>
      </c>
      <c r="N1724" s="12">
        <v>46073.747949930555</v>
      </c>
      <c r="O1724" s="10" t="s">
        <v>17973</v>
      </c>
      <c r="P1724" s="5" t="s">
        <v>14571</v>
      </c>
      <c r="Q1724" s="5" t="s">
        <v>14578</v>
      </c>
      <c r="R1724" s="5" t="s">
        <v>18679</v>
      </c>
      <c r="T1724" s="5" t="s">
        <v>14574</v>
      </c>
      <c r="U1724" s="5" t="s">
        <v>33</v>
      </c>
      <c r="V1724" s="5" t="s">
        <v>1705</v>
      </c>
      <c r="W1724" s="5"/>
    </row>
    <row r="1725" spans="1:23" ht="12.5">
      <c r="A1725" s="5">
        <v>92235</v>
      </c>
      <c r="B1725" s="5" t="s">
        <v>18680</v>
      </c>
      <c r="C1725" s="5">
        <v>573107250949</v>
      </c>
      <c r="D1725" s="5" t="s">
        <v>18681</v>
      </c>
      <c r="E1725" s="5" t="s">
        <v>11138</v>
      </c>
      <c r="F1725" s="5" t="s">
        <v>1647</v>
      </c>
      <c r="G1725" s="5" t="s">
        <v>11136</v>
      </c>
      <c r="H1725" s="5" t="s">
        <v>11137</v>
      </c>
      <c r="J1725" s="12">
        <v>46074</v>
      </c>
      <c r="K1725" s="11">
        <v>0.375</v>
      </c>
      <c r="M1725" s="10" t="s">
        <v>15248</v>
      </c>
      <c r="N1725" s="12">
        <v>46074.330277129629</v>
      </c>
      <c r="O1725" s="10" t="s">
        <v>15432</v>
      </c>
      <c r="P1725" s="5" t="s">
        <v>14571</v>
      </c>
      <c r="Q1725" s="5" t="s">
        <v>14572</v>
      </c>
      <c r="R1725" s="5" t="s">
        <v>18682</v>
      </c>
      <c r="T1725" s="5" t="s">
        <v>5994</v>
      </c>
      <c r="U1725" s="5" t="s">
        <v>14580</v>
      </c>
      <c r="V1725" s="5" t="s">
        <v>1481</v>
      </c>
    </row>
    <row r="1726" spans="1:23" ht="12.5">
      <c r="A1726" s="5">
        <v>92236</v>
      </c>
      <c r="B1726" s="5" t="s">
        <v>18683</v>
      </c>
      <c r="C1726" s="5">
        <v>14075330972</v>
      </c>
      <c r="D1726" s="5">
        <v>11</v>
      </c>
      <c r="E1726" s="5" t="s">
        <v>4062</v>
      </c>
      <c r="F1726" s="5" t="s">
        <v>185</v>
      </c>
      <c r="G1726" s="5" t="s">
        <v>11142</v>
      </c>
      <c r="H1726" s="5" t="s">
        <v>11143</v>
      </c>
      <c r="I1726" s="5">
        <v>3114189150</v>
      </c>
      <c r="J1726" s="12">
        <v>46076</v>
      </c>
      <c r="K1726" s="11">
        <v>0.41666666666787933</v>
      </c>
      <c r="M1726" s="10" t="s">
        <v>18684</v>
      </c>
      <c r="N1726" s="12">
        <v>46074.35063980324</v>
      </c>
      <c r="O1726" s="10" t="s">
        <v>15190</v>
      </c>
      <c r="P1726" s="5" t="s">
        <v>14571</v>
      </c>
      <c r="Q1726" s="5" t="s">
        <v>14612</v>
      </c>
      <c r="R1726" s="5" t="s">
        <v>18685</v>
      </c>
      <c r="T1726" s="5" t="s">
        <v>5994</v>
      </c>
      <c r="U1726" s="5" t="s">
        <v>14580</v>
      </c>
      <c r="V1726" s="5" t="s">
        <v>1481</v>
      </c>
      <c r="W1726" s="5" t="s">
        <v>11146</v>
      </c>
    </row>
    <row r="1727" spans="1:23" ht="12.5">
      <c r="A1727" s="5">
        <v>92237</v>
      </c>
      <c r="B1727" s="5" t="s">
        <v>11147</v>
      </c>
      <c r="C1727" s="5">
        <v>573015011750</v>
      </c>
      <c r="D1727" s="5">
        <v>31</v>
      </c>
      <c r="E1727" s="5" t="s">
        <v>375</v>
      </c>
      <c r="F1727" s="5" t="s">
        <v>103</v>
      </c>
      <c r="G1727" s="5" t="s">
        <v>11147</v>
      </c>
      <c r="H1727" s="5" t="s">
        <v>11148</v>
      </c>
      <c r="I1727" s="5">
        <v>3015011750</v>
      </c>
      <c r="J1727" s="12">
        <v>46074</v>
      </c>
      <c r="K1727" s="11">
        <v>0.41666666666787933</v>
      </c>
      <c r="M1727" s="10" t="s">
        <v>14627</v>
      </c>
      <c r="N1727" s="12">
        <v>46074.362268807876</v>
      </c>
      <c r="O1727" s="10" t="s">
        <v>14781</v>
      </c>
      <c r="P1727" s="5" t="s">
        <v>14571</v>
      </c>
      <c r="Q1727" s="5" t="s">
        <v>14578</v>
      </c>
      <c r="R1727" s="5" t="s">
        <v>18686</v>
      </c>
      <c r="T1727" s="5" t="s">
        <v>5994</v>
      </c>
      <c r="U1727" s="5" t="s">
        <v>14593</v>
      </c>
      <c r="V1727" s="5" t="s">
        <v>67</v>
      </c>
      <c r="W1727" s="5"/>
    </row>
    <row r="1728" spans="1:23" ht="12.5">
      <c r="A1728" s="5">
        <v>92238</v>
      </c>
      <c r="B1728" s="5" t="s">
        <v>18687</v>
      </c>
      <c r="C1728" s="5">
        <v>573106926489</v>
      </c>
      <c r="D1728" s="5">
        <v>11</v>
      </c>
      <c r="E1728" s="5" t="s">
        <v>4062</v>
      </c>
      <c r="F1728" s="5" t="s">
        <v>726</v>
      </c>
      <c r="G1728" s="5" t="s">
        <v>11130</v>
      </c>
      <c r="H1728" s="5" t="s">
        <v>11131</v>
      </c>
      <c r="I1728" s="5">
        <v>3023548513</v>
      </c>
      <c r="J1728" s="12">
        <v>46074</v>
      </c>
      <c r="K1728" s="11">
        <v>0.41666666666787933</v>
      </c>
      <c r="M1728" s="10" t="s">
        <v>18688</v>
      </c>
      <c r="N1728" s="12">
        <v>46074.317343668983</v>
      </c>
      <c r="O1728" s="10" t="s">
        <v>15909</v>
      </c>
      <c r="P1728" s="5" t="s">
        <v>14571</v>
      </c>
      <c r="Q1728" s="5" t="s">
        <v>14612</v>
      </c>
      <c r="R1728" s="5" t="s">
        <v>18689</v>
      </c>
      <c r="T1728" s="5" t="s">
        <v>5994</v>
      </c>
      <c r="U1728" s="5" t="s">
        <v>14618</v>
      </c>
      <c r="V1728" s="5" t="s">
        <v>180</v>
      </c>
      <c r="W1728" s="5" t="s">
        <v>11134</v>
      </c>
    </row>
    <row r="1729" spans="1:23" ht="12.5">
      <c r="A1729" s="5">
        <v>92239</v>
      </c>
      <c r="B1729" s="5" t="s">
        <v>18690</v>
      </c>
      <c r="C1729" s="10" t="s">
        <v>18691</v>
      </c>
      <c r="D1729" s="5" t="s">
        <v>18692</v>
      </c>
      <c r="E1729" s="5" t="s">
        <v>11155</v>
      </c>
      <c r="F1729" s="5" t="s">
        <v>4403</v>
      </c>
      <c r="G1729" s="5" t="s">
        <v>11153</v>
      </c>
      <c r="H1729" s="5" t="s">
        <v>11154</v>
      </c>
      <c r="I1729" s="5"/>
      <c r="J1729" s="12">
        <v>46074</v>
      </c>
      <c r="K1729" s="11">
        <v>0</v>
      </c>
      <c r="M1729" s="10" t="s">
        <v>18693</v>
      </c>
      <c r="N1729" s="12">
        <v>46074</v>
      </c>
      <c r="O1729" s="10" t="s">
        <v>15170</v>
      </c>
      <c r="P1729" s="5" t="s">
        <v>14571</v>
      </c>
      <c r="Q1729" s="5" t="s">
        <v>14572</v>
      </c>
      <c r="R1729" s="5" t="s">
        <v>18694</v>
      </c>
      <c r="T1729" s="5" t="s">
        <v>5994</v>
      </c>
      <c r="U1729" s="5" t="s">
        <v>14598</v>
      </c>
      <c r="V1729" s="5" t="s">
        <v>1481</v>
      </c>
      <c r="W1729" s="5"/>
    </row>
    <row r="1730" spans="1:23" ht="12.5">
      <c r="A1730" s="5">
        <v>92240</v>
      </c>
      <c r="B1730" s="5" t="s">
        <v>11157</v>
      </c>
      <c r="C1730" s="10" t="s">
        <v>18695</v>
      </c>
      <c r="D1730" s="5" t="s">
        <v>14589</v>
      </c>
      <c r="E1730" s="5" t="s">
        <v>11159</v>
      </c>
      <c r="F1730" s="5" t="s">
        <v>2880</v>
      </c>
      <c r="G1730" s="5" t="s">
        <v>11157</v>
      </c>
      <c r="H1730" s="5" t="s">
        <v>11158</v>
      </c>
      <c r="I1730" s="5">
        <v>3177436166</v>
      </c>
      <c r="J1730" s="12">
        <v>46074</v>
      </c>
      <c r="K1730" s="11">
        <v>0</v>
      </c>
      <c r="M1730" s="10" t="s">
        <v>16228</v>
      </c>
      <c r="N1730" s="12">
        <v>46074</v>
      </c>
      <c r="O1730" s="10" t="s">
        <v>15830</v>
      </c>
      <c r="P1730" s="5" t="s">
        <v>14571</v>
      </c>
      <c r="Q1730" s="5" t="s">
        <v>14578</v>
      </c>
      <c r="R1730" s="5" t="s">
        <v>18696</v>
      </c>
      <c r="T1730" s="5" t="s">
        <v>5994</v>
      </c>
      <c r="U1730" s="5" t="s">
        <v>14691</v>
      </c>
      <c r="V1730" s="5" t="s">
        <v>67</v>
      </c>
      <c r="W1730" s="5" t="s">
        <v>11162</v>
      </c>
    </row>
    <row r="1731" spans="1:23" ht="12.5">
      <c r="A1731" s="5">
        <v>92241</v>
      </c>
      <c r="B1731" s="5" t="s">
        <v>11164</v>
      </c>
      <c r="C1731" s="10" t="s">
        <v>18697</v>
      </c>
      <c r="D1731" s="5">
        <v>31</v>
      </c>
      <c r="E1731" s="5" t="s">
        <v>375</v>
      </c>
      <c r="F1731" s="5" t="s">
        <v>33</v>
      </c>
      <c r="G1731" s="5" t="s">
        <v>11164</v>
      </c>
      <c r="H1731" s="5" t="s">
        <v>34</v>
      </c>
      <c r="I1731" s="5">
        <v>3007881975</v>
      </c>
      <c r="J1731" s="12">
        <v>46074</v>
      </c>
      <c r="K1731" s="11">
        <v>0.45833333333333331</v>
      </c>
      <c r="M1731" s="10" t="s">
        <v>14585</v>
      </c>
      <c r="N1731" s="12">
        <v>46074</v>
      </c>
      <c r="O1731" s="10" t="s">
        <v>16268</v>
      </c>
      <c r="P1731" s="5" t="s">
        <v>14571</v>
      </c>
      <c r="Q1731" s="5" t="s">
        <v>14612</v>
      </c>
      <c r="R1731" s="5" t="s">
        <v>18698</v>
      </c>
      <c r="T1731" s="5" t="s">
        <v>14574</v>
      </c>
      <c r="U1731" s="5" t="s">
        <v>33</v>
      </c>
      <c r="V1731" s="5" t="s">
        <v>2438</v>
      </c>
      <c r="W1731" s="5" t="s">
        <v>11167</v>
      </c>
    </row>
    <row r="1732" spans="1:23" ht="12.5">
      <c r="A1732" s="5">
        <v>92242</v>
      </c>
      <c r="B1732" s="5" t="s">
        <v>5734</v>
      </c>
      <c r="C1732" s="5">
        <v>573007682024</v>
      </c>
      <c r="D1732" s="5">
        <v>95</v>
      </c>
      <c r="E1732" s="5" t="s">
        <v>42</v>
      </c>
      <c r="F1732" s="5"/>
      <c r="G1732" s="5" t="s">
        <v>11176</v>
      </c>
      <c r="H1732" s="5" t="s">
        <v>11177</v>
      </c>
      <c r="I1732" s="5"/>
      <c r="J1732" s="12">
        <v>46074</v>
      </c>
      <c r="K1732" s="11">
        <v>0</v>
      </c>
      <c r="M1732" s="10" t="s">
        <v>2686</v>
      </c>
      <c r="N1732" s="12">
        <v>46074.429848657412</v>
      </c>
      <c r="O1732" s="10" t="s">
        <v>16049</v>
      </c>
      <c r="P1732" s="5" t="s">
        <v>14571</v>
      </c>
      <c r="Q1732" s="5" t="s">
        <v>14572</v>
      </c>
      <c r="R1732" s="5" t="s">
        <v>18699</v>
      </c>
      <c r="T1732" s="5" t="s">
        <v>5994</v>
      </c>
      <c r="U1732" s="5"/>
      <c r="V1732" s="5" t="s">
        <v>43</v>
      </c>
      <c r="W1732" s="5" t="s">
        <v>11178</v>
      </c>
    </row>
    <row r="1733" spans="1:23" ht="12.5">
      <c r="A1733" s="5">
        <v>92243</v>
      </c>
      <c r="B1733" s="5" t="s">
        <v>11174</v>
      </c>
      <c r="C1733" s="10" t="s">
        <v>18700</v>
      </c>
      <c r="D1733" s="5">
        <v>95</v>
      </c>
      <c r="E1733" s="5" t="s">
        <v>42</v>
      </c>
      <c r="F1733" s="5" t="s">
        <v>79</v>
      </c>
      <c r="G1733" s="5" t="s">
        <v>11170</v>
      </c>
      <c r="H1733" s="5" t="s">
        <v>11171</v>
      </c>
      <c r="I1733" s="5" t="s">
        <v>11172</v>
      </c>
      <c r="J1733" s="12">
        <v>46074</v>
      </c>
      <c r="K1733" s="11">
        <v>0</v>
      </c>
      <c r="M1733" s="10" t="s">
        <v>10581</v>
      </c>
      <c r="N1733" s="12">
        <v>46074</v>
      </c>
      <c r="O1733" s="10" t="s">
        <v>15091</v>
      </c>
      <c r="P1733" s="5" t="s">
        <v>14571</v>
      </c>
      <c r="Q1733" s="5" t="s">
        <v>14578</v>
      </c>
      <c r="R1733" s="5" t="s">
        <v>18701</v>
      </c>
      <c r="T1733" s="5" t="s">
        <v>5994</v>
      </c>
      <c r="U1733" s="5" t="s">
        <v>14593</v>
      </c>
      <c r="V1733" s="5" t="s">
        <v>180</v>
      </c>
      <c r="W1733" s="5" t="s">
        <v>11175</v>
      </c>
    </row>
    <row r="1734" spans="1:23" ht="12.5">
      <c r="A1734" s="5">
        <v>92244</v>
      </c>
      <c r="B1734" s="5" t="s">
        <v>18702</v>
      </c>
      <c r="C1734" s="5">
        <v>573113059620</v>
      </c>
      <c r="D1734" s="5" t="s">
        <v>14589</v>
      </c>
      <c r="E1734" s="5" t="s">
        <v>11183</v>
      </c>
      <c r="F1734" s="5" t="s">
        <v>249</v>
      </c>
      <c r="G1734" s="5" t="s">
        <v>11181</v>
      </c>
      <c r="H1734" s="5" t="s">
        <v>11182</v>
      </c>
      <c r="I1734" s="5">
        <v>3113059620</v>
      </c>
      <c r="J1734" s="12">
        <v>46074</v>
      </c>
      <c r="K1734" s="11">
        <v>0</v>
      </c>
      <c r="M1734" s="10" t="s">
        <v>14646</v>
      </c>
      <c r="N1734" s="12">
        <v>46074.432907349532</v>
      </c>
      <c r="O1734" s="10" t="s">
        <v>17110</v>
      </c>
      <c r="P1734" s="5" t="s">
        <v>14571</v>
      </c>
      <c r="Q1734" s="5" t="s">
        <v>14572</v>
      </c>
      <c r="R1734" s="5" t="s">
        <v>18703</v>
      </c>
      <c r="T1734" s="5" t="s">
        <v>5994</v>
      </c>
      <c r="U1734" s="5" t="s">
        <v>14593</v>
      </c>
      <c r="V1734" s="5" t="s">
        <v>1481</v>
      </c>
      <c r="W1734" s="5"/>
    </row>
    <row r="1735" spans="1:23" ht="12.5">
      <c r="A1735" s="5">
        <v>92245</v>
      </c>
      <c r="B1735" s="5" t="s">
        <v>11187</v>
      </c>
      <c r="C1735" s="10" t="s">
        <v>18704</v>
      </c>
      <c r="D1735" s="5">
        <v>95</v>
      </c>
      <c r="E1735" s="5" t="s">
        <v>42</v>
      </c>
      <c r="F1735" s="5" t="s">
        <v>33</v>
      </c>
      <c r="G1735" s="5" t="s">
        <v>11187</v>
      </c>
      <c r="H1735" s="5" t="s">
        <v>34</v>
      </c>
      <c r="I1735" s="5">
        <v>3008019940</v>
      </c>
      <c r="J1735" s="12">
        <v>46074</v>
      </c>
      <c r="K1735" s="11">
        <v>0</v>
      </c>
      <c r="M1735" s="10" t="s">
        <v>15032</v>
      </c>
      <c r="N1735" s="12">
        <v>46074</v>
      </c>
      <c r="O1735" s="10" t="s">
        <v>15509</v>
      </c>
      <c r="P1735" s="5" t="s">
        <v>14571</v>
      </c>
      <c r="Q1735" s="5" t="s">
        <v>14572</v>
      </c>
      <c r="R1735" s="5" t="s">
        <v>18705</v>
      </c>
      <c r="T1735" s="5" t="s">
        <v>14574</v>
      </c>
      <c r="U1735" s="5" t="s">
        <v>33</v>
      </c>
      <c r="V1735" s="5" t="s">
        <v>1705</v>
      </c>
      <c r="W1735" s="5" t="s">
        <v>525</v>
      </c>
    </row>
    <row r="1736" spans="1:23" ht="12.5">
      <c r="A1736" s="5">
        <v>92246</v>
      </c>
      <c r="B1736" s="5" t="s">
        <v>11189</v>
      </c>
      <c r="C1736" s="10" t="s">
        <v>18706</v>
      </c>
      <c r="D1736" s="5">
        <v>95</v>
      </c>
      <c r="E1736" s="5" t="s">
        <v>42</v>
      </c>
      <c r="F1736" s="5" t="s">
        <v>33</v>
      </c>
      <c r="G1736" s="5" t="s">
        <v>11189</v>
      </c>
      <c r="H1736" s="5" t="s">
        <v>34</v>
      </c>
      <c r="I1736" s="5">
        <v>3007261699</v>
      </c>
      <c r="J1736" s="12">
        <v>46074</v>
      </c>
      <c r="K1736" s="11">
        <v>0</v>
      </c>
      <c r="M1736" s="10" t="s">
        <v>14619</v>
      </c>
      <c r="N1736" s="12">
        <v>46074</v>
      </c>
      <c r="O1736" s="10" t="s">
        <v>15687</v>
      </c>
      <c r="P1736" s="5" t="s">
        <v>14571</v>
      </c>
      <c r="Q1736" s="5" t="s">
        <v>14578</v>
      </c>
      <c r="R1736" s="5" t="s">
        <v>18707</v>
      </c>
      <c r="T1736" s="5" t="s">
        <v>14574</v>
      </c>
      <c r="U1736" s="5" t="s">
        <v>33</v>
      </c>
      <c r="V1736" s="5" t="s">
        <v>1705</v>
      </c>
      <c r="W1736" s="5" t="s">
        <v>120</v>
      </c>
    </row>
    <row r="1737" spans="1:23" ht="12.5">
      <c r="A1737" s="5">
        <v>92247</v>
      </c>
      <c r="B1737" s="5" t="s">
        <v>11192</v>
      </c>
      <c r="C1737" s="10" t="s">
        <v>18708</v>
      </c>
      <c r="D1737" s="5" t="s">
        <v>14589</v>
      </c>
      <c r="E1737" s="5" t="s">
        <v>11193</v>
      </c>
      <c r="F1737" s="5" t="s">
        <v>33</v>
      </c>
      <c r="G1737" s="5" t="s">
        <v>11192</v>
      </c>
      <c r="H1737" s="5" t="s">
        <v>34</v>
      </c>
      <c r="I1737" s="5">
        <v>3013984286</v>
      </c>
      <c r="J1737" s="12">
        <v>46074</v>
      </c>
      <c r="K1737" s="11">
        <v>0</v>
      </c>
      <c r="M1737" s="10" t="s">
        <v>15161</v>
      </c>
      <c r="N1737" s="12">
        <v>46074</v>
      </c>
      <c r="O1737" s="10" t="s">
        <v>15077</v>
      </c>
      <c r="P1737" s="5" t="s">
        <v>14571</v>
      </c>
      <c r="Q1737" s="5" t="s">
        <v>14612</v>
      </c>
      <c r="R1737" s="5" t="s">
        <v>18709</v>
      </c>
      <c r="T1737" s="5" t="s">
        <v>14574</v>
      </c>
      <c r="U1737" s="5" t="s">
        <v>33</v>
      </c>
      <c r="V1737" s="5" t="s">
        <v>196</v>
      </c>
      <c r="W1737" s="5"/>
    </row>
    <row r="1738" spans="1:23" ht="12.5">
      <c r="A1738" s="5">
        <v>92248</v>
      </c>
      <c r="B1738" s="5" t="s">
        <v>11201</v>
      </c>
      <c r="C1738" s="5">
        <v>573046304222</v>
      </c>
      <c r="D1738" s="5">
        <v>32</v>
      </c>
      <c r="E1738" s="5" t="s">
        <v>65</v>
      </c>
      <c r="F1738" s="5" t="s">
        <v>33</v>
      </c>
      <c r="G1738" s="5" t="s">
        <v>11201</v>
      </c>
      <c r="H1738" s="5" t="s">
        <v>34</v>
      </c>
      <c r="I1738" s="5">
        <v>3046304222</v>
      </c>
      <c r="J1738" s="12">
        <v>46074</v>
      </c>
      <c r="K1738" s="11">
        <v>0</v>
      </c>
      <c r="M1738" s="10" t="s">
        <v>14585</v>
      </c>
      <c r="N1738" s="12">
        <v>46074.503373622691</v>
      </c>
      <c r="O1738" s="10" t="s">
        <v>14974</v>
      </c>
      <c r="P1738" s="5" t="s">
        <v>14571</v>
      </c>
      <c r="Q1738" s="5" t="s">
        <v>14572</v>
      </c>
      <c r="R1738" s="5" t="s">
        <v>18710</v>
      </c>
      <c r="T1738" s="5" t="s">
        <v>14574</v>
      </c>
      <c r="U1738" s="5" t="s">
        <v>33</v>
      </c>
      <c r="V1738" s="5" t="s">
        <v>1705</v>
      </c>
      <c r="W1738" s="5"/>
    </row>
    <row r="1739" spans="1:23" ht="12.5">
      <c r="A1739" s="5">
        <v>92249</v>
      </c>
      <c r="B1739" s="5" t="s">
        <v>4899</v>
      </c>
      <c r="C1739" s="5">
        <v>573106242990</v>
      </c>
      <c r="D1739" s="5">
        <v>95</v>
      </c>
      <c r="E1739" s="5" t="s">
        <v>42</v>
      </c>
      <c r="F1739" s="5" t="s">
        <v>103</v>
      </c>
      <c r="G1739" s="5" t="s">
        <v>4899</v>
      </c>
      <c r="H1739" s="5" t="s">
        <v>11202</v>
      </c>
      <c r="I1739" s="5"/>
      <c r="J1739" s="12">
        <v>46074</v>
      </c>
      <c r="K1739" s="11">
        <v>0</v>
      </c>
      <c r="M1739" s="10" t="s">
        <v>17248</v>
      </c>
      <c r="N1739" s="12">
        <v>46074.51064706019</v>
      </c>
      <c r="O1739" s="10" t="s">
        <v>15780</v>
      </c>
      <c r="P1739" s="5" t="s">
        <v>14571</v>
      </c>
      <c r="Q1739" s="5" t="s">
        <v>14578</v>
      </c>
      <c r="R1739" s="5" t="s">
        <v>18711</v>
      </c>
      <c r="T1739" s="5" t="s">
        <v>5994</v>
      </c>
      <c r="U1739" s="5" t="s">
        <v>14593</v>
      </c>
      <c r="V1739" s="5" t="s">
        <v>67</v>
      </c>
      <c r="W1739" s="5" t="s">
        <v>11203</v>
      </c>
    </row>
    <row r="1740" spans="1:23" ht="12.5">
      <c r="A1740" s="5">
        <v>92250</v>
      </c>
      <c r="B1740" s="5" t="s">
        <v>18712</v>
      </c>
      <c r="C1740" s="10" t="s">
        <v>18713</v>
      </c>
      <c r="D1740" s="5">
        <v>31</v>
      </c>
      <c r="E1740" s="5" t="s">
        <v>375</v>
      </c>
      <c r="F1740" s="5" t="s">
        <v>185</v>
      </c>
      <c r="G1740" s="5" t="s">
        <v>11196</v>
      </c>
      <c r="H1740" s="5" t="s">
        <v>11197</v>
      </c>
      <c r="I1740" s="5">
        <v>3113533859</v>
      </c>
      <c r="J1740" s="12">
        <v>46074</v>
      </c>
      <c r="K1740" s="11">
        <v>0.58333333333333337</v>
      </c>
      <c r="M1740" s="10" t="s">
        <v>14850</v>
      </c>
      <c r="N1740" s="12">
        <v>46074</v>
      </c>
      <c r="O1740" s="10" t="s">
        <v>15853</v>
      </c>
      <c r="P1740" s="5" t="s">
        <v>14571</v>
      </c>
      <c r="Q1740" s="5" t="s">
        <v>14612</v>
      </c>
      <c r="R1740" s="5" t="s">
        <v>18714</v>
      </c>
      <c r="T1740" s="5" t="s">
        <v>5994</v>
      </c>
      <c r="U1740" s="5" t="s">
        <v>14580</v>
      </c>
      <c r="V1740" s="5" t="s">
        <v>67</v>
      </c>
      <c r="W1740" s="5"/>
    </row>
    <row r="1741" spans="1:23" ht="12.5">
      <c r="A1741" s="5">
        <v>92251</v>
      </c>
      <c r="B1741" s="5" t="s">
        <v>11205</v>
      </c>
      <c r="C1741" s="5">
        <v>573045341900</v>
      </c>
      <c r="D1741" s="5">
        <v>95</v>
      </c>
      <c r="E1741" s="5" t="s">
        <v>42</v>
      </c>
      <c r="F1741" s="5" t="s">
        <v>161</v>
      </c>
      <c r="G1741" s="5" t="s">
        <v>11205</v>
      </c>
      <c r="H1741" s="5" t="s">
        <v>11206</v>
      </c>
      <c r="I1741" s="5"/>
      <c r="J1741" s="12">
        <v>46074</v>
      </c>
      <c r="K1741" s="11">
        <v>0</v>
      </c>
      <c r="M1741" s="10" t="s">
        <v>14850</v>
      </c>
      <c r="N1741" s="12">
        <v>46074.521482881944</v>
      </c>
      <c r="O1741" s="10" t="s">
        <v>15609</v>
      </c>
      <c r="P1741" s="5" t="s">
        <v>14571</v>
      </c>
      <c r="Q1741" s="5" t="s">
        <v>14578</v>
      </c>
      <c r="R1741" s="5" t="s">
        <v>18715</v>
      </c>
      <c r="T1741" s="5" t="s">
        <v>5994</v>
      </c>
      <c r="U1741" s="5" t="s">
        <v>14593</v>
      </c>
      <c r="V1741" s="5" t="s">
        <v>1481</v>
      </c>
      <c r="W1741" s="5" t="s">
        <v>11207</v>
      </c>
    </row>
    <row r="1742" spans="1:23" ht="12.5">
      <c r="A1742" s="5">
        <v>92252</v>
      </c>
      <c r="B1742" s="5" t="s">
        <v>18716</v>
      </c>
      <c r="C1742" s="10" t="s">
        <v>18717</v>
      </c>
      <c r="D1742" s="5">
        <v>49</v>
      </c>
      <c r="E1742" s="5" t="s">
        <v>380</v>
      </c>
      <c r="F1742" s="5" t="s">
        <v>63</v>
      </c>
      <c r="G1742" s="5" t="s">
        <v>18718</v>
      </c>
      <c r="H1742" s="5" t="s">
        <v>11211</v>
      </c>
      <c r="I1742" s="5">
        <v>3225960096</v>
      </c>
      <c r="J1742" s="12">
        <v>46074</v>
      </c>
      <c r="K1742" s="11">
        <v>0.625</v>
      </c>
      <c r="M1742" s="10" t="s">
        <v>17814</v>
      </c>
      <c r="N1742" s="12">
        <v>46074</v>
      </c>
      <c r="O1742" s="10" t="s">
        <v>14854</v>
      </c>
      <c r="P1742" s="5" t="s">
        <v>14571</v>
      </c>
      <c r="Q1742" s="5" t="s">
        <v>14612</v>
      </c>
      <c r="R1742" s="5" t="s">
        <v>18719</v>
      </c>
      <c r="T1742" s="5" t="s">
        <v>5994</v>
      </c>
      <c r="U1742" s="5" t="s">
        <v>14598</v>
      </c>
      <c r="V1742" s="5" t="s">
        <v>180</v>
      </c>
      <c r="W1742" s="5"/>
    </row>
    <row r="1743" spans="1:23" ht="12.5">
      <c r="A1743" s="5">
        <v>92253</v>
      </c>
      <c r="B1743" s="5" t="s">
        <v>18720</v>
      </c>
      <c r="C1743" s="5">
        <v>573137609962</v>
      </c>
      <c r="D1743" s="5" t="s">
        <v>14589</v>
      </c>
      <c r="E1743" s="5" t="s">
        <v>11216</v>
      </c>
      <c r="F1743" s="5" t="s">
        <v>193</v>
      </c>
      <c r="G1743" s="5" t="s">
        <v>11214</v>
      </c>
      <c r="H1743" s="5" t="s">
        <v>11215</v>
      </c>
      <c r="I1743" s="5"/>
      <c r="J1743" s="12">
        <v>46074</v>
      </c>
      <c r="K1743" s="11">
        <v>0.625</v>
      </c>
      <c r="M1743" s="10" t="s">
        <v>16077</v>
      </c>
      <c r="N1743" s="12">
        <v>46074.546725671295</v>
      </c>
      <c r="O1743" s="10" t="s">
        <v>16011</v>
      </c>
      <c r="P1743" s="5" t="s">
        <v>14571</v>
      </c>
      <c r="Q1743" s="5" t="s">
        <v>14578</v>
      </c>
      <c r="R1743" s="5" t="s">
        <v>18721</v>
      </c>
      <c r="T1743" s="5" t="s">
        <v>5994</v>
      </c>
      <c r="U1743" s="5" t="s">
        <v>14580</v>
      </c>
      <c r="V1743" s="5" t="s">
        <v>67</v>
      </c>
      <c r="W1743" s="5"/>
    </row>
    <row r="1744" spans="1:23" ht="12.5">
      <c r="A1744" s="5">
        <v>92254</v>
      </c>
      <c r="B1744" s="5" t="s">
        <v>11224</v>
      </c>
      <c r="C1744" s="5">
        <v>573008001961</v>
      </c>
      <c r="D1744" s="5">
        <v>95</v>
      </c>
      <c r="E1744" s="5" t="s">
        <v>42</v>
      </c>
      <c r="F1744" s="5" t="s">
        <v>161</v>
      </c>
      <c r="G1744" s="5" t="s">
        <v>11224</v>
      </c>
      <c r="H1744" s="5" t="s">
        <v>11225</v>
      </c>
      <c r="I1744" s="5"/>
      <c r="J1744" s="12">
        <v>46074</v>
      </c>
      <c r="K1744" s="11">
        <v>0</v>
      </c>
      <c r="M1744" s="10" t="s">
        <v>18722</v>
      </c>
      <c r="N1744" s="12">
        <v>46074.570765115743</v>
      </c>
      <c r="O1744" s="10" t="s">
        <v>14961</v>
      </c>
      <c r="P1744" s="5" t="s">
        <v>14571</v>
      </c>
      <c r="Q1744" s="5" t="s">
        <v>14612</v>
      </c>
      <c r="R1744" s="5" t="s">
        <v>18723</v>
      </c>
      <c r="T1744" s="5" t="s">
        <v>5994</v>
      </c>
      <c r="U1744" s="5" t="s">
        <v>14593</v>
      </c>
      <c r="V1744" s="5" t="s">
        <v>1481</v>
      </c>
      <c r="W1744" s="5" t="s">
        <v>11226</v>
      </c>
    </row>
    <row r="1745" spans="1:23" ht="12.5">
      <c r="A1745" s="5">
        <v>92255</v>
      </c>
      <c r="B1745" s="5" t="s">
        <v>2596</v>
      </c>
      <c r="C1745" s="5">
        <v>573157183766</v>
      </c>
      <c r="D1745" s="5">
        <v>29</v>
      </c>
      <c r="E1745" s="5" t="s">
        <v>309</v>
      </c>
      <c r="F1745" s="5" t="s">
        <v>33</v>
      </c>
      <c r="G1745" s="5" t="s">
        <v>2596</v>
      </c>
      <c r="H1745" s="5" t="s">
        <v>34</v>
      </c>
      <c r="I1745" s="5">
        <v>3157183766</v>
      </c>
      <c r="J1745" s="12">
        <v>46074</v>
      </c>
      <c r="K1745" s="11">
        <v>0</v>
      </c>
      <c r="M1745" s="10" t="s">
        <v>14850</v>
      </c>
      <c r="N1745" s="12">
        <v>46074.58679883102</v>
      </c>
      <c r="O1745" s="10" t="s">
        <v>17531</v>
      </c>
      <c r="P1745" s="5" t="s">
        <v>14571</v>
      </c>
      <c r="Q1745" s="5" t="s">
        <v>14572</v>
      </c>
      <c r="R1745" s="5" t="s">
        <v>18724</v>
      </c>
      <c r="T1745" s="5" t="s">
        <v>14574</v>
      </c>
      <c r="U1745" s="5" t="s">
        <v>33</v>
      </c>
      <c r="V1745" s="5" t="s">
        <v>2636</v>
      </c>
      <c r="W1745" s="5"/>
    </row>
    <row r="1746" spans="1:23" ht="12.5">
      <c r="A1746" s="5">
        <v>92256</v>
      </c>
      <c r="B1746" s="5" t="s">
        <v>2596</v>
      </c>
      <c r="C1746" s="5">
        <v>573157183766</v>
      </c>
      <c r="D1746" s="5">
        <v>95</v>
      </c>
      <c r="E1746" s="5" t="s">
        <v>42</v>
      </c>
      <c r="F1746" s="5" t="s">
        <v>33</v>
      </c>
      <c r="G1746" s="5" t="s">
        <v>2596</v>
      </c>
      <c r="H1746" s="5" t="s">
        <v>34</v>
      </c>
      <c r="I1746" s="5">
        <v>3157183766</v>
      </c>
      <c r="J1746" s="12">
        <v>46074</v>
      </c>
      <c r="K1746" s="11">
        <v>0</v>
      </c>
      <c r="M1746" s="10" t="s">
        <v>15632</v>
      </c>
      <c r="N1746" s="12">
        <v>46074.590279259261</v>
      </c>
      <c r="O1746" s="10" t="s">
        <v>15126</v>
      </c>
      <c r="P1746" s="5" t="s">
        <v>14571</v>
      </c>
      <c r="Q1746" s="5" t="s">
        <v>14572</v>
      </c>
      <c r="R1746" s="5" t="s">
        <v>18725</v>
      </c>
      <c r="T1746" s="5" t="s">
        <v>14574</v>
      </c>
      <c r="U1746" s="5" t="s">
        <v>33</v>
      </c>
      <c r="V1746" s="5" t="s">
        <v>2636</v>
      </c>
      <c r="W1746" s="5"/>
    </row>
    <row r="1747" spans="1:23" ht="12.5">
      <c r="A1747" s="5">
        <v>92257</v>
      </c>
      <c r="B1747" s="5" t="s">
        <v>18726</v>
      </c>
      <c r="C1747" s="5">
        <v>14073719345</v>
      </c>
      <c r="D1747" s="5">
        <v>34</v>
      </c>
      <c r="E1747" s="5" t="s">
        <v>1597</v>
      </c>
      <c r="F1747" s="5" t="s">
        <v>2218</v>
      </c>
      <c r="G1747" s="5" t="s">
        <v>11228</v>
      </c>
      <c r="H1747" s="5" t="s">
        <v>11229</v>
      </c>
      <c r="I1747" s="5" t="s">
        <v>11230</v>
      </c>
      <c r="J1747" s="12">
        <v>46079</v>
      </c>
      <c r="K1747" s="11">
        <v>0.70833333333212067</v>
      </c>
      <c r="M1747" s="10" t="s">
        <v>18727</v>
      </c>
      <c r="N1747" s="12">
        <v>46074.571688391203</v>
      </c>
      <c r="O1747" s="10" t="s">
        <v>14839</v>
      </c>
      <c r="P1747" s="5" t="s">
        <v>14571</v>
      </c>
      <c r="Q1747" s="5" t="s">
        <v>14578</v>
      </c>
      <c r="R1747" s="5" t="s">
        <v>18728</v>
      </c>
      <c r="T1747" s="5" t="s">
        <v>5994</v>
      </c>
      <c r="U1747" s="5" t="s">
        <v>14691</v>
      </c>
      <c r="V1747" s="5" t="s">
        <v>1937</v>
      </c>
      <c r="W1747" s="5"/>
    </row>
    <row r="1748" spans="1:23" ht="12.5">
      <c r="A1748" s="5">
        <v>92258</v>
      </c>
      <c r="B1748" s="5" t="s">
        <v>11235</v>
      </c>
      <c r="C1748" s="10" t="s">
        <v>18729</v>
      </c>
      <c r="D1748" s="5">
        <v>29</v>
      </c>
      <c r="E1748" s="5" t="s">
        <v>309</v>
      </c>
      <c r="F1748" s="5" t="s">
        <v>33</v>
      </c>
      <c r="G1748" s="5" t="s">
        <v>11235</v>
      </c>
      <c r="H1748" s="5" t="s">
        <v>34</v>
      </c>
      <c r="I1748" s="5">
        <v>3008904562</v>
      </c>
      <c r="J1748" s="12">
        <v>46074</v>
      </c>
      <c r="K1748" s="11">
        <v>0</v>
      </c>
      <c r="M1748" s="10" t="s">
        <v>14850</v>
      </c>
      <c r="N1748" s="12">
        <v>46074</v>
      </c>
      <c r="O1748" s="10" t="s">
        <v>16212</v>
      </c>
      <c r="P1748" s="5" t="s">
        <v>14571</v>
      </c>
      <c r="Q1748" s="5" t="s">
        <v>14578</v>
      </c>
      <c r="R1748" s="5" t="s">
        <v>18730</v>
      </c>
      <c r="T1748" s="5" t="s">
        <v>14574</v>
      </c>
      <c r="U1748" s="5" t="s">
        <v>33</v>
      </c>
      <c r="V1748" s="5" t="s">
        <v>37</v>
      </c>
      <c r="W1748" s="5"/>
    </row>
    <row r="1749" spans="1:23" ht="12.5">
      <c r="A1749" s="5">
        <v>92259</v>
      </c>
      <c r="B1749" s="5" t="s">
        <v>18731</v>
      </c>
      <c r="C1749" s="5">
        <v>573006304445</v>
      </c>
      <c r="D1749" s="5">
        <v>55</v>
      </c>
      <c r="E1749" s="5" t="s">
        <v>1203</v>
      </c>
      <c r="F1749" s="5" t="s">
        <v>892</v>
      </c>
      <c r="G1749" s="5" t="s">
        <v>11219</v>
      </c>
      <c r="H1749" s="5" t="s">
        <v>11220</v>
      </c>
      <c r="I1749" s="5"/>
      <c r="J1749" s="12">
        <v>46074</v>
      </c>
      <c r="K1749" s="11">
        <v>0</v>
      </c>
      <c r="M1749" s="10" t="s">
        <v>15128</v>
      </c>
      <c r="N1749" s="12">
        <v>46074.556974224535</v>
      </c>
      <c r="O1749" s="10" t="s">
        <v>18732</v>
      </c>
      <c r="P1749" s="5" t="s">
        <v>14571</v>
      </c>
      <c r="Q1749" s="5" t="s">
        <v>14612</v>
      </c>
      <c r="R1749" s="5" t="s">
        <v>18733</v>
      </c>
      <c r="T1749" s="5" t="s">
        <v>5994</v>
      </c>
      <c r="U1749" s="5" t="s">
        <v>14593</v>
      </c>
      <c r="V1749" s="5" t="s">
        <v>1481</v>
      </c>
      <c r="W1749" s="5"/>
    </row>
    <row r="1750" spans="1:23" ht="12.5">
      <c r="A1750" s="5">
        <v>92260</v>
      </c>
      <c r="B1750" s="5" t="s">
        <v>11237</v>
      </c>
      <c r="C1750" s="5">
        <v>573222149571</v>
      </c>
      <c r="D1750" s="5">
        <v>38</v>
      </c>
      <c r="E1750" s="5" t="s">
        <v>458</v>
      </c>
      <c r="F1750" s="5" t="s">
        <v>33</v>
      </c>
      <c r="G1750" s="5" t="s">
        <v>11237</v>
      </c>
      <c r="H1750" s="5" t="s">
        <v>34</v>
      </c>
      <c r="I1750" s="5" t="s">
        <v>11238</v>
      </c>
      <c r="J1750" s="12">
        <v>46074</v>
      </c>
      <c r="K1750" s="11">
        <v>0</v>
      </c>
      <c r="M1750" s="10" t="s">
        <v>16109</v>
      </c>
      <c r="N1750" s="12">
        <v>46074.644521620372</v>
      </c>
      <c r="O1750" s="10" t="s">
        <v>16925</v>
      </c>
      <c r="P1750" s="5" t="s">
        <v>14571</v>
      </c>
      <c r="Q1750" s="5" t="s">
        <v>14572</v>
      </c>
      <c r="R1750" s="5" t="s">
        <v>18734</v>
      </c>
      <c r="T1750" s="5" t="s">
        <v>14574</v>
      </c>
      <c r="U1750" s="5" t="s">
        <v>33</v>
      </c>
      <c r="V1750" s="5" t="s">
        <v>1481</v>
      </c>
      <c r="W1750" s="5"/>
    </row>
    <row r="1751" spans="1:23" ht="12.5">
      <c r="A1751" s="5">
        <v>92261</v>
      </c>
      <c r="B1751" s="5" t="s">
        <v>11164</v>
      </c>
      <c r="C1751" s="5">
        <v>573007881975</v>
      </c>
      <c r="D1751" s="5">
        <v>31</v>
      </c>
      <c r="E1751" s="5" t="s">
        <v>375</v>
      </c>
      <c r="F1751" s="5" t="s">
        <v>33</v>
      </c>
      <c r="G1751" s="5" t="s">
        <v>11164</v>
      </c>
      <c r="H1751" s="5" t="s">
        <v>34</v>
      </c>
      <c r="I1751" s="5">
        <v>3007881975</v>
      </c>
      <c r="J1751" s="12">
        <v>46074</v>
      </c>
      <c r="K1751" s="11">
        <v>0.45833333333212067</v>
      </c>
      <c r="M1751" s="10" t="s">
        <v>14585</v>
      </c>
      <c r="N1751" s="12">
        <v>46074.404833333334</v>
      </c>
      <c r="O1751" s="10" t="s">
        <v>15047</v>
      </c>
      <c r="P1751" s="5" t="s">
        <v>14571</v>
      </c>
      <c r="Q1751" s="5" t="s">
        <v>14612</v>
      </c>
      <c r="R1751" s="5" t="s">
        <v>18735</v>
      </c>
      <c r="T1751" s="5" t="s">
        <v>14574</v>
      </c>
      <c r="U1751" s="5" t="s">
        <v>33</v>
      </c>
      <c r="V1751" s="5" t="s">
        <v>67</v>
      </c>
      <c r="W1751" s="5" t="s">
        <v>11167</v>
      </c>
    </row>
    <row r="1752" spans="1:23" ht="12.5">
      <c r="A1752" s="5">
        <v>92262</v>
      </c>
      <c r="B1752" s="5" t="s">
        <v>11241</v>
      </c>
      <c r="C1752" s="5">
        <v>573148727726</v>
      </c>
      <c r="D1752" s="5">
        <v>29</v>
      </c>
      <c r="E1752" s="5" t="s">
        <v>309</v>
      </c>
      <c r="F1752" s="5" t="s">
        <v>6662</v>
      </c>
      <c r="G1752" s="5" t="s">
        <v>11241</v>
      </c>
      <c r="H1752" s="5" t="s">
        <v>11242</v>
      </c>
      <c r="I1752" s="5">
        <v>3148727726</v>
      </c>
      <c r="J1752" s="12">
        <v>46074</v>
      </c>
      <c r="K1752" s="11">
        <v>0</v>
      </c>
      <c r="M1752" s="10" t="s">
        <v>14899</v>
      </c>
      <c r="N1752" s="12">
        <v>46074.674604201384</v>
      </c>
      <c r="O1752" s="10" t="s">
        <v>16083</v>
      </c>
      <c r="P1752" s="5" t="s">
        <v>14571</v>
      </c>
      <c r="Q1752" s="5" t="s">
        <v>14578</v>
      </c>
      <c r="R1752" s="5" t="s">
        <v>18736</v>
      </c>
      <c r="T1752" s="5" t="s">
        <v>5994</v>
      </c>
      <c r="U1752" s="5" t="s">
        <v>14580</v>
      </c>
      <c r="V1752" s="5" t="s">
        <v>1705</v>
      </c>
      <c r="W1752" s="5"/>
    </row>
    <row r="1753" spans="1:23" ht="12.5">
      <c r="A1753" s="5">
        <v>92263</v>
      </c>
      <c r="B1753" s="5" t="s">
        <v>11245</v>
      </c>
      <c r="C1753" s="5">
        <v>57000000</v>
      </c>
      <c r="D1753" s="5">
        <v>53</v>
      </c>
      <c r="E1753" s="5" t="s">
        <v>75</v>
      </c>
      <c r="F1753" s="5" t="s">
        <v>33</v>
      </c>
      <c r="G1753" s="5" t="s">
        <v>11245</v>
      </c>
      <c r="H1753" s="5" t="s">
        <v>34</v>
      </c>
      <c r="I1753" s="10" t="s">
        <v>2686</v>
      </c>
      <c r="J1753" s="12">
        <v>46074</v>
      </c>
      <c r="K1753" s="11">
        <v>0</v>
      </c>
      <c r="M1753" s="10" t="s">
        <v>14585</v>
      </c>
      <c r="N1753" s="12">
        <v>46074.683002557867</v>
      </c>
      <c r="O1753" s="10" t="s">
        <v>15653</v>
      </c>
      <c r="P1753" s="5" t="s">
        <v>14571</v>
      </c>
      <c r="Q1753" s="5" t="s">
        <v>14578</v>
      </c>
      <c r="R1753" s="5" t="s">
        <v>18737</v>
      </c>
      <c r="T1753" s="5" t="s">
        <v>14574</v>
      </c>
      <c r="U1753" s="5" t="s">
        <v>33</v>
      </c>
      <c r="V1753" s="5" t="s">
        <v>196</v>
      </c>
      <c r="W1753" s="5"/>
    </row>
    <row r="1754" spans="1:23" ht="12.5">
      <c r="A1754" s="5">
        <v>92264</v>
      </c>
      <c r="B1754" s="5" t="s">
        <v>18738</v>
      </c>
      <c r="C1754" s="5">
        <v>573205403201</v>
      </c>
      <c r="D1754" s="5">
        <v>21</v>
      </c>
      <c r="E1754" s="5" t="s">
        <v>330</v>
      </c>
      <c r="F1754" s="5" t="s">
        <v>11248</v>
      </c>
      <c r="G1754" s="5" t="s">
        <v>11247</v>
      </c>
      <c r="H1754" s="5" t="s">
        <v>11249</v>
      </c>
      <c r="I1754" s="5"/>
      <c r="J1754" s="12">
        <v>46074</v>
      </c>
      <c r="K1754" s="11">
        <v>0</v>
      </c>
      <c r="M1754" s="10" t="s">
        <v>18167</v>
      </c>
      <c r="N1754" s="12">
        <v>46074.700813981486</v>
      </c>
      <c r="O1754" s="10" t="s">
        <v>14914</v>
      </c>
      <c r="P1754" s="5" t="s">
        <v>14571</v>
      </c>
      <c r="Q1754" s="5" t="s">
        <v>14578</v>
      </c>
      <c r="R1754" s="5" t="s">
        <v>18739</v>
      </c>
      <c r="T1754" s="5" t="s">
        <v>5994</v>
      </c>
      <c r="U1754" s="5" t="s">
        <v>14618</v>
      </c>
      <c r="V1754" s="5" t="s">
        <v>1481</v>
      </c>
      <c r="W1754" s="5"/>
    </row>
    <row r="1755" spans="1:23" ht="12.5">
      <c r="A1755" s="5">
        <v>92265</v>
      </c>
      <c r="B1755" s="5" t="s">
        <v>10220</v>
      </c>
      <c r="C1755" s="5">
        <v>573213518800</v>
      </c>
      <c r="D1755" s="5">
        <v>31</v>
      </c>
      <c r="E1755" s="5" t="s">
        <v>375</v>
      </c>
      <c r="F1755" s="5" t="s">
        <v>33</v>
      </c>
      <c r="G1755" s="5" t="s">
        <v>10220</v>
      </c>
      <c r="H1755" s="5" t="s">
        <v>34</v>
      </c>
      <c r="I1755" s="5">
        <v>3213518800</v>
      </c>
      <c r="J1755" s="12">
        <v>46074</v>
      </c>
      <c r="K1755" s="11">
        <v>0</v>
      </c>
      <c r="M1755" s="10" t="s">
        <v>14585</v>
      </c>
      <c r="N1755" s="12">
        <v>46074.704155694446</v>
      </c>
      <c r="O1755" s="10" t="s">
        <v>15729</v>
      </c>
      <c r="P1755" s="5" t="s">
        <v>14571</v>
      </c>
      <c r="Q1755" s="5" t="s">
        <v>14612</v>
      </c>
      <c r="R1755" s="5" t="s">
        <v>18740</v>
      </c>
      <c r="T1755" s="5" t="s">
        <v>14574</v>
      </c>
      <c r="U1755" s="5" t="s">
        <v>33</v>
      </c>
      <c r="V1755" s="5" t="s">
        <v>196</v>
      </c>
      <c r="W1755" s="5"/>
    </row>
    <row r="1756" spans="1:23" ht="12.5">
      <c r="A1756" s="5">
        <v>92266</v>
      </c>
      <c r="B1756" s="5" t="s">
        <v>1925</v>
      </c>
      <c r="C1756" s="10" t="s">
        <v>18741</v>
      </c>
      <c r="D1756" s="5">
        <v>95</v>
      </c>
      <c r="E1756" s="5" t="s">
        <v>42</v>
      </c>
      <c r="F1756" s="5" t="s">
        <v>33</v>
      </c>
      <c r="G1756" s="5" t="s">
        <v>1925</v>
      </c>
      <c r="H1756" s="5" t="s">
        <v>34</v>
      </c>
      <c r="I1756" s="5"/>
      <c r="J1756" s="12">
        <v>46074</v>
      </c>
      <c r="K1756" s="11">
        <v>0</v>
      </c>
      <c r="M1756" s="10" t="s">
        <v>15594</v>
      </c>
      <c r="N1756" s="12">
        <v>46074</v>
      </c>
      <c r="O1756" s="10" t="s">
        <v>16239</v>
      </c>
      <c r="P1756" s="5" t="s">
        <v>14571</v>
      </c>
      <c r="Q1756" s="5" t="s">
        <v>14578</v>
      </c>
      <c r="R1756" s="5" t="s">
        <v>18742</v>
      </c>
      <c r="T1756" s="5" t="s">
        <v>14574</v>
      </c>
      <c r="U1756" s="5" t="s">
        <v>33</v>
      </c>
      <c r="V1756" s="5" t="s">
        <v>43</v>
      </c>
      <c r="W1756" s="5"/>
    </row>
    <row r="1757" spans="1:23" ht="12.5">
      <c r="A1757" s="5">
        <v>92267</v>
      </c>
      <c r="B1757" s="5" t="s">
        <v>18743</v>
      </c>
      <c r="C1757" s="5">
        <v>573014014792</v>
      </c>
      <c r="D1757" s="5">
        <v>29</v>
      </c>
      <c r="E1757" s="5" t="s">
        <v>309</v>
      </c>
      <c r="F1757" s="5" t="s">
        <v>328</v>
      </c>
      <c r="G1757" s="5" t="s">
        <v>1222</v>
      </c>
      <c r="H1757" s="5" t="s">
        <v>11253</v>
      </c>
      <c r="I1757" s="5">
        <v>3145513701</v>
      </c>
      <c r="J1757" s="12">
        <v>46075</v>
      </c>
      <c r="K1757" s="11">
        <v>0</v>
      </c>
      <c r="M1757" s="10" t="s">
        <v>14899</v>
      </c>
      <c r="N1757" s="12">
        <v>46074.703767395833</v>
      </c>
      <c r="O1757" s="10" t="s">
        <v>17946</v>
      </c>
      <c r="P1757" s="5" t="s">
        <v>14571</v>
      </c>
      <c r="Q1757" s="5" t="s">
        <v>14578</v>
      </c>
      <c r="R1757" s="5" t="s">
        <v>18744</v>
      </c>
      <c r="T1757" s="5" t="s">
        <v>5994</v>
      </c>
      <c r="U1757" s="5"/>
      <c r="V1757" s="5" t="s">
        <v>1481</v>
      </c>
      <c r="W1757" s="5" t="s">
        <v>11256</v>
      </c>
    </row>
    <row r="1758" spans="1:23" ht="12.5">
      <c r="A1758" s="5">
        <v>92268</v>
      </c>
      <c r="B1758" s="5" t="s">
        <v>11259</v>
      </c>
      <c r="C1758" s="5">
        <v>573104135877</v>
      </c>
      <c r="D1758" s="5">
        <v>95</v>
      </c>
      <c r="E1758" s="5" t="s">
        <v>42</v>
      </c>
      <c r="F1758" s="5" t="s">
        <v>33</v>
      </c>
      <c r="G1758" s="5" t="s">
        <v>11259</v>
      </c>
      <c r="H1758" s="5" t="s">
        <v>34</v>
      </c>
      <c r="I1758" s="5">
        <v>3104135877</v>
      </c>
      <c r="J1758" s="12">
        <v>46074</v>
      </c>
      <c r="K1758" s="11">
        <v>0</v>
      </c>
      <c r="M1758" s="10" t="s">
        <v>15032</v>
      </c>
      <c r="N1758" s="12">
        <v>46074.719759953703</v>
      </c>
      <c r="O1758" s="10" t="s">
        <v>15892</v>
      </c>
      <c r="P1758" s="5" t="s">
        <v>14571</v>
      </c>
      <c r="Q1758" s="5" t="s">
        <v>14612</v>
      </c>
      <c r="R1758" s="5" t="s">
        <v>18745</v>
      </c>
      <c r="T1758" s="5" t="s">
        <v>14574</v>
      </c>
      <c r="U1758" s="5" t="s">
        <v>33</v>
      </c>
      <c r="V1758" s="5" t="s">
        <v>1705</v>
      </c>
      <c r="W1758" s="5"/>
    </row>
    <row r="1759" spans="1:23" ht="12.5">
      <c r="A1759" s="5">
        <v>92269</v>
      </c>
      <c r="B1759" s="5" t="s">
        <v>18746</v>
      </c>
      <c r="C1759" s="5">
        <v>5700000</v>
      </c>
      <c r="D1759" s="5">
        <v>71</v>
      </c>
      <c r="E1759" s="5" t="s">
        <v>734</v>
      </c>
      <c r="F1759" s="5" t="s">
        <v>161</v>
      </c>
      <c r="G1759" s="5" t="s">
        <v>11261</v>
      </c>
      <c r="H1759" s="5" t="s">
        <v>11262</v>
      </c>
      <c r="I1759" s="5"/>
      <c r="J1759" s="12">
        <v>46076</v>
      </c>
      <c r="K1759" s="11">
        <v>0.375</v>
      </c>
      <c r="M1759" s="10" t="s">
        <v>16470</v>
      </c>
      <c r="N1759" s="12">
        <v>46076.326705833329</v>
      </c>
      <c r="O1759" s="10" t="s">
        <v>15017</v>
      </c>
      <c r="P1759" s="5" t="s">
        <v>14571</v>
      </c>
      <c r="Q1759" s="5" t="s">
        <v>14578</v>
      </c>
      <c r="R1759" s="5" t="s">
        <v>18747</v>
      </c>
      <c r="T1759" s="5" t="s">
        <v>5994</v>
      </c>
      <c r="U1759" s="5" t="s">
        <v>14593</v>
      </c>
      <c r="V1759" s="5" t="s">
        <v>43</v>
      </c>
      <c r="W1759" s="5"/>
    </row>
    <row r="1760" spans="1:23" ht="12.5">
      <c r="A1760" s="5">
        <v>92270</v>
      </c>
      <c r="B1760" s="5" t="s">
        <v>18748</v>
      </c>
      <c r="C1760" s="5">
        <v>573003655039</v>
      </c>
      <c r="D1760" s="5">
        <v>24</v>
      </c>
      <c r="E1760" s="5" t="s">
        <v>251</v>
      </c>
      <c r="F1760" s="5" t="s">
        <v>11267</v>
      </c>
      <c r="G1760" s="5" t="s">
        <v>11266</v>
      </c>
      <c r="H1760" s="5" t="s">
        <v>11268</v>
      </c>
      <c r="I1760" s="5">
        <v>3015475262</v>
      </c>
      <c r="J1760" s="12">
        <v>46076</v>
      </c>
      <c r="K1760" s="11">
        <v>0</v>
      </c>
      <c r="M1760" s="10" t="s">
        <v>15040</v>
      </c>
      <c r="N1760" s="12">
        <v>46076.354829641205</v>
      </c>
      <c r="O1760" s="10" t="s">
        <v>14904</v>
      </c>
      <c r="P1760" s="5" t="s">
        <v>14571</v>
      </c>
      <c r="Q1760" s="5" t="s">
        <v>14572</v>
      </c>
      <c r="R1760" s="5" t="s">
        <v>18749</v>
      </c>
      <c r="T1760" s="5" t="s">
        <v>5994</v>
      </c>
      <c r="U1760" s="5" t="s">
        <v>14691</v>
      </c>
      <c r="V1760" s="5" t="s">
        <v>67</v>
      </c>
      <c r="W1760" s="5" t="s">
        <v>11271</v>
      </c>
    </row>
    <row r="1761" spans="1:23" ht="12.5">
      <c r="A1761" s="5">
        <v>92271</v>
      </c>
      <c r="B1761" s="5" t="s">
        <v>11291</v>
      </c>
      <c r="C1761" s="5">
        <v>573163044463</v>
      </c>
      <c r="D1761" s="5">
        <v>52</v>
      </c>
      <c r="E1761" s="5" t="s">
        <v>178</v>
      </c>
      <c r="F1761" s="5" t="s">
        <v>33</v>
      </c>
      <c r="G1761" s="5" t="s">
        <v>11291</v>
      </c>
      <c r="H1761" s="5" t="s">
        <v>34</v>
      </c>
      <c r="I1761" s="5">
        <v>3163044463</v>
      </c>
      <c r="J1761" s="12">
        <v>46076</v>
      </c>
      <c r="K1761" s="11">
        <v>0.40347222222044365</v>
      </c>
      <c r="M1761" s="10" t="s">
        <v>15161</v>
      </c>
      <c r="N1761" s="12">
        <v>46076.376958553243</v>
      </c>
      <c r="O1761" s="10" t="s">
        <v>15324</v>
      </c>
      <c r="P1761" s="5" t="s">
        <v>14571</v>
      </c>
      <c r="Q1761" s="5" t="s">
        <v>14612</v>
      </c>
      <c r="R1761" s="5" t="s">
        <v>18750</v>
      </c>
      <c r="T1761" s="5" t="s">
        <v>14574</v>
      </c>
      <c r="U1761" s="5" t="s">
        <v>33</v>
      </c>
      <c r="V1761" s="5" t="s">
        <v>43</v>
      </c>
      <c r="W1761" s="5"/>
    </row>
    <row r="1762" spans="1:23" ht="12.5">
      <c r="A1762" s="5">
        <v>92272</v>
      </c>
      <c r="B1762" s="5" t="s">
        <v>18751</v>
      </c>
      <c r="C1762" s="5">
        <v>573043985350</v>
      </c>
      <c r="D1762" s="5">
        <v>32</v>
      </c>
      <c r="E1762" s="5" t="s">
        <v>65</v>
      </c>
      <c r="F1762" s="5" t="s">
        <v>886</v>
      </c>
      <c r="G1762" s="5" t="s">
        <v>11278</v>
      </c>
      <c r="H1762" s="5" t="s">
        <v>11279</v>
      </c>
      <c r="I1762" s="5" t="s">
        <v>11280</v>
      </c>
      <c r="J1762" s="12">
        <v>46076</v>
      </c>
      <c r="K1762" s="11">
        <v>0</v>
      </c>
      <c r="M1762" s="10" t="s">
        <v>14832</v>
      </c>
      <c r="N1762" s="12">
        <v>46076.364409479167</v>
      </c>
      <c r="O1762" s="10" t="s">
        <v>15911</v>
      </c>
      <c r="P1762" s="5" t="s">
        <v>14571</v>
      </c>
      <c r="Q1762" s="5" t="s">
        <v>14612</v>
      </c>
      <c r="R1762" s="5" t="s">
        <v>18752</v>
      </c>
      <c r="T1762" s="5" t="s">
        <v>5994</v>
      </c>
      <c r="U1762" s="5" t="s">
        <v>14618</v>
      </c>
      <c r="V1762" s="5" t="s">
        <v>1937</v>
      </c>
      <c r="W1762" s="5" t="s">
        <v>11283</v>
      </c>
    </row>
    <row r="1763" spans="1:23" ht="12.5">
      <c r="A1763" s="5">
        <v>92273</v>
      </c>
      <c r="B1763" s="5" t="s">
        <v>18753</v>
      </c>
      <c r="C1763" s="5">
        <v>573004396910</v>
      </c>
      <c r="D1763" s="5">
        <v>31</v>
      </c>
      <c r="E1763" s="5" t="s">
        <v>375</v>
      </c>
      <c r="F1763" s="5" t="s">
        <v>79</v>
      </c>
      <c r="G1763" s="5" t="s">
        <v>11273</v>
      </c>
      <c r="H1763" s="5" t="s">
        <v>11274</v>
      </c>
      <c r="I1763" s="5" t="s">
        <v>15231</v>
      </c>
      <c r="J1763" s="12">
        <v>46076</v>
      </c>
      <c r="K1763" s="11">
        <v>0.41666666666787933</v>
      </c>
      <c r="M1763" s="10" t="s">
        <v>14627</v>
      </c>
      <c r="N1763" s="12">
        <v>46076.357406712967</v>
      </c>
      <c r="O1763" s="10" t="s">
        <v>16757</v>
      </c>
      <c r="P1763" s="5" t="s">
        <v>14571</v>
      </c>
      <c r="Q1763" s="5" t="s">
        <v>14572</v>
      </c>
      <c r="R1763" s="5" t="s">
        <v>18754</v>
      </c>
      <c r="T1763" s="5" t="s">
        <v>5994</v>
      </c>
      <c r="U1763" s="5" t="s">
        <v>14593</v>
      </c>
      <c r="V1763" s="5" t="s">
        <v>67</v>
      </c>
      <c r="W1763" s="5"/>
    </row>
    <row r="1764" spans="1:23" ht="12.5">
      <c r="A1764" s="5">
        <v>92275</v>
      </c>
      <c r="B1764" s="5" t="s">
        <v>18755</v>
      </c>
      <c r="C1764" s="5">
        <v>573205658135</v>
      </c>
      <c r="D1764" s="5">
        <v>69</v>
      </c>
      <c r="E1764" s="5" t="s">
        <v>335</v>
      </c>
      <c r="F1764" s="5" t="s">
        <v>73</v>
      </c>
      <c r="G1764" s="5" t="s">
        <v>11293</v>
      </c>
      <c r="H1764" s="5" t="s">
        <v>11294</v>
      </c>
      <c r="I1764" s="5"/>
      <c r="J1764" s="12">
        <v>46076</v>
      </c>
      <c r="K1764" s="11">
        <v>0</v>
      </c>
      <c r="M1764" s="10" t="s">
        <v>14885</v>
      </c>
      <c r="N1764" s="12">
        <v>46076.387428796297</v>
      </c>
      <c r="O1764" s="10" t="s">
        <v>17861</v>
      </c>
      <c r="P1764" s="5" t="s">
        <v>14571</v>
      </c>
      <c r="Q1764" s="5" t="s">
        <v>14578</v>
      </c>
      <c r="R1764" s="5" t="s">
        <v>18756</v>
      </c>
      <c r="T1764" s="5" t="s">
        <v>5994</v>
      </c>
      <c r="U1764" s="5" t="s">
        <v>14593</v>
      </c>
      <c r="V1764" s="5" t="s">
        <v>204</v>
      </c>
      <c r="W1764" s="5" t="s">
        <v>11297</v>
      </c>
    </row>
    <row r="1765" spans="1:23" ht="12.5">
      <c r="A1765" s="5">
        <v>92277</v>
      </c>
      <c r="B1765" s="5" t="s">
        <v>18757</v>
      </c>
      <c r="C1765" s="5">
        <v>4400450000000000</v>
      </c>
      <c r="D1765" s="5">
        <v>19</v>
      </c>
      <c r="E1765" s="5" t="s">
        <v>2120</v>
      </c>
      <c r="F1765" s="5" t="s">
        <v>185</v>
      </c>
      <c r="G1765" s="5" t="s">
        <v>11285</v>
      </c>
      <c r="H1765" s="5" t="s">
        <v>11286</v>
      </c>
      <c r="I1765" s="5"/>
      <c r="J1765" s="12">
        <v>46076</v>
      </c>
      <c r="K1765" s="11">
        <v>0</v>
      </c>
      <c r="M1765" s="10" t="s">
        <v>14697</v>
      </c>
      <c r="N1765" s="12">
        <v>46076.370422395834</v>
      </c>
      <c r="O1765" s="10" t="s">
        <v>14991</v>
      </c>
      <c r="P1765" s="5" t="s">
        <v>14571</v>
      </c>
      <c r="Q1765" s="5" t="s">
        <v>14612</v>
      </c>
      <c r="R1765" s="5" t="s">
        <v>18758</v>
      </c>
      <c r="T1765" s="5" t="s">
        <v>5994</v>
      </c>
      <c r="U1765" s="5" t="s">
        <v>14580</v>
      </c>
      <c r="V1765" s="5" t="s">
        <v>1937</v>
      </c>
      <c r="W1765" s="5"/>
    </row>
    <row r="1766" spans="1:23" ht="12.5">
      <c r="A1766" s="5">
        <v>92274</v>
      </c>
      <c r="B1766" s="5" t="s">
        <v>18759</v>
      </c>
      <c r="C1766" s="5">
        <v>573105103018</v>
      </c>
      <c r="D1766" s="5">
        <v>5</v>
      </c>
      <c r="E1766" s="5" t="s">
        <v>3111</v>
      </c>
      <c r="F1766" s="5" t="s">
        <v>3091</v>
      </c>
      <c r="G1766" s="5" t="s">
        <v>11299</v>
      </c>
      <c r="H1766" s="5" t="s">
        <v>11300</v>
      </c>
      <c r="I1766" s="5">
        <v>3215400850</v>
      </c>
      <c r="J1766" s="12">
        <v>46077</v>
      </c>
      <c r="K1766" s="11">
        <v>0</v>
      </c>
      <c r="M1766" s="5">
        <v>240000</v>
      </c>
      <c r="N1766" s="12">
        <v>46076.397352372689</v>
      </c>
      <c r="O1766" s="10" t="s">
        <v>15170</v>
      </c>
      <c r="P1766" s="5" t="s">
        <v>14571</v>
      </c>
      <c r="Q1766" s="5" t="s">
        <v>14612</v>
      </c>
      <c r="R1766" s="5" t="s">
        <v>18758</v>
      </c>
      <c r="T1766" s="5" t="s">
        <v>5994</v>
      </c>
      <c r="U1766" s="5" t="s">
        <v>14580</v>
      </c>
      <c r="V1766" s="5" t="s">
        <v>1481</v>
      </c>
      <c r="W1766" s="5"/>
    </row>
    <row r="1767" spans="1:23" ht="12.5">
      <c r="A1767" s="5">
        <v>92278</v>
      </c>
      <c r="B1767" s="5" t="s">
        <v>18760</v>
      </c>
      <c r="C1767" s="5">
        <v>573046715811</v>
      </c>
      <c r="D1767" s="5" t="s">
        <v>18761</v>
      </c>
      <c r="E1767" s="5" t="s">
        <v>11319</v>
      </c>
      <c r="F1767" s="5" t="s">
        <v>351</v>
      </c>
      <c r="G1767" s="5" t="s">
        <v>11317</v>
      </c>
      <c r="H1767" s="5" t="s">
        <v>11318</v>
      </c>
      <c r="I1767" s="5">
        <v>3046715811</v>
      </c>
      <c r="J1767" s="12">
        <v>46076</v>
      </c>
      <c r="K1767" s="11">
        <v>0</v>
      </c>
      <c r="M1767" s="10" t="s">
        <v>17675</v>
      </c>
      <c r="N1767" s="12">
        <v>46076.423753923613</v>
      </c>
      <c r="O1767" s="10" t="s">
        <v>17658</v>
      </c>
      <c r="P1767" s="5" t="s">
        <v>14571</v>
      </c>
      <c r="Q1767" s="5" t="s">
        <v>14572</v>
      </c>
      <c r="R1767" s="5" t="s">
        <v>18762</v>
      </c>
      <c r="T1767" s="5" t="s">
        <v>5994</v>
      </c>
      <c r="U1767" s="5" t="s">
        <v>14580</v>
      </c>
      <c r="V1767" s="5" t="s">
        <v>2438</v>
      </c>
      <c r="W1767" s="5"/>
    </row>
    <row r="1768" spans="1:23" ht="12.5">
      <c r="A1768" s="5">
        <v>92279</v>
      </c>
      <c r="B1768" s="5" t="s">
        <v>14529</v>
      </c>
      <c r="C1768" s="5">
        <v>573014741914</v>
      </c>
      <c r="D1768" s="5">
        <v>31</v>
      </c>
      <c r="E1768" s="5" t="s">
        <v>375</v>
      </c>
      <c r="F1768" s="5" t="s">
        <v>9002</v>
      </c>
      <c r="G1768" s="5" t="s">
        <v>11311</v>
      </c>
      <c r="H1768" s="5" t="s">
        <v>11312</v>
      </c>
      <c r="I1768" s="5"/>
      <c r="J1768" s="12">
        <v>46076</v>
      </c>
      <c r="K1768" s="11">
        <v>0.45763888888905058</v>
      </c>
      <c r="M1768" s="10" t="s">
        <v>15585</v>
      </c>
      <c r="N1768" s="12">
        <v>46076.409322870371</v>
      </c>
      <c r="O1768" s="10" t="s">
        <v>15162</v>
      </c>
      <c r="P1768" s="5" t="s">
        <v>14571</v>
      </c>
      <c r="Q1768" s="5" t="s">
        <v>14578</v>
      </c>
      <c r="R1768" s="5" t="s">
        <v>18763</v>
      </c>
      <c r="T1768" s="5" t="s">
        <v>5994</v>
      </c>
      <c r="U1768" s="5" t="s">
        <v>14775</v>
      </c>
      <c r="V1768" s="5" t="s">
        <v>67</v>
      </c>
      <c r="W1768" s="5"/>
    </row>
    <row r="1769" spans="1:23" ht="12.5">
      <c r="A1769" s="5">
        <v>92276</v>
      </c>
      <c r="B1769" s="5" t="s">
        <v>18764</v>
      </c>
      <c r="C1769" s="5">
        <f>573148449075</f>
        <v>573148449075</v>
      </c>
      <c r="D1769" s="5">
        <v>29</v>
      </c>
      <c r="E1769" s="5" t="s">
        <v>309</v>
      </c>
      <c r="F1769" s="5" t="s">
        <v>448</v>
      </c>
      <c r="G1769" s="5" t="s">
        <v>11305</v>
      </c>
      <c r="H1769" s="5" t="s">
        <v>11306</v>
      </c>
      <c r="I1769" s="5">
        <v>3135580625</v>
      </c>
      <c r="J1769" s="12">
        <v>46076</v>
      </c>
      <c r="K1769" s="11">
        <v>0</v>
      </c>
      <c r="M1769" s="5">
        <v>103000</v>
      </c>
      <c r="N1769" s="12">
        <v>46076.409322870371</v>
      </c>
      <c r="O1769" s="7">
        <v>0.41805555555555557</v>
      </c>
      <c r="P1769" s="5" t="s">
        <v>14571</v>
      </c>
      <c r="Q1769" s="5" t="s">
        <v>14578</v>
      </c>
      <c r="R1769" s="5" t="s">
        <v>18763</v>
      </c>
      <c r="T1769" s="5" t="s">
        <v>5994</v>
      </c>
      <c r="U1769" s="5" t="s">
        <v>14580</v>
      </c>
      <c r="V1769" s="5" t="s">
        <v>1937</v>
      </c>
      <c r="W1769" s="5"/>
    </row>
    <row r="1770" spans="1:23" ht="12.5">
      <c r="A1770" s="5">
        <v>92280</v>
      </c>
      <c r="B1770" s="5" t="s">
        <v>18765</v>
      </c>
      <c r="C1770" s="5">
        <v>573208825940</v>
      </c>
      <c r="D1770" s="5">
        <v>31</v>
      </c>
      <c r="E1770" s="5" t="s">
        <v>375</v>
      </c>
      <c r="F1770" s="5" t="s">
        <v>33</v>
      </c>
      <c r="G1770" s="5" t="s">
        <v>11323</v>
      </c>
      <c r="H1770" s="5" t="s">
        <v>34</v>
      </c>
      <c r="I1770" s="5">
        <v>3208825940</v>
      </c>
      <c r="J1770" s="12">
        <v>46076</v>
      </c>
      <c r="K1770" s="11">
        <v>0</v>
      </c>
      <c r="M1770" s="10" t="s">
        <v>14585</v>
      </c>
      <c r="N1770" s="12">
        <v>46076.431741342589</v>
      </c>
      <c r="O1770" s="10" t="s">
        <v>14762</v>
      </c>
      <c r="P1770" s="5" t="s">
        <v>14571</v>
      </c>
      <c r="Q1770" s="5" t="s">
        <v>14572</v>
      </c>
      <c r="R1770" s="5" t="s">
        <v>18766</v>
      </c>
      <c r="T1770" s="5" t="s">
        <v>14574</v>
      </c>
      <c r="U1770" s="5" t="s">
        <v>33</v>
      </c>
      <c r="V1770" s="5" t="s">
        <v>1481</v>
      </c>
      <c r="W1770" s="5" t="s">
        <v>11326</v>
      </c>
    </row>
    <row r="1771" spans="1:23" ht="12.5">
      <c r="A1771" s="5">
        <v>92281</v>
      </c>
      <c r="B1771" s="5" t="s">
        <v>11291</v>
      </c>
      <c r="C1771" s="10" t="s">
        <v>18767</v>
      </c>
      <c r="D1771" s="5">
        <v>52</v>
      </c>
      <c r="E1771" s="5" t="s">
        <v>178</v>
      </c>
      <c r="F1771" s="5" t="s">
        <v>33</v>
      </c>
      <c r="G1771" s="5" t="s">
        <v>11291</v>
      </c>
      <c r="H1771" s="5" t="s">
        <v>34</v>
      </c>
      <c r="I1771" s="5">
        <v>3163044463</v>
      </c>
      <c r="J1771" s="12">
        <v>46076</v>
      </c>
      <c r="K1771" s="11">
        <v>0</v>
      </c>
      <c r="M1771" s="10" t="s">
        <v>15161</v>
      </c>
      <c r="N1771" s="12">
        <v>46076</v>
      </c>
      <c r="O1771" s="10" t="s">
        <v>14654</v>
      </c>
      <c r="P1771" s="5" t="s">
        <v>14571</v>
      </c>
      <c r="Q1771" s="5" t="s">
        <v>14578</v>
      </c>
      <c r="R1771" s="5" t="s">
        <v>18768</v>
      </c>
      <c r="T1771" s="5" t="s">
        <v>14574</v>
      </c>
      <c r="U1771" s="5" t="s">
        <v>33</v>
      </c>
      <c r="V1771" s="5" t="s">
        <v>37</v>
      </c>
      <c r="W1771" s="5" t="s">
        <v>11332</v>
      </c>
    </row>
    <row r="1772" spans="1:23" ht="12.5">
      <c r="A1772" s="5">
        <v>92282</v>
      </c>
      <c r="B1772" s="5" t="s">
        <v>11334</v>
      </c>
      <c r="C1772" s="5">
        <v>573205490024</v>
      </c>
      <c r="D1772" s="5">
        <v>56</v>
      </c>
      <c r="E1772" s="5" t="s">
        <v>1102</v>
      </c>
      <c r="F1772" s="5" t="s">
        <v>33</v>
      </c>
      <c r="G1772" s="5" t="s">
        <v>11334</v>
      </c>
      <c r="H1772" s="5" t="s">
        <v>34</v>
      </c>
      <c r="I1772" s="5">
        <v>3205490024</v>
      </c>
      <c r="J1772" s="12">
        <v>46076</v>
      </c>
      <c r="K1772" s="11">
        <v>0</v>
      </c>
      <c r="M1772" s="10" t="s">
        <v>14569</v>
      </c>
      <c r="N1772" s="12">
        <v>46076.458250254625</v>
      </c>
      <c r="O1772" s="10" t="s">
        <v>14650</v>
      </c>
      <c r="P1772" s="5" t="s">
        <v>14571</v>
      </c>
      <c r="Q1772" s="5" t="s">
        <v>14612</v>
      </c>
      <c r="R1772" s="5" t="s">
        <v>18769</v>
      </c>
      <c r="T1772" s="5" t="s">
        <v>14574</v>
      </c>
      <c r="U1772" s="5" t="s">
        <v>33</v>
      </c>
      <c r="V1772" s="5" t="s">
        <v>37</v>
      </c>
      <c r="W1772" s="5" t="s">
        <v>11335</v>
      </c>
    </row>
    <row r="1773" spans="1:23" ht="12.5">
      <c r="A1773" s="5">
        <v>92283</v>
      </c>
      <c r="B1773" s="5" t="s">
        <v>18770</v>
      </c>
      <c r="C1773" s="5">
        <v>573008420384</v>
      </c>
      <c r="D1773" s="5">
        <v>44</v>
      </c>
      <c r="E1773" s="5" t="s">
        <v>1111</v>
      </c>
      <c r="F1773" s="5" t="s">
        <v>63</v>
      </c>
      <c r="G1773" s="5" t="s">
        <v>11327</v>
      </c>
      <c r="H1773" s="5" t="s">
        <v>11328</v>
      </c>
      <c r="I1773" s="5">
        <v>3008420384</v>
      </c>
      <c r="J1773" s="12">
        <v>46076</v>
      </c>
      <c r="K1773" s="11">
        <v>0</v>
      </c>
      <c r="M1773" s="10" t="s">
        <v>16696</v>
      </c>
      <c r="N1773" s="12">
        <v>46076.450755983795</v>
      </c>
      <c r="O1773" s="10" t="s">
        <v>15506</v>
      </c>
      <c r="P1773" s="5" t="s">
        <v>14571</v>
      </c>
      <c r="Q1773" s="5" t="s">
        <v>14572</v>
      </c>
      <c r="R1773" s="5" t="s">
        <v>18771</v>
      </c>
      <c r="T1773" s="5" t="s">
        <v>5994</v>
      </c>
      <c r="U1773" s="5" t="s">
        <v>14598</v>
      </c>
      <c r="V1773" s="5" t="s">
        <v>67</v>
      </c>
      <c r="W1773" s="5" t="s">
        <v>11309</v>
      </c>
    </row>
    <row r="1774" spans="1:23" ht="12.5">
      <c r="A1774" s="5">
        <v>92284</v>
      </c>
      <c r="B1774" s="5" t="s">
        <v>18772</v>
      </c>
      <c r="C1774" s="5">
        <v>573007013138</v>
      </c>
      <c r="D1774" s="5" t="s">
        <v>14589</v>
      </c>
      <c r="E1774" s="5" t="s">
        <v>11346</v>
      </c>
      <c r="F1774" s="5" t="s">
        <v>73</v>
      </c>
      <c r="G1774" s="5" t="s">
        <v>11344</v>
      </c>
      <c r="H1774" s="5" t="s">
        <v>18773</v>
      </c>
      <c r="I1774" s="5">
        <v>3222541674</v>
      </c>
      <c r="J1774" s="12">
        <v>46076</v>
      </c>
      <c r="K1774" s="11">
        <v>0</v>
      </c>
      <c r="M1774" s="10" t="s">
        <v>15785</v>
      </c>
      <c r="N1774" s="12">
        <v>46076.465665740739</v>
      </c>
      <c r="O1774" s="10" t="s">
        <v>15768</v>
      </c>
      <c r="P1774" s="5" t="s">
        <v>14571</v>
      </c>
      <c r="Q1774" s="5" t="s">
        <v>14612</v>
      </c>
      <c r="R1774" s="5" t="s">
        <v>18774</v>
      </c>
      <c r="T1774" s="5" t="s">
        <v>5994</v>
      </c>
      <c r="U1774" s="5" t="s">
        <v>14593</v>
      </c>
      <c r="V1774" s="5" t="s">
        <v>1481</v>
      </c>
      <c r="W1774" s="5"/>
    </row>
    <row r="1775" spans="1:23" ht="12.5">
      <c r="A1775" s="5">
        <v>92285</v>
      </c>
      <c r="B1775" s="5" t="s">
        <v>11354</v>
      </c>
      <c r="C1775" s="5">
        <v>573153325830</v>
      </c>
      <c r="D1775" s="5">
        <v>95</v>
      </c>
      <c r="E1775" s="5" t="s">
        <v>42</v>
      </c>
      <c r="F1775" s="5" t="s">
        <v>33</v>
      </c>
      <c r="G1775" s="5" t="s">
        <v>11354</v>
      </c>
      <c r="H1775" s="5" t="s">
        <v>11355</v>
      </c>
      <c r="I1775" s="5">
        <v>3153325830</v>
      </c>
      <c r="J1775" s="12">
        <v>46076</v>
      </c>
      <c r="K1775" s="11">
        <v>0.375</v>
      </c>
      <c r="M1775" s="10" t="s">
        <v>18775</v>
      </c>
      <c r="N1775" s="12">
        <v>46088</v>
      </c>
      <c r="O1775" s="10" t="s">
        <v>15041</v>
      </c>
      <c r="P1775" s="5" t="s">
        <v>14571</v>
      </c>
      <c r="Q1775" s="5"/>
      <c r="R1775" s="5" t="s">
        <v>18776</v>
      </c>
      <c r="T1775" s="5" t="s">
        <v>14574</v>
      </c>
      <c r="U1775" s="5" t="s">
        <v>33</v>
      </c>
      <c r="V1775" s="5" t="s">
        <v>196</v>
      </c>
      <c r="W1775" s="5" t="s">
        <v>11356</v>
      </c>
    </row>
    <row r="1776" spans="1:23" ht="12.5">
      <c r="A1776" s="5">
        <v>92286</v>
      </c>
      <c r="B1776" s="5" t="s">
        <v>18777</v>
      </c>
      <c r="C1776" s="5">
        <v>573156186703</v>
      </c>
      <c r="D1776" s="5">
        <v>50</v>
      </c>
      <c r="E1776" s="5" t="s">
        <v>347</v>
      </c>
      <c r="F1776" s="5" t="s">
        <v>63</v>
      </c>
      <c r="G1776" s="5" t="s">
        <v>11357</v>
      </c>
      <c r="H1776" s="5" t="s">
        <v>11358</v>
      </c>
      <c r="I1776" s="5">
        <v>3205096694</v>
      </c>
      <c r="J1776" s="12">
        <v>46076</v>
      </c>
      <c r="K1776" s="11">
        <v>0</v>
      </c>
      <c r="M1776" s="10" t="s">
        <v>17945</v>
      </c>
      <c r="N1776" s="12">
        <v>46076.516984953705</v>
      </c>
      <c r="O1776" s="10" t="s">
        <v>15853</v>
      </c>
      <c r="P1776" s="5" t="s">
        <v>14571</v>
      </c>
      <c r="Q1776" s="5" t="s">
        <v>14572</v>
      </c>
      <c r="R1776" s="5" t="s">
        <v>18778</v>
      </c>
      <c r="T1776" s="5" t="s">
        <v>5994</v>
      </c>
      <c r="U1776" s="5" t="s">
        <v>14598</v>
      </c>
      <c r="V1776" s="5" t="s">
        <v>67</v>
      </c>
      <c r="W1776" s="5"/>
    </row>
    <row r="1777" spans="1:23" ht="12.5">
      <c r="A1777" s="5">
        <v>92287</v>
      </c>
      <c r="B1777" s="5" t="s">
        <v>18779</v>
      </c>
      <c r="C1777" s="5">
        <v>573017692214</v>
      </c>
      <c r="D1777" s="5">
        <v>95</v>
      </c>
      <c r="E1777" s="5" t="s">
        <v>42</v>
      </c>
      <c r="F1777" s="5" t="s">
        <v>63</v>
      </c>
      <c r="G1777" s="5" t="s">
        <v>11368</v>
      </c>
      <c r="H1777" s="5" t="s">
        <v>11369</v>
      </c>
      <c r="I1777" s="5">
        <v>3017692214</v>
      </c>
      <c r="J1777" s="12">
        <v>46076</v>
      </c>
      <c r="K1777" s="11">
        <v>0</v>
      </c>
      <c r="M1777" s="10" t="s">
        <v>18780</v>
      </c>
      <c r="N1777" s="12">
        <v>46076.520549027773</v>
      </c>
      <c r="O1777" s="10" t="s">
        <v>14738</v>
      </c>
      <c r="P1777" s="5" t="s">
        <v>14571</v>
      </c>
      <c r="Q1777" s="5" t="s">
        <v>14572</v>
      </c>
      <c r="R1777" s="5" t="s">
        <v>18781</v>
      </c>
      <c r="T1777" s="5" t="s">
        <v>5994</v>
      </c>
      <c r="U1777" s="5" t="s">
        <v>14598</v>
      </c>
      <c r="V1777" s="5" t="s">
        <v>67</v>
      </c>
      <c r="W1777" s="5" t="s">
        <v>11371</v>
      </c>
    </row>
    <row r="1778" spans="1:23" ht="12.5">
      <c r="A1778" s="5">
        <v>92288</v>
      </c>
      <c r="B1778" s="5" t="s">
        <v>18782</v>
      </c>
      <c r="C1778" s="5">
        <v>16476753372</v>
      </c>
      <c r="D1778" s="5">
        <v>32</v>
      </c>
      <c r="E1778" s="5" t="s">
        <v>65</v>
      </c>
      <c r="F1778" s="5" t="s">
        <v>185</v>
      </c>
      <c r="G1778" s="5" t="s">
        <v>11349</v>
      </c>
      <c r="H1778" s="5" t="s">
        <v>11350</v>
      </c>
      <c r="I1778" s="5">
        <v>16476753372</v>
      </c>
      <c r="J1778" s="12">
        <v>46076</v>
      </c>
      <c r="K1778" s="11">
        <v>0.54166666666787933</v>
      </c>
      <c r="M1778" s="10" t="s">
        <v>14850</v>
      </c>
      <c r="N1778" s="12">
        <v>46076.469160983797</v>
      </c>
      <c r="O1778" s="10" t="s">
        <v>14738</v>
      </c>
      <c r="P1778" s="5" t="s">
        <v>14571</v>
      </c>
      <c r="Q1778" s="5" t="s">
        <v>14572</v>
      </c>
      <c r="R1778" s="5" t="s">
        <v>18783</v>
      </c>
      <c r="T1778" s="5" t="s">
        <v>5994</v>
      </c>
      <c r="U1778" s="5" t="s">
        <v>14580</v>
      </c>
      <c r="V1778" s="5" t="s">
        <v>67</v>
      </c>
      <c r="W1778" s="5"/>
    </row>
    <row r="1779" spans="1:23" ht="12.5">
      <c r="A1779" s="5">
        <v>92289</v>
      </c>
      <c r="B1779" s="5" t="s">
        <v>18784</v>
      </c>
      <c r="C1779" s="5">
        <v>573104998328</v>
      </c>
      <c r="D1779" s="5">
        <v>95</v>
      </c>
      <c r="E1779" s="5" t="s">
        <v>42</v>
      </c>
      <c r="F1779" s="5" t="s">
        <v>11361</v>
      </c>
      <c r="G1779" s="5" t="s">
        <v>11360</v>
      </c>
      <c r="H1779" s="5" t="s">
        <v>11362</v>
      </c>
      <c r="I1779" s="5"/>
      <c r="J1779" s="12">
        <v>46076</v>
      </c>
      <c r="K1779" s="11">
        <v>0.57638888889050577</v>
      </c>
      <c r="M1779" s="10" t="s">
        <v>14649</v>
      </c>
      <c r="N1779" s="12">
        <v>46076.52033511574</v>
      </c>
      <c r="O1779" s="10" t="s">
        <v>15131</v>
      </c>
      <c r="P1779" s="5" t="s">
        <v>14571</v>
      </c>
      <c r="Q1779" s="5" t="s">
        <v>14578</v>
      </c>
      <c r="R1779" s="5" t="s">
        <v>18785</v>
      </c>
      <c r="T1779" s="5" t="s">
        <v>5994</v>
      </c>
      <c r="U1779" s="5" t="s">
        <v>18786</v>
      </c>
      <c r="V1779" s="5" t="s">
        <v>180</v>
      </c>
      <c r="W1779" s="5" t="s">
        <v>11365</v>
      </c>
    </row>
    <row r="1780" spans="1:23" ht="12.5">
      <c r="A1780" s="5">
        <v>92290</v>
      </c>
      <c r="B1780" s="5" t="s">
        <v>18787</v>
      </c>
      <c r="C1780" s="5">
        <v>573167450996</v>
      </c>
      <c r="D1780" s="5">
        <v>29</v>
      </c>
      <c r="E1780" s="5" t="s">
        <v>309</v>
      </c>
      <c r="F1780" s="5" t="s">
        <v>1921</v>
      </c>
      <c r="G1780" s="5" t="s">
        <v>11374</v>
      </c>
      <c r="H1780" s="5" t="s">
        <v>11375</v>
      </c>
      <c r="I1780" s="5">
        <v>3167450996</v>
      </c>
      <c r="J1780" s="12">
        <v>46078</v>
      </c>
      <c r="K1780" s="11">
        <v>0.375</v>
      </c>
      <c r="M1780" s="10" t="s">
        <v>14899</v>
      </c>
      <c r="N1780" s="12">
        <v>46076.561325949078</v>
      </c>
      <c r="O1780" s="10" t="s">
        <v>15390</v>
      </c>
      <c r="P1780" s="5" t="s">
        <v>14571</v>
      </c>
      <c r="Q1780" s="5" t="s">
        <v>14578</v>
      </c>
      <c r="R1780" s="5" t="s">
        <v>18788</v>
      </c>
      <c r="T1780" s="5" t="s">
        <v>5994</v>
      </c>
      <c r="U1780" s="5" t="s">
        <v>14580</v>
      </c>
      <c r="V1780" s="5" t="s">
        <v>1937</v>
      </c>
      <c r="W1780" s="5"/>
    </row>
    <row r="1781" spans="1:23" ht="12.5">
      <c r="A1781" s="5">
        <v>92291</v>
      </c>
      <c r="B1781" s="5" t="s">
        <v>11378</v>
      </c>
      <c r="C1781" s="5">
        <v>573008070954</v>
      </c>
      <c r="D1781" s="5">
        <v>95</v>
      </c>
      <c r="E1781" s="5" t="s">
        <v>42</v>
      </c>
      <c r="F1781" s="5" t="s">
        <v>33</v>
      </c>
      <c r="G1781" s="5" t="s">
        <v>11378</v>
      </c>
      <c r="H1781" s="5" t="s">
        <v>34</v>
      </c>
      <c r="I1781" s="5">
        <v>3008070954</v>
      </c>
      <c r="J1781" s="12">
        <v>46076</v>
      </c>
      <c r="K1781" s="11">
        <v>0.6875</v>
      </c>
      <c r="M1781" s="10" t="s">
        <v>15308</v>
      </c>
      <c r="N1781" s="12">
        <v>46076.587479340276</v>
      </c>
      <c r="O1781" s="10" t="s">
        <v>17531</v>
      </c>
      <c r="P1781" s="5" t="s">
        <v>14571</v>
      </c>
      <c r="Q1781" s="5" t="s">
        <v>14572</v>
      </c>
      <c r="R1781" s="5" t="s">
        <v>18789</v>
      </c>
      <c r="T1781" s="5" t="s">
        <v>14574</v>
      </c>
      <c r="U1781" s="5" t="s">
        <v>33</v>
      </c>
      <c r="V1781" s="5" t="s">
        <v>1937</v>
      </c>
      <c r="W1781" s="5" t="s">
        <v>11380</v>
      </c>
    </row>
    <row r="1782" spans="1:23" ht="12.5">
      <c r="A1782" s="5">
        <v>92292</v>
      </c>
      <c r="B1782" s="5" t="s">
        <v>11382</v>
      </c>
      <c r="C1782" s="5">
        <v>570000</v>
      </c>
      <c r="D1782" s="5">
        <v>52</v>
      </c>
      <c r="E1782" s="5" t="s">
        <v>178</v>
      </c>
      <c r="F1782" s="5" t="s">
        <v>33</v>
      </c>
      <c r="G1782" s="5" t="s">
        <v>11382</v>
      </c>
      <c r="H1782" s="5" t="s">
        <v>34</v>
      </c>
      <c r="I1782" s="5"/>
      <c r="J1782" s="12">
        <v>46076</v>
      </c>
      <c r="K1782" s="11">
        <v>0</v>
      </c>
      <c r="M1782" s="10" t="s">
        <v>15161</v>
      </c>
      <c r="N1782" s="12">
        <v>46076.61518256944</v>
      </c>
      <c r="O1782" s="10" t="s">
        <v>14954</v>
      </c>
      <c r="P1782" s="5" t="s">
        <v>14571</v>
      </c>
      <c r="Q1782" s="5" t="s">
        <v>14578</v>
      </c>
      <c r="R1782" s="5" t="s">
        <v>18790</v>
      </c>
      <c r="T1782" s="5" t="s">
        <v>14574</v>
      </c>
      <c r="U1782" s="5" t="s">
        <v>33</v>
      </c>
      <c r="V1782" s="5" t="s">
        <v>37</v>
      </c>
      <c r="W1782" s="5" t="s">
        <v>11383</v>
      </c>
    </row>
    <row r="1783" spans="1:23" ht="12.5">
      <c r="A1783" s="5">
        <v>92293</v>
      </c>
      <c r="B1783" s="5" t="s">
        <v>18791</v>
      </c>
      <c r="C1783" s="10" t="s">
        <v>18792</v>
      </c>
      <c r="D1783" s="5">
        <v>31</v>
      </c>
      <c r="E1783" s="5" t="s">
        <v>375</v>
      </c>
      <c r="F1783" s="5" t="s">
        <v>307</v>
      </c>
      <c r="G1783" s="5" t="s">
        <v>11386</v>
      </c>
      <c r="H1783" s="5" t="s">
        <v>11387</v>
      </c>
      <c r="I1783" s="5" t="s">
        <v>15231</v>
      </c>
      <c r="J1783" s="12">
        <v>46076</v>
      </c>
      <c r="K1783" s="11">
        <v>0</v>
      </c>
      <c r="M1783" s="10" t="s">
        <v>14627</v>
      </c>
      <c r="N1783" s="12">
        <v>46076</v>
      </c>
      <c r="O1783" s="10" t="s">
        <v>15243</v>
      </c>
      <c r="P1783" s="5" t="s">
        <v>14571</v>
      </c>
      <c r="Q1783" s="5" t="s">
        <v>14572</v>
      </c>
      <c r="R1783" s="5" t="s">
        <v>18793</v>
      </c>
      <c r="T1783" s="5" t="s">
        <v>5994</v>
      </c>
      <c r="U1783" s="5" t="s">
        <v>14618</v>
      </c>
      <c r="V1783" s="5" t="s">
        <v>67</v>
      </c>
      <c r="W1783" s="5"/>
    </row>
    <row r="1784" spans="1:23" ht="12.5">
      <c r="A1784" s="5">
        <v>92294</v>
      </c>
      <c r="B1784" s="5" t="s">
        <v>2150</v>
      </c>
      <c r="C1784" s="5">
        <v>573012394343</v>
      </c>
      <c r="D1784" s="5">
        <v>95</v>
      </c>
      <c r="E1784" s="5" t="s">
        <v>42</v>
      </c>
      <c r="F1784" s="5" t="s">
        <v>33</v>
      </c>
      <c r="G1784" s="5" t="s">
        <v>2150</v>
      </c>
      <c r="H1784" s="5" t="s">
        <v>34</v>
      </c>
      <c r="I1784" s="5">
        <v>3012394343</v>
      </c>
      <c r="J1784" s="12">
        <v>46076</v>
      </c>
      <c r="K1784" s="11">
        <v>0</v>
      </c>
      <c r="M1784" s="10" t="s">
        <v>14585</v>
      </c>
      <c r="N1784" s="12">
        <v>46076.628691458332</v>
      </c>
      <c r="O1784" s="10" t="s">
        <v>15556</v>
      </c>
      <c r="P1784" s="5" t="s">
        <v>14571</v>
      </c>
      <c r="Q1784" s="5" t="s">
        <v>14612</v>
      </c>
      <c r="R1784" s="5" t="s">
        <v>18794</v>
      </c>
      <c r="T1784" s="5" t="s">
        <v>14574</v>
      </c>
      <c r="U1784" s="5" t="s">
        <v>33</v>
      </c>
      <c r="V1784" s="5" t="s">
        <v>43</v>
      </c>
      <c r="W1784" s="5"/>
    </row>
    <row r="1785" spans="1:23" ht="12.5">
      <c r="A1785" s="5">
        <v>92295</v>
      </c>
      <c r="B1785" s="5" t="s">
        <v>11391</v>
      </c>
      <c r="C1785" s="5">
        <v>573174274050</v>
      </c>
      <c r="D1785" s="5">
        <v>52</v>
      </c>
      <c r="E1785" s="5" t="s">
        <v>178</v>
      </c>
      <c r="F1785" s="5" t="s">
        <v>33</v>
      </c>
      <c r="G1785" s="5" t="s">
        <v>11391</v>
      </c>
      <c r="H1785" s="5" t="s">
        <v>34</v>
      </c>
      <c r="I1785" s="5">
        <v>3174274050</v>
      </c>
      <c r="J1785" s="12">
        <v>46076</v>
      </c>
      <c r="K1785" s="11">
        <v>0</v>
      </c>
      <c r="M1785" s="10" t="s">
        <v>15161</v>
      </c>
      <c r="N1785" s="12">
        <v>46076.640225138894</v>
      </c>
      <c r="O1785" s="10" t="s">
        <v>17262</v>
      </c>
      <c r="P1785" s="5" t="s">
        <v>14571</v>
      </c>
      <c r="Q1785" s="5" t="s">
        <v>14612</v>
      </c>
      <c r="R1785" s="5" t="s">
        <v>18795</v>
      </c>
      <c r="T1785" s="5" t="s">
        <v>14574</v>
      </c>
      <c r="U1785" s="5" t="s">
        <v>33</v>
      </c>
      <c r="V1785" s="5" t="s">
        <v>37</v>
      </c>
      <c r="W1785" s="5" t="s">
        <v>11392</v>
      </c>
    </row>
    <row r="1786" spans="1:23" ht="12.5">
      <c r="A1786" s="5">
        <v>92296</v>
      </c>
      <c r="B1786" s="5" t="s">
        <v>18796</v>
      </c>
      <c r="C1786" s="5">
        <v>17864403758</v>
      </c>
      <c r="D1786" s="5">
        <v>20</v>
      </c>
      <c r="E1786" s="5" t="s">
        <v>187</v>
      </c>
      <c r="F1786" s="5" t="s">
        <v>161</v>
      </c>
      <c r="G1786" s="5" t="s">
        <v>11338</v>
      </c>
      <c r="H1786" s="5" t="s">
        <v>11339</v>
      </c>
      <c r="I1786" s="5" t="s">
        <v>15231</v>
      </c>
      <c r="J1786" s="12">
        <v>46076</v>
      </c>
      <c r="K1786" s="11">
        <v>0</v>
      </c>
      <c r="M1786" s="10" t="s">
        <v>14890</v>
      </c>
      <c r="N1786" s="12">
        <v>46076.459069432865</v>
      </c>
      <c r="O1786" s="10" t="s">
        <v>15054</v>
      </c>
      <c r="P1786" s="5" t="s">
        <v>14571</v>
      </c>
      <c r="Q1786" s="5" t="s">
        <v>14578</v>
      </c>
      <c r="R1786" s="5" t="s">
        <v>18797</v>
      </c>
      <c r="T1786" s="5" t="s">
        <v>5994</v>
      </c>
      <c r="U1786" s="5" t="s">
        <v>14593</v>
      </c>
      <c r="V1786" s="5" t="s">
        <v>1937</v>
      </c>
      <c r="W1786" s="5" t="s">
        <v>11342</v>
      </c>
    </row>
    <row r="1787" spans="1:23" ht="12.5">
      <c r="A1787" s="5">
        <v>92297</v>
      </c>
      <c r="B1787" s="5" t="s">
        <v>11394</v>
      </c>
      <c r="C1787" s="5">
        <v>573106717101</v>
      </c>
      <c r="D1787" s="5">
        <v>52</v>
      </c>
      <c r="E1787" s="5" t="s">
        <v>178</v>
      </c>
      <c r="F1787" s="5" t="s">
        <v>33</v>
      </c>
      <c r="G1787" s="5" t="s">
        <v>11394</v>
      </c>
      <c r="H1787" s="5" t="s">
        <v>34</v>
      </c>
      <c r="I1787" s="5">
        <v>3106717101</v>
      </c>
      <c r="J1787" s="12">
        <v>46076</v>
      </c>
      <c r="K1787" s="11">
        <v>0</v>
      </c>
      <c r="M1787" s="10" t="s">
        <v>15161</v>
      </c>
      <c r="N1787" s="12">
        <v>46076.682292500001</v>
      </c>
      <c r="O1787" s="10" t="s">
        <v>18798</v>
      </c>
      <c r="P1787" s="5" t="s">
        <v>14571</v>
      </c>
      <c r="Q1787" s="5" t="s">
        <v>14572</v>
      </c>
      <c r="R1787" s="5" t="s">
        <v>18799</v>
      </c>
      <c r="T1787" s="5" t="s">
        <v>14574</v>
      </c>
      <c r="U1787" s="5" t="s">
        <v>33</v>
      </c>
      <c r="V1787" s="5" t="s">
        <v>1705</v>
      </c>
      <c r="W1787" s="5"/>
    </row>
    <row r="1788" spans="1:23" ht="12.5">
      <c r="A1788" s="5">
        <v>92298</v>
      </c>
      <c r="B1788" s="5" t="s">
        <v>11397</v>
      </c>
      <c r="C1788" s="5">
        <v>573205423436</v>
      </c>
      <c r="D1788" s="5">
        <v>52</v>
      </c>
      <c r="E1788" s="5" t="s">
        <v>178</v>
      </c>
      <c r="F1788" s="5" t="s">
        <v>33</v>
      </c>
      <c r="G1788" s="5" t="s">
        <v>11397</v>
      </c>
      <c r="H1788" s="5" t="s">
        <v>34</v>
      </c>
      <c r="I1788" s="5">
        <v>3205423436</v>
      </c>
      <c r="J1788" s="12">
        <v>46076</v>
      </c>
      <c r="K1788" s="11">
        <v>0</v>
      </c>
      <c r="M1788" s="10" t="s">
        <v>15161</v>
      </c>
      <c r="N1788" s="12">
        <v>46076.697236990745</v>
      </c>
      <c r="O1788" s="10" t="s">
        <v>15353</v>
      </c>
      <c r="P1788" s="5" t="s">
        <v>14571</v>
      </c>
      <c r="Q1788" s="5"/>
      <c r="R1788" s="5" t="s">
        <v>18800</v>
      </c>
      <c r="T1788" s="5" t="s">
        <v>14574</v>
      </c>
      <c r="U1788" s="5" t="s">
        <v>33</v>
      </c>
      <c r="V1788" s="5" t="s">
        <v>1705</v>
      </c>
      <c r="W1788" s="5"/>
    </row>
    <row r="1789" spans="1:23" ht="12.5">
      <c r="A1789" s="5">
        <v>92299</v>
      </c>
      <c r="B1789" s="5" t="s">
        <v>1988</v>
      </c>
      <c r="C1789" s="5">
        <v>573006686900</v>
      </c>
      <c r="D1789" s="5">
        <v>52</v>
      </c>
      <c r="E1789" s="5" t="s">
        <v>178</v>
      </c>
      <c r="F1789" s="5" t="s">
        <v>33</v>
      </c>
      <c r="G1789" s="5" t="s">
        <v>1988</v>
      </c>
      <c r="H1789" s="5" t="s">
        <v>34</v>
      </c>
      <c r="I1789" s="5">
        <v>3006686900</v>
      </c>
      <c r="J1789" s="12">
        <v>46076</v>
      </c>
      <c r="K1789" s="11">
        <v>0</v>
      </c>
      <c r="M1789" s="10" t="s">
        <v>15161</v>
      </c>
      <c r="N1789" s="12">
        <v>46076.752023287037</v>
      </c>
      <c r="O1789" s="10" t="s">
        <v>15210</v>
      </c>
      <c r="P1789" s="5" t="s">
        <v>14571</v>
      </c>
      <c r="Q1789" s="5" t="s">
        <v>14572</v>
      </c>
      <c r="R1789" s="5" t="s">
        <v>18801</v>
      </c>
      <c r="T1789" s="5" t="s">
        <v>14574</v>
      </c>
      <c r="U1789" s="5" t="s">
        <v>33</v>
      </c>
      <c r="V1789" s="5" t="s">
        <v>1705</v>
      </c>
      <c r="W1789" s="5"/>
    </row>
    <row r="1790" spans="1:23" ht="12.5">
      <c r="A1790" s="5">
        <v>92300</v>
      </c>
      <c r="B1790" s="5" t="s">
        <v>13174</v>
      </c>
      <c r="C1790" s="10" t="s">
        <v>18802</v>
      </c>
      <c r="D1790" s="5">
        <v>95</v>
      </c>
      <c r="E1790" s="5" t="s">
        <v>42</v>
      </c>
      <c r="F1790" s="5" t="s">
        <v>161</v>
      </c>
      <c r="G1790" s="5" t="s">
        <v>11399</v>
      </c>
      <c r="H1790" s="5" t="s">
        <v>11400</v>
      </c>
      <c r="I1790" s="5"/>
      <c r="J1790" s="12">
        <v>46076</v>
      </c>
      <c r="K1790" s="11">
        <v>0</v>
      </c>
      <c r="M1790" s="10" t="s">
        <v>18803</v>
      </c>
      <c r="N1790" s="12">
        <v>46076</v>
      </c>
      <c r="O1790" s="10" t="s">
        <v>16430</v>
      </c>
      <c r="P1790" s="5" t="s">
        <v>14571</v>
      </c>
      <c r="Q1790" s="5" t="s">
        <v>14572</v>
      </c>
      <c r="R1790" s="5" t="s">
        <v>18804</v>
      </c>
      <c r="T1790" s="5" t="s">
        <v>5994</v>
      </c>
      <c r="U1790" s="5" t="s">
        <v>14593</v>
      </c>
      <c r="V1790" s="5" t="s">
        <v>43</v>
      </c>
      <c r="W1790" s="5"/>
    </row>
    <row r="1791" spans="1:23" ht="12.5">
      <c r="A1791" s="5">
        <v>92301</v>
      </c>
      <c r="B1791" s="5" t="s">
        <v>11409</v>
      </c>
      <c r="C1791" s="5">
        <v>570000</v>
      </c>
      <c r="D1791" s="5">
        <v>95</v>
      </c>
      <c r="E1791" s="5" t="s">
        <v>42</v>
      </c>
      <c r="F1791" s="5" t="s">
        <v>33</v>
      </c>
      <c r="G1791" s="5" t="s">
        <v>11409</v>
      </c>
      <c r="H1791" s="5" t="s">
        <v>34</v>
      </c>
      <c r="I1791" s="10" t="s">
        <v>2686</v>
      </c>
      <c r="J1791" s="12">
        <v>46077</v>
      </c>
      <c r="K1791" s="11">
        <v>0</v>
      </c>
      <c r="M1791" s="10" t="s">
        <v>14610</v>
      </c>
      <c r="N1791" s="12">
        <v>46077.333796712963</v>
      </c>
      <c r="O1791" s="10" t="s">
        <v>16098</v>
      </c>
      <c r="P1791" s="5" t="s">
        <v>14571</v>
      </c>
      <c r="Q1791" s="5" t="s">
        <v>14572</v>
      </c>
      <c r="R1791" s="5" t="s">
        <v>18805</v>
      </c>
      <c r="T1791" s="5" t="s">
        <v>14574</v>
      </c>
      <c r="U1791" s="5" t="s">
        <v>33</v>
      </c>
      <c r="V1791" s="5" t="s">
        <v>196</v>
      </c>
    </row>
    <row r="1792" spans="1:23" ht="12.5">
      <c r="A1792" s="5">
        <v>92302</v>
      </c>
      <c r="B1792" s="5" t="s">
        <v>18806</v>
      </c>
      <c r="C1792" s="5">
        <v>573247472483</v>
      </c>
      <c r="D1792" s="5">
        <v>64</v>
      </c>
      <c r="E1792" s="5" t="s">
        <v>133</v>
      </c>
      <c r="F1792" s="5"/>
      <c r="G1792" s="5" t="s">
        <v>11405</v>
      </c>
      <c r="H1792" s="5" t="s">
        <v>11406</v>
      </c>
      <c r="I1792" s="5">
        <v>3247472483</v>
      </c>
      <c r="J1792" s="12">
        <v>46077</v>
      </c>
      <c r="K1792" s="11">
        <v>0.39166666666642413</v>
      </c>
      <c r="M1792" s="10" t="s">
        <v>14646</v>
      </c>
      <c r="N1792" s="12">
        <v>46077.332144409724</v>
      </c>
      <c r="O1792" s="10" t="s">
        <v>16877</v>
      </c>
      <c r="P1792" s="5" t="s">
        <v>14571</v>
      </c>
      <c r="Q1792" s="5" t="s">
        <v>14578</v>
      </c>
      <c r="R1792" s="5" t="s">
        <v>18807</v>
      </c>
      <c r="T1792" s="5" t="s">
        <v>5994</v>
      </c>
      <c r="U1792" s="5"/>
      <c r="V1792" s="5" t="s">
        <v>67</v>
      </c>
      <c r="W1792" s="5"/>
    </row>
    <row r="1793" spans="1:23" ht="12.5">
      <c r="A1793" s="5">
        <v>92303</v>
      </c>
      <c r="B1793" s="5" t="s">
        <v>11418</v>
      </c>
      <c r="C1793" s="5">
        <v>573012368044</v>
      </c>
      <c r="D1793" s="5">
        <v>31</v>
      </c>
      <c r="E1793" s="5" t="s">
        <v>375</v>
      </c>
      <c r="F1793" s="5" t="s">
        <v>33</v>
      </c>
      <c r="G1793" s="5" t="s">
        <v>11418</v>
      </c>
      <c r="H1793" s="5" t="s">
        <v>34</v>
      </c>
      <c r="I1793" s="5">
        <v>3012368044</v>
      </c>
      <c r="J1793" s="12">
        <v>46077</v>
      </c>
      <c r="K1793" s="11">
        <v>0.40972222222262644</v>
      </c>
      <c r="M1793" s="10" t="s">
        <v>14585</v>
      </c>
      <c r="N1793" s="12">
        <v>46077.362519999995</v>
      </c>
      <c r="O1793" s="10" t="s">
        <v>15488</v>
      </c>
      <c r="P1793" s="5" t="s">
        <v>14571</v>
      </c>
      <c r="Q1793" s="5" t="s">
        <v>14578</v>
      </c>
      <c r="R1793" s="5" t="s">
        <v>18808</v>
      </c>
      <c r="T1793" s="5" t="s">
        <v>14574</v>
      </c>
      <c r="U1793" s="5" t="s">
        <v>33</v>
      </c>
      <c r="V1793" s="5" t="s">
        <v>196</v>
      </c>
      <c r="W1793" s="5"/>
    </row>
    <row r="1794" spans="1:23" ht="12.5">
      <c r="A1794" s="5">
        <v>92304</v>
      </c>
      <c r="B1794" s="5" t="s">
        <v>18809</v>
      </c>
      <c r="C1794" s="5">
        <v>573203476161</v>
      </c>
      <c r="D1794" s="5">
        <v>52</v>
      </c>
      <c r="E1794" s="5" t="s">
        <v>178</v>
      </c>
      <c r="F1794" s="5" t="s">
        <v>73</v>
      </c>
      <c r="G1794" s="5" t="s">
        <v>11421</v>
      </c>
      <c r="H1794" s="5" t="s">
        <v>11422</v>
      </c>
      <c r="I1794" s="5">
        <v>3138891870</v>
      </c>
      <c r="J1794" s="12">
        <v>46077</v>
      </c>
      <c r="K1794" s="11">
        <v>0.41666666666787933</v>
      </c>
      <c r="M1794" s="10" t="s">
        <v>15043</v>
      </c>
      <c r="N1794" s="12">
        <v>46077.370829201391</v>
      </c>
      <c r="O1794" s="10" t="s">
        <v>15491</v>
      </c>
      <c r="P1794" s="5" t="s">
        <v>14571</v>
      </c>
      <c r="Q1794" s="5" t="s">
        <v>14578</v>
      </c>
      <c r="R1794" s="5" t="s">
        <v>18810</v>
      </c>
      <c r="T1794" s="5" t="s">
        <v>5994</v>
      </c>
      <c r="U1794" s="5" t="s">
        <v>14593</v>
      </c>
      <c r="V1794" s="5" t="s">
        <v>67</v>
      </c>
      <c r="W1794" s="5"/>
    </row>
    <row r="1795" spans="1:23" ht="12.5">
      <c r="A1795" s="5">
        <v>92306</v>
      </c>
      <c r="B1795" s="5" t="s">
        <v>18811</v>
      </c>
      <c r="C1795" s="5">
        <v>573235601059</v>
      </c>
      <c r="D1795" s="5">
        <v>7</v>
      </c>
      <c r="E1795" s="5" t="s">
        <v>112</v>
      </c>
      <c r="F1795" s="5" t="s">
        <v>73</v>
      </c>
      <c r="G1795" s="5" t="s">
        <v>11412</v>
      </c>
      <c r="H1795" s="5" t="s">
        <v>11413</v>
      </c>
      <c r="I1795" s="5"/>
      <c r="J1795" s="12">
        <v>46077</v>
      </c>
      <c r="K1795" s="11">
        <v>0.41666666666787933</v>
      </c>
      <c r="M1795" s="10" t="s">
        <v>14672</v>
      </c>
      <c r="N1795" s="12">
        <v>46077.340237337965</v>
      </c>
      <c r="O1795" s="10" t="s">
        <v>15416</v>
      </c>
      <c r="P1795" s="5" t="s">
        <v>14571</v>
      </c>
      <c r="Q1795" s="5" t="s">
        <v>14578</v>
      </c>
      <c r="R1795" s="5" t="s">
        <v>18812</v>
      </c>
      <c r="T1795" s="5" t="s">
        <v>5994</v>
      </c>
      <c r="U1795" s="5" t="s">
        <v>14593</v>
      </c>
      <c r="V1795" s="5" t="s">
        <v>196</v>
      </c>
      <c r="W1795" s="5" t="s">
        <v>11416</v>
      </c>
    </row>
    <row r="1796" spans="1:23" ht="12.5">
      <c r="A1796" s="5">
        <v>92307</v>
      </c>
      <c r="B1796" s="5" t="s">
        <v>18813</v>
      </c>
      <c r="C1796" s="5">
        <v>573106301186</v>
      </c>
      <c r="D1796" s="5">
        <v>21</v>
      </c>
      <c r="E1796" s="5" t="s">
        <v>330</v>
      </c>
      <c r="F1796" s="5" t="s">
        <v>161</v>
      </c>
      <c r="G1796" s="5" t="s">
        <v>11438</v>
      </c>
      <c r="H1796" s="5" t="s">
        <v>18814</v>
      </c>
      <c r="I1796" s="5">
        <v>3157128859</v>
      </c>
      <c r="J1796" s="12">
        <v>46080</v>
      </c>
      <c r="K1796" s="11">
        <v>0.33333333333212067</v>
      </c>
      <c r="M1796" s="10" t="s">
        <v>15140</v>
      </c>
      <c r="N1796" s="12">
        <v>46077.398585694449</v>
      </c>
      <c r="O1796" s="10" t="s">
        <v>15165</v>
      </c>
      <c r="P1796" s="5" t="s">
        <v>14571</v>
      </c>
      <c r="Q1796" s="5" t="s">
        <v>14578</v>
      </c>
      <c r="R1796" s="5" t="s">
        <v>18815</v>
      </c>
      <c r="T1796" s="5" t="s">
        <v>5994</v>
      </c>
      <c r="U1796" s="5" t="s">
        <v>14593</v>
      </c>
      <c r="V1796" s="5" t="s">
        <v>67</v>
      </c>
      <c r="W1796" s="5" t="s">
        <v>11442</v>
      </c>
    </row>
    <row r="1797" spans="1:23" ht="12.5">
      <c r="A1797" s="5">
        <v>92308</v>
      </c>
      <c r="B1797" s="5" t="s">
        <v>11460</v>
      </c>
      <c r="C1797" s="5">
        <v>573188135134</v>
      </c>
      <c r="D1797" s="5">
        <v>52</v>
      </c>
      <c r="E1797" s="5" t="s">
        <v>178</v>
      </c>
      <c r="F1797" s="5" t="s">
        <v>33</v>
      </c>
      <c r="G1797" s="5" t="s">
        <v>11460</v>
      </c>
      <c r="H1797" s="5" t="s">
        <v>34</v>
      </c>
      <c r="I1797" s="5">
        <v>3188135134</v>
      </c>
      <c r="J1797" s="12">
        <v>46077</v>
      </c>
      <c r="K1797" s="11">
        <v>0</v>
      </c>
      <c r="M1797" s="10" t="s">
        <v>15161</v>
      </c>
      <c r="N1797" s="12">
        <v>46077.448379444446</v>
      </c>
      <c r="O1797" s="10" t="s">
        <v>18630</v>
      </c>
      <c r="P1797" s="5" t="s">
        <v>14571</v>
      </c>
      <c r="Q1797" s="5" t="s">
        <v>14578</v>
      </c>
      <c r="R1797" s="5" t="s">
        <v>18816</v>
      </c>
      <c r="T1797" s="5" t="s">
        <v>14574</v>
      </c>
      <c r="U1797" s="5" t="s">
        <v>33</v>
      </c>
      <c r="V1797" s="5" t="s">
        <v>43</v>
      </c>
      <c r="W1797" s="5">
        <v>2432219113</v>
      </c>
    </row>
    <row r="1798" spans="1:23" ht="12.5">
      <c r="A1798" s="5">
        <v>92309</v>
      </c>
      <c r="B1798" s="5" t="s">
        <v>18817</v>
      </c>
      <c r="C1798" s="5">
        <v>17816863866</v>
      </c>
      <c r="D1798" s="5">
        <v>31</v>
      </c>
      <c r="E1798" s="5" t="s">
        <v>375</v>
      </c>
      <c r="F1798" s="5" t="s">
        <v>161</v>
      </c>
      <c r="G1798" s="5" t="s">
        <v>11453</v>
      </c>
      <c r="H1798" s="5" t="s">
        <v>11454</v>
      </c>
      <c r="I1798" s="5" t="s">
        <v>15231</v>
      </c>
      <c r="J1798" s="12">
        <v>46077</v>
      </c>
      <c r="K1798" s="11">
        <v>0</v>
      </c>
      <c r="M1798" s="10" t="s">
        <v>14850</v>
      </c>
      <c r="N1798" s="12">
        <v>46077.447144305552</v>
      </c>
      <c r="O1798" s="10" t="s">
        <v>16056</v>
      </c>
      <c r="P1798" s="5" t="s">
        <v>14571</v>
      </c>
      <c r="Q1798" s="5" t="s">
        <v>14572</v>
      </c>
      <c r="R1798" s="5" t="s">
        <v>18818</v>
      </c>
      <c r="T1798" s="5" t="s">
        <v>5994</v>
      </c>
      <c r="U1798" s="5" t="s">
        <v>14593</v>
      </c>
      <c r="V1798" s="5" t="s">
        <v>67</v>
      </c>
      <c r="W1798" s="5" t="s">
        <v>11457</v>
      </c>
    </row>
    <row r="1799" spans="1:23" ht="12.5">
      <c r="A1799" s="5">
        <v>92310</v>
      </c>
      <c r="B1799" s="5" t="s">
        <v>18819</v>
      </c>
      <c r="C1799" s="10" t="s">
        <v>18820</v>
      </c>
      <c r="D1799" s="5">
        <v>5</v>
      </c>
      <c r="E1799" s="5" t="s">
        <v>4021</v>
      </c>
      <c r="F1799" s="5" t="s">
        <v>328</v>
      </c>
      <c r="G1799" s="5" t="s">
        <v>18821</v>
      </c>
      <c r="H1799" s="5" t="s">
        <v>11445</v>
      </c>
      <c r="I1799" s="5">
        <v>3134578463</v>
      </c>
      <c r="J1799" s="12">
        <v>46077</v>
      </c>
      <c r="K1799" s="11">
        <v>0.54166666666666663</v>
      </c>
      <c r="M1799" s="10" t="s">
        <v>16610</v>
      </c>
      <c r="N1799" s="12">
        <v>46077</v>
      </c>
      <c r="O1799" s="10" t="s">
        <v>16700</v>
      </c>
      <c r="P1799" s="5" t="s">
        <v>14571</v>
      </c>
      <c r="Q1799" s="5" t="s">
        <v>14578</v>
      </c>
      <c r="R1799" s="5" t="s">
        <v>18822</v>
      </c>
      <c r="T1799" s="5" t="s">
        <v>5994</v>
      </c>
      <c r="U1799" s="5"/>
      <c r="V1799" s="5" t="s">
        <v>180</v>
      </c>
      <c r="W1799" s="5"/>
    </row>
    <row r="1800" spans="1:23" ht="12.5">
      <c r="A1800" s="5">
        <v>92311</v>
      </c>
      <c r="B1800" s="5" t="s">
        <v>167</v>
      </c>
      <c r="C1800" s="10" t="s">
        <v>18823</v>
      </c>
      <c r="D1800" s="5">
        <v>44</v>
      </c>
      <c r="E1800" s="5" t="s">
        <v>1111</v>
      </c>
      <c r="F1800" s="5" t="s">
        <v>33</v>
      </c>
      <c r="G1800" s="5" t="s">
        <v>167</v>
      </c>
      <c r="H1800" s="5" t="s">
        <v>34</v>
      </c>
      <c r="I1800" s="5">
        <v>3209485304</v>
      </c>
      <c r="J1800" s="12">
        <v>46077</v>
      </c>
      <c r="K1800" s="11">
        <v>0.4861111111111111</v>
      </c>
      <c r="M1800" s="10" t="s">
        <v>14599</v>
      </c>
      <c r="N1800" s="12">
        <v>46077</v>
      </c>
      <c r="O1800" s="10" t="s">
        <v>14886</v>
      </c>
      <c r="P1800" s="5" t="s">
        <v>14571</v>
      </c>
      <c r="Q1800" s="5" t="s">
        <v>14572</v>
      </c>
      <c r="R1800" s="5" t="s">
        <v>18824</v>
      </c>
      <c r="T1800" s="5" t="s">
        <v>14574</v>
      </c>
      <c r="U1800" s="5" t="s">
        <v>33</v>
      </c>
      <c r="V1800" s="5" t="s">
        <v>67</v>
      </c>
      <c r="W1800" s="5"/>
    </row>
    <row r="1801" spans="1:23" ht="12.5">
      <c r="A1801" s="5">
        <v>92312</v>
      </c>
      <c r="B1801" s="5" t="s">
        <v>18782</v>
      </c>
      <c r="C1801" s="5">
        <v>16476753372</v>
      </c>
      <c r="D1801" s="5">
        <v>31</v>
      </c>
      <c r="E1801" s="5" t="s">
        <v>375</v>
      </c>
      <c r="F1801" s="5" t="s">
        <v>185</v>
      </c>
      <c r="G1801" s="5" t="s">
        <v>11349</v>
      </c>
      <c r="H1801" s="5" t="s">
        <v>11350</v>
      </c>
      <c r="I1801" s="5">
        <v>16476753372</v>
      </c>
      <c r="J1801" s="12">
        <v>46077</v>
      </c>
      <c r="K1801" s="11">
        <v>0</v>
      </c>
      <c r="M1801" s="10" t="s">
        <v>14850</v>
      </c>
      <c r="N1801" s="12">
        <v>46077.471648611114</v>
      </c>
      <c r="O1801" s="10" t="s">
        <v>15153</v>
      </c>
      <c r="P1801" s="5" t="s">
        <v>14571</v>
      </c>
      <c r="Q1801" s="5" t="s">
        <v>14572</v>
      </c>
      <c r="R1801" s="5" t="s">
        <v>18825</v>
      </c>
      <c r="T1801" s="5" t="s">
        <v>5994</v>
      </c>
      <c r="U1801" s="5" t="s">
        <v>14580</v>
      </c>
      <c r="V1801" s="5" t="s">
        <v>67</v>
      </c>
      <c r="W1801" s="5"/>
    </row>
    <row r="1802" spans="1:23" ht="12.5">
      <c r="A1802" s="5">
        <v>92313</v>
      </c>
      <c r="B1802" s="5" t="s">
        <v>14888</v>
      </c>
      <c r="C1802" s="5">
        <v>5713053384931</v>
      </c>
      <c r="D1802" s="5">
        <v>61</v>
      </c>
      <c r="E1802" s="5" t="s">
        <v>11470</v>
      </c>
      <c r="F1802" s="5" t="s">
        <v>161</v>
      </c>
      <c r="G1802" s="5" t="s">
        <v>11468</v>
      </c>
      <c r="H1802" s="5" t="s">
        <v>11469</v>
      </c>
      <c r="I1802" s="5"/>
      <c r="J1802" s="12">
        <v>46077</v>
      </c>
      <c r="K1802" s="11">
        <v>0.58333333333212067</v>
      </c>
      <c r="M1802" s="10" t="s">
        <v>14697</v>
      </c>
      <c r="N1802" s="12">
        <v>46077.501046631944</v>
      </c>
      <c r="O1802" s="10" t="s">
        <v>15518</v>
      </c>
      <c r="P1802" s="5" t="s">
        <v>14571</v>
      </c>
      <c r="Q1802" s="5" t="s">
        <v>14578</v>
      </c>
      <c r="R1802" s="5" t="s">
        <v>18826</v>
      </c>
      <c r="T1802" s="5" t="s">
        <v>5994</v>
      </c>
      <c r="U1802" s="5" t="s">
        <v>14593</v>
      </c>
      <c r="V1802" s="5" t="s">
        <v>1937</v>
      </c>
      <c r="W1802" s="5" t="s">
        <v>11472</v>
      </c>
    </row>
    <row r="1803" spans="1:23" ht="12.5">
      <c r="A1803" s="5">
        <v>92314</v>
      </c>
      <c r="B1803" s="5" t="s">
        <v>18827</v>
      </c>
      <c r="C1803" s="5">
        <v>573006749322</v>
      </c>
      <c r="D1803" s="5">
        <v>52</v>
      </c>
      <c r="E1803" s="5" t="s">
        <v>178</v>
      </c>
      <c r="F1803" s="5" t="s">
        <v>6662</v>
      </c>
      <c r="G1803" s="5" t="s">
        <v>11466</v>
      </c>
      <c r="H1803" s="5" t="s">
        <v>18828</v>
      </c>
      <c r="I1803" s="5">
        <v>3006749322</v>
      </c>
      <c r="J1803" s="12">
        <v>46078</v>
      </c>
      <c r="K1803" s="11">
        <v>0.58333333333212067</v>
      </c>
      <c r="M1803" s="10" t="s">
        <v>16408</v>
      </c>
      <c r="N1803" s="12">
        <v>46077.489495324073</v>
      </c>
      <c r="O1803" s="10" t="s">
        <v>15931</v>
      </c>
      <c r="P1803" s="5" t="s">
        <v>14571</v>
      </c>
      <c r="Q1803" s="5" t="s">
        <v>14612</v>
      </c>
      <c r="R1803" s="5" t="s">
        <v>18829</v>
      </c>
      <c r="T1803" s="5" t="s">
        <v>5994</v>
      </c>
      <c r="U1803" s="5" t="s">
        <v>14580</v>
      </c>
      <c r="V1803" s="5" t="s">
        <v>180</v>
      </c>
      <c r="W1803" s="5"/>
    </row>
    <row r="1804" spans="1:23" ht="12.5">
      <c r="A1804" s="5">
        <v>92315</v>
      </c>
      <c r="B1804" s="5" t="s">
        <v>18830</v>
      </c>
      <c r="C1804" s="5">
        <v>5719723332888</v>
      </c>
      <c r="D1804" s="5">
        <v>69</v>
      </c>
      <c r="E1804" s="5" t="s">
        <v>335</v>
      </c>
      <c r="F1804" s="5" t="s">
        <v>10526</v>
      </c>
      <c r="G1804" s="5" t="s">
        <v>11475</v>
      </c>
      <c r="H1804" s="5" t="s">
        <v>11476</v>
      </c>
      <c r="I1804" s="5">
        <v>19723332888</v>
      </c>
      <c r="J1804" s="12">
        <v>46081</v>
      </c>
      <c r="K1804" s="11">
        <v>0.33333333333212067</v>
      </c>
      <c r="M1804" s="10" t="s">
        <v>14960</v>
      </c>
      <c r="N1804" s="12">
        <v>46077.522659965281</v>
      </c>
      <c r="O1804" s="10" t="s">
        <v>18302</v>
      </c>
      <c r="P1804" s="5" t="s">
        <v>14571</v>
      </c>
      <c r="Q1804" s="5" t="s">
        <v>14578</v>
      </c>
      <c r="R1804" s="5" t="s">
        <v>18831</v>
      </c>
      <c r="T1804" s="5" t="s">
        <v>5994</v>
      </c>
      <c r="U1804" s="5" t="s">
        <v>14593</v>
      </c>
      <c r="V1804" s="5" t="s">
        <v>67</v>
      </c>
      <c r="W1804" s="5"/>
    </row>
    <row r="1805" spans="1:23" ht="12.5">
      <c r="A1805" s="5">
        <v>92316</v>
      </c>
      <c r="B1805" s="5" t="s">
        <v>18830</v>
      </c>
      <c r="C1805" s="10" t="s">
        <v>18832</v>
      </c>
      <c r="D1805" s="5">
        <v>70</v>
      </c>
      <c r="E1805" s="5" t="s">
        <v>559</v>
      </c>
      <c r="F1805" s="5" t="s">
        <v>124</v>
      </c>
      <c r="G1805" s="5" t="s">
        <v>11478</v>
      </c>
      <c r="H1805" s="5" t="s">
        <v>11479</v>
      </c>
      <c r="I1805" s="5">
        <v>3044638773</v>
      </c>
      <c r="J1805" s="12">
        <v>46087</v>
      </c>
      <c r="K1805" s="11">
        <v>0.33333333333333331</v>
      </c>
      <c r="M1805" s="10" t="s">
        <v>14770</v>
      </c>
      <c r="N1805" s="12">
        <v>46077</v>
      </c>
      <c r="O1805" s="10" t="s">
        <v>15131</v>
      </c>
      <c r="P1805" s="5" t="s">
        <v>14571</v>
      </c>
      <c r="Q1805" s="5" t="s">
        <v>14572</v>
      </c>
      <c r="R1805" s="5" t="s">
        <v>18833</v>
      </c>
      <c r="T1805" s="5" t="s">
        <v>5994</v>
      </c>
      <c r="U1805" s="5" t="s">
        <v>14775</v>
      </c>
      <c r="V1805" s="5" t="s">
        <v>67</v>
      </c>
      <c r="W1805" s="5"/>
    </row>
    <row r="1806" spans="1:23" ht="12.5">
      <c r="A1806" s="5">
        <v>92317</v>
      </c>
      <c r="B1806" s="5" t="s">
        <v>7626</v>
      </c>
      <c r="C1806" s="10" t="s">
        <v>18834</v>
      </c>
      <c r="D1806" s="5">
        <v>95</v>
      </c>
      <c r="E1806" s="5" t="s">
        <v>42</v>
      </c>
      <c r="F1806" s="5" t="s">
        <v>33</v>
      </c>
      <c r="G1806" s="5" t="s">
        <v>7626</v>
      </c>
      <c r="H1806" s="5" t="s">
        <v>34</v>
      </c>
      <c r="I1806" s="5">
        <v>7161</v>
      </c>
      <c r="J1806" s="12">
        <v>46077</v>
      </c>
      <c r="K1806" s="11">
        <v>0</v>
      </c>
      <c r="M1806" s="10" t="s">
        <v>16456</v>
      </c>
      <c r="N1806" s="12">
        <v>46077</v>
      </c>
      <c r="O1806" s="10" t="s">
        <v>15625</v>
      </c>
      <c r="P1806" s="5" t="s">
        <v>14571</v>
      </c>
      <c r="Q1806" s="5" t="s">
        <v>14572</v>
      </c>
      <c r="R1806" s="5" t="s">
        <v>18835</v>
      </c>
      <c r="T1806" s="5" t="s">
        <v>14574</v>
      </c>
      <c r="U1806" s="5" t="s">
        <v>33</v>
      </c>
      <c r="V1806" s="5" t="s">
        <v>1705</v>
      </c>
      <c r="W1806" s="5"/>
    </row>
    <row r="1807" spans="1:23" ht="12.5">
      <c r="A1807" s="5">
        <v>92318</v>
      </c>
      <c r="B1807" s="5" t="s">
        <v>18836</v>
      </c>
      <c r="C1807" s="5">
        <v>573168766165</v>
      </c>
      <c r="D1807" s="5">
        <v>32</v>
      </c>
      <c r="E1807" s="5" t="s">
        <v>65</v>
      </c>
      <c r="F1807" s="5" t="s">
        <v>328</v>
      </c>
      <c r="G1807" s="5" t="s">
        <v>11483</v>
      </c>
      <c r="H1807" s="5" t="s">
        <v>10983</v>
      </c>
      <c r="I1807" s="5">
        <v>3104428271</v>
      </c>
      <c r="J1807" s="12">
        <v>46077</v>
      </c>
      <c r="K1807" s="11">
        <v>0</v>
      </c>
      <c r="M1807" s="10" t="s">
        <v>14595</v>
      </c>
      <c r="N1807" s="12">
        <v>46077.543482129629</v>
      </c>
      <c r="O1807" s="10" t="s">
        <v>18568</v>
      </c>
      <c r="P1807" s="5" t="s">
        <v>14571</v>
      </c>
      <c r="Q1807" s="5" t="s">
        <v>14612</v>
      </c>
      <c r="R1807" s="5" t="s">
        <v>18837</v>
      </c>
      <c r="T1807" s="5" t="s">
        <v>5994</v>
      </c>
      <c r="U1807" s="5"/>
      <c r="V1807" s="5" t="s">
        <v>67</v>
      </c>
      <c r="W1807" s="5"/>
    </row>
    <row r="1808" spans="1:23" ht="12.5">
      <c r="A1808" s="5">
        <v>92319</v>
      </c>
      <c r="B1808" s="5" t="s">
        <v>11492</v>
      </c>
      <c r="C1808" s="5">
        <v>573205420119</v>
      </c>
      <c r="D1808" s="5">
        <v>95</v>
      </c>
      <c r="E1808" s="5" t="s">
        <v>42</v>
      </c>
      <c r="F1808" s="5" t="s">
        <v>33</v>
      </c>
      <c r="G1808" s="5" t="s">
        <v>11492</v>
      </c>
      <c r="H1808" s="5" t="s">
        <v>34</v>
      </c>
      <c r="I1808" s="5">
        <v>3205420119</v>
      </c>
      <c r="J1808" s="12">
        <v>46078</v>
      </c>
      <c r="K1808" s="11">
        <v>0</v>
      </c>
      <c r="M1808" s="10" t="s">
        <v>2686</v>
      </c>
      <c r="N1808" s="12">
        <v>46077.559278819448</v>
      </c>
      <c r="O1808" s="10" t="s">
        <v>18838</v>
      </c>
      <c r="P1808" s="5" t="s">
        <v>14571</v>
      </c>
      <c r="Q1808" s="5" t="s">
        <v>14572</v>
      </c>
      <c r="R1808" s="5" t="s">
        <v>18839</v>
      </c>
      <c r="T1808" s="5" t="s">
        <v>14574</v>
      </c>
      <c r="U1808" s="5" t="s">
        <v>33</v>
      </c>
      <c r="V1808" s="5" t="s">
        <v>67</v>
      </c>
      <c r="W1808" s="5" t="s">
        <v>11493</v>
      </c>
    </row>
    <row r="1809" spans="1:23" ht="12.5">
      <c r="A1809" s="5">
        <v>92320</v>
      </c>
      <c r="B1809" s="5" t="s">
        <v>18840</v>
      </c>
      <c r="C1809" s="5">
        <v>573138347371</v>
      </c>
      <c r="D1809" s="5">
        <v>95</v>
      </c>
      <c r="E1809" s="5" t="s">
        <v>42</v>
      </c>
      <c r="F1809" s="5" t="s">
        <v>185</v>
      </c>
      <c r="G1809" s="5" t="s">
        <v>11431</v>
      </c>
      <c r="H1809" s="5" t="s">
        <v>11432</v>
      </c>
      <c r="I1809" s="5" t="s">
        <v>11433</v>
      </c>
      <c r="J1809" s="12">
        <v>46077</v>
      </c>
      <c r="K1809" s="11">
        <v>0</v>
      </c>
      <c r="M1809" s="10" t="s">
        <v>14859</v>
      </c>
      <c r="N1809" s="12">
        <v>46077.394150300926</v>
      </c>
      <c r="O1809" s="10" t="s">
        <v>15129</v>
      </c>
      <c r="P1809" s="5" t="s">
        <v>14571</v>
      </c>
      <c r="Q1809" s="5" t="s">
        <v>14578</v>
      </c>
      <c r="R1809" s="5" t="s">
        <v>18841</v>
      </c>
      <c r="T1809" s="5" t="s">
        <v>5994</v>
      </c>
      <c r="U1809" s="5" t="s">
        <v>14580</v>
      </c>
      <c r="V1809" s="5" t="s">
        <v>196</v>
      </c>
      <c r="W1809" s="5" t="s">
        <v>11436</v>
      </c>
    </row>
    <row r="1810" spans="1:23" ht="12.5">
      <c r="A1810" s="5">
        <v>92321</v>
      </c>
      <c r="B1810" s="5" t="s">
        <v>18842</v>
      </c>
      <c r="C1810" s="5">
        <v>573004892605</v>
      </c>
      <c r="D1810" s="5">
        <v>42</v>
      </c>
      <c r="E1810" s="5" t="s">
        <v>649</v>
      </c>
      <c r="F1810" s="5" t="s">
        <v>154</v>
      </c>
      <c r="G1810" s="5" t="s">
        <v>11516</v>
      </c>
      <c r="H1810" s="5" t="s">
        <v>11517</v>
      </c>
      <c r="I1810" s="10" t="s">
        <v>2686</v>
      </c>
      <c r="J1810" s="12">
        <v>46077</v>
      </c>
      <c r="K1810" s="11">
        <v>0.66666666666787933</v>
      </c>
      <c r="M1810" s="10" t="s">
        <v>15140</v>
      </c>
      <c r="N1810" s="12">
        <v>46077.623272002311</v>
      </c>
      <c r="O1810" s="10" t="s">
        <v>15243</v>
      </c>
      <c r="P1810" s="5" t="s">
        <v>14571</v>
      </c>
      <c r="Q1810" s="5" t="s">
        <v>14572</v>
      </c>
      <c r="R1810" s="5" t="s">
        <v>18843</v>
      </c>
      <c r="T1810" s="5" t="s">
        <v>5994</v>
      </c>
      <c r="U1810" s="5" t="s">
        <v>14593</v>
      </c>
      <c r="V1810" s="5" t="s">
        <v>1937</v>
      </c>
      <c r="W1810" s="5"/>
    </row>
    <row r="1811" spans="1:23" ht="12.5">
      <c r="A1811" s="5">
        <v>92322</v>
      </c>
      <c r="B1811" s="5" t="s">
        <v>18844</v>
      </c>
      <c r="C1811" s="5">
        <v>573007658639</v>
      </c>
      <c r="D1811" s="5">
        <v>52</v>
      </c>
      <c r="E1811" s="5" t="s">
        <v>178</v>
      </c>
      <c r="F1811" s="5" t="s">
        <v>328</v>
      </c>
      <c r="G1811" s="5" t="s">
        <v>11501</v>
      </c>
      <c r="H1811" s="5" t="s">
        <v>11502</v>
      </c>
      <c r="I1811" s="5">
        <v>3045591253</v>
      </c>
      <c r="J1811" s="12">
        <v>46077</v>
      </c>
      <c r="K1811" s="11">
        <v>0</v>
      </c>
      <c r="M1811" s="10" t="s">
        <v>16408</v>
      </c>
      <c r="N1811" s="12">
        <v>46077.575171655088</v>
      </c>
      <c r="O1811" s="10" t="s">
        <v>15710</v>
      </c>
      <c r="P1811" s="5" t="s">
        <v>14571</v>
      </c>
      <c r="Q1811" s="5" t="s">
        <v>14572</v>
      </c>
      <c r="R1811" s="5" t="s">
        <v>18845</v>
      </c>
      <c r="T1811" s="5" t="s">
        <v>5994</v>
      </c>
      <c r="U1811" s="5"/>
      <c r="V1811" s="5" t="s">
        <v>67</v>
      </c>
      <c r="W1811" s="5"/>
    </row>
    <row r="1812" spans="1:23" ht="12.5">
      <c r="A1812" s="5">
        <v>92323</v>
      </c>
      <c r="B1812" s="5" t="s">
        <v>8843</v>
      </c>
      <c r="C1812" s="5">
        <v>573003996801</v>
      </c>
      <c r="D1812" s="5">
        <v>52</v>
      </c>
      <c r="E1812" s="5" t="s">
        <v>178</v>
      </c>
      <c r="F1812" s="5" t="s">
        <v>161</v>
      </c>
      <c r="G1812" s="5" t="s">
        <v>11505</v>
      </c>
      <c r="H1812" s="5" t="s">
        <v>11506</v>
      </c>
      <c r="I1812" s="5" t="s">
        <v>15231</v>
      </c>
      <c r="J1812" s="12">
        <v>46077</v>
      </c>
      <c r="K1812" s="11">
        <v>0</v>
      </c>
      <c r="M1812" s="10" t="s">
        <v>15043</v>
      </c>
      <c r="N1812" s="12">
        <v>46077.60798778935</v>
      </c>
      <c r="O1812" s="10" t="s">
        <v>15558</v>
      </c>
      <c r="P1812" s="5" t="s">
        <v>14571</v>
      </c>
      <c r="Q1812" s="5" t="s">
        <v>14578</v>
      </c>
      <c r="R1812" s="5" t="s">
        <v>18846</v>
      </c>
      <c r="T1812" s="5" t="s">
        <v>5994</v>
      </c>
      <c r="U1812" s="5" t="s">
        <v>14593</v>
      </c>
      <c r="V1812" s="5" t="s">
        <v>67</v>
      </c>
      <c r="W1812" s="5"/>
    </row>
    <row r="1813" spans="1:23" ht="12.5">
      <c r="A1813" s="5">
        <v>92324</v>
      </c>
      <c r="B1813" s="5" t="s">
        <v>18847</v>
      </c>
      <c r="C1813" s="10" t="s">
        <v>18848</v>
      </c>
      <c r="D1813" s="5">
        <v>26</v>
      </c>
      <c r="E1813" s="5" t="s">
        <v>11511</v>
      </c>
      <c r="F1813" s="5" t="s">
        <v>161</v>
      </c>
      <c r="G1813" s="5" t="s">
        <v>11509</v>
      </c>
      <c r="H1813" s="5" t="s">
        <v>11510</v>
      </c>
      <c r="I1813" s="5">
        <v>3158524692</v>
      </c>
      <c r="J1813" s="12">
        <v>46078</v>
      </c>
      <c r="K1813" s="11">
        <v>0.375</v>
      </c>
      <c r="M1813" s="10" t="s">
        <v>18849</v>
      </c>
      <c r="N1813" s="12">
        <v>46077</v>
      </c>
      <c r="O1813" s="10" t="s">
        <v>15560</v>
      </c>
      <c r="P1813" s="5" t="s">
        <v>14571</v>
      </c>
      <c r="Q1813" s="5" t="s">
        <v>14612</v>
      </c>
      <c r="R1813" s="5" t="s">
        <v>18850</v>
      </c>
      <c r="T1813" s="5" t="s">
        <v>5994</v>
      </c>
      <c r="U1813" s="5" t="s">
        <v>14593</v>
      </c>
      <c r="V1813" s="5" t="s">
        <v>2163</v>
      </c>
      <c r="W1813" s="5"/>
    </row>
    <row r="1814" spans="1:23" ht="12.5">
      <c r="A1814" s="5">
        <v>92325</v>
      </c>
      <c r="B1814" s="5" t="s">
        <v>18851</v>
      </c>
      <c r="C1814" s="5">
        <v>573102426557</v>
      </c>
      <c r="D1814" s="5">
        <v>31</v>
      </c>
      <c r="E1814" s="5" t="s">
        <v>375</v>
      </c>
      <c r="F1814" s="5" t="s">
        <v>185</v>
      </c>
      <c r="G1814" s="5" t="s">
        <v>11426</v>
      </c>
      <c r="H1814" s="5" t="s">
        <v>11427</v>
      </c>
      <c r="I1814" s="5" t="s">
        <v>11428</v>
      </c>
      <c r="J1814" s="12">
        <v>46078</v>
      </c>
      <c r="K1814" s="11">
        <v>0.33333333333212067</v>
      </c>
      <c r="M1814" s="10" t="s">
        <v>14850</v>
      </c>
      <c r="N1814" s="12">
        <v>46077.388082152778</v>
      </c>
      <c r="O1814" s="10" t="s">
        <v>17195</v>
      </c>
      <c r="P1814" s="5" t="s">
        <v>14571</v>
      </c>
      <c r="Q1814" s="5" t="s">
        <v>14572</v>
      </c>
      <c r="R1814" s="5" t="s">
        <v>18852</v>
      </c>
      <c r="T1814" s="5" t="s">
        <v>5994</v>
      </c>
      <c r="U1814" s="5" t="s">
        <v>14580</v>
      </c>
      <c r="V1814" s="5" t="s">
        <v>67</v>
      </c>
      <c r="W1814" s="5"/>
    </row>
    <row r="1815" spans="1:23" ht="12.5">
      <c r="A1815" s="5">
        <v>92326</v>
      </c>
      <c r="B1815" s="5" t="s">
        <v>18853</v>
      </c>
      <c r="C1815" s="10" t="s">
        <v>18854</v>
      </c>
      <c r="D1815" s="5">
        <v>15</v>
      </c>
      <c r="E1815" s="5" t="s">
        <v>707</v>
      </c>
      <c r="F1815" s="5" t="s">
        <v>5089</v>
      </c>
      <c r="G1815" s="5" t="s">
        <v>11525</v>
      </c>
      <c r="H1815" s="5" t="s">
        <v>11526</v>
      </c>
      <c r="I1815" s="5" t="s">
        <v>15231</v>
      </c>
      <c r="J1815" s="12">
        <v>46078</v>
      </c>
      <c r="K1815" s="11">
        <v>0.375</v>
      </c>
      <c r="M1815" s="10" t="s">
        <v>18855</v>
      </c>
      <c r="N1815" s="12">
        <v>46077</v>
      </c>
      <c r="O1815" s="10" t="s">
        <v>14931</v>
      </c>
      <c r="P1815" s="5" t="s">
        <v>14571</v>
      </c>
      <c r="Q1815" s="5" t="s">
        <v>14572</v>
      </c>
      <c r="R1815" s="5" t="s">
        <v>18856</v>
      </c>
      <c r="T1815" s="5" t="s">
        <v>5994</v>
      </c>
      <c r="U1815" s="5" t="s">
        <v>14580</v>
      </c>
      <c r="V1815" s="5" t="s">
        <v>67</v>
      </c>
      <c r="W1815" s="5"/>
    </row>
    <row r="1816" spans="1:23" ht="12.5">
      <c r="A1816" s="5">
        <v>92327</v>
      </c>
      <c r="B1816" s="5" t="s">
        <v>5734</v>
      </c>
      <c r="C1816" s="5">
        <v>573153543653</v>
      </c>
      <c r="D1816" s="5">
        <v>95</v>
      </c>
      <c r="E1816" s="5" t="s">
        <v>42</v>
      </c>
      <c r="F1816" s="5" t="s">
        <v>33</v>
      </c>
      <c r="G1816" s="5" t="s">
        <v>5734</v>
      </c>
      <c r="H1816" s="5" t="s">
        <v>34</v>
      </c>
      <c r="I1816" s="5" t="s">
        <v>11519</v>
      </c>
      <c r="J1816" s="12">
        <v>46078</v>
      </c>
      <c r="K1816" s="11">
        <v>0.375</v>
      </c>
      <c r="M1816" s="10" t="s">
        <v>2686</v>
      </c>
      <c r="N1816" s="12">
        <v>46077.640478078705</v>
      </c>
      <c r="O1816" s="10" t="s">
        <v>14931</v>
      </c>
      <c r="P1816" s="5" t="s">
        <v>14571</v>
      </c>
      <c r="Q1816" s="5" t="s">
        <v>14572</v>
      </c>
      <c r="R1816" s="5" t="s">
        <v>18857</v>
      </c>
      <c r="T1816" s="5" t="s">
        <v>14574</v>
      </c>
      <c r="U1816" s="5" t="s">
        <v>33</v>
      </c>
      <c r="V1816" s="5" t="s">
        <v>43</v>
      </c>
      <c r="W1816" s="5" t="s">
        <v>11520</v>
      </c>
    </row>
    <row r="1817" spans="1:23" ht="12.5">
      <c r="A1817" s="5">
        <v>92328</v>
      </c>
      <c r="B1817" s="5" t="s">
        <v>11531</v>
      </c>
      <c r="C1817" s="10" t="s">
        <v>14799</v>
      </c>
      <c r="D1817" s="5">
        <v>95</v>
      </c>
      <c r="E1817" s="5" t="s">
        <v>42</v>
      </c>
      <c r="F1817" s="5" t="s">
        <v>33</v>
      </c>
      <c r="G1817" s="5" t="s">
        <v>11531</v>
      </c>
      <c r="H1817" s="5" t="s">
        <v>34</v>
      </c>
      <c r="I1817" s="10" t="s">
        <v>2686</v>
      </c>
      <c r="J1817" s="12">
        <v>46077</v>
      </c>
      <c r="K1817" s="11">
        <v>0</v>
      </c>
      <c r="M1817" s="10" t="s">
        <v>14702</v>
      </c>
      <c r="N1817" s="12">
        <v>46077</v>
      </c>
      <c r="O1817" s="10" t="s">
        <v>15653</v>
      </c>
      <c r="P1817" s="5" t="s">
        <v>14571</v>
      </c>
      <c r="Q1817" s="5" t="s">
        <v>14572</v>
      </c>
      <c r="R1817" s="5" t="s">
        <v>18858</v>
      </c>
      <c r="T1817" s="5" t="s">
        <v>14574</v>
      </c>
      <c r="U1817" s="5" t="s">
        <v>33</v>
      </c>
      <c r="V1817" s="5" t="s">
        <v>196</v>
      </c>
      <c r="W1817" s="5"/>
    </row>
    <row r="1818" spans="1:23" ht="12.5">
      <c r="A1818" s="5">
        <v>92329</v>
      </c>
      <c r="B1818" s="5" t="s">
        <v>18859</v>
      </c>
      <c r="C1818" s="5">
        <v>573004218505</v>
      </c>
      <c r="D1818" s="5">
        <v>52</v>
      </c>
      <c r="E1818" s="5" t="s">
        <v>178</v>
      </c>
      <c r="F1818" s="5"/>
      <c r="G1818" s="5" t="s">
        <v>11522</v>
      </c>
      <c r="H1818" s="5" t="s">
        <v>11523</v>
      </c>
      <c r="I1818" s="5">
        <v>3214414139</v>
      </c>
      <c r="J1818" s="12">
        <v>46078</v>
      </c>
      <c r="K1818" s="11">
        <v>0.33333333333212067</v>
      </c>
      <c r="M1818" s="10" t="s">
        <v>15161</v>
      </c>
      <c r="N1818" s="12">
        <v>46077.660058634261</v>
      </c>
      <c r="O1818" s="10" t="s">
        <v>14920</v>
      </c>
      <c r="P1818" s="5" t="s">
        <v>14571</v>
      </c>
      <c r="Q1818" s="5" t="s">
        <v>14572</v>
      </c>
      <c r="R1818" s="5" t="s">
        <v>18860</v>
      </c>
      <c r="T1818" s="5" t="s">
        <v>5994</v>
      </c>
      <c r="U1818" s="5"/>
      <c r="V1818" s="5" t="s">
        <v>67</v>
      </c>
      <c r="W1818" s="5"/>
    </row>
    <row r="1819" spans="1:23" ht="12.5">
      <c r="A1819" s="5">
        <v>92330</v>
      </c>
      <c r="B1819" s="5" t="s">
        <v>18861</v>
      </c>
      <c r="C1819" s="10" t="s">
        <v>18862</v>
      </c>
      <c r="D1819" s="5">
        <v>7</v>
      </c>
      <c r="E1819" s="5" t="s">
        <v>112</v>
      </c>
      <c r="F1819" s="5" t="s">
        <v>1047</v>
      </c>
      <c r="G1819" s="5" t="s">
        <v>18863</v>
      </c>
      <c r="H1819" s="5" t="s">
        <v>11534</v>
      </c>
      <c r="I1819" s="5">
        <v>3007462601</v>
      </c>
      <c r="J1819" s="12">
        <v>46078</v>
      </c>
      <c r="K1819" s="11">
        <v>0.375</v>
      </c>
      <c r="M1819" s="10" t="s">
        <v>18864</v>
      </c>
      <c r="N1819" s="12">
        <v>46077</v>
      </c>
      <c r="O1819" s="10" t="s">
        <v>16611</v>
      </c>
      <c r="P1819" s="5" t="s">
        <v>14571</v>
      </c>
      <c r="Q1819" s="5" t="s">
        <v>14578</v>
      </c>
      <c r="R1819" s="5" t="s">
        <v>18865</v>
      </c>
      <c r="T1819" s="5" t="s">
        <v>5994</v>
      </c>
      <c r="U1819" s="5" t="s">
        <v>14580</v>
      </c>
      <c r="V1819" s="5" t="s">
        <v>1937</v>
      </c>
      <c r="W1819" s="5"/>
    </row>
    <row r="1820" spans="1:23" ht="12.5">
      <c r="A1820" s="5">
        <v>92331</v>
      </c>
      <c r="B1820" s="5" t="s">
        <v>18866</v>
      </c>
      <c r="C1820" s="5">
        <v>573188882350</v>
      </c>
      <c r="D1820" s="5">
        <v>29</v>
      </c>
      <c r="E1820" s="5" t="s">
        <v>309</v>
      </c>
      <c r="F1820" s="5" t="s">
        <v>63</v>
      </c>
      <c r="G1820" s="5" t="s">
        <v>11541</v>
      </c>
      <c r="H1820" s="5" t="s">
        <v>11542</v>
      </c>
      <c r="I1820" s="5" t="s">
        <v>11543</v>
      </c>
      <c r="J1820" s="12">
        <v>46077</v>
      </c>
      <c r="K1820" s="11">
        <v>0.70833333333212067</v>
      </c>
      <c r="M1820" s="10" t="s">
        <v>15179</v>
      </c>
      <c r="N1820" s="12">
        <v>46077.711014490742</v>
      </c>
      <c r="O1820" s="10" t="s">
        <v>17946</v>
      </c>
      <c r="P1820" s="5" t="s">
        <v>14571</v>
      </c>
      <c r="Q1820" s="5" t="s">
        <v>14572</v>
      </c>
      <c r="R1820" s="5" t="s">
        <v>18867</v>
      </c>
      <c r="T1820" s="5" t="s">
        <v>5994</v>
      </c>
      <c r="U1820" s="5" t="s">
        <v>14598</v>
      </c>
      <c r="V1820" s="5" t="s">
        <v>67</v>
      </c>
      <c r="W1820" s="5"/>
    </row>
    <row r="1821" spans="1:23" ht="12.5">
      <c r="A1821" s="5">
        <v>92332</v>
      </c>
      <c r="B1821" s="5" t="s">
        <v>18868</v>
      </c>
      <c r="C1821" s="10" t="s">
        <v>18869</v>
      </c>
      <c r="D1821" s="5">
        <v>11</v>
      </c>
      <c r="E1821" s="5" t="s">
        <v>4062</v>
      </c>
      <c r="F1821" s="5" t="s">
        <v>63</v>
      </c>
      <c r="G1821" s="5" t="s">
        <v>11537</v>
      </c>
      <c r="H1821" s="5" t="s">
        <v>11538</v>
      </c>
      <c r="I1821" s="5">
        <v>13235420686</v>
      </c>
      <c r="J1821" s="12">
        <v>46083</v>
      </c>
      <c r="K1821" s="11">
        <v>0.375</v>
      </c>
      <c r="M1821" s="10" t="s">
        <v>18870</v>
      </c>
      <c r="N1821" s="12">
        <v>46077</v>
      </c>
      <c r="O1821" s="10" t="s">
        <v>16159</v>
      </c>
      <c r="P1821" s="5" t="s">
        <v>14571</v>
      </c>
      <c r="Q1821" s="5" t="s">
        <v>14572</v>
      </c>
      <c r="R1821" s="5" t="s">
        <v>18871</v>
      </c>
      <c r="T1821" s="5" t="s">
        <v>5994</v>
      </c>
      <c r="U1821" s="5" t="s">
        <v>14598</v>
      </c>
      <c r="V1821" s="5" t="s">
        <v>67</v>
      </c>
      <c r="W1821" s="5"/>
    </row>
    <row r="1822" spans="1:23" ht="12.5">
      <c r="A1822" s="5">
        <v>92333</v>
      </c>
      <c r="B1822" s="5" t="s">
        <v>6685</v>
      </c>
      <c r="C1822" s="5">
        <v>573143663864</v>
      </c>
      <c r="D1822" s="5">
        <v>95</v>
      </c>
      <c r="E1822" s="5" t="s">
        <v>42</v>
      </c>
      <c r="F1822" s="5" t="s">
        <v>5574</v>
      </c>
      <c r="G1822" s="5" t="s">
        <v>11486</v>
      </c>
      <c r="H1822" s="5" t="s">
        <v>11487</v>
      </c>
      <c r="I1822" s="5">
        <v>3162271980</v>
      </c>
      <c r="J1822" s="12">
        <v>46077</v>
      </c>
      <c r="K1822" s="11">
        <v>0.70833333333212067</v>
      </c>
      <c r="M1822" s="10" t="s">
        <v>14873</v>
      </c>
      <c r="N1822" s="12">
        <v>46077.544892696758</v>
      </c>
      <c r="O1822" s="10" t="s">
        <v>17277</v>
      </c>
      <c r="P1822" s="5" t="s">
        <v>14571</v>
      </c>
      <c r="Q1822" s="5" t="s">
        <v>14572</v>
      </c>
      <c r="R1822" s="5" t="s">
        <v>18872</v>
      </c>
      <c r="T1822" s="5" t="s">
        <v>5994</v>
      </c>
      <c r="U1822" s="5" t="s">
        <v>14593</v>
      </c>
      <c r="V1822" s="5" t="s">
        <v>67</v>
      </c>
      <c r="W1822" s="5" t="s">
        <v>11490</v>
      </c>
    </row>
    <row r="1823" spans="1:23" ht="12.5">
      <c r="A1823" s="5">
        <v>92334</v>
      </c>
      <c r="B1823" s="5" t="s">
        <v>18873</v>
      </c>
      <c r="C1823" s="5">
        <v>573113092602</v>
      </c>
      <c r="D1823" s="5">
        <v>95</v>
      </c>
      <c r="E1823" s="5" t="s">
        <v>42</v>
      </c>
      <c r="F1823" s="5"/>
      <c r="G1823" s="5" t="s">
        <v>11450</v>
      </c>
      <c r="H1823" s="10" t="s">
        <v>3330</v>
      </c>
      <c r="I1823" s="5">
        <v>3113092602</v>
      </c>
      <c r="J1823" s="12">
        <v>46077</v>
      </c>
      <c r="K1823" s="11">
        <v>0</v>
      </c>
      <c r="M1823" s="10" t="s">
        <v>14863</v>
      </c>
      <c r="N1823" s="12">
        <v>46077.43816957176</v>
      </c>
      <c r="O1823" s="10" t="s">
        <v>15740</v>
      </c>
      <c r="P1823" s="5" t="s">
        <v>14571</v>
      </c>
      <c r="Q1823" s="5" t="s">
        <v>14572</v>
      </c>
      <c r="R1823" s="5" t="s">
        <v>18874</v>
      </c>
      <c r="T1823" s="5" t="s">
        <v>5994</v>
      </c>
      <c r="U1823" s="5"/>
      <c r="V1823" s="5" t="s">
        <v>196</v>
      </c>
      <c r="W1823" s="5"/>
    </row>
    <row r="1824" spans="1:23" ht="12.5">
      <c r="A1824" s="5">
        <v>92335</v>
      </c>
      <c r="B1824" s="5" t="s">
        <v>11614</v>
      </c>
      <c r="C1824" s="5">
        <v>573205420119</v>
      </c>
      <c r="D1824" s="5">
        <v>16</v>
      </c>
      <c r="E1824" s="5" t="s">
        <v>2556</v>
      </c>
      <c r="F1824" s="5"/>
      <c r="G1824" s="5" t="s">
        <v>11545</v>
      </c>
      <c r="H1824" s="5" t="s">
        <v>8077</v>
      </c>
      <c r="I1824" s="5"/>
      <c r="J1824" s="12">
        <v>46078</v>
      </c>
      <c r="K1824" s="11">
        <v>0.375</v>
      </c>
      <c r="M1824" s="10" t="s">
        <v>16675</v>
      </c>
      <c r="N1824" s="12">
        <v>46077.741076238424</v>
      </c>
      <c r="O1824" s="10" t="s">
        <v>16555</v>
      </c>
      <c r="P1824" s="5" t="s">
        <v>14571</v>
      </c>
      <c r="Q1824" s="5" t="s">
        <v>14578</v>
      </c>
      <c r="R1824" s="5" t="s">
        <v>18875</v>
      </c>
      <c r="T1824" s="5" t="s">
        <v>5994</v>
      </c>
      <c r="U1824" s="5"/>
      <c r="V1824" s="5" t="s">
        <v>196</v>
      </c>
      <c r="W1824" s="5"/>
    </row>
    <row r="1825" spans="1:23" ht="12.5">
      <c r="A1825" s="5">
        <v>92336</v>
      </c>
      <c r="B1825" s="5" t="s">
        <v>11547</v>
      </c>
      <c r="C1825" s="10" t="s">
        <v>18876</v>
      </c>
      <c r="D1825" s="5">
        <v>51</v>
      </c>
      <c r="E1825" s="5" t="s">
        <v>384</v>
      </c>
      <c r="F1825" s="5" t="s">
        <v>33</v>
      </c>
      <c r="G1825" s="5" t="s">
        <v>11547</v>
      </c>
      <c r="H1825" s="5" t="s">
        <v>34</v>
      </c>
      <c r="I1825" s="5">
        <v>7037989675</v>
      </c>
      <c r="J1825" s="12">
        <v>46078</v>
      </c>
      <c r="K1825" s="11">
        <v>0</v>
      </c>
      <c r="M1825" s="10" t="s">
        <v>14712</v>
      </c>
      <c r="N1825" s="12">
        <v>46078</v>
      </c>
      <c r="O1825" s="10" t="s">
        <v>15577</v>
      </c>
      <c r="P1825" s="5" t="s">
        <v>14571</v>
      </c>
      <c r="Q1825" s="5" t="s">
        <v>14612</v>
      </c>
      <c r="R1825" s="5" t="s">
        <v>18877</v>
      </c>
      <c r="T1825" s="5" t="s">
        <v>14574</v>
      </c>
      <c r="U1825" s="5" t="s">
        <v>33</v>
      </c>
      <c r="V1825" s="5" t="s">
        <v>37</v>
      </c>
      <c r="W1825" s="5" t="s">
        <v>11548</v>
      </c>
    </row>
    <row r="1826" spans="1:23" ht="12.5">
      <c r="A1826" s="5">
        <v>92337</v>
      </c>
      <c r="B1826" s="5" t="s">
        <v>15346</v>
      </c>
      <c r="C1826" s="5">
        <v>573042734865</v>
      </c>
      <c r="D1826" s="5">
        <v>42</v>
      </c>
      <c r="E1826" s="5" t="s">
        <v>649</v>
      </c>
      <c r="F1826" s="5" t="s">
        <v>1317</v>
      </c>
      <c r="G1826" s="5" t="s">
        <v>4010</v>
      </c>
      <c r="H1826" s="5" t="s">
        <v>11401</v>
      </c>
      <c r="I1826" s="5">
        <v>3245192336</v>
      </c>
      <c r="J1826" s="12">
        <v>46109</v>
      </c>
      <c r="K1826" s="11">
        <v>0.66666666666787933</v>
      </c>
      <c r="M1826" s="10" t="s">
        <v>14615</v>
      </c>
      <c r="N1826" s="12">
        <v>46076.853224432867</v>
      </c>
      <c r="O1826" s="10" t="s">
        <v>17159</v>
      </c>
      <c r="P1826" s="5" t="s">
        <v>14571</v>
      </c>
      <c r="Q1826" s="5" t="s">
        <v>14578</v>
      </c>
      <c r="R1826" s="5" t="s">
        <v>18878</v>
      </c>
      <c r="T1826" s="5" t="s">
        <v>5994</v>
      </c>
      <c r="U1826" s="5" t="s">
        <v>15349</v>
      </c>
      <c r="V1826" s="5" t="s">
        <v>67</v>
      </c>
      <c r="W1826" s="5" t="s">
        <v>11403</v>
      </c>
    </row>
    <row r="1827" spans="1:23" ht="12.5">
      <c r="A1827" s="5">
        <v>92338</v>
      </c>
      <c r="B1827" s="5" t="s">
        <v>18879</v>
      </c>
      <c r="C1827" s="10" t="s">
        <v>18880</v>
      </c>
      <c r="D1827" s="5">
        <v>71</v>
      </c>
      <c r="E1827" s="5" t="s">
        <v>734</v>
      </c>
      <c r="F1827" s="5" t="s">
        <v>124</v>
      </c>
      <c r="G1827" s="5" t="s">
        <v>18881</v>
      </c>
      <c r="H1827" s="5" t="s">
        <v>11558</v>
      </c>
      <c r="I1827" s="5">
        <v>3012429381</v>
      </c>
      <c r="J1827" s="12">
        <v>46078</v>
      </c>
      <c r="K1827" s="11">
        <v>0.41666666666666669</v>
      </c>
      <c r="M1827" s="10" t="s">
        <v>14770</v>
      </c>
      <c r="N1827" s="12">
        <v>46078</v>
      </c>
      <c r="O1827" s="10" t="s">
        <v>15332</v>
      </c>
      <c r="P1827" s="5" t="s">
        <v>14571</v>
      </c>
      <c r="Q1827" s="5" t="s">
        <v>14572</v>
      </c>
      <c r="R1827" s="5" t="s">
        <v>18882</v>
      </c>
      <c r="T1827" s="5" t="s">
        <v>5994</v>
      </c>
      <c r="U1827" s="5" t="s">
        <v>14775</v>
      </c>
      <c r="V1827" s="5" t="s">
        <v>67</v>
      </c>
      <c r="W1827" s="5"/>
    </row>
    <row r="1828" spans="1:23" ht="12.5">
      <c r="A1828" s="5">
        <v>92339</v>
      </c>
      <c r="B1828" s="5" t="s">
        <v>11561</v>
      </c>
      <c r="C1828" s="5">
        <v>570000</v>
      </c>
      <c r="D1828" s="5">
        <v>53</v>
      </c>
      <c r="E1828" s="5" t="s">
        <v>75</v>
      </c>
      <c r="F1828" s="5" t="s">
        <v>33</v>
      </c>
      <c r="G1828" s="5" t="s">
        <v>11561</v>
      </c>
      <c r="H1828" s="5" t="s">
        <v>34</v>
      </c>
      <c r="I1828" s="10" t="s">
        <v>2686</v>
      </c>
      <c r="J1828" s="12">
        <v>46078</v>
      </c>
      <c r="K1828" s="11">
        <v>0</v>
      </c>
      <c r="M1828" s="10" t="s">
        <v>14585</v>
      </c>
      <c r="N1828" s="12">
        <v>46078.368264780089</v>
      </c>
      <c r="O1828" s="10" t="s">
        <v>18451</v>
      </c>
      <c r="P1828" s="5" t="s">
        <v>14571</v>
      </c>
      <c r="Q1828" s="5" t="s">
        <v>14612</v>
      </c>
      <c r="R1828" s="5" t="s">
        <v>18883</v>
      </c>
      <c r="T1828" s="5" t="s">
        <v>14574</v>
      </c>
      <c r="U1828" s="5" t="s">
        <v>33</v>
      </c>
      <c r="V1828" s="5" t="s">
        <v>37</v>
      </c>
      <c r="W1828" s="5" t="s">
        <v>11562</v>
      </c>
    </row>
    <row r="1829" spans="1:23" ht="12.5">
      <c r="A1829" s="5">
        <v>92340</v>
      </c>
      <c r="B1829" s="5" t="s">
        <v>18884</v>
      </c>
      <c r="C1829" s="5">
        <v>573157157026</v>
      </c>
      <c r="D1829" s="5">
        <v>95</v>
      </c>
      <c r="E1829" s="5" t="s">
        <v>42</v>
      </c>
      <c r="F1829" s="5" t="s">
        <v>161</v>
      </c>
      <c r="G1829" s="5" t="s">
        <v>11563</v>
      </c>
      <c r="H1829" s="5" t="s">
        <v>11564</v>
      </c>
      <c r="I1829" s="5">
        <v>3157157026</v>
      </c>
      <c r="J1829" s="12">
        <v>46078</v>
      </c>
      <c r="K1829" s="11">
        <v>0</v>
      </c>
      <c r="M1829" s="10" t="s">
        <v>16340</v>
      </c>
      <c r="N1829" s="12">
        <v>46078.378302453704</v>
      </c>
      <c r="O1829" s="10" t="s">
        <v>15491</v>
      </c>
      <c r="P1829" s="5" t="s">
        <v>14571</v>
      </c>
      <c r="Q1829" s="5" t="s">
        <v>14612</v>
      </c>
      <c r="R1829" s="5" t="s">
        <v>18885</v>
      </c>
      <c r="T1829" s="5" t="s">
        <v>5994</v>
      </c>
      <c r="U1829" s="5" t="s">
        <v>14593</v>
      </c>
      <c r="V1829" s="5" t="s">
        <v>67</v>
      </c>
      <c r="W1829" s="5" t="s">
        <v>11565</v>
      </c>
    </row>
    <row r="1830" spans="1:23" ht="12.5">
      <c r="A1830" s="5">
        <v>92341</v>
      </c>
      <c r="B1830" s="5" t="s">
        <v>18886</v>
      </c>
      <c r="C1830" s="5">
        <v>573004371636</v>
      </c>
      <c r="D1830" s="5">
        <v>67</v>
      </c>
      <c r="E1830" s="5" t="s">
        <v>542</v>
      </c>
      <c r="F1830" s="5" t="s">
        <v>1047</v>
      </c>
      <c r="G1830" s="5" t="s">
        <v>11566</v>
      </c>
      <c r="H1830" s="5" t="s">
        <v>11567</v>
      </c>
      <c r="I1830" s="5" t="s">
        <v>15231</v>
      </c>
      <c r="J1830" s="12">
        <v>46079</v>
      </c>
      <c r="K1830" s="11">
        <v>0.41666666666787933</v>
      </c>
      <c r="M1830" s="10" t="s">
        <v>15019</v>
      </c>
      <c r="N1830" s="12">
        <v>46078.383462881946</v>
      </c>
      <c r="O1830" s="10" t="s">
        <v>15595</v>
      </c>
      <c r="P1830" s="5" t="s">
        <v>14571</v>
      </c>
      <c r="Q1830" s="5" t="s">
        <v>14612</v>
      </c>
      <c r="R1830" s="5" t="s">
        <v>18887</v>
      </c>
      <c r="T1830" s="5" t="s">
        <v>5994</v>
      </c>
      <c r="U1830" s="5" t="s">
        <v>14580</v>
      </c>
      <c r="V1830" s="5" t="s">
        <v>67</v>
      </c>
      <c r="W1830" s="5"/>
    </row>
    <row r="1831" spans="1:23" ht="12.5">
      <c r="A1831" s="5">
        <v>92342</v>
      </c>
      <c r="B1831" s="5" t="s">
        <v>18888</v>
      </c>
      <c r="C1831" s="5">
        <v>573043806159</v>
      </c>
      <c r="D1831" s="5">
        <v>23</v>
      </c>
      <c r="E1831" s="5" t="s">
        <v>50</v>
      </c>
      <c r="F1831" s="5" t="s">
        <v>103</v>
      </c>
      <c r="G1831" s="5" t="s">
        <v>11571</v>
      </c>
      <c r="H1831" s="5" t="s">
        <v>11572</v>
      </c>
      <c r="I1831" s="5"/>
      <c r="J1831" s="12">
        <v>46078</v>
      </c>
      <c r="K1831" s="11">
        <v>0</v>
      </c>
      <c r="M1831" s="10" t="s">
        <v>14649</v>
      </c>
      <c r="N1831" s="12">
        <v>46078.421078923609</v>
      </c>
      <c r="O1831" s="10" t="s">
        <v>16582</v>
      </c>
      <c r="P1831" s="5" t="s">
        <v>14571</v>
      </c>
      <c r="Q1831" s="5" t="s">
        <v>14612</v>
      </c>
      <c r="R1831" s="5" t="s">
        <v>18889</v>
      </c>
      <c r="T1831" s="5" t="s">
        <v>5994</v>
      </c>
      <c r="U1831" s="5" t="s">
        <v>14593</v>
      </c>
      <c r="V1831" s="5" t="s">
        <v>1705</v>
      </c>
      <c r="W1831" s="5"/>
    </row>
    <row r="1832" spans="1:23" ht="12.5">
      <c r="A1832" s="5">
        <v>92343</v>
      </c>
      <c r="B1832" s="5" t="s">
        <v>18890</v>
      </c>
      <c r="C1832" s="5">
        <v>573012200325</v>
      </c>
      <c r="D1832" s="5">
        <v>29</v>
      </c>
      <c r="E1832" s="5" t="s">
        <v>309</v>
      </c>
      <c r="F1832" s="5" t="s">
        <v>328</v>
      </c>
      <c r="G1832" s="5" t="s">
        <v>11577</v>
      </c>
      <c r="H1832" s="5" t="s">
        <v>11578</v>
      </c>
      <c r="I1832" s="5">
        <v>3017242159</v>
      </c>
      <c r="J1832" s="12">
        <v>46078</v>
      </c>
      <c r="K1832" s="11">
        <v>0</v>
      </c>
      <c r="M1832" s="10" t="s">
        <v>14899</v>
      </c>
      <c r="N1832" s="12">
        <v>46078.431125057876</v>
      </c>
      <c r="O1832" s="10" t="s">
        <v>16111</v>
      </c>
      <c r="P1832" s="5" t="s">
        <v>14571</v>
      </c>
      <c r="Q1832" s="5" t="s">
        <v>14578</v>
      </c>
      <c r="R1832" s="5" t="s">
        <v>18891</v>
      </c>
      <c r="T1832" s="5" t="s">
        <v>5994</v>
      </c>
      <c r="U1832" s="5"/>
      <c r="V1832" s="5" t="s">
        <v>67</v>
      </c>
      <c r="W1832" s="5"/>
    </row>
    <row r="1833" spans="1:23" ht="12.5">
      <c r="A1833" s="5">
        <v>92344</v>
      </c>
      <c r="B1833" s="5" t="s">
        <v>14058</v>
      </c>
      <c r="C1833" s="5">
        <v>573244514045</v>
      </c>
      <c r="D1833" s="5">
        <v>53</v>
      </c>
      <c r="E1833" s="5" t="s">
        <v>75</v>
      </c>
      <c r="F1833" s="5" t="s">
        <v>1647</v>
      </c>
      <c r="G1833" s="5" t="s">
        <v>1321</v>
      </c>
      <c r="H1833" s="5" t="s">
        <v>11574</v>
      </c>
      <c r="I1833" s="5">
        <v>3244514045</v>
      </c>
      <c r="J1833" s="12">
        <v>46078</v>
      </c>
      <c r="K1833" s="11">
        <v>0</v>
      </c>
      <c r="M1833" s="10" t="s">
        <v>15064</v>
      </c>
      <c r="N1833" s="12">
        <v>46078.424646435189</v>
      </c>
      <c r="O1833" s="10" t="s">
        <v>18239</v>
      </c>
      <c r="P1833" s="5" t="s">
        <v>14571</v>
      </c>
      <c r="Q1833" s="5" t="s">
        <v>14612</v>
      </c>
      <c r="R1833" s="5" t="s">
        <v>18892</v>
      </c>
      <c r="T1833" s="5" t="s">
        <v>5994</v>
      </c>
      <c r="U1833" s="5" t="s">
        <v>14580</v>
      </c>
      <c r="V1833" s="5" t="s">
        <v>67</v>
      </c>
      <c r="W1833" s="5" t="s">
        <v>11576</v>
      </c>
    </row>
    <row r="1834" spans="1:23" ht="12.5">
      <c r="A1834" s="5">
        <v>92345</v>
      </c>
      <c r="B1834" s="5" t="s">
        <v>18893</v>
      </c>
      <c r="C1834" s="5">
        <v>573103984207</v>
      </c>
      <c r="D1834" s="5" t="s">
        <v>18894</v>
      </c>
      <c r="E1834" s="5" t="s">
        <v>2983</v>
      </c>
      <c r="F1834" s="5" t="s">
        <v>3267</v>
      </c>
      <c r="G1834" s="5" t="s">
        <v>11588</v>
      </c>
      <c r="H1834" s="5" t="s">
        <v>11589</v>
      </c>
      <c r="I1834" s="5">
        <v>3008077204</v>
      </c>
      <c r="J1834" s="12">
        <v>46078</v>
      </c>
      <c r="K1834" s="11">
        <v>0</v>
      </c>
      <c r="M1834" s="10" t="s">
        <v>18895</v>
      </c>
      <c r="N1834" s="12">
        <v>46078.446439641208</v>
      </c>
      <c r="O1834" s="10" t="s">
        <v>14654</v>
      </c>
      <c r="P1834" s="5" t="s">
        <v>14571</v>
      </c>
      <c r="Q1834" s="5" t="s">
        <v>14612</v>
      </c>
      <c r="R1834" s="5" t="s">
        <v>18896</v>
      </c>
      <c r="T1834" s="5" t="s">
        <v>5994</v>
      </c>
      <c r="U1834" s="5" t="s">
        <v>14580</v>
      </c>
      <c r="V1834" s="5" t="s">
        <v>67</v>
      </c>
      <c r="W1834" s="5" t="s">
        <v>11592</v>
      </c>
    </row>
    <row r="1835" spans="1:23" ht="12.5">
      <c r="A1835" s="5">
        <v>92346</v>
      </c>
      <c r="B1835" s="5" t="s">
        <v>11614</v>
      </c>
      <c r="C1835" s="5">
        <v>573205420119</v>
      </c>
      <c r="D1835" s="5" t="s">
        <v>14589</v>
      </c>
      <c r="E1835" s="5" t="s">
        <v>11615</v>
      </c>
      <c r="F1835" s="5" t="s">
        <v>33</v>
      </c>
      <c r="G1835" s="5" t="s">
        <v>11614</v>
      </c>
      <c r="H1835" s="5" t="s">
        <v>34</v>
      </c>
      <c r="I1835" s="5">
        <v>3205420119</v>
      </c>
      <c r="J1835" s="12">
        <v>46078</v>
      </c>
      <c r="K1835" s="11">
        <v>0</v>
      </c>
      <c r="M1835" s="10" t="s">
        <v>15384</v>
      </c>
      <c r="N1835" s="12">
        <v>46078.482232835653</v>
      </c>
      <c r="O1835" s="10" t="s">
        <v>17588</v>
      </c>
      <c r="P1835" s="5" t="s">
        <v>14571</v>
      </c>
      <c r="Q1835" s="5" t="s">
        <v>14572</v>
      </c>
      <c r="R1835" s="5" t="s">
        <v>18897</v>
      </c>
      <c r="T1835" s="5" t="s">
        <v>14574</v>
      </c>
      <c r="U1835" s="5" t="s">
        <v>33</v>
      </c>
      <c r="V1835" s="5" t="s">
        <v>67</v>
      </c>
      <c r="W1835" s="5" t="s">
        <v>525</v>
      </c>
    </row>
    <row r="1836" spans="1:23" ht="12.5">
      <c r="A1836" s="5">
        <v>92347</v>
      </c>
      <c r="B1836" s="5" t="s">
        <v>18898</v>
      </c>
      <c r="C1836" s="5">
        <v>573006337540</v>
      </c>
      <c r="D1836" s="5">
        <v>29</v>
      </c>
      <c r="E1836" s="5" t="s">
        <v>309</v>
      </c>
      <c r="F1836" s="5" t="s">
        <v>63</v>
      </c>
      <c r="G1836" s="5" t="s">
        <v>11594</v>
      </c>
      <c r="H1836" s="5" t="s">
        <v>11595</v>
      </c>
      <c r="I1836" s="5">
        <v>3006337540</v>
      </c>
      <c r="J1836" s="12">
        <v>46078</v>
      </c>
      <c r="K1836" s="11">
        <v>0</v>
      </c>
      <c r="M1836" s="10" t="s">
        <v>15179</v>
      </c>
      <c r="N1836" s="12">
        <v>46078.456990185186</v>
      </c>
      <c r="O1836" s="10" t="s">
        <v>14877</v>
      </c>
      <c r="P1836" s="5" t="s">
        <v>14571</v>
      </c>
      <c r="Q1836" s="5" t="s">
        <v>14572</v>
      </c>
      <c r="R1836" s="5" t="s">
        <v>18899</v>
      </c>
      <c r="T1836" s="5" t="s">
        <v>5994</v>
      </c>
      <c r="U1836" s="5" t="s">
        <v>14598</v>
      </c>
      <c r="V1836" s="5" t="s">
        <v>67</v>
      </c>
      <c r="W1836" s="5" t="s">
        <v>11598</v>
      </c>
    </row>
    <row r="1837" spans="1:23" ht="12.5">
      <c r="A1837" s="5">
        <v>92348</v>
      </c>
      <c r="B1837" s="5" t="s">
        <v>18900</v>
      </c>
      <c r="C1837" s="5">
        <v>573045905384</v>
      </c>
      <c r="D1837" s="5">
        <v>31</v>
      </c>
      <c r="E1837" s="5" t="s">
        <v>375</v>
      </c>
      <c r="F1837" s="5" t="s">
        <v>161</v>
      </c>
      <c r="G1837" s="5" t="s">
        <v>11610</v>
      </c>
      <c r="H1837" s="5" t="s">
        <v>11611</v>
      </c>
      <c r="I1837" s="5">
        <v>3207047255</v>
      </c>
      <c r="J1837" s="12">
        <v>46079</v>
      </c>
      <c r="K1837" s="11">
        <v>0</v>
      </c>
      <c r="M1837" s="10" t="s">
        <v>14850</v>
      </c>
      <c r="N1837" s="12">
        <v>46078.481982662037</v>
      </c>
      <c r="O1837" s="10" t="s">
        <v>16289</v>
      </c>
      <c r="P1837" s="5" t="s">
        <v>14571</v>
      </c>
      <c r="Q1837" s="5" t="s">
        <v>14572</v>
      </c>
      <c r="R1837" s="5" t="s">
        <v>18901</v>
      </c>
      <c r="T1837" s="5" t="s">
        <v>5994</v>
      </c>
      <c r="U1837" s="5" t="s">
        <v>14593</v>
      </c>
      <c r="V1837" s="5" t="s">
        <v>83</v>
      </c>
      <c r="W1837" s="5"/>
    </row>
    <row r="1838" spans="1:23" ht="12.5">
      <c r="A1838" s="5">
        <v>92349</v>
      </c>
      <c r="B1838" s="5" t="s">
        <v>13071</v>
      </c>
      <c r="C1838" s="5">
        <v>573011113091</v>
      </c>
      <c r="D1838" s="5" t="s">
        <v>18902</v>
      </c>
      <c r="E1838" s="5" t="s">
        <v>11601</v>
      </c>
      <c r="F1838" s="5" t="s">
        <v>73</v>
      </c>
      <c r="G1838" s="5" t="s">
        <v>70</v>
      </c>
      <c r="H1838" s="5" t="s">
        <v>11600</v>
      </c>
      <c r="I1838" s="5">
        <v>3011113091</v>
      </c>
      <c r="J1838" s="12">
        <v>46078</v>
      </c>
      <c r="K1838" s="11">
        <v>0</v>
      </c>
      <c r="M1838" s="10" t="s">
        <v>17609</v>
      </c>
      <c r="N1838" s="12">
        <v>46078.459166192129</v>
      </c>
      <c r="O1838" s="10" t="s">
        <v>16059</v>
      </c>
      <c r="P1838" s="5" t="s">
        <v>14571</v>
      </c>
      <c r="Q1838" s="5" t="s">
        <v>14572</v>
      </c>
      <c r="R1838" s="5" t="s">
        <v>18903</v>
      </c>
      <c r="T1838" s="5" t="s">
        <v>5994</v>
      </c>
      <c r="U1838" s="5" t="s">
        <v>14593</v>
      </c>
      <c r="V1838" s="5" t="s">
        <v>67</v>
      </c>
      <c r="W1838" s="5"/>
    </row>
    <row r="1839" spans="1:23" ht="12.5">
      <c r="A1839" s="5">
        <v>92350</v>
      </c>
      <c r="B1839" s="5" t="s">
        <v>18904</v>
      </c>
      <c r="C1839" s="5">
        <v>573182725989</v>
      </c>
      <c r="D1839" s="5">
        <v>45</v>
      </c>
      <c r="E1839" s="5" t="s">
        <v>210</v>
      </c>
      <c r="F1839" s="5" t="s">
        <v>11248</v>
      </c>
      <c r="G1839" s="5" t="s">
        <v>11604</v>
      </c>
      <c r="H1839" s="5" t="s">
        <v>11605</v>
      </c>
      <c r="I1839" s="5">
        <v>3002739038</v>
      </c>
      <c r="J1839" s="12">
        <v>46078</v>
      </c>
      <c r="K1839" s="11">
        <v>0</v>
      </c>
      <c r="M1839" s="10" t="s">
        <v>16003</v>
      </c>
      <c r="N1839" s="12">
        <v>46078.466509976854</v>
      </c>
      <c r="O1839" s="10" t="s">
        <v>17114</v>
      </c>
      <c r="P1839" s="5" t="s">
        <v>14571</v>
      </c>
      <c r="Q1839" s="5" t="s">
        <v>14572</v>
      </c>
      <c r="R1839" s="5" t="s">
        <v>18905</v>
      </c>
      <c r="T1839" s="5" t="s">
        <v>5994</v>
      </c>
      <c r="U1839" s="5" t="s">
        <v>14618</v>
      </c>
      <c r="V1839" s="5" t="s">
        <v>83</v>
      </c>
      <c r="W1839" s="5" t="s">
        <v>11607</v>
      </c>
    </row>
    <row r="1840" spans="1:23" ht="12.5">
      <c r="A1840" s="5">
        <v>92351</v>
      </c>
      <c r="B1840" s="5" t="s">
        <v>11632</v>
      </c>
      <c r="C1840" s="5">
        <v>573008931416</v>
      </c>
      <c r="D1840" s="5" t="s">
        <v>14589</v>
      </c>
      <c r="E1840" s="5" t="s">
        <v>11630</v>
      </c>
      <c r="F1840" s="5" t="s">
        <v>11628</v>
      </c>
      <c r="G1840" s="5" t="s">
        <v>11627</v>
      </c>
      <c r="H1840" s="5" t="s">
        <v>11629</v>
      </c>
      <c r="I1840" s="5"/>
      <c r="J1840" s="12">
        <v>46078</v>
      </c>
      <c r="K1840" s="11">
        <v>0</v>
      </c>
      <c r="M1840" s="10" t="s">
        <v>14615</v>
      </c>
      <c r="N1840" s="12">
        <v>46078.494928032407</v>
      </c>
      <c r="O1840" s="10" t="s">
        <v>15077</v>
      </c>
      <c r="P1840" s="5" t="s">
        <v>14571</v>
      </c>
      <c r="Q1840" s="5" t="s">
        <v>14578</v>
      </c>
      <c r="R1840" s="5" t="s">
        <v>18906</v>
      </c>
      <c r="T1840" s="5" t="s">
        <v>5994</v>
      </c>
      <c r="U1840" s="5"/>
      <c r="V1840" s="5" t="s">
        <v>196</v>
      </c>
      <c r="W1840" s="5"/>
    </row>
    <row r="1841" spans="1:23" ht="12.5">
      <c r="A1841" s="5">
        <v>92352</v>
      </c>
      <c r="B1841" s="5" t="s">
        <v>3451</v>
      </c>
      <c r="C1841" s="5">
        <v>573002627762</v>
      </c>
      <c r="D1841" s="5">
        <v>95</v>
      </c>
      <c r="E1841" s="5" t="s">
        <v>42</v>
      </c>
      <c r="F1841" s="5" t="s">
        <v>33</v>
      </c>
      <c r="G1841" s="5" t="s">
        <v>3451</v>
      </c>
      <c r="H1841" s="5" t="s">
        <v>34</v>
      </c>
      <c r="I1841" s="5">
        <v>3002627762</v>
      </c>
      <c r="J1841" s="12">
        <v>46078</v>
      </c>
      <c r="K1841" s="11">
        <v>0</v>
      </c>
      <c r="M1841" s="10" t="s">
        <v>14705</v>
      </c>
      <c r="N1841" s="12">
        <v>46078.509974270833</v>
      </c>
      <c r="O1841" s="10" t="s">
        <v>15849</v>
      </c>
      <c r="P1841" s="5" t="s">
        <v>14571</v>
      </c>
      <c r="Q1841" s="5" t="s">
        <v>14578</v>
      </c>
      <c r="R1841" s="5" t="s">
        <v>18907</v>
      </c>
      <c r="T1841" s="5" t="s">
        <v>14574</v>
      </c>
      <c r="U1841" s="5" t="s">
        <v>33</v>
      </c>
      <c r="V1841" s="5" t="s">
        <v>43</v>
      </c>
      <c r="W1841" s="5" t="s">
        <v>525</v>
      </c>
    </row>
    <row r="1842" spans="1:23" ht="12.5">
      <c r="A1842" s="5">
        <v>92353</v>
      </c>
      <c r="B1842" s="5" t="s">
        <v>16902</v>
      </c>
      <c r="C1842" s="10" t="s">
        <v>18908</v>
      </c>
      <c r="D1842" s="5">
        <v>26</v>
      </c>
      <c r="E1842" s="5" t="s">
        <v>422</v>
      </c>
      <c r="F1842" s="5" t="s">
        <v>1497</v>
      </c>
      <c r="G1842" s="5" t="s">
        <v>11717</v>
      </c>
      <c r="H1842" s="5" t="s">
        <v>7629</v>
      </c>
      <c r="I1842" s="5">
        <v>573003819256</v>
      </c>
      <c r="J1842" s="12">
        <v>46079</v>
      </c>
      <c r="K1842" s="11">
        <v>0</v>
      </c>
      <c r="M1842" s="10" t="s">
        <v>14708</v>
      </c>
      <c r="N1842" s="12">
        <v>46078</v>
      </c>
      <c r="O1842" s="10" t="s">
        <v>15401</v>
      </c>
      <c r="P1842" s="5" t="s">
        <v>14571</v>
      </c>
      <c r="Q1842" s="5" t="s">
        <v>14578</v>
      </c>
      <c r="R1842" s="5" t="s">
        <v>18909</v>
      </c>
      <c r="T1842" s="5" t="s">
        <v>5994</v>
      </c>
      <c r="U1842" s="5" t="s">
        <v>14593</v>
      </c>
      <c r="V1842" s="5" t="s">
        <v>1937</v>
      </c>
      <c r="W1842" s="5" t="s">
        <v>11624</v>
      </c>
    </row>
    <row r="1843" spans="1:23" ht="12.5">
      <c r="A1843" s="5">
        <v>92354</v>
      </c>
      <c r="B1843" s="5" t="s">
        <v>18910</v>
      </c>
      <c r="C1843" s="5">
        <v>17869685798</v>
      </c>
      <c r="D1843" s="5">
        <v>32</v>
      </c>
      <c r="E1843" s="5" t="s">
        <v>65</v>
      </c>
      <c r="F1843" s="5" t="s">
        <v>249</v>
      </c>
      <c r="G1843" s="5" t="s">
        <v>11635</v>
      </c>
      <c r="H1843" s="5" t="s">
        <v>11636</v>
      </c>
      <c r="I1843" s="5" t="s">
        <v>11637</v>
      </c>
      <c r="J1843" s="12">
        <v>46079</v>
      </c>
      <c r="K1843" s="11">
        <v>0</v>
      </c>
      <c r="M1843" s="10" t="s">
        <v>14627</v>
      </c>
      <c r="N1843" s="12">
        <v>46078.515308009257</v>
      </c>
      <c r="O1843" s="10" t="s">
        <v>15399</v>
      </c>
      <c r="P1843" s="5" t="s">
        <v>14571</v>
      </c>
      <c r="Q1843" s="5" t="s">
        <v>14612</v>
      </c>
      <c r="R1843" s="5" t="s">
        <v>18911</v>
      </c>
      <c r="T1843" s="5" t="s">
        <v>5994</v>
      </c>
      <c r="U1843" s="5" t="s">
        <v>14593</v>
      </c>
      <c r="V1843" s="5" t="s">
        <v>83</v>
      </c>
      <c r="W1843" s="5"/>
    </row>
    <row r="1844" spans="1:23" ht="12.5">
      <c r="A1844" s="5">
        <v>92355</v>
      </c>
      <c r="B1844" s="5" t="s">
        <v>18912</v>
      </c>
      <c r="C1844" s="5">
        <v>19293851596</v>
      </c>
      <c r="D1844" s="5">
        <v>2</v>
      </c>
      <c r="E1844" s="5" t="s">
        <v>1251</v>
      </c>
      <c r="F1844" s="5" t="s">
        <v>103</v>
      </c>
      <c r="G1844" s="5" t="s">
        <v>11642</v>
      </c>
      <c r="H1844" s="5" t="s">
        <v>11643</v>
      </c>
      <c r="I1844" s="5" t="s">
        <v>15231</v>
      </c>
      <c r="J1844" s="12">
        <v>46078</v>
      </c>
      <c r="K1844" s="11">
        <v>0</v>
      </c>
      <c r="M1844" s="10" t="s">
        <v>17077</v>
      </c>
      <c r="N1844" s="12">
        <v>46078.523782164353</v>
      </c>
      <c r="O1844" s="10" t="s">
        <v>14968</v>
      </c>
      <c r="P1844" s="5" t="s">
        <v>14571</v>
      </c>
      <c r="Q1844" s="5" t="s">
        <v>14612</v>
      </c>
      <c r="R1844" s="5" t="s">
        <v>18913</v>
      </c>
      <c r="T1844" s="5" t="s">
        <v>5994</v>
      </c>
      <c r="U1844" s="5" t="s">
        <v>14593</v>
      </c>
      <c r="V1844" s="5" t="s">
        <v>3754</v>
      </c>
      <c r="W1844" s="5" t="s">
        <v>11646</v>
      </c>
    </row>
    <row r="1845" spans="1:23" ht="12.5">
      <c r="A1845" s="5">
        <v>92356</v>
      </c>
      <c r="B1845" s="5" t="s">
        <v>18914</v>
      </c>
      <c r="C1845" s="10" t="s">
        <v>18915</v>
      </c>
      <c r="D1845" s="5">
        <v>39</v>
      </c>
      <c r="E1845" s="5" t="s">
        <v>96</v>
      </c>
      <c r="F1845" s="5" t="s">
        <v>351</v>
      </c>
      <c r="G1845" s="5" t="s">
        <v>11648</v>
      </c>
      <c r="H1845" s="5" t="s">
        <v>11649</v>
      </c>
      <c r="I1845" s="5"/>
      <c r="J1845" s="12">
        <v>46078</v>
      </c>
      <c r="K1845" s="11">
        <v>0</v>
      </c>
      <c r="M1845" s="10" t="s">
        <v>15304</v>
      </c>
      <c r="N1845" s="12">
        <v>46078</v>
      </c>
      <c r="O1845" s="10" t="s">
        <v>15131</v>
      </c>
      <c r="P1845" s="5" t="s">
        <v>14571</v>
      </c>
      <c r="Q1845" s="5" t="s">
        <v>14578</v>
      </c>
      <c r="R1845" s="5" t="s">
        <v>18916</v>
      </c>
      <c r="T1845" s="5" t="s">
        <v>5994</v>
      </c>
      <c r="U1845" s="5" t="s">
        <v>14580</v>
      </c>
      <c r="V1845" s="5" t="s">
        <v>83</v>
      </c>
      <c r="W1845" s="5"/>
    </row>
    <row r="1846" spans="1:23" ht="12.5">
      <c r="A1846" s="5">
        <v>92357</v>
      </c>
      <c r="B1846" s="5" t="s">
        <v>11653</v>
      </c>
      <c r="C1846" s="5">
        <v>573005293740</v>
      </c>
      <c r="D1846" s="5">
        <v>52</v>
      </c>
      <c r="E1846" s="5" t="s">
        <v>178</v>
      </c>
      <c r="F1846" s="5" t="s">
        <v>33</v>
      </c>
      <c r="G1846" s="5" t="s">
        <v>11653</v>
      </c>
      <c r="H1846" s="5" t="s">
        <v>34</v>
      </c>
      <c r="I1846" s="5">
        <v>3005293740</v>
      </c>
      <c r="J1846" s="12">
        <v>46078</v>
      </c>
      <c r="K1846" s="11">
        <v>0</v>
      </c>
      <c r="M1846" s="10" t="s">
        <v>14705</v>
      </c>
      <c r="N1846" s="12">
        <v>46078.558121875001</v>
      </c>
      <c r="O1846" s="10" t="s">
        <v>17525</v>
      </c>
      <c r="P1846" s="5" t="s">
        <v>14571</v>
      </c>
      <c r="Q1846" s="5" t="s">
        <v>14572</v>
      </c>
      <c r="R1846" s="5" t="s">
        <v>18917</v>
      </c>
      <c r="T1846" s="5" t="s">
        <v>14574</v>
      </c>
      <c r="U1846" s="5" t="s">
        <v>33</v>
      </c>
      <c r="V1846" s="5" t="s">
        <v>1705</v>
      </c>
      <c r="W1846" s="5"/>
    </row>
    <row r="1847" spans="1:23" ht="12.5">
      <c r="A1847" s="5">
        <v>92358</v>
      </c>
      <c r="B1847" s="5" t="s">
        <v>15120</v>
      </c>
      <c r="C1847" s="10" t="s">
        <v>18918</v>
      </c>
      <c r="D1847" s="5">
        <v>95</v>
      </c>
      <c r="E1847" s="5" t="s">
        <v>42</v>
      </c>
      <c r="F1847" s="5"/>
      <c r="G1847" s="5" t="s">
        <v>11528</v>
      </c>
      <c r="H1847" s="5" t="s">
        <v>11529</v>
      </c>
      <c r="I1847" s="5">
        <v>3114189941</v>
      </c>
      <c r="J1847" s="12">
        <v>46077</v>
      </c>
      <c r="K1847" s="11">
        <v>0</v>
      </c>
      <c r="M1847" s="10" t="s">
        <v>15161</v>
      </c>
      <c r="N1847" s="12">
        <v>46078</v>
      </c>
      <c r="O1847" s="10" t="s">
        <v>16834</v>
      </c>
      <c r="P1847" s="5" t="s">
        <v>14571</v>
      </c>
      <c r="Q1847" s="5"/>
      <c r="R1847" s="5" t="s">
        <v>18919</v>
      </c>
      <c r="T1847" s="5" t="s">
        <v>5994</v>
      </c>
      <c r="U1847" s="5"/>
      <c r="V1847" s="5" t="s">
        <v>67</v>
      </c>
      <c r="W1847" s="5" t="s">
        <v>525</v>
      </c>
    </row>
    <row r="1848" spans="1:23" ht="12.5">
      <c r="A1848" s="5">
        <v>92359</v>
      </c>
      <c r="B1848" s="5" t="s">
        <v>18920</v>
      </c>
      <c r="C1848" s="10" t="s">
        <v>18921</v>
      </c>
      <c r="D1848" s="5">
        <v>42</v>
      </c>
      <c r="E1848" s="5" t="s">
        <v>649</v>
      </c>
      <c r="F1848" s="5" t="s">
        <v>185</v>
      </c>
      <c r="G1848" s="5" t="s">
        <v>11617</v>
      </c>
      <c r="H1848" s="5" t="s">
        <v>11618</v>
      </c>
      <c r="I1848" s="5"/>
      <c r="J1848" s="12">
        <v>46078</v>
      </c>
      <c r="K1848" s="11">
        <v>0</v>
      </c>
      <c r="M1848" s="10" t="s">
        <v>15140</v>
      </c>
      <c r="N1848" s="12">
        <v>46078</v>
      </c>
      <c r="O1848" s="10" t="s">
        <v>16016</v>
      </c>
      <c r="P1848" s="5" t="s">
        <v>14571</v>
      </c>
      <c r="Q1848" s="5" t="s">
        <v>14572</v>
      </c>
      <c r="R1848" s="5" t="s">
        <v>18922</v>
      </c>
      <c r="T1848" s="5" t="s">
        <v>5994</v>
      </c>
      <c r="U1848" s="5" t="s">
        <v>14580</v>
      </c>
      <c r="V1848" s="5" t="s">
        <v>83</v>
      </c>
      <c r="W1848" s="5" t="s">
        <v>11621</v>
      </c>
    </row>
    <row r="1849" spans="1:23" ht="12.5">
      <c r="A1849" s="5">
        <v>92360</v>
      </c>
      <c r="B1849" s="5" t="s">
        <v>11660</v>
      </c>
      <c r="C1849" s="10" t="s">
        <v>18923</v>
      </c>
      <c r="D1849" s="5" t="s">
        <v>14589</v>
      </c>
      <c r="E1849" s="5" t="s">
        <v>4765</v>
      </c>
      <c r="F1849" s="5" t="s">
        <v>63</v>
      </c>
      <c r="G1849" s="5" t="s">
        <v>11660</v>
      </c>
      <c r="H1849" s="5" t="s">
        <v>11661</v>
      </c>
      <c r="I1849" s="5">
        <v>3133673131</v>
      </c>
      <c r="J1849" s="12">
        <v>46080</v>
      </c>
      <c r="K1849" s="11">
        <v>0.58333333333333337</v>
      </c>
      <c r="M1849" s="10" t="s">
        <v>17091</v>
      </c>
      <c r="N1849" s="12">
        <v>46078</v>
      </c>
      <c r="O1849" s="10" t="s">
        <v>17785</v>
      </c>
      <c r="P1849" s="5" t="s">
        <v>14571</v>
      </c>
      <c r="Q1849" s="5" t="s">
        <v>14699</v>
      </c>
      <c r="R1849" s="5" t="s">
        <v>18924</v>
      </c>
      <c r="T1849" s="5" t="s">
        <v>5994</v>
      </c>
      <c r="U1849" s="5" t="s">
        <v>14598</v>
      </c>
      <c r="V1849" s="5" t="s">
        <v>83</v>
      </c>
      <c r="W1849" s="5" t="s">
        <v>11664</v>
      </c>
    </row>
    <row r="1850" spans="1:23" ht="12.5">
      <c r="A1850" s="5">
        <v>92361</v>
      </c>
      <c r="B1850" s="5" t="s">
        <v>11666</v>
      </c>
      <c r="C1850" s="5">
        <v>573204022852</v>
      </c>
      <c r="D1850" s="5">
        <v>95</v>
      </c>
      <c r="E1850" s="5" t="s">
        <v>42</v>
      </c>
      <c r="F1850" s="5" t="s">
        <v>33</v>
      </c>
      <c r="G1850" s="5" t="s">
        <v>11666</v>
      </c>
      <c r="H1850" s="5" t="s">
        <v>34</v>
      </c>
      <c r="I1850" s="5">
        <v>3204022852</v>
      </c>
      <c r="J1850" s="12">
        <v>46079</v>
      </c>
      <c r="K1850" s="11">
        <v>0.375</v>
      </c>
      <c r="M1850" s="10" t="s">
        <v>15384</v>
      </c>
      <c r="N1850" s="12">
        <v>46078.605247789354</v>
      </c>
      <c r="O1850" s="10" t="s">
        <v>18925</v>
      </c>
      <c r="P1850" s="5" t="s">
        <v>14571</v>
      </c>
      <c r="Q1850" s="5" t="s">
        <v>14578</v>
      </c>
      <c r="R1850" s="5" t="s">
        <v>18926</v>
      </c>
      <c r="T1850" s="5" t="s">
        <v>14574</v>
      </c>
      <c r="U1850" s="5" t="s">
        <v>33</v>
      </c>
      <c r="V1850" s="5" t="s">
        <v>1705</v>
      </c>
      <c r="W1850" s="5" t="s">
        <v>11668</v>
      </c>
    </row>
    <row r="1851" spans="1:23" ht="12.5">
      <c r="A1851" s="5">
        <v>92362</v>
      </c>
      <c r="B1851" s="5" t="s">
        <v>11671</v>
      </c>
      <c r="C1851" s="5">
        <v>573155656648</v>
      </c>
      <c r="D1851" s="5">
        <v>95</v>
      </c>
      <c r="E1851" s="5" t="s">
        <v>42</v>
      </c>
      <c r="F1851" s="5" t="s">
        <v>33</v>
      </c>
      <c r="G1851" s="5" t="s">
        <v>11671</v>
      </c>
      <c r="H1851" s="5" t="s">
        <v>34</v>
      </c>
      <c r="I1851" s="5">
        <v>3155656648</v>
      </c>
      <c r="J1851" s="12">
        <v>46078</v>
      </c>
      <c r="K1851" s="11">
        <v>0.41666666666787933</v>
      </c>
      <c r="M1851" s="10" t="s">
        <v>14740</v>
      </c>
      <c r="N1851" s="12">
        <v>46078.615762569447</v>
      </c>
      <c r="O1851" s="10" t="s">
        <v>16402</v>
      </c>
      <c r="P1851" s="5" t="s">
        <v>14571</v>
      </c>
      <c r="Q1851" s="5" t="s">
        <v>14578</v>
      </c>
      <c r="R1851" s="5" t="s">
        <v>18927</v>
      </c>
      <c r="T1851" s="5" t="s">
        <v>14574</v>
      </c>
      <c r="U1851" s="5" t="s">
        <v>33</v>
      </c>
      <c r="V1851" s="5" t="s">
        <v>196</v>
      </c>
      <c r="W1851" s="5" t="s">
        <v>11673</v>
      </c>
    </row>
    <row r="1852" spans="1:23" ht="12.5">
      <c r="A1852" s="5">
        <v>92363</v>
      </c>
      <c r="B1852" s="5" t="s">
        <v>18928</v>
      </c>
      <c r="C1852" s="10" t="s">
        <v>18929</v>
      </c>
      <c r="D1852" s="5">
        <v>51</v>
      </c>
      <c r="E1852" s="5" t="s">
        <v>384</v>
      </c>
      <c r="F1852" s="5" t="s">
        <v>328</v>
      </c>
      <c r="G1852" s="5" t="s">
        <v>18930</v>
      </c>
      <c r="H1852" s="5" t="s">
        <v>11656</v>
      </c>
      <c r="I1852" s="5">
        <v>3012170250</v>
      </c>
      <c r="J1852" s="12">
        <v>46079</v>
      </c>
      <c r="K1852" s="11">
        <v>0.375</v>
      </c>
      <c r="M1852" s="10" t="s">
        <v>18167</v>
      </c>
      <c r="N1852" s="12">
        <v>46078</v>
      </c>
      <c r="O1852" s="10" t="s">
        <v>15550</v>
      </c>
      <c r="P1852" s="5" t="s">
        <v>14571</v>
      </c>
      <c r="Q1852" s="5" t="s">
        <v>14612</v>
      </c>
      <c r="R1852" s="5" t="s">
        <v>18931</v>
      </c>
      <c r="T1852" s="5" t="s">
        <v>5994</v>
      </c>
      <c r="U1852" s="5"/>
      <c r="V1852" s="5" t="s">
        <v>83</v>
      </c>
      <c r="W1852" s="5" t="s">
        <v>11658</v>
      </c>
    </row>
    <row r="1853" spans="1:23" ht="12.5">
      <c r="A1853" s="5">
        <v>92364</v>
      </c>
      <c r="B1853" s="5" t="s">
        <v>18932</v>
      </c>
      <c r="C1853" s="5">
        <v>573014291268</v>
      </c>
      <c r="D1853" s="5">
        <v>42</v>
      </c>
      <c r="E1853" s="5" t="s">
        <v>649</v>
      </c>
      <c r="F1853" s="5" t="s">
        <v>249</v>
      </c>
      <c r="G1853" s="5" t="s">
        <v>480</v>
      </c>
      <c r="H1853" s="5" t="s">
        <v>11675</v>
      </c>
      <c r="I1853" s="5">
        <v>3008028022</v>
      </c>
      <c r="J1853" s="12">
        <v>46079</v>
      </c>
      <c r="K1853" s="11">
        <v>0.375</v>
      </c>
      <c r="M1853" s="10" t="s">
        <v>14777</v>
      </c>
      <c r="N1853" s="12">
        <v>46078.625200416667</v>
      </c>
      <c r="O1853" s="10" t="s">
        <v>15556</v>
      </c>
      <c r="P1853" s="5" t="s">
        <v>14571</v>
      </c>
      <c r="Q1853" s="5" t="s">
        <v>14578</v>
      </c>
      <c r="R1853" s="5" t="s">
        <v>18933</v>
      </c>
      <c r="T1853" s="5" t="s">
        <v>5994</v>
      </c>
      <c r="U1853" s="5" t="s">
        <v>14593</v>
      </c>
      <c r="V1853" s="5" t="s">
        <v>83</v>
      </c>
      <c r="W1853" s="5" t="s">
        <v>11676</v>
      </c>
    </row>
    <row r="1854" spans="1:23" ht="12.5">
      <c r="A1854" s="5">
        <v>92365</v>
      </c>
      <c r="B1854" s="5" t="s">
        <v>11683</v>
      </c>
      <c r="C1854" s="10" t="s">
        <v>17527</v>
      </c>
      <c r="D1854" s="5">
        <v>95</v>
      </c>
      <c r="E1854" s="5" t="s">
        <v>42</v>
      </c>
      <c r="F1854" s="5" t="s">
        <v>33</v>
      </c>
      <c r="G1854" s="5" t="s">
        <v>11683</v>
      </c>
      <c r="H1854" s="5" t="s">
        <v>34</v>
      </c>
      <c r="I1854" s="5">
        <v>3158714603</v>
      </c>
      <c r="J1854" s="12">
        <v>46078</v>
      </c>
      <c r="K1854" s="11">
        <v>0</v>
      </c>
      <c r="M1854" s="10" t="s">
        <v>18934</v>
      </c>
      <c r="N1854" s="12">
        <v>46078</v>
      </c>
      <c r="O1854" s="10" t="s">
        <v>15453</v>
      </c>
      <c r="P1854" s="5" t="s">
        <v>14571</v>
      </c>
      <c r="Q1854" s="5" t="s">
        <v>14572</v>
      </c>
      <c r="R1854" s="5" t="s">
        <v>18935</v>
      </c>
      <c r="T1854" s="5" t="s">
        <v>14574</v>
      </c>
      <c r="U1854" s="5" t="s">
        <v>33</v>
      </c>
      <c r="V1854" s="5" t="s">
        <v>1481</v>
      </c>
      <c r="W1854" s="5" t="s">
        <v>11684</v>
      </c>
    </row>
    <row r="1855" spans="1:23" ht="12.5">
      <c r="A1855" s="5">
        <v>92366</v>
      </c>
      <c r="B1855" s="5" t="s">
        <v>18936</v>
      </c>
      <c r="C1855" s="10" t="s">
        <v>18937</v>
      </c>
      <c r="D1855" s="5">
        <v>41</v>
      </c>
      <c r="E1855" s="5" t="s">
        <v>89</v>
      </c>
      <c r="F1855" s="5" t="s">
        <v>185</v>
      </c>
      <c r="G1855" s="5" t="s">
        <v>11687</v>
      </c>
      <c r="H1855" s="5" t="s">
        <v>11688</v>
      </c>
      <c r="I1855" s="5">
        <v>3004342758</v>
      </c>
      <c r="J1855" s="12">
        <v>46080</v>
      </c>
      <c r="K1855" s="11">
        <v>0.33333333333333331</v>
      </c>
      <c r="M1855" s="10" t="s">
        <v>16429</v>
      </c>
      <c r="N1855" s="12">
        <v>46078</v>
      </c>
      <c r="O1855" s="10" t="s">
        <v>15879</v>
      </c>
      <c r="P1855" s="5" t="s">
        <v>14571</v>
      </c>
      <c r="Q1855" s="5" t="s">
        <v>14572</v>
      </c>
      <c r="R1855" s="5" t="s">
        <v>18938</v>
      </c>
      <c r="T1855" s="5" t="s">
        <v>5994</v>
      </c>
      <c r="U1855" s="5" t="s">
        <v>14580</v>
      </c>
      <c r="V1855" s="5" t="s">
        <v>83</v>
      </c>
      <c r="W1855" s="5" t="s">
        <v>11691</v>
      </c>
    </row>
    <row r="1856" spans="1:23" ht="12.5">
      <c r="A1856" s="5">
        <v>92367</v>
      </c>
      <c r="B1856" s="5" t="s">
        <v>18939</v>
      </c>
      <c r="C1856" s="5">
        <v>573016373200</v>
      </c>
      <c r="D1856" s="5">
        <v>26</v>
      </c>
      <c r="E1856" s="5" t="s">
        <v>422</v>
      </c>
      <c r="F1856" s="5" t="s">
        <v>185</v>
      </c>
      <c r="G1856" s="5" t="s">
        <v>11694</v>
      </c>
      <c r="H1856" s="5" t="s">
        <v>11695</v>
      </c>
      <c r="I1856" s="5">
        <v>3158734575</v>
      </c>
      <c r="J1856" s="12">
        <v>46078</v>
      </c>
      <c r="K1856" s="11">
        <v>0.70833333333212067</v>
      </c>
      <c r="M1856" s="10" t="s">
        <v>15623</v>
      </c>
      <c r="N1856" s="12">
        <v>46078.641223657411</v>
      </c>
      <c r="O1856" s="10" t="s">
        <v>15953</v>
      </c>
      <c r="P1856" s="5" t="s">
        <v>14571</v>
      </c>
      <c r="Q1856" s="5" t="s">
        <v>14578</v>
      </c>
      <c r="R1856" s="5" t="s">
        <v>18940</v>
      </c>
      <c r="T1856" s="5" t="s">
        <v>5994</v>
      </c>
      <c r="U1856" s="5" t="s">
        <v>14580</v>
      </c>
      <c r="V1856" s="5" t="s">
        <v>180</v>
      </c>
      <c r="W1856" s="5" t="s">
        <v>11698</v>
      </c>
    </row>
    <row r="1857" spans="1:23" ht="12.5">
      <c r="A1857" s="5">
        <v>92368</v>
      </c>
      <c r="B1857" s="5" t="s">
        <v>12140</v>
      </c>
      <c r="C1857" s="10" t="s">
        <v>18941</v>
      </c>
      <c r="D1857" s="5">
        <v>68</v>
      </c>
      <c r="E1857" s="5" t="s">
        <v>361</v>
      </c>
      <c r="F1857" s="5" t="s">
        <v>1057</v>
      </c>
      <c r="G1857" s="5" t="s">
        <v>11678</v>
      </c>
      <c r="H1857" s="5" t="s">
        <v>11679</v>
      </c>
      <c r="I1857" s="5">
        <v>3217530452</v>
      </c>
      <c r="J1857" s="12">
        <v>46079</v>
      </c>
      <c r="K1857" s="11">
        <v>0</v>
      </c>
      <c r="M1857" s="10" t="s">
        <v>18942</v>
      </c>
      <c r="N1857" s="12">
        <v>46078</v>
      </c>
      <c r="O1857" s="10" t="s">
        <v>18663</v>
      </c>
      <c r="P1857" s="5" t="s">
        <v>14571</v>
      </c>
      <c r="Q1857" s="5" t="s">
        <v>14572</v>
      </c>
      <c r="R1857" s="5" t="s">
        <v>18943</v>
      </c>
      <c r="T1857" s="5" t="s">
        <v>5994</v>
      </c>
      <c r="U1857" s="5" t="s">
        <v>14580</v>
      </c>
      <c r="V1857" s="5" t="s">
        <v>204</v>
      </c>
      <c r="W1857" s="5" t="s">
        <v>11682</v>
      </c>
    </row>
    <row r="1858" spans="1:23" ht="12.5">
      <c r="A1858" s="5">
        <v>92369</v>
      </c>
      <c r="B1858" s="5" t="s">
        <v>18944</v>
      </c>
      <c r="C1858" s="10" t="s">
        <v>18945</v>
      </c>
      <c r="D1858" s="5">
        <v>29</v>
      </c>
      <c r="E1858" s="5" t="s">
        <v>309</v>
      </c>
      <c r="F1858" s="5" t="s">
        <v>63</v>
      </c>
      <c r="G1858" s="5" t="s">
        <v>11582</v>
      </c>
      <c r="H1858" s="5" t="s">
        <v>11583</v>
      </c>
      <c r="I1858" s="5" t="s">
        <v>15231</v>
      </c>
      <c r="J1858" s="12">
        <v>46078</v>
      </c>
      <c r="K1858" s="11">
        <v>0.70833333333333337</v>
      </c>
      <c r="M1858" s="10" t="s">
        <v>15179</v>
      </c>
      <c r="N1858" s="12">
        <v>46078</v>
      </c>
      <c r="O1858" s="10" t="s">
        <v>15050</v>
      </c>
      <c r="P1858" s="5" t="s">
        <v>14571</v>
      </c>
      <c r="Q1858" s="5" t="s">
        <v>14572</v>
      </c>
      <c r="R1858" s="5" t="s">
        <v>18946</v>
      </c>
      <c r="T1858" s="5" t="s">
        <v>5994</v>
      </c>
      <c r="U1858" s="5" t="s">
        <v>14598</v>
      </c>
      <c r="V1858" s="5" t="s">
        <v>67</v>
      </c>
      <c r="W1858" s="5"/>
    </row>
    <row r="1859" spans="1:23" ht="12.5">
      <c r="A1859" s="5">
        <v>92370</v>
      </c>
      <c r="B1859" s="5" t="s">
        <v>17090</v>
      </c>
      <c r="C1859" s="5">
        <v>573014404403</v>
      </c>
      <c r="D1859" s="5">
        <v>20</v>
      </c>
      <c r="E1859" s="5" t="s">
        <v>187</v>
      </c>
      <c r="F1859" s="5" t="s">
        <v>307</v>
      </c>
      <c r="G1859" s="5" t="s">
        <v>4102</v>
      </c>
      <c r="H1859" s="5" t="s">
        <v>11699</v>
      </c>
      <c r="I1859" s="5">
        <v>3014404403</v>
      </c>
      <c r="J1859" s="12">
        <v>46079</v>
      </c>
      <c r="K1859" s="11">
        <v>0.41666666666787933</v>
      </c>
      <c r="M1859" s="10" t="s">
        <v>14649</v>
      </c>
      <c r="N1859" s="12">
        <v>46078.652724930551</v>
      </c>
      <c r="O1859" s="10" t="s">
        <v>18947</v>
      </c>
      <c r="P1859" s="5" t="s">
        <v>14571</v>
      </c>
      <c r="Q1859" s="5" t="s">
        <v>14572</v>
      </c>
      <c r="R1859" s="5" t="s">
        <v>18948</v>
      </c>
      <c r="T1859" s="5" t="s">
        <v>5994</v>
      </c>
      <c r="U1859" s="5" t="s">
        <v>14618</v>
      </c>
      <c r="V1859" s="5" t="s">
        <v>83</v>
      </c>
      <c r="W1859" s="5" t="s">
        <v>11702</v>
      </c>
    </row>
    <row r="1860" spans="1:23" ht="12.5">
      <c r="A1860" s="5">
        <v>92371</v>
      </c>
      <c r="B1860" s="5" t="s">
        <v>14333</v>
      </c>
      <c r="C1860" s="5">
        <v>573215005033</v>
      </c>
      <c r="D1860" s="5">
        <v>20</v>
      </c>
      <c r="E1860" s="5" t="s">
        <v>187</v>
      </c>
      <c r="F1860" s="5" t="s">
        <v>73</v>
      </c>
      <c r="G1860" s="5" t="s">
        <v>11495</v>
      </c>
      <c r="H1860" s="5" t="s">
        <v>11496</v>
      </c>
      <c r="I1860" s="5"/>
      <c r="J1860" s="12">
        <v>46079</v>
      </c>
      <c r="K1860" s="11">
        <v>0</v>
      </c>
      <c r="M1860" s="10" t="s">
        <v>14890</v>
      </c>
      <c r="N1860" s="12">
        <v>46077.560090648149</v>
      </c>
      <c r="O1860" s="10" t="s">
        <v>15367</v>
      </c>
      <c r="P1860" s="5" t="s">
        <v>14571</v>
      </c>
      <c r="Q1860" s="5" t="s">
        <v>14578</v>
      </c>
      <c r="R1860" s="5" t="s">
        <v>18949</v>
      </c>
      <c r="T1860" s="5" t="s">
        <v>5994</v>
      </c>
      <c r="U1860" s="5" t="s">
        <v>14593</v>
      </c>
      <c r="V1860" s="5" t="s">
        <v>1937</v>
      </c>
      <c r="W1860" s="5"/>
    </row>
    <row r="1861" spans="1:23" ht="12.5">
      <c r="A1861" s="5">
        <v>92372</v>
      </c>
      <c r="B1861" s="5" t="s">
        <v>18950</v>
      </c>
      <c r="C1861" s="5">
        <v>573013714345</v>
      </c>
      <c r="D1861" s="5">
        <v>30</v>
      </c>
      <c r="E1861" s="5" t="s">
        <v>156</v>
      </c>
      <c r="F1861" s="5" t="s">
        <v>154</v>
      </c>
      <c r="G1861" s="5" t="s">
        <v>11704</v>
      </c>
      <c r="H1861" s="5" t="s">
        <v>11705</v>
      </c>
      <c r="I1861" s="5">
        <v>3016004691</v>
      </c>
      <c r="J1861" s="12">
        <v>46079</v>
      </c>
      <c r="K1861" s="11">
        <v>0.41666666666787933</v>
      </c>
      <c r="M1861" s="10" t="s">
        <v>14850</v>
      </c>
      <c r="N1861" s="12">
        <v>46078.669571817125</v>
      </c>
      <c r="O1861" s="10" t="s">
        <v>15724</v>
      </c>
      <c r="P1861" s="5" t="s">
        <v>14571</v>
      </c>
      <c r="Q1861" s="5" t="s">
        <v>14612</v>
      </c>
      <c r="R1861" s="5" t="s">
        <v>18951</v>
      </c>
      <c r="T1861" s="5" t="s">
        <v>5994</v>
      </c>
      <c r="U1861" s="5" t="s">
        <v>14593</v>
      </c>
      <c r="V1861" s="5" t="s">
        <v>83</v>
      </c>
      <c r="W1861" s="5" t="s">
        <v>11708</v>
      </c>
    </row>
    <row r="1862" spans="1:23" ht="12.5">
      <c r="A1862" s="5">
        <v>92373</v>
      </c>
      <c r="B1862" s="5" t="s">
        <v>18952</v>
      </c>
      <c r="C1862" s="5">
        <v>573112773215</v>
      </c>
      <c r="D1862" s="5">
        <v>29</v>
      </c>
      <c r="E1862" s="5" t="s">
        <v>11553</v>
      </c>
      <c r="F1862" s="5" t="s">
        <v>103</v>
      </c>
      <c r="G1862" s="5" t="s">
        <v>11551</v>
      </c>
      <c r="H1862" s="5" t="s">
        <v>11552</v>
      </c>
      <c r="I1862" s="5">
        <v>3112773215</v>
      </c>
      <c r="J1862" s="12">
        <v>46080</v>
      </c>
      <c r="K1862" s="11">
        <v>0.375</v>
      </c>
      <c r="M1862" s="10" t="s">
        <v>18953</v>
      </c>
      <c r="N1862" s="12">
        <v>46078.328338182866</v>
      </c>
      <c r="O1862" s="10" t="s">
        <v>16418</v>
      </c>
      <c r="P1862" s="5" t="s">
        <v>14571</v>
      </c>
      <c r="Q1862" s="5" t="s">
        <v>14612</v>
      </c>
      <c r="R1862" s="5" t="s">
        <v>18954</v>
      </c>
      <c r="T1862" s="5" t="s">
        <v>5994</v>
      </c>
      <c r="U1862" s="5" t="s">
        <v>14593</v>
      </c>
      <c r="V1862" s="5" t="s">
        <v>67</v>
      </c>
      <c r="W1862" s="5" t="s">
        <v>11556</v>
      </c>
    </row>
    <row r="1863" spans="1:23" ht="12.5">
      <c r="A1863" s="5">
        <v>92374</v>
      </c>
      <c r="B1863" s="5" t="s">
        <v>18955</v>
      </c>
      <c r="C1863" s="5">
        <v>50688387782</v>
      </c>
      <c r="D1863" s="5">
        <v>62</v>
      </c>
      <c r="E1863" s="5" t="s">
        <v>2586</v>
      </c>
      <c r="F1863" s="5" t="s">
        <v>1497</v>
      </c>
      <c r="G1863" s="5" t="s">
        <v>11717</v>
      </c>
      <c r="H1863" s="5" t="s">
        <v>11718</v>
      </c>
      <c r="I1863" s="5" t="s">
        <v>15231</v>
      </c>
      <c r="J1863" s="12">
        <v>46079</v>
      </c>
      <c r="K1863" s="11">
        <v>0.41666666666787933</v>
      </c>
      <c r="M1863" s="10" t="s">
        <v>15767</v>
      </c>
      <c r="N1863" s="12">
        <v>46078.694609155093</v>
      </c>
      <c r="O1863" s="10" t="s">
        <v>16244</v>
      </c>
      <c r="P1863" s="5" t="s">
        <v>14571</v>
      </c>
      <c r="Q1863" s="5" t="s">
        <v>14572</v>
      </c>
      <c r="R1863" s="5" t="s">
        <v>18956</v>
      </c>
      <c r="T1863" s="5" t="s">
        <v>5994</v>
      </c>
      <c r="U1863" s="5" t="s">
        <v>14593</v>
      </c>
      <c r="V1863" s="5" t="s">
        <v>1937</v>
      </c>
      <c r="W1863" s="5" t="s">
        <v>11721</v>
      </c>
    </row>
    <row r="1864" spans="1:23" ht="12.5">
      <c r="A1864" s="5">
        <v>92375</v>
      </c>
      <c r="B1864" s="5" t="s">
        <v>18957</v>
      </c>
      <c r="C1864" s="5">
        <v>573217712414</v>
      </c>
      <c r="D1864" s="5">
        <v>42</v>
      </c>
      <c r="E1864" s="5" t="s">
        <v>649</v>
      </c>
      <c r="F1864" s="5" t="s">
        <v>1317</v>
      </c>
      <c r="G1864" s="5" t="s">
        <v>11730</v>
      </c>
      <c r="H1864" s="5" t="s">
        <v>11731</v>
      </c>
      <c r="I1864" s="5">
        <v>3102458938</v>
      </c>
      <c r="J1864" s="12">
        <v>46079</v>
      </c>
      <c r="K1864" s="11">
        <v>0.33333333333212067</v>
      </c>
      <c r="M1864" s="10" t="s">
        <v>15301</v>
      </c>
      <c r="N1864" s="12">
        <v>46078.742189201388</v>
      </c>
      <c r="O1864" s="10" t="s">
        <v>15740</v>
      </c>
      <c r="P1864" s="5" t="s">
        <v>14571</v>
      </c>
      <c r="Q1864" s="5" t="s">
        <v>14578</v>
      </c>
      <c r="R1864" s="5" t="s">
        <v>18958</v>
      </c>
      <c r="T1864" s="5" t="s">
        <v>5994</v>
      </c>
      <c r="U1864" s="5" t="s">
        <v>15349</v>
      </c>
      <c r="V1864" s="5" t="s">
        <v>67</v>
      </c>
      <c r="W1864" s="5"/>
    </row>
    <row r="1865" spans="1:23" ht="12.5">
      <c r="A1865" s="5">
        <v>92376</v>
      </c>
      <c r="B1865" s="5" t="s">
        <v>18959</v>
      </c>
      <c r="C1865" s="5">
        <v>573108315079</v>
      </c>
      <c r="D1865" s="5" t="s">
        <v>14589</v>
      </c>
      <c r="E1865" s="5" t="s">
        <v>11725</v>
      </c>
      <c r="F1865" s="5" t="s">
        <v>103</v>
      </c>
      <c r="G1865" s="5" t="s">
        <v>11723</v>
      </c>
      <c r="H1865" s="5" t="s">
        <v>11724</v>
      </c>
      <c r="I1865" s="5">
        <v>3017226485</v>
      </c>
      <c r="J1865" s="12">
        <v>46081</v>
      </c>
      <c r="K1865" s="11">
        <v>0.35138888888832298</v>
      </c>
      <c r="M1865" s="10" t="s">
        <v>14649</v>
      </c>
      <c r="N1865" s="12">
        <v>46078.719809016198</v>
      </c>
      <c r="O1865" s="10" t="s">
        <v>18960</v>
      </c>
      <c r="P1865" s="5" t="s">
        <v>14571</v>
      </c>
      <c r="Q1865" s="5" t="s">
        <v>14578</v>
      </c>
      <c r="R1865" s="5" t="s">
        <v>18961</v>
      </c>
      <c r="T1865" s="5" t="s">
        <v>5994</v>
      </c>
      <c r="U1865" s="5" t="s">
        <v>14593</v>
      </c>
      <c r="V1865" s="5" t="s">
        <v>83</v>
      </c>
      <c r="W1865" s="5" t="s">
        <v>11728</v>
      </c>
    </row>
    <row r="1866" spans="1:23" ht="12.5">
      <c r="A1866" s="5">
        <v>92377</v>
      </c>
      <c r="B1866" s="5" t="s">
        <v>11711</v>
      </c>
      <c r="C1866" s="5">
        <v>573183922187</v>
      </c>
      <c r="D1866" s="5">
        <v>20</v>
      </c>
      <c r="E1866" s="5" t="s">
        <v>187</v>
      </c>
      <c r="F1866" s="5" t="s">
        <v>975</v>
      </c>
      <c r="G1866" s="5" t="s">
        <v>11711</v>
      </c>
      <c r="H1866" s="5" t="s">
        <v>11712</v>
      </c>
      <c r="I1866" s="5">
        <v>3183922187</v>
      </c>
      <c r="J1866" s="12">
        <v>46079</v>
      </c>
      <c r="K1866" s="11">
        <v>0.34097222222044365</v>
      </c>
      <c r="M1866" s="10" t="s">
        <v>14649</v>
      </c>
      <c r="N1866" s="12">
        <v>46078.68746872685</v>
      </c>
      <c r="O1866" s="10" t="s">
        <v>18962</v>
      </c>
      <c r="P1866" s="5" t="s">
        <v>14571</v>
      </c>
      <c r="Q1866" s="5" t="s">
        <v>14612</v>
      </c>
      <c r="R1866" s="5" t="s">
        <v>18963</v>
      </c>
      <c r="T1866" s="5" t="s">
        <v>5994</v>
      </c>
      <c r="U1866" s="5" t="s">
        <v>14593</v>
      </c>
      <c r="V1866" s="5" t="s">
        <v>1937</v>
      </c>
      <c r="W1866" s="5" t="s">
        <v>11715</v>
      </c>
    </row>
    <row r="1867" spans="1:23" ht="12.5">
      <c r="A1867" s="5">
        <v>92378</v>
      </c>
      <c r="B1867" s="5" t="s">
        <v>11736</v>
      </c>
      <c r="C1867" s="5">
        <v>573112957503</v>
      </c>
      <c r="D1867" s="5">
        <v>52</v>
      </c>
      <c r="E1867" s="5" t="s">
        <v>178</v>
      </c>
      <c r="F1867" s="5" t="s">
        <v>33</v>
      </c>
      <c r="G1867" s="5" t="s">
        <v>11736</v>
      </c>
      <c r="H1867" s="5" t="s">
        <v>34</v>
      </c>
      <c r="I1867" s="5">
        <v>3112957503</v>
      </c>
      <c r="J1867" s="12">
        <v>46078</v>
      </c>
      <c r="K1867" s="11">
        <v>0.76805555555620231</v>
      </c>
      <c r="M1867" s="10" t="s">
        <v>15161</v>
      </c>
      <c r="N1867" s="12">
        <v>46078.761794895836</v>
      </c>
      <c r="O1867" s="10" t="s">
        <v>16559</v>
      </c>
      <c r="P1867" s="5" t="s">
        <v>14571</v>
      </c>
      <c r="Q1867" s="5" t="s">
        <v>14572</v>
      </c>
      <c r="R1867" s="5" t="s">
        <v>18964</v>
      </c>
      <c r="T1867" s="5" t="s">
        <v>14574</v>
      </c>
      <c r="U1867" s="5" t="s">
        <v>33</v>
      </c>
      <c r="V1867" s="5" t="s">
        <v>1705</v>
      </c>
      <c r="W1867" s="5"/>
    </row>
    <row r="1868" spans="1:23" ht="12.5">
      <c r="A1868" s="5">
        <v>92379</v>
      </c>
      <c r="B1868" s="5" t="s">
        <v>3526</v>
      </c>
      <c r="C1868" s="10" t="s">
        <v>16976</v>
      </c>
      <c r="D1868" s="5">
        <v>95</v>
      </c>
      <c r="E1868" s="5" t="s">
        <v>42</v>
      </c>
      <c r="F1868" s="5" t="s">
        <v>33</v>
      </c>
      <c r="G1868" s="5" t="s">
        <v>3526</v>
      </c>
      <c r="H1868" s="5" t="s">
        <v>34</v>
      </c>
      <c r="I1868" s="5">
        <v>3174289182</v>
      </c>
      <c r="J1868" s="12">
        <v>46078</v>
      </c>
      <c r="K1868" s="11">
        <v>0.7680555555555556</v>
      </c>
      <c r="M1868" s="10" t="s">
        <v>15663</v>
      </c>
      <c r="N1868" s="12">
        <v>46078</v>
      </c>
      <c r="O1868" s="10" t="s">
        <v>16495</v>
      </c>
      <c r="P1868" s="5" t="s">
        <v>14571</v>
      </c>
      <c r="Q1868" s="5" t="s">
        <v>14572</v>
      </c>
      <c r="R1868" s="5" t="s">
        <v>18965</v>
      </c>
      <c r="T1868" s="5" t="s">
        <v>14574</v>
      </c>
      <c r="U1868" s="5" t="s">
        <v>33</v>
      </c>
      <c r="V1868" s="5" t="s">
        <v>1705</v>
      </c>
      <c r="W1868" s="5" t="s">
        <v>11737</v>
      </c>
    </row>
    <row r="1869" spans="1:23" ht="12.5">
      <c r="A1869" s="5">
        <v>92380</v>
      </c>
      <c r="B1869" s="5" t="s">
        <v>18966</v>
      </c>
      <c r="C1869" s="5">
        <v>573157182762</v>
      </c>
      <c r="D1869" s="5">
        <v>67</v>
      </c>
      <c r="E1869" s="5" t="s">
        <v>542</v>
      </c>
      <c r="F1869" s="5" t="s">
        <v>73</v>
      </c>
      <c r="G1869" s="5" t="s">
        <v>11744</v>
      </c>
      <c r="H1869" s="5" t="s">
        <v>11745</v>
      </c>
      <c r="I1869" s="5">
        <v>3157182762</v>
      </c>
      <c r="J1869" s="12">
        <v>46079</v>
      </c>
      <c r="K1869" s="11">
        <v>0.41666666666787933</v>
      </c>
      <c r="M1869" s="10" t="s">
        <v>15623</v>
      </c>
      <c r="N1869" s="12">
        <v>46079.308687627316</v>
      </c>
      <c r="O1869" s="10" t="s">
        <v>16502</v>
      </c>
      <c r="P1869" s="5" t="s">
        <v>14571</v>
      </c>
      <c r="Q1869" s="5" t="s">
        <v>14578</v>
      </c>
      <c r="R1869" s="5" t="s">
        <v>18967</v>
      </c>
      <c r="T1869" s="5" t="s">
        <v>5994</v>
      </c>
      <c r="U1869" s="5" t="s">
        <v>14593</v>
      </c>
      <c r="V1869" s="5" t="s">
        <v>1481</v>
      </c>
      <c r="W1869" s="5" t="s">
        <v>583</v>
      </c>
    </row>
    <row r="1870" spans="1:23" ht="12.5">
      <c r="A1870" s="5">
        <v>92381</v>
      </c>
      <c r="B1870" s="5" t="s">
        <v>18968</v>
      </c>
      <c r="C1870" s="5">
        <v>573116531859</v>
      </c>
      <c r="D1870" s="5">
        <v>45</v>
      </c>
      <c r="E1870" s="5" t="s">
        <v>210</v>
      </c>
      <c r="F1870" s="5" t="s">
        <v>110</v>
      </c>
      <c r="G1870" s="5" t="s">
        <v>11762</v>
      </c>
      <c r="H1870" s="5" t="s">
        <v>11763</v>
      </c>
      <c r="I1870" s="5">
        <v>3116531859</v>
      </c>
      <c r="J1870" s="12">
        <v>46079</v>
      </c>
      <c r="K1870" s="11">
        <v>0.41666666666787933</v>
      </c>
      <c r="M1870" s="10" t="s">
        <v>18969</v>
      </c>
      <c r="N1870" s="12">
        <v>46079.363897129631</v>
      </c>
      <c r="O1870" s="10" t="s">
        <v>17222</v>
      </c>
      <c r="P1870" s="5" t="s">
        <v>14571</v>
      </c>
      <c r="Q1870" s="5" t="s">
        <v>14572</v>
      </c>
      <c r="R1870" s="5" t="s">
        <v>18970</v>
      </c>
      <c r="T1870" s="5" t="s">
        <v>5994</v>
      </c>
      <c r="U1870" s="5" t="s">
        <v>14593</v>
      </c>
      <c r="V1870" s="5" t="s">
        <v>2636</v>
      </c>
      <c r="W1870" s="5"/>
    </row>
    <row r="1871" spans="1:23" ht="12.5">
      <c r="A1871" s="5">
        <v>92382</v>
      </c>
      <c r="B1871" s="5" t="s">
        <v>18971</v>
      </c>
      <c r="C1871" s="5">
        <v>573115998840</v>
      </c>
      <c r="D1871" s="5">
        <v>51</v>
      </c>
      <c r="E1871" s="5" t="s">
        <v>384</v>
      </c>
      <c r="F1871" s="5" t="s">
        <v>249</v>
      </c>
      <c r="G1871" s="5" t="s">
        <v>11749</v>
      </c>
      <c r="H1871" s="5" t="s">
        <v>11750</v>
      </c>
      <c r="I1871" s="5">
        <v>3115998840</v>
      </c>
      <c r="J1871" s="12">
        <v>46079</v>
      </c>
      <c r="K1871" s="11">
        <v>0.41666666666787933</v>
      </c>
      <c r="M1871" s="10" t="s">
        <v>14777</v>
      </c>
      <c r="N1871" s="12">
        <v>46079.315062303242</v>
      </c>
      <c r="O1871" s="10" t="s">
        <v>14781</v>
      </c>
      <c r="P1871" s="5" t="s">
        <v>14571</v>
      </c>
      <c r="Q1871" s="5" t="s">
        <v>14572</v>
      </c>
      <c r="R1871" s="5" t="s">
        <v>18972</v>
      </c>
      <c r="T1871" s="5" t="s">
        <v>5994</v>
      </c>
      <c r="U1871" s="5" t="s">
        <v>14593</v>
      </c>
      <c r="V1871" s="5" t="s">
        <v>1481</v>
      </c>
      <c r="W1871" s="5"/>
    </row>
    <row r="1872" spans="1:23" ht="12.5">
      <c r="A1872" s="5">
        <v>92383</v>
      </c>
      <c r="B1872" s="5" t="s">
        <v>18973</v>
      </c>
      <c r="C1872" s="5">
        <v>573116975485</v>
      </c>
      <c r="D1872" s="5" t="s">
        <v>18974</v>
      </c>
      <c r="E1872" s="5" t="s">
        <v>11782</v>
      </c>
      <c r="F1872" s="5" t="s">
        <v>73</v>
      </c>
      <c r="G1872" s="5" t="s">
        <v>11780</v>
      </c>
      <c r="H1872" s="5" t="s">
        <v>11781</v>
      </c>
      <c r="I1872" s="5"/>
      <c r="J1872" s="12">
        <v>46080</v>
      </c>
      <c r="K1872" s="11">
        <v>0.375</v>
      </c>
      <c r="M1872" s="10" t="s">
        <v>16589</v>
      </c>
      <c r="N1872" s="12">
        <v>46079.391622175928</v>
      </c>
      <c r="O1872" s="10" t="s">
        <v>15911</v>
      </c>
      <c r="P1872" s="5" t="s">
        <v>14571</v>
      </c>
      <c r="Q1872" s="5" t="s">
        <v>14612</v>
      </c>
      <c r="R1872" s="5" t="s">
        <v>18975</v>
      </c>
      <c r="T1872" s="5" t="s">
        <v>5994</v>
      </c>
      <c r="U1872" s="5" t="s">
        <v>14593</v>
      </c>
      <c r="V1872" s="5" t="s">
        <v>1481</v>
      </c>
      <c r="W1872" s="5"/>
    </row>
    <row r="1873" spans="1:23" ht="12.5">
      <c r="A1873" s="5">
        <v>92384</v>
      </c>
      <c r="B1873" s="5" t="s">
        <v>18976</v>
      </c>
      <c r="C1873" s="5">
        <v>573016987395</v>
      </c>
      <c r="D1873" s="5">
        <v>31</v>
      </c>
      <c r="E1873" s="5" t="s">
        <v>375</v>
      </c>
      <c r="F1873" s="5" t="s">
        <v>420</v>
      </c>
      <c r="G1873" s="5" t="s">
        <v>11739</v>
      </c>
      <c r="H1873" s="5" t="s">
        <v>11740</v>
      </c>
      <c r="I1873" s="5">
        <v>3116501398</v>
      </c>
      <c r="J1873" s="12">
        <v>46079</v>
      </c>
      <c r="K1873" s="11">
        <v>0.41666666666787933</v>
      </c>
      <c r="M1873" s="10" t="s">
        <v>15585</v>
      </c>
      <c r="N1873" s="12">
        <v>46078.96492697917</v>
      </c>
      <c r="O1873" s="10" t="s">
        <v>15170</v>
      </c>
      <c r="P1873" s="5" t="s">
        <v>14571</v>
      </c>
      <c r="Q1873" s="5" t="s">
        <v>14578</v>
      </c>
      <c r="R1873" s="5" t="s">
        <v>18977</v>
      </c>
      <c r="T1873" s="5" t="s">
        <v>5994</v>
      </c>
      <c r="U1873" s="5" t="s">
        <v>14580</v>
      </c>
      <c r="V1873" s="5" t="s">
        <v>1937</v>
      </c>
      <c r="W1873" s="5" t="s">
        <v>11743</v>
      </c>
    </row>
    <row r="1874" spans="1:23" ht="12.5">
      <c r="A1874" s="5">
        <v>92385</v>
      </c>
      <c r="B1874" s="5" t="s">
        <v>18978</v>
      </c>
      <c r="C1874" s="5">
        <v>573157004568</v>
      </c>
      <c r="D1874" s="5">
        <v>24</v>
      </c>
      <c r="E1874" s="5" t="s">
        <v>251</v>
      </c>
      <c r="F1874" s="5" t="s">
        <v>161</v>
      </c>
      <c r="G1874" s="5" t="s">
        <v>11766</v>
      </c>
      <c r="H1874" s="5" t="s">
        <v>11767</v>
      </c>
      <c r="I1874" s="5">
        <v>3157004568</v>
      </c>
      <c r="J1874" s="12">
        <v>46080</v>
      </c>
      <c r="K1874" s="11">
        <v>0.45833333333212067</v>
      </c>
      <c r="M1874" s="10" t="s">
        <v>14853</v>
      </c>
      <c r="N1874" s="12">
        <v>46079.369845624999</v>
      </c>
      <c r="O1874" s="10" t="s">
        <v>15111</v>
      </c>
      <c r="P1874" s="5" t="s">
        <v>14571</v>
      </c>
      <c r="Q1874" s="5" t="s">
        <v>14612</v>
      </c>
      <c r="R1874" s="5" t="s">
        <v>18979</v>
      </c>
      <c r="T1874" s="5" t="s">
        <v>5994</v>
      </c>
      <c r="U1874" s="5" t="s">
        <v>14593</v>
      </c>
      <c r="V1874" s="5" t="s">
        <v>1937</v>
      </c>
      <c r="W1874" s="5" t="s">
        <v>3330</v>
      </c>
    </row>
    <row r="1875" spans="1:23" ht="12.5">
      <c r="A1875" s="5">
        <v>92386</v>
      </c>
      <c r="B1875" s="5" t="s">
        <v>18980</v>
      </c>
      <c r="C1875" s="5">
        <v>573215956870</v>
      </c>
      <c r="D1875" s="5">
        <v>1</v>
      </c>
      <c r="E1875" s="5" t="s">
        <v>5730</v>
      </c>
      <c r="F1875" s="5" t="s">
        <v>124</v>
      </c>
      <c r="G1875" s="5" t="s">
        <v>11770</v>
      </c>
      <c r="H1875" s="5" t="s">
        <v>11771</v>
      </c>
      <c r="I1875" s="5">
        <v>3215956870</v>
      </c>
      <c r="J1875" s="12">
        <v>46079</v>
      </c>
      <c r="K1875" s="11">
        <v>0</v>
      </c>
      <c r="M1875" s="10" t="s">
        <v>17430</v>
      </c>
      <c r="N1875" s="12">
        <v>46079.388774872685</v>
      </c>
      <c r="O1875" s="10" t="s">
        <v>14767</v>
      </c>
      <c r="P1875" s="5" t="s">
        <v>14571</v>
      </c>
      <c r="Q1875" s="5" t="s">
        <v>14612</v>
      </c>
      <c r="R1875" s="5" t="s">
        <v>18981</v>
      </c>
      <c r="T1875" s="5" t="s">
        <v>5994</v>
      </c>
      <c r="U1875" s="5" t="s">
        <v>14775</v>
      </c>
      <c r="V1875" s="5" t="s">
        <v>1481</v>
      </c>
      <c r="W1875" s="5"/>
    </row>
    <row r="1876" spans="1:23" ht="12.5">
      <c r="A1876" s="5">
        <v>92387</v>
      </c>
      <c r="B1876" s="5" t="s">
        <v>2901</v>
      </c>
      <c r="C1876" s="5">
        <v>573215509226</v>
      </c>
      <c r="D1876" s="5">
        <v>16</v>
      </c>
      <c r="E1876" s="5" t="s">
        <v>2556</v>
      </c>
      <c r="F1876" s="5"/>
      <c r="G1876" s="5" t="s">
        <v>11792</v>
      </c>
      <c r="H1876" s="5" t="s">
        <v>11793</v>
      </c>
      <c r="I1876" s="5"/>
      <c r="J1876" s="12">
        <v>46079</v>
      </c>
      <c r="K1876" s="11">
        <v>0</v>
      </c>
      <c r="M1876" s="10" t="s">
        <v>16675</v>
      </c>
      <c r="N1876" s="12">
        <v>46079.439877546298</v>
      </c>
      <c r="O1876" s="10" t="s">
        <v>15088</v>
      </c>
      <c r="P1876" s="5" t="s">
        <v>14571</v>
      </c>
      <c r="Q1876" s="5" t="s">
        <v>14612</v>
      </c>
      <c r="R1876" s="5" t="s">
        <v>18982</v>
      </c>
      <c r="T1876" s="5" t="s">
        <v>5994</v>
      </c>
      <c r="U1876" s="5"/>
      <c r="V1876" s="5" t="s">
        <v>43</v>
      </c>
      <c r="W1876" s="5"/>
    </row>
    <row r="1877" spans="1:23" ht="12.5">
      <c r="A1877" s="5">
        <v>92388</v>
      </c>
      <c r="B1877" s="5" t="s">
        <v>13001</v>
      </c>
      <c r="C1877" s="5">
        <v>573227688428</v>
      </c>
      <c r="D1877" s="5" t="s">
        <v>14589</v>
      </c>
      <c r="E1877" s="5" t="s">
        <v>11787</v>
      </c>
      <c r="F1877" s="5"/>
      <c r="G1877" s="5" t="s">
        <v>11785</v>
      </c>
      <c r="H1877" s="5" t="s">
        <v>11786</v>
      </c>
      <c r="I1877" s="5">
        <v>3006053253</v>
      </c>
      <c r="J1877" s="12">
        <v>46089</v>
      </c>
      <c r="K1877" s="11">
        <v>0.375</v>
      </c>
      <c r="M1877" s="10" t="s">
        <v>14777</v>
      </c>
      <c r="N1877" s="12">
        <v>46079.432027777773</v>
      </c>
      <c r="O1877" s="10" t="s">
        <v>15506</v>
      </c>
      <c r="P1877" s="5" t="s">
        <v>14571</v>
      </c>
      <c r="Q1877" s="5" t="s">
        <v>14572</v>
      </c>
      <c r="R1877" s="5" t="s">
        <v>18983</v>
      </c>
      <c r="T1877" s="5" t="s">
        <v>5994</v>
      </c>
      <c r="U1877" s="5"/>
      <c r="V1877" s="5" t="s">
        <v>1481</v>
      </c>
      <c r="W1877" s="5" t="s">
        <v>11790</v>
      </c>
    </row>
    <row r="1878" spans="1:23" ht="12.5">
      <c r="A1878" s="5">
        <v>92389</v>
      </c>
      <c r="B1878" s="5" t="s">
        <v>18984</v>
      </c>
      <c r="C1878" s="10" t="s">
        <v>18985</v>
      </c>
      <c r="D1878" s="5">
        <v>48</v>
      </c>
      <c r="E1878" s="5" t="s">
        <v>613</v>
      </c>
      <c r="F1878" s="5" t="s">
        <v>161</v>
      </c>
      <c r="G1878" s="5" t="s">
        <v>18986</v>
      </c>
      <c r="H1878" s="5" t="s">
        <v>11805</v>
      </c>
      <c r="I1878" s="5"/>
      <c r="J1878" s="12">
        <v>46080</v>
      </c>
      <c r="K1878" s="11">
        <v>0.375</v>
      </c>
      <c r="M1878" s="10" t="s">
        <v>18987</v>
      </c>
      <c r="N1878" s="12">
        <v>46079</v>
      </c>
      <c r="O1878" s="10" t="s">
        <v>15770</v>
      </c>
      <c r="P1878" s="5" t="s">
        <v>14571</v>
      </c>
      <c r="Q1878" s="5" t="s">
        <v>14578</v>
      </c>
      <c r="R1878" s="5" t="s">
        <v>18988</v>
      </c>
      <c r="T1878" s="5" t="s">
        <v>5994</v>
      </c>
      <c r="U1878" s="5" t="s">
        <v>14593</v>
      </c>
      <c r="V1878" s="5" t="s">
        <v>1481</v>
      </c>
      <c r="W1878" s="5"/>
    </row>
    <row r="1879" spans="1:23" ht="12.5">
      <c r="A1879" s="5">
        <v>92390</v>
      </c>
      <c r="B1879" s="5" t="s">
        <v>18989</v>
      </c>
      <c r="C1879" s="5">
        <v>573016574716</v>
      </c>
      <c r="D1879" s="5">
        <v>68</v>
      </c>
      <c r="E1879" s="5" t="s">
        <v>361</v>
      </c>
      <c r="F1879" s="5" t="s">
        <v>73</v>
      </c>
      <c r="G1879" s="5" t="s">
        <v>11798</v>
      </c>
      <c r="H1879" s="5" t="s">
        <v>11799</v>
      </c>
      <c r="I1879" s="5">
        <v>3016574716</v>
      </c>
      <c r="J1879" s="12">
        <v>46079</v>
      </c>
      <c r="K1879" s="11">
        <v>0.58333333333212067</v>
      </c>
      <c r="M1879" s="10" t="s">
        <v>15140</v>
      </c>
      <c r="N1879" s="12">
        <v>46079.444060694441</v>
      </c>
      <c r="O1879" s="10" t="s">
        <v>16195</v>
      </c>
      <c r="P1879" s="5" t="s">
        <v>14571</v>
      </c>
      <c r="Q1879" s="5" t="s">
        <v>14578</v>
      </c>
      <c r="R1879" s="5" t="s">
        <v>18990</v>
      </c>
      <c r="T1879" s="5" t="s">
        <v>5994</v>
      </c>
      <c r="U1879" s="5" t="s">
        <v>14593</v>
      </c>
      <c r="V1879" s="5" t="s">
        <v>204</v>
      </c>
      <c r="W1879" s="5" t="s">
        <v>11801</v>
      </c>
    </row>
    <row r="1880" spans="1:23" ht="12.5">
      <c r="A1880" s="5">
        <v>92391</v>
      </c>
      <c r="B1880" s="5" t="s">
        <v>11794</v>
      </c>
      <c r="C1880" s="5">
        <v>573004618367</v>
      </c>
      <c r="D1880" s="5">
        <v>32</v>
      </c>
      <c r="E1880" s="5" t="s">
        <v>65</v>
      </c>
      <c r="F1880" s="5"/>
      <c r="G1880" s="5" t="s">
        <v>11794</v>
      </c>
      <c r="H1880" s="5" t="s">
        <v>34</v>
      </c>
      <c r="I1880" s="5">
        <v>3004618367</v>
      </c>
      <c r="J1880" s="12">
        <v>46079</v>
      </c>
      <c r="K1880" s="11">
        <v>0.58333333333212067</v>
      </c>
      <c r="M1880" s="10" t="s">
        <v>14585</v>
      </c>
      <c r="N1880" s="12">
        <v>46079.442354120372</v>
      </c>
      <c r="O1880" s="10" t="s">
        <v>16593</v>
      </c>
      <c r="P1880" s="5" t="s">
        <v>14571</v>
      </c>
      <c r="Q1880" s="5" t="s">
        <v>14572</v>
      </c>
      <c r="R1880" s="5" t="s">
        <v>18991</v>
      </c>
      <c r="T1880" s="5" t="s">
        <v>5994</v>
      </c>
      <c r="U1880" s="5"/>
      <c r="V1880" s="5" t="s">
        <v>180</v>
      </c>
      <c r="W1880" s="5"/>
    </row>
    <row r="1881" spans="1:23" ht="12.5">
      <c r="A1881" s="5">
        <v>92392</v>
      </c>
      <c r="B1881" s="5" t="s">
        <v>18992</v>
      </c>
      <c r="C1881" s="5">
        <v>573007771043</v>
      </c>
      <c r="D1881" s="5">
        <v>34</v>
      </c>
      <c r="E1881" s="5" t="s">
        <v>1597</v>
      </c>
      <c r="F1881" s="5" t="s">
        <v>2263</v>
      </c>
      <c r="G1881" s="5" t="s">
        <v>11809</v>
      </c>
      <c r="H1881" s="5" t="s">
        <v>11810</v>
      </c>
      <c r="I1881" s="5"/>
      <c r="J1881" s="12">
        <v>46081</v>
      </c>
      <c r="K1881" s="11">
        <v>0.375</v>
      </c>
      <c r="M1881" s="10" t="s">
        <v>18993</v>
      </c>
      <c r="N1881" s="12">
        <v>46079.481848900468</v>
      </c>
      <c r="O1881" s="10" t="s">
        <v>15290</v>
      </c>
      <c r="P1881" s="5" t="s">
        <v>14571</v>
      </c>
      <c r="Q1881" s="5" t="s">
        <v>14578</v>
      </c>
      <c r="R1881" s="5" t="s">
        <v>18994</v>
      </c>
      <c r="T1881" s="5" t="s">
        <v>5994</v>
      </c>
      <c r="U1881" s="5" t="s">
        <v>14580</v>
      </c>
      <c r="V1881" s="5" t="s">
        <v>196</v>
      </c>
      <c r="W1881" s="5"/>
    </row>
    <row r="1882" spans="1:23" ht="12.5">
      <c r="A1882" s="5">
        <v>92393</v>
      </c>
      <c r="B1882" s="5" t="s">
        <v>18995</v>
      </c>
      <c r="C1882" s="5">
        <v>573164978794</v>
      </c>
      <c r="D1882" s="5">
        <v>78</v>
      </c>
      <c r="E1882" s="5" t="s">
        <v>3892</v>
      </c>
      <c r="F1882" s="5" t="s">
        <v>4403</v>
      </c>
      <c r="G1882" s="5" t="s">
        <v>11811</v>
      </c>
      <c r="H1882" s="5" t="s">
        <v>8238</v>
      </c>
      <c r="I1882" s="5"/>
      <c r="J1882" s="12">
        <v>46079</v>
      </c>
      <c r="K1882" s="11">
        <v>0.58333333333212067</v>
      </c>
      <c r="M1882" s="10" t="s">
        <v>15420</v>
      </c>
      <c r="N1882" s="12">
        <v>46079.49511103009</v>
      </c>
      <c r="O1882" s="10" t="s">
        <v>15777</v>
      </c>
      <c r="P1882" s="5" t="s">
        <v>14571</v>
      </c>
      <c r="Q1882" s="5" t="s">
        <v>14578</v>
      </c>
      <c r="R1882" s="5" t="s">
        <v>18996</v>
      </c>
      <c r="T1882" s="5" t="s">
        <v>5994</v>
      </c>
      <c r="U1882" s="5" t="s">
        <v>14598</v>
      </c>
      <c r="V1882" s="5" t="s">
        <v>1481</v>
      </c>
      <c r="W1882" s="5"/>
    </row>
    <row r="1883" spans="1:23" ht="12.5">
      <c r="A1883" s="5">
        <v>92394</v>
      </c>
      <c r="B1883" s="5" t="s">
        <v>18997</v>
      </c>
      <c r="C1883" s="5">
        <v>573182619183</v>
      </c>
      <c r="D1883" s="5">
        <v>95</v>
      </c>
      <c r="E1883" s="5" t="s">
        <v>42</v>
      </c>
      <c r="F1883" s="5" t="s">
        <v>328</v>
      </c>
      <c r="G1883" s="5" t="s">
        <v>11814</v>
      </c>
      <c r="H1883" s="5" t="s">
        <v>11815</v>
      </c>
      <c r="I1883" s="5"/>
      <c r="J1883" s="12">
        <v>46081</v>
      </c>
      <c r="K1883" s="11">
        <v>0.33333333333212067</v>
      </c>
      <c r="M1883" s="10" t="s">
        <v>15019</v>
      </c>
      <c r="N1883" s="12">
        <v>46079.518871342589</v>
      </c>
      <c r="O1883" s="10" t="s">
        <v>14864</v>
      </c>
      <c r="P1883" s="5" t="s">
        <v>14571</v>
      </c>
      <c r="Q1883" s="5" t="s">
        <v>14699</v>
      </c>
      <c r="R1883" s="5" t="s">
        <v>18998</v>
      </c>
      <c r="T1883" s="5" t="s">
        <v>5994</v>
      </c>
      <c r="U1883" s="5"/>
      <c r="V1883" s="5" t="s">
        <v>1937</v>
      </c>
      <c r="W1883" s="5"/>
    </row>
    <row r="1884" spans="1:23" ht="12.5">
      <c r="A1884" s="5">
        <v>92395</v>
      </c>
      <c r="B1884" s="5" t="s">
        <v>8243</v>
      </c>
      <c r="C1884" s="5">
        <v>573205215209</v>
      </c>
      <c r="D1884" s="5">
        <v>19</v>
      </c>
      <c r="E1884" s="5" t="s">
        <v>2120</v>
      </c>
      <c r="F1884" s="5" t="s">
        <v>185</v>
      </c>
      <c r="G1884" s="5" t="s">
        <v>11817</v>
      </c>
      <c r="H1884" s="5" t="s">
        <v>11818</v>
      </c>
      <c r="I1884" s="5" t="s">
        <v>15231</v>
      </c>
      <c r="J1884" s="12">
        <v>46079</v>
      </c>
      <c r="K1884" s="11">
        <v>0.58333333333212067</v>
      </c>
      <c r="M1884" s="10" t="s">
        <v>14697</v>
      </c>
      <c r="N1884" s="12">
        <v>46079.51911868056</v>
      </c>
      <c r="O1884" s="10" t="s">
        <v>16597</v>
      </c>
      <c r="P1884" s="5" t="s">
        <v>14571</v>
      </c>
      <c r="Q1884" s="5" t="s">
        <v>14578</v>
      </c>
      <c r="R1884" s="5" t="s">
        <v>18999</v>
      </c>
      <c r="T1884" s="5" t="s">
        <v>5994</v>
      </c>
      <c r="U1884" s="5" t="s">
        <v>14580</v>
      </c>
      <c r="V1884" s="5" t="s">
        <v>1481</v>
      </c>
      <c r="W1884" s="5" t="s">
        <v>11820</v>
      </c>
    </row>
    <row r="1885" spans="1:23" ht="12.5">
      <c r="A1885" s="5">
        <v>92396</v>
      </c>
      <c r="B1885" s="5" t="s">
        <v>19000</v>
      </c>
      <c r="C1885" s="5">
        <v>573216437580</v>
      </c>
      <c r="D1885" s="5">
        <v>68</v>
      </c>
      <c r="E1885" s="5" t="s">
        <v>361</v>
      </c>
      <c r="F1885" s="5" t="s">
        <v>11628</v>
      </c>
      <c r="G1885" s="5" t="s">
        <v>11827</v>
      </c>
      <c r="H1885" s="5" t="s">
        <v>11828</v>
      </c>
      <c r="I1885" s="5">
        <v>3008370103</v>
      </c>
      <c r="J1885" s="12">
        <v>46080</v>
      </c>
      <c r="K1885" s="11">
        <v>0.375</v>
      </c>
      <c r="M1885" s="10" t="s">
        <v>14615</v>
      </c>
      <c r="N1885" s="12">
        <v>46079.613245868051</v>
      </c>
      <c r="O1885" s="10" t="s">
        <v>19001</v>
      </c>
      <c r="P1885" s="5" t="s">
        <v>14571</v>
      </c>
      <c r="Q1885" s="5" t="s">
        <v>14612</v>
      </c>
      <c r="R1885" s="5" t="s">
        <v>19002</v>
      </c>
      <c r="T1885" s="5" t="s">
        <v>5994</v>
      </c>
      <c r="U1885" s="5"/>
      <c r="V1885" s="5" t="s">
        <v>204</v>
      </c>
      <c r="W1885" s="5"/>
    </row>
    <row r="1886" spans="1:23" ht="12.5">
      <c r="A1886" s="5">
        <v>92397</v>
      </c>
      <c r="B1886" s="5" t="s">
        <v>19003</v>
      </c>
      <c r="C1886" s="5">
        <v>13058749745</v>
      </c>
      <c r="D1886" s="5">
        <v>95</v>
      </c>
      <c r="E1886" s="5" t="s">
        <v>42</v>
      </c>
      <c r="F1886" s="5" t="s">
        <v>161</v>
      </c>
      <c r="G1886" s="5" t="s">
        <v>11832</v>
      </c>
      <c r="H1886" s="5" t="s">
        <v>11833</v>
      </c>
      <c r="I1886" s="5">
        <v>3205651265</v>
      </c>
      <c r="J1886" s="12">
        <v>46081</v>
      </c>
      <c r="K1886" s="11">
        <v>0.33333333333212067</v>
      </c>
      <c r="M1886" s="10" t="s">
        <v>19004</v>
      </c>
      <c r="N1886" s="12">
        <v>46079.6196331713</v>
      </c>
      <c r="O1886" s="10" t="s">
        <v>17694</v>
      </c>
      <c r="P1886" s="5" t="s">
        <v>14571</v>
      </c>
      <c r="Q1886" s="5" t="s">
        <v>14612</v>
      </c>
      <c r="R1886" s="5" t="s">
        <v>19005</v>
      </c>
      <c r="T1886" s="5" t="s">
        <v>5994</v>
      </c>
      <c r="U1886" s="5" t="s">
        <v>14593</v>
      </c>
      <c r="V1886" s="5" t="s">
        <v>1937</v>
      </c>
      <c r="W1886" s="5" t="s">
        <v>11835</v>
      </c>
    </row>
    <row r="1887" spans="1:23" ht="12.5">
      <c r="A1887" s="5">
        <v>92398</v>
      </c>
      <c r="B1887" s="5" t="s">
        <v>11850</v>
      </c>
      <c r="C1887" s="5">
        <v>573177383143</v>
      </c>
      <c r="D1887" s="5">
        <v>95</v>
      </c>
      <c r="E1887" s="5" t="s">
        <v>42</v>
      </c>
      <c r="F1887" s="5" t="s">
        <v>33</v>
      </c>
      <c r="G1887" s="5" t="s">
        <v>11850</v>
      </c>
      <c r="H1887" s="5" t="s">
        <v>34</v>
      </c>
      <c r="I1887" s="5">
        <v>3177383143</v>
      </c>
      <c r="J1887" s="12">
        <v>46079</v>
      </c>
      <c r="K1887" s="11">
        <v>0</v>
      </c>
      <c r="M1887" s="10" t="s">
        <v>14639</v>
      </c>
      <c r="N1887" s="12">
        <v>46079.634215648148</v>
      </c>
      <c r="O1887" s="10" t="s">
        <v>15560</v>
      </c>
      <c r="P1887" s="5" t="s">
        <v>14571</v>
      </c>
      <c r="Q1887" s="5" t="s">
        <v>14612</v>
      </c>
      <c r="R1887" s="5" t="s">
        <v>19006</v>
      </c>
      <c r="T1887" s="5" t="s">
        <v>14574</v>
      </c>
      <c r="U1887" s="5" t="s">
        <v>33</v>
      </c>
      <c r="V1887" s="5" t="s">
        <v>1705</v>
      </c>
      <c r="W1887" s="5" t="s">
        <v>11851</v>
      </c>
    </row>
    <row r="1888" spans="1:23" ht="12.5">
      <c r="A1888" s="5">
        <v>92399</v>
      </c>
      <c r="B1888" s="5" t="s">
        <v>19007</v>
      </c>
      <c r="C1888" s="5">
        <v>573007322901</v>
      </c>
      <c r="D1888" s="5">
        <v>69</v>
      </c>
      <c r="E1888" s="5" t="s">
        <v>335</v>
      </c>
      <c r="F1888" s="5" t="s">
        <v>892</v>
      </c>
      <c r="G1888" s="5" t="s">
        <v>11822</v>
      </c>
      <c r="H1888" s="5" t="s">
        <v>11823</v>
      </c>
      <c r="I1888" s="5" t="s">
        <v>15231</v>
      </c>
      <c r="J1888" s="12">
        <v>46079</v>
      </c>
      <c r="K1888" s="11">
        <v>0</v>
      </c>
      <c r="M1888" s="10" t="s">
        <v>10581</v>
      </c>
      <c r="N1888" s="12">
        <v>46079.598777106483</v>
      </c>
      <c r="O1888" s="10" t="s">
        <v>17195</v>
      </c>
      <c r="P1888" s="5" t="s">
        <v>14571</v>
      </c>
      <c r="Q1888" s="5" t="s">
        <v>14572</v>
      </c>
      <c r="R1888" s="5" t="s">
        <v>19008</v>
      </c>
      <c r="T1888" s="5" t="s">
        <v>5994</v>
      </c>
      <c r="U1888" s="5" t="s">
        <v>14593</v>
      </c>
      <c r="V1888" s="5" t="s">
        <v>204</v>
      </c>
      <c r="W1888" s="5"/>
    </row>
    <row r="1889" spans="1:23" ht="12.5">
      <c r="A1889" s="5">
        <v>92400</v>
      </c>
      <c r="B1889" s="5" t="s">
        <v>19009</v>
      </c>
      <c r="C1889" s="5">
        <v>573028320446</v>
      </c>
      <c r="D1889" s="5" t="s">
        <v>14589</v>
      </c>
      <c r="E1889" s="5" t="s">
        <v>11840</v>
      </c>
      <c r="F1889" s="5" t="s">
        <v>9002</v>
      </c>
      <c r="G1889" s="5" t="s">
        <v>11837</v>
      </c>
      <c r="H1889" s="5" t="s">
        <v>11838</v>
      </c>
      <c r="I1889" s="5" t="s">
        <v>11839</v>
      </c>
      <c r="J1889" s="12">
        <v>46079</v>
      </c>
      <c r="K1889" s="11">
        <v>0</v>
      </c>
      <c r="M1889" s="10" t="s">
        <v>14766</v>
      </c>
      <c r="N1889" s="12">
        <v>46079.62586112268</v>
      </c>
      <c r="O1889" s="10" t="s">
        <v>16790</v>
      </c>
      <c r="P1889" s="5" t="s">
        <v>14571</v>
      </c>
      <c r="Q1889" s="5" t="s">
        <v>14578</v>
      </c>
      <c r="R1889" s="5" t="s">
        <v>19010</v>
      </c>
      <c r="T1889" s="5" t="s">
        <v>5994</v>
      </c>
      <c r="U1889" s="5" t="s">
        <v>14775</v>
      </c>
      <c r="V1889" s="5" t="s">
        <v>1481</v>
      </c>
      <c r="W1889" s="5" t="s">
        <v>11842</v>
      </c>
    </row>
    <row r="1890" spans="1:23" ht="12.5">
      <c r="A1890" s="5">
        <v>92401</v>
      </c>
      <c r="B1890" s="5" t="s">
        <v>19011</v>
      </c>
      <c r="C1890" s="5">
        <v>573162909330</v>
      </c>
      <c r="D1890" s="5">
        <v>50</v>
      </c>
      <c r="E1890" s="5" t="s">
        <v>347</v>
      </c>
      <c r="F1890" s="5" t="s">
        <v>892</v>
      </c>
      <c r="G1890" s="5" t="s">
        <v>11854</v>
      </c>
      <c r="H1890" s="5" t="s">
        <v>648</v>
      </c>
      <c r="I1890" s="5">
        <v>3244917220</v>
      </c>
      <c r="J1890" s="12">
        <v>46080</v>
      </c>
      <c r="K1890" s="11">
        <v>0.375</v>
      </c>
      <c r="M1890" s="10" t="s">
        <v>15859</v>
      </c>
      <c r="N1890" s="12">
        <v>46079.636366076389</v>
      </c>
      <c r="O1890" s="10" t="s">
        <v>15466</v>
      </c>
      <c r="P1890" s="5" t="s">
        <v>14571</v>
      </c>
      <c r="Q1890" s="5" t="s">
        <v>14612</v>
      </c>
      <c r="R1890" s="5" t="s">
        <v>19012</v>
      </c>
      <c r="T1890" s="5" t="s">
        <v>5994</v>
      </c>
      <c r="U1890" s="5" t="s">
        <v>14593</v>
      </c>
      <c r="V1890" s="5" t="s">
        <v>1481</v>
      </c>
      <c r="W1890" s="5" t="s">
        <v>10974</v>
      </c>
    </row>
    <row r="1891" spans="1:23" ht="12.5">
      <c r="A1891" s="5">
        <v>92402</v>
      </c>
      <c r="B1891" s="5" t="s">
        <v>11844</v>
      </c>
      <c r="C1891" s="5">
        <v>573107226918</v>
      </c>
      <c r="D1891" s="5">
        <v>29</v>
      </c>
      <c r="E1891" s="5" t="s">
        <v>309</v>
      </c>
      <c r="F1891" s="5" t="s">
        <v>73</v>
      </c>
      <c r="G1891" s="5" t="s">
        <v>11844</v>
      </c>
      <c r="H1891" s="5" t="s">
        <v>11845</v>
      </c>
      <c r="I1891" s="5">
        <v>3107226918</v>
      </c>
      <c r="J1891" s="12">
        <v>46079</v>
      </c>
      <c r="K1891" s="11">
        <v>0.66666666666787933</v>
      </c>
      <c r="M1891" s="10" t="s">
        <v>15585</v>
      </c>
      <c r="N1891" s="12">
        <v>46079.628602638884</v>
      </c>
      <c r="O1891" s="10" t="s">
        <v>18124</v>
      </c>
      <c r="P1891" s="5" t="s">
        <v>14571</v>
      </c>
      <c r="Q1891" s="5" t="s">
        <v>14572</v>
      </c>
      <c r="R1891" s="5" t="s">
        <v>19013</v>
      </c>
      <c r="T1891" s="5" t="s">
        <v>5994</v>
      </c>
      <c r="U1891" s="5" t="s">
        <v>14593</v>
      </c>
      <c r="V1891" s="5" t="s">
        <v>1937</v>
      </c>
      <c r="W1891" s="5"/>
    </row>
    <row r="1892" spans="1:23" ht="12.5">
      <c r="A1892" s="5">
        <v>92403</v>
      </c>
      <c r="B1892" s="5" t="s">
        <v>19014</v>
      </c>
      <c r="C1892" s="5">
        <v>573006962626</v>
      </c>
      <c r="D1892" s="5">
        <v>28</v>
      </c>
      <c r="E1892" s="5" t="s">
        <v>435</v>
      </c>
      <c r="F1892" s="5" t="s">
        <v>110</v>
      </c>
      <c r="G1892" s="5" t="s">
        <v>11858</v>
      </c>
      <c r="H1892" s="5" t="s">
        <v>11859</v>
      </c>
      <c r="I1892" s="5">
        <v>3114330476</v>
      </c>
      <c r="J1892" s="12">
        <v>46079</v>
      </c>
      <c r="K1892" s="11">
        <v>0.66666666666787933</v>
      </c>
      <c r="M1892" s="10" t="s">
        <v>19015</v>
      </c>
      <c r="N1892" s="12">
        <v>46079.652330532408</v>
      </c>
      <c r="O1892" s="10" t="s">
        <v>15378</v>
      </c>
      <c r="P1892" s="5" t="s">
        <v>14571</v>
      </c>
      <c r="Q1892" s="5" t="s">
        <v>14572</v>
      </c>
      <c r="R1892" s="5" t="s">
        <v>19016</v>
      </c>
      <c r="T1892" s="5" t="s">
        <v>5994</v>
      </c>
      <c r="U1892" s="5" t="s">
        <v>14593</v>
      </c>
      <c r="V1892" s="5" t="s">
        <v>1481</v>
      </c>
      <c r="W1892" s="5" t="s">
        <v>11862</v>
      </c>
    </row>
    <row r="1893" spans="1:23" ht="12.5">
      <c r="A1893" s="5">
        <v>92404</v>
      </c>
      <c r="B1893" s="5" t="s">
        <v>19017</v>
      </c>
      <c r="C1893" s="10" t="s">
        <v>19018</v>
      </c>
      <c r="D1893" s="5">
        <v>25</v>
      </c>
      <c r="E1893" s="5" t="s">
        <v>1792</v>
      </c>
      <c r="F1893" s="5" t="s">
        <v>63</v>
      </c>
      <c r="G1893" s="5" t="s">
        <v>11775</v>
      </c>
      <c r="H1893" s="5" t="s">
        <v>11776</v>
      </c>
      <c r="I1893" s="5">
        <v>3145964445</v>
      </c>
      <c r="J1893" s="12">
        <v>46081</v>
      </c>
      <c r="K1893" s="11">
        <v>0.375</v>
      </c>
      <c r="M1893" s="10" t="s">
        <v>18312</v>
      </c>
      <c r="N1893" s="12">
        <v>46079</v>
      </c>
      <c r="O1893" s="10" t="s">
        <v>15236</v>
      </c>
      <c r="P1893" s="5" t="s">
        <v>14571</v>
      </c>
      <c r="Q1893" s="5" t="s">
        <v>14699</v>
      </c>
      <c r="R1893" s="5" t="s">
        <v>19019</v>
      </c>
      <c r="T1893" s="5" t="s">
        <v>5994</v>
      </c>
      <c r="U1893" s="5" t="s">
        <v>14598</v>
      </c>
      <c r="V1893" s="5" t="s">
        <v>1937</v>
      </c>
      <c r="W1893" s="5"/>
    </row>
    <row r="1894" spans="1:23" ht="12.5">
      <c r="A1894" s="5">
        <v>92405</v>
      </c>
      <c r="B1894" s="5" t="s">
        <v>19020</v>
      </c>
      <c r="C1894" s="5">
        <v>573008156363</v>
      </c>
      <c r="D1894" s="5">
        <v>31</v>
      </c>
      <c r="E1894" s="5" t="s">
        <v>375</v>
      </c>
      <c r="F1894" s="5" t="s">
        <v>161</v>
      </c>
      <c r="G1894" s="5" t="s">
        <v>11865</v>
      </c>
      <c r="H1894" s="5" t="s">
        <v>11866</v>
      </c>
      <c r="I1894" s="5">
        <v>3103588773</v>
      </c>
      <c r="J1894" s="12">
        <v>46079</v>
      </c>
      <c r="K1894" s="11">
        <v>0.66666666666787933</v>
      </c>
      <c r="M1894" s="10" t="s">
        <v>14850</v>
      </c>
      <c r="N1894" s="12">
        <v>46079.656290682869</v>
      </c>
      <c r="O1894" s="10" t="s">
        <v>14813</v>
      </c>
      <c r="P1894" s="5" t="s">
        <v>14571</v>
      </c>
      <c r="Q1894" s="5" t="s">
        <v>14578</v>
      </c>
      <c r="R1894" s="5" t="s">
        <v>19021</v>
      </c>
      <c r="T1894" s="5" t="s">
        <v>5994</v>
      </c>
      <c r="U1894" s="5" t="s">
        <v>14593</v>
      </c>
      <c r="V1894" s="5" t="s">
        <v>1481</v>
      </c>
      <c r="W1894" s="5"/>
    </row>
    <row r="1895" spans="1:23" ht="12.5">
      <c r="A1895" s="5">
        <v>92406</v>
      </c>
      <c r="B1895" s="5" t="s">
        <v>11869</v>
      </c>
      <c r="C1895" s="5">
        <v>573002784268</v>
      </c>
      <c r="D1895" s="5">
        <v>53</v>
      </c>
      <c r="E1895" s="5" t="s">
        <v>75</v>
      </c>
      <c r="F1895" s="5" t="s">
        <v>33</v>
      </c>
      <c r="G1895" s="5" t="s">
        <v>11869</v>
      </c>
      <c r="H1895" s="5" t="s">
        <v>34</v>
      </c>
      <c r="I1895" s="5">
        <v>3002784268</v>
      </c>
      <c r="J1895" s="12">
        <v>46079</v>
      </c>
      <c r="K1895" s="11">
        <v>0</v>
      </c>
      <c r="M1895" s="10" t="s">
        <v>14585</v>
      </c>
      <c r="N1895" s="12">
        <v>46079.692918784727</v>
      </c>
      <c r="O1895" s="10" t="s">
        <v>14709</v>
      </c>
      <c r="P1895" s="5" t="s">
        <v>14571</v>
      </c>
      <c r="Q1895" s="5" t="s">
        <v>14572</v>
      </c>
      <c r="R1895" s="5" t="s">
        <v>19022</v>
      </c>
      <c r="T1895" s="5" t="s">
        <v>14574</v>
      </c>
      <c r="U1895" s="5" t="s">
        <v>33</v>
      </c>
      <c r="V1895" s="5" t="s">
        <v>37</v>
      </c>
      <c r="W1895" s="5"/>
    </row>
    <row r="1896" spans="1:23" ht="12.5">
      <c r="A1896" s="5">
        <v>92407</v>
      </c>
      <c r="B1896" s="5" t="s">
        <v>19023</v>
      </c>
      <c r="C1896" s="5">
        <v>573106046492</v>
      </c>
      <c r="D1896" s="5" t="s">
        <v>19024</v>
      </c>
      <c r="E1896" s="5" t="s">
        <v>11877</v>
      </c>
      <c r="F1896" s="5" t="s">
        <v>110</v>
      </c>
      <c r="G1896" s="5" t="s">
        <v>11875</v>
      </c>
      <c r="H1896" s="5" t="s">
        <v>11876</v>
      </c>
      <c r="I1896" s="5">
        <v>3106046492</v>
      </c>
      <c r="J1896" s="12">
        <v>46080</v>
      </c>
      <c r="K1896" s="11">
        <v>0.39583333333212067</v>
      </c>
      <c r="M1896" s="10" t="s">
        <v>19025</v>
      </c>
      <c r="N1896" s="12">
        <v>46079.702832002316</v>
      </c>
      <c r="O1896" s="10" t="s">
        <v>16418</v>
      </c>
      <c r="P1896" s="5" t="s">
        <v>14571</v>
      </c>
      <c r="Q1896" s="5" t="s">
        <v>14578</v>
      </c>
      <c r="R1896" s="5" t="s">
        <v>19026</v>
      </c>
      <c r="T1896" s="5" t="s">
        <v>5994</v>
      </c>
      <c r="U1896" s="5" t="s">
        <v>14593</v>
      </c>
      <c r="V1896" s="5" t="s">
        <v>1705</v>
      </c>
      <c r="W1896" s="5"/>
    </row>
    <row r="1897" spans="1:23" ht="12.5">
      <c r="A1897" s="5">
        <v>92408</v>
      </c>
      <c r="B1897" s="5" t="s">
        <v>19027</v>
      </c>
      <c r="C1897" s="5">
        <v>573044258786</v>
      </c>
      <c r="D1897" s="5">
        <v>52</v>
      </c>
      <c r="E1897" s="5" t="s">
        <v>178</v>
      </c>
      <c r="F1897" s="5" t="s">
        <v>63</v>
      </c>
      <c r="G1897" s="5" t="s">
        <v>11880</v>
      </c>
      <c r="H1897" s="5" t="s">
        <v>11881</v>
      </c>
      <c r="I1897" s="5"/>
      <c r="J1897" s="12">
        <v>46079</v>
      </c>
      <c r="K1897" s="11">
        <v>0.75</v>
      </c>
      <c r="M1897" s="10" t="s">
        <v>17091</v>
      </c>
      <c r="N1897" s="12">
        <v>46079.709824178237</v>
      </c>
      <c r="O1897" s="10" t="s">
        <v>17946</v>
      </c>
      <c r="P1897" s="5" t="s">
        <v>14571</v>
      </c>
      <c r="Q1897" s="5" t="s">
        <v>14572</v>
      </c>
      <c r="R1897" s="5" t="s">
        <v>19028</v>
      </c>
      <c r="T1897" s="5" t="s">
        <v>5994</v>
      </c>
      <c r="U1897" s="5" t="s">
        <v>14598</v>
      </c>
      <c r="V1897" s="5" t="s">
        <v>1481</v>
      </c>
      <c r="W1897" s="5"/>
    </row>
    <row r="1898" spans="1:23" ht="12.5">
      <c r="A1898" s="5">
        <v>92409</v>
      </c>
      <c r="B1898" s="5" t="s">
        <v>19029</v>
      </c>
      <c r="C1898" s="5">
        <v>573008163729</v>
      </c>
      <c r="D1898" s="5">
        <v>4</v>
      </c>
      <c r="E1898" s="5" t="s">
        <v>81</v>
      </c>
      <c r="F1898" s="5" t="s">
        <v>185</v>
      </c>
      <c r="G1898" s="5" t="s">
        <v>11883</v>
      </c>
      <c r="H1898" s="5" t="s">
        <v>11884</v>
      </c>
      <c r="I1898" s="5">
        <v>3126600334</v>
      </c>
      <c r="J1898" s="12">
        <v>46079</v>
      </c>
      <c r="K1898" s="11">
        <v>0.75</v>
      </c>
      <c r="M1898" s="10" t="s">
        <v>17088</v>
      </c>
      <c r="N1898" s="12">
        <v>46079.712380081022</v>
      </c>
      <c r="O1898" s="10" t="s">
        <v>15041</v>
      </c>
      <c r="P1898" s="5" t="s">
        <v>14571</v>
      </c>
      <c r="Q1898" s="5" t="s">
        <v>14572</v>
      </c>
      <c r="R1898" s="5" t="s">
        <v>19030</v>
      </c>
      <c r="T1898" s="5" t="s">
        <v>5994</v>
      </c>
      <c r="U1898" s="5" t="s">
        <v>14580</v>
      </c>
      <c r="V1898" s="5" t="s">
        <v>67</v>
      </c>
      <c r="W1898" s="5"/>
    </row>
    <row r="1899" spans="1:23" ht="12.5">
      <c r="A1899" s="5">
        <v>92410</v>
      </c>
      <c r="B1899" s="5" t="s">
        <v>19031</v>
      </c>
      <c r="C1899" s="10" t="s">
        <v>19032</v>
      </c>
      <c r="D1899" s="5">
        <v>25</v>
      </c>
      <c r="E1899" s="5" t="s">
        <v>1792</v>
      </c>
      <c r="F1899" s="5" t="s">
        <v>265</v>
      </c>
      <c r="G1899" s="5" t="s">
        <v>11871</v>
      </c>
      <c r="H1899" s="5" t="s">
        <v>11872</v>
      </c>
      <c r="I1899" s="5">
        <v>3024438151</v>
      </c>
      <c r="J1899" s="12">
        <v>46080</v>
      </c>
      <c r="K1899" s="11">
        <v>0.41666666666666669</v>
      </c>
      <c r="M1899" s="10" t="s">
        <v>19033</v>
      </c>
      <c r="N1899" s="12">
        <v>46079</v>
      </c>
      <c r="O1899" s="10" t="s">
        <v>16251</v>
      </c>
      <c r="P1899" s="5" t="s">
        <v>14571</v>
      </c>
      <c r="Q1899" s="5" t="s">
        <v>14578</v>
      </c>
      <c r="R1899" s="5" t="s">
        <v>19034</v>
      </c>
      <c r="T1899" s="5" t="s">
        <v>5994</v>
      </c>
      <c r="U1899" s="5" t="s">
        <v>14691</v>
      </c>
      <c r="V1899" s="5" t="s">
        <v>1937</v>
      </c>
      <c r="W1899" s="5" t="s">
        <v>11874</v>
      </c>
    </row>
    <row r="1900" spans="1:23" ht="12.5">
      <c r="A1900" s="5">
        <v>92411</v>
      </c>
      <c r="B1900" s="5" t="s">
        <v>8152</v>
      </c>
      <c r="C1900" s="10" t="s">
        <v>19035</v>
      </c>
      <c r="D1900" s="5">
        <v>95</v>
      </c>
      <c r="E1900" s="5" t="s">
        <v>42</v>
      </c>
      <c r="F1900" s="5" t="s">
        <v>33</v>
      </c>
      <c r="G1900" s="5" t="s">
        <v>8152</v>
      </c>
      <c r="H1900" s="5" t="s">
        <v>34</v>
      </c>
      <c r="I1900" s="5">
        <v>3102709637</v>
      </c>
      <c r="J1900" s="12">
        <v>46079</v>
      </c>
      <c r="K1900" s="11">
        <v>0</v>
      </c>
      <c r="M1900" s="10" t="s">
        <v>15152</v>
      </c>
      <c r="N1900" s="12">
        <v>46079</v>
      </c>
      <c r="O1900" s="10" t="s">
        <v>19036</v>
      </c>
      <c r="P1900" s="5" t="s">
        <v>14571</v>
      </c>
      <c r="Q1900" s="5" t="s">
        <v>14572</v>
      </c>
      <c r="R1900" s="5" t="s">
        <v>19037</v>
      </c>
      <c r="T1900" s="5" t="s">
        <v>14574</v>
      </c>
      <c r="U1900" s="5" t="s">
        <v>33</v>
      </c>
      <c r="V1900" s="5" t="s">
        <v>1705</v>
      </c>
      <c r="W1900" s="5"/>
    </row>
    <row r="1901" spans="1:23" ht="12.5">
      <c r="A1901" s="5">
        <v>92412</v>
      </c>
      <c r="B1901" s="5" t="s">
        <v>8366</v>
      </c>
      <c r="C1901" s="10" t="s">
        <v>17496</v>
      </c>
      <c r="D1901" s="5">
        <v>95</v>
      </c>
      <c r="E1901" s="5" t="s">
        <v>42</v>
      </c>
      <c r="F1901" s="5" t="s">
        <v>33</v>
      </c>
      <c r="G1901" s="5" t="s">
        <v>8366</v>
      </c>
      <c r="H1901" s="5" t="s">
        <v>34</v>
      </c>
      <c r="I1901" s="5"/>
      <c r="J1901" s="12">
        <v>46079</v>
      </c>
      <c r="K1901" s="11">
        <v>0</v>
      </c>
      <c r="M1901" s="10" t="s">
        <v>14585</v>
      </c>
      <c r="N1901" s="12">
        <v>46079</v>
      </c>
      <c r="O1901" s="10" t="s">
        <v>16995</v>
      </c>
      <c r="P1901" s="5" t="s">
        <v>14571</v>
      </c>
      <c r="Q1901" s="5" t="s">
        <v>14572</v>
      </c>
      <c r="R1901" s="5" t="s">
        <v>19038</v>
      </c>
      <c r="T1901" s="5" t="s">
        <v>14574</v>
      </c>
      <c r="U1901" s="5" t="s">
        <v>33</v>
      </c>
      <c r="V1901" s="5" t="s">
        <v>1705</v>
      </c>
      <c r="W1901" s="5"/>
    </row>
    <row r="1902" spans="1:23" ht="12.5">
      <c r="A1902" s="5">
        <v>92413</v>
      </c>
      <c r="B1902" s="5" t="s">
        <v>11894</v>
      </c>
      <c r="C1902" s="5">
        <v>570000</v>
      </c>
      <c r="D1902" s="5">
        <v>95</v>
      </c>
      <c r="E1902" s="5" t="s">
        <v>42</v>
      </c>
      <c r="F1902" s="5" t="s">
        <v>33</v>
      </c>
      <c r="G1902" s="5" t="s">
        <v>11894</v>
      </c>
      <c r="H1902" s="5" t="s">
        <v>34</v>
      </c>
      <c r="I1902" s="10" t="s">
        <v>2686</v>
      </c>
      <c r="J1902" s="12">
        <v>46079</v>
      </c>
      <c r="K1902" s="11">
        <v>0</v>
      </c>
      <c r="M1902" s="10" t="s">
        <v>16073</v>
      </c>
      <c r="N1902" s="12">
        <v>46079.75628799769</v>
      </c>
      <c r="O1902" s="10" t="s">
        <v>17081</v>
      </c>
      <c r="P1902" s="5" t="s">
        <v>14571</v>
      </c>
      <c r="Q1902" s="5" t="s">
        <v>14612</v>
      </c>
      <c r="R1902" s="5" t="s">
        <v>19039</v>
      </c>
      <c r="T1902" s="5" t="s">
        <v>14574</v>
      </c>
      <c r="U1902" s="5" t="s">
        <v>33</v>
      </c>
      <c r="V1902" s="5" t="s">
        <v>1705</v>
      </c>
      <c r="W1902" s="5"/>
    </row>
    <row r="1903" spans="1:23" ht="12.5">
      <c r="A1903" s="5">
        <v>92414</v>
      </c>
      <c r="B1903" s="5" t="s">
        <v>11895</v>
      </c>
      <c r="C1903" s="5">
        <v>570000</v>
      </c>
      <c r="D1903" s="5">
        <v>95</v>
      </c>
      <c r="E1903" s="5" t="s">
        <v>42</v>
      </c>
      <c r="F1903" s="5" t="s">
        <v>33</v>
      </c>
      <c r="G1903" s="5" t="s">
        <v>11895</v>
      </c>
      <c r="H1903" s="5" t="s">
        <v>34</v>
      </c>
      <c r="I1903" s="10" t="s">
        <v>2686</v>
      </c>
      <c r="J1903" s="12">
        <v>46079</v>
      </c>
      <c r="K1903" s="11">
        <v>0</v>
      </c>
      <c r="M1903" s="10" t="s">
        <v>14923</v>
      </c>
      <c r="N1903" s="12">
        <v>46079.756763599536</v>
      </c>
      <c r="O1903" s="10" t="s">
        <v>19040</v>
      </c>
      <c r="P1903" s="5" t="s">
        <v>14571</v>
      </c>
      <c r="Q1903" s="5" t="s">
        <v>14572</v>
      </c>
      <c r="R1903" s="5" t="s">
        <v>19041</v>
      </c>
      <c r="T1903" s="5" t="s">
        <v>14574</v>
      </c>
      <c r="U1903" s="5" t="s">
        <v>33</v>
      </c>
      <c r="V1903" s="5" t="s">
        <v>1481</v>
      </c>
      <c r="W1903" s="5"/>
    </row>
    <row r="1904" spans="1:23" ht="12.5">
      <c r="A1904" s="5">
        <v>92415</v>
      </c>
      <c r="B1904" s="5" t="s">
        <v>19042</v>
      </c>
      <c r="C1904" s="10" t="s">
        <v>19043</v>
      </c>
      <c r="D1904" s="5">
        <v>31</v>
      </c>
      <c r="E1904" s="5" t="s">
        <v>11891</v>
      </c>
      <c r="F1904" s="5" t="s">
        <v>73</v>
      </c>
      <c r="G1904" s="5" t="s">
        <v>19044</v>
      </c>
      <c r="H1904" s="5" t="s">
        <v>11890</v>
      </c>
      <c r="I1904" s="5">
        <v>3022581676</v>
      </c>
      <c r="J1904" s="12">
        <v>46080</v>
      </c>
      <c r="K1904" s="11">
        <v>0.39583333333333331</v>
      </c>
      <c r="M1904" s="10" t="s">
        <v>14576</v>
      </c>
      <c r="N1904" s="12">
        <v>46079</v>
      </c>
      <c r="O1904" s="10" t="s">
        <v>19045</v>
      </c>
      <c r="P1904" s="5" t="s">
        <v>14571</v>
      </c>
      <c r="Q1904" s="5" t="s">
        <v>14578</v>
      </c>
      <c r="R1904" s="5" t="s">
        <v>19046</v>
      </c>
      <c r="T1904" s="5" t="s">
        <v>5994</v>
      </c>
      <c r="U1904" s="5" t="s">
        <v>14593</v>
      </c>
      <c r="V1904" s="5" t="s">
        <v>67</v>
      </c>
      <c r="W1904" s="5" t="s">
        <v>11892</v>
      </c>
    </row>
    <row r="1905" spans="1:23" ht="12.5">
      <c r="A1905" s="5">
        <v>92416</v>
      </c>
      <c r="B1905" s="5" t="s">
        <v>19047</v>
      </c>
      <c r="C1905" s="5">
        <v>573158154659</v>
      </c>
      <c r="D1905" s="5">
        <v>51</v>
      </c>
      <c r="E1905" s="5" t="s">
        <v>384</v>
      </c>
      <c r="F1905" s="5" t="s">
        <v>154</v>
      </c>
      <c r="G1905" s="5" t="s">
        <v>11901</v>
      </c>
      <c r="H1905" s="5" t="s">
        <v>11902</v>
      </c>
      <c r="I1905" s="5">
        <v>3158154659</v>
      </c>
      <c r="J1905" s="12">
        <v>46080</v>
      </c>
      <c r="K1905" s="11">
        <v>0.41666666666787933</v>
      </c>
      <c r="M1905" s="10" t="s">
        <v>15140</v>
      </c>
      <c r="N1905" s="12">
        <v>46080.298415081023</v>
      </c>
      <c r="O1905" s="10" t="s">
        <v>15199</v>
      </c>
      <c r="P1905" s="5" t="s">
        <v>14571</v>
      </c>
      <c r="Q1905" s="5" t="s">
        <v>14699</v>
      </c>
      <c r="R1905" s="5" t="s">
        <v>19048</v>
      </c>
      <c r="T1905" s="5" t="s">
        <v>5994</v>
      </c>
      <c r="U1905" s="5" t="s">
        <v>14593</v>
      </c>
      <c r="V1905" s="5" t="s">
        <v>67</v>
      </c>
      <c r="W1905" s="5"/>
    </row>
    <row r="1906" spans="1:23" ht="12.5">
      <c r="A1906" s="5">
        <v>92417</v>
      </c>
      <c r="B1906" s="5" t="s">
        <v>19049</v>
      </c>
      <c r="C1906" s="5">
        <v>573174293590</v>
      </c>
      <c r="D1906" s="5">
        <v>26</v>
      </c>
      <c r="E1906" s="5" t="s">
        <v>422</v>
      </c>
      <c r="F1906" s="5" t="s">
        <v>73</v>
      </c>
      <c r="G1906" s="5" t="s">
        <v>11896</v>
      </c>
      <c r="H1906" s="5" t="s">
        <v>11897</v>
      </c>
      <c r="I1906" s="5" t="s">
        <v>15231</v>
      </c>
      <c r="J1906" s="12">
        <v>46079</v>
      </c>
      <c r="K1906" s="11">
        <v>0.41666666666787933</v>
      </c>
      <c r="M1906" s="10" t="s">
        <v>15623</v>
      </c>
      <c r="N1906" s="12">
        <v>46079.788602604167</v>
      </c>
      <c r="O1906" s="10" t="s">
        <v>14586</v>
      </c>
      <c r="P1906" s="5" t="s">
        <v>14571</v>
      </c>
      <c r="Q1906" s="5"/>
      <c r="R1906" s="5" t="s">
        <v>19050</v>
      </c>
      <c r="T1906" s="5" t="s">
        <v>5994</v>
      </c>
      <c r="U1906" s="5" t="s">
        <v>14593</v>
      </c>
      <c r="V1906" s="5" t="s">
        <v>67</v>
      </c>
      <c r="W1906" s="5"/>
    </row>
    <row r="1907" spans="1:23" ht="12.5">
      <c r="A1907" s="5">
        <v>92418</v>
      </c>
      <c r="B1907" s="5" t="s">
        <v>11917</v>
      </c>
      <c r="C1907" s="5">
        <v>573002557648</v>
      </c>
      <c r="D1907" s="5">
        <v>29</v>
      </c>
      <c r="E1907" s="5" t="s">
        <v>309</v>
      </c>
      <c r="F1907" s="5" t="s">
        <v>33</v>
      </c>
      <c r="G1907" s="5" t="s">
        <v>11917</v>
      </c>
      <c r="H1907" s="5" t="s">
        <v>34</v>
      </c>
      <c r="I1907" s="5">
        <v>3002557648</v>
      </c>
      <c r="J1907" s="12">
        <v>46080</v>
      </c>
      <c r="K1907" s="11">
        <v>0.33333333333212067</v>
      </c>
      <c r="M1907" s="10" t="s">
        <v>14850</v>
      </c>
      <c r="N1907" s="12">
        <v>46080.328536354165</v>
      </c>
      <c r="O1907" s="10" t="s">
        <v>19051</v>
      </c>
      <c r="P1907" s="5" t="s">
        <v>14571</v>
      </c>
      <c r="Q1907" s="5" t="s">
        <v>14578</v>
      </c>
      <c r="R1907" s="5" t="s">
        <v>19052</v>
      </c>
      <c r="T1907" s="5" t="s">
        <v>14574</v>
      </c>
      <c r="U1907" s="5" t="s">
        <v>33</v>
      </c>
      <c r="V1907" s="5" t="s">
        <v>37</v>
      </c>
      <c r="W1907" s="5" t="s">
        <v>11918</v>
      </c>
    </row>
    <row r="1908" spans="1:23" ht="12.5">
      <c r="A1908" s="5">
        <v>92419</v>
      </c>
      <c r="B1908" s="5" t="s">
        <v>19053</v>
      </c>
      <c r="C1908" s="5">
        <v>573226321850</v>
      </c>
      <c r="D1908" s="5">
        <v>52</v>
      </c>
      <c r="E1908" s="5" t="s">
        <v>178</v>
      </c>
      <c r="F1908" s="5" t="s">
        <v>11907</v>
      </c>
      <c r="G1908" s="5" t="s">
        <v>11906</v>
      </c>
      <c r="H1908" s="5" t="s">
        <v>11908</v>
      </c>
      <c r="I1908" s="5">
        <v>3128307494</v>
      </c>
      <c r="J1908" s="12">
        <v>46080</v>
      </c>
      <c r="K1908" s="11">
        <v>0.41666666666787933</v>
      </c>
      <c r="M1908" s="10" t="s">
        <v>14885</v>
      </c>
      <c r="N1908" s="12">
        <v>46080.322114571754</v>
      </c>
      <c r="O1908" s="10" t="s">
        <v>19054</v>
      </c>
      <c r="P1908" s="5" t="s">
        <v>14571</v>
      </c>
      <c r="Q1908" s="5" t="s">
        <v>14578</v>
      </c>
      <c r="R1908" s="5" t="s">
        <v>19055</v>
      </c>
      <c r="T1908" s="5" t="s">
        <v>5994</v>
      </c>
      <c r="U1908" s="5" t="s">
        <v>14580</v>
      </c>
      <c r="V1908" s="5" t="s">
        <v>67</v>
      </c>
      <c r="W1908" s="5"/>
    </row>
    <row r="1909" spans="1:23" ht="12.5">
      <c r="A1909" s="5">
        <v>92420</v>
      </c>
      <c r="B1909" s="5" t="s">
        <v>19056</v>
      </c>
      <c r="C1909" s="5">
        <v>573128460586</v>
      </c>
      <c r="D1909" s="5">
        <v>52</v>
      </c>
      <c r="E1909" s="5" t="s">
        <v>178</v>
      </c>
      <c r="F1909" s="5" t="s">
        <v>2865</v>
      </c>
      <c r="G1909" s="5" t="s">
        <v>11911</v>
      </c>
      <c r="H1909" s="5" t="s">
        <v>11912</v>
      </c>
      <c r="I1909" s="5">
        <v>3157008858</v>
      </c>
      <c r="J1909" s="12">
        <v>46081</v>
      </c>
      <c r="K1909" s="11">
        <v>0.34166666666715173</v>
      </c>
      <c r="M1909" s="10" t="s">
        <v>16718</v>
      </c>
      <c r="N1909" s="12">
        <v>46080.327364722223</v>
      </c>
      <c r="O1909" s="10" t="s">
        <v>19057</v>
      </c>
      <c r="P1909" s="5" t="s">
        <v>14571</v>
      </c>
      <c r="Q1909" s="5" t="s">
        <v>14612</v>
      </c>
      <c r="R1909" s="5" t="s">
        <v>19058</v>
      </c>
      <c r="T1909" s="5" t="s">
        <v>5994</v>
      </c>
      <c r="U1909" s="5" t="s">
        <v>14775</v>
      </c>
      <c r="V1909" s="5" t="s">
        <v>67</v>
      </c>
      <c r="W1909" s="5" t="s">
        <v>11915</v>
      </c>
    </row>
    <row r="1910" spans="1:23" ht="12.5">
      <c r="A1910" s="5">
        <v>92421</v>
      </c>
      <c r="B1910" s="5" t="s">
        <v>19059</v>
      </c>
      <c r="C1910" s="10" t="s">
        <v>19060</v>
      </c>
      <c r="D1910" s="5">
        <v>69</v>
      </c>
      <c r="E1910" s="5" t="s">
        <v>335</v>
      </c>
      <c r="F1910" s="5" t="s">
        <v>63</v>
      </c>
      <c r="G1910" s="5" t="s">
        <v>11920</v>
      </c>
      <c r="H1910" s="5" t="s">
        <v>11921</v>
      </c>
      <c r="I1910" s="5">
        <v>3173669050</v>
      </c>
      <c r="J1910" s="12">
        <v>46080</v>
      </c>
      <c r="K1910" s="11">
        <v>0.375</v>
      </c>
      <c r="M1910" s="10" t="s">
        <v>15157</v>
      </c>
      <c r="N1910" s="12">
        <v>46080</v>
      </c>
      <c r="O1910" s="10" t="s">
        <v>14781</v>
      </c>
      <c r="P1910" s="5" t="s">
        <v>14571</v>
      </c>
      <c r="Q1910" s="5" t="s">
        <v>14578</v>
      </c>
      <c r="R1910" s="5" t="s">
        <v>19061</v>
      </c>
      <c r="T1910" s="5" t="s">
        <v>5994</v>
      </c>
      <c r="U1910" s="5" t="s">
        <v>14598</v>
      </c>
      <c r="V1910" s="5" t="s">
        <v>67</v>
      </c>
      <c r="W1910" s="5" t="s">
        <v>11923</v>
      </c>
    </row>
    <row r="1911" spans="1:23" ht="12.5">
      <c r="A1911" s="5">
        <v>92422</v>
      </c>
      <c r="B1911" s="5" t="s">
        <v>19062</v>
      </c>
      <c r="C1911" s="5">
        <v>573127128124</v>
      </c>
      <c r="D1911" s="5">
        <v>31</v>
      </c>
      <c r="E1911" s="5" t="s">
        <v>375</v>
      </c>
      <c r="F1911" s="5" t="s">
        <v>33</v>
      </c>
      <c r="G1911" s="5" t="s">
        <v>158</v>
      </c>
      <c r="H1911" s="5" t="s">
        <v>11924</v>
      </c>
      <c r="I1911" s="5">
        <v>3127128124</v>
      </c>
      <c r="J1911" s="12">
        <v>46080</v>
      </c>
      <c r="K1911" s="11">
        <v>0.39166666666642413</v>
      </c>
      <c r="M1911" s="10" t="s">
        <v>14585</v>
      </c>
      <c r="N1911" s="12">
        <v>46080.357897060181</v>
      </c>
      <c r="O1911" s="10" t="s">
        <v>19063</v>
      </c>
      <c r="P1911" s="5" t="s">
        <v>14571</v>
      </c>
      <c r="Q1911" s="5" t="s">
        <v>14572</v>
      </c>
      <c r="R1911" s="5" t="s">
        <v>19064</v>
      </c>
      <c r="T1911" s="5" t="s">
        <v>14574</v>
      </c>
      <c r="U1911" s="5" t="s">
        <v>33</v>
      </c>
      <c r="V1911" s="5" t="s">
        <v>67</v>
      </c>
      <c r="W1911" s="5"/>
    </row>
    <row r="1912" spans="1:23" ht="12.5">
      <c r="A1912" s="5">
        <v>92423</v>
      </c>
      <c r="B1912" s="5" t="s">
        <v>4684</v>
      </c>
      <c r="C1912" s="5">
        <v>573157204100</v>
      </c>
      <c r="D1912" s="5">
        <v>95</v>
      </c>
      <c r="E1912" s="5" t="s">
        <v>42</v>
      </c>
      <c r="F1912" s="5" t="s">
        <v>33</v>
      </c>
      <c r="G1912" s="5" t="s">
        <v>4684</v>
      </c>
      <c r="H1912" s="5" t="s">
        <v>34</v>
      </c>
      <c r="I1912" s="5">
        <v>3157204100</v>
      </c>
      <c r="J1912" s="12">
        <v>46080</v>
      </c>
      <c r="K1912" s="11">
        <v>0.375</v>
      </c>
      <c r="M1912" s="10" t="s">
        <v>15043</v>
      </c>
      <c r="N1912" s="12">
        <v>46080.384450196754</v>
      </c>
      <c r="O1912" s="10" t="s">
        <v>16044</v>
      </c>
      <c r="P1912" s="5" t="s">
        <v>14571</v>
      </c>
      <c r="Q1912" s="5" t="s">
        <v>14578</v>
      </c>
      <c r="R1912" s="5" t="s">
        <v>19065</v>
      </c>
      <c r="T1912" s="5" t="s">
        <v>14574</v>
      </c>
      <c r="U1912" s="5" t="s">
        <v>33</v>
      </c>
      <c r="V1912" s="5" t="s">
        <v>1705</v>
      </c>
      <c r="W1912" s="5" t="s">
        <v>525</v>
      </c>
    </row>
    <row r="1913" spans="1:23" ht="12.5">
      <c r="A1913" s="5">
        <v>92424</v>
      </c>
      <c r="B1913" s="5" t="s">
        <v>11930</v>
      </c>
      <c r="C1913" s="5">
        <v>573022088898</v>
      </c>
      <c r="D1913" s="5">
        <v>45</v>
      </c>
      <c r="E1913" s="5" t="s">
        <v>210</v>
      </c>
      <c r="F1913" s="5" t="s">
        <v>1815</v>
      </c>
      <c r="G1913" s="5" t="s">
        <v>11927</v>
      </c>
      <c r="H1913" s="5" t="s">
        <v>11928</v>
      </c>
      <c r="I1913" s="5" t="s">
        <v>15231</v>
      </c>
      <c r="J1913" s="12">
        <v>46080</v>
      </c>
      <c r="K1913" s="11">
        <v>0.41666666666787933</v>
      </c>
      <c r="M1913" s="10" t="s">
        <v>14657</v>
      </c>
      <c r="N1913" s="12">
        <v>46080.367587696761</v>
      </c>
      <c r="O1913" s="10" t="s">
        <v>16757</v>
      </c>
      <c r="P1913" s="5" t="s">
        <v>14571</v>
      </c>
      <c r="Q1913" s="5" t="s">
        <v>14612</v>
      </c>
      <c r="R1913" s="5" t="s">
        <v>19066</v>
      </c>
      <c r="T1913" s="5" t="s">
        <v>5994</v>
      </c>
      <c r="U1913" s="5" t="s">
        <v>14580</v>
      </c>
      <c r="V1913" s="5" t="s">
        <v>1481</v>
      </c>
      <c r="W1913" s="5" t="s">
        <v>11931</v>
      </c>
    </row>
    <row r="1914" spans="1:23" ht="12.5">
      <c r="A1914" s="5">
        <v>92425</v>
      </c>
      <c r="B1914" s="5" t="s">
        <v>19067</v>
      </c>
      <c r="C1914" s="5">
        <v>573242029594</v>
      </c>
      <c r="D1914" s="5">
        <v>31</v>
      </c>
      <c r="E1914" s="5" t="s">
        <v>375</v>
      </c>
      <c r="F1914" s="5" t="s">
        <v>328</v>
      </c>
      <c r="G1914" s="5" t="s">
        <v>11755</v>
      </c>
      <c r="H1914" s="5" t="s">
        <v>11756</v>
      </c>
      <c r="I1914" s="5" t="s">
        <v>15231</v>
      </c>
      <c r="J1914" s="12">
        <v>46081</v>
      </c>
      <c r="K1914" s="11">
        <v>0.34652777777955635</v>
      </c>
      <c r="M1914" s="10" t="s">
        <v>14595</v>
      </c>
      <c r="N1914" s="12">
        <v>46079.35678858796</v>
      </c>
      <c r="O1914" s="10" t="s">
        <v>14900</v>
      </c>
      <c r="P1914" s="5" t="s">
        <v>14571</v>
      </c>
      <c r="Q1914" s="5" t="s">
        <v>14699</v>
      </c>
      <c r="R1914" s="5" t="s">
        <v>19068</v>
      </c>
      <c r="T1914" s="5" t="s">
        <v>5994</v>
      </c>
      <c r="U1914" s="5"/>
      <c r="V1914" s="5" t="s">
        <v>1481</v>
      </c>
      <c r="W1914" s="5" t="s">
        <v>11759</v>
      </c>
    </row>
    <row r="1915" spans="1:23" ht="12.5">
      <c r="A1915" s="5">
        <v>92426</v>
      </c>
      <c r="B1915" s="5" t="s">
        <v>11947</v>
      </c>
      <c r="C1915" s="5">
        <v>573106330045</v>
      </c>
      <c r="D1915" s="5">
        <v>42</v>
      </c>
      <c r="E1915" s="5" t="s">
        <v>649</v>
      </c>
      <c r="F1915" s="5" t="s">
        <v>185</v>
      </c>
      <c r="G1915" s="5" t="s">
        <v>11947</v>
      </c>
      <c r="H1915" s="5" t="s">
        <v>11948</v>
      </c>
      <c r="I1915" s="5">
        <v>3106330045</v>
      </c>
      <c r="J1915" s="12">
        <v>46080</v>
      </c>
      <c r="K1915" s="11">
        <v>0.45833333333212067</v>
      </c>
      <c r="M1915" s="10" t="s">
        <v>15140</v>
      </c>
      <c r="N1915" s="12">
        <v>46080.427657615743</v>
      </c>
      <c r="O1915" s="10" t="s">
        <v>14665</v>
      </c>
      <c r="P1915" s="5" t="s">
        <v>14571</v>
      </c>
      <c r="Q1915" s="5" t="s">
        <v>14578</v>
      </c>
      <c r="R1915" s="5" t="s">
        <v>19069</v>
      </c>
      <c r="T1915" s="5" t="s">
        <v>5994</v>
      </c>
      <c r="U1915" s="5" t="s">
        <v>14580</v>
      </c>
      <c r="V1915" s="5" t="s">
        <v>1705</v>
      </c>
      <c r="W1915" s="5" t="s">
        <v>11949</v>
      </c>
    </row>
    <row r="1916" spans="1:23" ht="12.5">
      <c r="A1916" s="5">
        <v>92427</v>
      </c>
      <c r="B1916" s="5" t="s">
        <v>19070</v>
      </c>
      <c r="C1916" s="5">
        <v>573146682326</v>
      </c>
      <c r="D1916" s="5">
        <v>95</v>
      </c>
      <c r="E1916" s="5" t="s">
        <v>42</v>
      </c>
      <c r="F1916" s="5" t="s">
        <v>1047</v>
      </c>
      <c r="G1916" s="5" t="s">
        <v>11934</v>
      </c>
      <c r="H1916" s="5" t="s">
        <v>11935</v>
      </c>
      <c r="I1916" s="5" t="s">
        <v>15231</v>
      </c>
      <c r="J1916" s="12">
        <v>46080</v>
      </c>
      <c r="K1916" s="11">
        <v>0.45833333333212067</v>
      </c>
      <c r="M1916" s="10" t="s">
        <v>14646</v>
      </c>
      <c r="N1916" s="12">
        <v>46080.398509675928</v>
      </c>
      <c r="O1916" s="10" t="s">
        <v>17658</v>
      </c>
      <c r="P1916" s="5" t="s">
        <v>14571</v>
      </c>
      <c r="Q1916" s="5" t="s">
        <v>14578</v>
      </c>
      <c r="R1916" s="5" t="s">
        <v>19071</v>
      </c>
      <c r="T1916" s="5" t="s">
        <v>5994</v>
      </c>
      <c r="U1916" s="5" t="s">
        <v>14580</v>
      </c>
      <c r="V1916" s="5" t="s">
        <v>67</v>
      </c>
      <c r="W1916" s="5" t="s">
        <v>11938</v>
      </c>
    </row>
    <row r="1917" spans="1:23" ht="12.5">
      <c r="A1917" s="5">
        <v>92428</v>
      </c>
      <c r="B1917" s="5" t="s">
        <v>11962</v>
      </c>
      <c r="C1917" s="5">
        <v>573045429650</v>
      </c>
      <c r="D1917" s="5">
        <v>95</v>
      </c>
      <c r="E1917" s="5" t="s">
        <v>42</v>
      </c>
      <c r="F1917" s="5" t="s">
        <v>33</v>
      </c>
      <c r="G1917" s="5" t="s">
        <v>11962</v>
      </c>
      <c r="H1917" s="5" t="s">
        <v>34</v>
      </c>
      <c r="I1917" s="5">
        <v>3045429650</v>
      </c>
      <c r="J1917" s="12">
        <v>46080</v>
      </c>
      <c r="K1917" s="11">
        <v>0</v>
      </c>
      <c r="M1917" s="10" t="s">
        <v>2686</v>
      </c>
      <c r="N1917" s="12">
        <v>46080.44280553241</v>
      </c>
      <c r="O1917" s="10" t="s">
        <v>16377</v>
      </c>
      <c r="P1917" s="5" t="s">
        <v>14571</v>
      </c>
      <c r="Q1917" s="5" t="s">
        <v>14578</v>
      </c>
      <c r="R1917" s="5" t="s">
        <v>19072</v>
      </c>
      <c r="T1917" s="5" t="s">
        <v>14574</v>
      </c>
      <c r="U1917" s="5" t="s">
        <v>33</v>
      </c>
      <c r="V1917" s="5" t="s">
        <v>196</v>
      </c>
      <c r="W1917" s="5"/>
    </row>
    <row r="1918" spans="1:23" ht="12.5">
      <c r="A1918" s="5">
        <v>92429</v>
      </c>
      <c r="B1918" s="5" t="s">
        <v>15903</v>
      </c>
      <c r="C1918" s="5">
        <v>573008039079</v>
      </c>
      <c r="D1918" s="5">
        <v>69</v>
      </c>
      <c r="E1918" s="5" t="s">
        <v>335</v>
      </c>
      <c r="F1918" s="5" t="s">
        <v>307</v>
      </c>
      <c r="G1918" s="5" t="s">
        <v>11951</v>
      </c>
      <c r="H1918" s="5" t="s">
        <v>11952</v>
      </c>
      <c r="I1918" s="5">
        <v>3008039079</v>
      </c>
      <c r="J1918" s="12">
        <v>46080</v>
      </c>
      <c r="K1918" s="11">
        <v>0</v>
      </c>
      <c r="M1918" s="10" t="s">
        <v>10581</v>
      </c>
      <c r="N1918" s="12">
        <v>46080.429553055554</v>
      </c>
      <c r="O1918" s="10" t="s">
        <v>14891</v>
      </c>
      <c r="P1918" s="5" t="s">
        <v>14571</v>
      </c>
      <c r="Q1918" s="5" t="s">
        <v>14578</v>
      </c>
      <c r="R1918" s="5" t="s">
        <v>19073</v>
      </c>
      <c r="T1918" s="5" t="s">
        <v>5994</v>
      </c>
      <c r="U1918" s="5" t="s">
        <v>14618</v>
      </c>
      <c r="V1918" s="5" t="s">
        <v>204</v>
      </c>
      <c r="W1918" s="5" t="s">
        <v>11955</v>
      </c>
    </row>
    <row r="1919" spans="1:23" ht="12.5">
      <c r="A1919" s="5">
        <v>92430</v>
      </c>
      <c r="B1919" s="5" t="s">
        <v>19074</v>
      </c>
      <c r="C1919" s="5">
        <v>573164101044</v>
      </c>
      <c r="D1919" s="5">
        <v>52</v>
      </c>
      <c r="E1919" s="5" t="s">
        <v>178</v>
      </c>
      <c r="F1919" s="5" t="s">
        <v>124</v>
      </c>
      <c r="G1919" s="5" t="s">
        <v>11964</v>
      </c>
      <c r="H1919" s="5" t="s">
        <v>11965</v>
      </c>
      <c r="I1919" s="5">
        <v>3106391990</v>
      </c>
      <c r="J1919" s="12">
        <v>46083</v>
      </c>
      <c r="K1919" s="11">
        <v>0</v>
      </c>
      <c r="M1919" s="10" t="s">
        <v>16718</v>
      </c>
      <c r="N1919" s="12">
        <v>46080.448719583335</v>
      </c>
      <c r="O1919" s="10" t="s">
        <v>15410</v>
      </c>
      <c r="P1919" s="5" t="s">
        <v>14571</v>
      </c>
      <c r="Q1919" s="5" t="s">
        <v>14612</v>
      </c>
      <c r="R1919" s="5" t="s">
        <v>19075</v>
      </c>
      <c r="T1919" s="5" t="s">
        <v>5994</v>
      </c>
      <c r="U1919" s="5" t="s">
        <v>14775</v>
      </c>
      <c r="V1919" s="5" t="s">
        <v>67</v>
      </c>
      <c r="W1919" s="5" t="s">
        <v>11968</v>
      </c>
    </row>
    <row r="1920" spans="1:23" ht="12.5">
      <c r="A1920" s="5">
        <v>92431</v>
      </c>
      <c r="B1920" s="5" t="s">
        <v>19076</v>
      </c>
      <c r="C1920" s="5">
        <v>573126928741</v>
      </c>
      <c r="D1920" s="5">
        <v>26</v>
      </c>
      <c r="E1920" s="5" t="s">
        <v>422</v>
      </c>
      <c r="F1920" s="5" t="s">
        <v>161</v>
      </c>
      <c r="G1920" s="5" t="s">
        <v>11971</v>
      </c>
      <c r="H1920" s="5" t="s">
        <v>11972</v>
      </c>
      <c r="I1920" s="5" t="s">
        <v>11973</v>
      </c>
      <c r="J1920" s="12">
        <v>46080</v>
      </c>
      <c r="K1920" s="11">
        <v>0.54166666666787933</v>
      </c>
      <c r="M1920" s="10" t="s">
        <v>15623</v>
      </c>
      <c r="N1920" s="12">
        <v>46080.474869363425</v>
      </c>
      <c r="O1920" s="10" t="s">
        <v>14882</v>
      </c>
      <c r="P1920" s="5" t="s">
        <v>14571</v>
      </c>
      <c r="Q1920" s="5" t="s">
        <v>14612</v>
      </c>
      <c r="R1920" s="5" t="s">
        <v>19077</v>
      </c>
      <c r="T1920" s="5" t="s">
        <v>5994</v>
      </c>
      <c r="U1920" s="5" t="s">
        <v>14593</v>
      </c>
      <c r="V1920" s="5" t="s">
        <v>1481</v>
      </c>
      <c r="W1920" s="5" t="s">
        <v>11309</v>
      </c>
    </row>
    <row r="1921" spans="1:23" ht="12.5">
      <c r="A1921" s="5">
        <v>92432</v>
      </c>
      <c r="B1921" s="5" t="s">
        <v>11976</v>
      </c>
      <c r="C1921" s="5">
        <v>572433145748</v>
      </c>
      <c r="D1921" s="5">
        <v>29</v>
      </c>
      <c r="E1921" s="5" t="s">
        <v>309</v>
      </c>
      <c r="F1921" s="5" t="s">
        <v>33</v>
      </c>
      <c r="G1921" s="5" t="s">
        <v>11976</v>
      </c>
      <c r="H1921" s="5" t="s">
        <v>34</v>
      </c>
      <c r="I1921" s="5">
        <v>2433145748</v>
      </c>
      <c r="J1921" s="12">
        <v>46080</v>
      </c>
      <c r="K1921" s="11">
        <v>0</v>
      </c>
      <c r="M1921" s="10" t="s">
        <v>14850</v>
      </c>
      <c r="N1921" s="12">
        <v>46080.48719028935</v>
      </c>
      <c r="O1921" s="10" t="s">
        <v>15288</v>
      </c>
      <c r="P1921" s="5" t="s">
        <v>14571</v>
      </c>
      <c r="Q1921" s="5"/>
      <c r="R1921" s="5"/>
      <c r="T1921" s="5" t="s">
        <v>14574</v>
      </c>
      <c r="U1921" s="5" t="s">
        <v>33</v>
      </c>
      <c r="V1921" s="5" t="s">
        <v>43</v>
      </c>
      <c r="W1921" s="5" t="s">
        <v>225</v>
      </c>
    </row>
    <row r="1922" spans="1:23" ht="12.5">
      <c r="A1922" s="5">
        <v>92433</v>
      </c>
      <c r="B1922" s="5" t="s">
        <v>19078</v>
      </c>
      <c r="C1922" s="5">
        <v>573045861749</v>
      </c>
      <c r="D1922" s="5">
        <v>15</v>
      </c>
      <c r="E1922" s="5" t="s">
        <v>707</v>
      </c>
      <c r="F1922" s="5" t="s">
        <v>11248</v>
      </c>
      <c r="G1922" s="5" t="s">
        <v>11941</v>
      </c>
      <c r="H1922" s="5" t="s">
        <v>11942</v>
      </c>
      <c r="I1922" s="5">
        <v>3045861749</v>
      </c>
      <c r="J1922" s="12">
        <v>46080</v>
      </c>
      <c r="K1922" s="11">
        <v>0.58333333333212067</v>
      </c>
      <c r="M1922" s="10" t="s">
        <v>14789</v>
      </c>
      <c r="N1922" s="12">
        <v>46080.420551134259</v>
      </c>
      <c r="O1922" s="10" t="s">
        <v>15404</v>
      </c>
      <c r="P1922" s="5" t="s">
        <v>14571</v>
      </c>
      <c r="Q1922" s="5" t="s">
        <v>14578</v>
      </c>
      <c r="R1922" s="5" t="s">
        <v>19079</v>
      </c>
      <c r="T1922" s="5" t="s">
        <v>5994</v>
      </c>
      <c r="U1922" s="5" t="s">
        <v>14618</v>
      </c>
      <c r="V1922" s="5" t="s">
        <v>180</v>
      </c>
      <c r="W1922" s="5" t="s">
        <v>11945</v>
      </c>
    </row>
    <row r="1923" spans="1:23" ht="12.5">
      <c r="A1923" s="5">
        <v>92434</v>
      </c>
      <c r="B1923" s="5" t="s">
        <v>19080</v>
      </c>
      <c r="C1923" s="5">
        <v>573008157038</v>
      </c>
      <c r="D1923" s="5">
        <v>35</v>
      </c>
      <c r="E1923" s="5" t="s">
        <v>3752</v>
      </c>
      <c r="F1923" s="5" t="s">
        <v>63</v>
      </c>
      <c r="G1923" s="5" t="s">
        <v>11957</v>
      </c>
      <c r="H1923" s="5" t="s">
        <v>11958</v>
      </c>
      <c r="I1923" s="5"/>
      <c r="J1923" s="12">
        <v>46080</v>
      </c>
      <c r="K1923" s="11">
        <v>0.58333333333212067</v>
      </c>
      <c r="M1923" s="10" t="s">
        <v>15436</v>
      </c>
      <c r="N1923" s="12">
        <v>46080.434234456014</v>
      </c>
      <c r="O1923" s="10" t="s">
        <v>14744</v>
      </c>
      <c r="P1923" s="5" t="s">
        <v>14571</v>
      </c>
      <c r="Q1923" s="5" t="s">
        <v>14612</v>
      </c>
      <c r="R1923" s="5" t="s">
        <v>19081</v>
      </c>
      <c r="T1923" s="5" t="s">
        <v>5994</v>
      </c>
      <c r="U1923" s="5" t="s">
        <v>14598</v>
      </c>
      <c r="V1923" s="5" t="s">
        <v>67</v>
      </c>
      <c r="W1923" s="5" t="s">
        <v>11961</v>
      </c>
    </row>
    <row r="1924" spans="1:23" ht="12.5">
      <c r="A1924" s="5">
        <v>92435</v>
      </c>
      <c r="B1924" s="5" t="s">
        <v>17654</v>
      </c>
      <c r="C1924" s="5">
        <v>112029755636</v>
      </c>
      <c r="D1924" s="5">
        <v>50</v>
      </c>
      <c r="E1924" s="5" t="s">
        <v>347</v>
      </c>
      <c r="F1924" s="5" t="s">
        <v>185</v>
      </c>
      <c r="G1924" s="5" t="s">
        <v>11977</v>
      </c>
      <c r="H1924" s="5" t="s">
        <v>11978</v>
      </c>
      <c r="I1924" s="5">
        <v>3043792858</v>
      </c>
      <c r="J1924" s="12">
        <v>46080</v>
      </c>
      <c r="K1924" s="11">
        <v>0.58333333333212067</v>
      </c>
      <c r="M1924" s="10" t="s">
        <v>16647</v>
      </c>
      <c r="N1924" s="12">
        <v>46080.522942812502</v>
      </c>
      <c r="O1924" s="10" t="s">
        <v>15531</v>
      </c>
      <c r="P1924" s="5" t="s">
        <v>14571</v>
      </c>
      <c r="Q1924" s="5" t="s">
        <v>14578</v>
      </c>
      <c r="R1924" s="5" t="s">
        <v>19082</v>
      </c>
      <c r="T1924" s="5" t="s">
        <v>5994</v>
      </c>
      <c r="U1924" s="5" t="s">
        <v>14580</v>
      </c>
      <c r="V1924" s="5" t="s">
        <v>1937</v>
      </c>
      <c r="W1924" s="5"/>
    </row>
    <row r="1925" spans="1:23" ht="12.5">
      <c r="A1925" s="5">
        <v>92436</v>
      </c>
      <c r="B1925" s="5" t="s">
        <v>19083</v>
      </c>
      <c r="C1925" s="5">
        <v>573005272284</v>
      </c>
      <c r="D1925" s="5">
        <v>20</v>
      </c>
      <c r="E1925" s="5" t="s">
        <v>187</v>
      </c>
      <c r="F1925" s="5" t="s">
        <v>73</v>
      </c>
      <c r="G1925" s="5" t="s">
        <v>11979</v>
      </c>
      <c r="H1925" s="5" t="s">
        <v>11980</v>
      </c>
      <c r="I1925" s="5">
        <v>3005277284</v>
      </c>
      <c r="J1925" s="12">
        <v>46080</v>
      </c>
      <c r="K1925" s="11">
        <v>0.10416666666787933</v>
      </c>
      <c r="M1925" s="10" t="s">
        <v>14890</v>
      </c>
      <c r="N1925" s="12">
        <v>46080.531602418981</v>
      </c>
      <c r="O1925" s="10" t="s">
        <v>19084</v>
      </c>
      <c r="P1925" s="5" t="s">
        <v>14571</v>
      </c>
      <c r="Q1925" s="5" t="s">
        <v>14612</v>
      </c>
      <c r="R1925" s="5" t="s">
        <v>19085</v>
      </c>
      <c r="T1925" s="5" t="s">
        <v>5994</v>
      </c>
      <c r="U1925" s="5" t="s">
        <v>14593</v>
      </c>
      <c r="V1925" s="5" t="s">
        <v>67</v>
      </c>
      <c r="W1925" s="5" t="s">
        <v>11983</v>
      </c>
    </row>
    <row r="1926" spans="1:23" ht="12.5">
      <c r="A1926" s="5">
        <v>92437</v>
      </c>
      <c r="B1926" s="5" t="s">
        <v>16892</v>
      </c>
      <c r="C1926" s="5">
        <v>5719543974714</v>
      </c>
      <c r="D1926" s="5">
        <v>52</v>
      </c>
      <c r="E1926" s="5" t="s">
        <v>178</v>
      </c>
      <c r="F1926" s="5" t="s">
        <v>307</v>
      </c>
      <c r="G1926" s="5" t="s">
        <v>5375</v>
      </c>
      <c r="H1926" s="5" t="s">
        <v>11984</v>
      </c>
      <c r="I1926" s="5"/>
      <c r="J1926" s="12">
        <v>46080</v>
      </c>
      <c r="K1926" s="11">
        <v>0.60416666666787933</v>
      </c>
      <c r="M1926" s="10" t="s">
        <v>15594</v>
      </c>
      <c r="N1926" s="12">
        <v>46080.554770162038</v>
      </c>
      <c r="O1926" s="10" t="s">
        <v>17779</v>
      </c>
      <c r="P1926" s="5" t="s">
        <v>14571</v>
      </c>
      <c r="Q1926" s="5" t="s">
        <v>14578</v>
      </c>
      <c r="R1926" s="5" t="s">
        <v>19086</v>
      </c>
      <c r="T1926" s="5" t="s">
        <v>5994</v>
      </c>
      <c r="U1926" s="5" t="s">
        <v>14618</v>
      </c>
      <c r="V1926" s="5" t="s">
        <v>43</v>
      </c>
      <c r="W1926" s="5" t="s">
        <v>11985</v>
      </c>
    </row>
    <row r="1927" spans="1:23" ht="12.5">
      <c r="A1927" s="5">
        <v>92438</v>
      </c>
      <c r="B1927" s="5" t="s">
        <v>11988</v>
      </c>
      <c r="C1927" s="5">
        <v>573114187547</v>
      </c>
      <c r="D1927" s="5">
        <v>95</v>
      </c>
      <c r="E1927" s="5" t="s">
        <v>42</v>
      </c>
      <c r="F1927" s="5" t="s">
        <v>33</v>
      </c>
      <c r="G1927" s="5" t="s">
        <v>11988</v>
      </c>
      <c r="H1927" s="5" t="s">
        <v>34</v>
      </c>
      <c r="I1927" s="5" t="s">
        <v>11989</v>
      </c>
      <c r="J1927" s="12">
        <v>46080</v>
      </c>
      <c r="K1927" s="11">
        <v>0</v>
      </c>
      <c r="M1927" s="10" t="s">
        <v>14873</v>
      </c>
      <c r="N1927" s="12">
        <v>46080.563929965283</v>
      </c>
      <c r="O1927" s="10" t="s">
        <v>15388</v>
      </c>
      <c r="P1927" s="5" t="s">
        <v>14571</v>
      </c>
      <c r="Q1927" s="5" t="s">
        <v>14699</v>
      </c>
      <c r="R1927" s="5" t="s">
        <v>19087</v>
      </c>
      <c r="T1927" s="5" t="s">
        <v>14574</v>
      </c>
      <c r="U1927" s="5" t="s">
        <v>33</v>
      </c>
      <c r="V1927" s="5" t="s">
        <v>196</v>
      </c>
      <c r="W1927" s="5" t="s">
        <v>525</v>
      </c>
    </row>
    <row r="1928" spans="1:23" ht="12.5">
      <c r="A1928" s="5">
        <v>92439</v>
      </c>
      <c r="B1928" s="5" t="s">
        <v>19088</v>
      </c>
      <c r="C1928" s="10" t="s">
        <v>19089</v>
      </c>
      <c r="D1928" s="5">
        <v>41</v>
      </c>
      <c r="E1928" s="5" t="s">
        <v>89</v>
      </c>
      <c r="F1928" s="5" t="s">
        <v>63</v>
      </c>
      <c r="G1928" s="5" t="s">
        <v>11992</v>
      </c>
      <c r="H1928" s="5" t="s">
        <v>11993</v>
      </c>
      <c r="I1928" s="5">
        <v>3008173036</v>
      </c>
      <c r="J1928" s="12">
        <v>46080</v>
      </c>
      <c r="K1928" s="11">
        <v>0.14583333333333334</v>
      </c>
      <c r="M1928" s="10" t="s">
        <v>16329</v>
      </c>
      <c r="N1928" s="12">
        <v>46080</v>
      </c>
      <c r="O1928" s="10" t="s">
        <v>19090</v>
      </c>
      <c r="P1928" s="5" t="s">
        <v>14571</v>
      </c>
      <c r="Q1928" s="5" t="s">
        <v>14578</v>
      </c>
      <c r="R1928" s="5" t="s">
        <v>19091</v>
      </c>
      <c r="T1928" s="5" t="s">
        <v>5994</v>
      </c>
      <c r="U1928" s="5" t="s">
        <v>14598</v>
      </c>
      <c r="V1928" s="5" t="s">
        <v>180</v>
      </c>
      <c r="W1928" s="5"/>
    </row>
    <row r="1929" spans="1:23" ht="12.5">
      <c r="A1929" s="5">
        <v>92440</v>
      </c>
      <c r="B1929" s="5" t="s">
        <v>19092</v>
      </c>
      <c r="C1929" s="10" t="s">
        <v>19093</v>
      </c>
      <c r="D1929" s="5">
        <v>24</v>
      </c>
      <c r="E1929" s="5" t="s">
        <v>251</v>
      </c>
      <c r="F1929" s="5" t="s">
        <v>9581</v>
      </c>
      <c r="G1929" s="5" t="s">
        <v>19094</v>
      </c>
      <c r="H1929" s="5" t="s">
        <v>11997</v>
      </c>
      <c r="I1929" s="5">
        <v>3015797170</v>
      </c>
      <c r="J1929" s="12">
        <v>46080</v>
      </c>
      <c r="K1929" s="11">
        <v>0.64583333333333337</v>
      </c>
      <c r="M1929" s="10" t="s">
        <v>15140</v>
      </c>
      <c r="N1929" s="12">
        <v>46080</v>
      </c>
      <c r="O1929" s="10" t="s">
        <v>14611</v>
      </c>
      <c r="P1929" s="5" t="s">
        <v>14571</v>
      </c>
      <c r="Q1929" s="5" t="s">
        <v>14699</v>
      </c>
      <c r="R1929" s="5" t="s">
        <v>19095</v>
      </c>
      <c r="T1929" s="5" t="s">
        <v>5994</v>
      </c>
      <c r="U1929" s="5" t="s">
        <v>14580</v>
      </c>
      <c r="V1929" s="5" t="s">
        <v>67</v>
      </c>
      <c r="W1929" s="5" t="s">
        <v>11999</v>
      </c>
    </row>
    <row r="1930" spans="1:23" ht="12.5">
      <c r="A1930" s="5">
        <v>92441</v>
      </c>
      <c r="B1930" s="5" t="s">
        <v>19096</v>
      </c>
      <c r="C1930" s="5">
        <v>16462098900</v>
      </c>
      <c r="D1930" s="5">
        <v>41</v>
      </c>
      <c r="E1930" s="5" t="s">
        <v>89</v>
      </c>
      <c r="F1930" s="5" t="s">
        <v>73</v>
      </c>
      <c r="G1930" s="5" t="s">
        <v>12007</v>
      </c>
      <c r="H1930" s="5" t="s">
        <v>12008</v>
      </c>
      <c r="I1930" s="5">
        <v>3002237216</v>
      </c>
      <c r="J1930" s="12">
        <v>46080</v>
      </c>
      <c r="K1930" s="11">
        <v>0.64583333333212067</v>
      </c>
      <c r="M1930" s="10" t="s">
        <v>16429</v>
      </c>
      <c r="N1930" s="12">
        <v>46080.595730231478</v>
      </c>
      <c r="O1930" s="10" t="s">
        <v>18925</v>
      </c>
      <c r="P1930" s="5" t="s">
        <v>14571</v>
      </c>
      <c r="Q1930" s="5" t="s">
        <v>14578</v>
      </c>
      <c r="R1930" s="5" t="s">
        <v>19097</v>
      </c>
      <c r="T1930" s="5" t="s">
        <v>5994</v>
      </c>
      <c r="U1930" s="5" t="s">
        <v>14593</v>
      </c>
      <c r="V1930" s="5" t="s">
        <v>67</v>
      </c>
      <c r="W1930" s="5"/>
    </row>
    <row r="1931" spans="1:23" ht="12.5">
      <c r="A1931" s="5">
        <v>92442</v>
      </c>
      <c r="B1931" s="5" t="s">
        <v>19098</v>
      </c>
      <c r="C1931" s="5">
        <v>573006777033</v>
      </c>
      <c r="D1931" s="5">
        <v>68</v>
      </c>
      <c r="E1931" s="5" t="s">
        <v>361</v>
      </c>
      <c r="F1931" s="5" t="s">
        <v>63</v>
      </c>
      <c r="G1931" s="5" t="s">
        <v>12001</v>
      </c>
      <c r="H1931" s="5" t="s">
        <v>12002</v>
      </c>
      <c r="I1931" s="5"/>
      <c r="J1931" s="12">
        <v>46080</v>
      </c>
      <c r="K1931" s="11">
        <v>0.66666666666787933</v>
      </c>
      <c r="M1931" s="10" t="s">
        <v>15359</v>
      </c>
      <c r="N1931" s="12">
        <v>46080.591919409722</v>
      </c>
      <c r="O1931" s="10" t="s">
        <v>16024</v>
      </c>
      <c r="P1931" s="5" t="s">
        <v>14571</v>
      </c>
      <c r="Q1931" s="5" t="s">
        <v>14578</v>
      </c>
      <c r="R1931" s="5" t="s">
        <v>19099</v>
      </c>
      <c r="T1931" s="5" t="s">
        <v>5994</v>
      </c>
      <c r="U1931" s="5" t="s">
        <v>14598</v>
      </c>
      <c r="V1931" s="5" t="s">
        <v>67</v>
      </c>
      <c r="W1931" s="5" t="s">
        <v>12005</v>
      </c>
    </row>
    <row r="1932" spans="1:23" ht="12.5">
      <c r="A1932" s="5">
        <v>92443</v>
      </c>
      <c r="B1932" s="5" t="s">
        <v>19100</v>
      </c>
      <c r="C1932" s="5">
        <v>573005322303</v>
      </c>
      <c r="D1932" s="5">
        <v>68</v>
      </c>
      <c r="E1932" s="5" t="s">
        <v>361</v>
      </c>
      <c r="F1932" s="5" t="s">
        <v>892</v>
      </c>
      <c r="G1932" s="5" t="s">
        <v>12013</v>
      </c>
      <c r="H1932" s="5" t="s">
        <v>12014</v>
      </c>
      <c r="I1932" s="5">
        <v>3147538130</v>
      </c>
      <c r="J1932" s="12">
        <v>46081</v>
      </c>
      <c r="K1932" s="11">
        <v>0.33333333333212067</v>
      </c>
      <c r="M1932" s="10" t="s">
        <v>14777</v>
      </c>
      <c r="N1932" s="12">
        <v>46080.655004386572</v>
      </c>
      <c r="O1932" s="10" t="s">
        <v>15054</v>
      </c>
      <c r="P1932" s="5" t="s">
        <v>14571</v>
      </c>
      <c r="Q1932" s="5" t="s">
        <v>14612</v>
      </c>
      <c r="R1932" s="5" t="s">
        <v>19101</v>
      </c>
      <c r="T1932" s="5" t="s">
        <v>5994</v>
      </c>
      <c r="U1932" s="5" t="s">
        <v>14593</v>
      </c>
      <c r="V1932" s="5" t="s">
        <v>204</v>
      </c>
      <c r="W1932" s="5"/>
    </row>
    <row r="1933" spans="1:23" ht="12.5">
      <c r="A1933" s="5">
        <v>92444</v>
      </c>
      <c r="B1933" s="5" t="s">
        <v>19102</v>
      </c>
      <c r="C1933" s="10" t="s">
        <v>19103</v>
      </c>
      <c r="D1933" s="5">
        <v>5</v>
      </c>
      <c r="E1933" s="5" t="s">
        <v>4021</v>
      </c>
      <c r="F1933" s="5" t="s">
        <v>249</v>
      </c>
      <c r="G1933" s="5" t="s">
        <v>12024</v>
      </c>
      <c r="H1933" s="5" t="s">
        <v>12025</v>
      </c>
      <c r="I1933" s="5" t="s">
        <v>12026</v>
      </c>
      <c r="J1933" s="12">
        <v>46083</v>
      </c>
      <c r="K1933" s="11">
        <v>0.33333333333333331</v>
      </c>
      <c r="M1933" s="10" t="s">
        <v>15301</v>
      </c>
      <c r="N1933" s="12">
        <v>46080</v>
      </c>
      <c r="O1933" s="10" t="s">
        <v>14818</v>
      </c>
      <c r="P1933" s="5" t="s">
        <v>14571</v>
      </c>
      <c r="Q1933" s="5" t="s">
        <v>14572</v>
      </c>
      <c r="R1933" s="5" t="s">
        <v>19104</v>
      </c>
      <c r="T1933" s="5" t="s">
        <v>5994</v>
      </c>
      <c r="U1933" s="5" t="s">
        <v>14593</v>
      </c>
      <c r="V1933" s="5" t="s">
        <v>67</v>
      </c>
      <c r="W1933" s="5"/>
    </row>
    <row r="1934" spans="1:23" ht="12.5">
      <c r="A1934" s="5">
        <v>92445</v>
      </c>
      <c r="B1934" s="5" t="s">
        <v>12030</v>
      </c>
      <c r="C1934" s="10" t="s">
        <v>19105</v>
      </c>
      <c r="D1934" s="5">
        <v>95</v>
      </c>
      <c r="E1934" s="5" t="s">
        <v>42</v>
      </c>
      <c r="F1934" s="5" t="s">
        <v>33</v>
      </c>
      <c r="G1934" s="5" t="s">
        <v>12030</v>
      </c>
      <c r="H1934" s="5" t="s">
        <v>34</v>
      </c>
      <c r="I1934" s="5">
        <v>3022685523</v>
      </c>
      <c r="J1934" s="12">
        <v>46080</v>
      </c>
      <c r="K1934" s="11">
        <v>0</v>
      </c>
      <c r="M1934" s="10" t="s">
        <v>16519</v>
      </c>
      <c r="N1934" s="12">
        <v>46080</v>
      </c>
      <c r="O1934" s="10" t="s">
        <v>15959</v>
      </c>
      <c r="P1934" s="5" t="s">
        <v>14571</v>
      </c>
      <c r="Q1934" s="5" t="s">
        <v>14578</v>
      </c>
      <c r="R1934" s="5" t="s">
        <v>19106</v>
      </c>
      <c r="T1934" s="5" t="s">
        <v>14574</v>
      </c>
      <c r="U1934" s="5" t="s">
        <v>33</v>
      </c>
      <c r="V1934" s="5" t="s">
        <v>196</v>
      </c>
      <c r="W1934" s="5" t="s">
        <v>12031</v>
      </c>
    </row>
    <row r="1935" spans="1:23" ht="12.5">
      <c r="A1935" s="5">
        <v>92446</v>
      </c>
      <c r="B1935" s="5" t="s">
        <v>19107</v>
      </c>
      <c r="C1935" s="5">
        <v>573154015161</v>
      </c>
      <c r="D1935" s="5">
        <v>23</v>
      </c>
      <c r="E1935" s="5" t="s">
        <v>50</v>
      </c>
      <c r="F1935" s="5" t="s">
        <v>33</v>
      </c>
      <c r="G1935" s="5" t="s">
        <v>3330</v>
      </c>
      <c r="H1935" s="5" t="s">
        <v>34</v>
      </c>
      <c r="I1935" s="10" t="s">
        <v>2686</v>
      </c>
      <c r="J1935" s="12">
        <v>46080</v>
      </c>
      <c r="K1935" s="11">
        <v>0.70833333333212067</v>
      </c>
      <c r="M1935" s="10" t="s">
        <v>14569</v>
      </c>
      <c r="N1935" s="12">
        <v>46080.669202766207</v>
      </c>
      <c r="O1935" s="10" t="s">
        <v>17498</v>
      </c>
      <c r="P1935" s="5" t="s">
        <v>14571</v>
      </c>
      <c r="Q1935" s="5" t="s">
        <v>14578</v>
      </c>
      <c r="R1935" s="5" t="s">
        <v>19108</v>
      </c>
      <c r="T1935" s="5" t="s">
        <v>14574</v>
      </c>
      <c r="U1935" s="5" t="s">
        <v>33</v>
      </c>
      <c r="V1935" s="5" t="s">
        <v>1705</v>
      </c>
      <c r="W1935" s="5"/>
    </row>
    <row r="1936" spans="1:23" ht="12.5">
      <c r="A1936" s="5">
        <v>92447</v>
      </c>
      <c r="B1936" s="5" t="s">
        <v>12046</v>
      </c>
      <c r="C1936" s="10" t="s">
        <v>19109</v>
      </c>
      <c r="D1936" s="5">
        <v>46</v>
      </c>
      <c r="E1936" s="5" t="s">
        <v>120</v>
      </c>
      <c r="F1936" s="5" t="s">
        <v>33</v>
      </c>
      <c r="G1936" s="5" t="s">
        <v>12046</v>
      </c>
      <c r="H1936" s="5" t="s">
        <v>34</v>
      </c>
      <c r="I1936" s="5">
        <v>3152532340</v>
      </c>
      <c r="J1936" s="12">
        <v>46080</v>
      </c>
      <c r="K1936" s="11">
        <v>0.70833333333333337</v>
      </c>
      <c r="M1936" s="10" t="s">
        <v>15384</v>
      </c>
      <c r="N1936" s="12">
        <v>46080</v>
      </c>
      <c r="O1936" s="10" t="s">
        <v>18671</v>
      </c>
      <c r="P1936" s="5" t="s">
        <v>14571</v>
      </c>
      <c r="Q1936" s="5" t="s">
        <v>14699</v>
      </c>
      <c r="R1936" s="5" t="s">
        <v>19110</v>
      </c>
      <c r="T1936" s="5" t="s">
        <v>14574</v>
      </c>
      <c r="U1936" s="5" t="s">
        <v>33</v>
      </c>
      <c r="V1936" s="5" t="s">
        <v>1705</v>
      </c>
      <c r="W1936" s="5" t="s">
        <v>12048</v>
      </c>
    </row>
    <row r="1937" spans="1:23" ht="12.5">
      <c r="A1937" s="5">
        <v>92448</v>
      </c>
      <c r="B1937" s="5" t="s">
        <v>19111</v>
      </c>
      <c r="C1937" s="5">
        <v>573013354666</v>
      </c>
      <c r="D1937" s="5">
        <v>66</v>
      </c>
      <c r="E1937" s="5" t="s">
        <v>576</v>
      </c>
      <c r="F1937" s="5" t="s">
        <v>892</v>
      </c>
      <c r="G1937" s="5" t="s">
        <v>12035</v>
      </c>
      <c r="H1937" s="5" t="s">
        <v>12036</v>
      </c>
      <c r="I1937" s="5">
        <v>3504941573</v>
      </c>
      <c r="J1937" s="12">
        <v>46080</v>
      </c>
      <c r="K1937" s="11">
        <v>0.72916666666787933</v>
      </c>
      <c r="M1937" s="10" t="s">
        <v>14646</v>
      </c>
      <c r="N1937" s="12">
        <v>46080.672931712965</v>
      </c>
      <c r="O1937" s="10" t="s">
        <v>15353</v>
      </c>
      <c r="P1937" s="5" t="s">
        <v>14571</v>
      </c>
      <c r="Q1937" s="5" t="s">
        <v>14699</v>
      </c>
      <c r="R1937" s="5" t="s">
        <v>19112</v>
      </c>
      <c r="T1937" s="5" t="s">
        <v>5994</v>
      </c>
      <c r="U1937" s="5" t="s">
        <v>14593</v>
      </c>
      <c r="V1937" s="5" t="s">
        <v>1481</v>
      </c>
      <c r="W1937" s="5"/>
    </row>
    <row r="1938" spans="1:23" ht="12.5">
      <c r="A1938" s="5">
        <v>92449</v>
      </c>
      <c r="B1938" s="5" t="s">
        <v>19113</v>
      </c>
      <c r="C1938" s="5">
        <v>570</v>
      </c>
      <c r="D1938" s="5">
        <v>95</v>
      </c>
      <c r="E1938" s="5" t="s">
        <v>42</v>
      </c>
      <c r="F1938" s="5" t="s">
        <v>4403</v>
      </c>
      <c r="G1938" s="5" t="s">
        <v>12054</v>
      </c>
      <c r="H1938" s="5" t="s">
        <v>12055</v>
      </c>
      <c r="I1938" s="5"/>
      <c r="J1938" s="12">
        <v>46080</v>
      </c>
      <c r="K1938" s="11">
        <v>0</v>
      </c>
      <c r="M1938" s="10" t="s">
        <v>14712</v>
      </c>
      <c r="N1938" s="12">
        <v>46080.708342812504</v>
      </c>
      <c r="O1938" s="10" t="s">
        <v>14703</v>
      </c>
      <c r="P1938" s="5" t="s">
        <v>14571</v>
      </c>
      <c r="Q1938" s="5" t="s">
        <v>14699</v>
      </c>
      <c r="R1938" s="5" t="s">
        <v>19114</v>
      </c>
      <c r="T1938" s="5" t="s">
        <v>5994</v>
      </c>
      <c r="U1938" s="5" t="s">
        <v>14598</v>
      </c>
      <c r="V1938" s="5" t="s">
        <v>2151</v>
      </c>
      <c r="W1938" s="5" t="s">
        <v>12056</v>
      </c>
    </row>
    <row r="1939" spans="1:23" ht="12.5">
      <c r="A1939" s="5">
        <v>92450</v>
      </c>
      <c r="B1939" s="5" t="s">
        <v>5734</v>
      </c>
      <c r="C1939" s="5">
        <v>573153543653</v>
      </c>
      <c r="D1939" s="5">
        <v>95</v>
      </c>
      <c r="E1939" s="5" t="s">
        <v>42</v>
      </c>
      <c r="F1939" s="5" t="s">
        <v>11248</v>
      </c>
      <c r="G1939" s="5" t="s">
        <v>3330</v>
      </c>
      <c r="H1939" s="5" t="s">
        <v>12057</v>
      </c>
      <c r="I1939" s="5" t="s">
        <v>3330</v>
      </c>
      <c r="J1939" s="12">
        <v>46083</v>
      </c>
      <c r="K1939" s="11">
        <v>0.33333333333212067</v>
      </c>
      <c r="M1939" s="10" t="s">
        <v>14702</v>
      </c>
      <c r="N1939" s="12">
        <v>46080.736092118052</v>
      </c>
      <c r="O1939" s="10" t="s">
        <v>16867</v>
      </c>
      <c r="P1939" s="5" t="s">
        <v>14571</v>
      </c>
      <c r="Q1939" s="5" t="s">
        <v>14572</v>
      </c>
      <c r="R1939" s="5" t="s">
        <v>19115</v>
      </c>
      <c r="T1939" s="5" t="s">
        <v>5994</v>
      </c>
      <c r="U1939" s="5" t="s">
        <v>14618</v>
      </c>
      <c r="V1939" s="5" t="s">
        <v>43</v>
      </c>
      <c r="W1939" s="5" t="s">
        <v>12058</v>
      </c>
    </row>
    <row r="1940" spans="1:23" ht="12.5">
      <c r="A1940" s="5">
        <v>92452</v>
      </c>
      <c r="B1940" s="5" t="s">
        <v>19116</v>
      </c>
      <c r="C1940" s="5">
        <v>573205422288</v>
      </c>
      <c r="D1940" s="5">
        <v>98</v>
      </c>
      <c r="E1940" s="5" t="s">
        <v>9478</v>
      </c>
      <c r="F1940" s="5" t="s">
        <v>73</v>
      </c>
      <c r="G1940" s="5" t="s">
        <v>12040</v>
      </c>
      <c r="H1940" s="5" t="s">
        <v>12041</v>
      </c>
      <c r="I1940" s="5">
        <v>3205422252</v>
      </c>
      <c r="J1940" s="12">
        <v>46080</v>
      </c>
      <c r="K1940" s="11">
        <v>0.75</v>
      </c>
      <c r="M1940" s="10" t="s">
        <v>16647</v>
      </c>
      <c r="N1940" s="12">
        <v>46080.69140142361</v>
      </c>
      <c r="O1940" s="10" t="s">
        <v>15350</v>
      </c>
      <c r="P1940" s="5" t="s">
        <v>14571</v>
      </c>
      <c r="Q1940" s="5" t="s">
        <v>14612</v>
      </c>
      <c r="R1940" s="5" t="s">
        <v>19117</v>
      </c>
      <c r="T1940" s="5" t="s">
        <v>5994</v>
      </c>
      <c r="U1940" s="5" t="s">
        <v>14593</v>
      </c>
      <c r="V1940" s="5" t="s">
        <v>1937</v>
      </c>
      <c r="W1940" s="5" t="s">
        <v>12044</v>
      </c>
    </row>
    <row r="1941" spans="1:23" ht="12.5">
      <c r="A1941" s="5">
        <v>92453</v>
      </c>
      <c r="B1941" s="5" t="s">
        <v>12117</v>
      </c>
      <c r="C1941" s="5">
        <v>573059260093</v>
      </c>
      <c r="D1941" s="5">
        <v>20</v>
      </c>
      <c r="E1941" s="5" t="s">
        <v>187</v>
      </c>
      <c r="F1941" s="5" t="s">
        <v>1272</v>
      </c>
      <c r="G1941" s="5" t="s">
        <v>12049</v>
      </c>
      <c r="H1941" s="5" t="s">
        <v>12050</v>
      </c>
      <c r="I1941" s="5">
        <v>3013841936</v>
      </c>
      <c r="J1941" s="12">
        <v>46081</v>
      </c>
      <c r="K1941" s="11">
        <v>0.33333333333212067</v>
      </c>
      <c r="M1941" s="10" t="s">
        <v>16312</v>
      </c>
      <c r="N1941" s="12">
        <v>46080.699105416672</v>
      </c>
      <c r="O1941" s="10" t="s">
        <v>19040</v>
      </c>
      <c r="P1941" s="5" t="s">
        <v>14571</v>
      </c>
      <c r="Q1941" s="5" t="s">
        <v>14578</v>
      </c>
      <c r="R1941" s="5" t="s">
        <v>19118</v>
      </c>
      <c r="T1941" s="5" t="s">
        <v>5994</v>
      </c>
      <c r="U1941" s="5" t="s">
        <v>14593</v>
      </c>
      <c r="V1941" s="5" t="s">
        <v>67</v>
      </c>
      <c r="W1941" s="5"/>
    </row>
    <row r="1942" spans="1:23" ht="12.5">
      <c r="A1942" s="5">
        <v>92454</v>
      </c>
      <c r="B1942" s="5" t="s">
        <v>19119</v>
      </c>
      <c r="C1942" s="5">
        <v>573008183491</v>
      </c>
      <c r="D1942" s="5">
        <v>95</v>
      </c>
      <c r="E1942" s="5" t="s">
        <v>42</v>
      </c>
      <c r="F1942" s="5" t="s">
        <v>12066</v>
      </c>
      <c r="G1942" s="5" t="s">
        <v>7204</v>
      </c>
      <c r="H1942" s="5" t="s">
        <v>12066</v>
      </c>
      <c r="I1942" s="5">
        <v>573008183491</v>
      </c>
      <c r="J1942" s="12">
        <v>46080</v>
      </c>
      <c r="K1942" s="11">
        <v>0</v>
      </c>
      <c r="M1942" s="10" t="s">
        <v>15594</v>
      </c>
      <c r="N1942" s="12">
        <v>46080.770830185182</v>
      </c>
      <c r="O1942" s="10" t="s">
        <v>14694</v>
      </c>
      <c r="P1942" s="5" t="s">
        <v>14571</v>
      </c>
      <c r="Q1942" s="5" t="s">
        <v>14699</v>
      </c>
      <c r="R1942" s="5" t="s">
        <v>19120</v>
      </c>
      <c r="T1942" s="5" t="s">
        <v>14574</v>
      </c>
      <c r="U1942" s="5"/>
      <c r="V1942" s="5" t="s">
        <v>43</v>
      </c>
      <c r="W1942" s="5"/>
    </row>
    <row r="1943" spans="1:23" ht="12.5">
      <c r="A1943" s="5">
        <v>92455</v>
      </c>
      <c r="B1943" s="5" t="s">
        <v>19121</v>
      </c>
      <c r="C1943" s="5">
        <v>573014067791</v>
      </c>
      <c r="D1943" s="5">
        <v>50</v>
      </c>
      <c r="E1943" s="5" t="s">
        <v>347</v>
      </c>
      <c r="F1943" s="5" t="s">
        <v>265</v>
      </c>
      <c r="G1943" s="5" t="s">
        <v>12018</v>
      </c>
      <c r="H1943" s="5" t="s">
        <v>12019</v>
      </c>
      <c r="I1943" s="5">
        <v>3132366653</v>
      </c>
      <c r="J1943" s="12">
        <v>46081</v>
      </c>
      <c r="K1943" s="11">
        <v>0.66666666666787933</v>
      </c>
      <c r="M1943" s="10" t="s">
        <v>17945</v>
      </c>
      <c r="N1943" s="12">
        <v>46080.655875185184</v>
      </c>
      <c r="O1943" s="10" t="s">
        <v>19122</v>
      </c>
      <c r="P1943" s="5" t="s">
        <v>14571</v>
      </c>
      <c r="Q1943" s="5" t="s">
        <v>14612</v>
      </c>
      <c r="R1943" s="5" t="s">
        <v>19123</v>
      </c>
      <c r="T1943" s="5" t="s">
        <v>5994</v>
      </c>
      <c r="U1943" s="5" t="s">
        <v>14691</v>
      </c>
      <c r="V1943" s="5" t="s">
        <v>180</v>
      </c>
      <c r="W1943" s="5" t="s">
        <v>7222</v>
      </c>
    </row>
    <row r="1944" spans="1:23" ht="12.5">
      <c r="A1944" s="5">
        <v>92456</v>
      </c>
      <c r="B1944" s="5" t="s">
        <v>19124</v>
      </c>
      <c r="C1944" s="5">
        <v>573157353624</v>
      </c>
      <c r="D1944" s="5">
        <v>25</v>
      </c>
      <c r="E1944" s="5" t="s">
        <v>1792</v>
      </c>
      <c r="F1944" s="5" t="s">
        <v>103</v>
      </c>
      <c r="G1944" s="5" t="s">
        <v>12061</v>
      </c>
      <c r="H1944" s="5" t="s">
        <v>12062</v>
      </c>
      <c r="I1944" s="5">
        <v>3157353624</v>
      </c>
      <c r="J1944" s="12">
        <v>46083</v>
      </c>
      <c r="K1944" s="11">
        <v>0.33333333333212067</v>
      </c>
      <c r="M1944" s="10" t="s">
        <v>14734</v>
      </c>
      <c r="N1944" s="12">
        <v>46080.737258020832</v>
      </c>
      <c r="O1944" s="10" t="s">
        <v>19125</v>
      </c>
      <c r="P1944" s="5" t="s">
        <v>14571</v>
      </c>
      <c r="Q1944" s="5" t="s">
        <v>14572</v>
      </c>
      <c r="R1944" s="5" t="s">
        <v>19126</v>
      </c>
      <c r="T1944" s="5" t="s">
        <v>5994</v>
      </c>
      <c r="U1944" s="5" t="s">
        <v>14593</v>
      </c>
      <c r="V1944" s="5" t="s">
        <v>67</v>
      </c>
      <c r="W1944" s="5" t="s">
        <v>12065</v>
      </c>
    </row>
    <row r="1945" spans="1:23" ht="12.5">
      <c r="A1945" s="5">
        <v>92457</v>
      </c>
      <c r="B1945" s="5" t="s">
        <v>19127</v>
      </c>
      <c r="C1945" s="10" t="s">
        <v>19128</v>
      </c>
      <c r="D1945" s="5" t="s">
        <v>19129</v>
      </c>
      <c r="E1945" s="5" t="s">
        <v>1545</v>
      </c>
      <c r="F1945" s="5" t="s">
        <v>12066</v>
      </c>
      <c r="G1945" s="5" t="s">
        <v>12073</v>
      </c>
      <c r="H1945" s="5" t="s">
        <v>12066</v>
      </c>
      <c r="I1945" s="5">
        <v>573166212722</v>
      </c>
      <c r="J1945" s="12">
        <v>46080</v>
      </c>
      <c r="K1945" s="11">
        <v>0</v>
      </c>
      <c r="M1945" s="10" t="s">
        <v>15161</v>
      </c>
      <c r="N1945" s="12">
        <v>46080</v>
      </c>
      <c r="O1945" s="10" t="s">
        <v>19130</v>
      </c>
      <c r="P1945" s="5" t="s">
        <v>14571</v>
      </c>
      <c r="Q1945" s="5" t="s">
        <v>14699</v>
      </c>
      <c r="R1945" s="5" t="s">
        <v>19131</v>
      </c>
      <c r="T1945" s="5" t="s">
        <v>14574</v>
      </c>
      <c r="U1945" s="5"/>
      <c r="V1945" s="5" t="s">
        <v>1705</v>
      </c>
      <c r="W1945" s="5" t="s">
        <v>12074</v>
      </c>
    </row>
    <row r="1946" spans="1:23" ht="12.5">
      <c r="A1946" s="5">
        <v>92458</v>
      </c>
      <c r="B1946" s="5" t="s">
        <v>19132</v>
      </c>
      <c r="C1946" s="10" t="s">
        <v>19133</v>
      </c>
      <c r="D1946" s="5">
        <v>95</v>
      </c>
      <c r="E1946" s="5" t="s">
        <v>42</v>
      </c>
      <c r="F1946" s="5" t="s">
        <v>12066</v>
      </c>
      <c r="G1946" s="5" t="s">
        <v>3183</v>
      </c>
      <c r="H1946" s="5" t="s">
        <v>12066</v>
      </c>
      <c r="I1946" s="5">
        <v>573043190657</v>
      </c>
      <c r="J1946" s="12">
        <v>46081</v>
      </c>
      <c r="K1946" s="11">
        <v>0</v>
      </c>
      <c r="M1946" s="10" t="s">
        <v>14873</v>
      </c>
      <c r="N1946" s="12">
        <v>46080</v>
      </c>
      <c r="O1946" s="10" t="s">
        <v>18200</v>
      </c>
      <c r="P1946" s="5" t="s">
        <v>14571</v>
      </c>
      <c r="Q1946" s="5" t="s">
        <v>14612</v>
      </c>
      <c r="R1946" s="5" t="s">
        <v>19134</v>
      </c>
      <c r="T1946" s="5" t="s">
        <v>14574</v>
      </c>
      <c r="U1946" s="5"/>
      <c r="V1946" s="5" t="s">
        <v>196</v>
      </c>
      <c r="W1946" s="5"/>
    </row>
    <row r="1947" spans="1:23" ht="12.5">
      <c r="A1947" s="5">
        <v>92459</v>
      </c>
      <c r="B1947" s="5" t="s">
        <v>19135</v>
      </c>
      <c r="C1947" s="10" t="s">
        <v>1384</v>
      </c>
      <c r="D1947" s="5">
        <v>95</v>
      </c>
      <c r="E1947" s="5" t="s">
        <v>42</v>
      </c>
      <c r="F1947" s="5" t="s">
        <v>12066</v>
      </c>
      <c r="G1947" s="5" t="s">
        <v>8481</v>
      </c>
      <c r="H1947" s="5" t="s">
        <v>12066</v>
      </c>
      <c r="I1947" s="5">
        <v>573004614501</v>
      </c>
      <c r="J1947" s="12">
        <v>46080</v>
      </c>
      <c r="K1947" s="11">
        <v>0</v>
      </c>
      <c r="M1947" s="10" t="s">
        <v>17200</v>
      </c>
      <c r="N1947" s="12">
        <v>46080</v>
      </c>
      <c r="O1947" s="10" t="s">
        <v>18200</v>
      </c>
      <c r="P1947" s="5" t="s">
        <v>14571</v>
      </c>
      <c r="Q1947" s="5" t="s">
        <v>14612</v>
      </c>
      <c r="R1947" s="5" t="s">
        <v>19136</v>
      </c>
      <c r="T1947" s="5" t="s">
        <v>14574</v>
      </c>
      <c r="U1947" s="5"/>
      <c r="V1947" s="5" t="s">
        <v>43</v>
      </c>
      <c r="W1947" s="5"/>
    </row>
    <row r="1948" spans="1:23" ht="12.5">
      <c r="A1948" s="5">
        <v>92460</v>
      </c>
      <c r="B1948" s="5" t="s">
        <v>19137</v>
      </c>
      <c r="C1948" s="5">
        <v>572412082838</v>
      </c>
      <c r="D1948" s="5">
        <v>52</v>
      </c>
      <c r="E1948" s="5" t="s">
        <v>178</v>
      </c>
      <c r="F1948" s="5" t="s">
        <v>12066</v>
      </c>
      <c r="G1948" s="5" t="s">
        <v>32</v>
      </c>
      <c r="H1948" s="5" t="s">
        <v>12066</v>
      </c>
      <c r="I1948" s="5">
        <v>573116753623</v>
      </c>
      <c r="J1948" s="12">
        <v>46081</v>
      </c>
      <c r="K1948" s="11">
        <v>0.33333333333212067</v>
      </c>
      <c r="M1948" s="10" t="s">
        <v>15161</v>
      </c>
      <c r="N1948" s="12">
        <v>46081.30628837963</v>
      </c>
      <c r="O1948" s="10" t="s">
        <v>15202</v>
      </c>
      <c r="P1948" s="5" t="s">
        <v>14571</v>
      </c>
      <c r="Q1948" s="5" t="s">
        <v>14699</v>
      </c>
      <c r="R1948" s="5" t="s">
        <v>19138</v>
      </c>
      <c r="T1948" s="5" t="s">
        <v>14574</v>
      </c>
      <c r="U1948" s="5"/>
      <c r="V1948" s="5" t="s">
        <v>37</v>
      </c>
      <c r="W1948" s="5" t="s">
        <v>12079</v>
      </c>
    </row>
    <row r="1949" spans="1:23" ht="12.5">
      <c r="A1949" s="5">
        <v>92461</v>
      </c>
      <c r="B1949" s="5" t="s">
        <v>19139</v>
      </c>
      <c r="C1949" s="5">
        <v>573173836934</v>
      </c>
      <c r="D1949" s="5">
        <v>52</v>
      </c>
      <c r="E1949" s="5" t="s">
        <v>178</v>
      </c>
      <c r="F1949" s="5" t="s">
        <v>73</v>
      </c>
      <c r="G1949" s="5" t="s">
        <v>12081</v>
      </c>
      <c r="H1949" s="5" t="s">
        <v>12082</v>
      </c>
      <c r="I1949" s="5">
        <v>573215951699</v>
      </c>
      <c r="J1949" s="12">
        <v>46081</v>
      </c>
      <c r="K1949" s="11">
        <v>0.625</v>
      </c>
      <c r="M1949" s="10" t="s">
        <v>15043</v>
      </c>
      <c r="N1949" s="12">
        <v>46081.315401550921</v>
      </c>
      <c r="O1949" s="10" t="s">
        <v>17159</v>
      </c>
      <c r="P1949" s="5" t="s">
        <v>14571</v>
      </c>
      <c r="Q1949" s="5" t="s">
        <v>14578</v>
      </c>
      <c r="R1949" s="5" t="s">
        <v>19140</v>
      </c>
      <c r="T1949" s="5" t="s">
        <v>5994</v>
      </c>
      <c r="U1949" s="5" t="s">
        <v>14593</v>
      </c>
      <c r="V1949" s="5" t="s">
        <v>1481</v>
      </c>
      <c r="W1949" s="5"/>
    </row>
    <row r="1950" spans="1:23" ht="12.5">
      <c r="A1950" s="5">
        <v>92462</v>
      </c>
      <c r="B1950" s="5" t="s">
        <v>19141</v>
      </c>
      <c r="C1950" s="5">
        <v>573015199784</v>
      </c>
      <c r="D1950" s="5">
        <v>44</v>
      </c>
      <c r="E1950" s="5" t="s">
        <v>1111</v>
      </c>
      <c r="F1950" s="5" t="s">
        <v>307</v>
      </c>
      <c r="G1950" s="5" t="s">
        <v>12086</v>
      </c>
      <c r="H1950" s="5" t="s">
        <v>12087</v>
      </c>
      <c r="I1950" s="5">
        <v>573015199784</v>
      </c>
      <c r="J1950" s="12">
        <v>46081</v>
      </c>
      <c r="K1950" s="11">
        <v>0.4375</v>
      </c>
      <c r="M1950" s="10" t="s">
        <v>14646</v>
      </c>
      <c r="N1950" s="12">
        <v>46081.361847222222</v>
      </c>
      <c r="O1950" s="10" t="s">
        <v>19063</v>
      </c>
      <c r="P1950" s="5" t="s">
        <v>14571</v>
      </c>
      <c r="Q1950" s="5" t="s">
        <v>14612</v>
      </c>
      <c r="R1950" s="5" t="s">
        <v>19142</v>
      </c>
      <c r="T1950" s="5" t="s">
        <v>5994</v>
      </c>
      <c r="U1950" s="5" t="s">
        <v>14618</v>
      </c>
      <c r="V1950" s="5" t="s">
        <v>1481</v>
      </c>
      <c r="W1950" s="5" t="s">
        <v>3760</v>
      </c>
    </row>
    <row r="1951" spans="1:23" ht="12.5">
      <c r="A1951" s="5">
        <v>92463</v>
      </c>
      <c r="B1951" s="5" t="s">
        <v>19143</v>
      </c>
      <c r="C1951" s="10" t="s">
        <v>19144</v>
      </c>
      <c r="D1951" s="5">
        <v>39</v>
      </c>
      <c r="E1951" s="5" t="s">
        <v>96</v>
      </c>
      <c r="F1951" s="5" t="s">
        <v>1317</v>
      </c>
      <c r="G1951" s="5" t="s">
        <v>371</v>
      </c>
      <c r="H1951" s="5" t="s">
        <v>12099</v>
      </c>
      <c r="I1951" s="5">
        <v>573184941612</v>
      </c>
      <c r="J1951" s="12">
        <v>46081</v>
      </c>
      <c r="K1951" s="11">
        <v>0.4375</v>
      </c>
      <c r="M1951" s="10" t="s">
        <v>15304</v>
      </c>
      <c r="N1951" s="12">
        <v>46081</v>
      </c>
      <c r="O1951" s="10" t="s">
        <v>17287</v>
      </c>
      <c r="P1951" s="5" t="s">
        <v>14571</v>
      </c>
      <c r="Q1951" s="5" t="s">
        <v>14578</v>
      </c>
      <c r="R1951" s="5" t="s">
        <v>19145</v>
      </c>
      <c r="T1951" s="5" t="s">
        <v>5994</v>
      </c>
      <c r="U1951" s="5" t="s">
        <v>15349</v>
      </c>
      <c r="V1951" s="5" t="s">
        <v>196</v>
      </c>
      <c r="W1951" s="5"/>
    </row>
    <row r="1952" spans="1:23" ht="12.5">
      <c r="A1952" s="5">
        <v>92464</v>
      </c>
      <c r="B1952" s="5" t="s">
        <v>19146</v>
      </c>
      <c r="C1952" s="10" t="s">
        <v>19147</v>
      </c>
      <c r="D1952" s="5" t="s">
        <v>19148</v>
      </c>
      <c r="E1952" s="5" t="s">
        <v>12070</v>
      </c>
      <c r="F1952" s="5" t="s">
        <v>405</v>
      </c>
      <c r="G1952" s="5" t="s">
        <v>12068</v>
      </c>
      <c r="H1952" s="5" t="s">
        <v>12069</v>
      </c>
      <c r="I1952" s="5">
        <v>573245011642</v>
      </c>
      <c r="J1952" s="12">
        <v>46087</v>
      </c>
      <c r="K1952" s="11">
        <v>0.33333333333333331</v>
      </c>
      <c r="M1952" s="10" t="s">
        <v>16450</v>
      </c>
      <c r="N1952" s="12">
        <v>46081</v>
      </c>
      <c r="O1952" s="10" t="s">
        <v>14999</v>
      </c>
      <c r="P1952" s="5" t="s">
        <v>14571</v>
      </c>
      <c r="Q1952" s="5" t="s">
        <v>14572</v>
      </c>
      <c r="R1952" s="5" t="s">
        <v>19149</v>
      </c>
      <c r="T1952" s="5" t="s">
        <v>5994</v>
      </c>
      <c r="U1952" s="5"/>
      <c r="V1952" s="5" t="s">
        <v>1481</v>
      </c>
      <c r="W1952" s="5"/>
    </row>
    <row r="1953" spans="1:23" ht="12.5">
      <c r="A1953" s="5">
        <v>92465</v>
      </c>
      <c r="B1953" s="5" t="s">
        <v>19150</v>
      </c>
      <c r="C1953" s="5">
        <v>573004941665</v>
      </c>
      <c r="D1953" s="5">
        <v>52</v>
      </c>
      <c r="E1953" s="5" t="s">
        <v>178</v>
      </c>
      <c r="F1953" s="5" t="s">
        <v>1815</v>
      </c>
      <c r="G1953" s="5" t="s">
        <v>6003</v>
      </c>
      <c r="H1953" s="5" t="s">
        <v>12090</v>
      </c>
      <c r="I1953" s="5">
        <v>573004941665</v>
      </c>
      <c r="J1953" s="12">
        <v>46081</v>
      </c>
      <c r="K1953" s="11">
        <v>0.4375</v>
      </c>
      <c r="M1953" s="10" t="s">
        <v>14885</v>
      </c>
      <c r="N1953" s="12">
        <v>46081.372064606483</v>
      </c>
      <c r="O1953" s="10" t="s">
        <v>15416</v>
      </c>
      <c r="P1953" s="5" t="s">
        <v>14571</v>
      </c>
      <c r="Q1953" s="5" t="s">
        <v>14578</v>
      </c>
      <c r="R1953" s="5" t="s">
        <v>19151</v>
      </c>
      <c r="T1953" s="5" t="s">
        <v>5994</v>
      </c>
      <c r="U1953" s="5" t="s">
        <v>14580</v>
      </c>
      <c r="V1953" s="5" t="s">
        <v>1481</v>
      </c>
      <c r="W1953" s="5" t="s">
        <v>4513</v>
      </c>
    </row>
    <row r="1954" spans="1:23" ht="12.5">
      <c r="A1954" s="5">
        <v>92466</v>
      </c>
      <c r="B1954" s="5" t="s">
        <v>19152</v>
      </c>
      <c r="C1954" s="5">
        <v>573007125818</v>
      </c>
      <c r="D1954" s="5">
        <v>69</v>
      </c>
      <c r="E1954" s="5" t="s">
        <v>335</v>
      </c>
      <c r="F1954" s="5" t="s">
        <v>563</v>
      </c>
      <c r="G1954" s="5" t="s">
        <v>12093</v>
      </c>
      <c r="H1954" s="5" t="s">
        <v>12094</v>
      </c>
      <c r="I1954" s="5">
        <v>573007125818</v>
      </c>
      <c r="J1954" s="12">
        <v>46081</v>
      </c>
      <c r="K1954" s="11">
        <v>0.4375</v>
      </c>
      <c r="M1954" s="10" t="s">
        <v>14643</v>
      </c>
      <c r="N1954" s="12">
        <v>46081.386937280091</v>
      </c>
      <c r="O1954" s="10" t="s">
        <v>15830</v>
      </c>
      <c r="P1954" s="5" t="s">
        <v>14571</v>
      </c>
      <c r="Q1954" s="5" t="s">
        <v>14612</v>
      </c>
      <c r="R1954" s="5" t="s">
        <v>19153</v>
      </c>
      <c r="T1954" s="5" t="s">
        <v>5994</v>
      </c>
      <c r="U1954" s="5" t="s">
        <v>14775</v>
      </c>
      <c r="V1954" s="5" t="s">
        <v>1481</v>
      </c>
      <c r="W1954" s="5" t="s">
        <v>12097</v>
      </c>
    </row>
    <row r="1955" spans="1:23" ht="12.5">
      <c r="A1955" s="5">
        <v>92467</v>
      </c>
      <c r="B1955" s="5" t="s">
        <v>19154</v>
      </c>
      <c r="C1955" s="5">
        <v>573104595777</v>
      </c>
      <c r="D1955" s="5">
        <v>52</v>
      </c>
      <c r="E1955" s="5" t="s">
        <v>178</v>
      </c>
      <c r="F1955" s="5" t="s">
        <v>12066</v>
      </c>
      <c r="G1955" s="5" t="s">
        <v>12100</v>
      </c>
      <c r="H1955" s="5" t="s">
        <v>12066</v>
      </c>
      <c r="I1955" s="5">
        <v>573104595777</v>
      </c>
      <c r="J1955" s="12">
        <v>46081</v>
      </c>
      <c r="K1955" s="11">
        <v>0.4375</v>
      </c>
      <c r="M1955" s="10" t="s">
        <v>15161</v>
      </c>
      <c r="N1955" s="12">
        <v>46081.41057537037</v>
      </c>
      <c r="O1955" s="10" t="s">
        <v>15309</v>
      </c>
      <c r="P1955" s="5" t="s">
        <v>14571</v>
      </c>
      <c r="Q1955" s="5" t="s">
        <v>14699</v>
      </c>
      <c r="R1955" s="5" t="s">
        <v>19155</v>
      </c>
      <c r="T1955" s="5" t="s">
        <v>14574</v>
      </c>
      <c r="U1955" s="5"/>
      <c r="V1955" s="5" t="s">
        <v>1481</v>
      </c>
      <c r="W1955" s="5"/>
    </row>
    <row r="1956" spans="1:23" ht="12.5">
      <c r="A1956" s="5">
        <v>92468</v>
      </c>
      <c r="B1956" s="5" t="s">
        <v>2150</v>
      </c>
      <c r="C1956" s="5">
        <v>573012394343</v>
      </c>
      <c r="D1956" s="5">
        <v>95</v>
      </c>
      <c r="E1956" s="5" t="s">
        <v>42</v>
      </c>
      <c r="F1956" s="5"/>
      <c r="G1956" s="5" t="s">
        <v>12114</v>
      </c>
      <c r="H1956" s="5" t="s">
        <v>12115</v>
      </c>
      <c r="I1956" s="5">
        <v>3012394343</v>
      </c>
      <c r="J1956" s="12">
        <v>46081</v>
      </c>
      <c r="K1956" s="11">
        <v>0.45833333333212067</v>
      </c>
      <c r="M1956" s="10" t="s">
        <v>15161</v>
      </c>
      <c r="N1956" s="12">
        <v>46081.447497673609</v>
      </c>
      <c r="O1956" s="10" t="s">
        <v>18243</v>
      </c>
      <c r="P1956" s="5" t="s">
        <v>14571</v>
      </c>
      <c r="Q1956" s="5" t="s">
        <v>14612</v>
      </c>
      <c r="R1956" s="5" t="s">
        <v>19156</v>
      </c>
      <c r="T1956" s="5" t="s">
        <v>5994</v>
      </c>
      <c r="U1956" s="5"/>
      <c r="V1956" s="5" t="s">
        <v>67</v>
      </c>
      <c r="W1956" s="5" t="s">
        <v>12116</v>
      </c>
    </row>
    <row r="1957" spans="1:23" ht="12.5">
      <c r="A1957" s="5">
        <v>92469</v>
      </c>
      <c r="B1957" s="5" t="s">
        <v>19157</v>
      </c>
      <c r="C1957" s="5">
        <v>573005655483</v>
      </c>
      <c r="D1957" s="5">
        <v>36</v>
      </c>
      <c r="E1957" s="5" t="s">
        <v>222</v>
      </c>
      <c r="F1957" s="5" t="s">
        <v>73</v>
      </c>
      <c r="G1957" s="5" t="s">
        <v>12076</v>
      </c>
      <c r="H1957" s="5" t="s">
        <v>12077</v>
      </c>
      <c r="I1957" s="5">
        <v>573044098221</v>
      </c>
      <c r="J1957" s="12">
        <v>46081</v>
      </c>
      <c r="K1957" s="11">
        <v>0.5</v>
      </c>
      <c r="M1957" s="10" t="s">
        <v>14903</v>
      </c>
      <c r="N1957" s="12">
        <v>46080.878609918982</v>
      </c>
      <c r="O1957" s="10" t="s">
        <v>14759</v>
      </c>
      <c r="P1957" s="5" t="s">
        <v>14571</v>
      </c>
      <c r="Q1957" s="5" t="s">
        <v>14578</v>
      </c>
      <c r="R1957" s="5" t="s">
        <v>19158</v>
      </c>
      <c r="T1957" s="5" t="s">
        <v>5994</v>
      </c>
      <c r="U1957" s="5" t="s">
        <v>14593</v>
      </c>
      <c r="V1957" s="5" t="s">
        <v>1481</v>
      </c>
      <c r="W1957" s="5"/>
    </row>
    <row r="1958" spans="1:23" ht="12.5">
      <c r="A1958" s="5">
        <v>92470</v>
      </c>
      <c r="B1958" s="5" t="s">
        <v>19159</v>
      </c>
      <c r="C1958" s="5">
        <v>573059260093</v>
      </c>
      <c r="D1958" s="5">
        <v>49</v>
      </c>
      <c r="E1958" s="5" t="s">
        <v>380</v>
      </c>
      <c r="F1958" s="5" t="s">
        <v>8750</v>
      </c>
      <c r="G1958" s="5" t="s">
        <v>12118</v>
      </c>
      <c r="H1958" s="5" t="s">
        <v>12119</v>
      </c>
      <c r="I1958" s="5">
        <v>573014172321</v>
      </c>
      <c r="J1958" s="12">
        <v>46081</v>
      </c>
      <c r="K1958" s="11">
        <v>0.54166666666787933</v>
      </c>
      <c r="M1958" s="10" t="s">
        <v>15278</v>
      </c>
      <c r="N1958" s="12">
        <v>46081.450238645833</v>
      </c>
      <c r="O1958" s="10" t="s">
        <v>14891</v>
      </c>
      <c r="P1958" s="5" t="s">
        <v>14571</v>
      </c>
      <c r="Q1958" s="5" t="s">
        <v>14699</v>
      </c>
      <c r="R1958" s="5" t="s">
        <v>19160</v>
      </c>
      <c r="T1958" s="5" t="s">
        <v>5994</v>
      </c>
      <c r="U1958" s="5"/>
      <c r="V1958" s="5" t="s">
        <v>67</v>
      </c>
      <c r="W1958" s="5"/>
    </row>
    <row r="1959" spans="1:23" ht="12.5">
      <c r="A1959" s="5">
        <v>92471</v>
      </c>
      <c r="B1959" s="5" t="s">
        <v>9483</v>
      </c>
      <c r="C1959" s="10" t="s">
        <v>19161</v>
      </c>
      <c r="D1959" s="5">
        <v>95</v>
      </c>
      <c r="E1959" s="5" t="s">
        <v>42</v>
      </c>
      <c r="F1959" s="5" t="s">
        <v>33</v>
      </c>
      <c r="G1959" s="5" t="s">
        <v>9483</v>
      </c>
      <c r="H1959" s="5" t="s">
        <v>34</v>
      </c>
      <c r="I1959" s="5" t="s">
        <v>12122</v>
      </c>
      <c r="J1959" s="12">
        <v>46081</v>
      </c>
      <c r="K1959" s="11">
        <v>0</v>
      </c>
      <c r="M1959" s="10" t="s">
        <v>16105</v>
      </c>
      <c r="N1959" s="12">
        <v>46081</v>
      </c>
      <c r="O1959" s="10" t="s">
        <v>15770</v>
      </c>
      <c r="P1959" s="5" t="s">
        <v>14571</v>
      </c>
      <c r="Q1959" s="5" t="s">
        <v>14578</v>
      </c>
      <c r="R1959" s="5" t="s">
        <v>19162</v>
      </c>
      <c r="T1959" s="5" t="s">
        <v>14574</v>
      </c>
      <c r="U1959" s="5" t="s">
        <v>33</v>
      </c>
      <c r="V1959" s="5" t="s">
        <v>1705</v>
      </c>
      <c r="W1959" s="5" t="s">
        <v>525</v>
      </c>
    </row>
    <row r="1960" spans="1:23" ht="12.5">
      <c r="A1960" s="5">
        <v>92472</v>
      </c>
      <c r="B1960" s="5" t="s">
        <v>12104</v>
      </c>
      <c r="C1960" s="5">
        <v>573106307990</v>
      </c>
      <c r="D1960" s="5" t="s">
        <v>14589</v>
      </c>
      <c r="E1960" s="5" t="s">
        <v>12105</v>
      </c>
      <c r="F1960" s="5" t="s">
        <v>33</v>
      </c>
      <c r="G1960" s="5" t="s">
        <v>12104</v>
      </c>
      <c r="H1960" s="5" t="s">
        <v>34</v>
      </c>
      <c r="I1960" s="5">
        <v>3106307990</v>
      </c>
      <c r="J1960" s="12">
        <v>46081</v>
      </c>
      <c r="K1960" s="11">
        <v>0.54166666666787933</v>
      </c>
      <c r="M1960" s="10" t="s">
        <v>14649</v>
      </c>
      <c r="N1960" s="12">
        <v>46081.426792280094</v>
      </c>
      <c r="O1960" s="10" t="s">
        <v>16593</v>
      </c>
      <c r="P1960" s="5" t="s">
        <v>14571</v>
      </c>
      <c r="Q1960" s="5" t="s">
        <v>14612</v>
      </c>
      <c r="R1960" s="5" t="s">
        <v>19163</v>
      </c>
      <c r="T1960" s="5" t="s">
        <v>14574</v>
      </c>
      <c r="U1960" s="5" t="s">
        <v>33</v>
      </c>
      <c r="V1960" s="5" t="s">
        <v>1705</v>
      </c>
      <c r="W1960" s="5"/>
    </row>
    <row r="1961" spans="1:23" ht="12.5">
      <c r="A1961" s="5">
        <v>92473</v>
      </c>
      <c r="B1961" s="5" t="s">
        <v>19164</v>
      </c>
      <c r="C1961" s="5">
        <v>573186953307</v>
      </c>
      <c r="D1961" s="5">
        <v>95</v>
      </c>
      <c r="E1961" s="5" t="s">
        <v>42</v>
      </c>
      <c r="F1961" s="5" t="s">
        <v>249</v>
      </c>
      <c r="G1961" s="5" t="s">
        <v>12109</v>
      </c>
      <c r="H1961" s="5" t="s">
        <v>12110</v>
      </c>
      <c r="I1961" s="5">
        <v>573128605300</v>
      </c>
      <c r="J1961" s="12">
        <v>46081</v>
      </c>
      <c r="K1961" s="11">
        <v>0.58333333333212067</v>
      </c>
      <c r="M1961" s="10" t="s">
        <v>14646</v>
      </c>
      <c r="N1961" s="12">
        <v>46081.444520914352</v>
      </c>
      <c r="O1961" s="10" t="s">
        <v>16526</v>
      </c>
      <c r="P1961" s="5" t="s">
        <v>14571</v>
      </c>
      <c r="Q1961" s="5" t="s">
        <v>14612</v>
      </c>
      <c r="R1961" s="5" t="s">
        <v>19165</v>
      </c>
      <c r="T1961" s="5" t="s">
        <v>5994</v>
      </c>
      <c r="U1961" s="5" t="s">
        <v>14593</v>
      </c>
      <c r="V1961" s="5" t="s">
        <v>67</v>
      </c>
      <c r="W1961" s="5" t="s">
        <v>12113</v>
      </c>
    </row>
    <row r="1962" spans="1:23" ht="12.5">
      <c r="A1962" s="5">
        <v>92474</v>
      </c>
      <c r="B1962" s="5" t="s">
        <v>12129</v>
      </c>
      <c r="C1962" s="5">
        <v>573155681115</v>
      </c>
      <c r="D1962" s="5">
        <v>51</v>
      </c>
      <c r="E1962" s="5" t="s">
        <v>384</v>
      </c>
      <c r="F1962" s="5" t="s">
        <v>33</v>
      </c>
      <c r="G1962" s="5" t="s">
        <v>12129</v>
      </c>
      <c r="H1962" s="5" t="s">
        <v>34</v>
      </c>
      <c r="I1962" s="5">
        <v>3155681115</v>
      </c>
      <c r="J1962" s="12">
        <v>46081</v>
      </c>
      <c r="K1962" s="11">
        <v>0</v>
      </c>
      <c r="M1962" s="10" t="s">
        <v>14569</v>
      </c>
      <c r="N1962" s="12">
        <v>46081.50363230324</v>
      </c>
      <c r="O1962" s="10" t="s">
        <v>15404</v>
      </c>
      <c r="P1962" s="5" t="s">
        <v>14571</v>
      </c>
      <c r="Q1962" s="5" t="s">
        <v>14578</v>
      </c>
      <c r="R1962" s="5" t="s">
        <v>19166</v>
      </c>
      <c r="T1962" s="5" t="s">
        <v>14574</v>
      </c>
      <c r="U1962" s="5" t="s">
        <v>33</v>
      </c>
      <c r="V1962" s="5" t="s">
        <v>1705</v>
      </c>
      <c r="W1962" s="5" t="s">
        <v>12131</v>
      </c>
    </row>
    <row r="1963" spans="1:23" ht="12.5">
      <c r="A1963" s="5">
        <v>92475</v>
      </c>
      <c r="B1963" s="5" t="s">
        <v>19167</v>
      </c>
      <c r="C1963" s="5">
        <v>573175494728</v>
      </c>
      <c r="D1963" s="5">
        <v>31</v>
      </c>
      <c r="E1963" s="5" t="s">
        <v>375</v>
      </c>
      <c r="F1963" s="5" t="s">
        <v>448</v>
      </c>
      <c r="G1963" s="5" t="s">
        <v>12124</v>
      </c>
      <c r="H1963" s="5" t="s">
        <v>12125</v>
      </c>
      <c r="I1963" s="5">
        <v>573232842683</v>
      </c>
      <c r="J1963" s="12">
        <v>46081</v>
      </c>
      <c r="K1963" s="11">
        <v>0.58333333333212067</v>
      </c>
      <c r="M1963" s="10" t="s">
        <v>14595</v>
      </c>
      <c r="N1963" s="12">
        <v>46081.468830706013</v>
      </c>
      <c r="O1963" s="10" t="s">
        <v>15696</v>
      </c>
      <c r="P1963" s="5" t="s">
        <v>14571</v>
      </c>
      <c r="Q1963" s="5" t="s">
        <v>14612</v>
      </c>
      <c r="R1963" s="5" t="s">
        <v>19168</v>
      </c>
      <c r="T1963" s="5" t="s">
        <v>5994</v>
      </c>
      <c r="U1963" s="5" t="s">
        <v>14580</v>
      </c>
      <c r="V1963" s="5" t="s">
        <v>180</v>
      </c>
      <c r="W1963" s="5"/>
    </row>
    <row r="1964" spans="1:23" ht="12.5">
      <c r="A1964" s="5">
        <v>92476</v>
      </c>
      <c r="B1964" s="5" t="s">
        <v>2678</v>
      </c>
      <c r="C1964" s="10" t="s">
        <v>19169</v>
      </c>
      <c r="D1964" s="5">
        <v>95</v>
      </c>
      <c r="E1964" s="5" t="s">
        <v>42</v>
      </c>
      <c r="F1964" s="5" t="s">
        <v>33</v>
      </c>
      <c r="G1964" s="5" t="s">
        <v>2678</v>
      </c>
      <c r="H1964" s="5" t="s">
        <v>34</v>
      </c>
      <c r="I1964" s="5">
        <v>3012527757</v>
      </c>
      <c r="J1964" s="12">
        <v>46081</v>
      </c>
      <c r="K1964" s="11">
        <v>0</v>
      </c>
      <c r="M1964" s="10" t="s">
        <v>15497</v>
      </c>
      <c r="N1964" s="12">
        <v>46081</v>
      </c>
      <c r="O1964" s="10" t="s">
        <v>16305</v>
      </c>
      <c r="P1964" s="5" t="s">
        <v>14571</v>
      </c>
      <c r="Q1964" s="5" t="s">
        <v>14699</v>
      </c>
      <c r="R1964" s="5" t="s">
        <v>19170</v>
      </c>
      <c r="T1964" s="5" t="s">
        <v>14574</v>
      </c>
      <c r="U1964" s="5" t="s">
        <v>33</v>
      </c>
      <c r="V1964" s="5" t="s">
        <v>1705</v>
      </c>
      <c r="W1964" s="5"/>
    </row>
    <row r="1965" spans="1:23" ht="12.5">
      <c r="A1965" s="5">
        <v>92477</v>
      </c>
      <c r="B1965" s="5" t="s">
        <v>19171</v>
      </c>
      <c r="C1965" s="10" t="s">
        <v>19172</v>
      </c>
      <c r="D1965" s="5">
        <v>28</v>
      </c>
      <c r="E1965" s="5" t="s">
        <v>435</v>
      </c>
      <c r="F1965" s="5" t="s">
        <v>73</v>
      </c>
      <c r="G1965" s="5" t="s">
        <v>10948</v>
      </c>
      <c r="H1965" s="5" t="s">
        <v>12132</v>
      </c>
      <c r="I1965" s="5">
        <v>573013157902</v>
      </c>
      <c r="J1965" s="12">
        <v>46081</v>
      </c>
      <c r="K1965" s="11">
        <v>0</v>
      </c>
      <c r="M1965" s="10" t="s">
        <v>15674</v>
      </c>
      <c r="N1965" s="12">
        <v>46081</v>
      </c>
      <c r="O1965" s="10" t="s">
        <v>19173</v>
      </c>
      <c r="P1965" s="5" t="s">
        <v>14571</v>
      </c>
      <c r="Q1965" s="5" t="s">
        <v>14578</v>
      </c>
      <c r="R1965" s="5" t="s">
        <v>19174</v>
      </c>
      <c r="T1965" s="5" t="s">
        <v>5994</v>
      </c>
      <c r="U1965" s="5" t="s">
        <v>14593</v>
      </c>
      <c r="V1965" s="5" t="s">
        <v>67</v>
      </c>
      <c r="W1965" s="5"/>
    </row>
    <row r="1966" spans="1:23" ht="12.5">
      <c r="A1966" s="5">
        <v>92478</v>
      </c>
      <c r="B1966" s="5" t="s">
        <v>19175</v>
      </c>
      <c r="C1966" s="10" t="s">
        <v>18941</v>
      </c>
      <c r="D1966" s="5" t="s">
        <v>14589</v>
      </c>
      <c r="E1966" s="5" t="s">
        <v>12143</v>
      </c>
      <c r="F1966" s="5" t="s">
        <v>1057</v>
      </c>
      <c r="G1966" s="5" t="s">
        <v>12141</v>
      </c>
      <c r="H1966" s="5" t="s">
        <v>12142</v>
      </c>
      <c r="I1966" s="5">
        <v>573217530452</v>
      </c>
      <c r="J1966" s="12">
        <v>46081</v>
      </c>
      <c r="K1966" s="11">
        <v>0.625</v>
      </c>
      <c r="M1966" s="10" t="s">
        <v>16628</v>
      </c>
      <c r="N1966" s="12">
        <v>46081</v>
      </c>
      <c r="O1966" s="10" t="s">
        <v>16011</v>
      </c>
      <c r="P1966" s="5" t="s">
        <v>14571</v>
      </c>
      <c r="Q1966" s="5" t="s">
        <v>14578</v>
      </c>
      <c r="R1966" s="5" t="s">
        <v>19176</v>
      </c>
      <c r="T1966" s="5" t="s">
        <v>5994</v>
      </c>
      <c r="U1966" s="5" t="s">
        <v>14580</v>
      </c>
      <c r="V1966" s="5" t="s">
        <v>1481</v>
      </c>
      <c r="W1966" s="5"/>
    </row>
    <row r="1967" spans="1:23" ht="12.5">
      <c r="A1967" s="5">
        <v>92479</v>
      </c>
      <c r="B1967" s="5" t="s">
        <v>19177</v>
      </c>
      <c r="C1967" s="5">
        <v>573207881015</v>
      </c>
      <c r="D1967" s="5">
        <v>31</v>
      </c>
      <c r="E1967" s="5" t="s">
        <v>375</v>
      </c>
      <c r="F1967" s="5" t="s">
        <v>516</v>
      </c>
      <c r="G1967" s="5" t="s">
        <v>12136</v>
      </c>
      <c r="H1967" s="5" t="s">
        <v>12137</v>
      </c>
      <c r="I1967" s="5">
        <v>573205241630</v>
      </c>
      <c r="J1967" s="12">
        <v>46081</v>
      </c>
      <c r="K1967" s="11">
        <v>0.60416666666787933</v>
      </c>
      <c r="M1967" s="10" t="s">
        <v>14627</v>
      </c>
      <c r="N1967" s="12">
        <v>46081.53363583333</v>
      </c>
      <c r="O1967" s="10" t="s">
        <v>15275</v>
      </c>
      <c r="P1967" s="5" t="s">
        <v>14571</v>
      </c>
      <c r="Q1967" s="5" t="s">
        <v>14578</v>
      </c>
      <c r="R1967" s="5" t="s">
        <v>19178</v>
      </c>
      <c r="T1967" s="5" t="s">
        <v>5994</v>
      </c>
      <c r="U1967" s="5" t="s">
        <v>14580</v>
      </c>
      <c r="V1967" s="5" t="s">
        <v>83</v>
      </c>
      <c r="W1967" s="5"/>
    </row>
    <row r="1968" spans="1:23" ht="12.5">
      <c r="A1968" s="5">
        <v>92480</v>
      </c>
      <c r="B1968" s="5" t="s">
        <v>19179</v>
      </c>
      <c r="C1968" s="5">
        <v>573106011462</v>
      </c>
      <c r="D1968" s="5">
        <v>15</v>
      </c>
      <c r="E1968" s="5" t="s">
        <v>707</v>
      </c>
      <c r="F1968" s="5" t="s">
        <v>161</v>
      </c>
      <c r="G1968" s="5" t="s">
        <v>12146</v>
      </c>
      <c r="H1968" s="5" t="s">
        <v>12147</v>
      </c>
      <c r="I1968" s="5">
        <v>573106011462</v>
      </c>
      <c r="J1968" s="12">
        <v>46081</v>
      </c>
      <c r="K1968" s="11">
        <v>0.58333333333212067</v>
      </c>
      <c r="M1968" s="10" t="s">
        <v>16192</v>
      </c>
      <c r="N1968" s="12">
        <v>46081.541980069444</v>
      </c>
      <c r="O1968" s="10" t="s">
        <v>16209</v>
      </c>
      <c r="P1968" s="5" t="s">
        <v>14571</v>
      </c>
      <c r="Q1968" s="5" t="s">
        <v>14612</v>
      </c>
      <c r="R1968" s="5" t="s">
        <v>19180</v>
      </c>
      <c r="T1968" s="5" t="s">
        <v>5994</v>
      </c>
      <c r="U1968" s="5" t="s">
        <v>14593</v>
      </c>
      <c r="V1968" s="5" t="s">
        <v>1481</v>
      </c>
      <c r="W1968" s="5" t="s">
        <v>12150</v>
      </c>
    </row>
    <row r="1969" spans="1:23" ht="12.5">
      <c r="A1969" s="5">
        <v>92481</v>
      </c>
      <c r="B1969" s="5" t="s">
        <v>19181</v>
      </c>
      <c r="C1969" s="5">
        <v>573015568680</v>
      </c>
      <c r="D1969" s="5">
        <v>95</v>
      </c>
      <c r="E1969" s="5" t="s">
        <v>42</v>
      </c>
      <c r="F1969" s="5" t="s">
        <v>12066</v>
      </c>
      <c r="G1969" s="5" t="s">
        <v>4503</v>
      </c>
      <c r="H1969" s="5" t="s">
        <v>12066</v>
      </c>
      <c r="I1969" s="5">
        <v>573015568680</v>
      </c>
      <c r="J1969" s="12">
        <v>46081</v>
      </c>
      <c r="K1969" s="11">
        <v>0</v>
      </c>
      <c r="M1969" s="10" t="s">
        <v>15663</v>
      </c>
      <c r="N1969" s="12">
        <v>46081.573963553237</v>
      </c>
      <c r="O1969" s="10" t="s">
        <v>16141</v>
      </c>
      <c r="P1969" s="5" t="s">
        <v>14571</v>
      </c>
      <c r="Q1969" s="5" t="s">
        <v>14612</v>
      </c>
      <c r="R1969" s="5" t="s">
        <v>19182</v>
      </c>
      <c r="T1969" s="5" t="s">
        <v>14574</v>
      </c>
      <c r="U1969" s="5"/>
      <c r="V1969" s="5" t="s">
        <v>196</v>
      </c>
      <c r="W1969" s="5"/>
    </row>
    <row r="1970" spans="1:23" ht="12.5">
      <c r="A1970" s="5">
        <v>92482</v>
      </c>
      <c r="B1970" s="5" t="s">
        <v>19183</v>
      </c>
      <c r="C1970" s="5">
        <v>5717867829394</v>
      </c>
      <c r="D1970" s="5">
        <v>95</v>
      </c>
      <c r="E1970" s="5" t="s">
        <v>42</v>
      </c>
      <c r="F1970" s="5"/>
      <c r="G1970" s="5" t="s">
        <v>12162</v>
      </c>
      <c r="H1970" s="5" t="s">
        <v>12163</v>
      </c>
      <c r="I1970" s="5">
        <v>573114051886</v>
      </c>
      <c r="J1970" s="12">
        <v>46081</v>
      </c>
      <c r="K1970" s="11">
        <v>0.66666666666787933</v>
      </c>
      <c r="M1970" s="10" t="s">
        <v>15094</v>
      </c>
      <c r="N1970" s="12">
        <v>46081.611959502319</v>
      </c>
      <c r="O1970" s="10" t="s">
        <v>19001</v>
      </c>
      <c r="P1970" s="5" t="s">
        <v>14571</v>
      </c>
      <c r="Q1970" s="5" t="s">
        <v>14578</v>
      </c>
      <c r="R1970" s="5" t="s">
        <v>19184</v>
      </c>
      <c r="T1970" s="5" t="s">
        <v>5994</v>
      </c>
      <c r="U1970" s="5"/>
      <c r="V1970" s="5" t="s">
        <v>1937</v>
      </c>
      <c r="W1970" s="5" t="s">
        <v>12165</v>
      </c>
    </row>
    <row r="1971" spans="1:23" ht="12.5">
      <c r="A1971" s="5">
        <v>92483</v>
      </c>
      <c r="B1971" s="5" t="s">
        <v>19185</v>
      </c>
      <c r="C1971" s="5">
        <v>573017429329</v>
      </c>
      <c r="D1971" s="5">
        <v>28</v>
      </c>
      <c r="E1971" s="5" t="s">
        <v>435</v>
      </c>
      <c r="F1971" s="5" t="s">
        <v>103</v>
      </c>
      <c r="G1971" s="5" t="s">
        <v>12157</v>
      </c>
      <c r="H1971" s="5" t="s">
        <v>12158</v>
      </c>
      <c r="I1971" s="5">
        <v>573012751626</v>
      </c>
      <c r="J1971" s="12">
        <v>46081</v>
      </c>
      <c r="K1971" s="11">
        <v>0</v>
      </c>
      <c r="M1971" s="10" t="s">
        <v>16228</v>
      </c>
      <c r="N1971" s="12">
        <v>46081.594278888893</v>
      </c>
      <c r="O1971" s="10" t="s">
        <v>14716</v>
      </c>
      <c r="P1971" s="5" t="s">
        <v>14571</v>
      </c>
      <c r="Q1971" s="5" t="s">
        <v>14578</v>
      </c>
      <c r="R1971" s="5" t="s">
        <v>19186</v>
      </c>
      <c r="T1971" s="5" t="s">
        <v>5994</v>
      </c>
      <c r="U1971" s="5" t="s">
        <v>14593</v>
      </c>
      <c r="V1971" s="5" t="s">
        <v>83</v>
      </c>
      <c r="W1971" s="5" t="s">
        <v>12160</v>
      </c>
    </row>
    <row r="1972" spans="1:23" ht="12.5">
      <c r="A1972" s="5">
        <v>92484</v>
      </c>
      <c r="B1972" s="5" t="s">
        <v>19187</v>
      </c>
      <c r="C1972" s="5">
        <v>573013974702</v>
      </c>
      <c r="D1972" s="5">
        <v>53</v>
      </c>
      <c r="E1972" s="5" t="s">
        <v>75</v>
      </c>
      <c r="F1972" s="5" t="s">
        <v>405</v>
      </c>
      <c r="G1972" s="5" t="s">
        <v>12152</v>
      </c>
      <c r="H1972" s="5" t="s">
        <v>12153</v>
      </c>
      <c r="I1972" s="5">
        <v>573023136726</v>
      </c>
      <c r="J1972" s="12">
        <v>46081</v>
      </c>
      <c r="K1972" s="11">
        <v>0</v>
      </c>
      <c r="M1972" s="10" t="s">
        <v>14676</v>
      </c>
      <c r="N1972" s="12">
        <v>46081.590098298606</v>
      </c>
      <c r="O1972" s="10" t="s">
        <v>15947</v>
      </c>
      <c r="P1972" s="5" t="s">
        <v>14571</v>
      </c>
      <c r="Q1972" s="5" t="s">
        <v>14578</v>
      </c>
      <c r="R1972" s="5" t="s">
        <v>19188</v>
      </c>
      <c r="T1972" s="5" t="s">
        <v>5994</v>
      </c>
      <c r="U1972" s="5"/>
      <c r="V1972" s="5" t="s">
        <v>1481</v>
      </c>
      <c r="W1972" s="5"/>
    </row>
    <row r="1973" spans="1:23" ht="12.5">
      <c r="A1973" s="5">
        <v>92485</v>
      </c>
      <c r="B1973" s="5" t="s">
        <v>19189</v>
      </c>
      <c r="C1973" s="5">
        <v>573105113959</v>
      </c>
      <c r="D1973" s="5">
        <v>29</v>
      </c>
      <c r="E1973" s="5" t="s">
        <v>309</v>
      </c>
      <c r="F1973" s="5" t="s">
        <v>563</v>
      </c>
      <c r="G1973" s="5" t="s">
        <v>12172</v>
      </c>
      <c r="H1973" s="5" t="s">
        <v>12173</v>
      </c>
      <c r="I1973" s="5">
        <v>573043666798</v>
      </c>
      <c r="J1973" s="12">
        <v>46081</v>
      </c>
      <c r="K1973" s="11">
        <v>0.70833333333212067</v>
      </c>
      <c r="M1973" s="10" t="s">
        <v>14899</v>
      </c>
      <c r="N1973" s="12">
        <v>46081.662000590281</v>
      </c>
      <c r="O1973" s="10" t="s">
        <v>15047</v>
      </c>
      <c r="P1973" s="5" t="s">
        <v>14571</v>
      </c>
      <c r="Q1973" s="5" t="s">
        <v>14612</v>
      </c>
      <c r="R1973" s="5" t="s">
        <v>19190</v>
      </c>
      <c r="T1973" s="5" t="s">
        <v>5994</v>
      </c>
      <c r="U1973" s="5" t="s">
        <v>14775</v>
      </c>
      <c r="V1973" s="5" t="s">
        <v>67</v>
      </c>
      <c r="W1973" s="5" t="s">
        <v>12176</v>
      </c>
    </row>
    <row r="1974" spans="1:23" ht="12.5">
      <c r="A1974" s="5">
        <v>92486</v>
      </c>
      <c r="B1974" s="5" t="s">
        <v>19191</v>
      </c>
      <c r="C1974" s="5">
        <v>573046105529</v>
      </c>
      <c r="D1974" s="5">
        <v>72</v>
      </c>
      <c r="E1974" s="5" t="s">
        <v>8964</v>
      </c>
      <c r="F1974" s="5" t="s">
        <v>2090</v>
      </c>
      <c r="G1974" s="5" t="s">
        <v>12167</v>
      </c>
      <c r="H1974" s="5" t="s">
        <v>12168</v>
      </c>
      <c r="I1974" s="5">
        <v>573046105529</v>
      </c>
      <c r="J1974" s="12">
        <v>46081</v>
      </c>
      <c r="K1974" s="11">
        <v>0.70833333333212067</v>
      </c>
      <c r="M1974" s="10" t="s">
        <v>16109</v>
      </c>
      <c r="N1974" s="12">
        <v>46081.660572164357</v>
      </c>
      <c r="O1974" s="10" t="s">
        <v>16550</v>
      </c>
      <c r="P1974" s="5" t="s">
        <v>14571</v>
      </c>
      <c r="Q1974" s="5" t="s">
        <v>14578</v>
      </c>
      <c r="R1974" s="5" t="s">
        <v>19192</v>
      </c>
      <c r="T1974" s="5" t="s">
        <v>5994</v>
      </c>
      <c r="U1974" s="5" t="s">
        <v>14618</v>
      </c>
      <c r="V1974" s="5" t="s">
        <v>180</v>
      </c>
      <c r="W1974" s="5"/>
    </row>
    <row r="1975" spans="1:23" ht="12.5">
      <c r="A1975" s="5">
        <v>92487</v>
      </c>
      <c r="B1975" s="5" t="s">
        <v>19193</v>
      </c>
      <c r="C1975" s="5">
        <v>573152745459</v>
      </c>
      <c r="D1975" s="5">
        <v>41</v>
      </c>
      <c r="E1975" s="5" t="s">
        <v>89</v>
      </c>
      <c r="F1975" s="5" t="s">
        <v>249</v>
      </c>
      <c r="G1975" s="5" t="s">
        <v>12178</v>
      </c>
      <c r="H1975" s="5" t="s">
        <v>12179</v>
      </c>
      <c r="I1975" s="5">
        <v>573012822293</v>
      </c>
      <c r="J1975" s="12">
        <v>46082</v>
      </c>
      <c r="K1975" s="11">
        <v>0.33333333333212067</v>
      </c>
      <c r="M1975" s="10" t="s">
        <v>14740</v>
      </c>
      <c r="N1975" s="12">
        <v>46081.677184178239</v>
      </c>
      <c r="O1975" s="10" t="s">
        <v>16792</v>
      </c>
      <c r="P1975" s="5" t="s">
        <v>14571</v>
      </c>
      <c r="Q1975" s="5" t="s">
        <v>14578</v>
      </c>
      <c r="R1975" s="5" t="s">
        <v>19194</v>
      </c>
      <c r="T1975" s="5" t="s">
        <v>5994</v>
      </c>
      <c r="U1975" s="5" t="s">
        <v>14593</v>
      </c>
      <c r="V1975" s="5" t="s">
        <v>67</v>
      </c>
      <c r="W1975" s="5" t="s">
        <v>12181</v>
      </c>
    </row>
    <row r="1976" spans="1:23" ht="12.5">
      <c r="A1976" s="5">
        <v>92488</v>
      </c>
      <c r="B1976" s="5" t="s">
        <v>12183</v>
      </c>
      <c r="C1976" s="5">
        <v>573135378883</v>
      </c>
      <c r="D1976" s="5">
        <v>29</v>
      </c>
      <c r="E1976" s="5" t="s">
        <v>309</v>
      </c>
      <c r="F1976" s="5" t="s">
        <v>33</v>
      </c>
      <c r="G1976" s="5" t="s">
        <v>12183</v>
      </c>
      <c r="H1976" s="5" t="s">
        <v>12066</v>
      </c>
      <c r="I1976" s="5">
        <v>573135378883</v>
      </c>
      <c r="J1976" s="12">
        <v>46081</v>
      </c>
      <c r="K1976" s="11">
        <v>0.6875</v>
      </c>
      <c r="M1976" s="10" t="s">
        <v>14850</v>
      </c>
      <c r="N1976" s="12">
        <v>46081.683799722217</v>
      </c>
      <c r="O1976" s="10" t="s">
        <v>15363</v>
      </c>
      <c r="P1976" s="5" t="s">
        <v>14571</v>
      </c>
      <c r="Q1976" s="5" t="s">
        <v>14612</v>
      </c>
      <c r="R1976" s="5" t="s">
        <v>19195</v>
      </c>
      <c r="T1976" s="5" t="s">
        <v>14574</v>
      </c>
      <c r="U1976" s="5" t="s">
        <v>33</v>
      </c>
      <c r="V1976" s="5" t="s">
        <v>1705</v>
      </c>
      <c r="W1976" s="5"/>
    </row>
    <row r="1977" spans="1:23" ht="12.5">
      <c r="A1977" s="5">
        <v>92489</v>
      </c>
      <c r="B1977" s="5" t="s">
        <v>19196</v>
      </c>
      <c r="C1977" s="10" t="s">
        <v>19197</v>
      </c>
      <c r="D1977" s="5">
        <v>29</v>
      </c>
      <c r="E1977" s="5" t="s">
        <v>309</v>
      </c>
      <c r="F1977" s="5" t="s">
        <v>33</v>
      </c>
      <c r="G1977" s="5" t="s">
        <v>19198</v>
      </c>
      <c r="H1977" s="5" t="s">
        <v>12066</v>
      </c>
      <c r="I1977" s="5">
        <v>573014257777</v>
      </c>
      <c r="J1977" s="12">
        <v>46081</v>
      </c>
      <c r="K1977" s="11">
        <v>0</v>
      </c>
      <c r="M1977" s="10" t="s">
        <v>14850</v>
      </c>
      <c r="N1977" s="12">
        <v>46081</v>
      </c>
      <c r="O1977" s="10" t="s">
        <v>14914</v>
      </c>
      <c r="P1977" s="5" t="s">
        <v>14571</v>
      </c>
      <c r="Q1977" s="5" t="s">
        <v>14612</v>
      </c>
      <c r="R1977" s="5" t="s">
        <v>19199</v>
      </c>
      <c r="T1977" s="5" t="s">
        <v>14574</v>
      </c>
      <c r="U1977" s="5" t="s">
        <v>33</v>
      </c>
      <c r="V1977" s="5" t="s">
        <v>37</v>
      </c>
      <c r="W1977" s="5"/>
    </row>
    <row r="1978" spans="1:23" ht="12.5">
      <c r="A1978" s="5">
        <v>92490</v>
      </c>
      <c r="B1978" s="5" t="s">
        <v>19200</v>
      </c>
      <c r="C1978" s="10" t="s">
        <v>19201</v>
      </c>
      <c r="D1978" s="5">
        <v>53</v>
      </c>
      <c r="E1978" s="5" t="s">
        <v>75</v>
      </c>
      <c r="F1978" s="5" t="s">
        <v>33</v>
      </c>
      <c r="G1978" s="5" t="s">
        <v>19202</v>
      </c>
      <c r="H1978" s="5" t="s">
        <v>12066</v>
      </c>
      <c r="I1978" s="5">
        <v>573015689656</v>
      </c>
      <c r="J1978" s="12">
        <v>46081</v>
      </c>
      <c r="K1978" s="11">
        <v>0</v>
      </c>
      <c r="M1978" s="10" t="s">
        <v>14585</v>
      </c>
      <c r="N1978" s="12">
        <v>46081</v>
      </c>
      <c r="O1978" s="10" t="s">
        <v>14703</v>
      </c>
      <c r="P1978" s="5" t="s">
        <v>14571</v>
      </c>
      <c r="Q1978" s="5" t="s">
        <v>14699</v>
      </c>
      <c r="R1978" s="5" t="s">
        <v>19203</v>
      </c>
      <c r="T1978" s="5" t="s">
        <v>14574</v>
      </c>
      <c r="U1978" s="5" t="s">
        <v>33</v>
      </c>
      <c r="V1978" s="5" t="s">
        <v>37</v>
      </c>
      <c r="W1978" s="5"/>
    </row>
    <row r="1979" spans="1:23" ht="12.5">
      <c r="A1979" s="5">
        <v>92491</v>
      </c>
      <c r="B1979" s="5" t="s">
        <v>12189</v>
      </c>
      <c r="C1979" s="5">
        <v>573002267714</v>
      </c>
      <c r="D1979" s="5">
        <v>95</v>
      </c>
      <c r="E1979" s="5" t="s">
        <v>42</v>
      </c>
      <c r="F1979" s="5" t="s">
        <v>33</v>
      </c>
      <c r="G1979" s="5" t="s">
        <v>12189</v>
      </c>
      <c r="H1979" s="5" t="s">
        <v>12066</v>
      </c>
      <c r="I1979" s="5">
        <v>573002267714</v>
      </c>
      <c r="J1979" s="12">
        <v>46081</v>
      </c>
      <c r="K1979" s="11">
        <v>0.70833333333212067</v>
      </c>
      <c r="M1979" s="10" t="s">
        <v>14627</v>
      </c>
      <c r="N1979" s="12">
        <v>46081.716232789353</v>
      </c>
      <c r="O1979" s="10" t="s">
        <v>16159</v>
      </c>
      <c r="P1979" s="5" t="s">
        <v>14571</v>
      </c>
      <c r="Q1979" s="5" t="s">
        <v>14578</v>
      </c>
      <c r="R1979" s="5" t="s">
        <v>19204</v>
      </c>
      <c r="T1979" s="5" t="s">
        <v>14574</v>
      </c>
      <c r="U1979" s="5" t="s">
        <v>33</v>
      </c>
      <c r="V1979" s="5" t="s">
        <v>1705</v>
      </c>
      <c r="W1979" s="5"/>
    </row>
    <row r="1980" spans="1:23" ht="12.5">
      <c r="A1980" s="5">
        <v>92492</v>
      </c>
      <c r="B1980" s="5" t="s">
        <v>19205</v>
      </c>
      <c r="C1980" s="5">
        <v>573183638894</v>
      </c>
      <c r="D1980" s="5">
        <v>41</v>
      </c>
      <c r="E1980" s="5" t="s">
        <v>89</v>
      </c>
      <c r="F1980" s="5" t="s">
        <v>307</v>
      </c>
      <c r="G1980" s="5" t="s">
        <v>12192</v>
      </c>
      <c r="H1980" s="5" t="s">
        <v>12193</v>
      </c>
      <c r="I1980" s="5">
        <v>573046496605</v>
      </c>
      <c r="J1980" s="12">
        <v>46082</v>
      </c>
      <c r="K1980" s="11">
        <v>0.375</v>
      </c>
      <c r="M1980" s="10" t="s">
        <v>14740</v>
      </c>
      <c r="N1980" s="12">
        <v>46082.466875983795</v>
      </c>
      <c r="O1980" s="10" t="s">
        <v>19051</v>
      </c>
      <c r="P1980" s="5" t="s">
        <v>14571</v>
      </c>
      <c r="Q1980" s="5"/>
      <c r="R1980" s="5" t="s">
        <v>19206</v>
      </c>
      <c r="T1980" s="5" t="s">
        <v>5994</v>
      </c>
      <c r="U1980" s="5" t="s">
        <v>14618</v>
      </c>
      <c r="V1980" s="5" t="s">
        <v>1481</v>
      </c>
      <c r="W1980" s="5"/>
    </row>
    <row r="1981" spans="1:23" ht="12.5">
      <c r="A1981" s="5">
        <v>92493</v>
      </c>
      <c r="B1981" s="5" t="s">
        <v>19207</v>
      </c>
      <c r="C1981" s="5">
        <v>573183762765</v>
      </c>
      <c r="D1981" s="5" t="s">
        <v>19208</v>
      </c>
      <c r="E1981" s="5" t="s">
        <v>12199</v>
      </c>
      <c r="F1981" s="5" t="s">
        <v>11907</v>
      </c>
      <c r="G1981" s="5" t="s">
        <v>12197</v>
      </c>
      <c r="H1981" s="5" t="s">
        <v>12198</v>
      </c>
      <c r="I1981" s="5">
        <v>573183762765</v>
      </c>
      <c r="J1981" s="12">
        <v>46083</v>
      </c>
      <c r="K1981" s="11">
        <v>0.41666666666787933</v>
      </c>
      <c r="M1981" s="10" t="s">
        <v>15534</v>
      </c>
      <c r="N1981" s="12">
        <v>46082.910824409722</v>
      </c>
      <c r="O1981" s="10" t="s">
        <v>19054</v>
      </c>
      <c r="P1981" s="5" t="s">
        <v>14571</v>
      </c>
      <c r="Q1981" s="5" t="s">
        <v>14578</v>
      </c>
      <c r="R1981" s="5" t="s">
        <v>19209</v>
      </c>
      <c r="T1981" s="5" t="s">
        <v>5994</v>
      </c>
      <c r="U1981" s="5" t="s">
        <v>14580</v>
      </c>
      <c r="V1981" s="5" t="s">
        <v>1481</v>
      </c>
      <c r="W1981" s="5"/>
    </row>
    <row r="1982" spans="1:23" ht="12.5">
      <c r="A1982" s="5">
        <v>92494</v>
      </c>
      <c r="B1982" s="5" t="s">
        <v>19210</v>
      </c>
      <c r="C1982" s="5">
        <v>573002447555</v>
      </c>
      <c r="D1982" s="5">
        <v>52</v>
      </c>
      <c r="E1982" s="5" t="s">
        <v>178</v>
      </c>
      <c r="F1982" s="5" t="s">
        <v>12066</v>
      </c>
      <c r="G1982" s="5" t="s">
        <v>10774</v>
      </c>
      <c r="H1982" s="5" t="s">
        <v>12066</v>
      </c>
      <c r="I1982" s="5">
        <v>573002447555</v>
      </c>
      <c r="J1982" s="12">
        <v>46083</v>
      </c>
      <c r="K1982" s="11">
        <v>0</v>
      </c>
      <c r="M1982" s="10" t="s">
        <v>15161</v>
      </c>
      <c r="N1982" s="12">
        <v>46083.337004918983</v>
      </c>
      <c r="O1982" s="10" t="s">
        <v>14577</v>
      </c>
      <c r="P1982" s="5" t="s">
        <v>14571</v>
      </c>
      <c r="Q1982" s="5" t="s">
        <v>14572</v>
      </c>
      <c r="R1982" s="5" t="s">
        <v>19211</v>
      </c>
      <c r="T1982" s="5" t="s">
        <v>14574</v>
      </c>
      <c r="U1982" s="5"/>
      <c r="V1982" s="5" t="s">
        <v>37</v>
      </c>
      <c r="W1982" s="5" t="s">
        <v>12207</v>
      </c>
    </row>
    <row r="1983" spans="1:23" ht="12.5">
      <c r="A1983" s="5">
        <v>92495</v>
      </c>
      <c r="B1983" s="5" t="s">
        <v>19212</v>
      </c>
      <c r="C1983" s="5">
        <v>573028371118</v>
      </c>
      <c r="D1983" s="5">
        <v>100</v>
      </c>
      <c r="E1983" s="5" t="s">
        <v>133</v>
      </c>
      <c r="F1983" s="5" t="s">
        <v>12066</v>
      </c>
      <c r="G1983" s="5" t="s">
        <v>12213</v>
      </c>
      <c r="H1983" s="5" t="s">
        <v>12066</v>
      </c>
      <c r="I1983" s="5">
        <v>573028371118</v>
      </c>
      <c r="J1983" s="12">
        <v>46083</v>
      </c>
      <c r="K1983" s="11">
        <v>0</v>
      </c>
      <c r="M1983" s="10" t="s">
        <v>14646</v>
      </c>
      <c r="N1983" s="12">
        <v>46083.340190590279</v>
      </c>
      <c r="O1983" s="10" t="s">
        <v>15747</v>
      </c>
      <c r="P1983" s="5" t="s">
        <v>14571</v>
      </c>
      <c r="Q1983" s="5" t="s">
        <v>14572</v>
      </c>
      <c r="R1983" s="5" t="s">
        <v>19213</v>
      </c>
      <c r="T1983" s="5" t="s">
        <v>14574</v>
      </c>
      <c r="U1983" s="5"/>
      <c r="V1983" s="5" t="s">
        <v>37</v>
      </c>
      <c r="W1983" s="5" t="s">
        <v>12215</v>
      </c>
    </row>
    <row r="1984" spans="1:23" ht="12.5">
      <c r="A1984" s="5">
        <v>92496</v>
      </c>
      <c r="B1984" s="5" t="s">
        <v>19214</v>
      </c>
      <c r="C1984" s="10" t="s">
        <v>19215</v>
      </c>
      <c r="D1984" s="5">
        <v>29</v>
      </c>
      <c r="E1984" s="5" t="s">
        <v>309</v>
      </c>
      <c r="F1984" s="5" t="s">
        <v>249</v>
      </c>
      <c r="G1984" s="5" t="s">
        <v>12209</v>
      </c>
      <c r="H1984" s="5" t="s">
        <v>12210</v>
      </c>
      <c r="I1984" s="5">
        <v>573017165368</v>
      </c>
      <c r="J1984" s="12">
        <v>46083</v>
      </c>
      <c r="K1984" s="11">
        <v>0.41666666666666669</v>
      </c>
      <c r="M1984" s="10" t="s">
        <v>15064</v>
      </c>
      <c r="N1984" s="12">
        <v>46083</v>
      </c>
      <c r="O1984" s="10" t="s">
        <v>15332</v>
      </c>
      <c r="P1984" s="5" t="s">
        <v>14571</v>
      </c>
      <c r="Q1984" s="5" t="s">
        <v>14612</v>
      </c>
      <c r="R1984" s="5" t="s">
        <v>19216</v>
      </c>
      <c r="T1984" s="5" t="s">
        <v>5994</v>
      </c>
      <c r="U1984" s="5" t="s">
        <v>14593</v>
      </c>
      <c r="V1984" s="5" t="s">
        <v>1937</v>
      </c>
      <c r="W1984" s="5"/>
    </row>
    <row r="1985" spans="1:23" ht="12.5">
      <c r="A1985" s="5">
        <v>92497</v>
      </c>
      <c r="B1985" s="5" t="s">
        <v>19217</v>
      </c>
      <c r="C1985" s="5">
        <v>573116808126</v>
      </c>
      <c r="D1985" s="5">
        <v>42</v>
      </c>
      <c r="E1985" s="5" t="s">
        <v>649</v>
      </c>
      <c r="F1985" s="5" t="s">
        <v>73</v>
      </c>
      <c r="G1985" s="5" t="s">
        <v>12217</v>
      </c>
      <c r="H1985" s="5" t="s">
        <v>12218</v>
      </c>
      <c r="I1985" s="5">
        <v>573116808126</v>
      </c>
      <c r="J1985" s="12">
        <v>46083</v>
      </c>
      <c r="K1985" s="11">
        <v>0.41666666666787933</v>
      </c>
      <c r="M1985" s="10" t="s">
        <v>15140</v>
      </c>
      <c r="N1985" s="12">
        <v>46083.362854560182</v>
      </c>
      <c r="O1985" s="10" t="s">
        <v>16358</v>
      </c>
      <c r="P1985" s="5" t="s">
        <v>14571</v>
      </c>
      <c r="Q1985" s="5" t="s">
        <v>14572</v>
      </c>
      <c r="R1985" s="5" t="s">
        <v>19218</v>
      </c>
      <c r="T1985" s="5" t="s">
        <v>5994</v>
      </c>
      <c r="U1985" s="5" t="s">
        <v>14593</v>
      </c>
      <c r="V1985" s="5" t="s">
        <v>196</v>
      </c>
      <c r="W1985" s="5"/>
    </row>
    <row r="1986" spans="1:23" ht="12.5">
      <c r="A1986" s="5">
        <v>92498</v>
      </c>
      <c r="B1986" s="5" t="s">
        <v>19219</v>
      </c>
      <c r="C1986" s="10" t="s">
        <v>19220</v>
      </c>
      <c r="D1986" s="5">
        <v>16</v>
      </c>
      <c r="E1986" s="5" t="s">
        <v>2556</v>
      </c>
      <c r="F1986" s="5" t="s">
        <v>73</v>
      </c>
      <c r="G1986" s="5" t="s">
        <v>12231</v>
      </c>
      <c r="H1986" s="5" t="s">
        <v>12232</v>
      </c>
      <c r="I1986" s="5">
        <v>573014222222</v>
      </c>
      <c r="J1986" s="12">
        <v>46083</v>
      </c>
      <c r="K1986" s="11">
        <v>0.41666666666666669</v>
      </c>
      <c r="M1986" s="10" t="s">
        <v>15335</v>
      </c>
      <c r="N1986" s="12">
        <v>46083</v>
      </c>
      <c r="O1986" s="10" t="s">
        <v>16044</v>
      </c>
      <c r="P1986" s="5" t="s">
        <v>14571</v>
      </c>
      <c r="Q1986" s="5" t="s">
        <v>14612</v>
      </c>
      <c r="R1986" s="5" t="s">
        <v>19221</v>
      </c>
      <c r="T1986" s="5" t="s">
        <v>5994</v>
      </c>
      <c r="U1986" s="5" t="s">
        <v>14593</v>
      </c>
      <c r="V1986" s="5" t="s">
        <v>180</v>
      </c>
      <c r="W1986" s="5"/>
    </row>
    <row r="1987" spans="1:23" ht="12.5">
      <c r="A1987" s="5">
        <v>92499</v>
      </c>
      <c r="B1987" s="5" t="s">
        <v>19222</v>
      </c>
      <c r="C1987" s="10" t="s">
        <v>19223</v>
      </c>
      <c r="D1987" s="5">
        <v>7</v>
      </c>
      <c r="E1987" s="5" t="s">
        <v>112</v>
      </c>
      <c r="F1987" s="5" t="s">
        <v>930</v>
      </c>
      <c r="G1987" s="5" t="s">
        <v>19224</v>
      </c>
      <c r="H1987" s="5" t="s">
        <v>12227</v>
      </c>
      <c r="I1987" s="5">
        <v>573144463560</v>
      </c>
      <c r="J1987" s="12">
        <v>46083</v>
      </c>
      <c r="K1987" s="11">
        <v>0</v>
      </c>
      <c r="M1987" s="10" t="s">
        <v>14796</v>
      </c>
      <c r="N1987" s="12">
        <v>46083</v>
      </c>
      <c r="O1987" s="10" t="s">
        <v>16754</v>
      </c>
      <c r="P1987" s="5" t="s">
        <v>14571</v>
      </c>
      <c r="Q1987" s="5" t="s">
        <v>14578</v>
      </c>
      <c r="R1987" s="5" t="s">
        <v>19225</v>
      </c>
      <c r="T1987" s="5" t="s">
        <v>5994</v>
      </c>
      <c r="U1987" s="5" t="s">
        <v>14598</v>
      </c>
      <c r="V1987" s="5" t="s">
        <v>2438</v>
      </c>
      <c r="W1987" s="5"/>
    </row>
    <row r="1988" spans="1:23" ht="12.5">
      <c r="A1988" s="5">
        <v>92500</v>
      </c>
      <c r="B1988" s="5" t="s">
        <v>19226</v>
      </c>
      <c r="C1988" s="5">
        <v>57310573106182</v>
      </c>
      <c r="D1988" s="5">
        <v>49</v>
      </c>
      <c r="E1988" s="5" t="s">
        <v>380</v>
      </c>
      <c r="F1988" s="5" t="s">
        <v>448</v>
      </c>
      <c r="G1988" s="5" t="s">
        <v>12222</v>
      </c>
      <c r="H1988" s="5" t="s">
        <v>12223</v>
      </c>
      <c r="I1988" s="5">
        <v>573106182726</v>
      </c>
      <c r="J1988" s="12">
        <v>46083</v>
      </c>
      <c r="K1988" s="11">
        <v>0</v>
      </c>
      <c r="M1988" s="10" t="s">
        <v>16204</v>
      </c>
      <c r="N1988" s="12">
        <v>46083.363567928245</v>
      </c>
      <c r="O1988" s="10" t="s">
        <v>16186</v>
      </c>
      <c r="P1988" s="5" t="s">
        <v>14571</v>
      </c>
      <c r="Q1988" s="5" t="s">
        <v>14578</v>
      </c>
      <c r="R1988" s="5" t="s">
        <v>19227</v>
      </c>
      <c r="T1988" s="5" t="s">
        <v>5994</v>
      </c>
      <c r="U1988" s="5" t="s">
        <v>14580</v>
      </c>
      <c r="V1988" s="5" t="s">
        <v>3754</v>
      </c>
      <c r="W1988" s="5"/>
    </row>
    <row r="1989" spans="1:23" ht="12.5">
      <c r="A1989" s="5">
        <v>92501</v>
      </c>
      <c r="B1989" s="5" t="s">
        <v>19228</v>
      </c>
      <c r="C1989" s="10" t="s">
        <v>19229</v>
      </c>
      <c r="D1989" s="5">
        <v>63</v>
      </c>
      <c r="E1989" s="5" t="s">
        <v>294</v>
      </c>
      <c r="F1989" s="5" t="s">
        <v>401</v>
      </c>
      <c r="G1989" s="5" t="s">
        <v>12236</v>
      </c>
      <c r="H1989" s="5" t="s">
        <v>12237</v>
      </c>
      <c r="I1989" s="5">
        <v>573016118754</v>
      </c>
      <c r="J1989" s="12">
        <v>46083</v>
      </c>
      <c r="K1989" s="11">
        <v>0</v>
      </c>
      <c r="M1989" s="10" t="s">
        <v>14582</v>
      </c>
      <c r="N1989" s="12">
        <v>46083</v>
      </c>
      <c r="O1989" s="10" t="s">
        <v>17304</v>
      </c>
      <c r="P1989" s="5" t="s">
        <v>14571</v>
      </c>
      <c r="Q1989" s="5" t="s">
        <v>14572</v>
      </c>
      <c r="R1989" s="5" t="s">
        <v>19230</v>
      </c>
      <c r="T1989" s="5" t="s">
        <v>5994</v>
      </c>
      <c r="U1989" s="5" t="s">
        <v>14618</v>
      </c>
      <c r="V1989" s="5" t="s">
        <v>67</v>
      </c>
      <c r="W1989" s="5"/>
    </row>
    <row r="1990" spans="1:23" ht="12.5">
      <c r="A1990" s="5">
        <v>92502</v>
      </c>
      <c r="B1990" s="5" t="s">
        <v>19231</v>
      </c>
      <c r="C1990" s="5">
        <v>5720437335143</v>
      </c>
      <c r="D1990" s="5">
        <v>29</v>
      </c>
      <c r="E1990" s="5" t="s">
        <v>309</v>
      </c>
      <c r="F1990" s="5" t="s">
        <v>110</v>
      </c>
      <c r="G1990" s="5" t="s">
        <v>1173</v>
      </c>
      <c r="H1990" s="5" t="s">
        <v>12241</v>
      </c>
      <c r="I1990" s="5">
        <v>573043735143</v>
      </c>
      <c r="J1990" s="12">
        <v>46083</v>
      </c>
      <c r="K1990" s="11">
        <v>0</v>
      </c>
      <c r="M1990" s="10" t="s">
        <v>16628</v>
      </c>
      <c r="N1990" s="12">
        <v>46083.442561412041</v>
      </c>
      <c r="O1990" s="10" t="s">
        <v>14654</v>
      </c>
      <c r="P1990" s="5" t="s">
        <v>14571</v>
      </c>
      <c r="Q1990" s="5" t="s">
        <v>14572</v>
      </c>
      <c r="R1990" s="5" t="s">
        <v>19232</v>
      </c>
      <c r="T1990" s="5" t="s">
        <v>5994</v>
      </c>
      <c r="U1990" s="5" t="s">
        <v>14593</v>
      </c>
      <c r="V1990" s="5" t="s">
        <v>1481</v>
      </c>
      <c r="W1990" s="5"/>
    </row>
    <row r="1991" spans="1:23" ht="12.5">
      <c r="A1991" s="5">
        <v>92503</v>
      </c>
      <c r="B1991" s="5" t="s">
        <v>19233</v>
      </c>
      <c r="C1991" s="10" t="s">
        <v>19234</v>
      </c>
      <c r="D1991" s="5">
        <v>70</v>
      </c>
      <c r="E1991" s="5" t="s">
        <v>559</v>
      </c>
      <c r="F1991" s="5" t="s">
        <v>73</v>
      </c>
      <c r="G1991" s="5" t="s">
        <v>12245</v>
      </c>
      <c r="H1991" s="5" t="s">
        <v>12246</v>
      </c>
      <c r="I1991" s="5">
        <v>573008442230</v>
      </c>
      <c r="J1991" s="12">
        <v>46083</v>
      </c>
      <c r="K1991" s="11">
        <v>0</v>
      </c>
      <c r="M1991" s="10" t="s">
        <v>16470</v>
      </c>
      <c r="N1991" s="12">
        <v>46083</v>
      </c>
      <c r="O1991" s="10" t="s">
        <v>15838</v>
      </c>
      <c r="P1991" s="5" t="s">
        <v>14571</v>
      </c>
      <c r="Q1991" s="5" t="s">
        <v>14572</v>
      </c>
      <c r="R1991" s="5" t="s">
        <v>19235</v>
      </c>
      <c r="T1991" s="5" t="s">
        <v>5994</v>
      </c>
      <c r="U1991" s="5" t="s">
        <v>14593</v>
      </c>
      <c r="V1991" s="5" t="s">
        <v>1481</v>
      </c>
      <c r="W1991" s="5"/>
    </row>
    <row r="1992" spans="1:23" ht="12.5">
      <c r="A1992" s="5">
        <v>92504</v>
      </c>
      <c r="B1992" s="5" t="s">
        <v>19236</v>
      </c>
      <c r="C1992" s="5">
        <v>573005433981</v>
      </c>
      <c r="D1992" s="5">
        <v>29</v>
      </c>
      <c r="E1992" s="5" t="s">
        <v>309</v>
      </c>
      <c r="F1992" s="5" t="s">
        <v>6194</v>
      </c>
      <c r="G1992" s="5" t="s">
        <v>12253</v>
      </c>
      <c r="H1992" s="5" t="s">
        <v>12254</v>
      </c>
      <c r="I1992" s="5">
        <v>573000000000</v>
      </c>
      <c r="J1992" s="12">
        <v>46083</v>
      </c>
      <c r="K1992" s="11">
        <v>0</v>
      </c>
      <c r="M1992" s="10" t="s">
        <v>18332</v>
      </c>
      <c r="N1992" s="12">
        <v>46083.466234826388</v>
      </c>
      <c r="O1992" s="10" t="s">
        <v>16517</v>
      </c>
      <c r="P1992" s="5" t="s">
        <v>14571</v>
      </c>
      <c r="Q1992" s="5" t="s">
        <v>14578</v>
      </c>
      <c r="R1992" s="5" t="s">
        <v>19237</v>
      </c>
      <c r="T1992" s="5" t="s">
        <v>5994</v>
      </c>
      <c r="U1992" s="5" t="s">
        <v>14580</v>
      </c>
      <c r="V1992" s="5" t="s">
        <v>1481</v>
      </c>
      <c r="W1992" s="5"/>
    </row>
    <row r="1993" spans="1:23" ht="12.5">
      <c r="A1993" s="5">
        <v>92505</v>
      </c>
      <c r="B1993" s="5" t="s">
        <v>19238</v>
      </c>
      <c r="C1993" s="5">
        <v>573043802428</v>
      </c>
      <c r="D1993" s="5">
        <v>52</v>
      </c>
      <c r="E1993" s="5" t="s">
        <v>178</v>
      </c>
      <c r="F1993" s="5" t="s">
        <v>1317</v>
      </c>
      <c r="G1993" s="5" t="s">
        <v>12248</v>
      </c>
      <c r="H1993" s="5" t="s">
        <v>12249</v>
      </c>
      <c r="I1993" s="5">
        <v>573023368059</v>
      </c>
      <c r="J1993" s="12">
        <v>46083</v>
      </c>
      <c r="K1993" s="11">
        <v>0</v>
      </c>
      <c r="M1993" s="10" t="s">
        <v>16718</v>
      </c>
      <c r="N1993" s="12">
        <v>46083.455882800925</v>
      </c>
      <c r="O1993" s="10" t="s">
        <v>15770</v>
      </c>
      <c r="P1993" s="5" t="s">
        <v>14571</v>
      </c>
      <c r="Q1993" s="5" t="s">
        <v>14578</v>
      </c>
      <c r="R1993" s="5" t="s">
        <v>19239</v>
      </c>
      <c r="T1993" s="5" t="s">
        <v>5994</v>
      </c>
      <c r="U1993" s="5" t="s">
        <v>15349</v>
      </c>
      <c r="V1993" s="5" t="s">
        <v>1481</v>
      </c>
      <c r="W1993" s="5" t="s">
        <v>12249</v>
      </c>
    </row>
    <row r="1994" spans="1:23" ht="12.5">
      <c r="A1994" s="5">
        <v>92506</v>
      </c>
      <c r="B1994" s="5" t="s">
        <v>19240</v>
      </c>
      <c r="C1994" s="10" t="s">
        <v>19241</v>
      </c>
      <c r="D1994" s="5">
        <v>52</v>
      </c>
      <c r="E1994" s="5" t="s">
        <v>178</v>
      </c>
      <c r="F1994" s="5" t="s">
        <v>249</v>
      </c>
      <c r="G1994" s="5" t="s">
        <v>6491</v>
      </c>
      <c r="H1994" s="5" t="s">
        <v>12264</v>
      </c>
      <c r="I1994" s="5">
        <v>573104032481</v>
      </c>
      <c r="J1994" s="12">
        <v>46083</v>
      </c>
      <c r="K1994" s="11">
        <v>0</v>
      </c>
      <c r="M1994" s="10" t="s">
        <v>15594</v>
      </c>
      <c r="N1994" s="12">
        <v>46083</v>
      </c>
      <c r="O1994" s="10" t="s">
        <v>14752</v>
      </c>
      <c r="P1994" s="5" t="s">
        <v>14571</v>
      </c>
      <c r="Q1994" s="5" t="s">
        <v>14572</v>
      </c>
      <c r="R1994" s="5" t="s">
        <v>19242</v>
      </c>
      <c r="T1994" s="5" t="s">
        <v>5994</v>
      </c>
      <c r="U1994" s="5" t="s">
        <v>14593</v>
      </c>
      <c r="V1994" s="5" t="s">
        <v>1481</v>
      </c>
      <c r="W1994" s="5" t="s">
        <v>12267</v>
      </c>
    </row>
    <row r="1995" spans="1:23" ht="12.5">
      <c r="A1995" s="5">
        <v>92507</v>
      </c>
      <c r="B1995" s="5" t="s">
        <v>19243</v>
      </c>
      <c r="C1995" s="10" t="s">
        <v>19244</v>
      </c>
      <c r="D1995" s="5">
        <v>42</v>
      </c>
      <c r="E1995" s="5" t="s">
        <v>649</v>
      </c>
      <c r="F1995" s="5" t="s">
        <v>307</v>
      </c>
      <c r="G1995" s="5" t="s">
        <v>12258</v>
      </c>
      <c r="H1995" s="5" t="s">
        <v>12259</v>
      </c>
      <c r="I1995" s="5">
        <v>573016653789</v>
      </c>
      <c r="J1995" s="12">
        <v>46083</v>
      </c>
      <c r="K1995" s="11">
        <v>0</v>
      </c>
      <c r="M1995" s="10" t="s">
        <v>14777</v>
      </c>
      <c r="N1995" s="12">
        <v>46083</v>
      </c>
      <c r="O1995" s="10" t="s">
        <v>15404</v>
      </c>
      <c r="P1995" s="5" t="s">
        <v>14571</v>
      </c>
      <c r="Q1995" s="5" t="s">
        <v>14578</v>
      </c>
      <c r="R1995" s="5" t="s">
        <v>19245</v>
      </c>
      <c r="T1995" s="5" t="s">
        <v>5994</v>
      </c>
      <c r="U1995" s="5" t="s">
        <v>14618</v>
      </c>
      <c r="V1995" s="5" t="s">
        <v>1481</v>
      </c>
      <c r="W1995" s="5" t="s">
        <v>12262</v>
      </c>
    </row>
    <row r="1996" spans="1:23" ht="12.5">
      <c r="A1996" s="5">
        <v>92508</v>
      </c>
      <c r="B1996" s="5" t="s">
        <v>19246</v>
      </c>
      <c r="C1996" s="5">
        <v>573106113291</v>
      </c>
      <c r="D1996" s="5">
        <v>29</v>
      </c>
      <c r="E1996" s="5" t="s">
        <v>309</v>
      </c>
      <c r="F1996" s="5" t="s">
        <v>930</v>
      </c>
      <c r="G1996" s="5" t="s">
        <v>12269</v>
      </c>
      <c r="H1996" s="5" t="s">
        <v>12270</v>
      </c>
      <c r="I1996" s="5">
        <v>573017115577</v>
      </c>
      <c r="J1996" s="12">
        <v>46083</v>
      </c>
      <c r="K1996" s="11">
        <v>0</v>
      </c>
      <c r="M1996" s="10" t="s">
        <v>15043</v>
      </c>
      <c r="N1996" s="12">
        <v>46083.498711481487</v>
      </c>
      <c r="O1996" s="10" t="s">
        <v>14971</v>
      </c>
      <c r="P1996" s="5" t="s">
        <v>14571</v>
      </c>
      <c r="Q1996" s="5" t="s">
        <v>14699</v>
      </c>
      <c r="R1996" s="5" t="s">
        <v>19247</v>
      </c>
      <c r="T1996" s="5" t="s">
        <v>5994</v>
      </c>
      <c r="U1996" s="5" t="s">
        <v>14598</v>
      </c>
      <c r="V1996" s="5" t="s">
        <v>67</v>
      </c>
      <c r="W1996" s="5"/>
    </row>
    <row r="1997" spans="1:23" ht="12.5">
      <c r="A1997" s="5">
        <v>92509</v>
      </c>
      <c r="B1997" s="5" t="s">
        <v>19248</v>
      </c>
      <c r="C1997" s="5">
        <v>573215653738</v>
      </c>
      <c r="D1997" s="5">
        <v>1</v>
      </c>
      <c r="E1997" s="5" t="s">
        <v>5730</v>
      </c>
      <c r="F1997" s="5" t="s">
        <v>161</v>
      </c>
      <c r="G1997" s="5" t="s">
        <v>12273</v>
      </c>
      <c r="H1997" s="5" t="s">
        <v>12274</v>
      </c>
      <c r="I1997" s="5">
        <v>573104171595</v>
      </c>
      <c r="J1997" s="12">
        <v>46083</v>
      </c>
      <c r="K1997" s="11">
        <v>0</v>
      </c>
      <c r="M1997" s="10" t="s">
        <v>14903</v>
      </c>
      <c r="N1997" s="12">
        <v>46083.514621168986</v>
      </c>
      <c r="O1997" s="10" t="s">
        <v>16302</v>
      </c>
      <c r="P1997" s="5" t="s">
        <v>14571</v>
      </c>
      <c r="Q1997" s="5" t="s">
        <v>14612</v>
      </c>
      <c r="R1997" s="5" t="s">
        <v>19249</v>
      </c>
      <c r="T1997" s="5" t="s">
        <v>5994</v>
      </c>
      <c r="U1997" s="5" t="s">
        <v>14593</v>
      </c>
      <c r="V1997" s="5" t="s">
        <v>1481</v>
      </c>
      <c r="W1997" s="5"/>
    </row>
    <row r="1998" spans="1:23" ht="12.5">
      <c r="A1998" s="5">
        <v>92510</v>
      </c>
      <c r="B1998" s="5" t="s">
        <v>19250</v>
      </c>
      <c r="C1998" s="10" t="s">
        <v>19251</v>
      </c>
      <c r="D1998" s="5">
        <v>95</v>
      </c>
      <c r="E1998" s="5" t="s">
        <v>42</v>
      </c>
      <c r="F1998" s="5" t="s">
        <v>12066</v>
      </c>
      <c r="G1998" s="5" t="s">
        <v>12277</v>
      </c>
      <c r="H1998" s="5" t="s">
        <v>12066</v>
      </c>
      <c r="I1998" s="5">
        <v>573182529107</v>
      </c>
      <c r="J1998" s="12">
        <v>46083</v>
      </c>
      <c r="K1998" s="11">
        <v>0</v>
      </c>
      <c r="M1998" s="10" t="s">
        <v>15594</v>
      </c>
      <c r="N1998" s="12">
        <v>46083</v>
      </c>
      <c r="O1998" s="10" t="s">
        <v>15133</v>
      </c>
      <c r="P1998" s="5" t="s">
        <v>14571</v>
      </c>
      <c r="Q1998" s="5" t="s">
        <v>14699</v>
      </c>
      <c r="R1998" s="5" t="s">
        <v>19252</v>
      </c>
      <c r="T1998" s="5" t="s">
        <v>14574</v>
      </c>
      <c r="U1998" s="5"/>
      <c r="V1998" s="5" t="s">
        <v>1705</v>
      </c>
      <c r="W1998" s="5"/>
    </row>
    <row r="1999" spans="1:23" ht="12.5">
      <c r="A1999" s="5">
        <v>92511</v>
      </c>
      <c r="B1999" s="5" t="s">
        <v>19253</v>
      </c>
      <c r="C1999" s="5">
        <v>573043810703</v>
      </c>
      <c r="D1999" s="5">
        <v>95</v>
      </c>
      <c r="E1999" s="5" t="s">
        <v>42</v>
      </c>
      <c r="F1999" s="5"/>
      <c r="G1999" s="5" t="s">
        <v>12203</v>
      </c>
      <c r="H1999" s="5" t="s">
        <v>12204</v>
      </c>
      <c r="I1999" s="5">
        <v>573112950000</v>
      </c>
      <c r="J1999" s="12">
        <v>46083</v>
      </c>
      <c r="K1999" s="11">
        <v>0</v>
      </c>
      <c r="M1999" s="10" t="s">
        <v>15011</v>
      </c>
      <c r="N1999" s="12">
        <v>46083.333571446754</v>
      </c>
      <c r="O1999" s="10" t="s">
        <v>15390</v>
      </c>
      <c r="P1999" s="5" t="s">
        <v>14571</v>
      </c>
      <c r="Q1999" s="5" t="s">
        <v>14612</v>
      </c>
      <c r="R1999" s="5" t="s">
        <v>19254</v>
      </c>
      <c r="T1999" s="5" t="s">
        <v>5994</v>
      </c>
      <c r="U1999" s="5"/>
      <c r="V1999" s="5" t="s">
        <v>43</v>
      </c>
      <c r="W1999" s="5"/>
    </row>
    <row r="2000" spans="1:23" ht="12.5">
      <c r="A2000" s="5">
        <v>92512</v>
      </c>
      <c r="B2000" s="5" t="s">
        <v>19255</v>
      </c>
      <c r="C2000" s="5">
        <v>573046293299</v>
      </c>
      <c r="D2000" s="5">
        <v>41</v>
      </c>
      <c r="E2000" s="5" t="s">
        <v>89</v>
      </c>
      <c r="F2000" s="5" t="s">
        <v>328</v>
      </c>
      <c r="G2000" s="5" t="s">
        <v>12284</v>
      </c>
      <c r="H2000" s="5" t="s">
        <v>12285</v>
      </c>
      <c r="I2000" s="5">
        <v>573046293299</v>
      </c>
      <c r="J2000" s="12">
        <v>46089</v>
      </c>
      <c r="K2000" s="11">
        <v>0.33333333333212067</v>
      </c>
      <c r="M2000" s="10" t="s">
        <v>16003</v>
      </c>
      <c r="N2000" s="12">
        <v>46083.577097893518</v>
      </c>
      <c r="O2000" s="10" t="s">
        <v>17785</v>
      </c>
      <c r="P2000" s="5" t="s">
        <v>14571</v>
      </c>
      <c r="Q2000" s="5" t="s">
        <v>14578</v>
      </c>
      <c r="R2000" s="5" t="s">
        <v>19256</v>
      </c>
      <c r="T2000" s="5" t="s">
        <v>5994</v>
      </c>
      <c r="U2000" s="5"/>
      <c r="V2000" s="5" t="s">
        <v>7644</v>
      </c>
      <c r="W2000" s="5" t="s">
        <v>12286</v>
      </c>
    </row>
    <row r="2001" spans="1:23" ht="12.5">
      <c r="A2001" s="5">
        <v>92513</v>
      </c>
      <c r="B2001" s="5" t="s">
        <v>19257</v>
      </c>
      <c r="C2001" s="5">
        <v>573008704329</v>
      </c>
      <c r="D2001" s="5">
        <v>45</v>
      </c>
      <c r="E2001" s="5" t="s">
        <v>210</v>
      </c>
      <c r="F2001" s="5" t="s">
        <v>249</v>
      </c>
      <c r="G2001" s="5" t="s">
        <v>12279</v>
      </c>
      <c r="H2001" s="10" t="s">
        <v>12280</v>
      </c>
      <c r="I2001" s="5">
        <v>573212351682</v>
      </c>
      <c r="J2001" s="12">
        <v>46083</v>
      </c>
      <c r="K2001" s="11">
        <v>0.625</v>
      </c>
      <c r="M2001" s="10" t="s">
        <v>14740</v>
      </c>
      <c r="N2001" s="12">
        <v>46083.566282233791</v>
      </c>
      <c r="O2001" s="10" t="s">
        <v>16398</v>
      </c>
      <c r="P2001" s="5" t="s">
        <v>14571</v>
      </c>
      <c r="Q2001" s="5" t="s">
        <v>14578</v>
      </c>
      <c r="R2001" s="5" t="s">
        <v>19258</v>
      </c>
      <c r="T2001" s="5" t="s">
        <v>5994</v>
      </c>
      <c r="U2001" s="5" t="s">
        <v>14593</v>
      </c>
      <c r="V2001" s="5" t="s">
        <v>1481</v>
      </c>
      <c r="W2001" s="5"/>
    </row>
    <row r="2002" spans="1:23" ht="12.5">
      <c r="A2002" s="5">
        <v>92514</v>
      </c>
      <c r="B2002" s="5" t="s">
        <v>19259</v>
      </c>
      <c r="C2002" s="5">
        <v>573014591116</v>
      </c>
      <c r="D2002" s="5">
        <v>56</v>
      </c>
      <c r="E2002" s="5" t="s">
        <v>1102</v>
      </c>
      <c r="F2002" s="5" t="s">
        <v>2865</v>
      </c>
      <c r="G2002" s="5" t="s">
        <v>12288</v>
      </c>
      <c r="H2002" s="5" t="s">
        <v>12289</v>
      </c>
      <c r="I2002" s="5">
        <v>573014591116</v>
      </c>
      <c r="J2002" s="12">
        <v>46083</v>
      </c>
      <c r="K2002" s="11">
        <v>0.625</v>
      </c>
      <c r="M2002" s="10" t="s">
        <v>16312</v>
      </c>
      <c r="N2002" s="12">
        <v>46083.593159525466</v>
      </c>
      <c r="O2002" s="10" t="s">
        <v>14723</v>
      </c>
      <c r="P2002" s="5" t="s">
        <v>14571</v>
      </c>
      <c r="Q2002" s="5" t="s">
        <v>14578</v>
      </c>
      <c r="R2002" s="5" t="s">
        <v>19260</v>
      </c>
      <c r="T2002" s="5" t="s">
        <v>5994</v>
      </c>
      <c r="U2002" s="5" t="s">
        <v>14775</v>
      </c>
      <c r="V2002" s="5" t="s">
        <v>1481</v>
      </c>
      <c r="W2002" s="5"/>
    </row>
    <row r="2003" spans="1:23" ht="12.5">
      <c r="A2003" s="5">
        <v>92515</v>
      </c>
      <c r="B2003" s="5" t="s">
        <v>19261</v>
      </c>
      <c r="C2003" s="5">
        <v>573154165888</v>
      </c>
      <c r="D2003" s="5">
        <v>31</v>
      </c>
      <c r="E2003" s="5" t="s">
        <v>375</v>
      </c>
      <c r="F2003" s="5" t="s">
        <v>12066</v>
      </c>
      <c r="G2003" s="5" t="s">
        <v>12290</v>
      </c>
      <c r="H2003" s="5" t="s">
        <v>12066</v>
      </c>
      <c r="I2003" s="5">
        <v>573154165888</v>
      </c>
      <c r="J2003" s="12">
        <v>46083</v>
      </c>
      <c r="K2003" s="11">
        <v>0.66666666666787933</v>
      </c>
      <c r="M2003" s="10" t="s">
        <v>14585</v>
      </c>
      <c r="N2003" s="12">
        <v>46083.595634490739</v>
      </c>
      <c r="O2003" s="10" t="s">
        <v>16402</v>
      </c>
      <c r="P2003" s="5" t="s">
        <v>14571</v>
      </c>
      <c r="Q2003" s="5" t="s">
        <v>14572</v>
      </c>
      <c r="R2003" s="5" t="s">
        <v>19262</v>
      </c>
      <c r="T2003" s="5" t="s">
        <v>14574</v>
      </c>
      <c r="U2003" s="5"/>
      <c r="V2003" s="5" t="s">
        <v>2438</v>
      </c>
      <c r="W2003" s="5"/>
    </row>
    <row r="2004" spans="1:23" ht="12.5">
      <c r="A2004" s="5">
        <v>92516</v>
      </c>
      <c r="B2004" s="5" t="s">
        <v>19263</v>
      </c>
      <c r="C2004" s="5">
        <v>573245908734</v>
      </c>
      <c r="D2004" s="5">
        <v>57</v>
      </c>
      <c r="E2004" s="5" t="s">
        <v>1085</v>
      </c>
      <c r="F2004" s="5" t="s">
        <v>249</v>
      </c>
      <c r="G2004" s="5" t="s">
        <v>12299</v>
      </c>
      <c r="H2004" s="5" t="s">
        <v>12300</v>
      </c>
      <c r="I2004" s="5">
        <v>573008015359</v>
      </c>
      <c r="J2004" s="12">
        <v>46083</v>
      </c>
      <c r="K2004" s="11">
        <v>0</v>
      </c>
      <c r="M2004" s="10" t="s">
        <v>14599</v>
      </c>
      <c r="N2004" s="12">
        <v>46083.617030347217</v>
      </c>
      <c r="O2004" s="10" t="s">
        <v>14944</v>
      </c>
      <c r="P2004" s="5" t="s">
        <v>14571</v>
      </c>
      <c r="Q2004" s="5" t="s">
        <v>14612</v>
      </c>
      <c r="R2004" s="5" t="s">
        <v>19264</v>
      </c>
      <c r="T2004" s="5" t="s">
        <v>5994</v>
      </c>
      <c r="U2004" s="5" t="s">
        <v>14593</v>
      </c>
      <c r="V2004" s="5" t="s">
        <v>67</v>
      </c>
      <c r="W2004" s="5"/>
    </row>
    <row r="2005" spans="1:23" ht="12.5">
      <c r="A2005" s="5">
        <v>92517</v>
      </c>
      <c r="B2005" s="5" t="s">
        <v>12293</v>
      </c>
      <c r="C2005" s="5">
        <v>573043797446</v>
      </c>
      <c r="D2005" s="5">
        <v>29</v>
      </c>
      <c r="E2005" s="5" t="s">
        <v>309</v>
      </c>
      <c r="F2005" s="5" t="s">
        <v>9925</v>
      </c>
      <c r="G2005" s="5" t="s">
        <v>12293</v>
      </c>
      <c r="H2005" s="5" t="s">
        <v>12294</v>
      </c>
      <c r="I2005" s="5">
        <v>573043797446</v>
      </c>
      <c r="J2005" s="12">
        <v>46085</v>
      </c>
      <c r="K2005" s="11">
        <v>0.33333333333212067</v>
      </c>
      <c r="M2005" s="10" t="s">
        <v>16385</v>
      </c>
      <c r="N2005" s="12">
        <v>46083.59715523148</v>
      </c>
      <c r="O2005" s="10" t="s">
        <v>15243</v>
      </c>
      <c r="P2005" s="5" t="s">
        <v>14571</v>
      </c>
      <c r="Q2005" s="5" t="s">
        <v>14572</v>
      </c>
      <c r="R2005" s="5" t="s">
        <v>19265</v>
      </c>
      <c r="T2005" s="5" t="s">
        <v>5994</v>
      </c>
      <c r="U2005" s="5" t="s">
        <v>14618</v>
      </c>
      <c r="V2005" s="5" t="s">
        <v>67</v>
      </c>
      <c r="W2005" s="5" t="s">
        <v>12297</v>
      </c>
    </row>
    <row r="2006" spans="1:23" ht="12.5">
      <c r="A2006" s="5">
        <v>92518</v>
      </c>
      <c r="B2006" s="5" t="s">
        <v>19132</v>
      </c>
      <c r="C2006" s="5">
        <v>573043190657</v>
      </c>
      <c r="D2006" s="5">
        <v>95</v>
      </c>
      <c r="E2006" s="5" t="s">
        <v>42</v>
      </c>
      <c r="F2006" s="5" t="s">
        <v>12066</v>
      </c>
      <c r="G2006" s="5" t="s">
        <v>3183</v>
      </c>
      <c r="H2006" s="5" t="s">
        <v>12066</v>
      </c>
      <c r="I2006" s="5">
        <v>573043190657</v>
      </c>
      <c r="J2006" s="12">
        <v>46083</v>
      </c>
      <c r="K2006" s="11">
        <v>0</v>
      </c>
      <c r="M2006" s="10" t="s">
        <v>15582</v>
      </c>
      <c r="N2006" s="12">
        <v>46083.62767037037</v>
      </c>
      <c r="O2006" s="10" t="s">
        <v>19266</v>
      </c>
      <c r="P2006" s="5" t="s">
        <v>14571</v>
      </c>
      <c r="Q2006" s="5" t="s">
        <v>14612</v>
      </c>
      <c r="R2006" s="5" t="s">
        <v>19267</v>
      </c>
      <c r="T2006" s="5" t="s">
        <v>14574</v>
      </c>
      <c r="U2006" s="5"/>
      <c r="V2006" s="5" t="s">
        <v>1481</v>
      </c>
      <c r="W2006" s="5"/>
    </row>
    <row r="2007" spans="1:23" ht="12.5">
      <c r="A2007" s="5">
        <v>92519</v>
      </c>
      <c r="B2007" s="5" t="s">
        <v>19268</v>
      </c>
      <c r="C2007" s="5">
        <v>573182575456</v>
      </c>
      <c r="D2007" s="5">
        <v>21</v>
      </c>
      <c r="E2007" s="5" t="s">
        <v>330</v>
      </c>
      <c r="F2007" s="5" t="s">
        <v>12066</v>
      </c>
      <c r="G2007" s="5" t="s">
        <v>12303</v>
      </c>
      <c r="H2007" s="5" t="s">
        <v>12066</v>
      </c>
      <c r="I2007" s="5">
        <v>573182575456</v>
      </c>
      <c r="J2007" s="12">
        <v>46083</v>
      </c>
      <c r="K2007" s="11">
        <v>0</v>
      </c>
      <c r="M2007" s="10" t="s">
        <v>14712</v>
      </c>
      <c r="N2007" s="12">
        <v>46083.647649849532</v>
      </c>
      <c r="O2007" s="10" t="s">
        <v>18124</v>
      </c>
      <c r="P2007" s="5" t="s">
        <v>14571</v>
      </c>
      <c r="Q2007" s="5" t="s">
        <v>14572</v>
      </c>
      <c r="R2007" s="5" t="s">
        <v>19269</v>
      </c>
      <c r="T2007" s="5" t="s">
        <v>14574</v>
      </c>
      <c r="U2007" s="5"/>
      <c r="V2007" s="5" t="s">
        <v>1705</v>
      </c>
      <c r="W2007" s="5"/>
    </row>
    <row r="2008" spans="1:23" ht="12.5">
      <c r="A2008" s="5">
        <v>92520</v>
      </c>
      <c r="B2008" s="5" t="s">
        <v>19270</v>
      </c>
      <c r="C2008" s="10" t="s">
        <v>19271</v>
      </c>
      <c r="D2008" s="5">
        <v>95</v>
      </c>
      <c r="E2008" s="5" t="s">
        <v>42</v>
      </c>
      <c r="F2008" s="5" t="s">
        <v>12066</v>
      </c>
      <c r="G2008" s="5" t="s">
        <v>4351</v>
      </c>
      <c r="H2008" s="5" t="s">
        <v>12066</v>
      </c>
      <c r="I2008" s="5">
        <v>573008148314</v>
      </c>
      <c r="J2008" s="12">
        <v>46083</v>
      </c>
      <c r="K2008" s="11">
        <v>0</v>
      </c>
      <c r="M2008" s="10" t="s">
        <v>15845</v>
      </c>
      <c r="N2008" s="12">
        <v>46083</v>
      </c>
      <c r="O2008" s="10" t="s">
        <v>15727</v>
      </c>
      <c r="P2008" s="5" t="s">
        <v>14571</v>
      </c>
      <c r="Q2008" s="5" t="s">
        <v>14578</v>
      </c>
      <c r="R2008" s="5" t="s">
        <v>19272</v>
      </c>
      <c r="T2008" s="5" t="s">
        <v>14574</v>
      </c>
      <c r="U2008" s="5"/>
      <c r="V2008" s="5" t="s">
        <v>1705</v>
      </c>
      <c r="W2008" s="5"/>
    </row>
    <row r="2009" spans="1:23" ht="12.5">
      <c r="A2009" s="5">
        <v>92521</v>
      </c>
      <c r="B2009" s="5" t="s">
        <v>19273</v>
      </c>
      <c r="C2009" s="5">
        <v>573155772759</v>
      </c>
      <c r="D2009" s="5">
        <v>100</v>
      </c>
      <c r="E2009" s="5" t="s">
        <v>12309</v>
      </c>
      <c r="F2009" s="5" t="s">
        <v>63</v>
      </c>
      <c r="G2009" s="5" t="s">
        <v>12307</v>
      </c>
      <c r="H2009" s="5" t="s">
        <v>12308</v>
      </c>
      <c r="I2009" s="5">
        <v>573155772759</v>
      </c>
      <c r="J2009" s="12">
        <v>46089</v>
      </c>
      <c r="K2009" s="11">
        <v>0.33333333333212067</v>
      </c>
      <c r="M2009" s="10" t="s">
        <v>15356</v>
      </c>
      <c r="N2009" s="12">
        <v>46083.704730717596</v>
      </c>
      <c r="O2009" s="10" t="s">
        <v>19274</v>
      </c>
      <c r="P2009" s="5" t="s">
        <v>14571</v>
      </c>
      <c r="Q2009" s="5"/>
      <c r="R2009" s="5" t="s">
        <v>19275</v>
      </c>
      <c r="T2009" s="5" t="s">
        <v>5994</v>
      </c>
      <c r="U2009" s="5" t="s">
        <v>14598</v>
      </c>
      <c r="V2009" s="5" t="s">
        <v>1481</v>
      </c>
      <c r="W2009" s="5"/>
    </row>
    <row r="2010" spans="1:23" ht="12.5">
      <c r="A2010" s="5">
        <v>92522</v>
      </c>
      <c r="B2010" s="5" t="s">
        <v>19276</v>
      </c>
      <c r="C2010" s="5">
        <v>573116424415</v>
      </c>
      <c r="D2010" s="5">
        <v>95</v>
      </c>
      <c r="E2010" s="5" t="s">
        <v>42</v>
      </c>
      <c r="F2010" s="5" t="s">
        <v>63</v>
      </c>
      <c r="G2010" s="5" t="s">
        <v>12313</v>
      </c>
      <c r="H2010" s="5" t="s">
        <v>19277</v>
      </c>
      <c r="I2010" s="5">
        <v>573217560475</v>
      </c>
      <c r="J2010" s="12">
        <v>46083</v>
      </c>
      <c r="K2010" s="11">
        <v>0.74861111111022183</v>
      </c>
      <c r="M2010" s="10" t="s">
        <v>15359</v>
      </c>
      <c r="N2010" s="12">
        <v>46083.724257199079</v>
      </c>
      <c r="O2010" s="10" t="s">
        <v>17963</v>
      </c>
      <c r="P2010" s="5" t="s">
        <v>14571</v>
      </c>
      <c r="Q2010" s="5" t="s">
        <v>14578</v>
      </c>
      <c r="R2010" s="5" t="s">
        <v>19278</v>
      </c>
      <c r="T2010" s="5" t="s">
        <v>5994</v>
      </c>
      <c r="U2010" s="5" t="s">
        <v>14598</v>
      </c>
      <c r="V2010" s="5" t="s">
        <v>1481</v>
      </c>
      <c r="W2010" s="5" t="s">
        <v>12316</v>
      </c>
    </row>
    <row r="2011" spans="1:23" ht="12.5">
      <c r="A2011" s="5">
        <v>92523</v>
      </c>
      <c r="B2011" s="5" t="s">
        <v>19279</v>
      </c>
      <c r="C2011" s="5">
        <v>573158953242</v>
      </c>
      <c r="D2011" s="5">
        <v>95</v>
      </c>
      <c r="E2011" s="5" t="s">
        <v>42</v>
      </c>
      <c r="F2011" s="5" t="s">
        <v>12066</v>
      </c>
      <c r="G2011" s="5" t="s">
        <v>12323</v>
      </c>
      <c r="H2011" s="5" t="s">
        <v>12066</v>
      </c>
      <c r="I2011" s="5">
        <v>573158953242</v>
      </c>
      <c r="J2011" s="12">
        <v>46083</v>
      </c>
      <c r="K2011" s="11">
        <v>0.75</v>
      </c>
      <c r="M2011" s="10" t="s">
        <v>15011</v>
      </c>
      <c r="N2011" s="12">
        <v>46083.759834988421</v>
      </c>
      <c r="O2011" s="10" t="s">
        <v>17824</v>
      </c>
      <c r="P2011" s="5" t="s">
        <v>14571</v>
      </c>
      <c r="Q2011" s="5" t="s">
        <v>14612</v>
      </c>
      <c r="R2011" s="5" t="s">
        <v>19280</v>
      </c>
      <c r="T2011" s="5" t="s">
        <v>14574</v>
      </c>
      <c r="U2011" s="5"/>
      <c r="V2011" s="5" t="s">
        <v>1705</v>
      </c>
      <c r="W2011" s="5"/>
    </row>
    <row r="2012" spans="1:23" ht="12.5">
      <c r="A2012" s="5">
        <v>92524</v>
      </c>
      <c r="B2012" s="5" t="s">
        <v>19281</v>
      </c>
      <c r="C2012" s="5">
        <v>576057430792</v>
      </c>
      <c r="D2012" s="5">
        <v>95</v>
      </c>
      <c r="E2012" s="5" t="s">
        <v>42</v>
      </c>
      <c r="F2012" s="5" t="s">
        <v>12066</v>
      </c>
      <c r="G2012" s="5" t="s">
        <v>12324</v>
      </c>
      <c r="H2012" s="5" t="s">
        <v>12066</v>
      </c>
      <c r="I2012" s="5">
        <v>573057430792</v>
      </c>
      <c r="J2012" s="12">
        <v>46089</v>
      </c>
      <c r="K2012" s="11">
        <v>0</v>
      </c>
      <c r="M2012" s="10" t="s">
        <v>19282</v>
      </c>
      <c r="N2012" s="12">
        <v>46084.305731412038</v>
      </c>
      <c r="O2012" s="10" t="s">
        <v>14591</v>
      </c>
      <c r="P2012" s="5" t="s">
        <v>14571</v>
      </c>
      <c r="Q2012" s="5" t="s">
        <v>14578</v>
      </c>
      <c r="R2012" s="5" t="s">
        <v>19283</v>
      </c>
      <c r="T2012" s="5" t="s">
        <v>14574</v>
      </c>
      <c r="U2012" s="5"/>
      <c r="V2012" s="5" t="s">
        <v>43</v>
      </c>
      <c r="W2012" s="5" t="s">
        <v>12326</v>
      </c>
    </row>
    <row r="2013" spans="1:23" ht="12.5">
      <c r="A2013" s="5">
        <v>92525</v>
      </c>
      <c r="B2013" s="5" t="s">
        <v>19284</v>
      </c>
      <c r="C2013" s="5">
        <v>573116096099</v>
      </c>
      <c r="D2013" s="5" t="s">
        <v>14589</v>
      </c>
      <c r="E2013" s="5" t="s">
        <v>12319</v>
      </c>
      <c r="F2013" s="5" t="s">
        <v>4558</v>
      </c>
      <c r="G2013" s="5" t="s">
        <v>8783</v>
      </c>
      <c r="H2013" s="5" t="s">
        <v>12318</v>
      </c>
      <c r="I2013" s="5">
        <v>573116096099</v>
      </c>
      <c r="J2013" s="12">
        <v>46086</v>
      </c>
      <c r="K2013" s="11">
        <v>0.375</v>
      </c>
      <c r="M2013" s="10" t="s">
        <v>17358</v>
      </c>
      <c r="N2013" s="12">
        <v>46083.740689675928</v>
      </c>
      <c r="O2013" s="10" t="s">
        <v>16802</v>
      </c>
      <c r="P2013" s="5" t="s">
        <v>14571</v>
      </c>
      <c r="Q2013" s="5" t="s">
        <v>14572</v>
      </c>
      <c r="R2013" s="5" t="s">
        <v>19285</v>
      </c>
      <c r="T2013" s="5" t="s">
        <v>5994</v>
      </c>
      <c r="U2013" s="5" t="s">
        <v>14593</v>
      </c>
      <c r="V2013" s="5" t="s">
        <v>1481</v>
      </c>
      <c r="W2013" s="5" t="s">
        <v>12322</v>
      </c>
    </row>
    <row r="2014" spans="1:23" ht="12.5">
      <c r="A2014" s="5">
        <v>92526</v>
      </c>
      <c r="B2014" s="5" t="s">
        <v>12328</v>
      </c>
      <c r="C2014" s="5">
        <v>573002871255</v>
      </c>
      <c r="D2014" s="5">
        <v>95</v>
      </c>
      <c r="E2014" s="5" t="s">
        <v>42</v>
      </c>
      <c r="F2014" s="5" t="s">
        <v>328</v>
      </c>
      <c r="G2014" s="5" t="s">
        <v>12328</v>
      </c>
      <c r="H2014" s="5" t="s">
        <v>12329</v>
      </c>
      <c r="I2014" s="5">
        <v>573002871255</v>
      </c>
      <c r="J2014" s="12">
        <v>46084</v>
      </c>
      <c r="K2014" s="11">
        <v>0.66666666666787933</v>
      </c>
      <c r="M2014" s="10" t="s">
        <v>15019</v>
      </c>
      <c r="N2014" s="12">
        <v>46084.338193518517</v>
      </c>
      <c r="O2014" s="10" t="s">
        <v>16747</v>
      </c>
      <c r="P2014" s="5" t="s">
        <v>14571</v>
      </c>
      <c r="Q2014" s="5" t="s">
        <v>14572</v>
      </c>
      <c r="R2014" s="5" t="s">
        <v>19286</v>
      </c>
      <c r="T2014" s="5" t="s">
        <v>5994</v>
      </c>
      <c r="U2014" s="5"/>
      <c r="V2014" s="5" t="s">
        <v>1481</v>
      </c>
      <c r="W2014" s="5" t="s">
        <v>12332</v>
      </c>
    </row>
    <row r="2015" spans="1:23" ht="12.5">
      <c r="A2015" s="5">
        <v>92527</v>
      </c>
      <c r="B2015" s="5" t="s">
        <v>19287</v>
      </c>
      <c r="C2015" s="5">
        <v>573013637941</v>
      </c>
      <c r="D2015" s="5">
        <v>74</v>
      </c>
      <c r="E2015" s="5" t="s">
        <v>12336</v>
      </c>
      <c r="F2015" s="5" t="s">
        <v>161</v>
      </c>
      <c r="G2015" s="5" t="s">
        <v>12334</v>
      </c>
      <c r="H2015" s="5" t="s">
        <v>12335</v>
      </c>
      <c r="I2015" s="5">
        <v>573004916630</v>
      </c>
      <c r="J2015" s="12">
        <v>46084</v>
      </c>
      <c r="K2015" s="11">
        <v>0.41666666666787933</v>
      </c>
      <c r="M2015" s="10" t="s">
        <v>19288</v>
      </c>
      <c r="N2015" s="12">
        <v>46084.35449946759</v>
      </c>
      <c r="O2015" s="10" t="s">
        <v>15332</v>
      </c>
      <c r="P2015" s="5" t="s">
        <v>14571</v>
      </c>
      <c r="Q2015" s="5" t="s">
        <v>14572</v>
      </c>
      <c r="R2015" s="5" t="s">
        <v>19289</v>
      </c>
      <c r="T2015" s="5" t="s">
        <v>5994</v>
      </c>
      <c r="U2015" s="5" t="s">
        <v>14593</v>
      </c>
      <c r="V2015" s="5" t="s">
        <v>180</v>
      </c>
      <c r="W2015" s="5"/>
    </row>
    <row r="2016" spans="1:23" ht="12.5">
      <c r="A2016" s="5">
        <v>92528</v>
      </c>
      <c r="B2016" s="5" t="s">
        <v>19290</v>
      </c>
      <c r="C2016" s="5">
        <v>573145954990</v>
      </c>
      <c r="D2016" s="5">
        <v>17</v>
      </c>
      <c r="E2016" s="5" t="s">
        <v>4616</v>
      </c>
      <c r="F2016" s="5" t="s">
        <v>328</v>
      </c>
      <c r="G2016" s="5" t="s">
        <v>12340</v>
      </c>
      <c r="H2016" s="5" t="s">
        <v>12341</v>
      </c>
      <c r="I2016" s="5">
        <v>573145954989</v>
      </c>
      <c r="J2016" s="12">
        <v>46085</v>
      </c>
      <c r="K2016" s="11">
        <v>0.33333333333212067</v>
      </c>
      <c r="M2016" s="10" t="s">
        <v>16323</v>
      </c>
      <c r="N2016" s="12">
        <v>46084.38112554398</v>
      </c>
      <c r="O2016" s="10" t="s">
        <v>15675</v>
      </c>
      <c r="P2016" s="5" t="s">
        <v>14571</v>
      </c>
      <c r="Q2016" s="5" t="s">
        <v>14578</v>
      </c>
      <c r="R2016" s="5" t="s">
        <v>19291</v>
      </c>
      <c r="T2016" s="5" t="s">
        <v>5994</v>
      </c>
      <c r="U2016" s="5"/>
      <c r="V2016" s="5" t="s">
        <v>1705</v>
      </c>
      <c r="W2016" s="5"/>
    </row>
    <row r="2017" spans="1:23" ht="12.5">
      <c r="A2017" s="5">
        <v>92529</v>
      </c>
      <c r="B2017" s="5" t="s">
        <v>19292</v>
      </c>
      <c r="C2017" s="5">
        <v>573165653164</v>
      </c>
      <c r="D2017" s="5">
        <v>95</v>
      </c>
      <c r="E2017" s="5" t="s">
        <v>42</v>
      </c>
      <c r="F2017" s="5" t="s">
        <v>103</v>
      </c>
      <c r="G2017" s="5" t="s">
        <v>12343</v>
      </c>
      <c r="H2017" s="5" t="s">
        <v>12344</v>
      </c>
      <c r="I2017" s="5">
        <v>573165653164</v>
      </c>
      <c r="J2017" s="12">
        <v>46084</v>
      </c>
      <c r="K2017" s="11">
        <v>0</v>
      </c>
      <c r="M2017" s="10" t="s">
        <v>14873</v>
      </c>
      <c r="N2017" s="12">
        <v>46084.38222024306</v>
      </c>
      <c r="O2017" s="10" t="s">
        <v>15321</v>
      </c>
      <c r="P2017" s="5" t="s">
        <v>14571</v>
      </c>
      <c r="Q2017" s="5" t="s">
        <v>14578</v>
      </c>
      <c r="R2017" s="5" t="s">
        <v>19293</v>
      </c>
      <c r="T2017" s="5" t="s">
        <v>5994</v>
      </c>
      <c r="U2017" s="5" t="s">
        <v>14593</v>
      </c>
      <c r="V2017" s="5" t="s">
        <v>1481</v>
      </c>
      <c r="W2017" s="5" t="s">
        <v>12346</v>
      </c>
    </row>
    <row r="2018" spans="1:23" ht="12.5">
      <c r="A2018" s="5">
        <v>92530</v>
      </c>
      <c r="B2018" s="5" t="s">
        <v>19294</v>
      </c>
      <c r="C2018" s="5">
        <v>573002288111</v>
      </c>
      <c r="D2018" s="5">
        <v>20</v>
      </c>
      <c r="E2018" s="5" t="s">
        <v>187</v>
      </c>
      <c r="F2018" s="5" t="s">
        <v>11248</v>
      </c>
      <c r="G2018" s="5" t="s">
        <v>12348</v>
      </c>
      <c r="H2018" s="5" t="s">
        <v>12349</v>
      </c>
      <c r="I2018" s="5">
        <v>573002437135</v>
      </c>
      <c r="J2018" s="12">
        <v>46084</v>
      </c>
      <c r="K2018" s="11">
        <v>0</v>
      </c>
      <c r="M2018" s="10" t="s">
        <v>14953</v>
      </c>
      <c r="N2018" s="12">
        <v>46084.390373877315</v>
      </c>
      <c r="O2018" s="10" t="s">
        <v>16446</v>
      </c>
      <c r="P2018" s="5" t="s">
        <v>14571</v>
      </c>
      <c r="Q2018" s="5" t="s">
        <v>14612</v>
      </c>
      <c r="R2018" s="5" t="s">
        <v>19295</v>
      </c>
      <c r="T2018" s="5" t="s">
        <v>5994</v>
      </c>
      <c r="U2018" s="5" t="s">
        <v>14618</v>
      </c>
      <c r="V2018" s="5" t="s">
        <v>1481</v>
      </c>
      <c r="W2018" s="5"/>
    </row>
    <row r="2019" spans="1:23" ht="12.5">
      <c r="A2019" s="5">
        <v>92531</v>
      </c>
      <c r="B2019" s="5" t="s">
        <v>19296</v>
      </c>
      <c r="C2019" s="5">
        <v>573113154998</v>
      </c>
      <c r="D2019" s="5">
        <v>29</v>
      </c>
      <c r="E2019" s="5" t="s">
        <v>309</v>
      </c>
      <c r="F2019" s="5" t="s">
        <v>63</v>
      </c>
      <c r="G2019" s="5" t="s">
        <v>12352</v>
      </c>
      <c r="H2019" s="5" t="s">
        <v>12353</v>
      </c>
      <c r="I2019" s="5">
        <v>573113154998</v>
      </c>
      <c r="J2019" s="12">
        <v>46086</v>
      </c>
      <c r="K2019" s="11">
        <v>0.375</v>
      </c>
      <c r="M2019" s="10" t="s">
        <v>15179</v>
      </c>
      <c r="N2019" s="12">
        <v>46084.394889537041</v>
      </c>
      <c r="O2019" s="10" t="s">
        <v>15983</v>
      </c>
      <c r="P2019" s="5" t="s">
        <v>14571</v>
      </c>
      <c r="Q2019" s="5" t="s">
        <v>14572</v>
      </c>
      <c r="R2019" s="5" t="s">
        <v>19297</v>
      </c>
      <c r="T2019" s="5" t="s">
        <v>5994</v>
      </c>
      <c r="U2019" s="5" t="s">
        <v>14598</v>
      </c>
      <c r="V2019" s="5" t="s">
        <v>1481</v>
      </c>
      <c r="W2019" s="5"/>
    </row>
    <row r="2020" spans="1:23" ht="12.5">
      <c r="A2020" s="5">
        <v>92532</v>
      </c>
      <c r="B2020" s="5" t="s">
        <v>19298</v>
      </c>
      <c r="C2020" s="5">
        <v>573166902233</v>
      </c>
      <c r="D2020" s="5">
        <v>24</v>
      </c>
      <c r="E2020" s="5" t="s">
        <v>251</v>
      </c>
      <c r="F2020" s="5" t="s">
        <v>63</v>
      </c>
      <c r="G2020" s="5" t="s">
        <v>12357</v>
      </c>
      <c r="H2020" s="5" t="s">
        <v>12358</v>
      </c>
      <c r="I2020" s="5">
        <v>573002469146</v>
      </c>
      <c r="J2020" s="12">
        <v>46085</v>
      </c>
      <c r="K2020" s="11">
        <v>0.33333333333212067</v>
      </c>
      <c r="M2020" s="10" t="s">
        <v>19299</v>
      </c>
      <c r="N2020" s="12">
        <v>46084.411646076391</v>
      </c>
      <c r="O2020" s="10" t="s">
        <v>17028</v>
      </c>
      <c r="P2020" s="5" t="s">
        <v>14571</v>
      </c>
      <c r="Q2020" s="5" t="s">
        <v>14612</v>
      </c>
      <c r="R2020" s="5" t="s">
        <v>19300</v>
      </c>
      <c r="T2020" s="5" t="s">
        <v>5994</v>
      </c>
      <c r="U2020" s="5" t="s">
        <v>14598</v>
      </c>
      <c r="V2020" s="5" t="s">
        <v>67</v>
      </c>
      <c r="W2020" s="5"/>
    </row>
    <row r="2021" spans="1:23" ht="12.5">
      <c r="A2021" s="5">
        <v>92533</v>
      </c>
      <c r="B2021" s="5" t="s">
        <v>19301</v>
      </c>
      <c r="C2021" s="5">
        <v>573008011124</v>
      </c>
      <c r="D2021" s="5" t="s">
        <v>14589</v>
      </c>
      <c r="E2021" s="5" t="s">
        <v>2586</v>
      </c>
      <c r="F2021" s="5" t="s">
        <v>73</v>
      </c>
      <c r="G2021" s="5" t="s">
        <v>12359</v>
      </c>
      <c r="H2021" s="5" t="s">
        <v>12360</v>
      </c>
      <c r="I2021" s="5">
        <v>573008011124</v>
      </c>
      <c r="J2021" s="12">
        <v>46084</v>
      </c>
      <c r="K2021" s="11">
        <v>0.47916666666787933</v>
      </c>
      <c r="M2021" s="10" t="s">
        <v>14853</v>
      </c>
      <c r="N2021" s="12">
        <v>46084.421516064816</v>
      </c>
      <c r="O2021" s="10" t="s">
        <v>16512</v>
      </c>
      <c r="P2021" s="5" t="s">
        <v>14571</v>
      </c>
      <c r="Q2021" s="5" t="s">
        <v>14572</v>
      </c>
      <c r="R2021" s="5" t="s">
        <v>19302</v>
      </c>
      <c r="T2021" s="5" t="s">
        <v>5994</v>
      </c>
      <c r="U2021" s="5" t="s">
        <v>14593</v>
      </c>
      <c r="V2021" s="5" t="s">
        <v>1481</v>
      </c>
      <c r="W2021" s="5" t="s">
        <v>1117</v>
      </c>
    </row>
    <row r="2022" spans="1:23" ht="12.5">
      <c r="A2022" s="5">
        <v>92534</v>
      </c>
      <c r="B2022" s="5" t="s">
        <v>19303</v>
      </c>
      <c r="C2022" s="5">
        <v>573016373200</v>
      </c>
      <c r="D2022" s="5">
        <v>78</v>
      </c>
      <c r="E2022" s="5" t="s">
        <v>3892</v>
      </c>
      <c r="F2022" s="5" t="s">
        <v>4403</v>
      </c>
      <c r="G2022" s="5" t="s">
        <v>12363</v>
      </c>
      <c r="H2022" s="5" t="s">
        <v>12364</v>
      </c>
      <c r="I2022" s="5">
        <v>573016373200</v>
      </c>
      <c r="J2022" s="12">
        <v>46084</v>
      </c>
      <c r="K2022" s="11">
        <v>0</v>
      </c>
      <c r="M2022" s="10" t="s">
        <v>17184</v>
      </c>
      <c r="N2022" s="12">
        <v>46084.454575972224</v>
      </c>
      <c r="O2022" s="10" t="s">
        <v>16890</v>
      </c>
      <c r="P2022" s="5" t="s">
        <v>14571</v>
      </c>
      <c r="Q2022" s="5" t="s">
        <v>14578</v>
      </c>
      <c r="R2022" s="5" t="s">
        <v>19304</v>
      </c>
      <c r="T2022" s="5" t="s">
        <v>5994</v>
      </c>
      <c r="U2022" s="5" t="s">
        <v>14598</v>
      </c>
      <c r="V2022" s="5" t="s">
        <v>2163</v>
      </c>
      <c r="W2022" s="5"/>
    </row>
    <row r="2023" spans="1:23" ht="12.5">
      <c r="A2023" s="5">
        <v>92535</v>
      </c>
      <c r="B2023" s="5" t="s">
        <v>19305</v>
      </c>
      <c r="C2023" s="5">
        <v>573114149344</v>
      </c>
      <c r="D2023" s="5">
        <v>95</v>
      </c>
      <c r="E2023" s="5" t="s">
        <v>42</v>
      </c>
      <c r="F2023" s="5" t="s">
        <v>1047</v>
      </c>
      <c r="G2023" s="5" t="s">
        <v>12383</v>
      </c>
      <c r="H2023" s="5" t="s">
        <v>12384</v>
      </c>
      <c r="I2023" s="5">
        <v>573116825464</v>
      </c>
      <c r="J2023" s="12">
        <v>46089</v>
      </c>
      <c r="K2023" s="11">
        <v>0.33333333333212067</v>
      </c>
      <c r="M2023" s="10" t="s">
        <v>15152</v>
      </c>
      <c r="N2023" s="12">
        <v>46084.47632509259</v>
      </c>
      <c r="O2023" s="10" t="s">
        <v>15843</v>
      </c>
      <c r="P2023" s="5" t="s">
        <v>14571</v>
      </c>
      <c r="Q2023" s="5" t="s">
        <v>14612</v>
      </c>
      <c r="R2023" s="5" t="s">
        <v>19306</v>
      </c>
      <c r="T2023" s="5" t="s">
        <v>5994</v>
      </c>
      <c r="U2023" s="5" t="s">
        <v>14580</v>
      </c>
      <c r="V2023" s="5" t="s">
        <v>7644</v>
      </c>
      <c r="W2023" s="5" t="s">
        <v>12386</v>
      </c>
    </row>
    <row r="2024" spans="1:23" ht="12.5">
      <c r="A2024" s="5">
        <v>92536</v>
      </c>
      <c r="B2024" s="5" t="s">
        <v>12368</v>
      </c>
      <c r="C2024" s="5">
        <v>573158836468</v>
      </c>
      <c r="D2024" s="5">
        <v>37</v>
      </c>
      <c r="E2024" s="5" t="s">
        <v>12370</v>
      </c>
      <c r="F2024" s="5" t="s">
        <v>110</v>
      </c>
      <c r="G2024" s="5" t="s">
        <v>12368</v>
      </c>
      <c r="H2024" s="5" t="s">
        <v>12369</v>
      </c>
      <c r="I2024" s="5">
        <v>573158836468</v>
      </c>
      <c r="J2024" s="12">
        <v>46084</v>
      </c>
      <c r="K2024" s="11">
        <v>0.58333333333212067</v>
      </c>
      <c r="M2024" s="10" t="s">
        <v>19307</v>
      </c>
      <c r="N2024" s="12">
        <v>46084.456944166668</v>
      </c>
      <c r="O2024" s="10" t="s">
        <v>14874</v>
      </c>
      <c r="P2024" s="5" t="s">
        <v>14571</v>
      </c>
      <c r="Q2024" s="5" t="s">
        <v>14612</v>
      </c>
      <c r="R2024" s="5" t="s">
        <v>19308</v>
      </c>
      <c r="T2024" s="5" t="s">
        <v>5994</v>
      </c>
      <c r="U2024" s="5" t="s">
        <v>14593</v>
      </c>
      <c r="V2024" s="5" t="s">
        <v>1481</v>
      </c>
      <c r="W2024" s="5"/>
    </row>
    <row r="2025" spans="1:23" ht="12.5">
      <c r="A2025" s="5">
        <v>92537</v>
      </c>
      <c r="B2025" s="5" t="s">
        <v>19309</v>
      </c>
      <c r="C2025" s="5">
        <v>573052458925</v>
      </c>
      <c r="D2025" s="5">
        <v>20</v>
      </c>
      <c r="E2025" s="5" t="s">
        <v>187</v>
      </c>
      <c r="F2025" s="5" t="s">
        <v>265</v>
      </c>
      <c r="G2025" s="5" t="s">
        <v>12399</v>
      </c>
      <c r="H2025" s="5" t="s">
        <v>12400</v>
      </c>
      <c r="I2025" s="5">
        <v>573005599767</v>
      </c>
      <c r="J2025" s="12">
        <v>46084</v>
      </c>
      <c r="K2025" s="11">
        <v>0</v>
      </c>
      <c r="M2025" s="10" t="s">
        <v>14870</v>
      </c>
      <c r="N2025" s="12">
        <v>46084.497955995372</v>
      </c>
      <c r="O2025" s="10" t="s">
        <v>14867</v>
      </c>
      <c r="P2025" s="5" t="s">
        <v>14571</v>
      </c>
      <c r="Q2025" s="5" t="s">
        <v>14699</v>
      </c>
      <c r="R2025" s="5" t="s">
        <v>19310</v>
      </c>
      <c r="T2025" s="5" t="s">
        <v>5994</v>
      </c>
      <c r="U2025" s="5" t="s">
        <v>14691</v>
      </c>
      <c r="V2025" s="5" t="s">
        <v>1481</v>
      </c>
      <c r="W2025" s="5"/>
    </row>
    <row r="2026" spans="1:23" ht="12.5">
      <c r="A2026" s="5">
        <v>92538</v>
      </c>
      <c r="B2026" s="5" t="s">
        <v>19311</v>
      </c>
      <c r="C2026" s="5">
        <v>573134561374</v>
      </c>
      <c r="D2026" s="5">
        <v>71</v>
      </c>
      <c r="E2026" s="5" t="s">
        <v>734</v>
      </c>
      <c r="F2026" s="5" t="s">
        <v>185</v>
      </c>
      <c r="G2026" s="5" t="s">
        <v>12388</v>
      </c>
      <c r="H2026" s="5" t="s">
        <v>12389</v>
      </c>
      <c r="I2026" s="5">
        <v>573134561374</v>
      </c>
      <c r="J2026" s="12">
        <v>46084</v>
      </c>
      <c r="K2026" s="11">
        <v>0.58333333333212067</v>
      </c>
      <c r="M2026" s="10" t="s">
        <v>16470</v>
      </c>
      <c r="N2026" s="12">
        <v>46084.49467414352</v>
      </c>
      <c r="O2026" s="10" t="s">
        <v>14640</v>
      </c>
      <c r="P2026" s="5" t="s">
        <v>14571</v>
      </c>
      <c r="Q2026" s="5" t="s">
        <v>14572</v>
      </c>
      <c r="R2026" s="5" t="s">
        <v>19312</v>
      </c>
      <c r="T2026" s="5" t="s">
        <v>5994</v>
      </c>
      <c r="U2026" s="5" t="s">
        <v>14580</v>
      </c>
      <c r="V2026" s="5" t="s">
        <v>1481</v>
      </c>
      <c r="W2026" s="5" t="s">
        <v>12392</v>
      </c>
    </row>
    <row r="2027" spans="1:23" ht="12.5">
      <c r="A2027" s="5">
        <v>92539</v>
      </c>
      <c r="B2027" s="5" t="s">
        <v>19313</v>
      </c>
      <c r="C2027" s="10" t="s">
        <v>19314</v>
      </c>
      <c r="D2027" s="5">
        <v>29</v>
      </c>
      <c r="E2027" s="5" t="s">
        <v>12406</v>
      </c>
      <c r="F2027" s="5" t="s">
        <v>328</v>
      </c>
      <c r="G2027" s="5" t="s">
        <v>19315</v>
      </c>
      <c r="H2027" s="5" t="s">
        <v>12405</v>
      </c>
      <c r="I2027" s="5">
        <v>573016815880</v>
      </c>
      <c r="J2027" s="12">
        <v>46084</v>
      </c>
      <c r="K2027" s="11">
        <v>0.58333333333333337</v>
      </c>
      <c r="M2027" s="10" t="s">
        <v>15179</v>
      </c>
      <c r="N2027" s="12">
        <v>46084</v>
      </c>
      <c r="O2027" s="10" t="s">
        <v>15780</v>
      </c>
      <c r="P2027" s="5" t="s">
        <v>14571</v>
      </c>
      <c r="Q2027" s="5" t="s">
        <v>14578</v>
      </c>
      <c r="R2027" s="5" t="s">
        <v>19316</v>
      </c>
      <c r="T2027" s="5" t="s">
        <v>5994</v>
      </c>
      <c r="U2027" s="5"/>
      <c r="V2027" s="5" t="s">
        <v>180</v>
      </c>
      <c r="W2027" s="5"/>
    </row>
    <row r="2028" spans="1:23" ht="12.5">
      <c r="A2028" s="5">
        <v>92540</v>
      </c>
      <c r="B2028" s="5" t="s">
        <v>19317</v>
      </c>
      <c r="C2028" s="10" t="s">
        <v>19318</v>
      </c>
      <c r="D2028" s="5">
        <v>31</v>
      </c>
      <c r="E2028" s="5" t="s">
        <v>11891</v>
      </c>
      <c r="F2028" s="5" t="s">
        <v>185</v>
      </c>
      <c r="G2028" s="5" t="s">
        <v>2818</v>
      </c>
      <c r="H2028" s="5" t="s">
        <v>12402</v>
      </c>
      <c r="I2028" s="5">
        <v>573162844144</v>
      </c>
      <c r="J2028" s="12">
        <v>46084</v>
      </c>
      <c r="K2028" s="11">
        <v>0.58333333333333337</v>
      </c>
      <c r="M2028" s="10" t="s">
        <v>14576</v>
      </c>
      <c r="N2028" s="12">
        <v>46084</v>
      </c>
      <c r="O2028" s="10" t="s">
        <v>17039</v>
      </c>
      <c r="P2028" s="5" t="s">
        <v>14571</v>
      </c>
      <c r="Q2028" s="5" t="s">
        <v>14612</v>
      </c>
      <c r="R2028" s="5" t="s">
        <v>19319</v>
      </c>
      <c r="T2028" s="5" t="s">
        <v>5994</v>
      </c>
      <c r="U2028" s="5" t="s">
        <v>14580</v>
      </c>
      <c r="V2028" s="5" t="s">
        <v>1481</v>
      </c>
      <c r="W2028" s="5"/>
    </row>
    <row r="2029" spans="1:23" ht="12.5">
      <c r="A2029" s="5">
        <v>92541</v>
      </c>
      <c r="B2029" s="5" t="s">
        <v>19320</v>
      </c>
      <c r="C2029" s="5">
        <v>573004589061</v>
      </c>
      <c r="D2029" s="5">
        <v>31</v>
      </c>
      <c r="E2029" s="5" t="s">
        <v>375</v>
      </c>
      <c r="F2029" s="5" t="s">
        <v>103</v>
      </c>
      <c r="G2029" s="5" t="s">
        <v>12409</v>
      </c>
      <c r="H2029" s="5" t="s">
        <v>12410</v>
      </c>
      <c r="I2029" s="5">
        <v>573004589061</v>
      </c>
      <c r="J2029" s="12">
        <v>46084</v>
      </c>
      <c r="K2029" s="11">
        <v>0</v>
      </c>
      <c r="M2029" s="10" t="s">
        <v>14627</v>
      </c>
      <c r="N2029" s="12">
        <v>46084.525156331016</v>
      </c>
      <c r="O2029" s="10" t="s">
        <v>15613</v>
      </c>
      <c r="P2029" s="5" t="s">
        <v>14571</v>
      </c>
      <c r="Q2029" s="5" t="s">
        <v>14699</v>
      </c>
      <c r="R2029" s="5" t="s">
        <v>19321</v>
      </c>
      <c r="T2029" s="5" t="s">
        <v>5994</v>
      </c>
      <c r="U2029" s="5" t="s">
        <v>14593</v>
      </c>
      <c r="V2029" s="5" t="s">
        <v>67</v>
      </c>
      <c r="W2029" s="5"/>
    </row>
    <row r="2030" spans="1:23" ht="12.5">
      <c r="A2030" s="5">
        <v>92542</v>
      </c>
      <c r="B2030" s="5" t="s">
        <v>12378</v>
      </c>
      <c r="C2030" s="5">
        <v>573002630432</v>
      </c>
      <c r="D2030" s="5">
        <v>31</v>
      </c>
      <c r="E2030" s="5" t="s">
        <v>375</v>
      </c>
      <c r="F2030" s="5" t="s">
        <v>1047</v>
      </c>
      <c r="G2030" s="5" t="s">
        <v>12378</v>
      </c>
      <c r="H2030" s="5" t="s">
        <v>12379</v>
      </c>
      <c r="I2030" s="5">
        <v>573002630432</v>
      </c>
      <c r="J2030" s="12">
        <v>46084</v>
      </c>
      <c r="K2030" s="11">
        <v>0</v>
      </c>
      <c r="M2030" s="10" t="s">
        <v>14595</v>
      </c>
      <c r="N2030" s="12">
        <v>46084.467887523148</v>
      </c>
      <c r="O2030" s="10" t="s">
        <v>14968</v>
      </c>
      <c r="P2030" s="5" t="s">
        <v>14571</v>
      </c>
      <c r="Q2030" s="5" t="s">
        <v>14572</v>
      </c>
      <c r="R2030" s="5" t="s">
        <v>19322</v>
      </c>
      <c r="T2030" s="5" t="s">
        <v>5994</v>
      </c>
      <c r="U2030" s="5" t="s">
        <v>14580</v>
      </c>
      <c r="V2030" s="5" t="s">
        <v>1481</v>
      </c>
      <c r="W2030" s="5"/>
    </row>
    <row r="2031" spans="1:23" ht="12.5">
      <c r="A2031" s="5">
        <v>92543</v>
      </c>
      <c r="B2031" s="5" t="s">
        <v>12412</v>
      </c>
      <c r="C2031" s="5">
        <v>573003675967</v>
      </c>
      <c r="D2031" s="5" t="s">
        <v>14589</v>
      </c>
      <c r="E2031" s="5" t="s">
        <v>12414</v>
      </c>
      <c r="F2031" s="5" t="s">
        <v>307</v>
      </c>
      <c r="G2031" s="5" t="s">
        <v>12412</v>
      </c>
      <c r="H2031" s="5" t="s">
        <v>12413</v>
      </c>
      <c r="I2031" s="5">
        <v>573003675967</v>
      </c>
      <c r="J2031" s="12">
        <v>46087</v>
      </c>
      <c r="K2031" s="11">
        <v>0.41666666666787933</v>
      </c>
      <c r="M2031" s="10" t="s">
        <v>15301</v>
      </c>
      <c r="N2031" s="12">
        <v>46084.543418611109</v>
      </c>
      <c r="O2031" s="10" t="s">
        <v>16134</v>
      </c>
      <c r="P2031" s="5" t="s">
        <v>14571</v>
      </c>
      <c r="Q2031" s="5" t="s">
        <v>14612</v>
      </c>
      <c r="R2031" s="5" t="s">
        <v>19323</v>
      </c>
      <c r="T2031" s="5" t="s">
        <v>5994</v>
      </c>
      <c r="U2031" s="5" t="s">
        <v>14618</v>
      </c>
      <c r="V2031" s="5" t="s">
        <v>7644</v>
      </c>
      <c r="W2031" s="5"/>
    </row>
    <row r="2032" spans="1:23" ht="12.5">
      <c r="A2032" s="5">
        <v>92544</v>
      </c>
      <c r="B2032" s="5" t="s">
        <v>19324</v>
      </c>
      <c r="C2032" s="5">
        <v>573008308739</v>
      </c>
      <c r="D2032" s="5">
        <v>53</v>
      </c>
      <c r="E2032" s="5" t="s">
        <v>12423</v>
      </c>
      <c r="F2032" s="5" t="s">
        <v>12066</v>
      </c>
      <c r="G2032" s="5" t="s">
        <v>12422</v>
      </c>
      <c r="H2032" s="5" t="s">
        <v>12066</v>
      </c>
      <c r="I2032" s="5">
        <v>573008308739</v>
      </c>
      <c r="J2032" s="12">
        <v>46084</v>
      </c>
      <c r="K2032" s="11">
        <v>0</v>
      </c>
      <c r="M2032" s="10" t="s">
        <v>14585</v>
      </c>
      <c r="N2032" s="12">
        <v>46084.569513958333</v>
      </c>
      <c r="O2032" s="10" t="s">
        <v>18489</v>
      </c>
      <c r="P2032" s="5" t="s">
        <v>14571</v>
      </c>
      <c r="Q2032" s="5" t="s">
        <v>14578</v>
      </c>
      <c r="R2032" s="5" t="s">
        <v>19325</v>
      </c>
      <c r="T2032" s="5" t="s">
        <v>14574</v>
      </c>
      <c r="U2032" s="5"/>
      <c r="V2032" s="5" t="s">
        <v>37</v>
      </c>
      <c r="W2032" s="5"/>
    </row>
    <row r="2033" spans="1:23" ht="12.5">
      <c r="A2033" s="5">
        <v>92545</v>
      </c>
      <c r="B2033" s="5" t="s">
        <v>19326</v>
      </c>
      <c r="C2033" s="5">
        <v>573016810193</v>
      </c>
      <c r="D2033" s="5">
        <v>29</v>
      </c>
      <c r="E2033" s="5" t="s">
        <v>12406</v>
      </c>
      <c r="F2033" s="5" t="s">
        <v>12417</v>
      </c>
      <c r="G2033" s="5" t="s">
        <v>12416</v>
      </c>
      <c r="H2033" s="5" t="s">
        <v>12418</v>
      </c>
      <c r="I2033" s="5">
        <v>573505458399</v>
      </c>
      <c r="J2033" s="12">
        <v>46085</v>
      </c>
      <c r="K2033" s="11">
        <v>0</v>
      </c>
      <c r="M2033" s="10" t="s">
        <v>15632</v>
      </c>
      <c r="N2033" s="12">
        <v>46084.55131383102</v>
      </c>
      <c r="O2033" s="10" t="s">
        <v>15539</v>
      </c>
      <c r="P2033" s="5" t="s">
        <v>14571</v>
      </c>
      <c r="Q2033" s="5" t="s">
        <v>14699</v>
      </c>
      <c r="R2033" s="5" t="s">
        <v>19327</v>
      </c>
      <c r="T2033" s="5" t="s">
        <v>5994</v>
      </c>
      <c r="U2033" s="5" t="s">
        <v>14598</v>
      </c>
      <c r="V2033" s="5" t="s">
        <v>1481</v>
      </c>
      <c r="W2033" s="5" t="s">
        <v>12421</v>
      </c>
    </row>
    <row r="2034" spans="1:23" ht="12.5">
      <c r="A2034" s="5">
        <v>92546</v>
      </c>
      <c r="B2034" s="5" t="s">
        <v>19328</v>
      </c>
      <c r="C2034" s="10" t="s">
        <v>19329</v>
      </c>
      <c r="D2034" s="5">
        <v>63</v>
      </c>
      <c r="E2034" s="5" t="s">
        <v>294</v>
      </c>
      <c r="F2034" s="5" t="s">
        <v>161</v>
      </c>
      <c r="G2034" s="5" t="s">
        <v>16649</v>
      </c>
      <c r="H2034" s="5" t="s">
        <v>12426</v>
      </c>
      <c r="I2034" s="5">
        <v>573052960945</v>
      </c>
      <c r="J2034" s="12">
        <v>46084</v>
      </c>
      <c r="K2034" s="11">
        <v>0</v>
      </c>
      <c r="M2034" s="10" t="s">
        <v>14657</v>
      </c>
      <c r="N2034" s="12">
        <v>46084</v>
      </c>
      <c r="O2034" s="10" t="s">
        <v>19001</v>
      </c>
      <c r="P2034" s="5" t="s">
        <v>14571</v>
      </c>
      <c r="Q2034" s="5" t="s">
        <v>14612</v>
      </c>
      <c r="R2034" s="5" t="s">
        <v>19330</v>
      </c>
      <c r="T2034" s="5" t="s">
        <v>5994</v>
      </c>
      <c r="U2034" s="5" t="s">
        <v>14593</v>
      </c>
      <c r="V2034" s="5" t="s">
        <v>1481</v>
      </c>
      <c r="W2034" s="5"/>
    </row>
    <row r="2035" spans="1:23" ht="12.5">
      <c r="A2035" s="5">
        <v>92547</v>
      </c>
      <c r="B2035" s="5" t="s">
        <v>19331</v>
      </c>
      <c r="C2035" s="10" t="s">
        <v>19332</v>
      </c>
      <c r="D2035" s="5">
        <v>95</v>
      </c>
      <c r="E2035" s="5" t="s">
        <v>42</v>
      </c>
      <c r="F2035" s="5" t="s">
        <v>12066</v>
      </c>
      <c r="G2035" s="5" t="s">
        <v>7615</v>
      </c>
      <c r="H2035" s="5" t="s">
        <v>12066</v>
      </c>
      <c r="I2035" s="5">
        <v>573165222133</v>
      </c>
      <c r="J2035" s="12">
        <v>46088</v>
      </c>
      <c r="K2035" s="11">
        <v>0</v>
      </c>
      <c r="M2035" s="10" t="s">
        <v>16408</v>
      </c>
      <c r="N2035" s="12">
        <v>46084</v>
      </c>
      <c r="O2035" s="10" t="s">
        <v>17604</v>
      </c>
      <c r="P2035" s="5" t="s">
        <v>14571</v>
      </c>
      <c r="Q2035" s="5" t="s">
        <v>14572</v>
      </c>
      <c r="R2035" s="5" t="s">
        <v>19333</v>
      </c>
      <c r="T2035" s="5" t="s">
        <v>14574</v>
      </c>
      <c r="U2035" s="5"/>
      <c r="V2035" s="5" t="s">
        <v>1481</v>
      </c>
      <c r="W2035" s="5" t="s">
        <v>12440</v>
      </c>
    </row>
    <row r="2036" spans="1:23" ht="12.5">
      <c r="A2036" s="5">
        <v>92548</v>
      </c>
      <c r="B2036" s="5" t="s">
        <v>19334</v>
      </c>
      <c r="C2036" s="5">
        <v>573107065358</v>
      </c>
      <c r="D2036" s="5">
        <v>39</v>
      </c>
      <c r="E2036" s="5" t="s">
        <v>12437</v>
      </c>
      <c r="F2036" s="5" t="s">
        <v>79</v>
      </c>
      <c r="G2036" s="5" t="s">
        <v>12435</v>
      </c>
      <c r="H2036" s="5" t="s">
        <v>12436</v>
      </c>
      <c r="I2036" s="5">
        <v>573107065366</v>
      </c>
      <c r="J2036" s="12">
        <v>46085</v>
      </c>
      <c r="K2036" s="11">
        <v>0</v>
      </c>
      <c r="M2036" s="10" t="s">
        <v>15859</v>
      </c>
      <c r="N2036" s="12">
        <v>46084.612598622683</v>
      </c>
      <c r="O2036" s="10" t="s">
        <v>19266</v>
      </c>
      <c r="P2036" s="5" t="s">
        <v>14571</v>
      </c>
      <c r="Q2036" s="5" t="s">
        <v>14572</v>
      </c>
      <c r="R2036" s="5" t="s">
        <v>19335</v>
      </c>
      <c r="T2036" s="5" t="s">
        <v>5994</v>
      </c>
      <c r="U2036" s="5" t="s">
        <v>14593</v>
      </c>
      <c r="V2036" s="5" t="s">
        <v>1481</v>
      </c>
      <c r="W2036" s="5"/>
    </row>
    <row r="2037" spans="1:23" ht="12.5">
      <c r="A2037" s="5">
        <v>92549</v>
      </c>
      <c r="B2037" s="5" t="s">
        <v>19336</v>
      </c>
      <c r="C2037" s="5">
        <v>573104311662</v>
      </c>
      <c r="D2037" s="5">
        <v>53</v>
      </c>
      <c r="E2037" s="5" t="s">
        <v>12423</v>
      </c>
      <c r="F2037" s="5" t="s">
        <v>249</v>
      </c>
      <c r="G2037" s="5" t="s">
        <v>12430</v>
      </c>
      <c r="H2037" s="5" t="s">
        <v>12431</v>
      </c>
      <c r="I2037" s="5">
        <v>573153439475</v>
      </c>
      <c r="J2037" s="12">
        <v>46084</v>
      </c>
      <c r="K2037" s="11">
        <v>0</v>
      </c>
      <c r="M2037" s="10" t="s">
        <v>14627</v>
      </c>
      <c r="N2037" s="12">
        <v>46084.609395439817</v>
      </c>
      <c r="O2037" s="10" t="s">
        <v>16330</v>
      </c>
      <c r="P2037" s="5" t="s">
        <v>14571</v>
      </c>
      <c r="Q2037" s="5" t="s">
        <v>14699</v>
      </c>
      <c r="R2037" s="5" t="s">
        <v>19337</v>
      </c>
      <c r="T2037" s="5" t="s">
        <v>5994</v>
      </c>
      <c r="U2037" s="5" t="s">
        <v>14593</v>
      </c>
      <c r="V2037" s="5" t="s">
        <v>67</v>
      </c>
      <c r="W2037" s="5"/>
    </row>
    <row r="2038" spans="1:23" ht="12.5">
      <c r="A2038" s="5">
        <v>92550</v>
      </c>
      <c r="B2038" s="5" t="s">
        <v>19338</v>
      </c>
      <c r="C2038" s="5">
        <v>573103677331</v>
      </c>
      <c r="D2038" s="5">
        <v>95</v>
      </c>
      <c r="E2038" s="5" t="s">
        <v>42</v>
      </c>
      <c r="F2038" s="5"/>
      <c r="G2038" s="5" t="s">
        <v>12452</v>
      </c>
      <c r="H2038" s="5" t="s">
        <v>12453</v>
      </c>
      <c r="I2038" s="5">
        <v>573103677331</v>
      </c>
      <c r="J2038" s="12">
        <v>46084</v>
      </c>
      <c r="K2038" s="11">
        <v>0</v>
      </c>
      <c r="M2038" s="10" t="s">
        <v>14619</v>
      </c>
      <c r="N2038" s="12">
        <v>46084.65005783565</v>
      </c>
      <c r="O2038" s="10" t="s">
        <v>14937</v>
      </c>
      <c r="P2038" s="5" t="s">
        <v>14571</v>
      </c>
      <c r="Q2038" s="5" t="s">
        <v>14572</v>
      </c>
      <c r="R2038" s="5" t="s">
        <v>19339</v>
      </c>
      <c r="T2038" s="5" t="s">
        <v>5994</v>
      </c>
      <c r="U2038" s="5"/>
      <c r="V2038" s="5" t="s">
        <v>67</v>
      </c>
      <c r="W2038" s="5"/>
    </row>
    <row r="2039" spans="1:23" ht="12.5">
      <c r="A2039" s="5">
        <v>92551</v>
      </c>
      <c r="B2039" s="5" t="s">
        <v>19340</v>
      </c>
      <c r="C2039" s="10" t="s">
        <v>19341</v>
      </c>
      <c r="D2039" s="5" t="s">
        <v>19342</v>
      </c>
      <c r="E2039" s="5" t="s">
        <v>12449</v>
      </c>
      <c r="F2039" s="5" t="s">
        <v>726</v>
      </c>
      <c r="G2039" s="5" t="s">
        <v>12447</v>
      </c>
      <c r="H2039" s="5" t="s">
        <v>12448</v>
      </c>
      <c r="I2039" s="5">
        <v>573105021698</v>
      </c>
      <c r="J2039" s="12">
        <v>46085</v>
      </c>
      <c r="K2039" s="11">
        <v>0.375</v>
      </c>
      <c r="M2039" s="10" t="s">
        <v>19343</v>
      </c>
      <c r="N2039" s="12">
        <v>46084</v>
      </c>
      <c r="O2039" s="10" t="s">
        <v>15953</v>
      </c>
      <c r="P2039" s="5" t="s">
        <v>14571</v>
      </c>
      <c r="Q2039" s="5" t="s">
        <v>14578</v>
      </c>
      <c r="R2039" s="5" t="s">
        <v>19344</v>
      </c>
      <c r="T2039" s="5" t="s">
        <v>5994</v>
      </c>
      <c r="U2039" s="5" t="s">
        <v>14618</v>
      </c>
      <c r="V2039" s="5" t="s">
        <v>180</v>
      </c>
      <c r="W2039" s="5"/>
    </row>
    <row r="2040" spans="1:23" ht="12.5">
      <c r="A2040" s="5">
        <v>92552</v>
      </c>
      <c r="B2040" s="5" t="s">
        <v>19345</v>
      </c>
      <c r="C2040" s="5">
        <v>573156121072</v>
      </c>
      <c r="D2040" s="5">
        <v>18</v>
      </c>
      <c r="E2040" s="5" t="s">
        <v>370</v>
      </c>
      <c r="F2040" s="5" t="s">
        <v>405</v>
      </c>
      <c r="G2040" s="5" t="s">
        <v>12442</v>
      </c>
      <c r="H2040" s="5" t="s">
        <v>12443</v>
      </c>
      <c r="I2040" s="5">
        <v>573022895710</v>
      </c>
      <c r="J2040" s="12">
        <v>46085</v>
      </c>
      <c r="K2040" s="11">
        <v>0.375</v>
      </c>
      <c r="M2040" s="10" t="s">
        <v>19346</v>
      </c>
      <c r="N2040" s="12">
        <v>46084.622145092595</v>
      </c>
      <c r="O2040" s="10" t="s">
        <v>15445</v>
      </c>
      <c r="P2040" s="5" t="s">
        <v>14571</v>
      </c>
      <c r="Q2040" s="5" t="s">
        <v>14612</v>
      </c>
      <c r="R2040" s="5" t="s">
        <v>19347</v>
      </c>
      <c r="T2040" s="5" t="s">
        <v>5994</v>
      </c>
      <c r="U2040" s="5"/>
      <c r="V2040" s="5" t="s">
        <v>2163</v>
      </c>
      <c r="W2040" s="5" t="s">
        <v>12445</v>
      </c>
    </row>
    <row r="2041" spans="1:23" ht="12.5">
      <c r="A2041" s="5">
        <v>92553</v>
      </c>
      <c r="B2041" s="5" t="s">
        <v>19348</v>
      </c>
      <c r="C2041" s="10" t="s">
        <v>19349</v>
      </c>
      <c r="D2041" s="5" t="s">
        <v>14589</v>
      </c>
      <c r="E2041" s="5" t="s">
        <v>12464</v>
      </c>
      <c r="F2041" s="5" t="s">
        <v>265</v>
      </c>
      <c r="G2041" s="5" t="s">
        <v>12462</v>
      </c>
      <c r="H2041" s="5" t="s">
        <v>12463</v>
      </c>
      <c r="I2041" s="5">
        <v>573007516067</v>
      </c>
      <c r="J2041" s="12">
        <v>46084</v>
      </c>
      <c r="K2041" s="11">
        <v>0.375</v>
      </c>
      <c r="M2041" s="10" t="s">
        <v>16718</v>
      </c>
      <c r="N2041" s="12">
        <v>46084</v>
      </c>
      <c r="O2041" s="10" t="s">
        <v>15727</v>
      </c>
      <c r="P2041" s="5" t="s">
        <v>14571</v>
      </c>
      <c r="Q2041" s="5" t="s">
        <v>14578</v>
      </c>
      <c r="R2041" s="5" t="s">
        <v>19350</v>
      </c>
      <c r="T2041" s="5" t="s">
        <v>5994</v>
      </c>
      <c r="U2041" s="5" t="s">
        <v>14691</v>
      </c>
      <c r="V2041" s="5" t="s">
        <v>67</v>
      </c>
      <c r="W2041" s="5"/>
    </row>
    <row r="2042" spans="1:23" ht="12.5">
      <c r="A2042" s="5">
        <v>92554</v>
      </c>
      <c r="B2042" s="5" t="s">
        <v>12455</v>
      </c>
      <c r="C2042" s="5">
        <v>573208311214</v>
      </c>
      <c r="D2042" s="5" t="s">
        <v>14589</v>
      </c>
      <c r="E2042" s="5" t="s">
        <v>12457</v>
      </c>
      <c r="F2042" s="5" t="s">
        <v>4558</v>
      </c>
      <c r="G2042" s="5" t="s">
        <v>12455</v>
      </c>
      <c r="H2042" s="5" t="s">
        <v>12456</v>
      </c>
      <c r="I2042" s="5">
        <v>573208311214</v>
      </c>
      <c r="J2042" s="12">
        <v>46088</v>
      </c>
      <c r="K2042" s="11">
        <v>0</v>
      </c>
      <c r="M2042" s="10" t="s">
        <v>15415</v>
      </c>
      <c r="N2042" s="12">
        <v>46084.665338657403</v>
      </c>
      <c r="O2042" s="10" t="s">
        <v>15220</v>
      </c>
      <c r="P2042" s="5" t="s">
        <v>14571</v>
      </c>
      <c r="Q2042" s="5" t="s">
        <v>14612</v>
      </c>
      <c r="R2042" s="5" t="s">
        <v>19351</v>
      </c>
      <c r="T2042" s="5" t="s">
        <v>5994</v>
      </c>
      <c r="U2042" s="5" t="s">
        <v>14593</v>
      </c>
      <c r="V2042" s="5" t="s">
        <v>1481</v>
      </c>
      <c r="W2042" s="5" t="s">
        <v>12460</v>
      </c>
    </row>
    <row r="2043" spans="1:23" ht="12.5">
      <c r="A2043" s="5">
        <v>92555</v>
      </c>
      <c r="B2043" s="5" t="s">
        <v>19352</v>
      </c>
      <c r="C2043" s="10" t="s">
        <v>19353</v>
      </c>
      <c r="D2043" s="5">
        <v>36</v>
      </c>
      <c r="E2043" s="5" t="s">
        <v>222</v>
      </c>
      <c r="F2043" s="5" t="s">
        <v>103</v>
      </c>
      <c r="G2043" s="5" t="s">
        <v>19354</v>
      </c>
      <c r="H2043" s="5" t="s">
        <v>12469</v>
      </c>
      <c r="I2043" s="5">
        <v>573105578729</v>
      </c>
      <c r="J2043" s="12">
        <v>46085</v>
      </c>
      <c r="K2043" s="11">
        <v>0</v>
      </c>
      <c r="M2043" s="10" t="s">
        <v>16109</v>
      </c>
      <c r="N2043" s="12">
        <v>46084</v>
      </c>
      <c r="O2043" s="10" t="s">
        <v>17355</v>
      </c>
      <c r="P2043" s="5" t="s">
        <v>14571</v>
      </c>
      <c r="Q2043" s="5" t="s">
        <v>14699</v>
      </c>
      <c r="R2043" s="5" t="s">
        <v>19355</v>
      </c>
      <c r="T2043" s="5" t="s">
        <v>5994</v>
      </c>
      <c r="U2043" s="5" t="s">
        <v>14593</v>
      </c>
      <c r="V2043" s="5" t="s">
        <v>1481</v>
      </c>
      <c r="W2043" s="5"/>
    </row>
    <row r="2044" spans="1:23" ht="12.5">
      <c r="A2044" s="5">
        <v>92556</v>
      </c>
      <c r="B2044" s="5" t="s">
        <v>19356</v>
      </c>
      <c r="C2044" s="5">
        <v>573017795556</v>
      </c>
      <c r="D2044" s="5">
        <v>29</v>
      </c>
      <c r="E2044" s="5" t="s">
        <v>12406</v>
      </c>
      <c r="F2044" s="5" t="s">
        <v>12066</v>
      </c>
      <c r="G2044" s="5" t="s">
        <v>3218</v>
      </c>
      <c r="H2044" s="5" t="s">
        <v>12066</v>
      </c>
      <c r="I2044" s="5">
        <v>573017795556</v>
      </c>
      <c r="J2044" s="12">
        <v>46084</v>
      </c>
      <c r="K2044" s="11">
        <v>0</v>
      </c>
      <c r="M2044" s="10" t="s">
        <v>14627</v>
      </c>
      <c r="N2044" s="12">
        <v>46084.74620011574</v>
      </c>
      <c r="O2044" s="10" t="s">
        <v>15347</v>
      </c>
      <c r="P2044" s="5" t="s">
        <v>14571</v>
      </c>
      <c r="Q2044" s="5" t="s">
        <v>14612</v>
      </c>
      <c r="R2044" s="5" t="s">
        <v>19357</v>
      </c>
      <c r="T2044" s="5" t="s">
        <v>14574</v>
      </c>
      <c r="U2044" s="5"/>
      <c r="V2044" s="5" t="s">
        <v>1705</v>
      </c>
      <c r="W2044" s="5"/>
    </row>
    <row r="2045" spans="1:23" ht="12.5">
      <c r="A2045" s="5">
        <v>92557</v>
      </c>
      <c r="B2045" s="5" t="s">
        <v>19358</v>
      </c>
      <c r="C2045" s="5">
        <v>573204899499</v>
      </c>
      <c r="D2045" s="5" t="s">
        <v>19359</v>
      </c>
      <c r="E2045" s="5" t="s">
        <v>12374</v>
      </c>
      <c r="F2045" s="5" t="s">
        <v>73</v>
      </c>
      <c r="G2045" s="5" t="s">
        <v>2203</v>
      </c>
      <c r="H2045" s="5" t="s">
        <v>12373</v>
      </c>
      <c r="I2045" s="5">
        <v>573204899499</v>
      </c>
      <c r="J2045" s="12">
        <v>46088</v>
      </c>
      <c r="K2045" s="11">
        <v>0.33333333333212067</v>
      </c>
      <c r="M2045" s="10" t="s">
        <v>19360</v>
      </c>
      <c r="N2045" s="12">
        <v>46084.460391516201</v>
      </c>
      <c r="O2045" s="10" t="s">
        <v>19361</v>
      </c>
      <c r="P2045" s="5" t="s">
        <v>14571</v>
      </c>
      <c r="Q2045" s="5" t="s">
        <v>14612</v>
      </c>
      <c r="R2045" s="5" t="s">
        <v>19362</v>
      </c>
      <c r="T2045" s="5" t="s">
        <v>5994</v>
      </c>
      <c r="U2045" s="5" t="s">
        <v>14593</v>
      </c>
      <c r="V2045" s="5" t="s">
        <v>67</v>
      </c>
      <c r="W2045" s="5" t="s">
        <v>12376</v>
      </c>
    </row>
    <row r="2046" spans="1:23" ht="12.5">
      <c r="A2046" s="5">
        <v>92558</v>
      </c>
      <c r="B2046" s="5" t="s">
        <v>19363</v>
      </c>
      <c r="C2046" s="5">
        <v>573045917274</v>
      </c>
      <c r="D2046" s="5">
        <v>42</v>
      </c>
      <c r="E2046" s="5" t="s">
        <v>649</v>
      </c>
      <c r="F2046" s="5" t="s">
        <v>103</v>
      </c>
      <c r="G2046" s="5" t="s">
        <v>12473</v>
      </c>
      <c r="H2046" s="5" t="s">
        <v>12474</v>
      </c>
      <c r="I2046" s="5">
        <v>573045917274</v>
      </c>
      <c r="J2046" s="12">
        <v>46087</v>
      </c>
      <c r="K2046" s="11">
        <v>0.38124999999854481</v>
      </c>
      <c r="M2046" s="10" t="s">
        <v>14777</v>
      </c>
      <c r="N2046" s="12">
        <v>46085.292912812496</v>
      </c>
      <c r="O2046" s="10" t="s">
        <v>16804</v>
      </c>
      <c r="P2046" s="5" t="s">
        <v>14571</v>
      </c>
      <c r="Q2046" s="5" t="s">
        <v>14699</v>
      </c>
      <c r="R2046" s="5" t="s">
        <v>19364</v>
      </c>
      <c r="T2046" s="5" t="s">
        <v>5994</v>
      </c>
      <c r="U2046" s="5" t="s">
        <v>14593</v>
      </c>
      <c r="V2046" s="5" t="s">
        <v>1481</v>
      </c>
      <c r="W2046" s="5"/>
    </row>
    <row r="2047" spans="1:23" ht="12.5">
      <c r="A2047" s="5">
        <v>92559</v>
      </c>
      <c r="B2047" s="5" t="s">
        <v>19365</v>
      </c>
      <c r="C2047" s="5">
        <v>573015081991</v>
      </c>
      <c r="D2047" s="5">
        <v>71</v>
      </c>
      <c r="E2047" s="5" t="s">
        <v>734</v>
      </c>
      <c r="F2047" s="5" t="s">
        <v>103</v>
      </c>
      <c r="G2047" s="5" t="s">
        <v>12478</v>
      </c>
      <c r="H2047" s="5" t="s">
        <v>12479</v>
      </c>
      <c r="I2047" s="5">
        <v>573106334867</v>
      </c>
      <c r="J2047" s="12">
        <v>46086</v>
      </c>
      <c r="K2047" s="11">
        <v>0.41666666666787933</v>
      </c>
      <c r="M2047" s="10" t="s">
        <v>14653</v>
      </c>
      <c r="N2047" s="12">
        <v>46085.327614305555</v>
      </c>
      <c r="O2047" s="10" t="s">
        <v>14911</v>
      </c>
      <c r="P2047" s="5" t="s">
        <v>14571</v>
      </c>
      <c r="Q2047" s="5" t="s">
        <v>14612</v>
      </c>
      <c r="R2047" s="5" t="s">
        <v>19366</v>
      </c>
      <c r="T2047" s="5" t="s">
        <v>5994</v>
      </c>
      <c r="U2047" s="5" t="s">
        <v>14593</v>
      </c>
      <c r="V2047" s="5" t="s">
        <v>1481</v>
      </c>
      <c r="W2047" s="5"/>
    </row>
    <row r="2048" spans="1:23" ht="12.5">
      <c r="A2048" s="5">
        <v>92560</v>
      </c>
      <c r="B2048" s="5" t="s">
        <v>19367</v>
      </c>
      <c r="C2048" s="5">
        <v>573023783683</v>
      </c>
      <c r="D2048" s="5" t="s">
        <v>14589</v>
      </c>
      <c r="E2048" s="5" t="s">
        <v>3356</v>
      </c>
      <c r="F2048" s="5" t="s">
        <v>1047</v>
      </c>
      <c r="G2048" s="5" t="s">
        <v>12488</v>
      </c>
      <c r="H2048" s="5" t="s">
        <v>12489</v>
      </c>
      <c r="I2048" s="5">
        <v>573012442023</v>
      </c>
      <c r="J2048" s="12">
        <v>46085</v>
      </c>
      <c r="K2048" s="11">
        <v>0</v>
      </c>
      <c r="M2048" s="10" t="s">
        <v>15102</v>
      </c>
      <c r="N2048" s="12">
        <v>46085.368810740736</v>
      </c>
      <c r="O2048" s="10" t="s">
        <v>17642</v>
      </c>
      <c r="P2048" s="5" t="s">
        <v>14571</v>
      </c>
      <c r="Q2048" s="5" t="s">
        <v>14572</v>
      </c>
      <c r="R2048" s="5" t="s">
        <v>19368</v>
      </c>
      <c r="T2048" s="5" t="s">
        <v>5994</v>
      </c>
      <c r="U2048" s="5" t="s">
        <v>14580</v>
      </c>
      <c r="V2048" s="5" t="s">
        <v>1481</v>
      </c>
      <c r="W2048" s="5"/>
    </row>
    <row r="2049" spans="1:23" ht="12.5">
      <c r="A2049" s="5">
        <v>92561</v>
      </c>
      <c r="B2049" s="5" t="s">
        <v>19369</v>
      </c>
      <c r="C2049" s="5">
        <v>573017607682</v>
      </c>
      <c r="D2049" s="5">
        <v>52</v>
      </c>
      <c r="E2049" s="5" t="s">
        <v>12496</v>
      </c>
      <c r="F2049" s="5" t="s">
        <v>328</v>
      </c>
      <c r="G2049" s="5" t="s">
        <v>8992</v>
      </c>
      <c r="H2049" s="5" t="s">
        <v>12495</v>
      </c>
      <c r="I2049" s="5">
        <v>573126794745</v>
      </c>
      <c r="J2049" s="12">
        <v>46086</v>
      </c>
      <c r="K2049" s="11">
        <v>0.41666666666787933</v>
      </c>
      <c r="M2049" s="10" t="s">
        <v>14643</v>
      </c>
      <c r="N2049" s="12">
        <v>46085.382126076394</v>
      </c>
      <c r="O2049" s="10" t="s">
        <v>17287</v>
      </c>
      <c r="P2049" s="5" t="s">
        <v>14571</v>
      </c>
      <c r="Q2049" s="5" t="s">
        <v>14699</v>
      </c>
      <c r="R2049" s="5" t="s">
        <v>19370</v>
      </c>
      <c r="T2049" s="5" t="s">
        <v>5994</v>
      </c>
      <c r="U2049" s="5"/>
      <c r="V2049" s="5" t="s">
        <v>67</v>
      </c>
      <c r="W2049" s="5"/>
    </row>
    <row r="2050" spans="1:23" ht="12.5">
      <c r="A2050" s="5">
        <v>92562</v>
      </c>
      <c r="B2050" s="5" t="s">
        <v>19371</v>
      </c>
      <c r="C2050" s="5">
        <v>573104426028</v>
      </c>
      <c r="D2050" s="5">
        <v>17</v>
      </c>
      <c r="E2050" s="5" t="s">
        <v>4616</v>
      </c>
      <c r="F2050" s="5" t="s">
        <v>103</v>
      </c>
      <c r="G2050" s="5" t="s">
        <v>2955</v>
      </c>
      <c r="H2050" s="5" t="s">
        <v>12491</v>
      </c>
      <c r="I2050" s="5">
        <v>573104426028</v>
      </c>
      <c r="J2050" s="12">
        <v>46085</v>
      </c>
      <c r="K2050" s="11">
        <v>0.41666666666787933</v>
      </c>
      <c r="M2050" s="10" t="s">
        <v>14910</v>
      </c>
      <c r="N2050" s="12">
        <v>46085.379999814817</v>
      </c>
      <c r="O2050" s="10" t="s">
        <v>16757</v>
      </c>
      <c r="P2050" s="5" t="s">
        <v>14571</v>
      </c>
      <c r="Q2050" s="5" t="s">
        <v>14578</v>
      </c>
      <c r="R2050" s="5" t="s">
        <v>19372</v>
      </c>
      <c r="T2050" s="5" t="s">
        <v>5994</v>
      </c>
      <c r="U2050" s="5" t="s">
        <v>14593</v>
      </c>
      <c r="V2050" s="5" t="s">
        <v>1481</v>
      </c>
      <c r="W2050" s="5"/>
    </row>
    <row r="2051" spans="1:23" ht="12.5">
      <c r="A2051" s="5">
        <v>92563</v>
      </c>
      <c r="B2051" s="5" t="s">
        <v>19373</v>
      </c>
      <c r="C2051" s="5">
        <v>573174391102</v>
      </c>
      <c r="D2051" s="5">
        <v>62</v>
      </c>
      <c r="E2051" s="5" t="s">
        <v>12484</v>
      </c>
      <c r="F2051" s="5" t="s">
        <v>161</v>
      </c>
      <c r="G2051" s="5" t="s">
        <v>12482</v>
      </c>
      <c r="H2051" s="5" t="s">
        <v>12483</v>
      </c>
      <c r="I2051" s="5">
        <v>573145811395</v>
      </c>
      <c r="J2051" s="12">
        <v>46085</v>
      </c>
      <c r="K2051" s="11">
        <v>0</v>
      </c>
      <c r="M2051" s="10" t="s">
        <v>14853</v>
      </c>
      <c r="N2051" s="12">
        <v>46085.366938206018</v>
      </c>
      <c r="O2051" s="10" t="s">
        <v>16446</v>
      </c>
      <c r="P2051" s="5" t="s">
        <v>14571</v>
      </c>
      <c r="Q2051" s="5" t="s">
        <v>14612</v>
      </c>
      <c r="R2051" s="5" t="s">
        <v>19374</v>
      </c>
      <c r="T2051" s="5" t="s">
        <v>5994</v>
      </c>
      <c r="U2051" s="5" t="s">
        <v>14593</v>
      </c>
      <c r="V2051" s="5" t="s">
        <v>1481</v>
      </c>
      <c r="W2051" s="5"/>
    </row>
    <row r="2052" spans="1:23" ht="12.5">
      <c r="A2052" s="5">
        <v>92564</v>
      </c>
      <c r="B2052" s="5" t="s">
        <v>19375</v>
      </c>
      <c r="C2052" s="10" t="s">
        <v>19376</v>
      </c>
      <c r="D2052" s="5">
        <v>31</v>
      </c>
      <c r="E2052" s="5" t="s">
        <v>375</v>
      </c>
      <c r="F2052" s="5" t="s">
        <v>10526</v>
      </c>
      <c r="G2052" s="5" t="s">
        <v>19377</v>
      </c>
      <c r="H2052" s="5" t="s">
        <v>12500</v>
      </c>
      <c r="I2052" s="5">
        <v>573135743603</v>
      </c>
      <c r="J2052" s="12">
        <v>46089</v>
      </c>
      <c r="K2052" s="11">
        <v>0.33333333333333331</v>
      </c>
      <c r="M2052" s="10" t="s">
        <v>14832</v>
      </c>
      <c r="N2052" s="12">
        <v>46085</v>
      </c>
      <c r="O2052" s="10" t="s">
        <v>15316</v>
      </c>
      <c r="P2052" s="5" t="s">
        <v>14571</v>
      </c>
      <c r="Q2052" s="5" t="s">
        <v>17990</v>
      </c>
      <c r="R2052" s="5" t="s">
        <v>19378</v>
      </c>
      <c r="T2052" s="5" t="s">
        <v>5994</v>
      </c>
      <c r="U2052" s="5" t="s">
        <v>14593</v>
      </c>
      <c r="V2052" s="5" t="s">
        <v>7644</v>
      </c>
      <c r="W2052" s="5"/>
    </row>
    <row r="2053" spans="1:23" ht="12.5">
      <c r="A2053" s="5">
        <v>92565</v>
      </c>
      <c r="B2053" s="5" t="s">
        <v>19379</v>
      </c>
      <c r="C2053" s="5" t="s">
        <v>12504</v>
      </c>
      <c r="D2053" s="5">
        <v>5</v>
      </c>
      <c r="E2053" s="5" t="s">
        <v>12508</v>
      </c>
      <c r="F2053" s="5" t="s">
        <v>1815</v>
      </c>
      <c r="G2053" s="5" t="s">
        <v>12505</v>
      </c>
      <c r="H2053" s="5" t="s">
        <v>19380</v>
      </c>
      <c r="I2053" s="5">
        <v>573046617523</v>
      </c>
      <c r="J2053" s="12">
        <v>46090</v>
      </c>
      <c r="K2053" s="11">
        <v>0.33333333333212067</v>
      </c>
      <c r="M2053" s="10" t="s">
        <v>14842</v>
      </c>
      <c r="N2053" s="12">
        <v>46085.3963653588</v>
      </c>
      <c r="O2053" s="10" t="s">
        <v>17858</v>
      </c>
      <c r="P2053" s="5" t="s">
        <v>14571</v>
      </c>
      <c r="Q2053" s="5" t="s">
        <v>14612</v>
      </c>
      <c r="R2053" s="5" t="s">
        <v>19381</v>
      </c>
      <c r="T2053" s="5" t="s">
        <v>5994</v>
      </c>
      <c r="U2053" s="5" t="s">
        <v>14580</v>
      </c>
      <c r="V2053" s="5" t="s">
        <v>7644</v>
      </c>
      <c r="W2053" s="5" t="s">
        <v>12510</v>
      </c>
    </row>
    <row r="2054" spans="1:23" ht="12.5">
      <c r="A2054" s="5">
        <v>92566</v>
      </c>
      <c r="B2054" s="5" t="s">
        <v>19382</v>
      </c>
      <c r="C2054" s="5">
        <v>17862237177</v>
      </c>
      <c r="D2054" s="5">
        <v>37</v>
      </c>
      <c r="E2054" s="5" t="s">
        <v>1696</v>
      </c>
      <c r="F2054" s="5"/>
      <c r="G2054" s="5" t="s">
        <v>12512</v>
      </c>
      <c r="H2054" s="5" t="s">
        <v>12513</v>
      </c>
      <c r="I2054" s="5">
        <v>573108769489</v>
      </c>
      <c r="J2054" s="12">
        <v>46085</v>
      </c>
      <c r="K2054" s="11">
        <v>0</v>
      </c>
      <c r="M2054" s="10" t="s">
        <v>15002</v>
      </c>
      <c r="N2054" s="12">
        <v>46085.411679166667</v>
      </c>
      <c r="O2054" s="10" t="s">
        <v>15758</v>
      </c>
      <c r="P2054" s="5" t="s">
        <v>14571</v>
      </c>
      <c r="Q2054" s="5" t="s">
        <v>14699</v>
      </c>
      <c r="R2054" s="5" t="s">
        <v>19383</v>
      </c>
      <c r="T2054" s="5" t="s">
        <v>5994</v>
      </c>
      <c r="U2054" s="5"/>
      <c r="V2054" s="5" t="s">
        <v>1481</v>
      </c>
      <c r="W2054" s="5"/>
    </row>
    <row r="2055" spans="1:23" ht="12.5">
      <c r="A2055" s="5">
        <v>92567</v>
      </c>
      <c r="B2055" s="5" t="s">
        <v>19384</v>
      </c>
      <c r="C2055" s="5">
        <v>573044192224</v>
      </c>
      <c r="D2055" s="5">
        <v>29</v>
      </c>
      <c r="E2055" s="5" t="s">
        <v>309</v>
      </c>
      <c r="F2055" s="5" t="s">
        <v>154</v>
      </c>
      <c r="G2055" s="5" t="s">
        <v>12394</v>
      </c>
      <c r="H2055" s="5" t="s">
        <v>12395</v>
      </c>
      <c r="I2055" s="5">
        <v>573116079018</v>
      </c>
      <c r="J2055" s="12">
        <v>46085</v>
      </c>
      <c r="K2055" s="11">
        <v>0</v>
      </c>
      <c r="M2055" s="10" t="s">
        <v>19385</v>
      </c>
      <c r="N2055" s="12">
        <v>46084.497394895836</v>
      </c>
      <c r="O2055" s="10" t="s">
        <v>17105</v>
      </c>
      <c r="P2055" s="5" t="s">
        <v>14571</v>
      </c>
      <c r="Q2055" s="5" t="s">
        <v>14572</v>
      </c>
      <c r="R2055" s="5" t="s">
        <v>19386</v>
      </c>
      <c r="T2055" s="5" t="s">
        <v>5994</v>
      </c>
      <c r="U2055" s="5" t="s">
        <v>14593</v>
      </c>
      <c r="V2055" s="5" t="s">
        <v>67</v>
      </c>
      <c r="W2055" s="5"/>
    </row>
    <row r="2056" spans="1:23" ht="12.5">
      <c r="A2056" s="5">
        <v>92568</v>
      </c>
      <c r="B2056" s="5" t="s">
        <v>19387</v>
      </c>
      <c r="C2056" s="5">
        <v>573136726588</v>
      </c>
      <c r="D2056" s="5">
        <v>95</v>
      </c>
      <c r="E2056" s="5" t="s">
        <v>42</v>
      </c>
      <c r="F2056" s="5" t="s">
        <v>1100</v>
      </c>
      <c r="G2056" s="5" t="s">
        <v>12527</v>
      </c>
      <c r="H2056" s="5" t="s">
        <v>12528</v>
      </c>
      <c r="I2056" s="5">
        <v>573136726588</v>
      </c>
      <c r="J2056" s="12">
        <v>46085</v>
      </c>
      <c r="K2056" s="11">
        <v>0</v>
      </c>
      <c r="M2056" s="10" t="s">
        <v>19388</v>
      </c>
      <c r="N2056" s="12">
        <v>46085.459020231487</v>
      </c>
      <c r="O2056" s="10" t="s">
        <v>16700</v>
      </c>
      <c r="P2056" s="5" t="s">
        <v>14571</v>
      </c>
      <c r="Q2056" s="5" t="s">
        <v>14578</v>
      </c>
      <c r="R2056" s="5" t="s">
        <v>19389</v>
      </c>
      <c r="T2056" s="5" t="s">
        <v>5994</v>
      </c>
      <c r="U2056" s="5" t="s">
        <v>14775</v>
      </c>
      <c r="V2056" s="5" t="s">
        <v>1481</v>
      </c>
      <c r="W2056" s="5"/>
    </row>
    <row r="2057" spans="1:23" ht="12.5">
      <c r="A2057" s="5">
        <v>92569</v>
      </c>
      <c r="B2057" s="5" t="s">
        <v>19390</v>
      </c>
      <c r="C2057" s="5">
        <v>573024123750</v>
      </c>
      <c r="D2057" s="5">
        <v>70</v>
      </c>
      <c r="E2057" s="5" t="s">
        <v>12522</v>
      </c>
      <c r="F2057" s="5" t="s">
        <v>12066</v>
      </c>
      <c r="G2057" s="5" t="s">
        <v>12521</v>
      </c>
      <c r="H2057" s="5" t="s">
        <v>12066</v>
      </c>
      <c r="I2057" s="5">
        <v>573024123750</v>
      </c>
      <c r="J2057" s="12">
        <v>46088</v>
      </c>
      <c r="K2057" s="11">
        <v>0</v>
      </c>
      <c r="M2057" s="10" t="s">
        <v>16385</v>
      </c>
      <c r="N2057" s="12">
        <v>46085.451104282409</v>
      </c>
      <c r="O2057" s="10" t="s">
        <v>16593</v>
      </c>
      <c r="P2057" s="5" t="s">
        <v>14571</v>
      </c>
      <c r="Q2057" s="5" t="s">
        <v>17404</v>
      </c>
      <c r="R2057" s="5" t="s">
        <v>19391</v>
      </c>
      <c r="T2057" s="5" t="s">
        <v>14574</v>
      </c>
      <c r="U2057" s="5"/>
      <c r="V2057" s="5" t="s">
        <v>7644</v>
      </c>
      <c r="W2057" s="5" t="s">
        <v>12525</v>
      </c>
    </row>
    <row r="2058" spans="1:23" ht="12.5">
      <c r="A2058" s="5">
        <v>92570</v>
      </c>
      <c r="B2058" s="5" t="s">
        <v>19392</v>
      </c>
      <c r="C2058" s="5">
        <v>573104268528</v>
      </c>
      <c r="D2058" s="5" t="s">
        <v>14589</v>
      </c>
      <c r="E2058" s="5" t="s">
        <v>12537</v>
      </c>
      <c r="F2058" s="5" t="s">
        <v>405</v>
      </c>
      <c r="G2058" s="5" t="s">
        <v>12535</v>
      </c>
      <c r="H2058" s="5" t="s">
        <v>12536</v>
      </c>
      <c r="I2058" s="5">
        <v>573013587133</v>
      </c>
      <c r="J2058" s="12">
        <v>46087</v>
      </c>
      <c r="K2058" s="11">
        <v>0.375</v>
      </c>
      <c r="M2058" s="10" t="s">
        <v>19393</v>
      </c>
      <c r="N2058" s="12">
        <v>46085.465086643519</v>
      </c>
      <c r="O2058" s="10" t="s">
        <v>15079</v>
      </c>
      <c r="P2058" s="5" t="s">
        <v>14571</v>
      </c>
      <c r="Q2058" s="5" t="s">
        <v>14572</v>
      </c>
      <c r="R2058" s="5" t="s">
        <v>19394</v>
      </c>
      <c r="T2058" s="5" t="s">
        <v>5994</v>
      </c>
      <c r="U2058" s="5"/>
      <c r="V2058" s="5" t="s">
        <v>1481</v>
      </c>
      <c r="W2058" s="5" t="s">
        <v>12540</v>
      </c>
    </row>
    <row r="2059" spans="1:23" ht="12.5">
      <c r="A2059" s="5">
        <v>92571</v>
      </c>
      <c r="B2059" s="5" t="s">
        <v>19395</v>
      </c>
      <c r="C2059" s="5">
        <v>57324595475</v>
      </c>
      <c r="D2059" s="5">
        <v>53</v>
      </c>
      <c r="E2059" s="5" t="s">
        <v>12423</v>
      </c>
      <c r="F2059" s="5" t="s">
        <v>1647</v>
      </c>
      <c r="G2059" s="5" t="s">
        <v>12542</v>
      </c>
      <c r="H2059" s="5" t="s">
        <v>12543</v>
      </c>
      <c r="I2059" s="5">
        <v>573245954757</v>
      </c>
      <c r="J2059" s="12">
        <v>46089</v>
      </c>
      <c r="K2059" s="11">
        <v>0.375</v>
      </c>
      <c r="M2059" s="10" t="s">
        <v>15064</v>
      </c>
      <c r="N2059" s="12">
        <v>46085.472738298609</v>
      </c>
      <c r="O2059" s="10" t="s">
        <v>17588</v>
      </c>
      <c r="P2059" s="5" t="s">
        <v>14571</v>
      </c>
      <c r="Q2059" s="5" t="s">
        <v>17404</v>
      </c>
      <c r="R2059" s="5" t="s">
        <v>19396</v>
      </c>
      <c r="T2059" s="5" t="s">
        <v>5994</v>
      </c>
      <c r="U2059" s="5" t="s">
        <v>14580</v>
      </c>
      <c r="V2059" s="5" t="s">
        <v>3754</v>
      </c>
      <c r="W2059" s="5" t="s">
        <v>12545</v>
      </c>
    </row>
    <row r="2060" spans="1:23" ht="12.5">
      <c r="A2060" s="5">
        <v>92572</v>
      </c>
      <c r="B2060" s="5" t="s">
        <v>19397</v>
      </c>
      <c r="C2060" s="5">
        <v>573168263210</v>
      </c>
      <c r="D2060" s="5">
        <v>66</v>
      </c>
      <c r="E2060" s="5" t="s">
        <v>576</v>
      </c>
      <c r="F2060" s="5" t="s">
        <v>12066</v>
      </c>
      <c r="G2060" s="5" t="s">
        <v>12531</v>
      </c>
      <c r="H2060" s="5" t="s">
        <v>12066</v>
      </c>
      <c r="I2060" s="5">
        <v>573168263210</v>
      </c>
      <c r="J2060" s="12">
        <v>46088</v>
      </c>
      <c r="K2060" s="11">
        <v>0</v>
      </c>
      <c r="M2060" s="10" t="s">
        <v>14599</v>
      </c>
      <c r="N2060" s="12">
        <v>46085.464243043985</v>
      </c>
      <c r="O2060" s="10" t="s">
        <v>14756</v>
      </c>
      <c r="P2060" s="5" t="s">
        <v>14571</v>
      </c>
      <c r="Q2060" s="5" t="s">
        <v>14578</v>
      </c>
      <c r="R2060" s="5" t="s">
        <v>19398</v>
      </c>
      <c r="T2060" s="5" t="s">
        <v>14574</v>
      </c>
      <c r="U2060" s="5"/>
      <c r="V2060" s="5" t="s">
        <v>67</v>
      </c>
      <c r="W2060" s="5"/>
    </row>
    <row r="2061" spans="1:23" ht="12.5">
      <c r="A2061" s="5">
        <v>92573</v>
      </c>
      <c r="B2061" s="5" t="s">
        <v>19399</v>
      </c>
      <c r="C2061" s="5">
        <v>573014122835</v>
      </c>
      <c r="D2061" s="5" t="s">
        <v>14589</v>
      </c>
      <c r="E2061" s="5" t="s">
        <v>12549</v>
      </c>
      <c r="F2061" s="5" t="s">
        <v>328</v>
      </c>
      <c r="G2061" s="5" t="s">
        <v>12547</v>
      </c>
      <c r="H2061" s="5" t="s">
        <v>12548</v>
      </c>
      <c r="I2061" s="5">
        <v>573014122835</v>
      </c>
      <c r="J2061" s="12">
        <v>46085</v>
      </c>
      <c r="K2061" s="11">
        <v>0.58333333333212067</v>
      </c>
      <c r="M2061" s="10" t="s">
        <v>15019</v>
      </c>
      <c r="N2061" s="12">
        <v>46085.50347116898</v>
      </c>
      <c r="O2061" s="10" t="s">
        <v>15931</v>
      </c>
      <c r="P2061" s="5" t="s">
        <v>14571</v>
      </c>
      <c r="Q2061" s="5" t="s">
        <v>14612</v>
      </c>
      <c r="R2061" s="5" t="s">
        <v>19400</v>
      </c>
      <c r="T2061" s="5" t="s">
        <v>5994</v>
      </c>
      <c r="U2061" s="5"/>
      <c r="V2061" s="5" t="s">
        <v>1481</v>
      </c>
      <c r="W2061" s="5"/>
    </row>
    <row r="2062" spans="1:23" ht="12.5">
      <c r="A2062" s="5">
        <v>92574</v>
      </c>
      <c r="B2062" s="5" t="s">
        <v>19401</v>
      </c>
      <c r="C2062" s="5">
        <v>573015442537</v>
      </c>
      <c r="D2062" s="5">
        <v>62</v>
      </c>
      <c r="E2062" s="5" t="s">
        <v>12484</v>
      </c>
      <c r="F2062" s="5" t="s">
        <v>185</v>
      </c>
      <c r="G2062" s="5" t="s">
        <v>12515</v>
      </c>
      <c r="H2062" s="5" t="s">
        <v>12516</v>
      </c>
      <c r="I2062" s="5">
        <v>573006995558</v>
      </c>
      <c r="J2062" s="12">
        <v>46086</v>
      </c>
      <c r="K2062" s="11">
        <v>0.375</v>
      </c>
      <c r="M2062" s="10" t="s">
        <v>14853</v>
      </c>
      <c r="N2062" s="12">
        <v>46085.433167291667</v>
      </c>
      <c r="O2062" s="10" t="s">
        <v>17525</v>
      </c>
      <c r="P2062" s="5" t="s">
        <v>14571</v>
      </c>
      <c r="Q2062" s="5" t="s">
        <v>14572</v>
      </c>
      <c r="R2062" s="5" t="s">
        <v>19402</v>
      </c>
      <c r="T2062" s="5" t="s">
        <v>5994</v>
      </c>
      <c r="U2062" s="5" t="s">
        <v>14580</v>
      </c>
      <c r="V2062" s="5" t="s">
        <v>1481</v>
      </c>
      <c r="W2062" s="5"/>
    </row>
    <row r="2063" spans="1:23" ht="12.5">
      <c r="A2063" s="5">
        <v>92575</v>
      </c>
      <c r="B2063" s="5" t="s">
        <v>19401</v>
      </c>
      <c r="C2063" s="5">
        <v>573015442537</v>
      </c>
      <c r="D2063" s="5">
        <v>53</v>
      </c>
      <c r="E2063" s="5" t="s">
        <v>12423</v>
      </c>
      <c r="F2063" s="5"/>
      <c r="G2063" s="5" t="s">
        <v>12518</v>
      </c>
      <c r="H2063" s="5" t="s">
        <v>12519</v>
      </c>
      <c r="I2063" s="5">
        <v>573006995558</v>
      </c>
      <c r="J2063" s="12">
        <v>46086</v>
      </c>
      <c r="K2063" s="11">
        <v>0.375</v>
      </c>
      <c r="M2063" s="10" t="s">
        <v>15043</v>
      </c>
      <c r="N2063" s="12">
        <v>46085.4345831713</v>
      </c>
      <c r="O2063" s="10" t="s">
        <v>16726</v>
      </c>
      <c r="P2063" s="5" t="s">
        <v>14571</v>
      </c>
      <c r="Q2063" s="5" t="s">
        <v>14578</v>
      </c>
      <c r="R2063" s="5" t="s">
        <v>19403</v>
      </c>
      <c r="T2063" s="5" t="s">
        <v>5994</v>
      </c>
      <c r="U2063" s="5"/>
      <c r="V2063" s="5" t="s">
        <v>1705</v>
      </c>
      <c r="W2063" s="5"/>
    </row>
    <row r="2064" spans="1:23" ht="12.5">
      <c r="A2064" s="5">
        <v>92576</v>
      </c>
      <c r="B2064" s="5" t="s">
        <v>19404</v>
      </c>
      <c r="C2064" s="10" t="s">
        <v>19405</v>
      </c>
      <c r="D2064" s="5" t="s">
        <v>19406</v>
      </c>
      <c r="E2064" s="5" t="s">
        <v>12566</v>
      </c>
      <c r="F2064" s="5" t="s">
        <v>63</v>
      </c>
      <c r="G2064" s="5" t="s">
        <v>12564</v>
      </c>
      <c r="H2064" s="5" t="s">
        <v>12565</v>
      </c>
      <c r="I2064" s="5">
        <v>573106143856</v>
      </c>
      <c r="J2064" s="12">
        <v>46089</v>
      </c>
      <c r="K2064" s="11">
        <v>0</v>
      </c>
      <c r="M2064" s="10" t="s">
        <v>18312</v>
      </c>
      <c r="N2064" s="12">
        <v>46085</v>
      </c>
      <c r="O2064" s="10" t="s">
        <v>17785</v>
      </c>
      <c r="P2064" s="5" t="s">
        <v>14571</v>
      </c>
      <c r="Q2064" s="5" t="s">
        <v>17423</v>
      </c>
      <c r="R2064" s="5" t="s">
        <v>19407</v>
      </c>
      <c r="T2064" s="5" t="s">
        <v>5994</v>
      </c>
      <c r="U2064" s="5" t="s">
        <v>14598</v>
      </c>
      <c r="V2064" s="5" t="s">
        <v>1937</v>
      </c>
      <c r="W2064" s="5" t="s">
        <v>12545</v>
      </c>
    </row>
    <row r="2065" spans="1:23" ht="12.5">
      <c r="A2065" s="5">
        <v>92577</v>
      </c>
      <c r="B2065" s="5" t="s">
        <v>19408</v>
      </c>
      <c r="C2065" s="5">
        <v>573015266031</v>
      </c>
      <c r="D2065" s="5">
        <v>27</v>
      </c>
      <c r="E2065" s="5" t="s">
        <v>12553</v>
      </c>
      <c r="F2065" s="5"/>
      <c r="G2065" s="5" t="s">
        <v>2468</v>
      </c>
      <c r="H2065" s="10" t="s">
        <v>3001</v>
      </c>
      <c r="I2065" s="5">
        <v>573015266031</v>
      </c>
      <c r="J2065" s="12">
        <v>46087</v>
      </c>
      <c r="K2065" s="11">
        <v>0.33333333333212067</v>
      </c>
      <c r="M2065" s="10" t="s">
        <v>15480</v>
      </c>
      <c r="N2065" s="12">
        <v>46085.509326134255</v>
      </c>
      <c r="O2065" s="10" t="s">
        <v>15633</v>
      </c>
      <c r="P2065" s="5" t="s">
        <v>14571</v>
      </c>
      <c r="Q2065" s="5" t="s">
        <v>14578</v>
      </c>
      <c r="R2065" s="5" t="s">
        <v>19409</v>
      </c>
      <c r="T2065" s="5" t="s">
        <v>5994</v>
      </c>
      <c r="U2065" s="5"/>
      <c r="V2065" s="5" t="s">
        <v>7644</v>
      </c>
      <c r="W2065" s="5" t="s">
        <v>12556</v>
      </c>
    </row>
    <row r="2066" spans="1:23" ht="12.5">
      <c r="A2066" s="5">
        <v>92578</v>
      </c>
      <c r="B2066" s="5" t="s">
        <v>19410</v>
      </c>
      <c r="C2066" s="5">
        <v>573155868116</v>
      </c>
      <c r="D2066" s="5">
        <v>52</v>
      </c>
      <c r="E2066" s="5" t="s">
        <v>12496</v>
      </c>
      <c r="F2066" s="5" t="s">
        <v>63</v>
      </c>
      <c r="G2066" s="5" t="s">
        <v>12558</v>
      </c>
      <c r="H2066" s="5" t="s">
        <v>12559</v>
      </c>
      <c r="I2066" s="5">
        <v>573146682490</v>
      </c>
      <c r="J2066" s="12">
        <v>46089</v>
      </c>
      <c r="K2066" s="11">
        <v>0.33333333333212067</v>
      </c>
      <c r="M2066" s="10" t="s">
        <v>15157</v>
      </c>
      <c r="N2066" s="12">
        <v>46085.576585567134</v>
      </c>
      <c r="O2066" s="10" t="s">
        <v>17141</v>
      </c>
      <c r="P2066" s="5" t="s">
        <v>14571</v>
      </c>
      <c r="Q2066" s="5" t="s">
        <v>16907</v>
      </c>
      <c r="R2066" s="5" t="s">
        <v>19411</v>
      </c>
      <c r="T2066" s="5" t="s">
        <v>5994</v>
      </c>
      <c r="U2066" s="5" t="s">
        <v>14598</v>
      </c>
      <c r="V2066" s="5" t="s">
        <v>7644</v>
      </c>
      <c r="W2066" s="5" t="s">
        <v>12562</v>
      </c>
    </row>
    <row r="2067" spans="1:23" ht="12.5">
      <c r="A2067" s="5">
        <v>92579</v>
      </c>
      <c r="B2067" s="5" t="s">
        <v>19412</v>
      </c>
      <c r="C2067" s="10" t="s">
        <v>19413</v>
      </c>
      <c r="D2067" s="5">
        <v>71</v>
      </c>
      <c r="E2067" s="5" t="s">
        <v>734</v>
      </c>
      <c r="F2067" s="5" t="s">
        <v>103</v>
      </c>
      <c r="G2067" s="5" t="s">
        <v>12568</v>
      </c>
      <c r="H2067" s="5" t="s">
        <v>12569</v>
      </c>
      <c r="I2067" s="5">
        <v>573017542841</v>
      </c>
      <c r="J2067" s="12">
        <v>46085</v>
      </c>
      <c r="K2067" s="11">
        <v>0.58333333333333337</v>
      </c>
      <c r="M2067" s="10" t="s">
        <v>14653</v>
      </c>
      <c r="N2067" s="12">
        <v>46085</v>
      </c>
      <c r="O2067" s="10" t="s">
        <v>15797</v>
      </c>
      <c r="P2067" s="5" t="s">
        <v>14571</v>
      </c>
      <c r="Q2067" s="5" t="s">
        <v>14699</v>
      </c>
      <c r="R2067" s="5" t="s">
        <v>19414</v>
      </c>
      <c r="T2067" s="5" t="s">
        <v>5994</v>
      </c>
      <c r="U2067" s="5" t="s">
        <v>14593</v>
      </c>
      <c r="V2067" s="5" t="s">
        <v>1481</v>
      </c>
      <c r="W2067" s="5"/>
    </row>
    <row r="2068" spans="1:23" ht="12.5">
      <c r="A2068" s="5">
        <v>92580</v>
      </c>
      <c r="B2068" s="5" t="s">
        <v>19408</v>
      </c>
      <c r="C2068" s="5">
        <v>573015266031</v>
      </c>
      <c r="D2068" s="5">
        <v>27</v>
      </c>
      <c r="E2068" s="5" t="s">
        <v>12571</v>
      </c>
      <c r="F2068" s="5" t="s">
        <v>12066</v>
      </c>
      <c r="G2068" s="5" t="s">
        <v>12552</v>
      </c>
      <c r="H2068" s="5" t="s">
        <v>12066</v>
      </c>
      <c r="I2068" s="5">
        <v>573015266031</v>
      </c>
      <c r="J2068" s="12">
        <v>46087</v>
      </c>
      <c r="K2068" s="11">
        <v>0.33333333333212067</v>
      </c>
      <c r="M2068" s="10" t="s">
        <v>14599</v>
      </c>
      <c r="N2068" s="12">
        <v>46085.609760416672</v>
      </c>
      <c r="O2068" s="10" t="s">
        <v>19415</v>
      </c>
      <c r="P2068" s="5" t="s">
        <v>14571</v>
      </c>
      <c r="Q2068" s="5" t="s">
        <v>14612</v>
      </c>
      <c r="R2068" s="5" t="s">
        <v>19416</v>
      </c>
      <c r="T2068" s="5" t="s">
        <v>14574</v>
      </c>
      <c r="U2068" s="5"/>
      <c r="V2068" s="5" t="s">
        <v>1705</v>
      </c>
      <c r="W2068" s="5"/>
    </row>
    <row r="2069" spans="1:23" ht="12.5">
      <c r="A2069" s="5">
        <v>92581</v>
      </c>
      <c r="B2069" s="5" t="s">
        <v>19417</v>
      </c>
      <c r="C2069" s="10" t="s">
        <v>19418</v>
      </c>
      <c r="D2069" s="5">
        <v>23</v>
      </c>
      <c r="E2069" s="5" t="s">
        <v>50</v>
      </c>
      <c r="F2069" s="5" t="s">
        <v>1317</v>
      </c>
      <c r="G2069" s="5" t="s">
        <v>19419</v>
      </c>
      <c r="H2069" s="5" t="s">
        <v>12574</v>
      </c>
      <c r="I2069" s="5">
        <v>573206804890</v>
      </c>
      <c r="J2069" s="12">
        <v>46086</v>
      </c>
      <c r="K2069" s="11">
        <v>0.625</v>
      </c>
      <c r="M2069" s="10" t="s">
        <v>16312</v>
      </c>
      <c r="N2069" s="12">
        <v>46085</v>
      </c>
      <c r="O2069" s="10" t="s">
        <v>17329</v>
      </c>
      <c r="P2069" s="5" t="s">
        <v>14571</v>
      </c>
      <c r="Q2069" s="5" t="s">
        <v>14612</v>
      </c>
      <c r="R2069" s="5" t="s">
        <v>19420</v>
      </c>
      <c r="T2069" s="5" t="s">
        <v>5994</v>
      </c>
      <c r="U2069" s="5" t="s">
        <v>15349</v>
      </c>
      <c r="V2069" s="5" t="s">
        <v>67</v>
      </c>
      <c r="W2069" s="5"/>
    </row>
    <row r="2070" spans="1:23" ht="12.5">
      <c r="A2070" s="5">
        <v>92582</v>
      </c>
      <c r="B2070" s="5" t="s">
        <v>19421</v>
      </c>
      <c r="C2070" s="5">
        <v>573003346799</v>
      </c>
      <c r="D2070" s="5">
        <v>28</v>
      </c>
      <c r="E2070" s="5" t="s">
        <v>435</v>
      </c>
      <c r="F2070" s="5" t="s">
        <v>110</v>
      </c>
      <c r="G2070" s="5" t="s">
        <v>12578</v>
      </c>
      <c r="H2070" s="5" t="s">
        <v>12579</v>
      </c>
      <c r="I2070" s="5">
        <v>573003907043</v>
      </c>
      <c r="J2070" s="12">
        <v>46085</v>
      </c>
      <c r="K2070" s="11">
        <v>0.625</v>
      </c>
      <c r="M2070" s="10" t="s">
        <v>19015</v>
      </c>
      <c r="N2070" s="12">
        <v>46085.615345104168</v>
      </c>
      <c r="O2070" s="10" t="s">
        <v>18505</v>
      </c>
      <c r="P2070" s="5" t="s">
        <v>14571</v>
      </c>
      <c r="Q2070" s="5" t="s">
        <v>14572</v>
      </c>
      <c r="R2070" s="5" t="s">
        <v>19422</v>
      </c>
      <c r="T2070" s="5" t="s">
        <v>5994</v>
      </c>
      <c r="U2070" s="5" t="s">
        <v>14593</v>
      </c>
      <c r="V2070" s="5" t="s">
        <v>67</v>
      </c>
      <c r="W2070" s="5" t="s">
        <v>12582</v>
      </c>
    </row>
    <row r="2071" spans="1:23" ht="12.5">
      <c r="A2071" s="5">
        <v>92583</v>
      </c>
      <c r="B2071" s="5" t="s">
        <v>19423</v>
      </c>
      <c r="C2071" s="10" t="s">
        <v>19424</v>
      </c>
      <c r="D2071" s="5">
        <v>31</v>
      </c>
      <c r="E2071" s="5" t="s">
        <v>375</v>
      </c>
      <c r="F2071" s="5" t="s">
        <v>265</v>
      </c>
      <c r="G2071" s="5" t="s">
        <v>12584</v>
      </c>
      <c r="H2071" s="5" t="s">
        <v>12585</v>
      </c>
      <c r="I2071" s="5">
        <v>573012068473</v>
      </c>
      <c r="J2071" s="12">
        <v>46089</v>
      </c>
      <c r="K2071" s="11">
        <v>0.625</v>
      </c>
      <c r="M2071" s="10" t="s">
        <v>15525</v>
      </c>
      <c r="N2071" s="12">
        <v>46085</v>
      </c>
      <c r="O2071" s="10" t="s">
        <v>15453</v>
      </c>
      <c r="P2071" s="5" t="s">
        <v>14571</v>
      </c>
      <c r="Q2071" s="5" t="s">
        <v>17688</v>
      </c>
      <c r="R2071" s="5" t="s">
        <v>19425</v>
      </c>
      <c r="T2071" s="5" t="s">
        <v>5994</v>
      </c>
      <c r="U2071" s="5" t="s">
        <v>14691</v>
      </c>
      <c r="V2071" s="5" t="s">
        <v>7644</v>
      </c>
      <c r="W2071" s="5"/>
    </row>
    <row r="2072" spans="1:23" ht="12.5">
      <c r="A2072" s="5">
        <v>92584</v>
      </c>
      <c r="B2072" s="5" t="s">
        <v>19426</v>
      </c>
      <c r="C2072" s="10" t="s">
        <v>19427</v>
      </c>
      <c r="D2072" s="5">
        <v>48</v>
      </c>
      <c r="E2072" s="5" t="s">
        <v>613</v>
      </c>
      <c r="F2072" s="5" t="s">
        <v>161</v>
      </c>
      <c r="G2072" s="5" t="s">
        <v>12589</v>
      </c>
      <c r="H2072" s="5" t="s">
        <v>12590</v>
      </c>
      <c r="I2072" s="5"/>
      <c r="J2072" s="12">
        <v>46086</v>
      </c>
      <c r="K2072" s="11">
        <v>0.375</v>
      </c>
      <c r="M2072" s="10" t="s">
        <v>18987</v>
      </c>
      <c r="N2072" s="12">
        <v>46085</v>
      </c>
      <c r="O2072" s="10" t="s">
        <v>15382</v>
      </c>
      <c r="P2072" s="5" t="s">
        <v>14571</v>
      </c>
      <c r="Q2072" s="5" t="s">
        <v>14699</v>
      </c>
      <c r="R2072" s="5" t="s">
        <v>19428</v>
      </c>
      <c r="T2072" s="5" t="s">
        <v>5994</v>
      </c>
      <c r="U2072" s="5" t="s">
        <v>14593</v>
      </c>
      <c r="V2072" s="5" t="s">
        <v>1705</v>
      </c>
      <c r="W2072" s="5"/>
    </row>
    <row r="2073" spans="1:23" ht="12.5">
      <c r="A2073" s="5">
        <v>92585</v>
      </c>
      <c r="B2073" s="5" t="s">
        <v>19429</v>
      </c>
      <c r="C2073" s="10" t="s">
        <v>19430</v>
      </c>
      <c r="D2073" s="5">
        <v>95</v>
      </c>
      <c r="E2073" s="5" t="s">
        <v>42</v>
      </c>
      <c r="F2073" s="5"/>
      <c r="G2073" s="5" t="s">
        <v>12601</v>
      </c>
      <c r="H2073" s="5" t="s">
        <v>12602</v>
      </c>
      <c r="I2073" s="5"/>
      <c r="J2073" s="12">
        <v>46085</v>
      </c>
      <c r="K2073" s="11">
        <v>0</v>
      </c>
      <c r="M2073" s="10" t="s">
        <v>14646</v>
      </c>
      <c r="N2073" s="12">
        <v>46085</v>
      </c>
      <c r="O2073" s="10" t="s">
        <v>15365</v>
      </c>
      <c r="P2073" s="5" t="s">
        <v>14571</v>
      </c>
      <c r="Q2073" s="5" t="s">
        <v>14578</v>
      </c>
      <c r="R2073" s="5" t="s">
        <v>19431</v>
      </c>
      <c r="T2073" s="5" t="s">
        <v>5994</v>
      </c>
      <c r="U2073" s="5"/>
      <c r="V2073" s="5" t="s">
        <v>1705</v>
      </c>
      <c r="W2073" s="5"/>
    </row>
    <row r="2074" spans="1:23" ht="12.5">
      <c r="A2074" s="5">
        <v>92586</v>
      </c>
      <c r="B2074" s="5" t="s">
        <v>19191</v>
      </c>
      <c r="C2074" s="10" t="s">
        <v>19432</v>
      </c>
      <c r="D2074" s="5">
        <v>18</v>
      </c>
      <c r="E2074" s="5" t="s">
        <v>370</v>
      </c>
      <c r="F2074" s="5" t="s">
        <v>2090</v>
      </c>
      <c r="G2074" s="5" t="s">
        <v>12597</v>
      </c>
      <c r="H2074" s="5" t="s">
        <v>12168</v>
      </c>
      <c r="I2074" s="5">
        <v>573045995876</v>
      </c>
      <c r="J2074" s="12">
        <v>46085</v>
      </c>
      <c r="K2074" s="11">
        <v>0.70833333333333337</v>
      </c>
      <c r="M2074" s="10" t="s">
        <v>14910</v>
      </c>
      <c r="N2074" s="12">
        <v>46085</v>
      </c>
      <c r="O2074" s="10" t="s">
        <v>14811</v>
      </c>
      <c r="P2074" s="5" t="s">
        <v>14571</v>
      </c>
      <c r="Q2074" s="5" t="s">
        <v>14612</v>
      </c>
      <c r="R2074" s="5" t="s">
        <v>19433</v>
      </c>
      <c r="T2074" s="5" t="s">
        <v>5994</v>
      </c>
      <c r="U2074" s="5" t="s">
        <v>14618</v>
      </c>
      <c r="V2074" s="5" t="s">
        <v>180</v>
      </c>
      <c r="W2074" s="5"/>
    </row>
    <row r="2075" spans="1:23" ht="12.5">
      <c r="A2075" s="5">
        <v>92587</v>
      </c>
      <c r="B2075" s="5" t="s">
        <v>19434</v>
      </c>
      <c r="C2075" s="5">
        <v>573043765552</v>
      </c>
      <c r="D2075" s="5">
        <v>95</v>
      </c>
      <c r="E2075" s="5" t="s">
        <v>42</v>
      </c>
      <c r="F2075" s="5" t="s">
        <v>12066</v>
      </c>
      <c r="G2075" s="5" t="s">
        <v>12606</v>
      </c>
      <c r="H2075" s="5" t="s">
        <v>12066</v>
      </c>
      <c r="I2075" s="5">
        <v>573043765552</v>
      </c>
      <c r="J2075" s="12">
        <v>46090</v>
      </c>
      <c r="K2075" s="11">
        <v>0.29166666666787933</v>
      </c>
      <c r="M2075" s="10" t="s">
        <v>18722</v>
      </c>
      <c r="N2075" s="12">
        <v>46085.688311168982</v>
      </c>
      <c r="O2075" s="10" t="s">
        <v>16611</v>
      </c>
      <c r="P2075" s="5" t="s">
        <v>14571</v>
      </c>
      <c r="Q2075" s="5" t="s">
        <v>14572</v>
      </c>
      <c r="R2075" s="5" t="s">
        <v>19435</v>
      </c>
      <c r="T2075" s="5" t="s">
        <v>14574</v>
      </c>
      <c r="U2075" s="5"/>
      <c r="V2075" s="5" t="s">
        <v>7644</v>
      </c>
      <c r="W2075" s="5" t="s">
        <v>12610</v>
      </c>
    </row>
    <row r="2076" spans="1:23" ht="12.5">
      <c r="A2076" s="5">
        <v>92588</v>
      </c>
      <c r="B2076" s="5" t="s">
        <v>9474</v>
      </c>
      <c r="C2076" s="5">
        <v>573007175473</v>
      </c>
      <c r="D2076" s="5">
        <v>52</v>
      </c>
      <c r="E2076" s="5" t="s">
        <v>12496</v>
      </c>
      <c r="F2076" s="5" t="s">
        <v>63</v>
      </c>
      <c r="G2076" s="5" t="s">
        <v>4116</v>
      </c>
      <c r="H2076" s="5" t="s">
        <v>12604</v>
      </c>
      <c r="I2076" s="5"/>
      <c r="J2076" s="12">
        <v>46087</v>
      </c>
      <c r="K2076" s="11">
        <v>0.33333333333212067</v>
      </c>
      <c r="M2076" s="10" t="s">
        <v>15157</v>
      </c>
      <c r="N2076" s="12">
        <v>46085.686631377313</v>
      </c>
      <c r="O2076" s="10" t="s">
        <v>15223</v>
      </c>
      <c r="P2076" s="5" t="s">
        <v>14571</v>
      </c>
      <c r="Q2076" s="5" t="s">
        <v>14699</v>
      </c>
      <c r="R2076" s="5" t="s">
        <v>19436</v>
      </c>
      <c r="T2076" s="5" t="s">
        <v>5994</v>
      </c>
      <c r="U2076" s="5" t="s">
        <v>14598</v>
      </c>
      <c r="V2076" s="5" t="s">
        <v>180</v>
      </c>
      <c r="W2076" s="5"/>
    </row>
    <row r="2077" spans="1:23" ht="12.5">
      <c r="A2077" s="5">
        <v>92590</v>
      </c>
      <c r="B2077" s="5" t="s">
        <v>19437</v>
      </c>
      <c r="C2077" s="10" t="s">
        <v>19438</v>
      </c>
      <c r="D2077" s="5">
        <v>70</v>
      </c>
      <c r="E2077" s="5" t="s">
        <v>12522</v>
      </c>
      <c r="F2077" s="5" t="s">
        <v>103</v>
      </c>
      <c r="G2077" s="5" t="s">
        <v>12592</v>
      </c>
      <c r="H2077" s="5" t="s">
        <v>12593</v>
      </c>
      <c r="I2077" s="5">
        <v>573043796453</v>
      </c>
      <c r="J2077" s="12">
        <v>46089</v>
      </c>
      <c r="K2077" s="11">
        <v>0.33333333333333331</v>
      </c>
      <c r="M2077" s="10" t="s">
        <v>14653</v>
      </c>
      <c r="N2077" s="12">
        <v>46085</v>
      </c>
      <c r="O2077" s="10" t="s">
        <v>17078</v>
      </c>
      <c r="P2077" s="5" t="s">
        <v>14571</v>
      </c>
      <c r="Q2077" s="5" t="s">
        <v>17688</v>
      </c>
      <c r="R2077" s="5" t="s">
        <v>19439</v>
      </c>
      <c r="T2077" s="5" t="s">
        <v>5994</v>
      </c>
      <c r="U2077" s="5" t="s">
        <v>14593</v>
      </c>
      <c r="V2077" s="5" t="s">
        <v>7644</v>
      </c>
      <c r="W2077" s="5" t="s">
        <v>12596</v>
      </c>
    </row>
    <row r="2078" spans="1:23" ht="12.5">
      <c r="A2078" s="5">
        <v>92591</v>
      </c>
      <c r="B2078" s="5" t="s">
        <v>19440</v>
      </c>
      <c r="C2078" s="5">
        <v>573215104708</v>
      </c>
      <c r="D2078" s="5" t="s">
        <v>14589</v>
      </c>
      <c r="E2078" s="5" t="s">
        <v>12626</v>
      </c>
      <c r="F2078" s="5" t="s">
        <v>185</v>
      </c>
      <c r="G2078" s="5" t="s">
        <v>12624</v>
      </c>
      <c r="H2078" s="5" t="s">
        <v>12625</v>
      </c>
      <c r="I2078" s="5"/>
      <c r="J2078" s="12">
        <v>46087</v>
      </c>
      <c r="K2078" s="11">
        <v>0.58333333333212067</v>
      </c>
      <c r="M2078" s="10" t="s">
        <v>16192</v>
      </c>
      <c r="N2078" s="12">
        <v>46085.717969085643</v>
      </c>
      <c r="O2078" s="10" t="s">
        <v>19441</v>
      </c>
      <c r="P2078" s="5" t="s">
        <v>14571</v>
      </c>
      <c r="Q2078" s="5" t="s">
        <v>16907</v>
      </c>
      <c r="R2078" s="5" t="s">
        <v>19442</v>
      </c>
      <c r="T2078" s="5" t="s">
        <v>5994</v>
      </c>
      <c r="U2078" s="5" t="s">
        <v>14580</v>
      </c>
      <c r="V2078" s="5" t="s">
        <v>67</v>
      </c>
      <c r="W2078" s="5" t="s">
        <v>12628</v>
      </c>
    </row>
    <row r="2079" spans="1:23" ht="12.5">
      <c r="A2079" s="5">
        <v>92592</v>
      </c>
      <c r="B2079" s="5" t="s">
        <v>19443</v>
      </c>
      <c r="C2079" s="10" t="s">
        <v>19444</v>
      </c>
      <c r="D2079" s="5">
        <v>29</v>
      </c>
      <c r="E2079" s="5" t="s">
        <v>12406</v>
      </c>
      <c r="F2079" s="5" t="s">
        <v>103</v>
      </c>
      <c r="G2079" s="5" t="s">
        <v>19445</v>
      </c>
      <c r="H2079" s="5" t="s">
        <v>12615</v>
      </c>
      <c r="I2079" s="5">
        <v>573239509132</v>
      </c>
      <c r="J2079" s="12">
        <v>46089</v>
      </c>
      <c r="K2079" s="11">
        <v>0.33333333333333331</v>
      </c>
      <c r="M2079" s="10" t="s">
        <v>14705</v>
      </c>
      <c r="N2079" s="12">
        <v>46085</v>
      </c>
      <c r="O2079" s="10" t="s">
        <v>15350</v>
      </c>
      <c r="P2079" s="5" t="s">
        <v>14571</v>
      </c>
      <c r="Q2079" s="5" t="s">
        <v>17990</v>
      </c>
      <c r="R2079" s="5" t="s">
        <v>19446</v>
      </c>
      <c r="T2079" s="5" t="s">
        <v>5994</v>
      </c>
      <c r="U2079" s="5" t="s">
        <v>14593</v>
      </c>
      <c r="V2079" s="5" t="s">
        <v>7644</v>
      </c>
      <c r="W2079" s="5"/>
    </row>
    <row r="2080" spans="1:23" ht="12.5">
      <c r="A2080" s="5">
        <v>92593</v>
      </c>
      <c r="B2080" s="5" t="s">
        <v>19447</v>
      </c>
      <c r="C2080" s="5">
        <v>573112024333</v>
      </c>
      <c r="D2080" s="5">
        <v>12</v>
      </c>
      <c r="E2080" s="5" t="s">
        <v>239</v>
      </c>
      <c r="F2080" s="5" t="s">
        <v>328</v>
      </c>
      <c r="G2080" s="5" t="s">
        <v>12630</v>
      </c>
      <c r="H2080" s="5" t="s">
        <v>12631</v>
      </c>
      <c r="I2080" s="5">
        <v>573004176998</v>
      </c>
      <c r="J2080" s="12">
        <v>46086</v>
      </c>
      <c r="K2080" s="11">
        <v>0.33333333333212067</v>
      </c>
      <c r="M2080" s="10" t="s">
        <v>19448</v>
      </c>
      <c r="N2080" s="12">
        <v>46085.720489328705</v>
      </c>
      <c r="O2080" s="10" t="s">
        <v>17979</v>
      </c>
      <c r="P2080" s="5" t="s">
        <v>14571</v>
      </c>
      <c r="Q2080" s="5" t="s">
        <v>14572</v>
      </c>
      <c r="R2080" s="5" t="s">
        <v>19449</v>
      </c>
      <c r="T2080" s="5" t="s">
        <v>5994</v>
      </c>
      <c r="U2080" s="5"/>
      <c r="V2080" s="5" t="s">
        <v>67</v>
      </c>
      <c r="W2080" s="5"/>
    </row>
    <row r="2081" spans="1:23" ht="12.5">
      <c r="A2081" s="5">
        <v>92594</v>
      </c>
      <c r="B2081" s="5" t="s">
        <v>19450</v>
      </c>
      <c r="C2081" s="5">
        <v>573014232454</v>
      </c>
      <c r="D2081" s="5">
        <v>31</v>
      </c>
      <c r="E2081" s="5" t="s">
        <v>375</v>
      </c>
      <c r="F2081" s="5" t="s">
        <v>7476</v>
      </c>
      <c r="G2081" s="5" t="s">
        <v>12611</v>
      </c>
      <c r="H2081" s="5" t="s">
        <v>12066</v>
      </c>
      <c r="I2081" s="5">
        <v>573014232454</v>
      </c>
      <c r="J2081" s="12">
        <v>46088</v>
      </c>
      <c r="K2081" s="11">
        <v>0.54166666666787933</v>
      </c>
      <c r="M2081" s="10" t="s">
        <v>15525</v>
      </c>
      <c r="N2081" s="12">
        <v>46085.69805796296</v>
      </c>
      <c r="O2081" s="10" t="s">
        <v>16492</v>
      </c>
      <c r="P2081" s="5" t="s">
        <v>14571</v>
      </c>
      <c r="Q2081" s="5" t="s">
        <v>17688</v>
      </c>
      <c r="R2081" s="5" t="s">
        <v>19451</v>
      </c>
      <c r="T2081" s="5" t="s">
        <v>5994</v>
      </c>
      <c r="U2081" s="5" t="s">
        <v>15349</v>
      </c>
      <c r="V2081" s="5" t="s">
        <v>1937</v>
      </c>
      <c r="W2081" s="5"/>
    </row>
    <row r="2082" spans="1:23" ht="12.5">
      <c r="A2082" s="5">
        <v>92595</v>
      </c>
      <c r="B2082" s="5" t="s">
        <v>19452</v>
      </c>
      <c r="C2082" s="10" t="s">
        <v>19453</v>
      </c>
      <c r="D2082" s="5">
        <v>96</v>
      </c>
      <c r="E2082" s="5" t="s">
        <v>12651</v>
      </c>
      <c r="F2082" s="5" t="s">
        <v>161</v>
      </c>
      <c r="G2082" s="5" t="s">
        <v>19454</v>
      </c>
      <c r="H2082" s="5" t="s">
        <v>12650</v>
      </c>
      <c r="I2082" s="5">
        <v>573013640035</v>
      </c>
      <c r="J2082" s="12">
        <v>46088</v>
      </c>
      <c r="K2082" s="11">
        <v>0.33333333333333331</v>
      </c>
      <c r="M2082" s="10" t="s">
        <v>16192</v>
      </c>
      <c r="N2082" s="12">
        <v>46085</v>
      </c>
      <c r="O2082" s="10" t="s">
        <v>16164</v>
      </c>
      <c r="P2082" s="5" t="s">
        <v>14571</v>
      </c>
      <c r="Q2082" s="5" t="s">
        <v>14578</v>
      </c>
      <c r="R2082" s="5" t="s">
        <v>19455</v>
      </c>
      <c r="T2082" s="5" t="s">
        <v>5994</v>
      </c>
      <c r="U2082" s="5" t="s">
        <v>14593</v>
      </c>
      <c r="V2082" s="5" t="s">
        <v>7644</v>
      </c>
      <c r="W2082" s="5"/>
    </row>
    <row r="2083" spans="1:23" ht="12.5">
      <c r="A2083" s="5">
        <v>92596</v>
      </c>
      <c r="B2083" s="5" t="s">
        <v>1930</v>
      </c>
      <c r="C2083" s="5">
        <v>573003242193</v>
      </c>
      <c r="D2083" s="5">
        <v>28</v>
      </c>
      <c r="E2083" s="5" t="s">
        <v>435</v>
      </c>
      <c r="F2083" s="5" t="s">
        <v>185</v>
      </c>
      <c r="G2083" s="5" t="s">
        <v>12654</v>
      </c>
      <c r="H2083" s="5" t="s">
        <v>12655</v>
      </c>
      <c r="I2083" s="5"/>
      <c r="J2083" s="12">
        <v>46085</v>
      </c>
      <c r="K2083" s="11">
        <v>0</v>
      </c>
      <c r="M2083" s="10" t="s">
        <v>15674</v>
      </c>
      <c r="N2083" s="12">
        <v>46085.77431695602</v>
      </c>
      <c r="O2083" s="10" t="s">
        <v>19456</v>
      </c>
      <c r="P2083" s="5" t="s">
        <v>14571</v>
      </c>
      <c r="Q2083" s="5" t="s">
        <v>14578</v>
      </c>
      <c r="R2083" s="5" t="s">
        <v>19457</v>
      </c>
      <c r="T2083" s="5" t="s">
        <v>5994</v>
      </c>
      <c r="U2083" s="5" t="s">
        <v>14580</v>
      </c>
      <c r="V2083" s="5" t="s">
        <v>67</v>
      </c>
      <c r="W2083" s="5"/>
    </row>
    <row r="2084" spans="1:23" ht="12.5">
      <c r="A2084" s="5">
        <v>92597</v>
      </c>
      <c r="B2084" s="5" t="s">
        <v>19458</v>
      </c>
      <c r="C2084" s="10" t="s">
        <v>19459</v>
      </c>
      <c r="D2084" s="5">
        <v>95</v>
      </c>
      <c r="E2084" s="5" t="s">
        <v>42</v>
      </c>
      <c r="F2084" s="5" t="s">
        <v>12657</v>
      </c>
      <c r="G2084" s="5" t="s">
        <v>12658</v>
      </c>
      <c r="H2084" s="5" t="s">
        <v>12657</v>
      </c>
      <c r="I2084" s="5">
        <v>573002145559</v>
      </c>
      <c r="J2084" s="12">
        <v>46085</v>
      </c>
      <c r="K2084" s="11">
        <v>0.75</v>
      </c>
      <c r="M2084" s="10" t="s">
        <v>14873</v>
      </c>
      <c r="N2084" s="12">
        <v>46085</v>
      </c>
      <c r="O2084" s="10" t="s">
        <v>19460</v>
      </c>
      <c r="P2084" s="5" t="s">
        <v>14571</v>
      </c>
      <c r="Q2084" s="5" t="s">
        <v>14612</v>
      </c>
      <c r="R2084" s="5" t="s">
        <v>19461</v>
      </c>
      <c r="T2084" s="5" t="s">
        <v>5994</v>
      </c>
      <c r="U2084" s="5"/>
      <c r="V2084" s="5" t="s">
        <v>196</v>
      </c>
      <c r="W2084" s="5" t="s">
        <v>525</v>
      </c>
    </row>
    <row r="2085" spans="1:23" ht="12.5">
      <c r="A2085" s="5">
        <v>92598</v>
      </c>
      <c r="B2085" s="5" t="s">
        <v>19462</v>
      </c>
      <c r="C2085" s="5">
        <v>573012354673</v>
      </c>
      <c r="D2085" s="5">
        <v>95</v>
      </c>
      <c r="E2085" s="5" t="s">
        <v>42</v>
      </c>
      <c r="F2085" s="5" t="s">
        <v>12657</v>
      </c>
      <c r="G2085" s="5" t="s">
        <v>12656</v>
      </c>
      <c r="H2085" s="5" t="s">
        <v>12657</v>
      </c>
      <c r="I2085" s="5">
        <v>573012354673</v>
      </c>
      <c r="J2085" s="12">
        <v>46085</v>
      </c>
      <c r="K2085" s="11">
        <v>0.75</v>
      </c>
      <c r="M2085" s="10" t="s">
        <v>19463</v>
      </c>
      <c r="N2085" s="12">
        <v>46085.793892986112</v>
      </c>
      <c r="O2085" s="10" t="s">
        <v>19464</v>
      </c>
      <c r="P2085" s="5" t="s">
        <v>14571</v>
      </c>
      <c r="Q2085" s="5" t="s">
        <v>14699</v>
      </c>
      <c r="R2085" s="5" t="s">
        <v>19465</v>
      </c>
      <c r="T2085" s="5" t="s">
        <v>5994</v>
      </c>
      <c r="U2085" s="5"/>
      <c r="V2085" s="5" t="s">
        <v>67</v>
      </c>
      <c r="W2085" s="5" t="s">
        <v>11356</v>
      </c>
    </row>
    <row r="2086" spans="1:23" ht="12.5">
      <c r="A2086" s="5">
        <v>92599</v>
      </c>
      <c r="B2086" s="5" t="s">
        <v>19466</v>
      </c>
      <c r="C2086" s="5">
        <v>573024694357</v>
      </c>
      <c r="D2086" s="5">
        <v>95</v>
      </c>
      <c r="E2086" s="5" t="s">
        <v>42</v>
      </c>
      <c r="F2086" s="5" t="s">
        <v>12657</v>
      </c>
      <c r="G2086" s="5" t="s">
        <v>7441</v>
      </c>
      <c r="H2086" s="5" t="s">
        <v>12657</v>
      </c>
      <c r="I2086" s="5">
        <v>573024694357</v>
      </c>
      <c r="J2086" s="12">
        <v>46086</v>
      </c>
      <c r="K2086" s="11">
        <v>0</v>
      </c>
      <c r="M2086" s="10" t="s">
        <v>16101</v>
      </c>
      <c r="N2086" s="12">
        <v>46086.302480300925</v>
      </c>
      <c r="O2086" s="10" t="s">
        <v>19467</v>
      </c>
      <c r="P2086" s="5" t="s">
        <v>14571</v>
      </c>
      <c r="Q2086" s="5" t="s">
        <v>14578</v>
      </c>
      <c r="R2086" s="5" t="s">
        <v>19468</v>
      </c>
      <c r="T2086" s="5" t="s">
        <v>5994</v>
      </c>
      <c r="U2086" s="5"/>
      <c r="V2086" s="5" t="s">
        <v>1481</v>
      </c>
      <c r="W2086" s="5" t="s">
        <v>8660</v>
      </c>
    </row>
    <row r="2087" spans="1:23" ht="12.5">
      <c r="A2087" s="5">
        <v>92600</v>
      </c>
      <c r="B2087" s="5" t="s">
        <v>19469</v>
      </c>
      <c r="C2087" s="5">
        <v>573150646495</v>
      </c>
      <c r="D2087" s="5">
        <v>19</v>
      </c>
      <c r="E2087" s="5" t="s">
        <v>2120</v>
      </c>
      <c r="F2087" s="5"/>
      <c r="G2087" s="5" t="s">
        <v>12637</v>
      </c>
      <c r="H2087" s="5" t="s">
        <v>12638</v>
      </c>
      <c r="I2087" s="5">
        <v>573043666060</v>
      </c>
      <c r="J2087" s="12">
        <v>46088</v>
      </c>
      <c r="K2087" s="11">
        <v>0.375</v>
      </c>
      <c r="M2087" s="10" t="s">
        <v>14649</v>
      </c>
      <c r="N2087" s="12">
        <v>46085.72683944444</v>
      </c>
      <c r="O2087" s="10" t="s">
        <v>15817</v>
      </c>
      <c r="P2087" s="5" t="s">
        <v>14571</v>
      </c>
      <c r="Q2087" s="5" t="s">
        <v>14612</v>
      </c>
      <c r="R2087" s="5" t="s">
        <v>19470</v>
      </c>
      <c r="T2087" s="5" t="s">
        <v>5994</v>
      </c>
      <c r="U2087" s="5"/>
      <c r="V2087" s="5" t="s">
        <v>67</v>
      </c>
      <c r="W2087" s="5"/>
    </row>
    <row r="2088" spans="1:23" ht="12.5">
      <c r="A2088" s="5">
        <v>92601</v>
      </c>
      <c r="B2088" s="5" t="s">
        <v>19471</v>
      </c>
      <c r="C2088" s="5">
        <v>573206821734</v>
      </c>
      <c r="D2088" s="5" t="s">
        <v>19472</v>
      </c>
      <c r="E2088" s="5" t="s">
        <v>12633</v>
      </c>
      <c r="F2088" s="5" t="s">
        <v>12066</v>
      </c>
      <c r="G2088" s="5" t="s">
        <v>12632</v>
      </c>
      <c r="H2088" s="5" t="s">
        <v>12066</v>
      </c>
      <c r="I2088" s="5">
        <v>573206821734</v>
      </c>
      <c r="J2088" s="12">
        <v>46089</v>
      </c>
      <c r="K2088" s="11">
        <v>0.375</v>
      </c>
      <c r="M2088" s="10" t="s">
        <v>15480</v>
      </c>
      <c r="N2088" s="12">
        <v>46085.726078043983</v>
      </c>
      <c r="O2088" s="10" t="s">
        <v>15118</v>
      </c>
      <c r="P2088" s="5" t="s">
        <v>14571</v>
      </c>
      <c r="Q2088" s="5" t="s">
        <v>17404</v>
      </c>
      <c r="R2088" s="5" t="s">
        <v>19473</v>
      </c>
      <c r="T2088" s="5" t="s">
        <v>14574</v>
      </c>
      <c r="U2088" s="5"/>
      <c r="V2088" s="5" t="s">
        <v>2438</v>
      </c>
      <c r="W2088" s="5"/>
    </row>
    <row r="2089" spans="1:23" ht="12.5">
      <c r="A2089" s="5">
        <v>92602</v>
      </c>
      <c r="B2089" s="5" t="s">
        <v>3935</v>
      </c>
      <c r="C2089" s="5">
        <v>573502184252</v>
      </c>
      <c r="D2089" s="5" t="s">
        <v>14589</v>
      </c>
      <c r="E2089" s="5" t="s">
        <v>12664</v>
      </c>
      <c r="F2089" s="5" t="s">
        <v>12657</v>
      </c>
      <c r="G2089" s="5" t="s">
        <v>4302</v>
      </c>
      <c r="H2089" s="5" t="s">
        <v>12657</v>
      </c>
      <c r="I2089" s="5">
        <v>573502184252</v>
      </c>
      <c r="J2089" s="12">
        <v>46086</v>
      </c>
      <c r="K2089" s="11">
        <v>0.375</v>
      </c>
      <c r="M2089" s="10" t="s">
        <v>14585</v>
      </c>
      <c r="N2089" s="12">
        <v>46086.348596307871</v>
      </c>
      <c r="O2089" s="10" t="s">
        <v>14907</v>
      </c>
      <c r="P2089" s="5" t="s">
        <v>14571</v>
      </c>
      <c r="Q2089" s="5" t="s">
        <v>14572</v>
      </c>
      <c r="R2089" s="5" t="s">
        <v>19474</v>
      </c>
      <c r="T2089" s="5" t="s">
        <v>5994</v>
      </c>
      <c r="U2089" s="5"/>
      <c r="V2089" s="5" t="s">
        <v>12646</v>
      </c>
      <c r="W2089" s="5"/>
    </row>
    <row r="2090" spans="1:23" ht="12.5">
      <c r="A2090" s="5">
        <v>92603</v>
      </c>
      <c r="B2090" s="5" t="s">
        <v>19475</v>
      </c>
      <c r="C2090" s="5">
        <v>573175019534</v>
      </c>
      <c r="D2090" s="5">
        <v>29</v>
      </c>
      <c r="E2090" s="5" t="s">
        <v>12406</v>
      </c>
      <c r="F2090" s="5" t="s">
        <v>12657</v>
      </c>
      <c r="G2090" s="5" t="s">
        <v>12677</v>
      </c>
      <c r="H2090" s="5" t="s">
        <v>12657</v>
      </c>
      <c r="I2090" s="5">
        <v>573175019534</v>
      </c>
      <c r="J2090" s="12">
        <v>46086</v>
      </c>
      <c r="K2090" s="11">
        <v>0</v>
      </c>
      <c r="M2090" s="10" t="s">
        <v>14627</v>
      </c>
      <c r="N2090" s="12">
        <v>46086.355707233801</v>
      </c>
      <c r="O2090" s="10" t="s">
        <v>16877</v>
      </c>
      <c r="P2090" s="5" t="s">
        <v>14571</v>
      </c>
      <c r="Q2090" s="5" t="s">
        <v>14699</v>
      </c>
      <c r="R2090" s="5" t="s">
        <v>19476</v>
      </c>
      <c r="T2090" s="5" t="s">
        <v>5994</v>
      </c>
      <c r="U2090" s="5"/>
      <c r="V2090" s="5" t="s">
        <v>37</v>
      </c>
      <c r="W2090" s="5" t="s">
        <v>12678</v>
      </c>
    </row>
    <row r="2091" spans="1:23" ht="12.5">
      <c r="A2091" s="5">
        <v>92604</v>
      </c>
      <c r="B2091" s="5" t="s">
        <v>19477</v>
      </c>
      <c r="C2091" s="10" t="s">
        <v>19478</v>
      </c>
      <c r="D2091" s="5">
        <v>53</v>
      </c>
      <c r="E2091" s="5" t="s">
        <v>12423</v>
      </c>
      <c r="F2091" s="5" t="s">
        <v>110</v>
      </c>
      <c r="G2091" s="5" t="s">
        <v>12680</v>
      </c>
      <c r="H2091" s="5" t="s">
        <v>12681</v>
      </c>
      <c r="I2091" s="5">
        <v>573007122211</v>
      </c>
      <c r="J2091" s="12">
        <v>46086</v>
      </c>
      <c r="K2091" s="11">
        <v>0.41666666666666669</v>
      </c>
      <c r="M2091" s="10" t="s">
        <v>14817</v>
      </c>
      <c r="N2091" s="12">
        <v>46086</v>
      </c>
      <c r="O2091" s="10" t="s">
        <v>15328</v>
      </c>
      <c r="P2091" s="5" t="s">
        <v>14571</v>
      </c>
      <c r="Q2091" s="5" t="s">
        <v>14572</v>
      </c>
      <c r="R2091" s="5" t="s">
        <v>19479</v>
      </c>
      <c r="T2091" s="5" t="s">
        <v>5994</v>
      </c>
      <c r="U2091" s="5" t="s">
        <v>14593</v>
      </c>
      <c r="V2091" s="5" t="s">
        <v>1481</v>
      </c>
      <c r="W2091" s="5"/>
    </row>
    <row r="2092" spans="1:23" ht="12.5">
      <c r="A2092" s="5">
        <v>92605</v>
      </c>
      <c r="B2092" s="5" t="s">
        <v>19480</v>
      </c>
      <c r="C2092" s="5">
        <v>573143468896</v>
      </c>
      <c r="D2092" s="5">
        <v>101</v>
      </c>
      <c r="E2092" s="5" t="s">
        <v>12644</v>
      </c>
      <c r="F2092" s="5" t="s">
        <v>937</v>
      </c>
      <c r="G2092" s="5" t="s">
        <v>12642</v>
      </c>
      <c r="H2092" s="5" t="s">
        <v>12643</v>
      </c>
      <c r="I2092" s="5">
        <v>573017973945</v>
      </c>
      <c r="J2092" s="12">
        <v>46089</v>
      </c>
      <c r="K2092" s="11">
        <v>0.375</v>
      </c>
      <c r="M2092" s="10" t="s">
        <v>15619</v>
      </c>
      <c r="N2092" s="12">
        <v>46085.738515868055</v>
      </c>
      <c r="O2092" s="10" t="s">
        <v>15488</v>
      </c>
      <c r="P2092" s="5" t="s">
        <v>14571</v>
      </c>
      <c r="Q2092" s="5" t="s">
        <v>14578</v>
      </c>
      <c r="R2092" s="5" t="s">
        <v>19481</v>
      </c>
      <c r="T2092" s="5" t="s">
        <v>5994</v>
      </c>
      <c r="U2092" s="5"/>
      <c r="V2092" s="5" t="s">
        <v>12646</v>
      </c>
      <c r="W2092" s="5"/>
    </row>
    <row r="2093" spans="1:23" ht="12.5">
      <c r="A2093" s="5">
        <v>92606</v>
      </c>
      <c r="B2093" s="5" t="s">
        <v>19482</v>
      </c>
      <c r="C2093" s="5">
        <v>573160420106</v>
      </c>
      <c r="D2093" s="5" t="s">
        <v>14589</v>
      </c>
      <c r="E2093" s="5" t="s">
        <v>12668</v>
      </c>
      <c r="F2093" s="5" t="s">
        <v>185</v>
      </c>
      <c r="G2093" s="5" t="s">
        <v>12666</v>
      </c>
      <c r="H2093" s="5" t="s">
        <v>12667</v>
      </c>
      <c r="I2093" s="5">
        <v>573164547777</v>
      </c>
      <c r="J2093" s="12">
        <v>46086</v>
      </c>
      <c r="K2093" s="11">
        <v>0</v>
      </c>
      <c r="M2093" s="10" t="s">
        <v>14850</v>
      </c>
      <c r="N2093" s="12">
        <v>46086.350203194444</v>
      </c>
      <c r="O2093" s="10" t="s">
        <v>15180</v>
      </c>
      <c r="P2093" s="5" t="s">
        <v>14571</v>
      </c>
      <c r="Q2093" s="5" t="s">
        <v>14578</v>
      </c>
      <c r="R2093" s="5" t="s">
        <v>19483</v>
      </c>
      <c r="T2093" s="5" t="s">
        <v>5994</v>
      </c>
      <c r="U2093" s="5" t="s">
        <v>14580</v>
      </c>
      <c r="V2093" s="5" t="s">
        <v>1481</v>
      </c>
      <c r="W2093" s="5"/>
    </row>
    <row r="2094" spans="1:23" ht="12.5">
      <c r="A2094" s="5">
        <v>92607</v>
      </c>
      <c r="B2094" s="5" t="s">
        <v>19484</v>
      </c>
      <c r="C2094" s="5">
        <v>573015503066</v>
      </c>
      <c r="D2094" s="5">
        <v>5</v>
      </c>
      <c r="E2094" s="5" t="s">
        <v>12673</v>
      </c>
      <c r="F2094" s="5" t="s">
        <v>73</v>
      </c>
      <c r="G2094" s="5" t="s">
        <v>2665</v>
      </c>
      <c r="H2094" s="5" t="s">
        <v>12672</v>
      </c>
      <c r="I2094" s="5">
        <v>573015503096</v>
      </c>
      <c r="J2094" s="12">
        <v>46087</v>
      </c>
      <c r="K2094" s="11">
        <v>0.375</v>
      </c>
      <c r="M2094" s="10" t="s">
        <v>17609</v>
      </c>
      <c r="N2094" s="12">
        <v>46086.350522465276</v>
      </c>
      <c r="O2094" s="10" t="s">
        <v>15491</v>
      </c>
      <c r="P2094" s="5" t="s">
        <v>14571</v>
      </c>
      <c r="Q2094" s="5" t="s">
        <v>14578</v>
      </c>
      <c r="R2094" s="5" t="s">
        <v>19485</v>
      </c>
      <c r="T2094" s="5" t="s">
        <v>5994</v>
      </c>
      <c r="U2094" s="5" t="s">
        <v>14593</v>
      </c>
      <c r="V2094" s="5" t="s">
        <v>1481</v>
      </c>
      <c r="W2094" s="5"/>
    </row>
    <row r="2095" spans="1:23" ht="12.5">
      <c r="A2095" s="5">
        <v>92608</v>
      </c>
      <c r="B2095" s="5" t="s">
        <v>19486</v>
      </c>
      <c r="C2095" s="5">
        <v>573043363727</v>
      </c>
      <c r="D2095" s="5" t="s">
        <v>14589</v>
      </c>
      <c r="E2095" s="5" t="s">
        <v>12662</v>
      </c>
      <c r="F2095" s="5" t="s">
        <v>448</v>
      </c>
      <c r="G2095" s="5" t="s">
        <v>12660</v>
      </c>
      <c r="H2095" s="5" t="s">
        <v>12661</v>
      </c>
      <c r="I2095" s="5">
        <v>573043363727</v>
      </c>
      <c r="J2095" s="12">
        <v>46095</v>
      </c>
      <c r="K2095" s="11">
        <v>0.33333333333212067</v>
      </c>
      <c r="M2095" s="10" t="s">
        <v>14676</v>
      </c>
      <c r="N2095" s="12">
        <v>46086.33594553241</v>
      </c>
      <c r="O2095" s="10" t="s">
        <v>15592</v>
      </c>
      <c r="P2095" s="5" t="s">
        <v>19487</v>
      </c>
      <c r="Q2095" s="5"/>
      <c r="R2095" s="5" t="s">
        <v>19488</v>
      </c>
      <c r="T2095" s="5" t="s">
        <v>5994</v>
      </c>
      <c r="U2095" s="5" t="s">
        <v>14580</v>
      </c>
      <c r="V2095" s="5" t="s">
        <v>1481</v>
      </c>
      <c r="W2095" s="5" t="s">
        <v>12663</v>
      </c>
    </row>
    <row r="2096" spans="1:23" ht="12.5">
      <c r="A2096" s="5">
        <v>92609</v>
      </c>
      <c r="B2096" s="5" t="s">
        <v>19489</v>
      </c>
      <c r="C2096" s="10" t="s">
        <v>19490</v>
      </c>
      <c r="D2096" s="5">
        <v>71</v>
      </c>
      <c r="E2096" s="5" t="s">
        <v>734</v>
      </c>
      <c r="F2096" s="5" t="s">
        <v>401</v>
      </c>
      <c r="G2096" s="5" t="s">
        <v>12683</v>
      </c>
      <c r="H2096" s="5" t="s">
        <v>12684</v>
      </c>
      <c r="I2096" s="5">
        <v>573013601956</v>
      </c>
      <c r="J2096" s="12">
        <v>46089</v>
      </c>
      <c r="K2096" s="11">
        <v>0</v>
      </c>
      <c r="M2096" s="10" t="s">
        <v>14770</v>
      </c>
      <c r="N2096" s="12">
        <v>46086</v>
      </c>
      <c r="O2096" s="10" t="s">
        <v>16044</v>
      </c>
      <c r="P2096" s="5" t="s">
        <v>14571</v>
      </c>
      <c r="Q2096" s="5" t="s">
        <v>16907</v>
      </c>
      <c r="R2096" s="5" t="s">
        <v>19491</v>
      </c>
      <c r="T2096" s="5" t="s">
        <v>5994</v>
      </c>
      <c r="U2096" s="5" t="s">
        <v>14618</v>
      </c>
      <c r="V2096" s="5" t="s">
        <v>83</v>
      </c>
      <c r="W2096" s="5"/>
    </row>
    <row r="2097" spans="1:23" ht="12.5">
      <c r="A2097" s="5">
        <v>92610</v>
      </c>
      <c r="B2097" s="5" t="s">
        <v>19492</v>
      </c>
      <c r="C2097" s="5">
        <v>573215509226</v>
      </c>
      <c r="D2097" s="5">
        <v>16</v>
      </c>
      <c r="E2097" s="5" t="s">
        <v>2556</v>
      </c>
      <c r="F2097" s="5"/>
      <c r="G2097" s="5" t="s">
        <v>12687</v>
      </c>
      <c r="H2097" s="5" t="s">
        <v>12688</v>
      </c>
      <c r="I2097" s="5"/>
      <c r="J2097" s="12">
        <v>46086</v>
      </c>
      <c r="K2097" s="11">
        <v>0.41666666666787933</v>
      </c>
      <c r="M2097" s="10" t="s">
        <v>16675</v>
      </c>
      <c r="N2097" s="12">
        <v>46086.391129236115</v>
      </c>
      <c r="O2097" s="10" t="s">
        <v>15911</v>
      </c>
      <c r="P2097" s="5" t="s">
        <v>14571</v>
      </c>
      <c r="Q2097" s="5" t="s">
        <v>14572</v>
      </c>
      <c r="R2097" s="5" t="s">
        <v>19493</v>
      </c>
      <c r="T2097" s="5" t="s">
        <v>5994</v>
      </c>
      <c r="U2097" s="5"/>
      <c r="V2097" s="5" t="s">
        <v>43</v>
      </c>
      <c r="W2097" s="5"/>
    </row>
    <row r="2098" spans="1:23" ht="12.5">
      <c r="A2098" s="5">
        <v>92611</v>
      </c>
      <c r="B2098" s="5" t="s">
        <v>19494</v>
      </c>
      <c r="C2098" s="5">
        <v>573013112313</v>
      </c>
      <c r="D2098" s="5">
        <v>53</v>
      </c>
      <c r="E2098" s="5" t="s">
        <v>12423</v>
      </c>
      <c r="F2098" s="5" t="s">
        <v>12657</v>
      </c>
      <c r="G2098" s="5" t="s">
        <v>12695</v>
      </c>
      <c r="H2098" s="5" t="s">
        <v>12657</v>
      </c>
      <c r="I2098" s="5">
        <v>573013112313</v>
      </c>
      <c r="J2098" s="12">
        <v>46086</v>
      </c>
      <c r="K2098" s="11">
        <v>0.41666666666787933</v>
      </c>
      <c r="M2098" s="10" t="s">
        <v>14585</v>
      </c>
      <c r="N2098" s="12">
        <v>46086.407084317128</v>
      </c>
      <c r="O2098" s="10" t="s">
        <v>15165</v>
      </c>
      <c r="P2098" s="5" t="s">
        <v>14571</v>
      </c>
      <c r="Q2098" s="5" t="s">
        <v>14699</v>
      </c>
      <c r="R2098" s="5" t="s">
        <v>19495</v>
      </c>
      <c r="T2098" s="5" t="s">
        <v>5994</v>
      </c>
      <c r="U2098" s="5"/>
      <c r="V2098" s="5" t="s">
        <v>37</v>
      </c>
      <c r="W2098" s="5" t="s">
        <v>12696</v>
      </c>
    </row>
    <row r="2099" spans="1:23" ht="12.5">
      <c r="A2099" s="5">
        <v>92612</v>
      </c>
      <c r="B2099" s="5" t="s">
        <v>19496</v>
      </c>
      <c r="C2099" s="10" t="s">
        <v>19497</v>
      </c>
      <c r="D2099" s="5">
        <v>22</v>
      </c>
      <c r="E2099" s="5" t="s">
        <v>874</v>
      </c>
      <c r="F2099" s="5" t="s">
        <v>1815</v>
      </c>
      <c r="G2099" s="5" t="s">
        <v>11617</v>
      </c>
      <c r="H2099" s="5" t="s">
        <v>12705</v>
      </c>
      <c r="I2099" s="5">
        <v>573126624895</v>
      </c>
      <c r="J2099" s="12">
        <v>46086</v>
      </c>
      <c r="K2099" s="11">
        <v>0</v>
      </c>
      <c r="M2099" s="10" t="s">
        <v>19498</v>
      </c>
      <c r="N2099" s="12">
        <v>46086</v>
      </c>
      <c r="O2099" s="10" t="s">
        <v>16377</v>
      </c>
      <c r="P2099" s="5" t="s">
        <v>14571</v>
      </c>
      <c r="Q2099" s="5" t="s">
        <v>14572</v>
      </c>
      <c r="R2099" s="5" t="s">
        <v>19499</v>
      </c>
      <c r="T2099" s="5" t="s">
        <v>5994</v>
      </c>
      <c r="U2099" s="5" t="s">
        <v>14580</v>
      </c>
      <c r="V2099" s="5" t="s">
        <v>2163</v>
      </c>
      <c r="W2099" s="5"/>
    </row>
    <row r="2100" spans="1:23" ht="12.5">
      <c r="A2100" s="5">
        <v>92613</v>
      </c>
      <c r="B2100" s="5" t="s">
        <v>19500</v>
      </c>
      <c r="C2100" s="10" t="s">
        <v>19501</v>
      </c>
      <c r="D2100" s="5">
        <v>26</v>
      </c>
      <c r="E2100" s="5" t="s">
        <v>12701</v>
      </c>
      <c r="F2100" s="5" t="s">
        <v>12699</v>
      </c>
      <c r="G2100" s="5" t="s">
        <v>19502</v>
      </c>
      <c r="H2100" s="5" t="s">
        <v>12700</v>
      </c>
      <c r="I2100" s="5">
        <v>573177664303</v>
      </c>
      <c r="J2100" s="12">
        <v>46086</v>
      </c>
      <c r="K2100" s="11">
        <v>0</v>
      </c>
      <c r="M2100" s="10" t="s">
        <v>19503</v>
      </c>
      <c r="N2100" s="12">
        <v>46086</v>
      </c>
      <c r="O2100" s="10" t="s">
        <v>17872</v>
      </c>
      <c r="P2100" s="5" t="s">
        <v>14571</v>
      </c>
      <c r="Q2100" s="5" t="s">
        <v>14578</v>
      </c>
      <c r="R2100" s="5" t="s">
        <v>19504</v>
      </c>
      <c r="T2100" s="5" t="s">
        <v>5994</v>
      </c>
      <c r="U2100" s="5" t="s">
        <v>14580</v>
      </c>
      <c r="V2100" s="5" t="s">
        <v>180</v>
      </c>
      <c r="W2100" s="5"/>
    </row>
    <row r="2101" spans="1:23" ht="12.5">
      <c r="A2101" s="5">
        <v>92614</v>
      </c>
      <c r="B2101" s="5" t="s">
        <v>9729</v>
      </c>
      <c r="C2101" s="5">
        <v>573157014056</v>
      </c>
      <c r="D2101" s="5">
        <v>95</v>
      </c>
      <c r="E2101" s="5" t="s">
        <v>42</v>
      </c>
      <c r="F2101" s="5"/>
      <c r="G2101" s="5" t="s">
        <v>12706</v>
      </c>
      <c r="H2101" s="5" t="s">
        <v>12707</v>
      </c>
      <c r="I2101" s="5"/>
      <c r="J2101" s="12">
        <v>46086</v>
      </c>
      <c r="K2101" s="11">
        <v>0</v>
      </c>
      <c r="M2101" s="10" t="s">
        <v>14639</v>
      </c>
      <c r="N2101" s="12">
        <v>46086.453674849537</v>
      </c>
      <c r="O2101" s="10" t="s">
        <v>16056</v>
      </c>
      <c r="P2101" s="5" t="s">
        <v>14571</v>
      </c>
      <c r="Q2101" s="5" t="s">
        <v>14612</v>
      </c>
      <c r="R2101" s="5" t="s">
        <v>19505</v>
      </c>
      <c r="T2101" s="5" t="s">
        <v>5994</v>
      </c>
      <c r="U2101" s="5"/>
      <c r="V2101" s="5" t="s">
        <v>67</v>
      </c>
      <c r="W2101" s="5"/>
    </row>
    <row r="2102" spans="1:23" ht="12.5">
      <c r="A2102" s="5">
        <v>92615</v>
      </c>
      <c r="B2102" s="5" t="s">
        <v>19506</v>
      </c>
      <c r="C2102" s="5">
        <v>573023279441</v>
      </c>
      <c r="D2102" s="5">
        <v>95</v>
      </c>
      <c r="E2102" s="5" t="s">
        <v>42</v>
      </c>
      <c r="F2102" s="5" t="s">
        <v>185</v>
      </c>
      <c r="G2102" s="5" t="s">
        <v>12714</v>
      </c>
      <c r="H2102" s="5" t="s">
        <v>12715</v>
      </c>
      <c r="I2102" s="5">
        <v>573114119445</v>
      </c>
      <c r="J2102" s="12">
        <v>46086</v>
      </c>
      <c r="K2102" s="11">
        <v>0</v>
      </c>
      <c r="M2102" s="10" t="s">
        <v>16243</v>
      </c>
      <c r="N2102" s="12">
        <v>46086.458360520832</v>
      </c>
      <c r="O2102" s="10" t="s">
        <v>15410</v>
      </c>
      <c r="P2102" s="5" t="s">
        <v>14571</v>
      </c>
      <c r="Q2102" s="5" t="s">
        <v>14699</v>
      </c>
      <c r="R2102" s="5" t="s">
        <v>19507</v>
      </c>
      <c r="T2102" s="5" t="s">
        <v>5994</v>
      </c>
      <c r="U2102" s="5" t="s">
        <v>14580</v>
      </c>
      <c r="V2102" s="5" t="s">
        <v>67</v>
      </c>
      <c r="W2102" s="5" t="s">
        <v>12717</v>
      </c>
    </row>
    <row r="2103" spans="1:23" ht="12.5">
      <c r="A2103" s="5">
        <v>92616</v>
      </c>
      <c r="B2103" s="5" t="s">
        <v>19508</v>
      </c>
      <c r="C2103" s="5">
        <v>30753015587628</v>
      </c>
      <c r="D2103" s="5">
        <v>9</v>
      </c>
      <c r="E2103" s="5" t="s">
        <v>866</v>
      </c>
      <c r="F2103" s="5" t="s">
        <v>185</v>
      </c>
      <c r="G2103" s="5" t="s">
        <v>12690</v>
      </c>
      <c r="H2103" s="5" t="s">
        <v>12691</v>
      </c>
      <c r="I2103" s="5">
        <v>573143957980</v>
      </c>
      <c r="J2103" s="12">
        <v>46086</v>
      </c>
      <c r="K2103" s="11">
        <v>3.4722222226264421E-3</v>
      </c>
      <c r="M2103" s="10" t="s">
        <v>15512</v>
      </c>
      <c r="N2103" s="12">
        <v>46086.398066574075</v>
      </c>
      <c r="O2103" s="10" t="s">
        <v>15997</v>
      </c>
      <c r="P2103" s="5" t="s">
        <v>14571</v>
      </c>
      <c r="Q2103" s="5" t="s">
        <v>14572</v>
      </c>
      <c r="R2103" s="5" t="s">
        <v>19509</v>
      </c>
      <c r="T2103" s="5" t="s">
        <v>5994</v>
      </c>
      <c r="U2103" s="5" t="s">
        <v>14580</v>
      </c>
      <c r="V2103" s="5" t="s">
        <v>3754</v>
      </c>
      <c r="W2103" s="5"/>
    </row>
    <row r="2104" spans="1:23" ht="12.5">
      <c r="A2104" s="5">
        <v>92617</v>
      </c>
      <c r="B2104" s="5" t="s">
        <v>19510</v>
      </c>
      <c r="C2104" s="10" t="s">
        <v>19511</v>
      </c>
      <c r="D2104" s="5">
        <v>31</v>
      </c>
      <c r="E2104" s="5" t="s">
        <v>375</v>
      </c>
      <c r="F2104" s="5" t="s">
        <v>7476</v>
      </c>
      <c r="G2104" s="5" t="s">
        <v>19512</v>
      </c>
      <c r="H2104" s="5" t="s">
        <v>12710</v>
      </c>
      <c r="I2104" s="5">
        <v>573242029594</v>
      </c>
      <c r="J2104" s="12">
        <v>46086</v>
      </c>
      <c r="K2104" s="11">
        <v>3.472222222222222E-3</v>
      </c>
      <c r="M2104" s="10" t="s">
        <v>15525</v>
      </c>
      <c r="N2104" s="12">
        <v>46086</v>
      </c>
      <c r="O2104" s="10" t="s">
        <v>15290</v>
      </c>
      <c r="P2104" s="5" t="s">
        <v>14571</v>
      </c>
      <c r="Q2104" s="5" t="s">
        <v>14578</v>
      </c>
      <c r="R2104" s="5" t="s">
        <v>19513</v>
      </c>
      <c r="T2104" s="5" t="s">
        <v>5994</v>
      </c>
      <c r="U2104" s="5" t="s">
        <v>15349</v>
      </c>
      <c r="V2104" s="5" t="s">
        <v>67</v>
      </c>
      <c r="W2104" s="5"/>
    </row>
    <row r="2105" spans="1:23" ht="12.5">
      <c r="A2105" s="5">
        <v>92618</v>
      </c>
      <c r="B2105" s="5" t="s">
        <v>19514</v>
      </c>
      <c r="C2105" s="5">
        <v>573014785425</v>
      </c>
      <c r="D2105" s="5" t="s">
        <v>14589</v>
      </c>
      <c r="E2105" s="5" t="s">
        <v>12719</v>
      </c>
      <c r="F2105" s="5" t="s">
        <v>12657</v>
      </c>
      <c r="G2105" s="5" t="s">
        <v>12718</v>
      </c>
      <c r="H2105" s="5" t="s">
        <v>12657</v>
      </c>
      <c r="I2105" s="5">
        <v>573014785425</v>
      </c>
      <c r="J2105" s="12">
        <v>46088</v>
      </c>
      <c r="K2105" s="11">
        <v>0.375</v>
      </c>
      <c r="M2105" s="10" t="s">
        <v>14649</v>
      </c>
      <c r="N2105" s="12">
        <v>46086.470757627314</v>
      </c>
      <c r="O2105" s="10" t="s">
        <v>18039</v>
      </c>
      <c r="P2105" s="5" t="s">
        <v>14571</v>
      </c>
      <c r="Q2105" s="5" t="s">
        <v>14578</v>
      </c>
      <c r="R2105" s="5" t="s">
        <v>19515</v>
      </c>
      <c r="T2105" s="5" t="s">
        <v>5994</v>
      </c>
      <c r="U2105" s="5"/>
      <c r="V2105" s="5" t="s">
        <v>12646</v>
      </c>
      <c r="W2105" s="5" t="s">
        <v>12720</v>
      </c>
    </row>
    <row r="2106" spans="1:23" ht="12.5">
      <c r="A2106" s="5">
        <v>92619</v>
      </c>
      <c r="B2106" s="5" t="s">
        <v>19516</v>
      </c>
      <c r="C2106" s="5">
        <v>573004727883</v>
      </c>
      <c r="D2106" s="5">
        <v>66</v>
      </c>
      <c r="E2106" s="5" t="s">
        <v>576</v>
      </c>
      <c r="F2106" s="5" t="s">
        <v>12657</v>
      </c>
      <c r="G2106" s="5" t="s">
        <v>12694</v>
      </c>
      <c r="H2106" s="5" t="s">
        <v>12657</v>
      </c>
      <c r="I2106" s="5">
        <v>573004727883</v>
      </c>
      <c r="J2106" s="12">
        <v>46086</v>
      </c>
      <c r="K2106" s="11">
        <v>0.54166666666787933</v>
      </c>
      <c r="M2106" s="10" t="s">
        <v>14599</v>
      </c>
      <c r="N2106" s="12">
        <v>46086.401084976853</v>
      </c>
      <c r="O2106" s="10" t="s">
        <v>15690</v>
      </c>
      <c r="P2106" s="5" t="s">
        <v>14571</v>
      </c>
      <c r="Q2106" s="5" t="s">
        <v>14612</v>
      </c>
      <c r="R2106" s="5" t="s">
        <v>19517</v>
      </c>
      <c r="T2106" s="5" t="s">
        <v>5994</v>
      </c>
      <c r="U2106" s="5"/>
      <c r="V2106" s="5" t="s">
        <v>67</v>
      </c>
      <c r="W2106" s="5"/>
    </row>
    <row r="2107" spans="1:23" ht="12.5">
      <c r="A2107" s="5">
        <v>92620</v>
      </c>
      <c r="B2107" s="5" t="s">
        <v>19518</v>
      </c>
      <c r="C2107" s="5">
        <v>573107936885</v>
      </c>
      <c r="D2107" s="5">
        <v>58</v>
      </c>
      <c r="E2107" s="5" t="s">
        <v>12728</v>
      </c>
      <c r="F2107" s="5" t="s">
        <v>12657</v>
      </c>
      <c r="G2107" s="5" t="s">
        <v>12727</v>
      </c>
      <c r="H2107" s="5" t="s">
        <v>12657</v>
      </c>
      <c r="I2107" s="5">
        <v>573107936885</v>
      </c>
      <c r="J2107" s="12">
        <v>46086</v>
      </c>
      <c r="K2107" s="11">
        <v>0.58333333333212067</v>
      </c>
      <c r="M2107" s="10" t="s">
        <v>15594</v>
      </c>
      <c r="N2107" s="12">
        <v>46086.500707673607</v>
      </c>
      <c r="O2107" s="10" t="s">
        <v>15694</v>
      </c>
      <c r="P2107" s="5" t="s">
        <v>14571</v>
      </c>
      <c r="Q2107" s="5" t="s">
        <v>14699</v>
      </c>
      <c r="R2107" s="5" t="s">
        <v>19519</v>
      </c>
      <c r="T2107" s="5" t="s">
        <v>5994</v>
      </c>
      <c r="U2107" s="5"/>
      <c r="V2107" s="5" t="s">
        <v>1705</v>
      </c>
      <c r="W2107" s="5"/>
    </row>
    <row r="2108" spans="1:23" ht="12.5">
      <c r="A2108" s="5">
        <v>92621</v>
      </c>
      <c r="B2108" s="5" t="s">
        <v>19520</v>
      </c>
      <c r="C2108" s="5">
        <v>573156540065</v>
      </c>
      <c r="D2108" s="5">
        <v>53</v>
      </c>
      <c r="E2108" s="5" t="s">
        <v>12423</v>
      </c>
      <c r="F2108" s="5" t="s">
        <v>185</v>
      </c>
      <c r="G2108" s="5" t="s">
        <v>10564</v>
      </c>
      <c r="H2108" s="5" t="s">
        <v>12732</v>
      </c>
      <c r="I2108" s="5">
        <v>573156540065</v>
      </c>
      <c r="J2108" s="12">
        <v>46086</v>
      </c>
      <c r="K2108" s="11">
        <v>0.58333333333212067</v>
      </c>
      <c r="M2108" s="10" t="s">
        <v>14850</v>
      </c>
      <c r="N2108" s="12">
        <v>46086.508448229171</v>
      </c>
      <c r="O2108" s="10" t="s">
        <v>16390</v>
      </c>
      <c r="P2108" s="5" t="s">
        <v>14571</v>
      </c>
      <c r="Q2108" s="5" t="s">
        <v>14572</v>
      </c>
      <c r="R2108" s="5" t="s">
        <v>19521</v>
      </c>
      <c r="T2108" s="5" t="s">
        <v>5994</v>
      </c>
      <c r="U2108" s="5" t="s">
        <v>14580</v>
      </c>
      <c r="V2108" s="5" t="s">
        <v>67</v>
      </c>
      <c r="W2108" s="5"/>
    </row>
    <row r="2109" spans="1:23" ht="12.5">
      <c r="A2109" s="5">
        <v>92622</v>
      </c>
      <c r="B2109" s="5" t="s">
        <v>19522</v>
      </c>
      <c r="C2109" s="5">
        <v>573104411771</v>
      </c>
      <c r="D2109" s="5">
        <v>101</v>
      </c>
      <c r="E2109" s="5" t="s">
        <v>12724</v>
      </c>
      <c r="F2109" s="5" t="s">
        <v>5574</v>
      </c>
      <c r="G2109" s="5" t="s">
        <v>12722</v>
      </c>
      <c r="H2109" s="5" t="s">
        <v>12723</v>
      </c>
      <c r="I2109" s="5">
        <v>573126916509</v>
      </c>
      <c r="J2109" s="12">
        <v>46089</v>
      </c>
      <c r="K2109" s="11">
        <v>0.33333333333212067</v>
      </c>
      <c r="M2109" s="10" t="s">
        <v>15384</v>
      </c>
      <c r="N2109" s="12">
        <v>46086.494358912038</v>
      </c>
      <c r="O2109" s="10" t="s">
        <v>15401</v>
      </c>
      <c r="P2109" s="5" t="s">
        <v>14571</v>
      </c>
      <c r="Q2109" s="5" t="s">
        <v>14578</v>
      </c>
      <c r="R2109" s="5" t="s">
        <v>19523</v>
      </c>
      <c r="T2109" s="5" t="s">
        <v>5994</v>
      </c>
      <c r="U2109" s="5" t="s">
        <v>14593</v>
      </c>
      <c r="V2109" s="5" t="s">
        <v>12646</v>
      </c>
      <c r="W2109" s="5"/>
    </row>
    <row r="2110" spans="1:23" ht="12.5">
      <c r="A2110" s="5">
        <v>92623</v>
      </c>
      <c r="B2110" s="5" t="s">
        <v>19524</v>
      </c>
      <c r="C2110" s="10" t="s">
        <v>19525</v>
      </c>
      <c r="D2110" s="5">
        <v>68</v>
      </c>
      <c r="E2110" s="5" t="s">
        <v>361</v>
      </c>
      <c r="F2110" s="5" t="s">
        <v>110</v>
      </c>
      <c r="G2110" s="5" t="s">
        <v>19526</v>
      </c>
      <c r="H2110" s="5" t="s">
        <v>12742</v>
      </c>
      <c r="I2110" s="5">
        <v>573112119748</v>
      </c>
      <c r="J2110" s="12">
        <v>46086</v>
      </c>
      <c r="K2110" s="11">
        <v>0.625</v>
      </c>
      <c r="M2110" s="10" t="s">
        <v>15377</v>
      </c>
      <c r="N2110" s="12">
        <v>46086</v>
      </c>
      <c r="O2110" s="10" t="s">
        <v>17130</v>
      </c>
      <c r="P2110" s="5" t="s">
        <v>14571</v>
      </c>
      <c r="Q2110" s="5" t="s">
        <v>14578</v>
      </c>
      <c r="R2110" s="5" t="s">
        <v>19527</v>
      </c>
      <c r="T2110" s="5" t="s">
        <v>5994</v>
      </c>
      <c r="U2110" s="5" t="s">
        <v>14593</v>
      </c>
      <c r="V2110" s="5" t="s">
        <v>204</v>
      </c>
      <c r="W2110" s="5"/>
    </row>
    <row r="2111" spans="1:23" ht="12.5">
      <c r="A2111" s="5">
        <v>92624</v>
      </c>
      <c r="B2111" s="5" t="s">
        <v>19528</v>
      </c>
      <c r="C2111" s="10" t="s">
        <v>17603</v>
      </c>
      <c r="D2111" s="5" t="s">
        <v>14589</v>
      </c>
      <c r="E2111" s="5" t="s">
        <v>12744</v>
      </c>
      <c r="F2111" s="5" t="s">
        <v>12657</v>
      </c>
      <c r="G2111" s="5" t="s">
        <v>3524</v>
      </c>
      <c r="H2111" s="5" t="s">
        <v>12657</v>
      </c>
      <c r="I2111" s="5">
        <v>573103603142</v>
      </c>
      <c r="J2111" s="12">
        <v>46089</v>
      </c>
      <c r="K2111" s="11">
        <v>0</v>
      </c>
      <c r="M2111" s="10" t="s">
        <v>15352</v>
      </c>
      <c r="N2111" s="12">
        <v>46086</v>
      </c>
      <c r="O2111" s="10" t="s">
        <v>17771</v>
      </c>
      <c r="P2111" s="5" t="s">
        <v>14571</v>
      </c>
      <c r="Q2111" s="5" t="s">
        <v>17423</v>
      </c>
      <c r="R2111" s="5" t="s">
        <v>19529</v>
      </c>
      <c r="T2111" s="5" t="s">
        <v>5994</v>
      </c>
      <c r="U2111" s="5"/>
      <c r="V2111" s="5" t="s">
        <v>12646</v>
      </c>
      <c r="W2111" s="5" t="s">
        <v>12744</v>
      </c>
    </row>
    <row r="2112" spans="1:23" ht="12.5">
      <c r="A2112" s="5">
        <v>92625</v>
      </c>
      <c r="B2112" s="5" t="s">
        <v>19167</v>
      </c>
      <c r="C2112" s="5">
        <v>573175494728</v>
      </c>
      <c r="D2112" s="5">
        <v>57</v>
      </c>
      <c r="E2112" s="5" t="s">
        <v>1085</v>
      </c>
      <c r="F2112" s="5" t="s">
        <v>12657</v>
      </c>
      <c r="G2112" s="5" t="s">
        <v>12745</v>
      </c>
      <c r="H2112" s="5" t="s">
        <v>12657</v>
      </c>
      <c r="I2112" s="5">
        <v>573175494728</v>
      </c>
      <c r="J2112" s="12">
        <v>46087</v>
      </c>
      <c r="K2112" s="11">
        <v>0.375</v>
      </c>
      <c r="M2112" s="10" t="s">
        <v>10581</v>
      </c>
      <c r="N2112" s="12">
        <v>46086.544661921296</v>
      </c>
      <c r="O2112" s="10" t="s">
        <v>15861</v>
      </c>
      <c r="P2112" s="5" t="s">
        <v>14571</v>
      </c>
      <c r="Q2112" s="5" t="s">
        <v>14612</v>
      </c>
      <c r="R2112" s="5" t="s">
        <v>19530</v>
      </c>
      <c r="T2112" s="5" t="s">
        <v>5994</v>
      </c>
      <c r="U2112" s="5"/>
      <c r="V2112" s="5" t="s">
        <v>180</v>
      </c>
      <c r="W2112" s="5"/>
    </row>
    <row r="2113" spans="1:23" ht="12.5">
      <c r="A2113" s="5">
        <v>92626</v>
      </c>
      <c r="B2113" s="5" t="s">
        <v>19531</v>
      </c>
      <c r="C2113" s="5">
        <v>573052476428</v>
      </c>
      <c r="D2113" s="5">
        <v>42</v>
      </c>
      <c r="E2113" s="5" t="s">
        <v>649</v>
      </c>
      <c r="F2113" s="5" t="s">
        <v>63</v>
      </c>
      <c r="G2113" s="5" t="s">
        <v>12735</v>
      </c>
      <c r="H2113" s="5" t="s">
        <v>12736</v>
      </c>
      <c r="I2113" s="5">
        <v>573108248762</v>
      </c>
      <c r="J2113" s="12">
        <v>46086</v>
      </c>
      <c r="K2113" s="11">
        <v>0.60416666666787933</v>
      </c>
      <c r="M2113" s="10" t="s">
        <v>15359</v>
      </c>
      <c r="N2113" s="12">
        <v>46086.514117349536</v>
      </c>
      <c r="O2113" s="10" t="s">
        <v>15535</v>
      </c>
      <c r="P2113" s="5" t="s">
        <v>14571</v>
      </c>
      <c r="Q2113" s="5" t="s">
        <v>14612</v>
      </c>
      <c r="R2113" s="5" t="s">
        <v>19532</v>
      </c>
      <c r="T2113" s="5" t="s">
        <v>5994</v>
      </c>
      <c r="U2113" s="5" t="s">
        <v>14598</v>
      </c>
      <c r="V2113" s="5" t="s">
        <v>67</v>
      </c>
      <c r="W2113" s="5" t="s">
        <v>12739</v>
      </c>
    </row>
    <row r="2114" spans="1:23" ht="12.5">
      <c r="A2114" s="5">
        <v>92627</v>
      </c>
      <c r="B2114" s="5" t="s">
        <v>19533</v>
      </c>
      <c r="C2114" s="5">
        <v>573013529652</v>
      </c>
      <c r="D2114" s="5" t="s">
        <v>14589</v>
      </c>
      <c r="E2114" s="5" t="s">
        <v>19534</v>
      </c>
      <c r="F2114" s="5" t="s">
        <v>12657</v>
      </c>
      <c r="G2114" s="5" t="s">
        <v>9739</v>
      </c>
      <c r="H2114" s="5" t="s">
        <v>12657</v>
      </c>
      <c r="I2114" s="5">
        <v>573013529652</v>
      </c>
      <c r="J2114" s="12">
        <v>46086</v>
      </c>
      <c r="K2114" s="11">
        <v>0.70833333333212067</v>
      </c>
      <c r="M2114" s="10" t="s">
        <v>15102</v>
      </c>
      <c r="N2114" s="12">
        <v>46086.562704826385</v>
      </c>
      <c r="O2114" s="10" t="s">
        <v>15866</v>
      </c>
      <c r="P2114" s="5" t="s">
        <v>14571</v>
      </c>
      <c r="Q2114" s="5" t="s">
        <v>14699</v>
      </c>
      <c r="R2114" s="5" t="s">
        <v>19535</v>
      </c>
      <c r="T2114" s="5" t="s">
        <v>5994</v>
      </c>
      <c r="U2114" s="5"/>
      <c r="V2114" s="5" t="s">
        <v>1705</v>
      </c>
      <c r="W2114" s="5"/>
    </row>
    <row r="2115" spans="1:23" ht="12.5">
      <c r="A2115" s="5">
        <v>92628</v>
      </c>
      <c r="B2115" s="5" t="s">
        <v>19536</v>
      </c>
      <c r="C2115" s="5">
        <v>573147013180</v>
      </c>
      <c r="D2115" s="5">
        <v>39</v>
      </c>
      <c r="E2115" s="5" t="s">
        <v>12437</v>
      </c>
      <c r="F2115" s="5" t="s">
        <v>3874</v>
      </c>
      <c r="G2115" s="5" t="s">
        <v>12749</v>
      </c>
      <c r="H2115" s="5" t="s">
        <v>12750</v>
      </c>
      <c r="I2115" s="5">
        <v>573007041918</v>
      </c>
      <c r="J2115" s="12">
        <v>46089</v>
      </c>
      <c r="K2115" s="11">
        <v>0.33333333333212067</v>
      </c>
      <c r="M2115" s="10" t="s">
        <v>14998</v>
      </c>
      <c r="N2115" s="12">
        <v>46086.548411701384</v>
      </c>
      <c r="O2115" s="10" t="s">
        <v>17785</v>
      </c>
      <c r="P2115" s="5" t="s">
        <v>14571</v>
      </c>
      <c r="Q2115" s="5" t="s">
        <v>14612</v>
      </c>
      <c r="R2115" s="5" t="s">
        <v>19537</v>
      </c>
      <c r="T2115" s="5" t="s">
        <v>5994</v>
      </c>
      <c r="U2115" s="5" t="s">
        <v>14580</v>
      </c>
      <c r="V2115" s="5" t="s">
        <v>12646</v>
      </c>
      <c r="W2115" s="5"/>
    </row>
    <row r="2116" spans="1:23" ht="12.5">
      <c r="A2116" s="5">
        <v>92629</v>
      </c>
      <c r="B2116" s="5" t="s">
        <v>19538</v>
      </c>
      <c r="C2116" s="5">
        <v>573006476723</v>
      </c>
      <c r="D2116" s="5">
        <v>31</v>
      </c>
      <c r="E2116" s="5" t="s">
        <v>375</v>
      </c>
      <c r="F2116" s="5" t="s">
        <v>110</v>
      </c>
      <c r="G2116" s="5" t="s">
        <v>12766</v>
      </c>
      <c r="H2116" s="10" t="s">
        <v>3330</v>
      </c>
      <c r="I2116" s="5">
        <v>573118298594</v>
      </c>
      <c r="J2116" s="12">
        <v>46086</v>
      </c>
      <c r="K2116" s="11">
        <v>0.64583333333212067</v>
      </c>
      <c r="M2116" s="10" t="s">
        <v>14817</v>
      </c>
      <c r="N2116" s="12">
        <v>46086.572192245367</v>
      </c>
      <c r="O2116" s="10" t="s">
        <v>17051</v>
      </c>
      <c r="P2116" s="5" t="s">
        <v>14571</v>
      </c>
      <c r="Q2116" s="5" t="s">
        <v>14572</v>
      </c>
      <c r="R2116" s="5" t="s">
        <v>19539</v>
      </c>
      <c r="T2116" s="5" t="s">
        <v>5994</v>
      </c>
      <c r="U2116" s="5" t="s">
        <v>14593</v>
      </c>
      <c r="V2116" s="5" t="s">
        <v>67</v>
      </c>
      <c r="W2116" s="5"/>
    </row>
    <row r="2117" spans="1:23" ht="12.5">
      <c r="A2117" s="5">
        <v>92630</v>
      </c>
      <c r="B2117" s="5" t="s">
        <v>19540</v>
      </c>
      <c r="C2117" s="5">
        <v>573005984919</v>
      </c>
      <c r="D2117" s="5" t="s">
        <v>14589</v>
      </c>
      <c r="E2117" s="5" t="s">
        <v>12761</v>
      </c>
      <c r="F2117" s="5" t="s">
        <v>886</v>
      </c>
      <c r="G2117" s="5" t="s">
        <v>12759</v>
      </c>
      <c r="H2117" s="5" t="s">
        <v>12760</v>
      </c>
      <c r="I2117" s="5">
        <v>573005984919</v>
      </c>
      <c r="J2117" s="12">
        <v>46086</v>
      </c>
      <c r="K2117" s="11">
        <v>0.625</v>
      </c>
      <c r="M2117" s="10" t="s">
        <v>14708</v>
      </c>
      <c r="N2117" s="12">
        <v>46086.567822187499</v>
      </c>
      <c r="O2117" s="10" t="s">
        <v>17913</v>
      </c>
      <c r="P2117" s="5" t="s">
        <v>14571</v>
      </c>
      <c r="Q2117" s="5" t="s">
        <v>14578</v>
      </c>
      <c r="R2117" s="5" t="s">
        <v>19541</v>
      </c>
      <c r="T2117" s="5" t="s">
        <v>5994</v>
      </c>
      <c r="U2117" s="5" t="s">
        <v>14618</v>
      </c>
      <c r="V2117" s="5" t="s">
        <v>67</v>
      </c>
      <c r="W2117" s="5" t="s">
        <v>12764</v>
      </c>
    </row>
    <row r="2118" spans="1:23" ht="12.5">
      <c r="A2118" s="5">
        <v>92631</v>
      </c>
      <c r="B2118" s="5" t="s">
        <v>19542</v>
      </c>
      <c r="C2118" s="10" t="s">
        <v>19543</v>
      </c>
      <c r="D2118" s="5">
        <v>62</v>
      </c>
      <c r="E2118" s="5" t="s">
        <v>12484</v>
      </c>
      <c r="F2118" s="5" t="s">
        <v>1057</v>
      </c>
      <c r="G2118" s="5" t="s">
        <v>19544</v>
      </c>
      <c r="H2118" s="5" t="s">
        <v>12771</v>
      </c>
      <c r="I2118" s="5">
        <v>573104459063</v>
      </c>
      <c r="J2118" s="12">
        <v>46086</v>
      </c>
      <c r="K2118" s="11">
        <v>0.625</v>
      </c>
      <c r="M2118" s="10" t="s">
        <v>15327</v>
      </c>
      <c r="N2118" s="12">
        <v>46086</v>
      </c>
      <c r="O2118" s="10" t="s">
        <v>16024</v>
      </c>
      <c r="P2118" s="5" t="s">
        <v>14571</v>
      </c>
      <c r="Q2118" s="5" t="s">
        <v>14612</v>
      </c>
      <c r="R2118" s="5" t="s">
        <v>19545</v>
      </c>
      <c r="T2118" s="5" t="s">
        <v>5994</v>
      </c>
      <c r="U2118" s="5" t="s">
        <v>14580</v>
      </c>
      <c r="V2118" s="5" t="s">
        <v>67</v>
      </c>
      <c r="W2118" s="5"/>
    </row>
    <row r="2119" spans="1:23" ht="12.5">
      <c r="A2119" s="5">
        <v>92632</v>
      </c>
      <c r="B2119" s="5" t="s">
        <v>19546</v>
      </c>
      <c r="C2119" s="10" t="s">
        <v>19547</v>
      </c>
      <c r="D2119" s="5">
        <v>53</v>
      </c>
      <c r="E2119" s="5" t="s">
        <v>12423</v>
      </c>
      <c r="F2119" s="5" t="s">
        <v>168</v>
      </c>
      <c r="G2119" s="5" t="s">
        <v>270</v>
      </c>
      <c r="H2119" s="5" t="s">
        <v>12775</v>
      </c>
      <c r="I2119" s="5">
        <v>573209535750</v>
      </c>
      <c r="J2119" s="12">
        <v>46087</v>
      </c>
      <c r="K2119" s="11">
        <v>0.375</v>
      </c>
      <c r="M2119" s="10" t="s">
        <v>19548</v>
      </c>
      <c r="N2119" s="12">
        <v>46086</v>
      </c>
      <c r="O2119" s="10" t="s">
        <v>16402</v>
      </c>
      <c r="P2119" s="5" t="s">
        <v>14571</v>
      </c>
      <c r="Q2119" s="5" t="s">
        <v>14699</v>
      </c>
      <c r="R2119" s="5" t="s">
        <v>19549</v>
      </c>
      <c r="T2119" s="5" t="s">
        <v>5994</v>
      </c>
      <c r="U2119" s="5" t="s">
        <v>14580</v>
      </c>
      <c r="V2119" s="5" t="s">
        <v>67</v>
      </c>
      <c r="W2119" s="5"/>
    </row>
    <row r="2120" spans="1:23" ht="12.5">
      <c r="A2120" s="5">
        <v>92633</v>
      </c>
      <c r="B2120" s="5" t="s">
        <v>19550</v>
      </c>
      <c r="C2120" s="5">
        <v>573205337978</v>
      </c>
      <c r="D2120" s="5">
        <v>59</v>
      </c>
      <c r="E2120" s="5" t="s">
        <v>148</v>
      </c>
      <c r="F2120" s="5" t="s">
        <v>63</v>
      </c>
      <c r="G2120" s="5" t="s">
        <v>12753</v>
      </c>
      <c r="H2120" s="5" t="s">
        <v>12754</v>
      </c>
      <c r="I2120" s="5">
        <v>573106300516</v>
      </c>
      <c r="J2120" s="12">
        <v>46091</v>
      </c>
      <c r="K2120" s="11">
        <v>0.375</v>
      </c>
      <c r="M2120" s="10" t="s">
        <v>14870</v>
      </c>
      <c r="N2120" s="12">
        <v>46086.558831944443</v>
      </c>
      <c r="O2120" s="10" t="s">
        <v>18652</v>
      </c>
      <c r="P2120" s="5" t="s">
        <v>14571</v>
      </c>
      <c r="Q2120" s="5" t="s">
        <v>14612</v>
      </c>
      <c r="R2120" s="5" t="s">
        <v>19551</v>
      </c>
      <c r="T2120" s="5" t="s">
        <v>5994</v>
      </c>
      <c r="U2120" s="5" t="s">
        <v>14598</v>
      </c>
      <c r="V2120" s="5" t="s">
        <v>2163</v>
      </c>
      <c r="W2120" s="5"/>
    </row>
    <row r="2121" spans="1:23" ht="12.5">
      <c r="A2121" s="5">
        <v>92634</v>
      </c>
      <c r="B2121" s="5" t="s">
        <v>19552</v>
      </c>
      <c r="C2121" s="10" t="s">
        <v>19553</v>
      </c>
      <c r="D2121" s="5">
        <v>53</v>
      </c>
      <c r="E2121" s="5" t="s">
        <v>12423</v>
      </c>
      <c r="F2121" s="5" t="s">
        <v>249</v>
      </c>
      <c r="G2121" s="5" t="s">
        <v>12778</v>
      </c>
      <c r="H2121" s="5" t="s">
        <v>12779</v>
      </c>
      <c r="I2121" s="5">
        <v>573205174458</v>
      </c>
      <c r="J2121" s="12">
        <v>46089</v>
      </c>
      <c r="K2121" s="11">
        <v>0.375</v>
      </c>
      <c r="M2121" s="10" t="s">
        <v>14627</v>
      </c>
      <c r="N2121" s="12">
        <v>46086</v>
      </c>
      <c r="O2121" s="10" t="s">
        <v>17924</v>
      </c>
      <c r="P2121" s="5" t="s">
        <v>14571</v>
      </c>
      <c r="Q2121" s="5" t="s">
        <v>16907</v>
      </c>
      <c r="R2121" s="5" t="s">
        <v>19554</v>
      </c>
      <c r="T2121" s="5" t="s">
        <v>5994</v>
      </c>
      <c r="U2121" s="5" t="s">
        <v>14593</v>
      </c>
      <c r="V2121" s="5" t="s">
        <v>12646</v>
      </c>
      <c r="W2121" s="5" t="s">
        <v>12782</v>
      </c>
    </row>
    <row r="2122" spans="1:23" ht="12.5">
      <c r="A2122" s="5">
        <v>92635</v>
      </c>
      <c r="B2122" s="5" t="s">
        <v>19555</v>
      </c>
      <c r="C2122" s="5">
        <v>573125657807</v>
      </c>
      <c r="D2122" s="5">
        <v>70</v>
      </c>
      <c r="E2122" s="5" t="s">
        <v>12522</v>
      </c>
      <c r="F2122" s="5" t="s">
        <v>12657</v>
      </c>
      <c r="G2122" s="5" t="s">
        <v>12783</v>
      </c>
      <c r="H2122" s="5" t="s">
        <v>12657</v>
      </c>
      <c r="I2122" s="5">
        <v>573125657807</v>
      </c>
      <c r="J2122" s="12">
        <v>46087</v>
      </c>
      <c r="K2122" s="11">
        <v>0.33333333333212067</v>
      </c>
      <c r="M2122" s="10" t="s">
        <v>16385</v>
      </c>
      <c r="N2122" s="12">
        <v>46086.634551435185</v>
      </c>
      <c r="O2122" s="10" t="s">
        <v>15947</v>
      </c>
      <c r="P2122" s="5" t="s">
        <v>14571</v>
      </c>
      <c r="Q2122" s="5" t="s">
        <v>14572</v>
      </c>
      <c r="R2122" s="5" t="s">
        <v>19556</v>
      </c>
      <c r="T2122" s="5" t="s">
        <v>5994</v>
      </c>
      <c r="U2122" s="5"/>
      <c r="V2122" s="5" t="s">
        <v>67</v>
      </c>
      <c r="W2122" s="5" t="s">
        <v>12786</v>
      </c>
    </row>
    <row r="2123" spans="1:23" ht="12.5">
      <c r="A2123" s="5">
        <v>92636</v>
      </c>
      <c r="B2123" s="5" t="s">
        <v>19557</v>
      </c>
      <c r="C2123" s="5">
        <v>573153995975</v>
      </c>
      <c r="D2123" s="5">
        <v>31</v>
      </c>
      <c r="E2123" s="5" t="s">
        <v>375</v>
      </c>
      <c r="F2123" s="5" t="s">
        <v>73</v>
      </c>
      <c r="G2123" s="5" t="s">
        <v>12797</v>
      </c>
      <c r="H2123" s="5" t="s">
        <v>12798</v>
      </c>
      <c r="I2123" s="5">
        <v>573016779324</v>
      </c>
      <c r="J2123" s="12">
        <v>46086</v>
      </c>
      <c r="K2123" s="11">
        <v>0.66666666666787933</v>
      </c>
      <c r="M2123" s="10" t="s">
        <v>14850</v>
      </c>
      <c r="N2123" s="12">
        <v>46086.661901493055</v>
      </c>
      <c r="O2123" s="10" t="s">
        <v>18947</v>
      </c>
      <c r="P2123" s="5" t="s">
        <v>14571</v>
      </c>
      <c r="Q2123" s="5" t="s">
        <v>14699</v>
      </c>
      <c r="R2123" s="5" t="s">
        <v>19558</v>
      </c>
      <c r="T2123" s="5" t="s">
        <v>5994</v>
      </c>
      <c r="U2123" s="5" t="s">
        <v>14593</v>
      </c>
      <c r="V2123" s="5" t="s">
        <v>67</v>
      </c>
      <c r="W2123" s="5"/>
    </row>
    <row r="2124" spans="1:23" ht="12.5">
      <c r="A2124" s="5">
        <v>92637</v>
      </c>
      <c r="B2124" s="5" t="s">
        <v>19559</v>
      </c>
      <c r="C2124" s="5">
        <v>573012563710</v>
      </c>
      <c r="D2124" s="5">
        <v>73</v>
      </c>
      <c r="E2124" s="5" t="s">
        <v>918</v>
      </c>
      <c r="F2124" s="5" t="s">
        <v>563</v>
      </c>
      <c r="G2124" s="5" t="s">
        <v>12788</v>
      </c>
      <c r="H2124" s="5" t="s">
        <v>12789</v>
      </c>
      <c r="I2124" s="5">
        <v>573012563710</v>
      </c>
      <c r="J2124" s="12">
        <v>46086</v>
      </c>
      <c r="K2124" s="11">
        <v>0.66666666666787933</v>
      </c>
      <c r="M2124" s="10" t="s">
        <v>17715</v>
      </c>
      <c r="N2124" s="12">
        <v>46086.638717164351</v>
      </c>
      <c r="O2124" s="10" t="s">
        <v>15370</v>
      </c>
      <c r="P2124" s="5" t="s">
        <v>14571</v>
      </c>
      <c r="Q2124" s="5" t="s">
        <v>14572</v>
      </c>
      <c r="R2124" s="5" t="s">
        <v>19560</v>
      </c>
      <c r="T2124" s="5" t="s">
        <v>5994</v>
      </c>
      <c r="U2124" s="5" t="s">
        <v>14775</v>
      </c>
      <c r="V2124" s="5" t="s">
        <v>67</v>
      </c>
      <c r="W2124" s="5"/>
    </row>
    <row r="2125" spans="1:23" ht="12.5">
      <c r="A2125" s="5">
        <v>92638</v>
      </c>
      <c r="B2125" s="5" t="s">
        <v>19561</v>
      </c>
      <c r="C2125" s="10" t="s">
        <v>19562</v>
      </c>
      <c r="D2125" s="5">
        <v>95</v>
      </c>
      <c r="E2125" s="5" t="s">
        <v>42</v>
      </c>
      <c r="F2125" s="5" t="s">
        <v>1317</v>
      </c>
      <c r="G2125" s="5" t="s">
        <v>12805</v>
      </c>
      <c r="H2125" s="5" t="s">
        <v>12806</v>
      </c>
      <c r="I2125" s="5">
        <v>573013512007</v>
      </c>
      <c r="J2125" s="12">
        <v>46086</v>
      </c>
      <c r="K2125" s="11">
        <v>0.70833333333333337</v>
      </c>
      <c r="M2125" s="10" t="s">
        <v>16243</v>
      </c>
      <c r="N2125" s="12">
        <v>46086</v>
      </c>
      <c r="O2125" s="10" t="s">
        <v>15363</v>
      </c>
      <c r="P2125" s="5" t="s">
        <v>14571</v>
      </c>
      <c r="Q2125" s="5" t="s">
        <v>14578</v>
      </c>
      <c r="R2125" s="5" t="s">
        <v>19563</v>
      </c>
      <c r="T2125" s="5" t="s">
        <v>5994</v>
      </c>
      <c r="U2125" s="5" t="s">
        <v>15349</v>
      </c>
      <c r="V2125" s="5" t="s">
        <v>67</v>
      </c>
      <c r="W2125" s="5" t="s">
        <v>12807</v>
      </c>
    </row>
    <row r="2126" spans="1:23" ht="12.5">
      <c r="A2126" s="5">
        <v>92639</v>
      </c>
      <c r="B2126" s="5" t="s">
        <v>19564</v>
      </c>
      <c r="C2126" s="5">
        <v>573206407364</v>
      </c>
      <c r="D2126" s="5">
        <v>95</v>
      </c>
      <c r="E2126" s="5" t="s">
        <v>42</v>
      </c>
      <c r="F2126" s="5"/>
      <c r="G2126" s="5" t="s">
        <v>12809</v>
      </c>
      <c r="H2126" s="5" t="s">
        <v>19565</v>
      </c>
      <c r="I2126" s="5"/>
      <c r="J2126" s="12">
        <v>46087</v>
      </c>
      <c r="K2126" s="11">
        <v>0.33333333333212067</v>
      </c>
      <c r="M2126" s="10" t="s">
        <v>17711</v>
      </c>
      <c r="N2126" s="12">
        <v>46086.692220833334</v>
      </c>
      <c r="O2126" s="10" t="s">
        <v>14809</v>
      </c>
      <c r="P2126" s="5" t="s">
        <v>14571</v>
      </c>
      <c r="Q2126" s="5" t="s">
        <v>14578</v>
      </c>
      <c r="R2126" s="5" t="s">
        <v>19566</v>
      </c>
      <c r="T2126" s="5" t="s">
        <v>5994</v>
      </c>
      <c r="U2126" s="5"/>
      <c r="V2126" s="5" t="s">
        <v>12646</v>
      </c>
      <c r="W2126" s="5"/>
    </row>
    <row r="2127" spans="1:23" ht="12.5">
      <c r="A2127" s="5">
        <v>92640</v>
      </c>
      <c r="B2127" s="5" t="s">
        <v>19567</v>
      </c>
      <c r="C2127" s="10" t="s">
        <v>19568</v>
      </c>
      <c r="D2127" s="5">
        <v>70</v>
      </c>
      <c r="E2127" s="5" t="s">
        <v>12522</v>
      </c>
      <c r="F2127" s="5" t="s">
        <v>307</v>
      </c>
      <c r="G2127" s="5" t="s">
        <v>19569</v>
      </c>
      <c r="H2127" s="5" t="s">
        <v>12802</v>
      </c>
      <c r="I2127" s="5">
        <v>573226052493</v>
      </c>
      <c r="J2127" s="12">
        <v>46088</v>
      </c>
      <c r="K2127" s="11">
        <v>0.33333333333333331</v>
      </c>
      <c r="M2127" s="10" t="s">
        <v>14653</v>
      </c>
      <c r="N2127" s="12">
        <v>46086</v>
      </c>
      <c r="O2127" s="10" t="s">
        <v>16034</v>
      </c>
      <c r="P2127" s="5" t="s">
        <v>14571</v>
      </c>
      <c r="Q2127" s="5" t="s">
        <v>14612</v>
      </c>
      <c r="R2127" s="5" t="s">
        <v>19570</v>
      </c>
      <c r="T2127" s="5" t="s">
        <v>5994</v>
      </c>
      <c r="U2127" s="5" t="s">
        <v>14618</v>
      </c>
      <c r="V2127" s="5" t="s">
        <v>12646</v>
      </c>
      <c r="W2127" s="5"/>
    </row>
    <row r="2128" spans="1:23" ht="12.5">
      <c r="A2128" s="5">
        <v>92641</v>
      </c>
      <c r="B2128" s="5" t="s">
        <v>19571</v>
      </c>
      <c r="C2128" s="5">
        <v>573003794304</v>
      </c>
      <c r="D2128" s="5">
        <v>95</v>
      </c>
      <c r="E2128" s="5" t="s">
        <v>42</v>
      </c>
      <c r="F2128" s="5" t="s">
        <v>12657</v>
      </c>
      <c r="G2128" s="5" t="s">
        <v>12820</v>
      </c>
      <c r="H2128" s="5" t="s">
        <v>12657</v>
      </c>
      <c r="I2128" s="5">
        <v>573003794304</v>
      </c>
      <c r="J2128" s="12">
        <v>46086</v>
      </c>
      <c r="K2128" s="11">
        <v>0.70833333333212067</v>
      </c>
      <c r="M2128" s="10" t="s">
        <v>2686</v>
      </c>
      <c r="N2128" s="12">
        <v>46086.724716400466</v>
      </c>
      <c r="O2128" s="10" t="s">
        <v>15213</v>
      </c>
      <c r="P2128" s="5" t="s">
        <v>14571</v>
      </c>
      <c r="Q2128" s="5" t="s">
        <v>14612</v>
      </c>
      <c r="R2128" s="5" t="s">
        <v>19572</v>
      </c>
      <c r="T2128" s="5" t="s">
        <v>5994</v>
      </c>
      <c r="U2128" s="5"/>
      <c r="V2128" s="5" t="s">
        <v>180</v>
      </c>
      <c r="W2128" s="5" t="s">
        <v>12821</v>
      </c>
    </row>
    <row r="2129" spans="1:23" ht="12.5">
      <c r="A2129" s="5">
        <v>92642</v>
      </c>
      <c r="B2129" s="5" t="s">
        <v>19573</v>
      </c>
      <c r="C2129" s="5">
        <v>573202773972</v>
      </c>
      <c r="D2129" s="5" t="s">
        <v>19574</v>
      </c>
      <c r="E2129" s="5" t="s">
        <v>12814</v>
      </c>
      <c r="F2129" s="5" t="s">
        <v>154</v>
      </c>
      <c r="G2129" s="5" t="s">
        <v>12812</v>
      </c>
      <c r="H2129" s="5" t="s">
        <v>12813</v>
      </c>
      <c r="I2129" s="5">
        <v>573202773972</v>
      </c>
      <c r="J2129" s="12">
        <v>46086</v>
      </c>
      <c r="K2129" s="11">
        <v>0.75</v>
      </c>
      <c r="M2129" s="10" t="s">
        <v>17609</v>
      </c>
      <c r="N2129" s="12">
        <v>46086.71069122685</v>
      </c>
      <c r="O2129" s="10" t="s">
        <v>19441</v>
      </c>
      <c r="P2129" s="5" t="s">
        <v>14571</v>
      </c>
      <c r="Q2129" s="5" t="s">
        <v>14699</v>
      </c>
      <c r="R2129" s="5" t="s">
        <v>19575</v>
      </c>
      <c r="T2129" s="5" t="s">
        <v>5994</v>
      </c>
      <c r="U2129" s="5" t="s">
        <v>14593</v>
      </c>
      <c r="V2129" s="5" t="s">
        <v>67</v>
      </c>
      <c r="W2129" s="5"/>
    </row>
    <row r="2130" spans="1:23" ht="12.5">
      <c r="A2130" s="5">
        <v>92643</v>
      </c>
      <c r="B2130" s="5" t="s">
        <v>19576</v>
      </c>
      <c r="C2130" s="5">
        <v>573007729657</v>
      </c>
      <c r="D2130" s="5">
        <v>27</v>
      </c>
      <c r="E2130" s="5" t="s">
        <v>12793</v>
      </c>
      <c r="F2130" s="5" t="s">
        <v>185</v>
      </c>
      <c r="G2130" s="5" t="s">
        <v>12791</v>
      </c>
      <c r="H2130" s="5" t="s">
        <v>12792</v>
      </c>
      <c r="I2130" s="5">
        <v>573002091781</v>
      </c>
      <c r="J2130" s="12">
        <v>46087</v>
      </c>
      <c r="K2130" s="11">
        <v>0.375</v>
      </c>
      <c r="M2130" s="10" t="s">
        <v>14639</v>
      </c>
      <c r="N2130" s="12">
        <v>46086.659706180551</v>
      </c>
      <c r="O2130" s="10" t="s">
        <v>15026</v>
      </c>
      <c r="P2130" s="5" t="s">
        <v>14571</v>
      </c>
      <c r="Q2130" s="5" t="s">
        <v>14612</v>
      </c>
      <c r="R2130" s="5" t="s">
        <v>19577</v>
      </c>
      <c r="T2130" s="5" t="s">
        <v>5994</v>
      </c>
      <c r="U2130" s="5" t="s">
        <v>14580</v>
      </c>
      <c r="V2130" s="5" t="s">
        <v>67</v>
      </c>
      <c r="W2130" s="5"/>
    </row>
    <row r="2131" spans="1:23" ht="12.5">
      <c r="A2131" s="5">
        <v>92644</v>
      </c>
      <c r="B2131" s="5" t="s">
        <v>12816</v>
      </c>
      <c r="C2131" s="10" t="s">
        <v>19578</v>
      </c>
      <c r="D2131" s="5">
        <v>46</v>
      </c>
      <c r="E2131" s="5" t="s">
        <v>12817</v>
      </c>
      <c r="F2131" s="5" t="s">
        <v>12657</v>
      </c>
      <c r="G2131" s="5" t="s">
        <v>12815</v>
      </c>
      <c r="H2131" s="5" t="s">
        <v>12657</v>
      </c>
      <c r="I2131" s="5">
        <v>573135319170</v>
      </c>
      <c r="J2131" s="12">
        <v>46089</v>
      </c>
      <c r="K2131" s="11">
        <v>0.375</v>
      </c>
      <c r="M2131" s="10" t="s">
        <v>16797</v>
      </c>
      <c r="N2131" s="12">
        <v>46086</v>
      </c>
      <c r="O2131" s="10" t="s">
        <v>16867</v>
      </c>
      <c r="P2131" s="5" t="s">
        <v>14571</v>
      </c>
      <c r="Q2131" s="5" t="s">
        <v>14578</v>
      </c>
      <c r="R2131" s="5" t="s">
        <v>19579</v>
      </c>
      <c r="T2131" s="5" t="s">
        <v>5994</v>
      </c>
      <c r="U2131" s="5"/>
      <c r="V2131" s="5" t="s">
        <v>12646</v>
      </c>
      <c r="W2131" s="5"/>
    </row>
    <row r="2132" spans="1:23" ht="12.5">
      <c r="A2132" s="5">
        <v>92645</v>
      </c>
      <c r="B2132" s="5" t="s">
        <v>19580</v>
      </c>
      <c r="C2132" s="5">
        <v>573153543653</v>
      </c>
      <c r="D2132" s="5">
        <v>95</v>
      </c>
      <c r="E2132" s="5" t="s">
        <v>42</v>
      </c>
      <c r="F2132" s="5" t="s">
        <v>12657</v>
      </c>
      <c r="G2132" s="5" t="s">
        <v>5734</v>
      </c>
      <c r="H2132" s="5" t="s">
        <v>12657</v>
      </c>
      <c r="I2132" s="5">
        <v>573153543653</v>
      </c>
      <c r="J2132" s="12">
        <v>46086</v>
      </c>
      <c r="K2132" s="11">
        <v>0</v>
      </c>
      <c r="M2132" s="10" t="s">
        <v>2686</v>
      </c>
      <c r="N2132" s="12">
        <v>46086.746920613426</v>
      </c>
      <c r="O2132" s="10" t="s">
        <v>16425</v>
      </c>
      <c r="P2132" s="5" t="s">
        <v>14571</v>
      </c>
      <c r="Q2132" s="5" t="s">
        <v>14572</v>
      </c>
      <c r="R2132" s="5" t="s">
        <v>19581</v>
      </c>
      <c r="T2132" s="5" t="s">
        <v>5994</v>
      </c>
      <c r="U2132" s="5"/>
      <c r="V2132" s="5" t="s">
        <v>43</v>
      </c>
      <c r="W2132" s="5"/>
    </row>
    <row r="2133" spans="1:23" ht="12.5">
      <c r="A2133" s="5">
        <v>92646</v>
      </c>
      <c r="B2133" s="5" t="s">
        <v>19582</v>
      </c>
      <c r="C2133" s="5">
        <v>573188044510</v>
      </c>
      <c r="D2133" s="5">
        <v>95</v>
      </c>
      <c r="E2133" s="5" t="s">
        <v>42</v>
      </c>
      <c r="F2133" s="5" t="s">
        <v>154</v>
      </c>
      <c r="G2133" s="5" t="s">
        <v>12823</v>
      </c>
      <c r="H2133" s="5" t="s">
        <v>12824</v>
      </c>
      <c r="I2133" s="5">
        <v>573188044510</v>
      </c>
      <c r="J2133" s="12">
        <v>46087</v>
      </c>
      <c r="K2133" s="11">
        <v>0.41666666666787933</v>
      </c>
      <c r="M2133" s="10" t="s">
        <v>19583</v>
      </c>
      <c r="N2133" s="12">
        <v>46086.759516087965</v>
      </c>
      <c r="O2133" s="10" t="s">
        <v>16495</v>
      </c>
      <c r="P2133" s="5" t="s">
        <v>14571</v>
      </c>
      <c r="Q2133" s="5" t="s">
        <v>14699</v>
      </c>
      <c r="R2133" s="5" t="s">
        <v>19584</v>
      </c>
      <c r="T2133" s="5" t="s">
        <v>5994</v>
      </c>
      <c r="U2133" s="5" t="s">
        <v>14593</v>
      </c>
      <c r="V2133" s="5" t="s">
        <v>67</v>
      </c>
      <c r="W2133" s="5"/>
    </row>
    <row r="2134" spans="1:23" ht="12.5">
      <c r="A2134" s="5">
        <v>92647</v>
      </c>
      <c r="B2134" s="5" t="s">
        <v>19585</v>
      </c>
      <c r="C2134" s="10" t="s">
        <v>19586</v>
      </c>
      <c r="D2134" s="5">
        <v>38</v>
      </c>
      <c r="E2134" s="5" t="s">
        <v>458</v>
      </c>
      <c r="F2134" s="5" t="s">
        <v>73</v>
      </c>
      <c r="G2134" s="5" t="s">
        <v>12837</v>
      </c>
      <c r="H2134" s="5" t="s">
        <v>12838</v>
      </c>
      <c r="I2134" s="5">
        <v>573504309067</v>
      </c>
      <c r="J2134" s="12">
        <v>46087</v>
      </c>
      <c r="K2134" s="11">
        <v>0.375</v>
      </c>
      <c r="M2134" s="10" t="s">
        <v>16192</v>
      </c>
      <c r="N2134" s="12">
        <v>46087</v>
      </c>
      <c r="O2134" s="10" t="s">
        <v>16572</v>
      </c>
      <c r="P2134" s="5" t="s">
        <v>14571</v>
      </c>
      <c r="Q2134" s="5" t="s">
        <v>14572</v>
      </c>
      <c r="R2134" s="5" t="s">
        <v>19587</v>
      </c>
      <c r="T2134" s="5" t="s">
        <v>5994</v>
      </c>
      <c r="U2134" s="5" t="s">
        <v>14593</v>
      </c>
      <c r="V2134" s="5" t="s">
        <v>67</v>
      </c>
      <c r="W2134" s="5"/>
    </row>
    <row r="2135" spans="1:23" ht="12.5">
      <c r="A2135" s="5">
        <v>92648</v>
      </c>
      <c r="B2135" s="5" t="s">
        <v>19588</v>
      </c>
      <c r="C2135" s="10" t="s">
        <v>19589</v>
      </c>
      <c r="D2135" s="5" t="s">
        <v>19590</v>
      </c>
      <c r="E2135" s="5" t="s">
        <v>12834</v>
      </c>
      <c r="F2135" s="5" t="s">
        <v>185</v>
      </c>
      <c r="G2135" s="5" t="s">
        <v>1969</v>
      </c>
      <c r="H2135" s="5" t="s">
        <v>12833</v>
      </c>
      <c r="I2135" s="5">
        <v>573103232252</v>
      </c>
      <c r="J2135" s="12">
        <v>46089</v>
      </c>
      <c r="K2135" s="11">
        <v>0.33333333333333331</v>
      </c>
      <c r="M2135" s="10" t="s">
        <v>19591</v>
      </c>
      <c r="N2135" s="12">
        <v>46087</v>
      </c>
      <c r="O2135" s="10" t="s">
        <v>19054</v>
      </c>
      <c r="P2135" s="5" t="s">
        <v>14571</v>
      </c>
      <c r="Q2135" s="5" t="s">
        <v>16907</v>
      </c>
      <c r="R2135" s="5" t="s">
        <v>19592</v>
      </c>
      <c r="T2135" s="5" t="s">
        <v>5994</v>
      </c>
      <c r="U2135" s="5" t="s">
        <v>14580</v>
      </c>
      <c r="V2135" s="5" t="s">
        <v>12646</v>
      </c>
      <c r="W2135" s="5"/>
    </row>
    <row r="2136" spans="1:23" ht="12.5">
      <c r="A2136" s="5">
        <v>92649</v>
      </c>
      <c r="B2136" s="5" t="s">
        <v>19593</v>
      </c>
      <c r="C2136" s="5">
        <v>573183607759</v>
      </c>
      <c r="D2136" s="5">
        <v>95</v>
      </c>
      <c r="E2136" s="5" t="s">
        <v>42</v>
      </c>
      <c r="F2136" s="5" t="s">
        <v>12657</v>
      </c>
      <c r="G2136" s="5" t="s">
        <v>4906</v>
      </c>
      <c r="H2136" s="5" t="s">
        <v>12657</v>
      </c>
      <c r="I2136" s="5">
        <v>573183607759</v>
      </c>
      <c r="J2136" s="12">
        <v>46087</v>
      </c>
      <c r="K2136" s="11">
        <v>0</v>
      </c>
      <c r="M2136" s="10" t="s">
        <v>14705</v>
      </c>
      <c r="N2136" s="12">
        <v>46087.34164716435</v>
      </c>
      <c r="O2136" s="10" t="s">
        <v>16806</v>
      </c>
      <c r="P2136" s="5" t="s">
        <v>14571</v>
      </c>
      <c r="Q2136" s="5" t="s">
        <v>14578</v>
      </c>
      <c r="R2136" s="5" t="s">
        <v>19594</v>
      </c>
      <c r="T2136" s="5" t="s">
        <v>5994</v>
      </c>
      <c r="U2136" s="5"/>
      <c r="V2136" s="5" t="s">
        <v>1705</v>
      </c>
      <c r="W2136" s="5"/>
    </row>
    <row r="2137" spans="1:23" ht="12.5">
      <c r="A2137" s="5">
        <v>92650</v>
      </c>
      <c r="B2137" s="5" t="s">
        <v>19595</v>
      </c>
      <c r="C2137" s="5">
        <v>573014499819</v>
      </c>
      <c r="D2137" s="5">
        <v>65</v>
      </c>
      <c r="E2137" s="5" t="s">
        <v>322</v>
      </c>
      <c r="F2137" s="5" t="s">
        <v>1921</v>
      </c>
      <c r="G2137" s="5" t="s">
        <v>12859</v>
      </c>
      <c r="H2137" s="5" t="s">
        <v>12860</v>
      </c>
      <c r="I2137" s="5">
        <v>573197235806</v>
      </c>
      <c r="J2137" s="12">
        <v>46087</v>
      </c>
      <c r="K2137" s="11">
        <v>0.41666666666787933</v>
      </c>
      <c r="M2137" s="10" t="s">
        <v>14646</v>
      </c>
      <c r="N2137" s="12">
        <v>46087.356369444446</v>
      </c>
      <c r="O2137" s="10" t="s">
        <v>15971</v>
      </c>
      <c r="P2137" s="5" t="s">
        <v>14571</v>
      </c>
      <c r="Q2137" s="5" t="s">
        <v>14612</v>
      </c>
      <c r="R2137" s="5" t="s">
        <v>19596</v>
      </c>
      <c r="T2137" s="5" t="s">
        <v>5994</v>
      </c>
      <c r="U2137" s="5" t="s">
        <v>14580</v>
      </c>
      <c r="V2137" s="5" t="s">
        <v>180</v>
      </c>
      <c r="W2137" s="5"/>
    </row>
    <row r="2138" spans="1:23" ht="12.5">
      <c r="A2138" s="5">
        <v>92651</v>
      </c>
      <c r="B2138" s="5" t="s">
        <v>19597</v>
      </c>
      <c r="C2138" s="5">
        <v>573229447327</v>
      </c>
      <c r="D2138" s="5">
        <v>95</v>
      </c>
      <c r="E2138" s="5" t="s">
        <v>42</v>
      </c>
      <c r="F2138" s="5" t="s">
        <v>12657</v>
      </c>
      <c r="G2138" s="5" t="s">
        <v>5007</v>
      </c>
      <c r="H2138" s="5" t="s">
        <v>12657</v>
      </c>
      <c r="I2138" s="5">
        <v>573229447327</v>
      </c>
      <c r="J2138" s="12">
        <v>46087</v>
      </c>
      <c r="K2138" s="11">
        <v>0</v>
      </c>
      <c r="M2138" s="10" t="s">
        <v>14863</v>
      </c>
      <c r="N2138" s="12">
        <v>46087.366602615744</v>
      </c>
      <c r="O2138" s="10" t="s">
        <v>15184</v>
      </c>
      <c r="P2138" s="5" t="s">
        <v>14571</v>
      </c>
      <c r="Q2138" s="5" t="s">
        <v>14699</v>
      </c>
      <c r="R2138" s="5" t="s">
        <v>19598</v>
      </c>
      <c r="T2138" s="5" t="s">
        <v>5994</v>
      </c>
      <c r="U2138" s="5"/>
      <c r="V2138" s="5" t="s">
        <v>1705</v>
      </c>
      <c r="W2138" s="5" t="s">
        <v>12866</v>
      </c>
    </row>
    <row r="2139" spans="1:23" ht="12.5">
      <c r="A2139" s="5">
        <v>92652</v>
      </c>
      <c r="B2139" s="5" t="s">
        <v>19599</v>
      </c>
      <c r="C2139" s="5">
        <v>573017246593</v>
      </c>
      <c r="D2139" s="5">
        <v>52</v>
      </c>
      <c r="E2139" s="5" t="s">
        <v>12496</v>
      </c>
      <c r="F2139" s="5" t="s">
        <v>249</v>
      </c>
      <c r="G2139" s="5" t="s">
        <v>12848</v>
      </c>
      <c r="H2139" s="5" t="s">
        <v>12849</v>
      </c>
      <c r="I2139" s="5">
        <v>573005136298</v>
      </c>
      <c r="J2139" s="12">
        <v>46087</v>
      </c>
      <c r="K2139" s="11">
        <v>0.41666666666787933</v>
      </c>
      <c r="M2139" s="10" t="s">
        <v>10581</v>
      </c>
      <c r="N2139" s="12">
        <v>46087.341061655097</v>
      </c>
      <c r="O2139" s="10" t="s">
        <v>15007</v>
      </c>
      <c r="P2139" s="5" t="s">
        <v>14571</v>
      </c>
      <c r="Q2139" s="5" t="s">
        <v>14572</v>
      </c>
      <c r="R2139" s="5" t="s">
        <v>19600</v>
      </c>
      <c r="T2139" s="5" t="s">
        <v>5994</v>
      </c>
      <c r="U2139" s="5" t="s">
        <v>14593</v>
      </c>
      <c r="V2139" s="5" t="s">
        <v>67</v>
      </c>
      <c r="W2139" s="5"/>
    </row>
    <row r="2140" spans="1:23" ht="12.5">
      <c r="A2140" s="5">
        <v>92653</v>
      </c>
      <c r="B2140" s="5" t="s">
        <v>19601</v>
      </c>
      <c r="C2140" s="5">
        <v>573157214282</v>
      </c>
      <c r="D2140" s="5">
        <v>27</v>
      </c>
      <c r="E2140" s="5" t="s">
        <v>12793</v>
      </c>
      <c r="F2140" s="5" t="s">
        <v>4558</v>
      </c>
      <c r="G2140" s="5" t="s">
        <v>4557</v>
      </c>
      <c r="H2140" s="5" t="s">
        <v>12864</v>
      </c>
      <c r="I2140" s="5">
        <v>573003475586</v>
      </c>
      <c r="J2140" s="12">
        <v>46087</v>
      </c>
      <c r="K2140" s="11">
        <v>0.33333333333212067</v>
      </c>
      <c r="M2140" s="10" t="s">
        <v>14585</v>
      </c>
      <c r="N2140" s="12">
        <v>46087.363670451392</v>
      </c>
      <c r="O2140" s="10" t="s">
        <v>15173</v>
      </c>
      <c r="P2140" s="5" t="s">
        <v>14571</v>
      </c>
      <c r="Q2140" s="5" t="s">
        <v>14578</v>
      </c>
      <c r="R2140" s="5" t="s">
        <v>19602</v>
      </c>
      <c r="T2140" s="5" t="s">
        <v>5994</v>
      </c>
      <c r="U2140" s="5" t="s">
        <v>14593</v>
      </c>
      <c r="V2140" s="5" t="s">
        <v>12646</v>
      </c>
      <c r="W2140" s="5"/>
    </row>
    <row r="2141" spans="1:23" ht="12.5">
      <c r="A2141" s="5">
        <v>92654</v>
      </c>
      <c r="B2141" s="5" t="s">
        <v>19603</v>
      </c>
      <c r="C2141" s="5">
        <v>573116881567</v>
      </c>
      <c r="D2141" s="5">
        <v>95</v>
      </c>
      <c r="E2141" s="5" t="s">
        <v>42</v>
      </c>
      <c r="F2141" s="5" t="s">
        <v>161</v>
      </c>
      <c r="G2141" s="5" t="s">
        <v>1156</v>
      </c>
      <c r="H2141" s="5" t="s">
        <v>12872</v>
      </c>
      <c r="I2141" s="5">
        <v>573116881567</v>
      </c>
      <c r="J2141" s="12">
        <v>46087</v>
      </c>
      <c r="K2141" s="11">
        <v>0.95833333333212067</v>
      </c>
      <c r="M2141" s="10" t="s">
        <v>15785</v>
      </c>
      <c r="N2141" s="12">
        <v>46087.394994444447</v>
      </c>
      <c r="O2141" s="10" t="s">
        <v>17510</v>
      </c>
      <c r="P2141" s="5" t="s">
        <v>14571</v>
      </c>
      <c r="Q2141" s="5" t="s">
        <v>14612</v>
      </c>
      <c r="R2141" s="5" t="s">
        <v>19604</v>
      </c>
      <c r="T2141" s="5" t="s">
        <v>5994</v>
      </c>
      <c r="U2141" s="5" t="s">
        <v>14593</v>
      </c>
      <c r="V2141" s="5" t="s">
        <v>67</v>
      </c>
      <c r="W2141" s="5" t="s">
        <v>12873</v>
      </c>
    </row>
    <row r="2142" spans="1:23" ht="12.5">
      <c r="A2142" s="5">
        <v>92655</v>
      </c>
      <c r="B2142" s="5" t="s">
        <v>19605</v>
      </c>
      <c r="C2142" s="5">
        <v>573173317836</v>
      </c>
      <c r="D2142" s="5">
        <v>96</v>
      </c>
      <c r="E2142" s="5" t="s">
        <v>12651</v>
      </c>
      <c r="F2142" s="5" t="s">
        <v>5574</v>
      </c>
      <c r="G2142" s="5" t="s">
        <v>12868</v>
      </c>
      <c r="H2142" s="5" t="s">
        <v>12869</v>
      </c>
      <c r="I2142" s="5">
        <v>573173317836</v>
      </c>
      <c r="J2142" s="12">
        <v>46087</v>
      </c>
      <c r="K2142" s="11">
        <v>0.41666666666787933</v>
      </c>
      <c r="M2142" s="10" t="s">
        <v>15278</v>
      </c>
      <c r="N2142" s="12">
        <v>46087.391402615744</v>
      </c>
      <c r="O2142" s="10" t="s">
        <v>14669</v>
      </c>
      <c r="P2142" s="5" t="s">
        <v>14571</v>
      </c>
      <c r="Q2142" s="5" t="s">
        <v>14572</v>
      </c>
      <c r="R2142" s="5" t="s">
        <v>19606</v>
      </c>
      <c r="T2142" s="5" t="s">
        <v>5994</v>
      </c>
      <c r="U2142" s="5" t="s">
        <v>14593</v>
      </c>
      <c r="V2142" s="5" t="s">
        <v>12646</v>
      </c>
      <c r="W2142" s="5"/>
    </row>
    <row r="2143" spans="1:23" ht="12.5">
      <c r="A2143" s="5">
        <v>92656</v>
      </c>
      <c r="B2143" s="5" t="s">
        <v>19607</v>
      </c>
      <c r="C2143" s="5">
        <v>573192220437</v>
      </c>
      <c r="D2143" s="5">
        <v>29</v>
      </c>
      <c r="E2143" s="5" t="s">
        <v>12406</v>
      </c>
      <c r="F2143" s="5" t="s">
        <v>12827</v>
      </c>
      <c r="G2143" s="5" t="s">
        <v>1323</v>
      </c>
      <c r="H2143" s="5" t="s">
        <v>12828</v>
      </c>
      <c r="I2143" s="5">
        <v>573192220437</v>
      </c>
      <c r="J2143" s="12">
        <v>46089</v>
      </c>
      <c r="K2143" s="11">
        <v>0.29166666666787933</v>
      </c>
      <c r="M2143" s="10" t="s">
        <v>16470</v>
      </c>
      <c r="N2143" s="12">
        <v>46086.772262743056</v>
      </c>
      <c r="O2143" s="10" t="s">
        <v>17861</v>
      </c>
      <c r="P2143" s="5" t="s">
        <v>14571</v>
      </c>
      <c r="Q2143" s="5" t="s">
        <v>17688</v>
      </c>
      <c r="R2143" s="5" t="s">
        <v>19608</v>
      </c>
      <c r="T2143" s="5" t="s">
        <v>5994</v>
      </c>
      <c r="U2143" s="5" t="s">
        <v>14598</v>
      </c>
      <c r="V2143" s="5" t="s">
        <v>12646</v>
      </c>
      <c r="W2143" s="5"/>
    </row>
    <row r="2144" spans="1:23" ht="12.5">
      <c r="A2144" s="5">
        <v>92657</v>
      </c>
      <c r="B2144" s="5" t="s">
        <v>19609</v>
      </c>
      <c r="C2144" s="5">
        <v>573002045156</v>
      </c>
      <c r="D2144" s="5" t="s">
        <v>19610</v>
      </c>
      <c r="E2144" s="5" t="s">
        <v>12855</v>
      </c>
      <c r="F2144" s="5" t="s">
        <v>265</v>
      </c>
      <c r="G2144" s="5" t="s">
        <v>12853</v>
      </c>
      <c r="H2144" s="5" t="s">
        <v>12854</v>
      </c>
      <c r="I2144" s="5">
        <v>573244583928</v>
      </c>
      <c r="J2144" s="12">
        <v>46089</v>
      </c>
      <c r="K2144" s="11">
        <v>0.33333333333212067</v>
      </c>
      <c r="M2144" s="10" t="s">
        <v>15219</v>
      </c>
      <c r="N2144" s="12">
        <v>46087.341655914352</v>
      </c>
      <c r="O2144" s="10" t="s">
        <v>16107</v>
      </c>
      <c r="P2144" s="5" t="s">
        <v>14571</v>
      </c>
      <c r="Q2144" s="5" t="s">
        <v>17990</v>
      </c>
      <c r="R2144" s="5" t="s">
        <v>19611</v>
      </c>
      <c r="T2144" s="5" t="s">
        <v>5994</v>
      </c>
      <c r="U2144" s="5" t="s">
        <v>14691</v>
      </c>
      <c r="V2144" s="5" t="s">
        <v>12646</v>
      </c>
      <c r="W2144" s="5"/>
    </row>
    <row r="2145" spans="1:23" ht="12.5">
      <c r="A2145" s="5">
        <v>92658</v>
      </c>
      <c r="B2145" s="5" t="s">
        <v>19612</v>
      </c>
      <c r="C2145" s="5">
        <v>573014831358</v>
      </c>
      <c r="D2145" s="5">
        <v>95</v>
      </c>
      <c r="E2145" s="5" t="s">
        <v>42</v>
      </c>
      <c r="F2145" s="5" t="s">
        <v>73</v>
      </c>
      <c r="G2145" s="5" t="s">
        <v>12882</v>
      </c>
      <c r="H2145" s="5" t="s">
        <v>12883</v>
      </c>
      <c r="I2145" s="5">
        <v>573014831358</v>
      </c>
      <c r="J2145" s="12">
        <v>46087</v>
      </c>
      <c r="K2145" s="11">
        <v>0.45833333333212067</v>
      </c>
      <c r="M2145" s="10" t="s">
        <v>17609</v>
      </c>
      <c r="N2145" s="12">
        <v>46087.417716782409</v>
      </c>
      <c r="O2145" s="10" t="s">
        <v>17105</v>
      </c>
      <c r="P2145" s="5" t="s">
        <v>14571</v>
      </c>
      <c r="Q2145" s="5" t="s">
        <v>14572</v>
      </c>
      <c r="R2145" s="5" t="s">
        <v>19613</v>
      </c>
      <c r="T2145" s="5" t="s">
        <v>5994</v>
      </c>
      <c r="U2145" s="5" t="s">
        <v>14593</v>
      </c>
      <c r="V2145" s="5" t="s">
        <v>12646</v>
      </c>
      <c r="W2145" s="5" t="s">
        <v>12884</v>
      </c>
    </row>
    <row r="2146" spans="1:23" ht="12.5">
      <c r="A2146" s="5">
        <v>92659</v>
      </c>
      <c r="B2146" s="5" t="s">
        <v>19614</v>
      </c>
      <c r="C2146" s="5">
        <v>573168301636</v>
      </c>
      <c r="D2146" s="5" t="s">
        <v>19615</v>
      </c>
      <c r="E2146" s="5" t="s">
        <v>12888</v>
      </c>
      <c r="F2146" s="5" t="s">
        <v>185</v>
      </c>
      <c r="G2146" s="5" t="s">
        <v>12886</v>
      </c>
      <c r="H2146" s="5" t="s">
        <v>12887</v>
      </c>
      <c r="I2146" s="5">
        <v>573175164265</v>
      </c>
      <c r="J2146" s="12">
        <v>46089</v>
      </c>
      <c r="K2146" s="11">
        <v>0.375</v>
      </c>
      <c r="M2146" s="10" t="s">
        <v>15064</v>
      </c>
      <c r="N2146" s="12">
        <v>46087.439042673606</v>
      </c>
      <c r="O2146" s="10" t="s">
        <v>16512</v>
      </c>
      <c r="P2146" s="5" t="s">
        <v>14571</v>
      </c>
      <c r="Q2146" s="5" t="s">
        <v>17423</v>
      </c>
      <c r="R2146" s="5" t="s">
        <v>19616</v>
      </c>
      <c r="T2146" s="5" t="s">
        <v>5994</v>
      </c>
      <c r="U2146" s="5" t="s">
        <v>14580</v>
      </c>
      <c r="V2146" s="5" t="s">
        <v>1937</v>
      </c>
      <c r="W2146" s="5" t="s">
        <v>12891</v>
      </c>
    </row>
    <row r="2147" spans="1:23" ht="12.5">
      <c r="A2147" s="5">
        <v>92660</v>
      </c>
      <c r="B2147" s="5" t="s">
        <v>19614</v>
      </c>
      <c r="C2147" s="5">
        <v>573168301636</v>
      </c>
      <c r="D2147" s="5">
        <v>30</v>
      </c>
      <c r="E2147" s="5" t="s">
        <v>12844</v>
      </c>
      <c r="F2147" s="5" t="s">
        <v>161</v>
      </c>
      <c r="G2147" s="5" t="s">
        <v>12892</v>
      </c>
      <c r="H2147" s="5" t="s">
        <v>12893</v>
      </c>
      <c r="I2147" s="5">
        <v>573185159146</v>
      </c>
      <c r="J2147" s="12">
        <v>46089</v>
      </c>
      <c r="K2147" s="11">
        <v>0.375</v>
      </c>
      <c r="M2147" s="10" t="s">
        <v>14850</v>
      </c>
      <c r="N2147" s="12">
        <v>46087.441461724535</v>
      </c>
      <c r="O2147" s="10" t="s">
        <v>15503</v>
      </c>
      <c r="P2147" s="5" t="s">
        <v>14571</v>
      </c>
      <c r="Q2147" s="5" t="s">
        <v>17990</v>
      </c>
      <c r="R2147" s="5" t="s">
        <v>19617</v>
      </c>
      <c r="T2147" s="5" t="s">
        <v>5994</v>
      </c>
      <c r="U2147" s="5" t="s">
        <v>14593</v>
      </c>
      <c r="V2147" s="5" t="s">
        <v>1937</v>
      </c>
      <c r="W2147" s="5"/>
    </row>
    <row r="2148" spans="1:23" ht="12.5">
      <c r="A2148" s="5">
        <v>92661</v>
      </c>
      <c r="B2148" s="5" t="s">
        <v>19614</v>
      </c>
      <c r="C2148" s="5">
        <v>573168301636</v>
      </c>
      <c r="D2148" s="5">
        <v>53</v>
      </c>
      <c r="E2148" s="5" t="s">
        <v>12423</v>
      </c>
      <c r="F2148" s="5" t="s">
        <v>103</v>
      </c>
      <c r="G2148" s="5" t="s">
        <v>12902</v>
      </c>
      <c r="H2148" s="5" t="s">
        <v>12903</v>
      </c>
      <c r="I2148" s="5">
        <v>573157004630</v>
      </c>
      <c r="J2148" s="12">
        <v>46089</v>
      </c>
      <c r="K2148" s="11">
        <v>0.375</v>
      </c>
      <c r="M2148" s="10" t="s">
        <v>14627</v>
      </c>
      <c r="N2148" s="12">
        <v>46087.443130844906</v>
      </c>
      <c r="O2148" s="10" t="s">
        <v>15503</v>
      </c>
      <c r="P2148" s="5" t="s">
        <v>14571</v>
      </c>
      <c r="Q2148" s="5" t="s">
        <v>16907</v>
      </c>
      <c r="R2148" s="5" t="s">
        <v>19618</v>
      </c>
      <c r="T2148" s="5" t="s">
        <v>5994</v>
      </c>
      <c r="U2148" s="5" t="s">
        <v>14593</v>
      </c>
      <c r="V2148" s="5" t="s">
        <v>1937</v>
      </c>
      <c r="W2148" s="5"/>
    </row>
    <row r="2149" spans="1:23" ht="12.5">
      <c r="A2149" s="5">
        <v>92662</v>
      </c>
      <c r="B2149" s="5" t="s">
        <v>19619</v>
      </c>
      <c r="C2149" s="5">
        <v>573013290337</v>
      </c>
      <c r="D2149" s="5" t="s">
        <v>19620</v>
      </c>
      <c r="E2149" s="5" t="s">
        <v>12875</v>
      </c>
      <c r="F2149" s="5" t="s">
        <v>12657</v>
      </c>
      <c r="G2149" s="5" t="s">
        <v>12874</v>
      </c>
      <c r="H2149" s="5" t="s">
        <v>12657</v>
      </c>
      <c r="I2149" s="5">
        <v>573013290337</v>
      </c>
      <c r="J2149" s="12">
        <v>46088</v>
      </c>
      <c r="K2149" s="11">
        <v>0.29166666666787933</v>
      </c>
      <c r="M2149" s="10" t="s">
        <v>14777</v>
      </c>
      <c r="N2149" s="12">
        <v>46087.397954629632</v>
      </c>
      <c r="O2149" s="10" t="s">
        <v>16056</v>
      </c>
      <c r="P2149" s="5" t="s">
        <v>14571</v>
      </c>
      <c r="Q2149" s="5" t="s">
        <v>14572</v>
      </c>
      <c r="R2149" s="5" t="s">
        <v>19621</v>
      </c>
      <c r="T2149" s="5" t="s">
        <v>5994</v>
      </c>
      <c r="U2149" s="5"/>
      <c r="V2149" s="5" t="s">
        <v>1705</v>
      </c>
      <c r="W2149" s="5" t="s">
        <v>12877</v>
      </c>
    </row>
    <row r="2150" spans="1:23" ht="12.5">
      <c r="A2150" s="5">
        <v>92663</v>
      </c>
      <c r="B2150" s="5" t="s">
        <v>19622</v>
      </c>
      <c r="C2150" s="10" t="s">
        <v>19623</v>
      </c>
      <c r="D2150" s="5">
        <v>39</v>
      </c>
      <c r="E2150" s="5" t="s">
        <v>12437</v>
      </c>
      <c r="F2150" s="5" t="s">
        <v>154</v>
      </c>
      <c r="G2150" s="5" t="s">
        <v>12909</v>
      </c>
      <c r="H2150" s="5" t="s">
        <v>12910</v>
      </c>
      <c r="I2150" s="5">
        <v>573017886866</v>
      </c>
      <c r="J2150" s="12">
        <v>46087</v>
      </c>
      <c r="K2150" s="11">
        <v>0</v>
      </c>
      <c r="M2150" s="10" t="s">
        <v>16647</v>
      </c>
      <c r="N2150" s="12">
        <v>46087</v>
      </c>
      <c r="O2150" s="10" t="s">
        <v>15838</v>
      </c>
      <c r="P2150" s="5" t="s">
        <v>14571</v>
      </c>
      <c r="Q2150" s="5" t="s">
        <v>14578</v>
      </c>
      <c r="R2150" s="5" t="s">
        <v>19624</v>
      </c>
      <c r="T2150" s="5" t="s">
        <v>5994</v>
      </c>
      <c r="U2150" s="5" t="s">
        <v>14593</v>
      </c>
      <c r="V2150" s="5" t="s">
        <v>67</v>
      </c>
      <c r="W2150" s="5"/>
    </row>
    <row r="2151" spans="1:23" ht="12.5">
      <c r="A2151" s="5">
        <v>92664</v>
      </c>
      <c r="B2151" s="5" t="s">
        <v>19625</v>
      </c>
      <c r="C2151" s="10" t="s">
        <v>19626</v>
      </c>
      <c r="D2151" s="5">
        <v>52</v>
      </c>
      <c r="E2151" s="5" t="s">
        <v>12496</v>
      </c>
      <c r="F2151" s="5" t="s">
        <v>124</v>
      </c>
      <c r="G2151" s="5" t="s">
        <v>12897</v>
      </c>
      <c r="H2151" s="5" t="s">
        <v>12898</v>
      </c>
      <c r="I2151" s="5">
        <v>573229093463</v>
      </c>
      <c r="J2151" s="12">
        <v>46087</v>
      </c>
      <c r="K2151" s="11">
        <v>0</v>
      </c>
      <c r="M2151" s="10" t="s">
        <v>14960</v>
      </c>
      <c r="N2151" s="12">
        <v>46087</v>
      </c>
      <c r="O2151" s="10" t="s">
        <v>15506</v>
      </c>
      <c r="P2151" s="5" t="s">
        <v>14571</v>
      </c>
      <c r="Q2151" s="5" t="s">
        <v>14612</v>
      </c>
      <c r="R2151" s="5" t="s">
        <v>19627</v>
      </c>
      <c r="T2151" s="5" t="s">
        <v>5994</v>
      </c>
      <c r="U2151" s="5" t="s">
        <v>14775</v>
      </c>
      <c r="V2151" s="5" t="s">
        <v>180</v>
      </c>
      <c r="W2151" s="5" t="s">
        <v>12901</v>
      </c>
    </row>
    <row r="2152" spans="1:23" ht="12.5">
      <c r="A2152" s="5">
        <v>92665</v>
      </c>
      <c r="B2152" s="5" t="s">
        <v>19628</v>
      </c>
      <c r="C2152" s="5">
        <v>573204022852</v>
      </c>
      <c r="D2152" s="5">
        <v>52</v>
      </c>
      <c r="E2152" s="5" t="s">
        <v>12496</v>
      </c>
      <c r="F2152" s="5" t="s">
        <v>11267</v>
      </c>
      <c r="G2152" s="5" t="s">
        <v>12912</v>
      </c>
      <c r="H2152" s="5" t="s">
        <v>12913</v>
      </c>
      <c r="I2152" s="5">
        <v>573016103754</v>
      </c>
      <c r="J2152" s="12">
        <v>46088</v>
      </c>
      <c r="K2152" s="11">
        <v>0.375</v>
      </c>
      <c r="M2152" s="10" t="s">
        <v>15612</v>
      </c>
      <c r="N2152" s="12">
        <v>46087.463026620375</v>
      </c>
      <c r="O2152" s="10" t="s">
        <v>15410</v>
      </c>
      <c r="P2152" s="5" t="s">
        <v>14571</v>
      </c>
      <c r="Q2152" s="5" t="s">
        <v>14578</v>
      </c>
      <c r="R2152" s="5" t="s">
        <v>19629</v>
      </c>
      <c r="T2152" s="5" t="s">
        <v>5994</v>
      </c>
      <c r="U2152" s="5" t="s">
        <v>14691</v>
      </c>
      <c r="V2152" s="5" t="s">
        <v>1705</v>
      </c>
      <c r="W2152" s="5" t="s">
        <v>12915</v>
      </c>
    </row>
    <row r="2153" spans="1:23" ht="12.5">
      <c r="A2153" s="5">
        <v>92666</v>
      </c>
      <c r="B2153" s="5" t="s">
        <v>19119</v>
      </c>
      <c r="C2153" s="5">
        <v>573008183491</v>
      </c>
      <c r="D2153" s="5">
        <v>95</v>
      </c>
      <c r="E2153" s="5" t="s">
        <v>42</v>
      </c>
      <c r="F2153" s="5" t="s">
        <v>12657</v>
      </c>
      <c r="G2153" s="5" t="s">
        <v>7204</v>
      </c>
      <c r="H2153" s="5" t="s">
        <v>12657</v>
      </c>
      <c r="I2153" s="5">
        <v>573008183491</v>
      </c>
      <c r="J2153" s="12">
        <v>46087</v>
      </c>
      <c r="K2153" s="11">
        <v>0.45833333333212067</v>
      </c>
      <c r="M2153" s="10" t="s">
        <v>2686</v>
      </c>
      <c r="N2153" s="12">
        <v>46087.466019131942</v>
      </c>
      <c r="O2153" s="10" t="s">
        <v>16195</v>
      </c>
      <c r="P2153" s="5" t="s">
        <v>14571</v>
      </c>
      <c r="Q2153" s="5" t="s">
        <v>14572</v>
      </c>
      <c r="R2153" s="5" t="s">
        <v>19630</v>
      </c>
      <c r="T2153" s="5" t="s">
        <v>5994</v>
      </c>
      <c r="U2153" s="5"/>
      <c r="V2153" s="5" t="s">
        <v>43</v>
      </c>
      <c r="W2153" s="5" t="s">
        <v>12916</v>
      </c>
    </row>
    <row r="2154" spans="1:23" ht="12.5">
      <c r="A2154" s="5">
        <v>92667</v>
      </c>
      <c r="B2154" s="5" t="s">
        <v>19631</v>
      </c>
      <c r="C2154" s="5">
        <v>5715196141332</v>
      </c>
      <c r="D2154" s="5">
        <v>95</v>
      </c>
      <c r="E2154" s="5" t="s">
        <v>42</v>
      </c>
      <c r="F2154" s="5" t="s">
        <v>33</v>
      </c>
      <c r="G2154" s="5" t="s">
        <v>12928</v>
      </c>
      <c r="H2154" s="5" t="s">
        <v>12929</v>
      </c>
      <c r="I2154" s="5">
        <v>573156161386</v>
      </c>
      <c r="J2154" s="12">
        <v>46087</v>
      </c>
      <c r="K2154" s="11">
        <v>0</v>
      </c>
      <c r="M2154" s="10" t="s">
        <v>15594</v>
      </c>
      <c r="N2154" s="12">
        <v>46087.478769212961</v>
      </c>
      <c r="O2154" s="10" t="s">
        <v>16523</v>
      </c>
      <c r="P2154" s="5" t="s">
        <v>14571</v>
      </c>
      <c r="Q2154" s="5" t="s">
        <v>14572</v>
      </c>
      <c r="R2154" s="5" t="s">
        <v>19632</v>
      </c>
      <c r="T2154" s="5" t="s">
        <v>14574</v>
      </c>
      <c r="U2154" s="5" t="s">
        <v>33</v>
      </c>
      <c r="V2154" s="5" t="s">
        <v>12646</v>
      </c>
      <c r="W2154" s="5"/>
    </row>
    <row r="2155" spans="1:23" ht="12.5">
      <c r="A2155" s="5">
        <v>92668</v>
      </c>
      <c r="B2155" s="5" t="s">
        <v>19633</v>
      </c>
      <c r="C2155" s="5">
        <v>573004848680</v>
      </c>
      <c r="D2155" s="5">
        <v>95</v>
      </c>
      <c r="E2155" s="5" t="s">
        <v>42</v>
      </c>
      <c r="F2155" s="5" t="s">
        <v>2381</v>
      </c>
      <c r="G2155" s="5" t="s">
        <v>12918</v>
      </c>
      <c r="H2155" s="5" t="s">
        <v>12919</v>
      </c>
      <c r="I2155" s="5">
        <v>573004848680</v>
      </c>
      <c r="J2155" s="12">
        <v>46087</v>
      </c>
      <c r="K2155" s="11">
        <v>0.54166666666787933</v>
      </c>
      <c r="M2155" s="10" t="s">
        <v>15863</v>
      </c>
      <c r="N2155" s="12">
        <v>46087.469996898144</v>
      </c>
      <c r="O2155" s="10" t="s">
        <v>16294</v>
      </c>
      <c r="P2155" s="5" t="s">
        <v>14571</v>
      </c>
      <c r="Q2155" s="5" t="s">
        <v>14578</v>
      </c>
      <c r="R2155" s="5" t="s">
        <v>19634</v>
      </c>
      <c r="T2155" s="5" t="s">
        <v>5994</v>
      </c>
      <c r="U2155" s="5" t="s">
        <v>14593</v>
      </c>
      <c r="V2155" s="5" t="s">
        <v>67</v>
      </c>
      <c r="W2155" s="5" t="s">
        <v>12921</v>
      </c>
    </row>
    <row r="2156" spans="1:23" ht="12.5">
      <c r="A2156" s="5">
        <v>92669</v>
      </c>
      <c r="B2156" s="5" t="s">
        <v>19635</v>
      </c>
      <c r="C2156" s="5">
        <v>573046494553</v>
      </c>
      <c r="D2156" s="5">
        <v>39</v>
      </c>
      <c r="E2156" s="5" t="s">
        <v>12437</v>
      </c>
      <c r="F2156" s="5" t="s">
        <v>185</v>
      </c>
      <c r="G2156" s="5" t="s">
        <v>5321</v>
      </c>
      <c r="H2156" s="5" t="s">
        <v>12934</v>
      </c>
      <c r="I2156" s="5">
        <v>573215919132</v>
      </c>
      <c r="J2156" s="12">
        <v>46089</v>
      </c>
      <c r="K2156" s="11">
        <v>0.375</v>
      </c>
      <c r="M2156" s="10" t="s">
        <v>16647</v>
      </c>
      <c r="N2156" s="12">
        <v>46087.492863518521</v>
      </c>
      <c r="O2156" s="10" t="s">
        <v>14867</v>
      </c>
      <c r="P2156" s="5" t="s">
        <v>14571</v>
      </c>
      <c r="Q2156" s="5" t="s">
        <v>14572</v>
      </c>
      <c r="R2156" s="5" t="s">
        <v>19636</v>
      </c>
      <c r="T2156" s="5" t="s">
        <v>5994</v>
      </c>
      <c r="U2156" s="5" t="s">
        <v>14580</v>
      </c>
      <c r="V2156" s="5" t="s">
        <v>12646</v>
      </c>
      <c r="W2156" s="5"/>
    </row>
    <row r="2157" spans="1:23" ht="12.5">
      <c r="A2157" s="5">
        <v>92670</v>
      </c>
      <c r="B2157" s="5" t="s">
        <v>19637</v>
      </c>
      <c r="C2157" s="5">
        <v>573004274762</v>
      </c>
      <c r="D2157" s="5" t="s">
        <v>14589</v>
      </c>
      <c r="E2157" s="5" t="s">
        <v>12879</v>
      </c>
      <c r="F2157" s="5" t="s">
        <v>12657</v>
      </c>
      <c r="G2157" s="5" t="s">
        <v>12878</v>
      </c>
      <c r="H2157" s="5" t="s">
        <v>12657</v>
      </c>
      <c r="I2157" s="5">
        <v>573004274762</v>
      </c>
      <c r="J2157" s="12">
        <v>46088</v>
      </c>
      <c r="K2157" s="11">
        <v>0.375</v>
      </c>
      <c r="M2157" s="10" t="s">
        <v>15415</v>
      </c>
      <c r="N2157" s="12">
        <v>46087.408547349536</v>
      </c>
      <c r="O2157" s="10" t="s">
        <v>15931</v>
      </c>
      <c r="P2157" s="5" t="s">
        <v>14571</v>
      </c>
      <c r="Q2157" s="5" t="s">
        <v>17990</v>
      </c>
      <c r="R2157" s="5" t="s">
        <v>19638</v>
      </c>
      <c r="T2157" s="5" t="s">
        <v>5994</v>
      </c>
      <c r="U2157" s="5"/>
      <c r="V2157" s="5" t="s">
        <v>12646</v>
      </c>
      <c r="W2157" s="5"/>
    </row>
    <row r="2158" spans="1:23" ht="12.5">
      <c r="A2158" s="5">
        <v>92671</v>
      </c>
      <c r="B2158" s="5" t="s">
        <v>19639</v>
      </c>
      <c r="C2158" s="5">
        <v>573123522976</v>
      </c>
      <c r="D2158" s="5">
        <v>64</v>
      </c>
      <c r="E2158" s="5" t="s">
        <v>12940</v>
      </c>
      <c r="F2158" s="5" t="s">
        <v>249</v>
      </c>
      <c r="G2158" s="5" t="s">
        <v>12938</v>
      </c>
      <c r="H2158" s="5" t="s">
        <v>12939</v>
      </c>
      <c r="I2158" s="5">
        <v>573218217705</v>
      </c>
      <c r="J2158" s="12">
        <v>46087</v>
      </c>
      <c r="K2158" s="11">
        <v>0.5625</v>
      </c>
      <c r="M2158" s="10" t="s">
        <v>14646</v>
      </c>
      <c r="N2158" s="12">
        <v>46087.504524525459</v>
      </c>
      <c r="O2158" s="10" t="s">
        <v>16297</v>
      </c>
      <c r="P2158" s="5" t="s">
        <v>14571</v>
      </c>
      <c r="Q2158" s="5" t="s">
        <v>14612</v>
      </c>
      <c r="R2158" s="5" t="s">
        <v>19640</v>
      </c>
      <c r="T2158" s="5" t="s">
        <v>5994</v>
      </c>
      <c r="U2158" s="5" t="s">
        <v>14593</v>
      </c>
      <c r="V2158" s="5" t="s">
        <v>67</v>
      </c>
      <c r="W2158" s="5"/>
    </row>
    <row r="2159" spans="1:23" ht="12.5">
      <c r="A2159" s="5">
        <v>92672</v>
      </c>
      <c r="B2159" s="5" t="s">
        <v>19641</v>
      </c>
      <c r="C2159" s="5">
        <v>573122922559</v>
      </c>
      <c r="D2159" s="5" t="s">
        <v>14589</v>
      </c>
      <c r="E2159" s="5" t="s">
        <v>12947</v>
      </c>
      <c r="F2159" s="5" t="s">
        <v>33</v>
      </c>
      <c r="G2159" s="5" t="s">
        <v>12946</v>
      </c>
      <c r="H2159" s="5" t="s">
        <v>49</v>
      </c>
      <c r="I2159" s="5">
        <v>573122922559</v>
      </c>
      <c r="J2159" s="12">
        <v>46087</v>
      </c>
      <c r="K2159" s="11">
        <v>0.375</v>
      </c>
      <c r="M2159" s="10" t="s">
        <v>15152</v>
      </c>
      <c r="N2159" s="12">
        <v>46087.516406909723</v>
      </c>
      <c r="O2159" s="10" t="s">
        <v>15853</v>
      </c>
      <c r="P2159" s="5" t="s">
        <v>14571</v>
      </c>
      <c r="Q2159" s="5" t="s">
        <v>14699</v>
      </c>
      <c r="R2159" s="5" t="s">
        <v>19642</v>
      </c>
      <c r="T2159" s="5" t="s">
        <v>14574</v>
      </c>
      <c r="U2159" s="5" t="s">
        <v>33</v>
      </c>
      <c r="V2159" s="5" t="s">
        <v>12646</v>
      </c>
      <c r="W2159" s="5" t="s">
        <v>12947</v>
      </c>
    </row>
    <row r="2160" spans="1:23" ht="12.5">
      <c r="A2160" s="5">
        <v>92673</v>
      </c>
      <c r="B2160" s="5" t="s">
        <v>19576</v>
      </c>
      <c r="C2160" s="5">
        <v>573007729657</v>
      </c>
      <c r="D2160" s="5">
        <v>29</v>
      </c>
      <c r="E2160" s="5" t="s">
        <v>12406</v>
      </c>
      <c r="F2160" s="5" t="s">
        <v>8750</v>
      </c>
      <c r="G2160" s="5" t="s">
        <v>12905</v>
      </c>
      <c r="H2160" s="5" t="s">
        <v>12906</v>
      </c>
      <c r="I2160" s="5">
        <v>573003855318</v>
      </c>
      <c r="J2160" s="12">
        <v>46087</v>
      </c>
      <c r="K2160" s="11">
        <v>0.58333333333212067</v>
      </c>
      <c r="M2160" s="10" t="s">
        <v>15594</v>
      </c>
      <c r="N2160" s="12">
        <v>46087.445216215274</v>
      </c>
      <c r="O2160" s="10" t="s">
        <v>14637</v>
      </c>
      <c r="P2160" s="5" t="s">
        <v>14571</v>
      </c>
      <c r="Q2160" s="5" t="s">
        <v>14572</v>
      </c>
      <c r="R2160" s="5" t="s">
        <v>19643</v>
      </c>
      <c r="T2160" s="5" t="s">
        <v>5994</v>
      </c>
      <c r="U2160" s="5"/>
      <c r="V2160" s="5" t="s">
        <v>180</v>
      </c>
      <c r="W2160" s="5"/>
    </row>
    <row r="2161" spans="1:23" ht="12.5">
      <c r="A2161" s="5">
        <v>92674</v>
      </c>
      <c r="B2161" s="5" t="s">
        <v>19644</v>
      </c>
      <c r="C2161" s="10" t="s">
        <v>19645</v>
      </c>
      <c r="D2161" s="5">
        <v>45</v>
      </c>
      <c r="E2161" s="5" t="s">
        <v>210</v>
      </c>
      <c r="F2161" s="5" t="s">
        <v>12657</v>
      </c>
      <c r="G2161" s="5" t="s">
        <v>12930</v>
      </c>
      <c r="H2161" s="5" t="s">
        <v>12657</v>
      </c>
      <c r="I2161" s="5">
        <v>573014595296</v>
      </c>
      <c r="J2161" s="12">
        <v>46087</v>
      </c>
      <c r="K2161" s="11">
        <v>0.58333333333333337</v>
      </c>
      <c r="M2161" s="10" t="s">
        <v>14734</v>
      </c>
      <c r="N2161" s="12">
        <v>46087</v>
      </c>
      <c r="O2161" s="10" t="s">
        <v>15609</v>
      </c>
      <c r="P2161" s="5" t="s">
        <v>14571</v>
      </c>
      <c r="Q2161" s="5" t="s">
        <v>14578</v>
      </c>
      <c r="R2161" s="5" t="s">
        <v>19646</v>
      </c>
      <c r="T2161" s="5" t="s">
        <v>5994</v>
      </c>
      <c r="U2161" s="5"/>
      <c r="V2161" s="5" t="s">
        <v>67</v>
      </c>
      <c r="W2161" s="5"/>
    </row>
    <row r="2162" spans="1:23" ht="12.5">
      <c r="A2162" s="5">
        <v>92675</v>
      </c>
      <c r="B2162" s="5" t="s">
        <v>19647</v>
      </c>
      <c r="C2162" s="5">
        <v>573228985611</v>
      </c>
      <c r="D2162" s="5">
        <v>52</v>
      </c>
      <c r="E2162" s="5" t="s">
        <v>12496</v>
      </c>
      <c r="F2162" s="5" t="s">
        <v>5574</v>
      </c>
      <c r="G2162" s="5" t="s">
        <v>12943</v>
      </c>
      <c r="H2162" s="5" t="s">
        <v>12944</v>
      </c>
      <c r="I2162" s="5">
        <v>573103626382</v>
      </c>
      <c r="J2162" s="12">
        <v>46088</v>
      </c>
      <c r="K2162" s="11">
        <v>0.41666666666787933</v>
      </c>
      <c r="M2162" s="10" t="s">
        <v>10581</v>
      </c>
      <c r="N2162" s="12">
        <v>46087.514675092592</v>
      </c>
      <c r="O2162" s="10" t="s">
        <v>14735</v>
      </c>
      <c r="P2162" s="5" t="s">
        <v>14571</v>
      </c>
      <c r="Q2162" s="5" t="s">
        <v>14612</v>
      </c>
      <c r="R2162" s="5" t="s">
        <v>19648</v>
      </c>
      <c r="T2162" s="5" t="s">
        <v>5994</v>
      </c>
      <c r="U2162" s="5" t="s">
        <v>14593</v>
      </c>
      <c r="V2162" s="5" t="s">
        <v>12646</v>
      </c>
      <c r="W2162" s="5"/>
    </row>
    <row r="2163" spans="1:23" ht="12.5">
      <c r="A2163" s="5">
        <v>92676</v>
      </c>
      <c r="B2163" s="5" t="s">
        <v>19649</v>
      </c>
      <c r="C2163" s="5">
        <v>15617974204</v>
      </c>
      <c r="D2163" s="5">
        <v>21</v>
      </c>
      <c r="E2163" s="5" t="s">
        <v>12924</v>
      </c>
      <c r="F2163" s="5" t="s">
        <v>161</v>
      </c>
      <c r="G2163" s="5" t="s">
        <v>12922</v>
      </c>
      <c r="H2163" s="5" t="s">
        <v>12923</v>
      </c>
      <c r="I2163" s="5">
        <v>573008021679</v>
      </c>
      <c r="J2163" s="12">
        <v>46088</v>
      </c>
      <c r="K2163" s="11">
        <v>0.33333333333212067</v>
      </c>
      <c r="M2163" s="10" t="s">
        <v>15140</v>
      </c>
      <c r="N2163" s="12">
        <v>46087.472437951394</v>
      </c>
      <c r="O2163" s="10" t="s">
        <v>15131</v>
      </c>
      <c r="P2163" s="5" t="s">
        <v>14571</v>
      </c>
      <c r="Q2163" s="5" t="s">
        <v>14578</v>
      </c>
      <c r="R2163" s="5" t="s">
        <v>19650</v>
      </c>
      <c r="T2163" s="5" t="s">
        <v>5994</v>
      </c>
      <c r="U2163" s="5" t="s">
        <v>14593</v>
      </c>
      <c r="V2163" s="5" t="s">
        <v>67</v>
      </c>
      <c r="W2163" s="5"/>
    </row>
    <row r="2164" spans="1:23" ht="12.5">
      <c r="A2164" s="5">
        <v>92677</v>
      </c>
      <c r="B2164" s="5" t="s">
        <v>12969</v>
      </c>
      <c r="C2164" s="10" t="s">
        <v>19651</v>
      </c>
      <c r="D2164" s="5">
        <v>39</v>
      </c>
      <c r="E2164" s="5" t="s">
        <v>12437</v>
      </c>
      <c r="F2164" s="5" t="s">
        <v>33</v>
      </c>
      <c r="G2164" s="5" t="s">
        <v>12968</v>
      </c>
      <c r="H2164" s="5" t="s">
        <v>49</v>
      </c>
      <c r="I2164" s="5">
        <v>573504438774</v>
      </c>
      <c r="J2164" s="12">
        <v>46087</v>
      </c>
      <c r="K2164" s="11">
        <v>0.125</v>
      </c>
      <c r="M2164" s="10" t="s">
        <v>15301</v>
      </c>
      <c r="N2164" s="12">
        <v>46087</v>
      </c>
      <c r="O2164" s="10" t="s">
        <v>15535</v>
      </c>
      <c r="P2164" s="5" t="s">
        <v>14571</v>
      </c>
      <c r="Q2164" s="5" t="s">
        <v>14572</v>
      </c>
      <c r="R2164" s="5" t="s">
        <v>19652</v>
      </c>
      <c r="T2164" s="5" t="s">
        <v>14574</v>
      </c>
      <c r="U2164" s="5" t="s">
        <v>33</v>
      </c>
      <c r="V2164" s="5" t="s">
        <v>67</v>
      </c>
      <c r="W2164" s="5"/>
    </row>
    <row r="2165" spans="1:23" ht="12.5">
      <c r="A2165" s="5">
        <v>92678</v>
      </c>
      <c r="B2165" s="5" t="s">
        <v>19653</v>
      </c>
      <c r="C2165" s="10" t="s">
        <v>16976</v>
      </c>
      <c r="D2165" s="5">
        <v>95</v>
      </c>
      <c r="E2165" s="5" t="s">
        <v>42</v>
      </c>
      <c r="F2165" s="5" t="s">
        <v>12657</v>
      </c>
      <c r="G2165" s="5" t="s">
        <v>3526</v>
      </c>
      <c r="H2165" s="5" t="s">
        <v>12657</v>
      </c>
      <c r="I2165" s="5">
        <v>573174289182</v>
      </c>
      <c r="J2165" s="12">
        <v>46087</v>
      </c>
      <c r="K2165" s="11">
        <v>0</v>
      </c>
      <c r="M2165" s="10" t="s">
        <v>19654</v>
      </c>
      <c r="N2165" s="12">
        <v>46087</v>
      </c>
      <c r="O2165" s="10" t="s">
        <v>15273</v>
      </c>
      <c r="P2165" s="5" t="s">
        <v>14571</v>
      </c>
      <c r="Q2165" s="5" t="s">
        <v>14699</v>
      </c>
      <c r="R2165" s="5" t="s">
        <v>19655</v>
      </c>
      <c r="T2165" s="5" t="s">
        <v>5994</v>
      </c>
      <c r="U2165" s="5"/>
      <c r="V2165" s="5" t="s">
        <v>196</v>
      </c>
      <c r="W2165" s="5"/>
    </row>
    <row r="2166" spans="1:23" ht="12.5">
      <c r="A2166" s="5">
        <v>92679</v>
      </c>
      <c r="B2166" s="5" t="s">
        <v>12982</v>
      </c>
      <c r="C2166" s="10" t="s">
        <v>19656</v>
      </c>
      <c r="D2166" s="5">
        <v>52</v>
      </c>
      <c r="E2166" s="5" t="s">
        <v>12496</v>
      </c>
      <c r="F2166" s="5" t="s">
        <v>33</v>
      </c>
      <c r="G2166" s="5" t="s">
        <v>12981</v>
      </c>
      <c r="H2166" s="5" t="s">
        <v>12983</v>
      </c>
      <c r="I2166" s="5">
        <v>573205664901</v>
      </c>
      <c r="J2166" s="12">
        <v>46087</v>
      </c>
      <c r="K2166" s="11">
        <v>0.75</v>
      </c>
      <c r="M2166" s="10" t="s">
        <v>15594</v>
      </c>
      <c r="N2166" s="12">
        <v>46087</v>
      </c>
      <c r="O2166" s="10" t="s">
        <v>15629</v>
      </c>
      <c r="P2166" s="5" t="s">
        <v>14571</v>
      </c>
      <c r="Q2166" s="5" t="s">
        <v>14572</v>
      </c>
      <c r="R2166" s="5" t="s">
        <v>19657</v>
      </c>
      <c r="T2166" s="5" t="s">
        <v>14574</v>
      </c>
      <c r="U2166" s="5" t="s">
        <v>33</v>
      </c>
      <c r="V2166" s="5" t="s">
        <v>67</v>
      </c>
      <c r="W2166" s="5"/>
    </row>
    <row r="2167" spans="1:23" ht="12.5">
      <c r="A2167" s="5">
        <v>92680</v>
      </c>
      <c r="B2167" s="5" t="s">
        <v>19658</v>
      </c>
      <c r="C2167" s="5">
        <v>573124483050</v>
      </c>
      <c r="D2167" s="5" t="s">
        <v>19659</v>
      </c>
      <c r="E2167" s="5" t="s">
        <v>12951</v>
      </c>
      <c r="F2167" s="5" t="s">
        <v>79</v>
      </c>
      <c r="G2167" s="5" t="s">
        <v>12949</v>
      </c>
      <c r="H2167" s="5" t="s">
        <v>12950</v>
      </c>
      <c r="I2167" s="5">
        <v>573204775945</v>
      </c>
      <c r="J2167" s="12">
        <v>46088</v>
      </c>
      <c r="K2167" s="11">
        <v>0.33333333333212067</v>
      </c>
      <c r="M2167" s="10" t="s">
        <v>16732</v>
      </c>
      <c r="N2167" s="12">
        <v>46087.518008865736</v>
      </c>
      <c r="O2167" s="10" t="s">
        <v>16138</v>
      </c>
      <c r="P2167" s="5" t="s">
        <v>14571</v>
      </c>
      <c r="Q2167" s="5" t="s">
        <v>14612</v>
      </c>
      <c r="R2167" s="5" t="s">
        <v>19660</v>
      </c>
      <c r="T2167" s="5" t="s">
        <v>5994</v>
      </c>
      <c r="U2167" s="5" t="s">
        <v>14593</v>
      </c>
      <c r="V2167" s="5" t="s">
        <v>12646</v>
      </c>
      <c r="W2167" s="5" t="s">
        <v>12953</v>
      </c>
    </row>
    <row r="2168" spans="1:23" ht="12.5">
      <c r="A2168" s="5">
        <v>92681</v>
      </c>
      <c r="B2168" s="5" t="s">
        <v>19661</v>
      </c>
      <c r="C2168" s="5">
        <v>573012145123</v>
      </c>
      <c r="D2168" s="5">
        <v>95</v>
      </c>
      <c r="E2168" s="5" t="s">
        <v>42</v>
      </c>
      <c r="F2168" s="5" t="s">
        <v>33</v>
      </c>
      <c r="G2168" s="5" t="s">
        <v>13007</v>
      </c>
      <c r="H2168" s="5" t="s">
        <v>12983</v>
      </c>
      <c r="I2168" s="5">
        <v>573012145123</v>
      </c>
      <c r="J2168" s="12">
        <v>46087</v>
      </c>
      <c r="K2168" s="11">
        <v>0</v>
      </c>
      <c r="M2168" s="10" t="s">
        <v>15594</v>
      </c>
      <c r="N2168" s="12">
        <v>46087.575117442131</v>
      </c>
      <c r="O2168" s="10" t="s">
        <v>16728</v>
      </c>
      <c r="P2168" s="5" t="s">
        <v>14571</v>
      </c>
      <c r="Q2168" s="5" t="s">
        <v>14578</v>
      </c>
      <c r="R2168" s="5" t="s">
        <v>19662</v>
      </c>
      <c r="T2168" s="5" t="s">
        <v>14574</v>
      </c>
      <c r="U2168" s="5" t="s">
        <v>33</v>
      </c>
      <c r="V2168" s="5" t="s">
        <v>1705</v>
      </c>
      <c r="W2168" s="5"/>
    </row>
    <row r="2169" spans="1:23" ht="12.5">
      <c r="A2169" s="5">
        <v>92682</v>
      </c>
      <c r="B2169" s="5" t="s">
        <v>3021</v>
      </c>
      <c r="C2169" s="10" t="s">
        <v>19663</v>
      </c>
      <c r="D2169" s="5">
        <v>14</v>
      </c>
      <c r="E2169" s="5" t="s">
        <v>1393</v>
      </c>
      <c r="F2169" s="5" t="s">
        <v>33</v>
      </c>
      <c r="G2169" s="5" t="s">
        <v>19664</v>
      </c>
      <c r="H2169" s="5" t="s">
        <v>12983</v>
      </c>
      <c r="I2169" s="5">
        <v>573017824366</v>
      </c>
      <c r="J2169" s="12">
        <v>46088</v>
      </c>
      <c r="K2169" s="11">
        <v>0.375</v>
      </c>
      <c r="M2169" s="10" t="s">
        <v>16880</v>
      </c>
      <c r="N2169" s="12">
        <v>46087</v>
      </c>
      <c r="O2169" s="10" t="s">
        <v>15260</v>
      </c>
      <c r="P2169" s="5" t="s">
        <v>14571</v>
      </c>
      <c r="Q2169" s="5" t="s">
        <v>14612</v>
      </c>
      <c r="R2169" s="5" t="s">
        <v>19665</v>
      </c>
      <c r="T2169" s="5" t="s">
        <v>14574</v>
      </c>
      <c r="U2169" s="5" t="s">
        <v>33</v>
      </c>
      <c r="V2169" s="5" t="s">
        <v>1705</v>
      </c>
      <c r="W2169" s="5"/>
    </row>
    <row r="2170" spans="1:23" ht="12.5">
      <c r="A2170" s="5">
        <v>92683</v>
      </c>
      <c r="B2170" s="5" t="s">
        <v>19666</v>
      </c>
      <c r="C2170" s="10" t="s">
        <v>19667</v>
      </c>
      <c r="D2170" s="5">
        <v>52</v>
      </c>
      <c r="E2170" s="5" t="s">
        <v>12496</v>
      </c>
      <c r="F2170" s="5" t="s">
        <v>154</v>
      </c>
      <c r="G2170" s="5" t="s">
        <v>1736</v>
      </c>
      <c r="H2170" s="5" t="s">
        <v>12965</v>
      </c>
      <c r="I2170" s="5">
        <v>573108757090</v>
      </c>
      <c r="J2170" s="12">
        <v>46087</v>
      </c>
      <c r="K2170" s="11">
        <v>0</v>
      </c>
      <c r="M2170" s="10" t="s">
        <v>14885</v>
      </c>
      <c r="N2170" s="12">
        <v>46087</v>
      </c>
      <c r="O2170" s="10" t="s">
        <v>17913</v>
      </c>
      <c r="P2170" s="5" t="s">
        <v>14571</v>
      </c>
      <c r="Q2170" s="5" t="s">
        <v>14612</v>
      </c>
      <c r="R2170" s="5" t="s">
        <v>19668</v>
      </c>
      <c r="T2170" s="5" t="s">
        <v>5994</v>
      </c>
      <c r="U2170" s="5" t="s">
        <v>14593</v>
      </c>
      <c r="V2170" s="5" t="s">
        <v>67</v>
      </c>
      <c r="W2170" s="5"/>
    </row>
    <row r="2171" spans="1:23" ht="12.5">
      <c r="A2171" s="5">
        <v>92686</v>
      </c>
      <c r="B2171" s="5" t="s">
        <v>19669</v>
      </c>
      <c r="C2171" s="5">
        <v>573127773997</v>
      </c>
      <c r="D2171" s="5">
        <v>31</v>
      </c>
      <c r="E2171" s="5" t="s">
        <v>375</v>
      </c>
      <c r="F2171" s="5" t="s">
        <v>146</v>
      </c>
      <c r="G2171" s="5" t="s">
        <v>12972</v>
      </c>
      <c r="H2171" s="5" t="s">
        <v>12973</v>
      </c>
      <c r="I2171" s="5">
        <v>573007988709</v>
      </c>
      <c r="J2171" s="12">
        <v>46089</v>
      </c>
      <c r="K2171" s="11">
        <v>0.41666666666787933</v>
      </c>
      <c r="M2171" s="10" t="s">
        <v>14595</v>
      </c>
      <c r="N2171" s="12">
        <v>46087.554713738427</v>
      </c>
      <c r="O2171" s="10" t="s">
        <v>16021</v>
      </c>
      <c r="P2171" s="5" t="s">
        <v>14571</v>
      </c>
      <c r="Q2171" s="5" t="s">
        <v>17688</v>
      </c>
      <c r="R2171" s="5" t="s">
        <v>19670</v>
      </c>
      <c r="T2171" s="5" t="s">
        <v>5994</v>
      </c>
      <c r="U2171" s="5" t="s">
        <v>14618</v>
      </c>
      <c r="V2171" s="5" t="s">
        <v>12646</v>
      </c>
      <c r="W2171" s="5"/>
    </row>
    <row r="2172" spans="1:23" ht="12.5">
      <c r="A2172" s="5">
        <v>92687</v>
      </c>
      <c r="B2172" s="5" t="s">
        <v>19671</v>
      </c>
      <c r="C2172" s="5">
        <v>573122516532</v>
      </c>
      <c r="D2172" s="5">
        <v>31</v>
      </c>
      <c r="E2172" s="5" t="s">
        <v>375</v>
      </c>
      <c r="F2172" s="5" t="s">
        <v>464</v>
      </c>
      <c r="G2172" s="5" t="s">
        <v>12991</v>
      </c>
      <c r="H2172" s="5" t="s">
        <v>12992</v>
      </c>
      <c r="I2172" s="5">
        <v>573022084130</v>
      </c>
      <c r="J2172" s="12">
        <v>46087</v>
      </c>
      <c r="K2172" s="11">
        <v>0.66666666666787933</v>
      </c>
      <c r="M2172" s="10" t="s">
        <v>14705</v>
      </c>
      <c r="N2172" s="12">
        <v>46087.563643182875</v>
      </c>
      <c r="O2172" s="10" t="s">
        <v>14721</v>
      </c>
      <c r="P2172" s="5" t="s">
        <v>14571</v>
      </c>
      <c r="Q2172" s="5" t="s">
        <v>14572</v>
      </c>
      <c r="R2172" s="5" t="s">
        <v>19672</v>
      </c>
      <c r="T2172" s="5" t="s">
        <v>5994</v>
      </c>
      <c r="U2172" s="5" t="s">
        <v>14580</v>
      </c>
      <c r="V2172" s="5" t="s">
        <v>67</v>
      </c>
      <c r="W2172" s="5"/>
    </row>
    <row r="2173" spans="1:23" ht="12.5">
      <c r="A2173" s="5">
        <v>92688</v>
      </c>
      <c r="B2173" s="5" t="s">
        <v>19673</v>
      </c>
      <c r="C2173" s="10" t="s">
        <v>19674</v>
      </c>
      <c r="D2173" s="5">
        <v>26</v>
      </c>
      <c r="E2173" s="5" t="s">
        <v>12701</v>
      </c>
      <c r="F2173" s="5" t="s">
        <v>5574</v>
      </c>
      <c r="G2173" s="5" t="s">
        <v>12996</v>
      </c>
      <c r="H2173" s="5" t="s">
        <v>12997</v>
      </c>
      <c r="I2173" s="5">
        <v>3182618714</v>
      </c>
      <c r="J2173" s="12">
        <v>46087</v>
      </c>
      <c r="K2173" s="11">
        <v>0.6875</v>
      </c>
      <c r="M2173" s="10" t="s">
        <v>15384</v>
      </c>
      <c r="N2173" s="12">
        <v>46087</v>
      </c>
      <c r="O2173" s="10" t="s">
        <v>16402</v>
      </c>
      <c r="P2173" s="5" t="s">
        <v>14571</v>
      </c>
      <c r="Q2173" s="5" t="s">
        <v>14578</v>
      </c>
      <c r="R2173" s="5" t="s">
        <v>19675</v>
      </c>
      <c r="T2173" s="5" t="s">
        <v>5994</v>
      </c>
      <c r="U2173" s="5" t="s">
        <v>14593</v>
      </c>
      <c r="V2173" s="5" t="s">
        <v>180</v>
      </c>
      <c r="W2173" s="5" t="s">
        <v>13000</v>
      </c>
    </row>
    <row r="2174" spans="1:23" ht="12.5">
      <c r="A2174" s="5">
        <v>92689</v>
      </c>
      <c r="B2174" s="5" t="s">
        <v>19676</v>
      </c>
      <c r="C2174" s="10" t="s">
        <v>19677</v>
      </c>
      <c r="D2174" s="5">
        <v>23</v>
      </c>
      <c r="E2174" s="5" t="s">
        <v>50</v>
      </c>
      <c r="F2174" s="5" t="s">
        <v>161</v>
      </c>
      <c r="G2174" s="5" t="s">
        <v>12977</v>
      </c>
      <c r="H2174" s="5" t="s">
        <v>12978</v>
      </c>
      <c r="I2174" s="5">
        <v>573046494553</v>
      </c>
      <c r="J2174" s="12">
        <v>46087</v>
      </c>
      <c r="K2174" s="11">
        <v>0</v>
      </c>
      <c r="M2174" s="10" t="s">
        <v>14890</v>
      </c>
      <c r="N2174" s="12">
        <v>46087</v>
      </c>
      <c r="O2174" s="10" t="s">
        <v>17604</v>
      </c>
      <c r="P2174" s="5" t="s">
        <v>14571</v>
      </c>
      <c r="Q2174" s="5" t="s">
        <v>14572</v>
      </c>
      <c r="R2174" s="5" t="s">
        <v>19678</v>
      </c>
      <c r="T2174" s="5" t="s">
        <v>5994</v>
      </c>
      <c r="U2174" s="5" t="s">
        <v>14593</v>
      </c>
      <c r="V2174" s="5" t="s">
        <v>67</v>
      </c>
      <c r="W2174" s="5"/>
    </row>
    <row r="2175" spans="1:23" ht="12.5">
      <c r="A2175" s="5">
        <v>92690</v>
      </c>
      <c r="B2175" s="5" t="s">
        <v>19679</v>
      </c>
      <c r="C2175" s="10" t="s">
        <v>19680</v>
      </c>
      <c r="D2175" s="5" t="s">
        <v>19681</v>
      </c>
      <c r="E2175" s="5" t="s">
        <v>13004</v>
      </c>
      <c r="F2175" s="5" t="s">
        <v>9925</v>
      </c>
      <c r="G2175" s="5" t="s">
        <v>19682</v>
      </c>
      <c r="H2175" s="5" t="s">
        <v>13003</v>
      </c>
      <c r="I2175" s="5">
        <v>573112758492</v>
      </c>
      <c r="J2175" s="12">
        <v>46089</v>
      </c>
      <c r="K2175" s="11">
        <v>0.41666666666666669</v>
      </c>
      <c r="M2175" s="10" t="s">
        <v>17200</v>
      </c>
      <c r="N2175" s="12">
        <v>46087</v>
      </c>
      <c r="O2175" s="10" t="s">
        <v>14716</v>
      </c>
      <c r="P2175" s="5" t="s">
        <v>14571</v>
      </c>
      <c r="Q2175" s="5" t="s">
        <v>17423</v>
      </c>
      <c r="R2175" s="5" t="s">
        <v>19683</v>
      </c>
      <c r="T2175" s="5" t="s">
        <v>5994</v>
      </c>
      <c r="U2175" s="5" t="s">
        <v>14618</v>
      </c>
      <c r="V2175" s="5" t="s">
        <v>12646</v>
      </c>
      <c r="W2175" s="5"/>
    </row>
    <row r="2176" spans="1:23" ht="12.5">
      <c r="A2176" s="5">
        <v>92691</v>
      </c>
      <c r="B2176" s="5" t="s">
        <v>19684</v>
      </c>
      <c r="C2176" s="10" t="s">
        <v>19685</v>
      </c>
      <c r="D2176" s="5">
        <v>29</v>
      </c>
      <c r="E2176" s="5" t="s">
        <v>12406</v>
      </c>
      <c r="F2176" s="5" t="s">
        <v>124</v>
      </c>
      <c r="G2176" s="5" t="s">
        <v>4238</v>
      </c>
      <c r="H2176" s="5" t="s">
        <v>12987</v>
      </c>
      <c r="I2176" s="5">
        <v>573226529490</v>
      </c>
      <c r="J2176" s="12">
        <v>46089</v>
      </c>
      <c r="K2176" s="11">
        <v>0</v>
      </c>
      <c r="M2176" s="10" t="s">
        <v>15632</v>
      </c>
      <c r="N2176" s="12">
        <v>46087</v>
      </c>
      <c r="O2176" s="10" t="s">
        <v>15556</v>
      </c>
      <c r="P2176" s="5" t="s">
        <v>14571</v>
      </c>
      <c r="Q2176" s="5" t="s">
        <v>17423</v>
      </c>
      <c r="R2176" s="5" t="s">
        <v>19686</v>
      </c>
      <c r="T2176" s="5" t="s">
        <v>5994</v>
      </c>
      <c r="U2176" s="5" t="s">
        <v>14775</v>
      </c>
      <c r="V2176" s="5" t="s">
        <v>12646</v>
      </c>
      <c r="W2176" s="5"/>
    </row>
    <row r="2177" spans="1:23" ht="12.5">
      <c r="A2177" s="5">
        <v>92692</v>
      </c>
      <c r="B2177" s="5" t="s">
        <v>19687</v>
      </c>
      <c r="C2177" s="10" t="s">
        <v>19688</v>
      </c>
      <c r="D2177" s="5">
        <v>30</v>
      </c>
      <c r="E2177" s="5" t="s">
        <v>12844</v>
      </c>
      <c r="F2177" s="5" t="s">
        <v>307</v>
      </c>
      <c r="G2177" s="5" t="s">
        <v>13013</v>
      </c>
      <c r="H2177" s="5" t="s">
        <v>13014</v>
      </c>
      <c r="I2177" s="5">
        <v>573113445007</v>
      </c>
      <c r="J2177" s="12">
        <v>46089</v>
      </c>
      <c r="K2177" s="11">
        <v>0.41666666666666669</v>
      </c>
      <c r="M2177" s="10" t="s">
        <v>14627</v>
      </c>
      <c r="N2177" s="12">
        <v>46087</v>
      </c>
      <c r="O2177" s="10" t="s">
        <v>18385</v>
      </c>
      <c r="P2177" s="5" t="s">
        <v>14571</v>
      </c>
      <c r="Q2177" s="5" t="s">
        <v>17404</v>
      </c>
      <c r="R2177" s="5" t="s">
        <v>19689</v>
      </c>
      <c r="T2177" s="5" t="s">
        <v>5994</v>
      </c>
      <c r="U2177" s="5" t="s">
        <v>14618</v>
      </c>
      <c r="V2177" s="5" t="s">
        <v>12646</v>
      </c>
      <c r="W2177" s="5"/>
    </row>
    <row r="2178" spans="1:23" ht="12.5">
      <c r="A2178" s="5">
        <v>92693</v>
      </c>
      <c r="B2178" s="5" t="s">
        <v>19690</v>
      </c>
      <c r="C2178" s="5">
        <v>573006015502</v>
      </c>
      <c r="D2178" s="5">
        <v>38</v>
      </c>
      <c r="E2178" s="5" t="s">
        <v>458</v>
      </c>
      <c r="F2178" s="5" t="s">
        <v>110</v>
      </c>
      <c r="G2178" s="5" t="s">
        <v>13033</v>
      </c>
      <c r="H2178" s="5" t="s">
        <v>13034</v>
      </c>
      <c r="I2178" s="5">
        <v>573004512797</v>
      </c>
      <c r="J2178" s="12">
        <v>46087</v>
      </c>
      <c r="K2178" s="11">
        <v>0</v>
      </c>
      <c r="M2178" s="10" t="s">
        <v>17583</v>
      </c>
      <c r="N2178" s="12">
        <v>46087.642479479167</v>
      </c>
      <c r="O2178" s="10" t="s">
        <v>15059</v>
      </c>
      <c r="P2178" s="5" t="s">
        <v>14571</v>
      </c>
      <c r="Q2178" s="5" t="s">
        <v>14572</v>
      </c>
      <c r="R2178" s="5" t="s">
        <v>19691</v>
      </c>
      <c r="T2178" s="5" t="s">
        <v>5994</v>
      </c>
      <c r="U2178" s="5" t="s">
        <v>14593</v>
      </c>
      <c r="V2178" s="5" t="s">
        <v>180</v>
      </c>
      <c r="W2178" s="5"/>
    </row>
    <row r="2179" spans="1:23" ht="12.5">
      <c r="A2179" s="5">
        <v>92694</v>
      </c>
      <c r="B2179" s="5" t="s">
        <v>19692</v>
      </c>
      <c r="C2179" s="5">
        <v>573123093770</v>
      </c>
      <c r="D2179" s="5">
        <v>70</v>
      </c>
      <c r="E2179" s="5" t="s">
        <v>12522</v>
      </c>
      <c r="F2179" s="5" t="s">
        <v>6194</v>
      </c>
      <c r="G2179" s="5" t="s">
        <v>13024</v>
      </c>
      <c r="H2179" s="5" t="s">
        <v>13025</v>
      </c>
      <c r="I2179" s="5">
        <v>573004563479</v>
      </c>
      <c r="J2179" s="12">
        <v>46089</v>
      </c>
      <c r="K2179" s="11">
        <v>0.33333333333212067</v>
      </c>
      <c r="M2179" s="10" t="s">
        <v>19693</v>
      </c>
      <c r="N2179" s="12">
        <v>46087.642036817131</v>
      </c>
      <c r="O2179" s="10" t="s">
        <v>18124</v>
      </c>
      <c r="P2179" s="5" t="s">
        <v>14571</v>
      </c>
      <c r="Q2179" s="5" t="s">
        <v>17688</v>
      </c>
      <c r="R2179" s="5" t="s">
        <v>19694</v>
      </c>
      <c r="T2179" s="5" t="s">
        <v>5994</v>
      </c>
      <c r="U2179" s="5" t="s">
        <v>14580</v>
      </c>
      <c r="V2179" s="5" t="s">
        <v>12646</v>
      </c>
      <c r="W2179" s="5"/>
    </row>
    <row r="2180" spans="1:23" ht="12.5">
      <c r="A2180" s="5">
        <v>92697</v>
      </c>
      <c r="B2180" s="5" t="s">
        <v>19695</v>
      </c>
      <c r="C2180" s="5">
        <v>573043284707</v>
      </c>
      <c r="D2180" s="5">
        <v>95</v>
      </c>
      <c r="E2180" s="5" t="s">
        <v>42</v>
      </c>
      <c r="F2180" s="5" t="s">
        <v>5574</v>
      </c>
      <c r="G2180" s="5" t="s">
        <v>13043</v>
      </c>
      <c r="H2180" s="5" t="s">
        <v>13044</v>
      </c>
      <c r="I2180" s="5"/>
      <c r="J2180" s="12">
        <v>46088</v>
      </c>
      <c r="K2180" s="11">
        <v>0</v>
      </c>
      <c r="M2180" s="10" t="s">
        <v>15032</v>
      </c>
      <c r="N2180" s="12">
        <v>46087.647438032407</v>
      </c>
      <c r="O2180" s="10" t="s">
        <v>14937</v>
      </c>
      <c r="P2180" s="5" t="s">
        <v>14571</v>
      </c>
      <c r="Q2180" s="5" t="s">
        <v>14612</v>
      </c>
      <c r="R2180" s="5" t="s">
        <v>19696</v>
      </c>
      <c r="T2180" s="5" t="s">
        <v>5994</v>
      </c>
      <c r="U2180" s="5" t="s">
        <v>14593</v>
      </c>
      <c r="V2180" s="5" t="s">
        <v>1705</v>
      </c>
      <c r="W2180" s="5" t="s">
        <v>13046</v>
      </c>
    </row>
    <row r="2181" spans="1:23" ht="12.5">
      <c r="A2181" s="5">
        <v>92698</v>
      </c>
      <c r="B2181" s="5" t="s">
        <v>19697</v>
      </c>
      <c r="C2181" s="5">
        <v>573004817146</v>
      </c>
      <c r="D2181" s="5">
        <v>95</v>
      </c>
      <c r="E2181" s="5" t="s">
        <v>42</v>
      </c>
      <c r="F2181" s="5" t="s">
        <v>12657</v>
      </c>
      <c r="G2181" s="5" t="s">
        <v>13016</v>
      </c>
      <c r="H2181" s="5" t="s">
        <v>12657</v>
      </c>
      <c r="I2181" s="5">
        <v>573004817146</v>
      </c>
      <c r="J2181" s="12">
        <v>46087</v>
      </c>
      <c r="K2181" s="11">
        <v>0.22916666666787933</v>
      </c>
      <c r="M2181" s="10" t="s">
        <v>14599</v>
      </c>
      <c r="N2181" s="12">
        <v>46087.616527222221</v>
      </c>
      <c r="O2181" s="10" t="s">
        <v>15382</v>
      </c>
      <c r="P2181" s="5" t="s">
        <v>14571</v>
      </c>
      <c r="Q2181" s="5" t="s">
        <v>14612</v>
      </c>
      <c r="R2181" s="5" t="s">
        <v>19698</v>
      </c>
      <c r="T2181" s="5" t="s">
        <v>5994</v>
      </c>
      <c r="U2181" s="5"/>
      <c r="V2181" s="5" t="s">
        <v>180</v>
      </c>
      <c r="W2181" s="5" t="s">
        <v>13019</v>
      </c>
    </row>
    <row r="2182" spans="1:23" ht="12.5">
      <c r="A2182" s="5">
        <v>92699</v>
      </c>
      <c r="B2182" s="5" t="s">
        <v>19699</v>
      </c>
      <c r="C2182" s="5">
        <v>578717222</v>
      </c>
      <c r="D2182" s="5">
        <v>95</v>
      </c>
      <c r="E2182" s="5" t="s">
        <v>42</v>
      </c>
      <c r="F2182" s="5" t="s">
        <v>12657</v>
      </c>
      <c r="G2182" s="5" t="s">
        <v>6179</v>
      </c>
      <c r="H2182" s="5" t="s">
        <v>12657</v>
      </c>
      <c r="I2182" s="5">
        <v>573008717222</v>
      </c>
      <c r="J2182" s="12">
        <v>46087</v>
      </c>
      <c r="K2182" s="11">
        <v>0</v>
      </c>
      <c r="M2182" s="10" t="s">
        <v>16228</v>
      </c>
      <c r="N2182" s="12">
        <v>46087.609407986107</v>
      </c>
      <c r="O2182" s="10" t="s">
        <v>15887</v>
      </c>
      <c r="P2182" s="5" t="s">
        <v>14571</v>
      </c>
      <c r="Q2182" s="5" t="s">
        <v>14578</v>
      </c>
      <c r="R2182" s="5" t="s">
        <v>19700</v>
      </c>
      <c r="T2182" s="5" t="s">
        <v>5994</v>
      </c>
      <c r="U2182" s="5"/>
      <c r="V2182" s="5" t="s">
        <v>1705</v>
      </c>
      <c r="W2182" s="5"/>
    </row>
    <row r="2183" spans="1:23" ht="12.5">
      <c r="A2183" s="5">
        <v>92700</v>
      </c>
      <c r="B2183" s="5" t="s">
        <v>19701</v>
      </c>
      <c r="C2183" s="5">
        <v>575513373519</v>
      </c>
      <c r="D2183" s="5">
        <v>56</v>
      </c>
      <c r="E2183" s="5" t="s">
        <v>13056</v>
      </c>
      <c r="F2183" s="5" t="s">
        <v>73</v>
      </c>
      <c r="G2183" s="5" t="s">
        <v>13054</v>
      </c>
      <c r="H2183" s="5" t="s">
        <v>13055</v>
      </c>
      <c r="I2183" s="5">
        <v>573045472003</v>
      </c>
      <c r="J2183" s="12">
        <v>46089</v>
      </c>
      <c r="K2183" s="11">
        <v>0.29166666666787933</v>
      </c>
      <c r="M2183" s="10" t="s">
        <v>14890</v>
      </c>
      <c r="N2183" s="12">
        <v>46087.656910590274</v>
      </c>
      <c r="O2183" s="10" t="s">
        <v>15236</v>
      </c>
      <c r="P2183" s="5" t="s">
        <v>14571</v>
      </c>
      <c r="Q2183" s="5" t="s">
        <v>16907</v>
      </c>
      <c r="R2183" s="5" t="s">
        <v>19702</v>
      </c>
      <c r="T2183" s="5" t="s">
        <v>5994</v>
      </c>
      <c r="U2183" s="5" t="s">
        <v>14593</v>
      </c>
      <c r="V2183" s="5" t="s">
        <v>12646</v>
      </c>
      <c r="W2183" s="5" t="s">
        <v>13059</v>
      </c>
    </row>
    <row r="2184" spans="1:23" ht="12.5">
      <c r="A2184" s="5">
        <v>92701</v>
      </c>
      <c r="B2184" s="5" t="s">
        <v>19703</v>
      </c>
      <c r="C2184" s="5">
        <v>573104605906</v>
      </c>
      <c r="D2184" s="5">
        <v>101</v>
      </c>
      <c r="E2184" s="5" t="s">
        <v>12724</v>
      </c>
      <c r="F2184" s="5" t="s">
        <v>249</v>
      </c>
      <c r="G2184" s="5" t="s">
        <v>13048</v>
      </c>
      <c r="H2184" s="5" t="s">
        <v>13049</v>
      </c>
      <c r="I2184" s="5">
        <v>573245177748</v>
      </c>
      <c r="J2184" s="12">
        <v>46087</v>
      </c>
      <c r="K2184" s="11">
        <v>0.1875</v>
      </c>
      <c r="M2184" s="10" t="s">
        <v>15384</v>
      </c>
      <c r="N2184" s="12">
        <v>46087.654547997685</v>
      </c>
      <c r="O2184" s="10" t="s">
        <v>14813</v>
      </c>
      <c r="P2184" s="5" t="s">
        <v>14571</v>
      </c>
      <c r="Q2184" s="5" t="s">
        <v>14578</v>
      </c>
      <c r="R2184" s="5" t="s">
        <v>19704</v>
      </c>
      <c r="T2184" s="5" t="s">
        <v>5994</v>
      </c>
      <c r="U2184" s="5" t="s">
        <v>14593</v>
      </c>
      <c r="V2184" s="5" t="s">
        <v>67</v>
      </c>
      <c r="W2184" s="5" t="s">
        <v>13052</v>
      </c>
    </row>
    <row r="2185" spans="1:23" ht="12.5">
      <c r="A2185" s="5">
        <v>92702</v>
      </c>
      <c r="B2185" s="5" t="s">
        <v>19705</v>
      </c>
      <c r="C2185" s="5">
        <v>573145210521</v>
      </c>
      <c r="D2185" s="5">
        <v>57</v>
      </c>
      <c r="E2185" s="5" t="s">
        <v>13021</v>
      </c>
      <c r="F2185" s="5" t="s">
        <v>12657</v>
      </c>
      <c r="G2185" s="5" t="s">
        <v>13020</v>
      </c>
      <c r="H2185" s="5" t="s">
        <v>12657</v>
      </c>
      <c r="I2185" s="5">
        <v>573145210521</v>
      </c>
      <c r="J2185" s="12">
        <v>46087</v>
      </c>
      <c r="K2185" s="11">
        <v>0</v>
      </c>
      <c r="M2185" s="10" t="s">
        <v>15859</v>
      </c>
      <c r="N2185" s="12">
        <v>46087.625925393513</v>
      </c>
      <c r="O2185" s="10" t="s">
        <v>15047</v>
      </c>
      <c r="P2185" s="5" t="s">
        <v>14571</v>
      </c>
      <c r="Q2185" s="5" t="s">
        <v>14572</v>
      </c>
      <c r="R2185" s="5" t="s">
        <v>19706</v>
      </c>
      <c r="T2185" s="5" t="s">
        <v>5994</v>
      </c>
      <c r="U2185" s="5"/>
      <c r="V2185" s="5" t="s">
        <v>37</v>
      </c>
      <c r="W2185" s="5" t="s">
        <v>13022</v>
      </c>
    </row>
    <row r="2186" spans="1:23" ht="12.5">
      <c r="A2186" s="5">
        <v>92703</v>
      </c>
      <c r="B2186" s="5" t="s">
        <v>19707</v>
      </c>
      <c r="C2186" s="5">
        <v>573234582934</v>
      </c>
      <c r="D2186" s="5" t="s">
        <v>19708</v>
      </c>
      <c r="E2186" s="5" t="s">
        <v>13063</v>
      </c>
      <c r="F2186" s="5" t="s">
        <v>63</v>
      </c>
      <c r="G2186" s="5" t="s">
        <v>13061</v>
      </c>
      <c r="H2186" s="5" t="s">
        <v>13062</v>
      </c>
      <c r="I2186" s="5">
        <v>573234589234</v>
      </c>
      <c r="J2186" s="12">
        <v>46088</v>
      </c>
      <c r="K2186" s="11">
        <v>0.41666666666787933</v>
      </c>
      <c r="M2186" s="10" t="s">
        <v>16329</v>
      </c>
      <c r="N2186" s="12">
        <v>46087.663684317129</v>
      </c>
      <c r="O2186" s="10" t="s">
        <v>19709</v>
      </c>
      <c r="P2186" s="5" t="s">
        <v>14571</v>
      </c>
      <c r="Q2186" s="5" t="s">
        <v>17990</v>
      </c>
      <c r="R2186" s="5" t="s">
        <v>19710</v>
      </c>
      <c r="T2186" s="5" t="s">
        <v>5994</v>
      </c>
      <c r="U2186" s="5" t="s">
        <v>14598</v>
      </c>
      <c r="V2186" s="5" t="s">
        <v>12646</v>
      </c>
      <c r="W2186" s="5" t="s">
        <v>13065</v>
      </c>
    </row>
    <row r="2187" spans="1:23" ht="12.5">
      <c r="A2187" s="5">
        <v>92704</v>
      </c>
      <c r="B2187" s="5" t="s">
        <v>19711</v>
      </c>
      <c r="C2187" s="10" t="s">
        <v>19712</v>
      </c>
      <c r="D2187" s="5">
        <v>52</v>
      </c>
      <c r="E2187" s="5" t="s">
        <v>12496</v>
      </c>
      <c r="F2187" s="5" t="s">
        <v>12657</v>
      </c>
      <c r="G2187" s="5" t="s">
        <v>13083</v>
      </c>
      <c r="H2187" s="5" t="s">
        <v>12657</v>
      </c>
      <c r="I2187" s="5">
        <v>573213651301</v>
      </c>
      <c r="J2187" s="12">
        <v>46087</v>
      </c>
      <c r="K2187" s="11">
        <v>0</v>
      </c>
      <c r="M2187" s="10" t="s">
        <v>15594</v>
      </c>
      <c r="N2187" s="12">
        <v>46087</v>
      </c>
      <c r="O2187" s="10" t="s">
        <v>14809</v>
      </c>
      <c r="P2187" s="5" t="s">
        <v>14571</v>
      </c>
      <c r="Q2187" s="5" t="s">
        <v>14572</v>
      </c>
      <c r="R2187" s="5" t="s">
        <v>19713</v>
      </c>
      <c r="T2187" s="5" t="s">
        <v>5994</v>
      </c>
      <c r="U2187" s="5"/>
      <c r="V2187" s="5" t="s">
        <v>37</v>
      </c>
      <c r="W2187" s="5" t="s">
        <v>13084</v>
      </c>
    </row>
    <row r="2188" spans="1:23" ht="12.5">
      <c r="A2188" s="5">
        <v>92705</v>
      </c>
      <c r="B2188" s="5" t="s">
        <v>19703</v>
      </c>
      <c r="C2188" s="10" t="s">
        <v>19714</v>
      </c>
      <c r="D2188" s="5">
        <v>41</v>
      </c>
      <c r="E2188" s="5" t="s">
        <v>13079</v>
      </c>
      <c r="F2188" s="5" t="s">
        <v>249</v>
      </c>
      <c r="G2188" s="5" t="s">
        <v>13077</v>
      </c>
      <c r="H2188" s="5" t="s">
        <v>13078</v>
      </c>
      <c r="I2188" s="5">
        <v>573042054826</v>
      </c>
      <c r="J2188" s="12">
        <v>46087</v>
      </c>
      <c r="K2188" s="11">
        <v>0.22916666666666666</v>
      </c>
      <c r="M2188" s="10" t="s">
        <v>14740</v>
      </c>
      <c r="N2188" s="12">
        <v>46087</v>
      </c>
      <c r="O2188" s="10" t="s">
        <v>15724</v>
      </c>
      <c r="P2188" s="5" t="s">
        <v>14571</v>
      </c>
      <c r="Q2188" s="5" t="s">
        <v>14572</v>
      </c>
      <c r="R2188" s="5" t="s">
        <v>19715</v>
      </c>
      <c r="T2188" s="5" t="s">
        <v>5994</v>
      </c>
      <c r="U2188" s="5" t="s">
        <v>14593</v>
      </c>
      <c r="V2188" s="5" t="s">
        <v>67</v>
      </c>
      <c r="W2188" s="5" t="s">
        <v>13082</v>
      </c>
    </row>
    <row r="2189" spans="1:23" ht="12.5">
      <c r="A2189" s="5">
        <v>92706</v>
      </c>
      <c r="B2189" s="5" t="s">
        <v>19716</v>
      </c>
      <c r="C2189" s="5">
        <v>573011113091</v>
      </c>
      <c r="D2189" s="5">
        <v>1</v>
      </c>
      <c r="E2189" s="5" t="s">
        <v>13074</v>
      </c>
      <c r="F2189" s="5" t="s">
        <v>2865</v>
      </c>
      <c r="G2189" s="5" t="s">
        <v>13072</v>
      </c>
      <c r="H2189" s="5" t="s">
        <v>13073</v>
      </c>
      <c r="I2189" s="5">
        <v>573011113091</v>
      </c>
      <c r="J2189" s="12">
        <v>46087</v>
      </c>
      <c r="K2189" s="11">
        <v>0.75</v>
      </c>
      <c r="M2189" s="10" t="s">
        <v>17430</v>
      </c>
      <c r="N2189" s="12">
        <v>46087.687393321758</v>
      </c>
      <c r="O2189" s="10" t="s">
        <v>14914</v>
      </c>
      <c r="P2189" s="5" t="s">
        <v>14571</v>
      </c>
      <c r="Q2189" s="5" t="s">
        <v>14572</v>
      </c>
      <c r="R2189" s="5" t="s">
        <v>19717</v>
      </c>
      <c r="T2189" s="5" t="s">
        <v>5994</v>
      </c>
      <c r="U2189" s="5" t="s">
        <v>14775</v>
      </c>
      <c r="V2189" s="5" t="s">
        <v>67</v>
      </c>
      <c r="W2189" s="5" t="s">
        <v>13070</v>
      </c>
    </row>
    <row r="2190" spans="1:23" ht="12.5">
      <c r="A2190" s="5">
        <v>92707</v>
      </c>
      <c r="B2190" s="5" t="s">
        <v>19718</v>
      </c>
      <c r="C2190" s="5">
        <v>573204842833</v>
      </c>
      <c r="D2190" s="5">
        <v>52</v>
      </c>
      <c r="E2190" s="5" t="s">
        <v>12496</v>
      </c>
      <c r="F2190" s="5" t="s">
        <v>12657</v>
      </c>
      <c r="G2190" s="5" t="s">
        <v>13086</v>
      </c>
      <c r="H2190" s="5" t="s">
        <v>13087</v>
      </c>
      <c r="I2190" s="5">
        <v>573204842833</v>
      </c>
      <c r="J2190" s="12">
        <v>46087</v>
      </c>
      <c r="K2190" s="11">
        <v>0.22916666666787933</v>
      </c>
      <c r="M2190" s="10" t="s">
        <v>15594</v>
      </c>
      <c r="N2190" s="12">
        <v>46087.702006886575</v>
      </c>
      <c r="O2190" s="10" t="s">
        <v>16239</v>
      </c>
      <c r="P2190" s="5" t="s">
        <v>14571</v>
      </c>
      <c r="Q2190" s="5" t="s">
        <v>14578</v>
      </c>
      <c r="R2190" s="5" t="s">
        <v>19719</v>
      </c>
      <c r="T2190" s="5" t="s">
        <v>5994</v>
      </c>
      <c r="U2190" s="5"/>
      <c r="V2190" s="5" t="s">
        <v>67</v>
      </c>
      <c r="W2190" s="5" t="s">
        <v>13090</v>
      </c>
    </row>
    <row r="2191" spans="1:23" ht="12.5">
      <c r="A2191" s="5">
        <v>92708</v>
      </c>
      <c r="B2191" s="5" t="s">
        <v>19720</v>
      </c>
      <c r="C2191" s="10" t="s">
        <v>19721</v>
      </c>
      <c r="D2191" s="5" t="s">
        <v>14589</v>
      </c>
      <c r="E2191" s="5" t="s">
        <v>13067</v>
      </c>
      <c r="F2191" s="5" t="s">
        <v>12657</v>
      </c>
      <c r="G2191" s="5" t="s">
        <v>13066</v>
      </c>
      <c r="H2191" s="5" t="s">
        <v>12657</v>
      </c>
      <c r="I2191" s="5">
        <v>573105015903</v>
      </c>
      <c r="J2191" s="12">
        <v>46089</v>
      </c>
      <c r="K2191" s="11">
        <v>0.33333333333333331</v>
      </c>
      <c r="M2191" s="10" t="s">
        <v>15011</v>
      </c>
      <c r="N2191" s="12">
        <v>46087</v>
      </c>
      <c r="O2191" s="10" t="s">
        <v>17946</v>
      </c>
      <c r="P2191" s="5" t="s">
        <v>14571</v>
      </c>
      <c r="Q2191" s="5" t="s">
        <v>17688</v>
      </c>
      <c r="R2191" s="5" t="s">
        <v>19722</v>
      </c>
      <c r="T2191" s="5" t="s">
        <v>5994</v>
      </c>
      <c r="U2191" s="5"/>
      <c r="V2191" s="5" t="s">
        <v>12646</v>
      </c>
      <c r="W2191" s="5" t="s">
        <v>13070</v>
      </c>
    </row>
    <row r="2192" spans="1:23" ht="12.5">
      <c r="A2192" s="5">
        <v>92709</v>
      </c>
      <c r="B2192" s="5" t="s">
        <v>19723</v>
      </c>
      <c r="C2192" s="5">
        <v>573003004016</v>
      </c>
      <c r="D2192" s="5">
        <v>71</v>
      </c>
      <c r="E2192" s="5" t="s">
        <v>734</v>
      </c>
      <c r="F2192" s="5" t="s">
        <v>12657</v>
      </c>
      <c r="G2192" s="5" t="s">
        <v>13091</v>
      </c>
      <c r="H2192" s="5" t="s">
        <v>12657</v>
      </c>
      <c r="I2192" s="5">
        <v>573003004016</v>
      </c>
      <c r="J2192" s="12">
        <v>46087</v>
      </c>
      <c r="K2192" s="11">
        <v>0</v>
      </c>
      <c r="M2192" s="10" t="s">
        <v>16385</v>
      </c>
      <c r="N2192" s="12">
        <v>46087.711091759258</v>
      </c>
      <c r="O2192" s="10" t="s">
        <v>17946</v>
      </c>
      <c r="P2192" s="5" t="s">
        <v>14571</v>
      </c>
      <c r="Q2192" s="5" t="s">
        <v>14612</v>
      </c>
      <c r="R2192" s="5" t="s">
        <v>19724</v>
      </c>
      <c r="T2192" s="5" t="s">
        <v>5994</v>
      </c>
      <c r="U2192" s="5"/>
      <c r="V2192" s="5" t="s">
        <v>1705</v>
      </c>
      <c r="W2192" s="5"/>
    </row>
    <row r="2193" spans="1:23" ht="12.5">
      <c r="A2193" s="5">
        <v>92710</v>
      </c>
      <c r="B2193" s="5" t="s">
        <v>19725</v>
      </c>
      <c r="C2193" s="10" t="s">
        <v>19726</v>
      </c>
      <c r="D2193" s="5">
        <v>52</v>
      </c>
      <c r="E2193" s="5" t="s">
        <v>12496</v>
      </c>
      <c r="F2193" s="5" t="s">
        <v>73</v>
      </c>
      <c r="G2193" s="5" t="s">
        <v>13028</v>
      </c>
      <c r="H2193" s="5" t="s">
        <v>13029</v>
      </c>
      <c r="I2193" s="5">
        <v>573013007378</v>
      </c>
      <c r="J2193" s="12">
        <v>46089</v>
      </c>
      <c r="K2193" s="11">
        <v>0.29166666666666669</v>
      </c>
      <c r="M2193" s="10" t="s">
        <v>14885</v>
      </c>
      <c r="N2193" s="12">
        <v>46087</v>
      </c>
      <c r="O2193" s="10" t="s">
        <v>15661</v>
      </c>
      <c r="P2193" s="5" t="s">
        <v>14571</v>
      </c>
      <c r="Q2193" s="5" t="s">
        <v>17688</v>
      </c>
      <c r="R2193" s="5" t="s">
        <v>19727</v>
      </c>
      <c r="T2193" s="5" t="s">
        <v>5994</v>
      </c>
      <c r="U2193" s="5" t="s">
        <v>14593</v>
      </c>
      <c r="V2193" s="5" t="s">
        <v>12646</v>
      </c>
      <c r="W2193" s="5" t="s">
        <v>9771</v>
      </c>
    </row>
    <row r="2194" spans="1:23" ht="12.5">
      <c r="A2194" s="5">
        <v>92711</v>
      </c>
      <c r="B2194" s="5" t="s">
        <v>19728</v>
      </c>
      <c r="C2194" s="10" t="s">
        <v>19729</v>
      </c>
      <c r="D2194" s="5">
        <v>52</v>
      </c>
      <c r="E2194" s="5" t="s">
        <v>12496</v>
      </c>
      <c r="F2194" s="5" t="s">
        <v>146</v>
      </c>
      <c r="G2194" s="5" t="s">
        <v>12960</v>
      </c>
      <c r="H2194" s="5" t="s">
        <v>12961</v>
      </c>
      <c r="I2194" s="5">
        <v>573225823620</v>
      </c>
      <c r="J2194" s="12">
        <v>46088</v>
      </c>
      <c r="K2194" s="11">
        <v>0.33333333333333331</v>
      </c>
      <c r="M2194" s="10" t="s">
        <v>14643</v>
      </c>
      <c r="N2194" s="12">
        <v>46087</v>
      </c>
      <c r="O2194" s="10" t="s">
        <v>16421</v>
      </c>
      <c r="P2194" s="5" t="s">
        <v>14571</v>
      </c>
      <c r="Q2194" s="5" t="s">
        <v>14572</v>
      </c>
      <c r="R2194" s="5" t="s">
        <v>19730</v>
      </c>
      <c r="T2194" s="5" t="s">
        <v>5994</v>
      </c>
      <c r="U2194" s="5" t="s">
        <v>14618</v>
      </c>
      <c r="V2194" s="5" t="s">
        <v>12646</v>
      </c>
      <c r="W2194" s="5" t="s">
        <v>9771</v>
      </c>
    </row>
    <row r="2195" spans="1:23" ht="12.5">
      <c r="A2195" s="5">
        <v>92712</v>
      </c>
      <c r="B2195" s="5" t="s">
        <v>19731</v>
      </c>
      <c r="C2195" s="5">
        <v>573000000002</v>
      </c>
      <c r="D2195" s="5">
        <v>95</v>
      </c>
      <c r="E2195" s="5" t="s">
        <v>42</v>
      </c>
      <c r="F2195" s="5" t="s">
        <v>12657</v>
      </c>
      <c r="G2195" s="5" t="s">
        <v>7963</v>
      </c>
      <c r="H2195" s="5" t="s">
        <v>12657</v>
      </c>
      <c r="I2195" s="5">
        <v>573000000002</v>
      </c>
      <c r="J2195" s="12">
        <v>46087</v>
      </c>
      <c r="K2195" s="11">
        <v>0</v>
      </c>
      <c r="M2195" s="10" t="s">
        <v>15594</v>
      </c>
      <c r="N2195" s="12">
        <v>46087.72104611111</v>
      </c>
      <c r="O2195" s="10" t="s">
        <v>16251</v>
      </c>
      <c r="P2195" s="5" t="s">
        <v>14571</v>
      </c>
      <c r="Q2195" s="5" t="s">
        <v>14572</v>
      </c>
      <c r="R2195" s="5" t="s">
        <v>19732</v>
      </c>
      <c r="T2195" s="5" t="s">
        <v>5994</v>
      </c>
      <c r="U2195" s="5"/>
      <c r="V2195" s="5" t="s">
        <v>67</v>
      </c>
      <c r="W2195" s="5" t="s">
        <v>13105</v>
      </c>
    </row>
    <row r="2196" spans="1:23" ht="12.5">
      <c r="A2196" s="5">
        <v>92713</v>
      </c>
      <c r="B2196" s="5" t="s">
        <v>19733</v>
      </c>
      <c r="C2196" s="5">
        <v>573103633466</v>
      </c>
      <c r="D2196" s="5">
        <v>95</v>
      </c>
      <c r="E2196" s="5" t="s">
        <v>42</v>
      </c>
      <c r="F2196" s="5" t="s">
        <v>12657</v>
      </c>
      <c r="G2196" s="5" t="s">
        <v>6561</v>
      </c>
      <c r="H2196" s="5" t="s">
        <v>12657</v>
      </c>
      <c r="I2196" s="5">
        <v>573103633466</v>
      </c>
      <c r="J2196" s="12">
        <v>46087</v>
      </c>
      <c r="K2196" s="11">
        <v>0</v>
      </c>
      <c r="M2196" s="10" t="s">
        <v>15011</v>
      </c>
      <c r="N2196" s="12">
        <v>46087.726018402776</v>
      </c>
      <c r="O2196" s="10" t="s">
        <v>15033</v>
      </c>
      <c r="P2196" s="5" t="s">
        <v>14571</v>
      </c>
      <c r="Q2196" s="5" t="s">
        <v>14578</v>
      </c>
      <c r="R2196" s="5" t="s">
        <v>19734</v>
      </c>
      <c r="T2196" s="5" t="s">
        <v>5994</v>
      </c>
      <c r="U2196" s="5"/>
      <c r="V2196" s="5" t="s">
        <v>1705</v>
      </c>
      <c r="W2196" s="5"/>
    </row>
    <row r="2197" spans="1:23" ht="12.5">
      <c r="A2197" s="5">
        <v>92714</v>
      </c>
      <c r="B2197" s="5" t="s">
        <v>19735</v>
      </c>
      <c r="C2197" s="5">
        <v>573008374218</v>
      </c>
      <c r="D2197" s="5">
        <v>26</v>
      </c>
      <c r="E2197" s="5" t="s">
        <v>12701</v>
      </c>
      <c r="F2197" s="5" t="s">
        <v>79</v>
      </c>
      <c r="G2197" s="5" t="s">
        <v>13107</v>
      </c>
      <c r="H2197" s="5" t="s">
        <v>13108</v>
      </c>
      <c r="I2197" s="5">
        <v>573008374218</v>
      </c>
      <c r="J2197" s="12">
        <v>46088</v>
      </c>
      <c r="K2197" s="11">
        <v>0.41666666666787933</v>
      </c>
      <c r="M2197" s="10" t="s">
        <v>15384</v>
      </c>
      <c r="N2197" s="12">
        <v>46087.726723182874</v>
      </c>
      <c r="O2197" s="10" t="s">
        <v>15026</v>
      </c>
      <c r="P2197" s="5" t="s">
        <v>14571</v>
      </c>
      <c r="Q2197" s="5" t="s">
        <v>17404</v>
      </c>
      <c r="R2197" s="5" t="s">
        <v>19736</v>
      </c>
      <c r="T2197" s="5" t="s">
        <v>5994</v>
      </c>
      <c r="U2197" s="5" t="s">
        <v>14593</v>
      </c>
      <c r="V2197" s="5" t="s">
        <v>12646</v>
      </c>
      <c r="W2197" s="5" t="s">
        <v>13111</v>
      </c>
    </row>
    <row r="2198" spans="1:23" ht="12.5">
      <c r="A2198" s="5">
        <v>92715</v>
      </c>
      <c r="B2198" s="5" t="s">
        <v>19737</v>
      </c>
      <c r="C2198" s="5">
        <v>573150533465</v>
      </c>
      <c r="D2198" s="5">
        <v>29</v>
      </c>
      <c r="E2198" s="5" t="s">
        <v>12406</v>
      </c>
      <c r="F2198" s="5" t="s">
        <v>110</v>
      </c>
      <c r="G2198" s="5" t="s">
        <v>13120</v>
      </c>
      <c r="H2198" s="5" t="s">
        <v>13121</v>
      </c>
      <c r="I2198" s="5"/>
      <c r="J2198" s="12">
        <v>46089</v>
      </c>
      <c r="K2198" s="11">
        <v>0.375</v>
      </c>
      <c r="M2198" s="10" t="s">
        <v>15585</v>
      </c>
      <c r="N2198" s="12">
        <v>46087.73884961805</v>
      </c>
      <c r="O2198" s="10" t="s">
        <v>16423</v>
      </c>
      <c r="P2198" s="5" t="s">
        <v>14571</v>
      </c>
      <c r="Q2198" s="5" t="s">
        <v>17423</v>
      </c>
      <c r="R2198" s="5" t="s">
        <v>19738</v>
      </c>
      <c r="T2198" s="5" t="s">
        <v>5994</v>
      </c>
      <c r="U2198" s="5" t="s">
        <v>14593</v>
      </c>
      <c r="V2198" s="5" t="s">
        <v>196</v>
      </c>
      <c r="W2198" s="5" t="s">
        <v>13123</v>
      </c>
    </row>
    <row r="2199" spans="1:23" ht="12.5">
      <c r="A2199" s="5">
        <v>92716</v>
      </c>
      <c r="B2199" s="5" t="s">
        <v>19739</v>
      </c>
      <c r="C2199" s="10" t="s">
        <v>19740</v>
      </c>
      <c r="D2199" s="5" t="s">
        <v>19741</v>
      </c>
      <c r="E2199" s="5" t="s">
        <v>13101</v>
      </c>
      <c r="F2199" s="5" t="s">
        <v>63</v>
      </c>
      <c r="G2199" s="5" t="s">
        <v>19742</v>
      </c>
      <c r="H2199" s="5" t="s">
        <v>13100</v>
      </c>
      <c r="I2199" s="5">
        <v>573013601956</v>
      </c>
      <c r="J2199" s="12">
        <v>46089</v>
      </c>
      <c r="K2199" s="11">
        <v>0.375</v>
      </c>
      <c r="M2199" s="10" t="s">
        <v>16274</v>
      </c>
      <c r="N2199" s="12">
        <v>46087</v>
      </c>
      <c r="O2199" s="10" t="s">
        <v>15350</v>
      </c>
      <c r="P2199" s="5" t="s">
        <v>14571</v>
      </c>
      <c r="Q2199" s="5" t="s">
        <v>17404</v>
      </c>
      <c r="R2199" s="5" t="s">
        <v>19743</v>
      </c>
      <c r="T2199" s="5" t="s">
        <v>5994</v>
      </c>
      <c r="U2199" s="5" t="s">
        <v>14598</v>
      </c>
      <c r="V2199" s="5" t="s">
        <v>1937</v>
      </c>
      <c r="W2199" s="5" t="s">
        <v>13104</v>
      </c>
    </row>
    <row r="2200" spans="1:23" ht="12.5">
      <c r="A2200" s="5">
        <v>92717</v>
      </c>
      <c r="B2200" s="5" t="s">
        <v>19739</v>
      </c>
      <c r="C2200" s="5">
        <v>573013601956</v>
      </c>
      <c r="D2200" s="5">
        <v>29</v>
      </c>
      <c r="E2200" s="5" t="s">
        <v>12406</v>
      </c>
      <c r="F2200" s="5" t="s">
        <v>726</v>
      </c>
      <c r="G2200" s="5" t="s">
        <v>13131</v>
      </c>
      <c r="H2200" s="5" t="s">
        <v>13132</v>
      </c>
      <c r="I2200" s="5"/>
      <c r="J2200" s="12">
        <v>46089</v>
      </c>
      <c r="K2200" s="11">
        <v>0.375</v>
      </c>
      <c r="M2200" s="10" t="s">
        <v>16385</v>
      </c>
      <c r="N2200" s="12">
        <v>46087.745504872684</v>
      </c>
      <c r="O2200" s="10" t="s">
        <v>16425</v>
      </c>
      <c r="P2200" s="5" t="s">
        <v>14571</v>
      </c>
      <c r="Q2200" s="5" t="s">
        <v>17688</v>
      </c>
      <c r="R2200" s="5" t="s">
        <v>19744</v>
      </c>
      <c r="T2200" s="5" t="s">
        <v>5994</v>
      </c>
      <c r="U2200" s="5" t="s">
        <v>14618</v>
      </c>
      <c r="V2200" s="5" t="s">
        <v>1937</v>
      </c>
      <c r="W2200" s="5" t="s">
        <v>13070</v>
      </c>
    </row>
    <row r="2201" spans="1:23" ht="12.5">
      <c r="A2201" s="5">
        <v>92718</v>
      </c>
      <c r="B2201" s="5" t="s">
        <v>19580</v>
      </c>
      <c r="C2201" s="10" t="s">
        <v>19745</v>
      </c>
      <c r="D2201" s="5">
        <v>95</v>
      </c>
      <c r="E2201" s="5" t="s">
        <v>42</v>
      </c>
      <c r="F2201" s="5" t="s">
        <v>33</v>
      </c>
      <c r="G2201" s="5" t="s">
        <v>13146</v>
      </c>
      <c r="H2201" s="5" t="s">
        <v>13147</v>
      </c>
      <c r="I2201" s="5">
        <v>573153543653</v>
      </c>
      <c r="J2201" s="12">
        <v>46088</v>
      </c>
      <c r="K2201" s="11">
        <v>0.41666666666666669</v>
      </c>
      <c r="M2201" s="10" t="s">
        <v>2686</v>
      </c>
      <c r="N2201" s="12">
        <v>46087</v>
      </c>
      <c r="O2201" s="10" t="s">
        <v>16995</v>
      </c>
      <c r="P2201" s="5" t="s">
        <v>14571</v>
      </c>
      <c r="Q2201" s="5" t="s">
        <v>14578</v>
      </c>
      <c r="R2201" s="5" t="s">
        <v>19746</v>
      </c>
      <c r="T2201" s="5" t="s">
        <v>14574</v>
      </c>
      <c r="U2201" s="5" t="s">
        <v>33</v>
      </c>
      <c r="V2201" s="5" t="s">
        <v>43</v>
      </c>
      <c r="W2201" s="5"/>
    </row>
    <row r="2202" spans="1:23" ht="12.5">
      <c r="A2202" s="5">
        <v>92719</v>
      </c>
      <c r="B2202" s="5" t="s">
        <v>19747</v>
      </c>
      <c r="C2202" s="10" t="s">
        <v>19748</v>
      </c>
      <c r="D2202" s="5" t="s">
        <v>19749</v>
      </c>
      <c r="E2202" s="5" t="s">
        <v>13115</v>
      </c>
      <c r="F2202" s="5" t="s">
        <v>9925</v>
      </c>
      <c r="G2202" s="5" t="s">
        <v>13113</v>
      </c>
      <c r="H2202" s="5" t="s">
        <v>13114</v>
      </c>
      <c r="I2202" s="5">
        <v>573013651988</v>
      </c>
      <c r="J2202" s="12">
        <v>46089</v>
      </c>
      <c r="K2202" s="11">
        <v>0.41666666666666669</v>
      </c>
      <c r="M2202" s="10" t="s">
        <v>17460</v>
      </c>
      <c r="N2202" s="12">
        <v>46087</v>
      </c>
      <c r="O2202" s="10" t="s">
        <v>16559</v>
      </c>
      <c r="P2202" s="5" t="s">
        <v>14571</v>
      </c>
      <c r="Q2202" s="5" t="s">
        <v>14578</v>
      </c>
      <c r="R2202" s="5" t="s">
        <v>19750</v>
      </c>
      <c r="T2202" s="5" t="s">
        <v>5994</v>
      </c>
      <c r="U2202" s="5" t="s">
        <v>14618</v>
      </c>
      <c r="V2202" s="5" t="s">
        <v>12646</v>
      </c>
      <c r="W2202" s="5" t="s">
        <v>13118</v>
      </c>
    </row>
    <row r="2203" spans="1:23" ht="12.5">
      <c r="A2203" s="5">
        <v>92720</v>
      </c>
      <c r="B2203" s="5" t="s">
        <v>19751</v>
      </c>
      <c r="C2203" s="5">
        <v>573007518986</v>
      </c>
      <c r="D2203" s="5">
        <v>47</v>
      </c>
      <c r="E2203" s="5" t="s">
        <v>1610</v>
      </c>
      <c r="F2203" s="5" t="s">
        <v>3874</v>
      </c>
      <c r="G2203" s="5" t="s">
        <v>13093</v>
      </c>
      <c r="H2203" s="5" t="s">
        <v>13094</v>
      </c>
      <c r="I2203" s="5">
        <v>573175746293</v>
      </c>
      <c r="J2203" s="12">
        <v>46088</v>
      </c>
      <c r="K2203" s="11">
        <v>0.33333333333212067</v>
      </c>
      <c r="M2203" s="10" t="s">
        <v>17609</v>
      </c>
      <c r="N2203" s="12">
        <v>46087.713216990742</v>
      </c>
      <c r="O2203" s="10" t="s">
        <v>16492</v>
      </c>
      <c r="P2203" s="5" t="s">
        <v>14571</v>
      </c>
      <c r="Q2203" s="5" t="s">
        <v>16907</v>
      </c>
      <c r="R2203" s="5" t="s">
        <v>19752</v>
      </c>
      <c r="T2203" s="5" t="s">
        <v>5994</v>
      </c>
      <c r="U2203" s="5" t="s">
        <v>14580</v>
      </c>
      <c r="V2203" s="5" t="s">
        <v>12646</v>
      </c>
      <c r="W2203" s="5" t="s">
        <v>13097</v>
      </c>
    </row>
    <row r="2204" spans="1:23" ht="12.5">
      <c r="A2204" s="5">
        <v>92721</v>
      </c>
      <c r="B2204" s="5" t="s">
        <v>19753</v>
      </c>
      <c r="C2204" s="5">
        <v>573214518065</v>
      </c>
      <c r="D2204" s="5">
        <v>51</v>
      </c>
      <c r="E2204" s="5" t="s">
        <v>13138</v>
      </c>
      <c r="F2204" s="5" t="s">
        <v>73</v>
      </c>
      <c r="G2204" s="5" t="s">
        <v>13136</v>
      </c>
      <c r="H2204" s="5" t="s">
        <v>13137</v>
      </c>
      <c r="I2204" s="5">
        <v>573504579444</v>
      </c>
      <c r="J2204" s="12">
        <v>46088</v>
      </c>
      <c r="K2204" s="11">
        <v>0.375</v>
      </c>
      <c r="M2204" s="10" t="s">
        <v>15140</v>
      </c>
      <c r="N2204" s="12">
        <v>46087.750990312503</v>
      </c>
      <c r="O2204" s="10" t="s">
        <v>15206</v>
      </c>
      <c r="P2204" s="5" t="s">
        <v>14571</v>
      </c>
      <c r="Q2204" s="5" t="s">
        <v>17423</v>
      </c>
      <c r="R2204" s="5" t="s">
        <v>19754</v>
      </c>
      <c r="T2204" s="5" t="s">
        <v>5994</v>
      </c>
      <c r="U2204" s="5" t="s">
        <v>14593</v>
      </c>
      <c r="V2204" s="5" t="s">
        <v>12646</v>
      </c>
      <c r="W2204" s="5"/>
    </row>
    <row r="2205" spans="1:23" ht="12.5">
      <c r="A2205" s="5">
        <v>92722</v>
      </c>
      <c r="B2205" s="5" t="s">
        <v>19755</v>
      </c>
      <c r="C2205" s="5">
        <v>393491661611</v>
      </c>
      <c r="D2205" s="5">
        <v>50</v>
      </c>
      <c r="E2205" s="5" t="s">
        <v>347</v>
      </c>
      <c r="F2205" s="5" t="s">
        <v>1815</v>
      </c>
      <c r="G2205" s="5" t="s">
        <v>13141</v>
      </c>
      <c r="H2205" s="5" t="s">
        <v>19756</v>
      </c>
      <c r="I2205" s="5">
        <v>573042258023</v>
      </c>
      <c r="J2205" s="12">
        <v>46089</v>
      </c>
      <c r="K2205" s="11">
        <v>0.33333333333212067</v>
      </c>
      <c r="M2205" s="10" t="s">
        <v>16647</v>
      </c>
      <c r="N2205" s="12">
        <v>46087.755456562503</v>
      </c>
      <c r="O2205" s="10" t="s">
        <v>15206</v>
      </c>
      <c r="P2205" s="5" t="s">
        <v>14571</v>
      </c>
      <c r="Q2205" s="5" t="s">
        <v>16907</v>
      </c>
      <c r="R2205" s="5" t="s">
        <v>19757</v>
      </c>
      <c r="T2205" s="5" t="s">
        <v>5994</v>
      </c>
      <c r="U2205" s="5" t="s">
        <v>14580</v>
      </c>
      <c r="V2205" s="5" t="s">
        <v>1937</v>
      </c>
      <c r="W2205" s="5" t="s">
        <v>13145</v>
      </c>
    </row>
    <row r="2206" spans="1:23" ht="12.5">
      <c r="A2206" s="5">
        <v>92723</v>
      </c>
      <c r="B2206" s="5" t="s">
        <v>13125</v>
      </c>
      <c r="C2206" s="5">
        <v>573016971375</v>
      </c>
      <c r="D2206" s="5">
        <v>41</v>
      </c>
      <c r="E2206" s="5" t="s">
        <v>13127</v>
      </c>
      <c r="F2206" s="5" t="s">
        <v>63</v>
      </c>
      <c r="G2206" s="5" t="s">
        <v>13125</v>
      </c>
      <c r="H2206" s="5" t="s">
        <v>13126</v>
      </c>
      <c r="I2206" s="5">
        <v>573134418360</v>
      </c>
      <c r="J2206" s="12">
        <v>46089</v>
      </c>
      <c r="K2206" s="11">
        <v>0.33333333333212067</v>
      </c>
      <c r="M2206" s="10" t="s">
        <v>17814</v>
      </c>
      <c r="N2206" s="12">
        <v>46087.740922905097</v>
      </c>
      <c r="O2206" s="10" t="s">
        <v>15485</v>
      </c>
      <c r="P2206" s="5" t="s">
        <v>14571</v>
      </c>
      <c r="Q2206" s="5" t="s">
        <v>14572</v>
      </c>
      <c r="R2206" s="5" t="s">
        <v>19758</v>
      </c>
      <c r="T2206" s="5" t="s">
        <v>5994</v>
      </c>
      <c r="U2206" s="5" t="s">
        <v>14598</v>
      </c>
      <c r="V2206" s="5" t="s">
        <v>12646</v>
      </c>
      <c r="W2206" s="5" t="s">
        <v>13130</v>
      </c>
    </row>
    <row r="2207" spans="1:23" ht="12.5">
      <c r="A2207" s="5">
        <v>92724</v>
      </c>
      <c r="B2207" s="5" t="s">
        <v>19759</v>
      </c>
      <c r="C2207" s="10" t="s">
        <v>19760</v>
      </c>
      <c r="D2207" s="5">
        <v>95</v>
      </c>
      <c r="E2207" s="5" t="s">
        <v>42</v>
      </c>
      <c r="F2207" s="5" t="s">
        <v>33</v>
      </c>
      <c r="G2207" s="5" t="s">
        <v>13154</v>
      </c>
      <c r="H2207" s="5" t="s">
        <v>12983</v>
      </c>
      <c r="I2207" s="5">
        <v>573113446137</v>
      </c>
      <c r="J2207" s="12">
        <v>46089</v>
      </c>
      <c r="K2207" s="11">
        <v>0.33333333333333331</v>
      </c>
      <c r="M2207" s="10" t="s">
        <v>14863</v>
      </c>
      <c r="N2207" s="12">
        <v>46087</v>
      </c>
      <c r="O2207" s="10" t="s">
        <v>17984</v>
      </c>
      <c r="P2207" s="5" t="s">
        <v>14571</v>
      </c>
      <c r="Q2207" s="5" t="s">
        <v>17688</v>
      </c>
      <c r="R2207" s="5" t="s">
        <v>19761</v>
      </c>
      <c r="T2207" s="5" t="s">
        <v>14574</v>
      </c>
      <c r="U2207" s="5" t="s">
        <v>33</v>
      </c>
      <c r="V2207" s="5" t="s">
        <v>12646</v>
      </c>
      <c r="W2207" s="5" t="s">
        <v>13155</v>
      </c>
    </row>
    <row r="2208" spans="1:23" ht="12.5">
      <c r="A2208" s="5">
        <v>92725</v>
      </c>
      <c r="B2208" s="5" t="s">
        <v>19762</v>
      </c>
      <c r="C2208" s="5">
        <v>573145354876</v>
      </c>
      <c r="D2208" s="5">
        <v>26</v>
      </c>
      <c r="E2208" s="5" t="s">
        <v>12701</v>
      </c>
      <c r="F2208" s="5" t="s">
        <v>73</v>
      </c>
      <c r="G2208" s="5" t="s">
        <v>13150</v>
      </c>
      <c r="H2208" s="5" t="s">
        <v>13151</v>
      </c>
      <c r="I2208" s="5">
        <v>573103332480</v>
      </c>
      <c r="J2208" s="12">
        <v>46088</v>
      </c>
      <c r="K2208" s="11">
        <v>0.375</v>
      </c>
      <c r="M2208" s="10" t="s">
        <v>15623</v>
      </c>
      <c r="N2208" s="12">
        <v>46087.770788298614</v>
      </c>
      <c r="O2208" s="10" t="s">
        <v>19763</v>
      </c>
      <c r="P2208" s="5" t="s">
        <v>14571</v>
      </c>
      <c r="Q2208" s="5" t="s">
        <v>14578</v>
      </c>
      <c r="R2208" s="5" t="s">
        <v>19764</v>
      </c>
      <c r="T2208" s="5" t="s">
        <v>5994</v>
      </c>
      <c r="U2208" s="5" t="s">
        <v>14593</v>
      </c>
      <c r="V2208" s="5" t="s">
        <v>12646</v>
      </c>
      <c r="W2208" s="5" t="s">
        <v>9771</v>
      </c>
    </row>
    <row r="2209" spans="1:23" ht="12.5">
      <c r="A2209" s="5">
        <v>92726</v>
      </c>
      <c r="B2209" s="5" t="s">
        <v>19765</v>
      </c>
      <c r="C2209" s="5">
        <v>573016202060</v>
      </c>
      <c r="D2209" s="5">
        <v>39</v>
      </c>
      <c r="E2209" s="5" t="s">
        <v>12437</v>
      </c>
      <c r="F2209" s="5" t="s">
        <v>1047</v>
      </c>
      <c r="G2209" s="5" t="s">
        <v>5641</v>
      </c>
      <c r="H2209" s="5" t="s">
        <v>13171</v>
      </c>
      <c r="I2209" s="5">
        <v>573046572241</v>
      </c>
      <c r="J2209" s="12">
        <v>46088</v>
      </c>
      <c r="K2209" s="11">
        <v>0.41666666666787933</v>
      </c>
      <c r="M2209" s="10" t="s">
        <v>17715</v>
      </c>
      <c r="N2209" s="12">
        <v>46088.017264583337</v>
      </c>
      <c r="O2209" s="10" t="s">
        <v>19766</v>
      </c>
      <c r="P2209" s="5" t="s">
        <v>14571</v>
      </c>
      <c r="Q2209" s="5" t="s">
        <v>14578</v>
      </c>
      <c r="R2209" s="5" t="s">
        <v>19767</v>
      </c>
      <c r="T2209" s="5" t="s">
        <v>5994</v>
      </c>
      <c r="U2209" s="5" t="s">
        <v>14580</v>
      </c>
      <c r="V2209" s="5" t="s">
        <v>67</v>
      </c>
      <c r="W2209" s="5"/>
    </row>
    <row r="2210" spans="1:23" ht="12.5">
      <c r="A2210" s="5">
        <v>92727</v>
      </c>
      <c r="B2210" s="5" t="s">
        <v>19768</v>
      </c>
      <c r="C2210" s="5">
        <v>573148903107</v>
      </c>
      <c r="D2210" s="5">
        <v>95</v>
      </c>
      <c r="E2210" s="5" t="s">
        <v>42</v>
      </c>
      <c r="F2210" s="5" t="s">
        <v>73</v>
      </c>
      <c r="G2210" s="5" t="s">
        <v>13175</v>
      </c>
      <c r="H2210" s="5" t="s">
        <v>13176</v>
      </c>
      <c r="I2210" s="5">
        <v>573148903107</v>
      </c>
      <c r="J2210" s="12">
        <v>46088</v>
      </c>
      <c r="K2210" s="11">
        <v>0</v>
      </c>
      <c r="M2210" s="10" t="s">
        <v>15785</v>
      </c>
      <c r="N2210" s="12">
        <v>46088.326963518513</v>
      </c>
      <c r="O2210" s="10" t="s">
        <v>18434</v>
      </c>
      <c r="P2210" s="5" t="s">
        <v>14571</v>
      </c>
      <c r="Q2210" s="5" t="s">
        <v>17404</v>
      </c>
      <c r="R2210" s="5" t="s">
        <v>19769</v>
      </c>
      <c r="T2210" s="5" t="s">
        <v>5994</v>
      </c>
      <c r="U2210" s="5" t="s">
        <v>14593</v>
      </c>
      <c r="V2210" s="5" t="s">
        <v>43</v>
      </c>
      <c r="W2210" s="5"/>
    </row>
    <row r="2211" spans="1:23" ht="12.5">
      <c r="A2211" s="5">
        <v>92728</v>
      </c>
      <c r="B2211" s="5" t="s">
        <v>19770</v>
      </c>
      <c r="C2211" s="5">
        <v>573004619452</v>
      </c>
      <c r="D2211" s="5">
        <v>30</v>
      </c>
      <c r="E2211" s="5" t="s">
        <v>12844</v>
      </c>
      <c r="F2211" s="5" t="s">
        <v>63</v>
      </c>
      <c r="G2211" s="5" t="s">
        <v>12842</v>
      </c>
      <c r="H2211" s="5" t="s">
        <v>12843</v>
      </c>
      <c r="I2211" s="5">
        <v>573004619452</v>
      </c>
      <c r="J2211" s="12">
        <v>46089</v>
      </c>
      <c r="K2211" s="11">
        <v>0</v>
      </c>
      <c r="M2211" s="10" t="s">
        <v>15525</v>
      </c>
      <c r="N2211" s="12">
        <v>46087.327113993058</v>
      </c>
      <c r="O2211" s="10" t="s">
        <v>15747</v>
      </c>
      <c r="P2211" s="5" t="s">
        <v>14571</v>
      </c>
      <c r="Q2211" s="5" t="s">
        <v>17423</v>
      </c>
      <c r="R2211" s="5" t="s">
        <v>19771</v>
      </c>
      <c r="T2211" s="5" t="s">
        <v>5994</v>
      </c>
      <c r="U2211" s="5" t="s">
        <v>14598</v>
      </c>
      <c r="V2211" s="5" t="s">
        <v>12646</v>
      </c>
      <c r="W2211" s="5"/>
    </row>
    <row r="2212" spans="1:23" ht="12.5">
      <c r="A2212" s="5">
        <v>92729</v>
      </c>
      <c r="B2212" s="5" t="s">
        <v>19772</v>
      </c>
      <c r="C2212" s="5">
        <v>573122624285</v>
      </c>
      <c r="D2212" s="5">
        <v>58</v>
      </c>
      <c r="E2212" s="5" t="s">
        <v>12728</v>
      </c>
      <c r="F2212" s="5" t="s">
        <v>12657</v>
      </c>
      <c r="G2212" s="5" t="s">
        <v>13177</v>
      </c>
      <c r="H2212" s="5" t="s">
        <v>12657</v>
      </c>
      <c r="I2212" s="5">
        <v>573122624285</v>
      </c>
      <c r="J2212" s="12">
        <v>46088</v>
      </c>
      <c r="K2212" s="11">
        <v>0</v>
      </c>
      <c r="M2212" s="10" t="s">
        <v>15594</v>
      </c>
      <c r="N2212" s="12">
        <v>46088.357236377313</v>
      </c>
      <c r="O2212" s="10" t="s">
        <v>15187</v>
      </c>
      <c r="P2212" s="5" t="s">
        <v>14571</v>
      </c>
      <c r="Q2212" s="5" t="s">
        <v>14612</v>
      </c>
      <c r="R2212" s="5" t="s">
        <v>19773</v>
      </c>
      <c r="T2212" s="5" t="s">
        <v>5994</v>
      </c>
      <c r="U2212" s="5"/>
      <c r="V2212" s="5" t="s">
        <v>37</v>
      </c>
      <c r="W2212" s="5" t="s">
        <v>13178</v>
      </c>
    </row>
    <row r="2213" spans="1:23" ht="12.5">
      <c r="A2213" s="5">
        <v>92730</v>
      </c>
      <c r="B2213" s="5" t="s">
        <v>19774</v>
      </c>
      <c r="C2213" s="5">
        <v>573205425252</v>
      </c>
      <c r="D2213" s="5" t="s">
        <v>14589</v>
      </c>
      <c r="E2213" s="5" t="s">
        <v>7733</v>
      </c>
      <c r="F2213" s="5" t="s">
        <v>110</v>
      </c>
      <c r="G2213" s="5" t="s">
        <v>13191</v>
      </c>
      <c r="H2213" s="5" t="s">
        <v>13192</v>
      </c>
      <c r="I2213" s="5">
        <v>573205425252</v>
      </c>
      <c r="J2213" s="12">
        <v>46088</v>
      </c>
      <c r="K2213" s="11">
        <v>0.4375</v>
      </c>
      <c r="M2213" s="10" t="s">
        <v>18593</v>
      </c>
      <c r="N2213" s="12">
        <v>46088.370576770831</v>
      </c>
      <c r="O2213" s="10" t="s">
        <v>17165</v>
      </c>
      <c r="P2213" s="5" t="s">
        <v>14571</v>
      </c>
      <c r="Q2213" s="5" t="s">
        <v>17404</v>
      </c>
      <c r="R2213" s="5" t="s">
        <v>19775</v>
      </c>
      <c r="T2213" s="5" t="s">
        <v>5994</v>
      </c>
      <c r="U2213" s="5" t="s">
        <v>14593</v>
      </c>
      <c r="V2213" s="5" t="s">
        <v>67</v>
      </c>
      <c r="W2213" s="5" t="s">
        <v>7733</v>
      </c>
    </row>
    <row r="2214" spans="1:23" ht="12.5">
      <c r="A2214" s="5">
        <v>92731</v>
      </c>
      <c r="B2214" s="5" t="s">
        <v>19776</v>
      </c>
      <c r="C2214" s="5">
        <v>573017838768</v>
      </c>
      <c r="D2214" s="5">
        <v>95</v>
      </c>
      <c r="E2214" s="5" t="s">
        <v>42</v>
      </c>
      <c r="F2214" s="5" t="s">
        <v>6905</v>
      </c>
      <c r="G2214" s="5" t="s">
        <v>13185</v>
      </c>
      <c r="H2214" s="5" t="s">
        <v>13186</v>
      </c>
      <c r="I2214" s="5">
        <v>573017838768</v>
      </c>
      <c r="J2214" s="12">
        <v>46088</v>
      </c>
      <c r="K2214" s="11">
        <v>0.41666666666787933</v>
      </c>
      <c r="M2214" s="10" t="s">
        <v>19777</v>
      </c>
      <c r="N2214" s="12">
        <v>46088.367113645829</v>
      </c>
      <c r="O2214" s="10" t="s">
        <v>19063</v>
      </c>
      <c r="P2214" s="5" t="s">
        <v>14571</v>
      </c>
      <c r="Q2214" s="5" t="s">
        <v>16907</v>
      </c>
      <c r="R2214" s="5" t="s">
        <v>19778</v>
      </c>
      <c r="T2214" s="5" t="s">
        <v>5994</v>
      </c>
      <c r="U2214" s="5" t="s">
        <v>14598</v>
      </c>
      <c r="V2214" s="5" t="s">
        <v>1705</v>
      </c>
      <c r="W2214" s="5" t="s">
        <v>13188</v>
      </c>
    </row>
    <row r="2215" spans="1:23" ht="12.5">
      <c r="A2215" s="5">
        <v>92732</v>
      </c>
      <c r="B2215" s="5" t="s">
        <v>19779</v>
      </c>
      <c r="C2215" s="10" t="s">
        <v>19780</v>
      </c>
      <c r="D2215" s="5">
        <v>53</v>
      </c>
      <c r="E2215" s="5" t="s">
        <v>12423</v>
      </c>
      <c r="F2215" s="5" t="s">
        <v>265</v>
      </c>
      <c r="G2215" s="5" t="s">
        <v>13180</v>
      </c>
      <c r="H2215" s="5" t="s">
        <v>13181</v>
      </c>
      <c r="I2215" s="5">
        <v>573046660861</v>
      </c>
      <c r="J2215" s="12">
        <v>46088</v>
      </c>
      <c r="K2215" s="11">
        <v>0.4375</v>
      </c>
      <c r="M2215" s="10" t="s">
        <v>15525</v>
      </c>
      <c r="N2215" s="12">
        <v>46088</v>
      </c>
      <c r="O2215" s="10" t="s">
        <v>15180</v>
      </c>
      <c r="P2215" s="5" t="s">
        <v>14571</v>
      </c>
      <c r="Q2215" s="5" t="s">
        <v>17423</v>
      </c>
      <c r="R2215" s="5" t="s">
        <v>19781</v>
      </c>
      <c r="T2215" s="5" t="s">
        <v>5994</v>
      </c>
      <c r="U2215" s="5" t="s">
        <v>14691</v>
      </c>
      <c r="V2215" s="5" t="s">
        <v>12646</v>
      </c>
      <c r="W2215" s="5" t="s">
        <v>9771</v>
      </c>
    </row>
    <row r="2216" spans="1:23" ht="12.5">
      <c r="A2216" s="5">
        <v>92733</v>
      </c>
      <c r="B2216" s="5" t="s">
        <v>19782</v>
      </c>
      <c r="C2216" s="5">
        <v>30463046426864</v>
      </c>
      <c r="D2216" s="5">
        <v>30</v>
      </c>
      <c r="E2216" s="5" t="s">
        <v>13190</v>
      </c>
      <c r="F2216" s="5" t="s">
        <v>12657</v>
      </c>
      <c r="G2216" s="5" t="s">
        <v>13189</v>
      </c>
      <c r="H2216" s="5" t="s">
        <v>12657</v>
      </c>
      <c r="I2216" s="5">
        <v>573046426864</v>
      </c>
      <c r="J2216" s="12">
        <v>46088</v>
      </c>
      <c r="K2216" s="11">
        <v>0.45833333333212067</v>
      </c>
      <c r="M2216" s="10" t="s">
        <v>15384</v>
      </c>
      <c r="N2216" s="12">
        <v>46088.369781875001</v>
      </c>
      <c r="O2216" s="10" t="s">
        <v>15176</v>
      </c>
      <c r="P2216" s="5" t="s">
        <v>14571</v>
      </c>
      <c r="Q2216" s="5" t="s">
        <v>17990</v>
      </c>
      <c r="R2216" s="5" t="s">
        <v>19783</v>
      </c>
      <c r="T2216" s="5" t="s">
        <v>5994</v>
      </c>
      <c r="U2216" s="5"/>
      <c r="V2216" s="5" t="s">
        <v>12646</v>
      </c>
      <c r="W2216" s="5" t="s">
        <v>9771</v>
      </c>
    </row>
    <row r="2217" spans="1:23" ht="12.5">
      <c r="A2217" s="5">
        <v>92734</v>
      </c>
      <c r="B2217" s="5" t="s">
        <v>19784</v>
      </c>
      <c r="C2217" s="5">
        <v>573233115245</v>
      </c>
      <c r="D2217" s="5">
        <v>70</v>
      </c>
      <c r="E2217" s="5" t="s">
        <v>12522</v>
      </c>
      <c r="F2217" s="5" t="s">
        <v>4558</v>
      </c>
      <c r="G2217" s="5" t="s">
        <v>13195</v>
      </c>
      <c r="H2217" s="5" t="s">
        <v>13196</v>
      </c>
      <c r="I2217" s="5">
        <v>573148761641</v>
      </c>
      <c r="J2217" s="12">
        <v>46088</v>
      </c>
      <c r="K2217" s="11">
        <v>0</v>
      </c>
      <c r="M2217" s="10" t="s">
        <v>14653</v>
      </c>
      <c r="N2217" s="12">
        <v>46088.381401701394</v>
      </c>
      <c r="O2217" s="10" t="s">
        <v>15911</v>
      </c>
      <c r="P2217" s="5" t="s">
        <v>14571</v>
      </c>
      <c r="Q2217" s="5" t="s">
        <v>14572</v>
      </c>
      <c r="R2217" s="5" t="s">
        <v>19785</v>
      </c>
      <c r="T2217" s="5" t="s">
        <v>5994</v>
      </c>
      <c r="U2217" s="5" t="s">
        <v>14593</v>
      </c>
      <c r="V2217" s="5" t="s">
        <v>12646</v>
      </c>
      <c r="W2217" s="5" t="s">
        <v>13198</v>
      </c>
    </row>
    <row r="2218" spans="1:23" ht="12.5">
      <c r="A2218" s="5">
        <v>92735</v>
      </c>
      <c r="B2218" s="5" t="s">
        <v>19786</v>
      </c>
      <c r="C2218" s="5">
        <v>573146413791</v>
      </c>
      <c r="D2218" s="5">
        <v>29</v>
      </c>
      <c r="E2218" s="5" t="s">
        <v>13217</v>
      </c>
      <c r="F2218" s="5" t="s">
        <v>12657</v>
      </c>
      <c r="G2218" s="5" t="s">
        <v>13216</v>
      </c>
      <c r="H2218" s="5" t="s">
        <v>12657</v>
      </c>
      <c r="I2218" s="5">
        <v>573146413791</v>
      </c>
      <c r="J2218" s="12">
        <v>46088</v>
      </c>
      <c r="K2218" s="11">
        <v>0</v>
      </c>
      <c r="M2218" s="10" t="s">
        <v>14740</v>
      </c>
      <c r="N2218" s="12">
        <v>46088.391037326393</v>
      </c>
      <c r="O2218" s="10" t="s">
        <v>17731</v>
      </c>
      <c r="P2218" s="5" t="s">
        <v>14571</v>
      </c>
      <c r="Q2218" s="5" t="s">
        <v>17404</v>
      </c>
      <c r="R2218" s="5" t="s">
        <v>19787</v>
      </c>
      <c r="T2218" s="5" t="s">
        <v>5994</v>
      </c>
      <c r="U2218" s="5"/>
      <c r="V2218" s="5" t="s">
        <v>1705</v>
      </c>
      <c r="W2218" s="5"/>
    </row>
    <row r="2219" spans="1:23" ht="12.5">
      <c r="A2219" s="5"/>
      <c r="B2219" s="5"/>
      <c r="C2219" s="5"/>
      <c r="D2219" s="5">
        <v>95</v>
      </c>
      <c r="E2219" s="5"/>
      <c r="F2219" s="5"/>
      <c r="G2219" s="5"/>
      <c r="H2219" s="5"/>
      <c r="I2219" s="5"/>
      <c r="J2219" s="12"/>
      <c r="K2219" s="11"/>
      <c r="M2219" s="5"/>
      <c r="N2219" s="12"/>
      <c r="O2219" s="5"/>
      <c r="P2219" s="5"/>
      <c r="Q2219" s="5"/>
      <c r="R2219" s="5"/>
      <c r="T2219" s="5" t="s">
        <v>5994</v>
      </c>
      <c r="U2219" s="5"/>
      <c r="V2219" s="5"/>
      <c r="W2219" s="5"/>
    </row>
    <row r="2220" spans="1:23" ht="12.5">
      <c r="A2220" s="5">
        <v>92737</v>
      </c>
      <c r="B2220" s="5" t="s">
        <v>19788</v>
      </c>
      <c r="C2220" s="5">
        <v>13478145898</v>
      </c>
      <c r="D2220" s="5">
        <v>30</v>
      </c>
      <c r="E2220" s="5" t="s">
        <v>12844</v>
      </c>
      <c r="F2220" s="5" t="s">
        <v>33</v>
      </c>
      <c r="G2220" s="5" t="s">
        <v>13200</v>
      </c>
      <c r="H2220" s="5" t="s">
        <v>13201</v>
      </c>
      <c r="I2220" s="5">
        <v>573157180602</v>
      </c>
      <c r="J2220" s="12">
        <v>46089</v>
      </c>
      <c r="K2220" s="11">
        <v>0.33333333333212067</v>
      </c>
      <c r="M2220" s="10" t="s">
        <v>14585</v>
      </c>
      <c r="N2220" s="12">
        <v>46088.384791342593</v>
      </c>
      <c r="O2220" s="10" t="s">
        <v>14896</v>
      </c>
      <c r="P2220" s="5" t="s">
        <v>14571</v>
      </c>
      <c r="Q2220" s="5" t="s">
        <v>17990</v>
      </c>
      <c r="R2220" s="5" t="s">
        <v>19789</v>
      </c>
      <c r="T2220" s="5" t="s">
        <v>14574</v>
      </c>
      <c r="U2220" s="5" t="s">
        <v>33</v>
      </c>
      <c r="V2220" s="5" t="s">
        <v>12646</v>
      </c>
      <c r="W2220" s="5" t="s">
        <v>13203</v>
      </c>
    </row>
    <row r="2221" spans="1:23" ht="12.5">
      <c r="A2221" s="5">
        <v>92738</v>
      </c>
      <c r="B2221" s="5" t="s">
        <v>19788</v>
      </c>
      <c r="C2221" s="5">
        <v>13478145898</v>
      </c>
      <c r="D2221" s="5">
        <v>53</v>
      </c>
      <c r="E2221" s="5" t="s">
        <v>12423</v>
      </c>
      <c r="F2221" s="5" t="s">
        <v>73</v>
      </c>
      <c r="G2221" s="5" t="s">
        <v>13204</v>
      </c>
      <c r="H2221" s="5" t="s">
        <v>13205</v>
      </c>
      <c r="I2221" s="5">
        <v>573046381678</v>
      </c>
      <c r="J2221" s="12">
        <v>46089</v>
      </c>
      <c r="K2221" s="11">
        <v>0.33333333333212067</v>
      </c>
      <c r="M2221" s="10" t="s">
        <v>14850</v>
      </c>
      <c r="N2221" s="12">
        <v>46088.388287094909</v>
      </c>
      <c r="O2221" s="10" t="s">
        <v>17020</v>
      </c>
      <c r="P2221" s="5" t="s">
        <v>14571</v>
      </c>
      <c r="Q2221" s="5" t="s">
        <v>17990</v>
      </c>
      <c r="R2221" s="5" t="s">
        <v>19790</v>
      </c>
      <c r="T2221" s="5" t="s">
        <v>5994</v>
      </c>
      <c r="U2221" s="5" t="s">
        <v>14593</v>
      </c>
      <c r="V2221" s="5" t="s">
        <v>12646</v>
      </c>
      <c r="W2221" s="5" t="s">
        <v>13208</v>
      </c>
    </row>
    <row r="2222" spans="1:23" ht="12.5">
      <c r="A2222" s="5">
        <v>92739</v>
      </c>
      <c r="B2222" s="5" t="s">
        <v>19791</v>
      </c>
      <c r="C2222" s="10" t="s">
        <v>19792</v>
      </c>
      <c r="D2222" s="5">
        <v>52</v>
      </c>
      <c r="E2222" s="5" t="s">
        <v>6874</v>
      </c>
      <c r="F2222" s="5" t="s">
        <v>265</v>
      </c>
      <c r="G2222" s="5" t="s">
        <v>13235</v>
      </c>
      <c r="H2222" s="5" t="s">
        <v>13236</v>
      </c>
      <c r="I2222" s="5">
        <v>3136214673</v>
      </c>
      <c r="J2222" s="12">
        <v>46088</v>
      </c>
      <c r="K2222" s="11">
        <v>0</v>
      </c>
      <c r="M2222" s="10" t="s">
        <v>15157</v>
      </c>
      <c r="N2222" s="12">
        <v>46088</v>
      </c>
      <c r="O2222" s="10" t="s">
        <v>15986</v>
      </c>
      <c r="P2222" s="5" t="s">
        <v>14571</v>
      </c>
      <c r="Q2222" s="5" t="s">
        <v>17423</v>
      </c>
      <c r="R2222" s="5" t="s">
        <v>19793</v>
      </c>
      <c r="T2222" s="5" t="s">
        <v>5994</v>
      </c>
      <c r="U2222" s="5" t="s">
        <v>14691</v>
      </c>
      <c r="V2222" s="5" t="s">
        <v>83</v>
      </c>
      <c r="W2222" s="5"/>
    </row>
    <row r="2223" spans="1:23" ht="12.5">
      <c r="A2223" s="5">
        <v>92740</v>
      </c>
      <c r="B2223" s="5" t="s">
        <v>19794</v>
      </c>
      <c r="C2223" s="5">
        <v>573243475368</v>
      </c>
      <c r="D2223" s="5">
        <v>101</v>
      </c>
      <c r="E2223" s="5" t="s">
        <v>12724</v>
      </c>
      <c r="F2223" s="5" t="s">
        <v>7476</v>
      </c>
      <c r="G2223" s="5" t="s">
        <v>13226</v>
      </c>
      <c r="H2223" s="5" t="s">
        <v>13227</v>
      </c>
      <c r="I2223" s="5">
        <v>573243475398</v>
      </c>
      <c r="J2223" s="12">
        <v>46088</v>
      </c>
      <c r="K2223" s="11">
        <v>0</v>
      </c>
      <c r="M2223" s="10" t="s">
        <v>15356</v>
      </c>
      <c r="N2223" s="12">
        <v>46088.400881423615</v>
      </c>
      <c r="O2223" s="10" t="s">
        <v>16268</v>
      </c>
      <c r="P2223" s="5" t="s">
        <v>14571</v>
      </c>
      <c r="Q2223" s="5" t="s">
        <v>14578</v>
      </c>
      <c r="R2223" s="5" t="s">
        <v>19795</v>
      </c>
      <c r="T2223" s="5" t="s">
        <v>5994</v>
      </c>
      <c r="U2223" s="5" t="s">
        <v>15349</v>
      </c>
      <c r="V2223" s="5" t="s">
        <v>12646</v>
      </c>
      <c r="W2223" s="5"/>
    </row>
    <row r="2224" spans="1:23" ht="12.5">
      <c r="A2224" s="5">
        <v>92741</v>
      </c>
      <c r="B2224" s="5" t="s">
        <v>19796</v>
      </c>
      <c r="C2224" s="10" t="s">
        <v>19797</v>
      </c>
      <c r="D2224" s="5" t="s">
        <v>19798</v>
      </c>
      <c r="E2224" s="5" t="s">
        <v>13212</v>
      </c>
      <c r="F2224" s="5" t="s">
        <v>249</v>
      </c>
      <c r="G2224" s="5" t="s">
        <v>19799</v>
      </c>
      <c r="H2224" s="5" t="s">
        <v>13211</v>
      </c>
      <c r="I2224" s="5">
        <v>573042914618</v>
      </c>
      <c r="J2224" s="12">
        <v>46088</v>
      </c>
      <c r="K2224" s="11">
        <v>0</v>
      </c>
      <c r="M2224" s="10" t="s">
        <v>14740</v>
      </c>
      <c r="N2224" s="12">
        <v>46088</v>
      </c>
      <c r="O2224" s="10" t="s">
        <v>15597</v>
      </c>
      <c r="P2224" s="5" t="s">
        <v>14571</v>
      </c>
      <c r="Q2224" s="5" t="s">
        <v>17688</v>
      </c>
      <c r="R2224" s="5" t="s">
        <v>19800</v>
      </c>
      <c r="T2224" s="5" t="s">
        <v>5994</v>
      </c>
      <c r="U2224" s="5" t="s">
        <v>14593</v>
      </c>
      <c r="V2224" s="5" t="s">
        <v>12646</v>
      </c>
      <c r="W2224" s="5" t="s">
        <v>13215</v>
      </c>
    </row>
    <row r="2225" spans="1:23" ht="12.5">
      <c r="A2225" s="5">
        <v>92742</v>
      </c>
      <c r="B2225" s="5" t="s">
        <v>19801</v>
      </c>
      <c r="C2225" s="10" t="s">
        <v>19802</v>
      </c>
      <c r="D2225" s="5">
        <v>46</v>
      </c>
      <c r="E2225" s="5" t="s">
        <v>12817</v>
      </c>
      <c r="F2225" s="5" t="s">
        <v>307</v>
      </c>
      <c r="G2225" s="5" t="s">
        <v>13231</v>
      </c>
      <c r="H2225" s="5" t="s">
        <v>13232</v>
      </c>
      <c r="I2225" s="5">
        <v>573145298616</v>
      </c>
      <c r="J2225" s="12">
        <v>46089</v>
      </c>
      <c r="K2225" s="11">
        <v>0.45833333333333331</v>
      </c>
      <c r="M2225" s="10" t="s">
        <v>15480</v>
      </c>
      <c r="N2225" s="12">
        <v>46088</v>
      </c>
      <c r="O2225" s="10" t="s">
        <v>17861</v>
      </c>
      <c r="P2225" s="5" t="s">
        <v>14571</v>
      </c>
      <c r="Q2225" s="5" t="s">
        <v>16907</v>
      </c>
      <c r="R2225" s="5" t="s">
        <v>19803</v>
      </c>
      <c r="T2225" s="5" t="s">
        <v>5994</v>
      </c>
      <c r="U2225" s="5" t="s">
        <v>14618</v>
      </c>
      <c r="V2225" s="5" t="s">
        <v>12646</v>
      </c>
      <c r="W2225" s="5" t="s">
        <v>9771</v>
      </c>
    </row>
    <row r="2226" spans="1:23" ht="12.5">
      <c r="A2226" s="5">
        <v>92743</v>
      </c>
      <c r="B2226" s="5" t="s">
        <v>19804</v>
      </c>
      <c r="C2226" s="5">
        <v>573012136288</v>
      </c>
      <c r="D2226" s="5">
        <v>30</v>
      </c>
      <c r="E2226" s="5" t="s">
        <v>12844</v>
      </c>
      <c r="F2226" s="5" t="s">
        <v>73</v>
      </c>
      <c r="G2226" s="5" t="s">
        <v>13219</v>
      </c>
      <c r="H2226" s="5" t="s">
        <v>13220</v>
      </c>
      <c r="I2226" s="5">
        <v>573012136288</v>
      </c>
      <c r="J2226" s="12">
        <v>46088</v>
      </c>
      <c r="K2226" s="11">
        <v>0.45833333333212067</v>
      </c>
      <c r="M2226" s="10" t="s">
        <v>14850</v>
      </c>
      <c r="N2226" s="12">
        <v>46088.392713379624</v>
      </c>
      <c r="O2226" s="10" t="s">
        <v>14773</v>
      </c>
      <c r="P2226" s="5" t="s">
        <v>14571</v>
      </c>
      <c r="Q2226" s="5" t="s">
        <v>17423</v>
      </c>
      <c r="R2226" s="5" t="s">
        <v>19805</v>
      </c>
      <c r="T2226" s="5" t="s">
        <v>5994</v>
      </c>
      <c r="U2226" s="5" t="s">
        <v>14593</v>
      </c>
      <c r="V2226" s="5" t="s">
        <v>12646</v>
      </c>
      <c r="W2226" s="5"/>
    </row>
    <row r="2227" spans="1:23" ht="12.5">
      <c r="A2227" s="5">
        <v>92744</v>
      </c>
      <c r="B2227" s="5" t="s">
        <v>19806</v>
      </c>
      <c r="C2227" s="5">
        <v>573000000001</v>
      </c>
      <c r="D2227" s="5">
        <v>95</v>
      </c>
      <c r="E2227" s="5" t="s">
        <v>42</v>
      </c>
      <c r="F2227" s="5" t="s">
        <v>12657</v>
      </c>
      <c r="G2227" s="5" t="s">
        <v>13243</v>
      </c>
      <c r="H2227" s="5" t="s">
        <v>12657</v>
      </c>
      <c r="I2227" s="5">
        <v>573000000001</v>
      </c>
      <c r="J2227" s="12">
        <v>46088</v>
      </c>
      <c r="K2227" s="11">
        <v>0</v>
      </c>
      <c r="M2227" s="10" t="s">
        <v>2686</v>
      </c>
      <c r="N2227" s="12">
        <v>46088.41518207176</v>
      </c>
      <c r="O2227" s="10" t="s">
        <v>15106</v>
      </c>
      <c r="P2227" s="5" t="s">
        <v>14571</v>
      </c>
      <c r="Q2227" s="5" t="s">
        <v>17423</v>
      </c>
      <c r="R2227" s="5" t="s">
        <v>19807</v>
      </c>
      <c r="T2227" s="5" t="s">
        <v>5994</v>
      </c>
      <c r="U2227" s="5"/>
      <c r="V2227" s="5" t="s">
        <v>43</v>
      </c>
      <c r="W2227" s="5"/>
    </row>
    <row r="2228" spans="1:23" ht="12.5">
      <c r="A2228" s="5">
        <v>92745</v>
      </c>
      <c r="B2228" s="5" t="s">
        <v>19808</v>
      </c>
      <c r="C2228" s="5">
        <v>573012394343</v>
      </c>
      <c r="D2228" s="5">
        <v>95</v>
      </c>
      <c r="E2228" s="5" t="s">
        <v>42</v>
      </c>
      <c r="F2228" s="5" t="s">
        <v>12657</v>
      </c>
      <c r="G2228" s="5" t="s">
        <v>2150</v>
      </c>
      <c r="H2228" s="5" t="s">
        <v>12657</v>
      </c>
      <c r="I2228" s="5">
        <v>573012394343</v>
      </c>
      <c r="J2228" s="12">
        <v>46088</v>
      </c>
      <c r="K2228" s="11">
        <v>0</v>
      </c>
      <c r="M2228" s="10" t="s">
        <v>14585</v>
      </c>
      <c r="N2228" s="12">
        <v>46088.415489965279</v>
      </c>
      <c r="O2228" s="10" t="s">
        <v>16888</v>
      </c>
      <c r="P2228" s="5" t="s">
        <v>14571</v>
      </c>
      <c r="Q2228" s="5" t="s">
        <v>14612</v>
      </c>
      <c r="R2228" s="5" t="s">
        <v>19809</v>
      </c>
      <c r="T2228" s="5" t="s">
        <v>5994</v>
      </c>
      <c r="U2228" s="5"/>
      <c r="V2228" s="5" t="s">
        <v>67</v>
      </c>
      <c r="W2228" s="5"/>
    </row>
    <row r="2229" spans="1:23" ht="12.5">
      <c r="A2229" s="5">
        <v>92746</v>
      </c>
      <c r="B2229" s="5" t="s">
        <v>19810</v>
      </c>
      <c r="C2229" s="5">
        <v>573022309690</v>
      </c>
      <c r="D2229" s="5">
        <v>46</v>
      </c>
      <c r="E2229" s="5" t="s">
        <v>12817</v>
      </c>
      <c r="F2229" s="5" t="s">
        <v>12657</v>
      </c>
      <c r="G2229" s="5" t="s">
        <v>13224</v>
      </c>
      <c r="H2229" s="5" t="s">
        <v>12657</v>
      </c>
      <c r="I2229" s="5">
        <v>573022309690</v>
      </c>
      <c r="J2229" s="12">
        <v>46088</v>
      </c>
      <c r="K2229" s="11">
        <v>0.5</v>
      </c>
      <c r="M2229" s="10" t="s">
        <v>16797</v>
      </c>
      <c r="N2229" s="12">
        <v>46088.400629826385</v>
      </c>
      <c r="O2229" s="10" t="s">
        <v>15989</v>
      </c>
      <c r="P2229" s="5" t="s">
        <v>14571</v>
      </c>
      <c r="Q2229" s="5" t="s">
        <v>14572</v>
      </c>
      <c r="R2229" s="5" t="s">
        <v>19811</v>
      </c>
      <c r="T2229" s="5" t="s">
        <v>5994</v>
      </c>
      <c r="U2229" s="5"/>
      <c r="V2229" s="5" t="s">
        <v>1937</v>
      </c>
      <c r="W2229" s="5" t="s">
        <v>9771</v>
      </c>
    </row>
    <row r="2230" spans="1:23" ht="12.5">
      <c r="A2230" s="5">
        <v>92747</v>
      </c>
      <c r="B2230" s="5" t="s">
        <v>19812</v>
      </c>
      <c r="C2230" s="5">
        <v>573008003842</v>
      </c>
      <c r="D2230" s="5">
        <v>29</v>
      </c>
      <c r="E2230" s="5" t="s">
        <v>13217</v>
      </c>
      <c r="F2230" s="5" t="s">
        <v>5574</v>
      </c>
      <c r="G2230" s="5" t="s">
        <v>13249</v>
      </c>
      <c r="H2230" s="5" t="s">
        <v>13250</v>
      </c>
      <c r="I2230" s="5">
        <v>573008003842</v>
      </c>
      <c r="J2230" s="12">
        <v>46089</v>
      </c>
      <c r="K2230" s="11">
        <v>0</v>
      </c>
      <c r="M2230" s="10" t="s">
        <v>15040</v>
      </c>
      <c r="N2230" s="12">
        <v>46088.420185752315</v>
      </c>
      <c r="O2230" s="10" t="s">
        <v>17105</v>
      </c>
      <c r="P2230" s="5" t="s">
        <v>14571</v>
      </c>
      <c r="Q2230" s="5" t="s">
        <v>17990</v>
      </c>
      <c r="R2230" s="5" t="s">
        <v>19813</v>
      </c>
      <c r="T2230" s="5" t="s">
        <v>5994</v>
      </c>
      <c r="U2230" s="5" t="s">
        <v>14593</v>
      </c>
      <c r="V2230" s="5" t="s">
        <v>1705</v>
      </c>
      <c r="W2230" s="5"/>
    </row>
    <row r="2231" spans="1:23" ht="12.5">
      <c r="A2231" s="5">
        <v>92748</v>
      </c>
      <c r="B2231" s="5" t="s">
        <v>19814</v>
      </c>
      <c r="C2231" s="10" t="s">
        <v>19815</v>
      </c>
      <c r="D2231" s="5">
        <v>53</v>
      </c>
      <c r="E2231" s="5" t="s">
        <v>12423</v>
      </c>
      <c r="F2231" s="5" t="s">
        <v>7476</v>
      </c>
      <c r="G2231" s="5" t="s">
        <v>13240</v>
      </c>
      <c r="H2231" s="5" t="s">
        <v>13241</v>
      </c>
      <c r="I2231" s="5">
        <v>573106198726</v>
      </c>
      <c r="J2231" s="12">
        <v>46088</v>
      </c>
      <c r="K2231" s="11">
        <v>0.5</v>
      </c>
      <c r="M2231" s="10" t="s">
        <v>15525</v>
      </c>
      <c r="N2231" s="12">
        <v>46088</v>
      </c>
      <c r="O2231" s="10" t="s">
        <v>16582</v>
      </c>
      <c r="P2231" s="5" t="s">
        <v>14571</v>
      </c>
      <c r="Q2231" s="5" t="s">
        <v>17990</v>
      </c>
      <c r="R2231" s="5" t="s">
        <v>19816</v>
      </c>
      <c r="T2231" s="5" t="s">
        <v>5994</v>
      </c>
      <c r="U2231" s="5" t="s">
        <v>15349</v>
      </c>
      <c r="V2231" s="5" t="s">
        <v>12646</v>
      </c>
      <c r="W2231" s="5" t="s">
        <v>9771</v>
      </c>
    </row>
    <row r="2232" spans="1:23" ht="12.5">
      <c r="A2232" s="5">
        <v>92749</v>
      </c>
      <c r="B2232" s="5" t="s">
        <v>19817</v>
      </c>
      <c r="C2232" s="10" t="s">
        <v>19818</v>
      </c>
      <c r="D2232" s="5" t="s">
        <v>19819</v>
      </c>
      <c r="E2232" s="5" t="s">
        <v>13255</v>
      </c>
      <c r="F2232" s="5" t="s">
        <v>73</v>
      </c>
      <c r="G2232" s="5" t="s">
        <v>19820</v>
      </c>
      <c r="H2232" s="5" t="s">
        <v>13254</v>
      </c>
      <c r="I2232" s="5">
        <v>573105736346</v>
      </c>
      <c r="J2232" s="12">
        <v>46089</v>
      </c>
      <c r="K2232" s="11">
        <v>0</v>
      </c>
      <c r="M2232" s="10" t="s">
        <v>19821</v>
      </c>
      <c r="N2232" s="12">
        <v>46088</v>
      </c>
      <c r="O2232" s="10" t="s">
        <v>15095</v>
      </c>
      <c r="P2232" s="5" t="s">
        <v>14571</v>
      </c>
      <c r="Q2232" s="5" t="s">
        <v>16907</v>
      </c>
      <c r="R2232" s="5" t="s">
        <v>19822</v>
      </c>
      <c r="T2232" s="5" t="s">
        <v>5994</v>
      </c>
      <c r="U2232" s="5" t="s">
        <v>14593</v>
      </c>
      <c r="V2232" s="5" t="s">
        <v>12646</v>
      </c>
      <c r="W2232" s="5"/>
    </row>
    <row r="2233" spans="1:23" ht="12.5">
      <c r="A2233" s="5">
        <v>92750</v>
      </c>
      <c r="B2233" s="5" t="s">
        <v>19823</v>
      </c>
      <c r="C2233" s="5">
        <v>573246847878</v>
      </c>
      <c r="D2233" s="5">
        <v>101</v>
      </c>
      <c r="E2233" s="5" t="s">
        <v>12724</v>
      </c>
      <c r="F2233" s="5" t="s">
        <v>185</v>
      </c>
      <c r="G2233" s="5" t="s">
        <v>13262</v>
      </c>
      <c r="H2233" s="5" t="s">
        <v>13263</v>
      </c>
      <c r="I2233" s="5">
        <v>573246847878</v>
      </c>
      <c r="J2233" s="12">
        <v>46089</v>
      </c>
      <c r="K2233" s="11">
        <v>0.375</v>
      </c>
      <c r="M2233" s="10" t="s">
        <v>15623</v>
      </c>
      <c r="N2233" s="12">
        <v>46088.43257853009</v>
      </c>
      <c r="O2233" s="10" t="s">
        <v>16586</v>
      </c>
      <c r="P2233" s="5" t="s">
        <v>14571</v>
      </c>
      <c r="Q2233" s="5" t="s">
        <v>17404</v>
      </c>
      <c r="R2233" s="5" t="s">
        <v>19824</v>
      </c>
      <c r="T2233" s="5" t="s">
        <v>5994</v>
      </c>
      <c r="U2233" s="5" t="s">
        <v>14580</v>
      </c>
      <c r="V2233" s="5" t="s">
        <v>12646</v>
      </c>
      <c r="W2233" s="5"/>
    </row>
    <row r="2234" spans="1:23" ht="12.5">
      <c r="A2234" s="5">
        <v>92751</v>
      </c>
      <c r="B2234" s="5" t="s">
        <v>19825</v>
      </c>
      <c r="C2234" s="10" t="s">
        <v>19826</v>
      </c>
      <c r="D2234" s="5">
        <v>30</v>
      </c>
      <c r="E2234" s="5" t="s">
        <v>12844</v>
      </c>
      <c r="F2234" s="5" t="s">
        <v>9925</v>
      </c>
      <c r="G2234" s="5" t="s">
        <v>13257</v>
      </c>
      <c r="H2234" s="5" t="s">
        <v>13258</v>
      </c>
      <c r="I2234" s="5">
        <v>573166954198</v>
      </c>
      <c r="J2234" s="12">
        <v>46089</v>
      </c>
      <c r="K2234" s="11">
        <v>0.5</v>
      </c>
      <c r="M2234" s="10" t="s">
        <v>14792</v>
      </c>
      <c r="N2234" s="12">
        <v>46088</v>
      </c>
      <c r="O2234" s="10" t="s">
        <v>14762</v>
      </c>
      <c r="P2234" s="5" t="s">
        <v>14571</v>
      </c>
      <c r="Q2234" s="5" t="s">
        <v>17990</v>
      </c>
      <c r="R2234" s="5" t="s">
        <v>19827</v>
      </c>
      <c r="T2234" s="5" t="s">
        <v>5994</v>
      </c>
      <c r="U2234" s="5" t="s">
        <v>14618</v>
      </c>
      <c r="V2234" s="5" t="s">
        <v>12646</v>
      </c>
      <c r="W2234" s="5"/>
    </row>
    <row r="2235" spans="1:23" ht="12.5">
      <c r="A2235" s="5">
        <v>92752</v>
      </c>
      <c r="B2235" s="5" t="s">
        <v>19828</v>
      </c>
      <c r="C2235" s="5">
        <v>3152628627</v>
      </c>
      <c r="D2235" s="5">
        <v>52</v>
      </c>
      <c r="E2235" s="5" t="s">
        <v>12496</v>
      </c>
      <c r="F2235" s="5" t="s">
        <v>146</v>
      </c>
      <c r="G2235" s="5" t="s">
        <v>13245</v>
      </c>
      <c r="H2235" s="5" t="s">
        <v>13246</v>
      </c>
      <c r="I2235" s="5">
        <v>573234863791</v>
      </c>
      <c r="J2235" s="12">
        <v>46089</v>
      </c>
      <c r="K2235" s="11">
        <v>0.375</v>
      </c>
      <c r="M2235" s="10" t="s">
        <v>14643</v>
      </c>
      <c r="N2235" s="12">
        <v>46088.41708028935</v>
      </c>
      <c r="O2235" s="10" t="s">
        <v>15412</v>
      </c>
      <c r="P2235" s="5" t="s">
        <v>14571</v>
      </c>
      <c r="Q2235" s="5" t="s">
        <v>17688</v>
      </c>
      <c r="R2235" s="5" t="s">
        <v>19829</v>
      </c>
      <c r="T2235" s="5" t="s">
        <v>5994</v>
      </c>
      <c r="U2235" s="5" t="s">
        <v>14618</v>
      </c>
      <c r="V2235" s="5" t="s">
        <v>12646</v>
      </c>
      <c r="W2235" s="5"/>
    </row>
    <row r="2236" spans="1:23" ht="12.5">
      <c r="A2236" s="5">
        <v>92753</v>
      </c>
      <c r="B2236" s="5" t="s">
        <v>19830</v>
      </c>
      <c r="C2236" s="5">
        <v>573001284881</v>
      </c>
      <c r="D2236" s="5">
        <v>39</v>
      </c>
      <c r="E2236" s="5" t="s">
        <v>12437</v>
      </c>
      <c r="F2236" s="5" t="s">
        <v>249</v>
      </c>
      <c r="G2236" s="5" t="s">
        <v>13278</v>
      </c>
      <c r="H2236" s="5" t="s">
        <v>13279</v>
      </c>
      <c r="I2236" s="5">
        <v>573108339033</v>
      </c>
      <c r="J2236" s="12">
        <v>46089</v>
      </c>
      <c r="K2236" s="11">
        <v>0.41666666666787933</v>
      </c>
      <c r="M2236" s="10" t="s">
        <v>15859</v>
      </c>
      <c r="N2236" s="12">
        <v>46088.436837118061</v>
      </c>
      <c r="O2236" s="10" t="s">
        <v>16512</v>
      </c>
      <c r="P2236" s="5" t="s">
        <v>14571</v>
      </c>
      <c r="Q2236" s="5" t="s">
        <v>14572</v>
      </c>
      <c r="R2236" s="5" t="s">
        <v>19831</v>
      </c>
      <c r="T2236" s="5" t="s">
        <v>5994</v>
      </c>
      <c r="U2236" s="5" t="s">
        <v>14593</v>
      </c>
      <c r="V2236" s="5" t="s">
        <v>67</v>
      </c>
      <c r="W2236" s="5" t="s">
        <v>13281</v>
      </c>
    </row>
    <row r="2237" spans="1:23" ht="12.5">
      <c r="A2237" s="5">
        <v>92754</v>
      </c>
      <c r="B2237" s="5" t="s">
        <v>19832</v>
      </c>
      <c r="C2237" s="5">
        <v>573244485611</v>
      </c>
      <c r="D2237" s="5">
        <v>101</v>
      </c>
      <c r="E2237" s="5" t="s">
        <v>12724</v>
      </c>
      <c r="F2237" s="5" t="s">
        <v>249</v>
      </c>
      <c r="G2237" s="5" t="s">
        <v>13162</v>
      </c>
      <c r="H2237" s="5" t="s">
        <v>19833</v>
      </c>
      <c r="I2237" s="5">
        <v>573244485611</v>
      </c>
      <c r="J2237" s="12">
        <v>46088</v>
      </c>
      <c r="K2237" s="11">
        <v>0.52083333333212067</v>
      </c>
      <c r="M2237" s="10" t="s">
        <v>15384</v>
      </c>
      <c r="N2237" s="12">
        <v>46087.858003159723</v>
      </c>
      <c r="O2237" s="10" t="s">
        <v>16512</v>
      </c>
      <c r="P2237" s="5" t="s">
        <v>14571</v>
      </c>
      <c r="Q2237" s="5" t="s">
        <v>17404</v>
      </c>
      <c r="R2237" s="5" t="s">
        <v>19834</v>
      </c>
      <c r="T2237" s="5" t="s">
        <v>5994</v>
      </c>
      <c r="U2237" s="5" t="s">
        <v>14593</v>
      </c>
      <c r="V2237" s="5" t="s">
        <v>1937</v>
      </c>
      <c r="W2237" s="5" t="s">
        <v>9771</v>
      </c>
    </row>
    <row r="2238" spans="1:23" ht="12.5">
      <c r="A2238" s="5">
        <v>92755</v>
      </c>
      <c r="B2238" s="5" t="s">
        <v>19835</v>
      </c>
      <c r="C2238" s="5">
        <v>573015669546</v>
      </c>
      <c r="D2238" s="5" t="s">
        <v>14589</v>
      </c>
      <c r="E2238" s="5" t="s">
        <v>13286</v>
      </c>
      <c r="F2238" s="5" t="s">
        <v>12657</v>
      </c>
      <c r="G2238" s="5" t="s">
        <v>2178</v>
      </c>
      <c r="H2238" s="5" t="s">
        <v>12657</v>
      </c>
      <c r="I2238" s="5">
        <v>573015669546</v>
      </c>
      <c r="J2238" s="12">
        <v>46088</v>
      </c>
      <c r="K2238" s="11">
        <v>0.41666666666787933</v>
      </c>
      <c r="M2238" s="10" t="s">
        <v>2686</v>
      </c>
      <c r="N2238" s="12">
        <v>46088.45080121528</v>
      </c>
      <c r="O2238" s="10" t="s">
        <v>17177</v>
      </c>
      <c r="P2238" s="5" t="s">
        <v>14571</v>
      </c>
      <c r="Q2238" s="5" t="s">
        <v>14612</v>
      </c>
      <c r="R2238" s="5" t="s">
        <v>19836</v>
      </c>
      <c r="T2238" s="5" t="s">
        <v>5994</v>
      </c>
      <c r="U2238" s="5"/>
      <c r="V2238" s="5" t="s">
        <v>43</v>
      </c>
      <c r="W2238" s="5" t="s">
        <v>13286</v>
      </c>
    </row>
    <row r="2239" spans="1:23" ht="12.5">
      <c r="A2239" s="5">
        <v>92756</v>
      </c>
      <c r="B2239" s="5" t="s">
        <v>19837</v>
      </c>
      <c r="C2239" s="5">
        <v>573154313588</v>
      </c>
      <c r="D2239" s="5">
        <v>101</v>
      </c>
      <c r="E2239" s="5" t="s">
        <v>12724</v>
      </c>
      <c r="F2239" s="5" t="s">
        <v>154</v>
      </c>
      <c r="G2239" s="5" t="s">
        <v>13273</v>
      </c>
      <c r="H2239" s="5" t="s">
        <v>13274</v>
      </c>
      <c r="I2239" s="5">
        <v>573017756989</v>
      </c>
      <c r="J2239" s="12">
        <v>46089</v>
      </c>
      <c r="K2239" s="11">
        <v>0.52083333333212067</v>
      </c>
      <c r="M2239" s="10" t="s">
        <v>15623</v>
      </c>
      <c r="N2239" s="12">
        <v>46088.434359837964</v>
      </c>
      <c r="O2239" s="10" t="s">
        <v>14654</v>
      </c>
      <c r="P2239" s="5" t="s">
        <v>14571</v>
      </c>
      <c r="Q2239" s="5" t="s">
        <v>14572</v>
      </c>
      <c r="R2239" s="5" t="s">
        <v>19838</v>
      </c>
      <c r="T2239" s="5" t="s">
        <v>5994</v>
      </c>
      <c r="U2239" s="5" t="s">
        <v>14593</v>
      </c>
      <c r="V2239" s="5" t="s">
        <v>12646</v>
      </c>
      <c r="W2239" s="5" t="s">
        <v>9771</v>
      </c>
    </row>
    <row r="2240" spans="1:23" ht="12.5">
      <c r="A2240" s="5">
        <v>92757</v>
      </c>
      <c r="B2240" s="5" t="s">
        <v>19839</v>
      </c>
      <c r="C2240" s="5">
        <v>573246866740</v>
      </c>
      <c r="D2240" s="5">
        <v>53</v>
      </c>
      <c r="E2240" s="5" t="s">
        <v>12423</v>
      </c>
      <c r="F2240" s="5" t="s">
        <v>13289</v>
      </c>
      <c r="G2240" s="5" t="s">
        <v>13288</v>
      </c>
      <c r="H2240" s="5" t="s">
        <v>19840</v>
      </c>
      <c r="I2240" s="5">
        <v>573015769728</v>
      </c>
      <c r="J2240" s="12">
        <v>46089</v>
      </c>
      <c r="K2240" s="11">
        <v>0.375</v>
      </c>
      <c r="M2240" s="10" t="s">
        <v>15179</v>
      </c>
      <c r="N2240" s="12">
        <v>46088.453707187495</v>
      </c>
      <c r="O2240" s="10" t="s">
        <v>16284</v>
      </c>
      <c r="P2240" s="5" t="s">
        <v>14571</v>
      </c>
      <c r="Q2240" s="5" t="s">
        <v>16907</v>
      </c>
      <c r="R2240" s="5" t="s">
        <v>19841</v>
      </c>
      <c r="T2240" s="5" t="s">
        <v>5994</v>
      </c>
      <c r="U2240" s="5" t="s">
        <v>14691</v>
      </c>
      <c r="V2240" s="5" t="s">
        <v>12646</v>
      </c>
      <c r="W2240" s="5"/>
    </row>
    <row r="2241" spans="1:23" ht="12.5">
      <c r="A2241" s="5">
        <v>92758</v>
      </c>
      <c r="B2241" s="5" t="s">
        <v>19842</v>
      </c>
      <c r="C2241" s="10" t="s">
        <v>19843</v>
      </c>
      <c r="D2241" s="5" t="s">
        <v>19844</v>
      </c>
      <c r="E2241" s="5" t="s">
        <v>13307</v>
      </c>
      <c r="F2241" s="5" t="s">
        <v>73</v>
      </c>
      <c r="G2241" s="5" t="s">
        <v>13305</v>
      </c>
      <c r="H2241" s="5" t="s">
        <v>13306</v>
      </c>
      <c r="I2241" s="5"/>
      <c r="J2241" s="12">
        <v>46089</v>
      </c>
      <c r="K2241" s="11">
        <v>4.1666666666666664E-2</v>
      </c>
      <c r="M2241" s="10" t="s">
        <v>17609</v>
      </c>
      <c r="N2241" s="12">
        <v>46088</v>
      </c>
      <c r="O2241" s="10" t="s">
        <v>15509</v>
      </c>
      <c r="P2241" s="5" t="s">
        <v>14571</v>
      </c>
      <c r="Q2241" s="5" t="s">
        <v>14572</v>
      </c>
      <c r="R2241" s="5" t="s">
        <v>19845</v>
      </c>
      <c r="T2241" s="5" t="s">
        <v>5994</v>
      </c>
      <c r="U2241" s="5" t="s">
        <v>14593</v>
      </c>
      <c r="V2241" s="5" t="s">
        <v>12646</v>
      </c>
      <c r="W2241" s="5" t="s">
        <v>9771</v>
      </c>
    </row>
    <row r="2242" spans="1:23" ht="12.5">
      <c r="A2242" s="5">
        <v>92759</v>
      </c>
      <c r="B2242" s="5" t="s">
        <v>19846</v>
      </c>
      <c r="C2242" s="10" t="s">
        <v>19847</v>
      </c>
      <c r="D2242" s="5">
        <v>46</v>
      </c>
      <c r="E2242" s="5" t="s">
        <v>12817</v>
      </c>
      <c r="F2242" s="5" t="s">
        <v>249</v>
      </c>
      <c r="G2242" s="5" t="s">
        <v>19848</v>
      </c>
      <c r="H2242" s="5" t="s">
        <v>13295</v>
      </c>
      <c r="I2242" s="5">
        <v>573002389931</v>
      </c>
      <c r="J2242" s="12">
        <v>46089</v>
      </c>
      <c r="K2242" s="11">
        <v>0.375</v>
      </c>
      <c r="M2242" s="10" t="s">
        <v>15480</v>
      </c>
      <c r="N2242" s="12">
        <v>46088</v>
      </c>
      <c r="O2242" s="10" t="s">
        <v>15509</v>
      </c>
      <c r="P2242" s="5" t="s">
        <v>14571</v>
      </c>
      <c r="Q2242" s="5" t="s">
        <v>16907</v>
      </c>
      <c r="R2242" s="5" t="s">
        <v>19849</v>
      </c>
      <c r="T2242" s="5" t="s">
        <v>5994</v>
      </c>
      <c r="U2242" s="5" t="s">
        <v>14593</v>
      </c>
      <c r="V2242" s="5" t="s">
        <v>12646</v>
      </c>
      <c r="W2242" s="5"/>
    </row>
    <row r="2243" spans="1:23" ht="12.5">
      <c r="A2243" s="5">
        <v>92760</v>
      </c>
      <c r="B2243" s="5" t="s">
        <v>19850</v>
      </c>
      <c r="C2243" s="5">
        <v>573157877568</v>
      </c>
      <c r="D2243" s="5">
        <v>29</v>
      </c>
      <c r="E2243" s="5" t="s">
        <v>12406</v>
      </c>
      <c r="F2243" s="5" t="s">
        <v>265</v>
      </c>
      <c r="G2243" s="5" t="s">
        <v>13299</v>
      </c>
      <c r="H2243" s="5" t="s">
        <v>13300</v>
      </c>
      <c r="I2243" s="5">
        <v>573022835151</v>
      </c>
      <c r="J2243" s="12">
        <v>46088</v>
      </c>
      <c r="K2243" s="11">
        <v>4.1666666667879326E-2</v>
      </c>
      <c r="M2243" s="10" t="s">
        <v>16470</v>
      </c>
      <c r="N2243" s="12">
        <v>46088.457554872686</v>
      </c>
      <c r="O2243" s="10" t="s">
        <v>15079</v>
      </c>
      <c r="P2243" s="5" t="s">
        <v>14571</v>
      </c>
      <c r="Q2243" s="5" t="s">
        <v>17688</v>
      </c>
      <c r="R2243" s="5" t="s">
        <v>19851</v>
      </c>
      <c r="T2243" s="5" t="s">
        <v>5994</v>
      </c>
      <c r="U2243" s="5" t="s">
        <v>14691</v>
      </c>
      <c r="V2243" s="5" t="s">
        <v>12646</v>
      </c>
      <c r="W2243" s="5" t="s">
        <v>13303</v>
      </c>
    </row>
    <row r="2244" spans="1:23" ht="12.5">
      <c r="A2244" s="5">
        <v>92761</v>
      </c>
      <c r="B2244" s="5" t="s">
        <v>19852</v>
      </c>
      <c r="C2244" s="5">
        <v>573012527757</v>
      </c>
      <c r="D2244" s="5">
        <v>95</v>
      </c>
      <c r="E2244" s="5" t="s">
        <v>42</v>
      </c>
      <c r="F2244" s="5" t="s">
        <v>12657</v>
      </c>
      <c r="G2244" s="5" t="s">
        <v>2678</v>
      </c>
      <c r="H2244" s="5" t="s">
        <v>12657</v>
      </c>
      <c r="I2244" s="5">
        <v>573012527757</v>
      </c>
      <c r="J2244" s="12">
        <v>46088</v>
      </c>
      <c r="K2244" s="11">
        <v>0</v>
      </c>
      <c r="M2244" s="10" t="s">
        <v>14712</v>
      </c>
      <c r="N2244" s="12">
        <v>46088.480415636572</v>
      </c>
      <c r="O2244" s="10" t="s">
        <v>14979</v>
      </c>
      <c r="P2244" s="5" t="s">
        <v>14571</v>
      </c>
      <c r="Q2244" s="5" t="s">
        <v>14578</v>
      </c>
      <c r="R2244" s="5" t="s">
        <v>19853</v>
      </c>
      <c r="T2244" s="5" t="s">
        <v>5994</v>
      </c>
      <c r="U2244" s="5"/>
      <c r="V2244" s="5" t="s">
        <v>196</v>
      </c>
      <c r="W2244" s="5"/>
    </row>
    <row r="2245" spans="1:23" ht="12.5">
      <c r="A2245" s="5">
        <v>92762</v>
      </c>
      <c r="B2245" s="5" t="s">
        <v>19854</v>
      </c>
      <c r="C2245" s="5">
        <v>573028649234</v>
      </c>
      <c r="D2245" s="5">
        <v>59</v>
      </c>
      <c r="E2245" s="5" t="s">
        <v>13283</v>
      </c>
      <c r="F2245" s="5" t="s">
        <v>12657</v>
      </c>
      <c r="G2245" s="5" t="s">
        <v>13282</v>
      </c>
      <c r="H2245" s="5" t="s">
        <v>12657</v>
      </c>
      <c r="I2245" s="5">
        <v>573028649234</v>
      </c>
      <c r="J2245" s="12">
        <v>46088</v>
      </c>
      <c r="K2245" s="11">
        <v>0</v>
      </c>
      <c r="M2245" s="10" t="s">
        <v>14569</v>
      </c>
      <c r="N2245" s="12">
        <v>46088.44853173611</v>
      </c>
      <c r="O2245" s="10" t="s">
        <v>14979</v>
      </c>
      <c r="P2245" s="5" t="s">
        <v>14571</v>
      </c>
      <c r="Q2245" s="5" t="s">
        <v>17404</v>
      </c>
      <c r="R2245" s="5" t="s">
        <v>19855</v>
      </c>
      <c r="T2245" s="5" t="s">
        <v>5994</v>
      </c>
      <c r="U2245" s="5"/>
      <c r="V2245" s="5" t="s">
        <v>2438</v>
      </c>
      <c r="W2245" s="5"/>
    </row>
    <row r="2246" spans="1:23" ht="12.5">
      <c r="A2246" s="5">
        <v>92763</v>
      </c>
      <c r="B2246" s="5" t="s">
        <v>19856</v>
      </c>
      <c r="C2246" s="5">
        <v>573503746735</v>
      </c>
      <c r="D2246" s="5">
        <v>95</v>
      </c>
      <c r="E2246" s="5" t="s">
        <v>42</v>
      </c>
      <c r="F2246" s="5" t="s">
        <v>73</v>
      </c>
      <c r="G2246" s="5" t="s">
        <v>13311</v>
      </c>
      <c r="H2246" s="5" t="s">
        <v>10161</v>
      </c>
      <c r="I2246" s="5">
        <v>573058681889</v>
      </c>
      <c r="J2246" s="12">
        <v>46089</v>
      </c>
      <c r="K2246" s="11">
        <v>0</v>
      </c>
      <c r="M2246" s="10" t="s">
        <v>16243</v>
      </c>
      <c r="N2246" s="12">
        <v>46088.470243402779</v>
      </c>
      <c r="O2246" s="10" t="s">
        <v>15407</v>
      </c>
      <c r="P2246" s="5" t="s">
        <v>14571</v>
      </c>
      <c r="Q2246" s="5" t="s">
        <v>17423</v>
      </c>
      <c r="R2246" s="5" t="s">
        <v>19857</v>
      </c>
      <c r="T2246" s="5" t="s">
        <v>5994</v>
      </c>
      <c r="U2246" s="5" t="s">
        <v>14593</v>
      </c>
      <c r="V2246" s="5" t="s">
        <v>12646</v>
      </c>
      <c r="W2246" s="5" t="s">
        <v>13314</v>
      </c>
    </row>
    <row r="2247" spans="1:23" ht="12.5">
      <c r="A2247" s="5">
        <v>92764</v>
      </c>
      <c r="B2247" s="5" t="s">
        <v>19858</v>
      </c>
      <c r="C2247" s="5">
        <v>573006804129</v>
      </c>
      <c r="D2247" s="5" t="s">
        <v>19859</v>
      </c>
      <c r="E2247" s="5" t="s">
        <v>13336</v>
      </c>
      <c r="F2247" s="5" t="s">
        <v>12657</v>
      </c>
      <c r="G2247" s="5" t="s">
        <v>13335</v>
      </c>
      <c r="H2247" s="5" t="s">
        <v>12657</v>
      </c>
      <c r="I2247" s="5">
        <v>573006804129</v>
      </c>
      <c r="J2247" s="12">
        <v>46088</v>
      </c>
      <c r="K2247" s="11">
        <v>0</v>
      </c>
      <c r="M2247" s="10" t="s">
        <v>14777</v>
      </c>
      <c r="N2247" s="12">
        <v>46088.490814942124</v>
      </c>
      <c r="O2247" s="10" t="s">
        <v>14644</v>
      </c>
      <c r="P2247" s="5" t="s">
        <v>14571</v>
      </c>
      <c r="Q2247" s="5" t="s">
        <v>17404</v>
      </c>
      <c r="R2247" s="5" t="s">
        <v>19860</v>
      </c>
      <c r="T2247" s="5" t="s">
        <v>5994</v>
      </c>
      <c r="U2247" s="5"/>
      <c r="V2247" s="5" t="s">
        <v>37</v>
      </c>
      <c r="W2247" s="5" t="s">
        <v>13337</v>
      </c>
    </row>
    <row r="2248" spans="1:23" ht="12.5">
      <c r="A2248" s="5">
        <v>92765</v>
      </c>
      <c r="B2248" s="5" t="s">
        <v>19861</v>
      </c>
      <c r="C2248" s="10" t="s">
        <v>19862</v>
      </c>
      <c r="D2248" s="5">
        <v>52</v>
      </c>
      <c r="E2248" s="5" t="s">
        <v>12496</v>
      </c>
      <c r="F2248" s="5" t="s">
        <v>12657</v>
      </c>
      <c r="G2248" s="5" t="s">
        <v>13338</v>
      </c>
      <c r="H2248" s="5" t="s">
        <v>12657</v>
      </c>
      <c r="I2248" s="5">
        <v>573135975191</v>
      </c>
      <c r="J2248" s="12">
        <v>46088</v>
      </c>
      <c r="K2248" s="11">
        <v>0</v>
      </c>
      <c r="M2248" s="10" t="s">
        <v>15594</v>
      </c>
      <c r="N2248" s="12">
        <v>46088</v>
      </c>
      <c r="O2248" s="10" t="s">
        <v>19863</v>
      </c>
      <c r="P2248" s="5" t="s">
        <v>14571</v>
      </c>
      <c r="Q2248" s="5" t="s">
        <v>17404</v>
      </c>
      <c r="R2248" s="5" t="s">
        <v>19864</v>
      </c>
      <c r="T2248" s="5" t="s">
        <v>5994</v>
      </c>
      <c r="U2248" s="5"/>
      <c r="V2248" s="5" t="s">
        <v>37</v>
      </c>
      <c r="W2248" s="5" t="s">
        <v>13339</v>
      </c>
    </row>
    <row r="2249" spans="1:23" ht="12.5">
      <c r="A2249" s="5">
        <v>92766</v>
      </c>
      <c r="B2249" s="5" t="s">
        <v>19865</v>
      </c>
      <c r="C2249" s="5">
        <v>573013643099</v>
      </c>
      <c r="D2249" s="5">
        <v>29</v>
      </c>
      <c r="E2249" s="5" t="s">
        <v>12406</v>
      </c>
      <c r="F2249" s="5" t="s">
        <v>12657</v>
      </c>
      <c r="G2249" s="5" t="s">
        <v>13344</v>
      </c>
      <c r="H2249" s="5" t="s">
        <v>12657</v>
      </c>
      <c r="I2249" s="5">
        <v>573013643099</v>
      </c>
      <c r="J2249" s="12">
        <v>46088</v>
      </c>
      <c r="K2249" s="11">
        <v>0</v>
      </c>
      <c r="M2249" s="10" t="s">
        <v>14627</v>
      </c>
      <c r="N2249" s="12">
        <v>46088.494346747684</v>
      </c>
      <c r="O2249" s="10" t="s">
        <v>17114</v>
      </c>
      <c r="P2249" s="5" t="s">
        <v>14571</v>
      </c>
      <c r="Q2249" s="5" t="s">
        <v>17688</v>
      </c>
      <c r="R2249" s="5" t="s">
        <v>19866</v>
      </c>
      <c r="T2249" s="5" t="s">
        <v>5994</v>
      </c>
      <c r="U2249" s="5"/>
      <c r="V2249" s="5" t="s">
        <v>37</v>
      </c>
      <c r="W2249" s="5" t="s">
        <v>13345</v>
      </c>
    </row>
    <row r="2250" spans="1:23" ht="12.5">
      <c r="A2250" s="5">
        <v>92767</v>
      </c>
      <c r="B2250" s="5" t="s">
        <v>19867</v>
      </c>
      <c r="C2250" s="10" t="s">
        <v>19868</v>
      </c>
      <c r="D2250" s="5">
        <v>53</v>
      </c>
      <c r="E2250" s="5" t="s">
        <v>12423</v>
      </c>
      <c r="F2250" s="5" t="s">
        <v>249</v>
      </c>
      <c r="G2250" s="5" t="s">
        <v>19869</v>
      </c>
      <c r="H2250" s="5" t="s">
        <v>13327</v>
      </c>
      <c r="I2250" s="5">
        <v>573013460233</v>
      </c>
      <c r="J2250" s="12">
        <v>46088</v>
      </c>
      <c r="K2250" s="11">
        <v>0.60416666666666663</v>
      </c>
      <c r="M2250" s="10" t="s">
        <v>14627</v>
      </c>
      <c r="N2250" s="12">
        <v>46088</v>
      </c>
      <c r="O2250" s="10" t="s">
        <v>15777</v>
      </c>
      <c r="P2250" s="5" t="s">
        <v>14571</v>
      </c>
      <c r="Q2250" s="5" t="s">
        <v>17990</v>
      </c>
      <c r="R2250" s="5" t="s">
        <v>19870</v>
      </c>
      <c r="T2250" s="5" t="s">
        <v>5994</v>
      </c>
      <c r="U2250" s="5" t="s">
        <v>14593</v>
      </c>
      <c r="V2250" s="5" t="s">
        <v>1937</v>
      </c>
      <c r="W2250" s="5"/>
    </row>
    <row r="2251" spans="1:23" ht="12.5">
      <c r="A2251" s="5">
        <v>92768</v>
      </c>
      <c r="B2251" s="5" t="s">
        <v>13309</v>
      </c>
      <c r="C2251" s="5">
        <v>573017245671</v>
      </c>
      <c r="D2251" s="5">
        <v>29</v>
      </c>
      <c r="E2251" s="5" t="s">
        <v>12406</v>
      </c>
      <c r="F2251" s="5" t="s">
        <v>12657</v>
      </c>
      <c r="G2251" s="5" t="s">
        <v>13309</v>
      </c>
      <c r="H2251" s="5" t="s">
        <v>12657</v>
      </c>
      <c r="I2251" s="5">
        <v>573017245671</v>
      </c>
      <c r="J2251" s="12">
        <v>46088</v>
      </c>
      <c r="K2251" s="11">
        <v>0.52083333333212067</v>
      </c>
      <c r="M2251" s="10" t="s">
        <v>14627</v>
      </c>
      <c r="N2251" s="12">
        <v>46088.459654606486</v>
      </c>
      <c r="O2251" s="10" t="s">
        <v>16294</v>
      </c>
      <c r="P2251" s="5" t="s">
        <v>14571</v>
      </c>
      <c r="Q2251" s="5" t="s">
        <v>14572</v>
      </c>
      <c r="R2251" s="5" t="s">
        <v>19871</v>
      </c>
      <c r="T2251" s="5" t="s">
        <v>5994</v>
      </c>
      <c r="U2251" s="5"/>
      <c r="V2251" s="5" t="s">
        <v>12646</v>
      </c>
      <c r="W2251" s="5"/>
    </row>
    <row r="2252" spans="1:23" ht="12.5">
      <c r="A2252" s="5">
        <v>92769</v>
      </c>
      <c r="B2252" s="5" t="s">
        <v>19872</v>
      </c>
      <c r="C2252" s="5">
        <v>573014243732</v>
      </c>
      <c r="D2252" s="5">
        <v>101</v>
      </c>
      <c r="E2252" s="5" t="s">
        <v>12724</v>
      </c>
      <c r="F2252" s="5" t="s">
        <v>12657</v>
      </c>
      <c r="G2252" s="5" t="s">
        <v>13332</v>
      </c>
      <c r="H2252" s="5" t="s">
        <v>12657</v>
      </c>
      <c r="I2252" s="5">
        <v>573014243732</v>
      </c>
      <c r="J2252" s="12">
        <v>46088</v>
      </c>
      <c r="K2252" s="11">
        <v>0.58333333333212067</v>
      </c>
      <c r="M2252" s="10" t="s">
        <v>14646</v>
      </c>
      <c r="N2252" s="12">
        <v>46088.488459884262</v>
      </c>
      <c r="O2252" s="10" t="s">
        <v>16294</v>
      </c>
      <c r="P2252" s="5" t="s">
        <v>14571</v>
      </c>
      <c r="Q2252" s="5" t="s">
        <v>14578</v>
      </c>
      <c r="R2252" s="5" t="s">
        <v>19873</v>
      </c>
      <c r="T2252" s="5" t="s">
        <v>5994</v>
      </c>
      <c r="U2252" s="5"/>
      <c r="V2252" s="5" t="s">
        <v>196</v>
      </c>
      <c r="W2252" s="5" t="s">
        <v>13334</v>
      </c>
    </row>
    <row r="2253" spans="1:23" ht="12.5">
      <c r="A2253" s="5">
        <v>92770</v>
      </c>
      <c r="B2253" s="5" t="s">
        <v>10998</v>
      </c>
      <c r="C2253" s="10" t="s">
        <v>19874</v>
      </c>
      <c r="D2253" s="5">
        <v>29</v>
      </c>
      <c r="E2253" s="5" t="s">
        <v>12406</v>
      </c>
      <c r="F2253" s="5" t="s">
        <v>33</v>
      </c>
      <c r="G2253" s="5" t="s">
        <v>11194</v>
      </c>
      <c r="H2253" s="5" t="s">
        <v>12066</v>
      </c>
      <c r="I2253" s="5">
        <v>573005553279</v>
      </c>
      <c r="J2253" s="12">
        <v>46088</v>
      </c>
      <c r="K2253" s="11">
        <v>0.58333333333333337</v>
      </c>
      <c r="M2253" s="10" t="s">
        <v>14627</v>
      </c>
      <c r="N2253" s="12">
        <v>46088</v>
      </c>
      <c r="O2253" s="10" t="s">
        <v>15931</v>
      </c>
      <c r="P2253" s="5" t="s">
        <v>14571</v>
      </c>
      <c r="Q2253" s="5" t="s">
        <v>17688</v>
      </c>
      <c r="R2253" s="5" t="s">
        <v>19875</v>
      </c>
      <c r="T2253" s="5" t="s">
        <v>14574</v>
      </c>
      <c r="U2253" s="5" t="s">
        <v>33</v>
      </c>
      <c r="V2253" s="5" t="s">
        <v>12646</v>
      </c>
      <c r="W2253" s="5"/>
    </row>
    <row r="2254" spans="1:23" ht="12.5">
      <c r="A2254" s="5">
        <v>92772</v>
      </c>
      <c r="B2254" s="5" t="s">
        <v>19876</v>
      </c>
      <c r="C2254" s="5">
        <v>573008182932</v>
      </c>
      <c r="D2254" s="5">
        <v>53</v>
      </c>
      <c r="E2254" s="5" t="s">
        <v>12423</v>
      </c>
      <c r="F2254" s="5" t="s">
        <v>63</v>
      </c>
      <c r="G2254" s="5" t="s">
        <v>13316</v>
      </c>
      <c r="H2254" s="5" t="s">
        <v>13317</v>
      </c>
      <c r="I2254" s="5">
        <v>573148667813</v>
      </c>
      <c r="J2254" s="12">
        <v>46088</v>
      </c>
      <c r="K2254" s="11">
        <v>6.25E-2</v>
      </c>
      <c r="M2254" s="10" t="s">
        <v>15525</v>
      </c>
      <c r="N2254" s="12">
        <v>46088.472706354165</v>
      </c>
      <c r="O2254" s="10" t="s">
        <v>15931</v>
      </c>
      <c r="P2254" s="5" t="s">
        <v>14571</v>
      </c>
      <c r="Q2254" s="5" t="s">
        <v>17423</v>
      </c>
      <c r="R2254" s="5" t="s">
        <v>19877</v>
      </c>
      <c r="T2254" s="5" t="s">
        <v>5994</v>
      </c>
      <c r="U2254" s="5" t="s">
        <v>14598</v>
      </c>
      <c r="V2254" s="5" t="s">
        <v>1937</v>
      </c>
      <c r="W2254" s="5" t="s">
        <v>9771</v>
      </c>
    </row>
    <row r="2255" spans="1:23" ht="12.5">
      <c r="A2255" s="5"/>
      <c r="B2255" s="5"/>
      <c r="C2255" s="5"/>
      <c r="D2255" s="5"/>
      <c r="E2255" s="5"/>
      <c r="F2255" s="5"/>
      <c r="G2255" s="5"/>
      <c r="H2255" s="5"/>
      <c r="I2255" s="5"/>
      <c r="J2255" s="12"/>
      <c r="K2255" s="11"/>
      <c r="M2255" s="5"/>
      <c r="N2255" s="12"/>
      <c r="O2255" s="5"/>
      <c r="P2255" s="5"/>
      <c r="Q2255" s="5"/>
      <c r="R2255" s="5"/>
      <c r="T2255" s="5" t="s">
        <v>5994</v>
      </c>
      <c r="U2255" s="5"/>
      <c r="V2255" s="5"/>
      <c r="W2255" s="5"/>
    </row>
    <row r="2256" spans="1:23" ht="12.5">
      <c r="A2256" s="5">
        <v>92774</v>
      </c>
      <c r="B2256" s="5" t="s">
        <v>19878</v>
      </c>
      <c r="C2256" s="5">
        <v>573106105271</v>
      </c>
      <c r="D2256" s="5" t="s">
        <v>14589</v>
      </c>
      <c r="E2256" s="5" t="s">
        <v>19879</v>
      </c>
      <c r="F2256" s="5" t="s">
        <v>12657</v>
      </c>
      <c r="G2256" s="5" t="s">
        <v>13355</v>
      </c>
      <c r="H2256" s="5" t="s">
        <v>12657</v>
      </c>
      <c r="I2256" s="5">
        <v>573106105271</v>
      </c>
      <c r="J2256" s="12">
        <v>46088</v>
      </c>
      <c r="K2256" s="11">
        <v>0</v>
      </c>
      <c r="M2256" s="10" t="s">
        <v>14627</v>
      </c>
      <c r="N2256" s="12">
        <v>46088.504908923613</v>
      </c>
      <c r="O2256" s="10" t="s">
        <v>15696</v>
      </c>
      <c r="P2256" s="5" t="s">
        <v>14571</v>
      </c>
      <c r="Q2256" s="5" t="s">
        <v>14572</v>
      </c>
      <c r="R2256" s="5" t="s">
        <v>19880</v>
      </c>
      <c r="T2256" s="5" t="s">
        <v>5994</v>
      </c>
      <c r="U2256" s="5"/>
      <c r="V2256" s="5" t="s">
        <v>196</v>
      </c>
      <c r="W2256" s="5"/>
    </row>
    <row r="2257" spans="1:23" ht="12.5">
      <c r="A2257" s="5">
        <v>92775</v>
      </c>
      <c r="B2257" s="5" t="s">
        <v>19881</v>
      </c>
      <c r="C2257" s="10" t="s">
        <v>19882</v>
      </c>
      <c r="D2257" s="5">
        <v>29</v>
      </c>
      <c r="E2257" s="5" t="s">
        <v>12406</v>
      </c>
      <c r="F2257" s="5" t="s">
        <v>12657</v>
      </c>
      <c r="G2257" s="5" t="s">
        <v>13357</v>
      </c>
      <c r="H2257" s="5" t="s">
        <v>12657</v>
      </c>
      <c r="I2257" s="5">
        <v>573024517351</v>
      </c>
      <c r="J2257" s="12">
        <v>46089</v>
      </c>
      <c r="K2257" s="11">
        <v>0</v>
      </c>
      <c r="M2257" s="10" t="s">
        <v>14627</v>
      </c>
      <c r="N2257" s="12">
        <v>46088</v>
      </c>
      <c r="O2257" s="10" t="s">
        <v>15849</v>
      </c>
      <c r="P2257" s="5" t="s">
        <v>14571</v>
      </c>
      <c r="Q2257" s="5" t="s">
        <v>14612</v>
      </c>
      <c r="R2257" s="5" t="s">
        <v>19883</v>
      </c>
      <c r="T2257" s="5" t="s">
        <v>5994</v>
      </c>
      <c r="U2257" s="5"/>
      <c r="V2257" s="5" t="s">
        <v>196</v>
      </c>
      <c r="W2257" s="5"/>
    </row>
    <row r="2258" spans="1:23" ht="12.5">
      <c r="A2258" s="5">
        <v>92776</v>
      </c>
      <c r="B2258" s="5" t="s">
        <v>19884</v>
      </c>
      <c r="C2258" s="10" t="s">
        <v>19885</v>
      </c>
      <c r="D2258" s="5">
        <v>101</v>
      </c>
      <c r="E2258" s="5" t="s">
        <v>12724</v>
      </c>
      <c r="F2258" s="5" t="s">
        <v>103</v>
      </c>
      <c r="G2258" s="5" t="s">
        <v>19886</v>
      </c>
      <c r="H2258" s="5" t="s">
        <v>13342</v>
      </c>
      <c r="I2258" s="5">
        <v>573013032735</v>
      </c>
      <c r="J2258" s="12">
        <v>46088</v>
      </c>
      <c r="K2258" s="11">
        <v>6.25E-2</v>
      </c>
      <c r="M2258" s="10" t="s">
        <v>15384</v>
      </c>
      <c r="N2258" s="12">
        <v>46088</v>
      </c>
      <c r="O2258" s="10" t="s">
        <v>15780</v>
      </c>
      <c r="P2258" s="5" t="s">
        <v>14571</v>
      </c>
      <c r="Q2258" s="5" t="s">
        <v>17404</v>
      </c>
      <c r="R2258" s="5" t="s">
        <v>19887</v>
      </c>
      <c r="T2258" s="5" t="s">
        <v>5994</v>
      </c>
      <c r="U2258" s="5" t="s">
        <v>14593</v>
      </c>
      <c r="V2258" s="5" t="s">
        <v>12646</v>
      </c>
      <c r="W2258" s="5" t="s">
        <v>9771</v>
      </c>
    </row>
    <row r="2259" spans="1:23" ht="12.5">
      <c r="A2259" s="5">
        <v>92777</v>
      </c>
      <c r="B2259" s="5" t="s">
        <v>19647</v>
      </c>
      <c r="C2259" s="5">
        <v>573022781926</v>
      </c>
      <c r="D2259" s="5">
        <v>53</v>
      </c>
      <c r="E2259" s="5" t="s">
        <v>12423</v>
      </c>
      <c r="F2259" s="5" t="s">
        <v>1815</v>
      </c>
      <c r="G2259" s="5" t="s">
        <v>13346</v>
      </c>
      <c r="H2259" s="5" t="s">
        <v>13347</v>
      </c>
      <c r="I2259" s="5">
        <v>573107383697</v>
      </c>
      <c r="J2259" s="12">
        <v>46088</v>
      </c>
      <c r="K2259" s="11">
        <v>6.25E-2</v>
      </c>
      <c r="M2259" s="10" t="s">
        <v>15064</v>
      </c>
      <c r="N2259" s="12">
        <v>46088.494464444448</v>
      </c>
      <c r="O2259" s="10" t="s">
        <v>16065</v>
      </c>
      <c r="P2259" s="5" t="s">
        <v>14571</v>
      </c>
      <c r="Q2259" s="5" t="s">
        <v>17423</v>
      </c>
      <c r="R2259" s="5" t="s">
        <v>19888</v>
      </c>
      <c r="T2259" s="5" t="s">
        <v>5994</v>
      </c>
      <c r="U2259" s="5" t="s">
        <v>14580</v>
      </c>
      <c r="V2259" s="5" t="s">
        <v>12646</v>
      </c>
      <c r="W2259" s="5" t="s">
        <v>9771</v>
      </c>
    </row>
    <row r="2260" spans="1:23" ht="12.5">
      <c r="A2260" s="5">
        <v>92778</v>
      </c>
      <c r="B2260" s="5" t="s">
        <v>19889</v>
      </c>
      <c r="C2260" s="10" t="s">
        <v>19890</v>
      </c>
      <c r="D2260" s="5" t="s">
        <v>17927</v>
      </c>
      <c r="E2260" s="5" t="s">
        <v>13352</v>
      </c>
      <c r="F2260" s="5" t="s">
        <v>2880</v>
      </c>
      <c r="G2260" s="5" t="s">
        <v>1038</v>
      </c>
      <c r="H2260" s="5" t="s">
        <v>13351</v>
      </c>
      <c r="I2260" s="5">
        <v>573012043812</v>
      </c>
      <c r="J2260" s="12">
        <v>46089</v>
      </c>
      <c r="K2260" s="11">
        <v>8.3333333333333329E-2</v>
      </c>
      <c r="M2260" s="10" t="s">
        <v>15125</v>
      </c>
      <c r="N2260" s="12">
        <v>46088</v>
      </c>
      <c r="O2260" s="10" t="s">
        <v>15401</v>
      </c>
      <c r="P2260" s="5" t="s">
        <v>14571</v>
      </c>
      <c r="Q2260" s="5" t="s">
        <v>17423</v>
      </c>
      <c r="R2260" s="5" t="s">
        <v>19891</v>
      </c>
      <c r="T2260" s="5" t="s">
        <v>5994</v>
      </c>
      <c r="U2260" s="5" t="s">
        <v>14691</v>
      </c>
      <c r="V2260" s="5" t="s">
        <v>12646</v>
      </c>
      <c r="W2260" s="5" t="s">
        <v>9771</v>
      </c>
    </row>
    <row r="2261" spans="1:23" ht="12.5">
      <c r="A2261" s="5">
        <v>92779</v>
      </c>
      <c r="B2261" s="5" t="s">
        <v>19892</v>
      </c>
      <c r="C2261" s="5">
        <v>573145358206</v>
      </c>
      <c r="D2261" s="5" t="s">
        <v>19893</v>
      </c>
      <c r="E2261" s="5" t="s">
        <v>13373</v>
      </c>
      <c r="F2261" s="5" t="s">
        <v>5574</v>
      </c>
      <c r="G2261" s="5" t="s">
        <v>13371</v>
      </c>
      <c r="H2261" s="5" t="s">
        <v>13372</v>
      </c>
      <c r="I2261" s="5">
        <v>573215381382</v>
      </c>
      <c r="J2261" s="12">
        <v>46088</v>
      </c>
      <c r="K2261" s="11">
        <v>0</v>
      </c>
      <c r="M2261" s="10" t="s">
        <v>19343</v>
      </c>
      <c r="N2261" s="12">
        <v>46088.512644259259</v>
      </c>
      <c r="O2261" s="10" t="s">
        <v>14738</v>
      </c>
      <c r="P2261" s="5" t="s">
        <v>14571</v>
      </c>
      <c r="Q2261" s="5" t="s">
        <v>17404</v>
      </c>
      <c r="R2261" s="5" t="s">
        <v>19894</v>
      </c>
      <c r="T2261" s="5" t="s">
        <v>5994</v>
      </c>
      <c r="U2261" s="5" t="s">
        <v>14593</v>
      </c>
      <c r="V2261" s="5" t="s">
        <v>12646</v>
      </c>
      <c r="W2261" s="5" t="s">
        <v>13376</v>
      </c>
    </row>
    <row r="2262" spans="1:23" ht="12.5">
      <c r="A2262" s="5">
        <v>92780</v>
      </c>
      <c r="B2262" s="5" t="s">
        <v>19895</v>
      </c>
      <c r="C2262" s="5">
        <v>34616790085</v>
      </c>
      <c r="D2262" s="5">
        <v>30</v>
      </c>
      <c r="E2262" s="5" t="s">
        <v>12844</v>
      </c>
      <c r="F2262" s="5" t="s">
        <v>9925</v>
      </c>
      <c r="G2262" s="5" t="s">
        <v>13366</v>
      </c>
      <c r="H2262" s="5" t="s">
        <v>13367</v>
      </c>
      <c r="I2262" s="5">
        <v>573164032710</v>
      </c>
      <c r="J2262" s="12">
        <v>46088</v>
      </c>
      <c r="K2262" s="11">
        <v>0.60416666666787933</v>
      </c>
      <c r="M2262" s="10" t="s">
        <v>14792</v>
      </c>
      <c r="N2262" s="12">
        <v>46088.512604398144</v>
      </c>
      <c r="O2262" s="10" t="s">
        <v>17130</v>
      </c>
      <c r="P2262" s="5" t="s">
        <v>14571</v>
      </c>
      <c r="Q2262" s="5" t="s">
        <v>17990</v>
      </c>
      <c r="R2262" s="5" t="s">
        <v>19896</v>
      </c>
      <c r="T2262" s="5" t="s">
        <v>5994</v>
      </c>
      <c r="U2262" s="5" t="s">
        <v>14618</v>
      </c>
      <c r="V2262" s="5" t="s">
        <v>12646</v>
      </c>
      <c r="W2262" s="5"/>
    </row>
    <row r="2263" spans="1:23" ht="12.5">
      <c r="A2263" s="5">
        <v>92781</v>
      </c>
      <c r="B2263" s="5" t="s">
        <v>19897</v>
      </c>
      <c r="C2263" s="10" t="s">
        <v>19898</v>
      </c>
      <c r="D2263" s="5">
        <v>29</v>
      </c>
      <c r="E2263" s="5" t="s">
        <v>12406</v>
      </c>
      <c r="F2263" s="5" t="s">
        <v>12657</v>
      </c>
      <c r="G2263" s="5" t="s">
        <v>13399</v>
      </c>
      <c r="H2263" s="5" t="s">
        <v>12657</v>
      </c>
      <c r="I2263" s="5">
        <v>573002050746</v>
      </c>
      <c r="J2263" s="12">
        <v>46088</v>
      </c>
      <c r="K2263" s="11">
        <v>0</v>
      </c>
      <c r="M2263" s="10" t="s">
        <v>14627</v>
      </c>
      <c r="N2263" s="12">
        <v>46088</v>
      </c>
      <c r="O2263" s="10" t="s">
        <v>14735</v>
      </c>
      <c r="P2263" s="5" t="s">
        <v>14571</v>
      </c>
      <c r="Q2263" s="5" t="s">
        <v>17688</v>
      </c>
      <c r="R2263" s="5" t="s">
        <v>19899</v>
      </c>
      <c r="T2263" s="5" t="s">
        <v>5994</v>
      </c>
      <c r="U2263" s="5"/>
      <c r="V2263" s="5" t="s">
        <v>37</v>
      </c>
      <c r="W2263" s="10" t="s">
        <v>19900</v>
      </c>
    </row>
    <row r="2264" spans="1:23" ht="12.5">
      <c r="A2264" s="5">
        <v>92782</v>
      </c>
      <c r="B2264" s="5" t="s">
        <v>13401</v>
      </c>
      <c r="C2264" s="10" t="s">
        <v>19901</v>
      </c>
      <c r="D2264" s="5">
        <v>53</v>
      </c>
      <c r="E2264" s="5" t="s">
        <v>12423</v>
      </c>
      <c r="F2264" s="5" t="s">
        <v>9925</v>
      </c>
      <c r="G2264" s="5" t="s">
        <v>13400</v>
      </c>
      <c r="H2264" s="5" t="s">
        <v>13402</v>
      </c>
      <c r="I2264" s="5">
        <v>573044617821</v>
      </c>
      <c r="J2264" s="12">
        <v>46088</v>
      </c>
      <c r="K2264" s="11">
        <v>8.3333333333333329E-2</v>
      </c>
      <c r="M2264" s="10" t="s">
        <v>14792</v>
      </c>
      <c r="N2264" s="12">
        <v>46088</v>
      </c>
      <c r="O2264" s="10" t="s">
        <v>16305</v>
      </c>
      <c r="P2264" s="5" t="s">
        <v>14571</v>
      </c>
      <c r="Q2264" s="5" t="s">
        <v>17423</v>
      </c>
      <c r="R2264" s="5" t="s">
        <v>19902</v>
      </c>
      <c r="T2264" s="5" t="s">
        <v>5994</v>
      </c>
      <c r="U2264" s="5" t="s">
        <v>14618</v>
      </c>
      <c r="V2264" s="5" t="s">
        <v>12646</v>
      </c>
      <c r="W2264" s="5" t="s">
        <v>9771</v>
      </c>
    </row>
    <row r="2265" spans="1:23" ht="12.5">
      <c r="A2265" s="5">
        <v>92783</v>
      </c>
      <c r="B2265" s="5" t="s">
        <v>19903</v>
      </c>
      <c r="C2265" s="5">
        <v>573187306563</v>
      </c>
      <c r="D2265" s="5" t="s">
        <v>19904</v>
      </c>
      <c r="E2265" s="5" t="s">
        <v>13390</v>
      </c>
      <c r="F2265" s="5" t="s">
        <v>161</v>
      </c>
      <c r="G2265" s="5" t="s">
        <v>13388</v>
      </c>
      <c r="H2265" s="5" t="s">
        <v>13389</v>
      </c>
      <c r="I2265" s="5">
        <v>573106865424</v>
      </c>
      <c r="J2265" s="12">
        <v>46089</v>
      </c>
      <c r="K2265" s="11">
        <v>0.33333333333212067</v>
      </c>
      <c r="M2265" s="10" t="s">
        <v>15534</v>
      </c>
      <c r="N2265" s="12">
        <v>46088.52236609954</v>
      </c>
      <c r="O2265" s="10" t="s">
        <v>16654</v>
      </c>
      <c r="P2265" s="5" t="s">
        <v>14571</v>
      </c>
      <c r="Q2265" s="5" t="s">
        <v>17404</v>
      </c>
      <c r="R2265" s="5" t="s">
        <v>19905</v>
      </c>
      <c r="T2265" s="5" t="s">
        <v>5994</v>
      </c>
      <c r="U2265" s="5" t="s">
        <v>14593</v>
      </c>
      <c r="V2265" s="5" t="s">
        <v>12646</v>
      </c>
      <c r="W2265" s="5" t="s">
        <v>9771</v>
      </c>
    </row>
    <row r="2266" spans="1:23" ht="12.5">
      <c r="A2266" s="5">
        <v>92784</v>
      </c>
      <c r="B2266" s="5" t="s">
        <v>19906</v>
      </c>
      <c r="C2266" s="10" t="s">
        <v>19907</v>
      </c>
      <c r="D2266" s="5">
        <v>52</v>
      </c>
      <c r="E2266" s="5" t="s">
        <v>12496</v>
      </c>
      <c r="F2266" s="5" t="s">
        <v>12657</v>
      </c>
      <c r="G2266" s="5" t="s">
        <v>13410</v>
      </c>
      <c r="H2266" s="5" t="s">
        <v>12657</v>
      </c>
      <c r="I2266" s="5">
        <v>573003145207</v>
      </c>
      <c r="J2266" s="12">
        <v>46088</v>
      </c>
      <c r="K2266" s="11">
        <v>0</v>
      </c>
      <c r="M2266" s="10" t="s">
        <v>15594</v>
      </c>
      <c r="N2266" s="12">
        <v>46088</v>
      </c>
      <c r="O2266" s="10" t="s">
        <v>16654</v>
      </c>
      <c r="P2266" s="5" t="s">
        <v>14571</v>
      </c>
      <c r="Q2266" s="5" t="s">
        <v>14578</v>
      </c>
      <c r="R2266" s="5" t="s">
        <v>19908</v>
      </c>
      <c r="T2266" s="5" t="s">
        <v>5994</v>
      </c>
      <c r="U2266" s="5"/>
      <c r="V2266" s="5" t="s">
        <v>1705</v>
      </c>
      <c r="W2266" s="5"/>
    </row>
    <row r="2267" spans="1:23" ht="12.5">
      <c r="A2267" s="5">
        <v>92785</v>
      </c>
      <c r="B2267" s="5" t="s">
        <v>19909</v>
      </c>
      <c r="C2267" s="10" t="s">
        <v>19910</v>
      </c>
      <c r="D2267" s="5">
        <v>95</v>
      </c>
      <c r="E2267" s="5" t="s">
        <v>42</v>
      </c>
      <c r="F2267" s="5" t="s">
        <v>12657</v>
      </c>
      <c r="G2267" s="5" t="s">
        <v>2940</v>
      </c>
      <c r="H2267" s="5" t="s">
        <v>12657</v>
      </c>
      <c r="I2267" s="5">
        <v>573158063644</v>
      </c>
      <c r="J2267" s="12">
        <v>46088</v>
      </c>
      <c r="K2267" s="11">
        <v>0</v>
      </c>
      <c r="M2267" s="10" t="s">
        <v>15032</v>
      </c>
      <c r="N2267" s="12">
        <v>46088</v>
      </c>
      <c r="O2267" s="10" t="s">
        <v>16722</v>
      </c>
      <c r="P2267" s="5" t="s">
        <v>14571</v>
      </c>
      <c r="Q2267" s="5" t="s">
        <v>14612</v>
      </c>
      <c r="R2267" s="5" t="s">
        <v>19911</v>
      </c>
      <c r="T2267" s="5" t="s">
        <v>5994</v>
      </c>
      <c r="U2267" s="5"/>
      <c r="V2267" s="5" t="s">
        <v>1705</v>
      </c>
      <c r="W2267" s="5"/>
    </row>
    <row r="2268" spans="1:23" ht="12.5">
      <c r="A2268" s="5">
        <v>92786</v>
      </c>
      <c r="B2268" s="5" t="s">
        <v>19912</v>
      </c>
      <c r="C2268" s="5">
        <v>573160525021</v>
      </c>
      <c r="D2268" s="5" t="s">
        <v>19913</v>
      </c>
      <c r="E2268" s="5" t="s">
        <v>13407</v>
      </c>
      <c r="F2268" s="5" t="s">
        <v>265</v>
      </c>
      <c r="G2268" s="5" t="s">
        <v>13405</v>
      </c>
      <c r="H2268" s="5" t="s">
        <v>13406</v>
      </c>
      <c r="I2268" s="5">
        <v>573135492688</v>
      </c>
      <c r="J2268" s="12">
        <v>46089</v>
      </c>
      <c r="K2268" s="11">
        <v>0.375</v>
      </c>
      <c r="M2268" s="10" t="s">
        <v>18993</v>
      </c>
      <c r="N2268" s="12">
        <v>46088.531833472225</v>
      </c>
      <c r="O2268" s="10" t="s">
        <v>16313</v>
      </c>
      <c r="P2268" s="5" t="s">
        <v>14571</v>
      </c>
      <c r="Q2268" s="5" t="s">
        <v>14572</v>
      </c>
      <c r="R2268" s="5" t="s">
        <v>19914</v>
      </c>
      <c r="T2268" s="5" t="s">
        <v>5994</v>
      </c>
      <c r="U2268" s="5" t="s">
        <v>14691</v>
      </c>
      <c r="V2268" s="5" t="s">
        <v>12646</v>
      </c>
      <c r="W2268" s="5" t="s">
        <v>9771</v>
      </c>
    </row>
    <row r="2269" spans="1:23" ht="12.5">
      <c r="A2269" s="5">
        <v>92787</v>
      </c>
      <c r="B2269" s="5" t="s">
        <v>19915</v>
      </c>
      <c r="C2269" s="10" t="s">
        <v>19916</v>
      </c>
      <c r="D2269" s="5">
        <v>96</v>
      </c>
      <c r="E2269" s="5" t="s">
        <v>12651</v>
      </c>
      <c r="F2269" s="5" t="s">
        <v>13394</v>
      </c>
      <c r="G2269" s="5" t="s">
        <v>13393</v>
      </c>
      <c r="H2269" s="5" t="s">
        <v>13395</v>
      </c>
      <c r="I2269" s="5">
        <v>573213704751</v>
      </c>
      <c r="J2269" s="12">
        <v>46089</v>
      </c>
      <c r="K2269" s="11">
        <v>0</v>
      </c>
      <c r="M2269" s="10" t="s">
        <v>18158</v>
      </c>
      <c r="N2269" s="12">
        <v>46088</v>
      </c>
      <c r="O2269" s="10" t="s">
        <v>16011</v>
      </c>
      <c r="P2269" s="5" t="s">
        <v>14571</v>
      </c>
      <c r="Q2269" s="5" t="s">
        <v>16907</v>
      </c>
      <c r="R2269" s="5" t="s">
        <v>19917</v>
      </c>
      <c r="T2269" s="5" t="s">
        <v>5994</v>
      </c>
      <c r="U2269" s="5" t="s">
        <v>14691</v>
      </c>
      <c r="V2269" s="5" t="s">
        <v>12646</v>
      </c>
      <c r="W2269" s="5"/>
    </row>
    <row r="2270" spans="1:23" ht="12.5">
      <c r="A2270" s="5">
        <v>92788</v>
      </c>
      <c r="B2270" s="5" t="s">
        <v>19918</v>
      </c>
      <c r="C2270" s="10" t="s">
        <v>19919</v>
      </c>
      <c r="D2270" s="5">
        <v>62</v>
      </c>
      <c r="E2270" s="5" t="s">
        <v>12484</v>
      </c>
      <c r="F2270" s="5" t="s">
        <v>1272</v>
      </c>
      <c r="G2270" s="5" t="s">
        <v>13361</v>
      </c>
      <c r="H2270" s="5" t="s">
        <v>13362</v>
      </c>
      <c r="I2270" s="5">
        <v>573234155972</v>
      </c>
      <c r="J2270" s="12">
        <v>46088</v>
      </c>
      <c r="K2270" s="11">
        <v>0</v>
      </c>
      <c r="M2270" s="10" t="s">
        <v>15767</v>
      </c>
      <c r="N2270" s="12">
        <v>46088</v>
      </c>
      <c r="O2270" s="10" t="s">
        <v>15275</v>
      </c>
      <c r="P2270" s="5" t="s">
        <v>14571</v>
      </c>
      <c r="Q2270" s="5" t="s">
        <v>14572</v>
      </c>
      <c r="R2270" s="5" t="s">
        <v>19920</v>
      </c>
      <c r="T2270" s="5" t="s">
        <v>5994</v>
      </c>
      <c r="U2270" s="5" t="s">
        <v>14593</v>
      </c>
      <c r="V2270" s="5" t="s">
        <v>12646</v>
      </c>
      <c r="W2270" s="5"/>
    </row>
    <row r="2271" spans="1:23" ht="12.5">
      <c r="A2271" s="5">
        <v>92789</v>
      </c>
      <c r="B2271" s="5" t="s">
        <v>19921</v>
      </c>
      <c r="C2271" s="5">
        <v>573028631428</v>
      </c>
      <c r="D2271" s="5">
        <v>101</v>
      </c>
      <c r="E2271" s="5" t="s">
        <v>12724</v>
      </c>
      <c r="F2271" s="5" t="s">
        <v>73</v>
      </c>
      <c r="G2271" s="5" t="s">
        <v>13267</v>
      </c>
      <c r="H2271" s="5" t="s">
        <v>13268</v>
      </c>
      <c r="I2271" s="5">
        <v>573046790297</v>
      </c>
      <c r="J2271" s="12">
        <v>46089</v>
      </c>
      <c r="K2271" s="11">
        <v>0.375</v>
      </c>
      <c r="M2271" s="10" t="s">
        <v>15623</v>
      </c>
      <c r="N2271" s="12">
        <v>46088.43310130787</v>
      </c>
      <c r="O2271" s="10" t="s">
        <v>16200</v>
      </c>
      <c r="P2271" s="5" t="s">
        <v>14571</v>
      </c>
      <c r="Q2271" s="5" t="s">
        <v>14612</v>
      </c>
      <c r="R2271" s="5" t="s">
        <v>19922</v>
      </c>
      <c r="T2271" s="5" t="s">
        <v>5994</v>
      </c>
      <c r="U2271" s="5" t="s">
        <v>14593</v>
      </c>
      <c r="V2271" s="5" t="s">
        <v>1937</v>
      </c>
      <c r="W2271" s="5" t="s">
        <v>13271</v>
      </c>
    </row>
    <row r="2272" spans="1:23" ht="12.5">
      <c r="A2272" s="5">
        <v>92790</v>
      </c>
      <c r="B2272" s="5" t="s">
        <v>19923</v>
      </c>
      <c r="C2272" s="10" t="s">
        <v>19924</v>
      </c>
      <c r="D2272" s="5">
        <v>95</v>
      </c>
      <c r="E2272" s="5" t="s">
        <v>42</v>
      </c>
      <c r="F2272" s="5" t="s">
        <v>12657</v>
      </c>
      <c r="G2272" s="5" t="s">
        <v>13440</v>
      </c>
      <c r="H2272" s="5" t="s">
        <v>12657</v>
      </c>
      <c r="I2272" s="5">
        <v>573155605686</v>
      </c>
      <c r="J2272" s="12">
        <v>46088</v>
      </c>
      <c r="K2272" s="11">
        <v>0.75</v>
      </c>
      <c r="M2272" s="10" t="s">
        <v>14800</v>
      </c>
      <c r="N2272" s="12">
        <v>46088</v>
      </c>
      <c r="O2272" s="10" t="s">
        <v>16726</v>
      </c>
      <c r="P2272" s="5" t="s">
        <v>14571</v>
      </c>
      <c r="Q2272" s="5" t="s">
        <v>14578</v>
      </c>
      <c r="R2272" s="5" t="s">
        <v>19925</v>
      </c>
      <c r="T2272" s="5" t="s">
        <v>5994</v>
      </c>
      <c r="U2272" s="5"/>
      <c r="V2272" s="5" t="s">
        <v>1705</v>
      </c>
      <c r="W2272" s="5"/>
    </row>
    <row r="2273" spans="1:23" ht="12.5">
      <c r="A2273" s="5">
        <v>92791</v>
      </c>
      <c r="B2273" s="5" t="s">
        <v>19926</v>
      </c>
      <c r="C2273" s="10" t="s">
        <v>19927</v>
      </c>
      <c r="D2273" s="5" t="s">
        <v>19928</v>
      </c>
      <c r="E2273" s="5" t="s">
        <v>13424</v>
      </c>
      <c r="F2273" s="5" t="s">
        <v>2509</v>
      </c>
      <c r="G2273" s="5" t="s">
        <v>13422</v>
      </c>
      <c r="H2273" s="5" t="s">
        <v>13423</v>
      </c>
      <c r="I2273" s="5">
        <v>573156108580</v>
      </c>
      <c r="J2273" s="12">
        <v>46089</v>
      </c>
      <c r="K2273" s="11">
        <v>0.375</v>
      </c>
      <c r="M2273" s="10" t="s">
        <v>19929</v>
      </c>
      <c r="N2273" s="12">
        <v>46088</v>
      </c>
      <c r="O2273" s="10" t="s">
        <v>15864</v>
      </c>
      <c r="P2273" s="5" t="s">
        <v>14571</v>
      </c>
      <c r="Q2273" s="5" t="s">
        <v>17688</v>
      </c>
      <c r="R2273" s="5" t="s">
        <v>19930</v>
      </c>
      <c r="T2273" s="5" t="s">
        <v>5994</v>
      </c>
      <c r="U2273" s="5" t="s">
        <v>16770</v>
      </c>
      <c r="V2273" s="5" t="s">
        <v>12646</v>
      </c>
      <c r="W2273" s="5" t="s">
        <v>9771</v>
      </c>
    </row>
    <row r="2274" spans="1:23" ht="12.5">
      <c r="A2274" s="5">
        <v>92792</v>
      </c>
      <c r="B2274" s="5" t="s">
        <v>19926</v>
      </c>
      <c r="C2274" s="5">
        <v>573008641212</v>
      </c>
      <c r="D2274" s="5" t="s">
        <v>19931</v>
      </c>
      <c r="E2274" s="5" t="s">
        <v>13428</v>
      </c>
      <c r="F2274" s="5" t="s">
        <v>307</v>
      </c>
      <c r="G2274" s="5" t="s">
        <v>13426</v>
      </c>
      <c r="H2274" s="5" t="s">
        <v>13427</v>
      </c>
      <c r="I2274" s="5">
        <v>573013643949</v>
      </c>
      <c r="J2274" s="12">
        <v>46089</v>
      </c>
      <c r="K2274" s="11">
        <v>0.375</v>
      </c>
      <c r="M2274" s="10" t="s">
        <v>19932</v>
      </c>
      <c r="N2274" s="12">
        <v>46088.546393171295</v>
      </c>
      <c r="O2274" s="10" t="s">
        <v>15390</v>
      </c>
      <c r="P2274" s="5" t="s">
        <v>14571</v>
      </c>
      <c r="Q2274" s="5" t="s">
        <v>17688</v>
      </c>
      <c r="R2274" s="5" t="s">
        <v>19933</v>
      </c>
      <c r="T2274" s="5" t="s">
        <v>5994</v>
      </c>
      <c r="U2274" s="5" t="s">
        <v>14618</v>
      </c>
      <c r="V2274" s="5" t="s">
        <v>12646</v>
      </c>
      <c r="W2274" s="5" t="s">
        <v>13431</v>
      </c>
    </row>
    <row r="2275" spans="1:23" ht="12.5">
      <c r="A2275" s="5">
        <v>92793</v>
      </c>
      <c r="B2275" s="5" t="s">
        <v>19926</v>
      </c>
      <c r="C2275" s="5">
        <v>573008641212</v>
      </c>
      <c r="D2275" s="5">
        <v>105</v>
      </c>
      <c r="E2275" s="5" t="s">
        <v>12701</v>
      </c>
      <c r="F2275" s="5" t="s">
        <v>193</v>
      </c>
      <c r="G2275" s="5" t="s">
        <v>13432</v>
      </c>
      <c r="H2275" s="5" t="s">
        <v>13433</v>
      </c>
      <c r="I2275" s="5">
        <v>573008641212</v>
      </c>
      <c r="J2275" s="12">
        <v>46089</v>
      </c>
      <c r="K2275" s="11">
        <v>0.375</v>
      </c>
      <c r="M2275" s="10" t="s">
        <v>15019</v>
      </c>
      <c r="N2275" s="12">
        <v>46088.549068460648</v>
      </c>
      <c r="O2275" s="10" t="s">
        <v>15629</v>
      </c>
      <c r="P2275" s="5" t="s">
        <v>14571</v>
      </c>
      <c r="Q2275" s="5" t="s">
        <v>17404</v>
      </c>
      <c r="R2275" s="5" t="s">
        <v>19934</v>
      </c>
      <c r="T2275" s="5" t="s">
        <v>5994</v>
      </c>
      <c r="U2275" s="5" t="s">
        <v>14580</v>
      </c>
      <c r="V2275" s="5" t="s">
        <v>12646</v>
      </c>
      <c r="W2275" s="5" t="s">
        <v>9771</v>
      </c>
    </row>
    <row r="2276" spans="1:23" ht="12.5">
      <c r="A2276" s="5">
        <v>92794</v>
      </c>
      <c r="B2276" s="5" t="s">
        <v>19935</v>
      </c>
      <c r="C2276" s="5">
        <v>573012967965</v>
      </c>
      <c r="D2276" s="5">
        <v>51</v>
      </c>
      <c r="E2276" s="5" t="s">
        <v>13138</v>
      </c>
      <c r="F2276" s="5" t="s">
        <v>12657</v>
      </c>
      <c r="G2276" s="5" t="s">
        <v>13441</v>
      </c>
      <c r="H2276" s="5" t="s">
        <v>12657</v>
      </c>
      <c r="I2276" s="5">
        <v>573012967965</v>
      </c>
      <c r="J2276" s="12">
        <v>46088</v>
      </c>
      <c r="K2276" s="11">
        <v>0</v>
      </c>
      <c r="M2276" s="10" t="s">
        <v>14712</v>
      </c>
      <c r="N2276" s="12">
        <v>46088.561918287036</v>
      </c>
      <c r="O2276" s="10" t="s">
        <v>18086</v>
      </c>
      <c r="P2276" s="5" t="s">
        <v>14571</v>
      </c>
      <c r="Q2276" s="5" t="s">
        <v>17688</v>
      </c>
      <c r="R2276" s="5" t="s">
        <v>19936</v>
      </c>
      <c r="T2276" s="5" t="s">
        <v>5994</v>
      </c>
      <c r="U2276" s="5"/>
      <c r="V2276" s="5" t="s">
        <v>12646</v>
      </c>
      <c r="W2276" s="5"/>
    </row>
    <row r="2277" spans="1:23" ht="12.5">
      <c r="A2277" s="5">
        <v>92795</v>
      </c>
      <c r="B2277" s="5" t="s">
        <v>19937</v>
      </c>
      <c r="C2277" s="10" t="s">
        <v>19938</v>
      </c>
      <c r="D2277" s="5">
        <v>100</v>
      </c>
      <c r="E2277" s="5" t="s">
        <v>13447</v>
      </c>
      <c r="F2277" s="5" t="s">
        <v>11267</v>
      </c>
      <c r="G2277" s="5" t="s">
        <v>13445</v>
      </c>
      <c r="H2277" s="5" t="s">
        <v>13446</v>
      </c>
      <c r="I2277" s="5">
        <v>573006293387</v>
      </c>
      <c r="J2277" s="12">
        <v>46089</v>
      </c>
      <c r="K2277" s="11">
        <v>0.375</v>
      </c>
      <c r="M2277" s="10" t="s">
        <v>16003</v>
      </c>
      <c r="N2277" s="12">
        <v>46088</v>
      </c>
      <c r="O2277" s="10" t="s">
        <v>14727</v>
      </c>
      <c r="P2277" s="5" t="s">
        <v>14571</v>
      </c>
      <c r="Q2277" s="5" t="s">
        <v>14572</v>
      </c>
      <c r="R2277" s="5" t="s">
        <v>19939</v>
      </c>
      <c r="T2277" s="5" t="s">
        <v>5994</v>
      </c>
      <c r="U2277" s="5" t="s">
        <v>14691</v>
      </c>
      <c r="V2277" s="5" t="s">
        <v>12646</v>
      </c>
      <c r="W2277" s="5"/>
    </row>
    <row r="2278" spans="1:23" ht="12.5">
      <c r="A2278" s="5">
        <v>92796</v>
      </c>
      <c r="B2278" s="5" t="s">
        <v>19940</v>
      </c>
      <c r="C2278" s="5">
        <v>573008035220</v>
      </c>
      <c r="D2278" s="5">
        <v>52</v>
      </c>
      <c r="E2278" s="5" t="s">
        <v>12496</v>
      </c>
      <c r="F2278" s="5" t="s">
        <v>63</v>
      </c>
      <c r="G2278" s="5" t="s">
        <v>13437</v>
      </c>
      <c r="H2278" s="5" t="s">
        <v>13438</v>
      </c>
      <c r="I2278" s="5">
        <v>573188530000</v>
      </c>
      <c r="J2278" s="12">
        <v>46089</v>
      </c>
      <c r="K2278" s="11">
        <v>0</v>
      </c>
      <c r="M2278" s="10" t="s">
        <v>15157</v>
      </c>
      <c r="N2278" s="12">
        <v>46088.551886018518</v>
      </c>
      <c r="O2278" s="10" t="s">
        <v>15264</v>
      </c>
      <c r="P2278" s="5" t="s">
        <v>14571</v>
      </c>
      <c r="Q2278" s="5" t="s">
        <v>14572</v>
      </c>
      <c r="R2278" s="5" t="s">
        <v>19941</v>
      </c>
      <c r="T2278" s="5" t="s">
        <v>5994</v>
      </c>
      <c r="U2278" s="5" t="s">
        <v>14598</v>
      </c>
      <c r="V2278" s="5" t="s">
        <v>12646</v>
      </c>
      <c r="W2278" s="5"/>
    </row>
    <row r="2279" spans="1:23" ht="12.5">
      <c r="A2279" s="5">
        <v>92797</v>
      </c>
      <c r="B2279" s="5" t="s">
        <v>19942</v>
      </c>
      <c r="C2279" s="5">
        <v>573003839612</v>
      </c>
      <c r="D2279" s="5">
        <v>30</v>
      </c>
      <c r="E2279" s="5" t="s">
        <v>12844</v>
      </c>
      <c r="F2279" s="5" t="s">
        <v>9925</v>
      </c>
      <c r="G2279" s="5" t="s">
        <v>13451</v>
      </c>
      <c r="H2279" s="5" t="s">
        <v>13452</v>
      </c>
      <c r="I2279" s="5">
        <v>573003839612</v>
      </c>
      <c r="J2279" s="12">
        <v>46089</v>
      </c>
      <c r="K2279" s="11">
        <v>0</v>
      </c>
      <c r="M2279" s="10" t="s">
        <v>14792</v>
      </c>
      <c r="N2279" s="12">
        <v>46088.568618819445</v>
      </c>
      <c r="O2279" s="10" t="s">
        <v>14961</v>
      </c>
      <c r="P2279" s="5" t="s">
        <v>14571</v>
      </c>
      <c r="Q2279" s="5" t="s">
        <v>17990</v>
      </c>
      <c r="R2279" s="5" t="s">
        <v>19943</v>
      </c>
      <c r="T2279" s="5" t="s">
        <v>5994</v>
      </c>
      <c r="U2279" s="5" t="s">
        <v>14618</v>
      </c>
      <c r="V2279" s="5" t="s">
        <v>12646</v>
      </c>
      <c r="W2279" s="5"/>
    </row>
    <row r="2280" spans="1:23" ht="12.5">
      <c r="A2280" s="5">
        <v>92798</v>
      </c>
      <c r="B2280" s="5" t="s">
        <v>19944</v>
      </c>
      <c r="C2280" s="5">
        <v>573115904808</v>
      </c>
      <c r="D2280" s="5">
        <v>52</v>
      </c>
      <c r="E2280" s="5" t="s">
        <v>12496</v>
      </c>
      <c r="F2280" s="5" t="s">
        <v>265</v>
      </c>
      <c r="G2280" s="5" t="s">
        <v>13166</v>
      </c>
      <c r="H2280" s="5" t="s">
        <v>13167</v>
      </c>
      <c r="I2280" s="5">
        <v>573006048855</v>
      </c>
      <c r="J2280" s="12">
        <v>46088</v>
      </c>
      <c r="K2280" s="11">
        <v>0.125</v>
      </c>
      <c r="M2280" s="10" t="s">
        <v>15157</v>
      </c>
      <c r="N2280" s="12">
        <v>46087.961332245366</v>
      </c>
      <c r="O2280" s="10" t="s">
        <v>16141</v>
      </c>
      <c r="P2280" s="5" t="s">
        <v>14571</v>
      </c>
      <c r="Q2280" s="5" t="s">
        <v>17404</v>
      </c>
      <c r="R2280" s="5" t="s">
        <v>19945</v>
      </c>
      <c r="T2280" s="5" t="s">
        <v>5994</v>
      </c>
      <c r="U2280" s="5" t="s">
        <v>14691</v>
      </c>
      <c r="V2280" s="5" t="s">
        <v>12646</v>
      </c>
      <c r="W2280" s="5" t="s">
        <v>9771</v>
      </c>
    </row>
    <row r="2281" spans="1:23" ht="12.5">
      <c r="A2281" s="5">
        <v>92799</v>
      </c>
      <c r="B2281" s="5" t="s">
        <v>19946</v>
      </c>
      <c r="C2281" s="5">
        <v>573122002272</v>
      </c>
      <c r="D2281" s="5">
        <v>58</v>
      </c>
      <c r="E2281" s="5" t="s">
        <v>12728</v>
      </c>
      <c r="F2281" s="5" t="s">
        <v>1100</v>
      </c>
      <c r="G2281" s="5" t="s">
        <v>13456</v>
      </c>
      <c r="H2281" s="5" t="s">
        <v>13457</v>
      </c>
      <c r="I2281" s="5">
        <v>573013030081</v>
      </c>
      <c r="J2281" s="12">
        <v>46089</v>
      </c>
      <c r="K2281" s="11">
        <v>0</v>
      </c>
      <c r="M2281" s="10" t="s">
        <v>19947</v>
      </c>
      <c r="N2281" s="12">
        <v>46088.569620671296</v>
      </c>
      <c r="O2281" s="10" t="s">
        <v>19948</v>
      </c>
      <c r="P2281" s="5" t="s">
        <v>14571</v>
      </c>
      <c r="Q2281" s="5" t="s">
        <v>16907</v>
      </c>
      <c r="R2281" s="5" t="s">
        <v>19949</v>
      </c>
      <c r="T2281" s="5" t="s">
        <v>5994</v>
      </c>
      <c r="U2281" s="5" t="s">
        <v>14775</v>
      </c>
      <c r="V2281" s="5" t="s">
        <v>12646</v>
      </c>
      <c r="W2281" s="5"/>
    </row>
    <row r="2282" spans="1:23" ht="12.5">
      <c r="A2282" s="5">
        <v>92800</v>
      </c>
      <c r="B2282" s="5" t="s">
        <v>19950</v>
      </c>
      <c r="C2282" s="5">
        <v>573023514914</v>
      </c>
      <c r="D2282" s="5">
        <v>52</v>
      </c>
      <c r="E2282" s="5" t="s">
        <v>12496</v>
      </c>
      <c r="F2282" s="5" t="s">
        <v>630</v>
      </c>
      <c r="G2282" s="5" t="s">
        <v>13319</v>
      </c>
      <c r="H2282" s="5" t="s">
        <v>13320</v>
      </c>
      <c r="I2282" s="5">
        <v>573023514914</v>
      </c>
      <c r="J2282" s="12">
        <v>46088</v>
      </c>
      <c r="K2282" s="11">
        <v>0.58333333333212067</v>
      </c>
      <c r="M2282" s="10" t="s">
        <v>14599</v>
      </c>
      <c r="N2282" s="12">
        <v>46088.47359306713</v>
      </c>
      <c r="O2282" s="10" t="s">
        <v>17913</v>
      </c>
      <c r="P2282" s="5" t="s">
        <v>14571</v>
      </c>
      <c r="Q2282" s="5" t="s">
        <v>17990</v>
      </c>
      <c r="R2282" s="5" t="s">
        <v>19951</v>
      </c>
      <c r="T2282" s="5" t="s">
        <v>5994</v>
      </c>
      <c r="U2282" s="5" t="s">
        <v>14580</v>
      </c>
      <c r="V2282" s="5" t="s">
        <v>1937</v>
      </c>
      <c r="W2282" s="5"/>
    </row>
    <row r="2283" spans="1:23" ht="12.5">
      <c r="A2283" s="5">
        <v>92801</v>
      </c>
      <c r="B2283" s="5" t="s">
        <v>19127</v>
      </c>
      <c r="C2283" s="5">
        <v>573166212722</v>
      </c>
      <c r="D2283" s="5">
        <v>44</v>
      </c>
      <c r="E2283" s="5" t="s">
        <v>13483</v>
      </c>
      <c r="F2283" s="5" t="s">
        <v>12657</v>
      </c>
      <c r="G2283" s="5" t="s">
        <v>12073</v>
      </c>
      <c r="H2283" s="5" t="s">
        <v>12657</v>
      </c>
      <c r="I2283" s="5">
        <v>573166212722</v>
      </c>
      <c r="J2283" s="12">
        <v>46088</v>
      </c>
      <c r="K2283" s="11">
        <v>0</v>
      </c>
      <c r="M2283" s="10" t="s">
        <v>14646</v>
      </c>
      <c r="N2283" s="12">
        <v>46088.58294025463</v>
      </c>
      <c r="O2283" s="10" t="s">
        <v>17791</v>
      </c>
      <c r="P2283" s="5" t="s">
        <v>14571</v>
      </c>
      <c r="Q2283" s="5" t="s">
        <v>14572</v>
      </c>
      <c r="R2283" s="5" t="s">
        <v>19952</v>
      </c>
      <c r="T2283" s="5" t="s">
        <v>5994</v>
      </c>
      <c r="U2283" s="5"/>
      <c r="V2283" s="5" t="s">
        <v>67</v>
      </c>
      <c r="W2283" s="5"/>
    </row>
    <row r="2284" spans="1:23" ht="12.5">
      <c r="A2284" s="5">
        <v>92802</v>
      </c>
      <c r="B2284" s="5" t="s">
        <v>19953</v>
      </c>
      <c r="C2284" s="10" t="s">
        <v>19954</v>
      </c>
      <c r="D2284" s="5">
        <v>53</v>
      </c>
      <c r="E2284" s="5" t="s">
        <v>12423</v>
      </c>
      <c r="F2284" s="5" t="s">
        <v>9002</v>
      </c>
      <c r="G2284" s="5" t="s">
        <v>19955</v>
      </c>
      <c r="H2284" s="5" t="s">
        <v>13461</v>
      </c>
      <c r="I2284" s="5">
        <v>573144885016</v>
      </c>
      <c r="J2284" s="12">
        <v>46089</v>
      </c>
      <c r="K2284" s="11">
        <v>0.375</v>
      </c>
      <c r="M2284" s="10" t="s">
        <v>15585</v>
      </c>
      <c r="N2284" s="12">
        <v>46088</v>
      </c>
      <c r="O2284" s="10" t="s">
        <v>15797</v>
      </c>
      <c r="P2284" s="5" t="s">
        <v>14571</v>
      </c>
      <c r="Q2284" s="5" t="s">
        <v>17688</v>
      </c>
      <c r="R2284" s="5" t="s">
        <v>19956</v>
      </c>
      <c r="T2284" s="5" t="s">
        <v>5994</v>
      </c>
      <c r="U2284" s="5" t="s">
        <v>14775</v>
      </c>
      <c r="V2284" s="5" t="s">
        <v>12646</v>
      </c>
      <c r="W2284" s="5"/>
    </row>
    <row r="2285" spans="1:23" ht="12.5">
      <c r="A2285" s="5">
        <v>92803</v>
      </c>
      <c r="B2285" s="5" t="s">
        <v>19957</v>
      </c>
      <c r="C2285" s="5">
        <v>573004501900</v>
      </c>
      <c r="D2285" s="5">
        <v>70</v>
      </c>
      <c r="E2285" s="5" t="s">
        <v>12522</v>
      </c>
      <c r="F2285" s="5" t="s">
        <v>307</v>
      </c>
      <c r="G2285" s="5" t="s">
        <v>13412</v>
      </c>
      <c r="H2285" s="5" t="s">
        <v>13413</v>
      </c>
      <c r="I2285" s="5">
        <v>573012965404</v>
      </c>
      <c r="J2285" s="12">
        <v>46089</v>
      </c>
      <c r="K2285" s="11">
        <v>0</v>
      </c>
      <c r="M2285" s="10" t="s">
        <v>14653</v>
      </c>
      <c r="N2285" s="12">
        <v>46088.536055462959</v>
      </c>
      <c r="O2285" s="10" t="s">
        <v>15797</v>
      </c>
      <c r="P2285" s="5" t="s">
        <v>14571</v>
      </c>
      <c r="Q2285" s="5" t="s">
        <v>17404</v>
      </c>
      <c r="R2285" s="5" t="s">
        <v>19958</v>
      </c>
      <c r="T2285" s="5" t="s">
        <v>5994</v>
      </c>
      <c r="U2285" s="5" t="s">
        <v>14618</v>
      </c>
      <c r="V2285" s="5" t="s">
        <v>12646</v>
      </c>
      <c r="W2285" s="5"/>
    </row>
    <row r="2286" spans="1:23" ht="12.5">
      <c r="A2286" s="5">
        <v>92804</v>
      </c>
      <c r="B2286" s="5" t="s">
        <v>19959</v>
      </c>
      <c r="C2286" s="5">
        <v>573174870896</v>
      </c>
      <c r="D2286" s="5">
        <v>39</v>
      </c>
      <c r="E2286" s="5" t="s">
        <v>12437</v>
      </c>
      <c r="F2286" s="5" t="s">
        <v>124</v>
      </c>
      <c r="G2286" s="5" t="s">
        <v>13476</v>
      </c>
      <c r="H2286" s="5" t="s">
        <v>13477</v>
      </c>
      <c r="I2286" s="5">
        <v>573174870896</v>
      </c>
      <c r="J2286" s="12">
        <v>46089</v>
      </c>
      <c r="K2286" s="11">
        <v>0</v>
      </c>
      <c r="M2286" s="10" t="s">
        <v>15304</v>
      </c>
      <c r="N2286" s="12">
        <v>46088.579077523143</v>
      </c>
      <c r="O2286" s="10" t="s">
        <v>15944</v>
      </c>
      <c r="P2286" s="5" t="s">
        <v>14571</v>
      </c>
      <c r="Q2286" s="5" t="s">
        <v>14572</v>
      </c>
      <c r="R2286" s="5" t="s">
        <v>19960</v>
      </c>
      <c r="T2286" s="5" t="s">
        <v>5994</v>
      </c>
      <c r="U2286" s="5" t="s">
        <v>14775</v>
      </c>
      <c r="V2286" s="5" t="s">
        <v>12646</v>
      </c>
      <c r="W2286" s="5"/>
    </row>
    <row r="2287" spans="1:23" ht="12.5">
      <c r="A2287" s="5">
        <v>92805</v>
      </c>
      <c r="B2287" s="5" t="s">
        <v>19961</v>
      </c>
      <c r="C2287" s="5">
        <v>573015488453</v>
      </c>
      <c r="D2287" s="5">
        <v>53</v>
      </c>
      <c r="E2287" s="5" t="s">
        <v>12423</v>
      </c>
      <c r="F2287" s="5" t="s">
        <v>12657</v>
      </c>
      <c r="G2287" s="5" t="s">
        <v>13509</v>
      </c>
      <c r="H2287" s="5" t="s">
        <v>12657</v>
      </c>
      <c r="I2287" s="5">
        <v>573015488453</v>
      </c>
      <c r="J2287" s="12">
        <v>46088</v>
      </c>
      <c r="K2287" s="11">
        <v>0.58333333333212067</v>
      </c>
      <c r="M2287" s="10" t="s">
        <v>14585</v>
      </c>
      <c r="N2287" s="12">
        <v>46088.60477233796</v>
      </c>
      <c r="O2287" s="10" t="s">
        <v>18925</v>
      </c>
      <c r="P2287" s="5" t="s">
        <v>14571</v>
      </c>
      <c r="Q2287" s="5" t="s">
        <v>17404</v>
      </c>
      <c r="R2287" s="5" t="s">
        <v>19962</v>
      </c>
      <c r="T2287" s="5" t="s">
        <v>5994</v>
      </c>
      <c r="U2287" s="5"/>
      <c r="V2287" s="5" t="s">
        <v>37</v>
      </c>
      <c r="W2287" s="5">
        <v>2436013916</v>
      </c>
    </row>
    <row r="2288" spans="1:23" ht="12.5">
      <c r="A2288" s="5">
        <v>92806</v>
      </c>
      <c r="B2288" s="5" t="s">
        <v>19804</v>
      </c>
      <c r="C2288" s="10" t="s">
        <v>19963</v>
      </c>
      <c r="D2288" s="5">
        <v>29</v>
      </c>
      <c r="E2288" s="5" t="s">
        <v>12406</v>
      </c>
      <c r="F2288" s="5" t="s">
        <v>12657</v>
      </c>
      <c r="G2288" s="5" t="s">
        <v>13218</v>
      </c>
      <c r="H2288" s="5" t="s">
        <v>12657</v>
      </c>
      <c r="I2288" s="5">
        <v>573012136288</v>
      </c>
      <c r="J2288" s="12">
        <v>46088</v>
      </c>
      <c r="K2288" s="11">
        <v>0.64583333333333337</v>
      </c>
      <c r="M2288" s="10" t="s">
        <v>14627</v>
      </c>
      <c r="N2288" s="12">
        <v>46088</v>
      </c>
      <c r="O2288" s="10" t="s">
        <v>15801</v>
      </c>
      <c r="P2288" s="5" t="s">
        <v>14571</v>
      </c>
      <c r="Q2288" s="5" t="s">
        <v>14612</v>
      </c>
      <c r="R2288" s="5" t="s">
        <v>19964</v>
      </c>
      <c r="T2288" s="5" t="s">
        <v>5994</v>
      </c>
      <c r="U2288" s="5"/>
      <c r="V2288" s="5" t="s">
        <v>12646</v>
      </c>
      <c r="W2288" s="5"/>
    </row>
    <row r="2289" spans="1:23" ht="12.5">
      <c r="A2289" s="5">
        <v>92807</v>
      </c>
      <c r="B2289" s="5" t="s">
        <v>19965</v>
      </c>
      <c r="C2289" s="10" t="s">
        <v>19966</v>
      </c>
      <c r="D2289" s="5">
        <v>104</v>
      </c>
      <c r="E2289" s="5" t="s">
        <v>12673</v>
      </c>
      <c r="F2289" s="5" t="s">
        <v>249</v>
      </c>
      <c r="G2289" s="5" t="s">
        <v>19967</v>
      </c>
      <c r="H2289" s="5" t="s">
        <v>13498</v>
      </c>
      <c r="I2289" s="5">
        <v>573012157433</v>
      </c>
      <c r="J2289" s="12">
        <v>46089</v>
      </c>
      <c r="K2289" s="11">
        <v>0</v>
      </c>
      <c r="M2289" s="10" t="s">
        <v>14649</v>
      </c>
      <c r="N2289" s="12">
        <v>46088</v>
      </c>
      <c r="O2289" s="10" t="s">
        <v>16024</v>
      </c>
      <c r="P2289" s="5" t="s">
        <v>14571</v>
      </c>
      <c r="Q2289" s="5" t="s">
        <v>14572</v>
      </c>
      <c r="R2289" s="5" t="s">
        <v>19968</v>
      </c>
      <c r="T2289" s="5" t="s">
        <v>5994</v>
      </c>
      <c r="U2289" s="5" t="s">
        <v>14593</v>
      </c>
      <c r="V2289" s="5" t="s">
        <v>12646</v>
      </c>
      <c r="W2289" s="5" t="s">
        <v>13501</v>
      </c>
    </row>
    <row r="2290" spans="1:23" ht="12.5">
      <c r="A2290" s="5">
        <v>92808</v>
      </c>
      <c r="B2290" s="5" t="s">
        <v>19969</v>
      </c>
      <c r="C2290" s="10" t="s">
        <v>19970</v>
      </c>
      <c r="D2290" s="5" t="s">
        <v>19971</v>
      </c>
      <c r="E2290" s="5" t="s">
        <v>13419</v>
      </c>
      <c r="F2290" s="5" t="s">
        <v>2090</v>
      </c>
      <c r="G2290" s="5" t="s">
        <v>13420</v>
      </c>
      <c r="H2290" s="5" t="s">
        <v>13418</v>
      </c>
      <c r="I2290" s="5">
        <v>573145630549</v>
      </c>
      <c r="J2290" s="12">
        <v>46089</v>
      </c>
      <c r="K2290" s="11">
        <v>0.33333333333333331</v>
      </c>
      <c r="M2290" s="10" t="s">
        <v>19972</v>
      </c>
      <c r="N2290" s="12">
        <v>46088</v>
      </c>
      <c r="O2290" s="10" t="s">
        <v>19973</v>
      </c>
      <c r="P2290" s="5" t="s">
        <v>14571</v>
      </c>
      <c r="Q2290" s="5" t="s">
        <v>14578</v>
      </c>
      <c r="R2290" s="5" t="s">
        <v>19974</v>
      </c>
      <c r="T2290" s="5" t="s">
        <v>5994</v>
      </c>
      <c r="U2290" s="5" t="s">
        <v>14618</v>
      </c>
      <c r="V2290" s="5" t="s">
        <v>67</v>
      </c>
      <c r="W2290" s="5" t="s">
        <v>13421</v>
      </c>
    </row>
    <row r="2291" spans="1:23" ht="12.5">
      <c r="A2291" s="5">
        <v>92809</v>
      </c>
      <c r="B2291" s="5" t="s">
        <v>19975</v>
      </c>
      <c r="C2291" s="5">
        <v>53383245895338</v>
      </c>
      <c r="D2291" s="5">
        <v>30</v>
      </c>
      <c r="E2291" s="5" t="s">
        <v>12844</v>
      </c>
      <c r="F2291" s="5" t="s">
        <v>6692</v>
      </c>
      <c r="G2291" s="5" t="s">
        <v>13492</v>
      </c>
      <c r="H2291" s="5" t="s">
        <v>13493</v>
      </c>
      <c r="I2291" s="5">
        <v>573245895338</v>
      </c>
      <c r="J2291" s="12">
        <v>46089</v>
      </c>
      <c r="K2291" s="11">
        <v>0</v>
      </c>
      <c r="M2291" s="10" t="s">
        <v>14705</v>
      </c>
      <c r="N2291" s="12">
        <v>46088.589383495375</v>
      </c>
      <c r="O2291" s="10" t="s">
        <v>15249</v>
      </c>
      <c r="P2291" s="5" t="s">
        <v>14571</v>
      </c>
      <c r="Q2291" s="5" t="s">
        <v>17688</v>
      </c>
      <c r="R2291" s="5" t="s">
        <v>19976</v>
      </c>
      <c r="T2291" s="5" t="s">
        <v>5994</v>
      </c>
      <c r="U2291" s="5" t="s">
        <v>14580</v>
      </c>
      <c r="V2291" s="5" t="s">
        <v>12646</v>
      </c>
      <c r="W2291" s="5"/>
    </row>
    <row r="2292" spans="1:23" ht="12.5">
      <c r="A2292" s="5">
        <v>92810</v>
      </c>
      <c r="B2292" s="5" t="s">
        <v>19977</v>
      </c>
      <c r="C2292" s="5">
        <v>573106831128</v>
      </c>
      <c r="D2292" s="5" t="s">
        <v>19978</v>
      </c>
      <c r="E2292" s="5" t="s">
        <v>13531</v>
      </c>
      <c r="F2292" s="5" t="s">
        <v>185</v>
      </c>
      <c r="G2292" s="5" t="s">
        <v>13529</v>
      </c>
      <c r="H2292" s="5" t="s">
        <v>13530</v>
      </c>
      <c r="I2292" s="5"/>
      <c r="J2292" s="12">
        <v>46089</v>
      </c>
      <c r="K2292" s="11">
        <v>0.29166666666787933</v>
      </c>
      <c r="M2292" s="10" t="s">
        <v>15140</v>
      </c>
      <c r="N2292" s="12">
        <v>46088.621598124999</v>
      </c>
      <c r="O2292" s="10" t="s">
        <v>15550</v>
      </c>
      <c r="P2292" s="5" t="s">
        <v>14571</v>
      </c>
      <c r="Q2292" s="5" t="s">
        <v>14572</v>
      </c>
      <c r="R2292" s="5" t="s">
        <v>19979</v>
      </c>
      <c r="T2292" s="5" t="s">
        <v>5994</v>
      </c>
      <c r="U2292" s="5" t="s">
        <v>14580</v>
      </c>
      <c r="V2292" s="5" t="s">
        <v>1705</v>
      </c>
      <c r="W2292" s="5" t="s">
        <v>13532</v>
      </c>
    </row>
    <row r="2293" spans="1:23" ht="12.5">
      <c r="A2293" s="5">
        <v>92811</v>
      </c>
      <c r="B2293" s="5" t="s">
        <v>19980</v>
      </c>
      <c r="C2293" s="10" t="s">
        <v>19981</v>
      </c>
      <c r="D2293" s="5" t="s">
        <v>19982</v>
      </c>
      <c r="E2293" s="5" t="s">
        <v>13472</v>
      </c>
      <c r="F2293" s="5" t="s">
        <v>79</v>
      </c>
      <c r="G2293" s="5" t="s">
        <v>19983</v>
      </c>
      <c r="H2293" s="5" t="s">
        <v>13471</v>
      </c>
      <c r="I2293" s="5">
        <v>573112969038</v>
      </c>
      <c r="J2293" s="12">
        <v>46089</v>
      </c>
      <c r="K2293" s="11">
        <v>0.375</v>
      </c>
      <c r="M2293" s="10" t="s">
        <v>15859</v>
      </c>
      <c r="N2293" s="12">
        <v>46088</v>
      </c>
      <c r="O2293" s="10" t="s">
        <v>16971</v>
      </c>
      <c r="P2293" s="5" t="s">
        <v>14571</v>
      </c>
      <c r="Q2293" s="5" t="s">
        <v>14572</v>
      </c>
      <c r="R2293" s="5" t="s">
        <v>19984</v>
      </c>
      <c r="T2293" s="5" t="s">
        <v>5994</v>
      </c>
      <c r="U2293" s="5" t="s">
        <v>14593</v>
      </c>
      <c r="V2293" s="5" t="s">
        <v>12646</v>
      </c>
      <c r="W2293" s="5"/>
    </row>
    <row r="2294" spans="1:23" ht="12.5">
      <c r="A2294" s="5">
        <v>92812</v>
      </c>
      <c r="B2294" s="5" t="s">
        <v>19985</v>
      </c>
      <c r="C2294" s="5">
        <v>50497268800</v>
      </c>
      <c r="D2294" s="5" t="s">
        <v>19986</v>
      </c>
      <c r="E2294" s="5" t="s">
        <v>13468</v>
      </c>
      <c r="F2294" s="5" t="s">
        <v>63</v>
      </c>
      <c r="G2294" s="5" t="s">
        <v>13466</v>
      </c>
      <c r="H2294" s="5" t="s">
        <v>13467</v>
      </c>
      <c r="I2294" s="5">
        <v>573217513907</v>
      </c>
      <c r="J2294" s="12">
        <v>46089</v>
      </c>
      <c r="K2294" s="11">
        <v>0</v>
      </c>
      <c r="M2294" s="10" t="s">
        <v>19987</v>
      </c>
      <c r="N2294" s="12">
        <v>46088.573500497689</v>
      </c>
      <c r="O2294" s="10" t="s">
        <v>15556</v>
      </c>
      <c r="P2294" s="5" t="s">
        <v>14571</v>
      </c>
      <c r="Q2294" s="5" t="s">
        <v>14612</v>
      </c>
      <c r="R2294" s="5" t="s">
        <v>19988</v>
      </c>
      <c r="T2294" s="5" t="s">
        <v>5994</v>
      </c>
      <c r="U2294" s="5" t="s">
        <v>14598</v>
      </c>
      <c r="V2294" s="5" t="s">
        <v>1705</v>
      </c>
      <c r="W2294" s="5"/>
    </row>
    <row r="2295" spans="1:23" ht="12.5">
      <c r="A2295" s="5">
        <v>92813</v>
      </c>
      <c r="B2295" s="5" t="s">
        <v>19989</v>
      </c>
      <c r="C2295" s="10" t="s">
        <v>19990</v>
      </c>
      <c r="D2295" s="5">
        <v>44</v>
      </c>
      <c r="E2295" s="5" t="s">
        <v>13483</v>
      </c>
      <c r="F2295" s="5" t="s">
        <v>249</v>
      </c>
      <c r="G2295" s="5" t="s">
        <v>13517</v>
      </c>
      <c r="H2295" s="5" t="s">
        <v>13518</v>
      </c>
      <c r="I2295" s="5">
        <v>573002789561</v>
      </c>
      <c r="J2295" s="12">
        <v>46088</v>
      </c>
      <c r="K2295" s="11">
        <v>0.66666666666666663</v>
      </c>
      <c r="M2295" s="10" t="s">
        <v>15384</v>
      </c>
      <c r="N2295" s="12">
        <v>46088</v>
      </c>
      <c r="O2295" s="10" t="s">
        <v>18505</v>
      </c>
      <c r="P2295" s="5" t="s">
        <v>14571</v>
      </c>
      <c r="Q2295" s="5" t="s">
        <v>14612</v>
      </c>
      <c r="R2295" s="5" t="s">
        <v>19991</v>
      </c>
      <c r="T2295" s="5" t="s">
        <v>5994</v>
      </c>
      <c r="U2295" s="5" t="s">
        <v>14593</v>
      </c>
      <c r="V2295" s="5" t="s">
        <v>12646</v>
      </c>
      <c r="W2295" s="5"/>
    </row>
    <row r="2296" spans="1:23" ht="12.5">
      <c r="A2296" s="5">
        <v>92814</v>
      </c>
      <c r="B2296" s="5" t="s">
        <v>19992</v>
      </c>
      <c r="C2296" s="5">
        <v>573134009314</v>
      </c>
      <c r="D2296" s="5">
        <v>39</v>
      </c>
      <c r="E2296" s="5" t="s">
        <v>12437</v>
      </c>
      <c r="F2296" s="5" t="s">
        <v>1317</v>
      </c>
      <c r="G2296" s="5" t="s">
        <v>13539</v>
      </c>
      <c r="H2296" s="5" t="s">
        <v>13540</v>
      </c>
      <c r="I2296" s="5">
        <v>573134009314</v>
      </c>
      <c r="J2296" s="12">
        <v>46089</v>
      </c>
      <c r="K2296" s="11">
        <v>0.41666666666787933</v>
      </c>
      <c r="M2296" s="10" t="s">
        <v>15304</v>
      </c>
      <c r="N2296" s="12">
        <v>46088.627132719907</v>
      </c>
      <c r="O2296" s="10" t="s">
        <v>14833</v>
      </c>
      <c r="P2296" s="5" t="s">
        <v>14571</v>
      </c>
      <c r="Q2296" s="5" t="s">
        <v>17404</v>
      </c>
      <c r="R2296" s="5" t="s">
        <v>19993</v>
      </c>
      <c r="T2296" s="5" t="s">
        <v>5994</v>
      </c>
      <c r="U2296" s="5" t="s">
        <v>15349</v>
      </c>
      <c r="V2296" s="5" t="s">
        <v>12646</v>
      </c>
      <c r="W2296" s="5" t="s">
        <v>9612</v>
      </c>
    </row>
    <row r="2297" spans="1:23" ht="12.5">
      <c r="A2297" s="5">
        <v>92815</v>
      </c>
      <c r="B2297" s="5" t="s">
        <v>19373</v>
      </c>
      <c r="C2297" s="5">
        <v>573174391102</v>
      </c>
      <c r="D2297" s="5">
        <v>105</v>
      </c>
      <c r="E2297" s="5" t="s">
        <v>12701</v>
      </c>
      <c r="F2297" s="5" t="s">
        <v>79</v>
      </c>
      <c r="G2297" s="5" t="s">
        <v>13524</v>
      </c>
      <c r="H2297" s="5" t="s">
        <v>13525</v>
      </c>
      <c r="I2297" s="5">
        <v>573116828393</v>
      </c>
      <c r="J2297" s="12">
        <v>46089</v>
      </c>
      <c r="K2297" s="11">
        <v>0.41666666666787933</v>
      </c>
      <c r="M2297" s="10" t="s">
        <v>15384</v>
      </c>
      <c r="N2297" s="12">
        <v>46088.610561331021</v>
      </c>
      <c r="O2297" s="10" t="s">
        <v>17924</v>
      </c>
      <c r="P2297" s="5" t="s">
        <v>14571</v>
      </c>
      <c r="Q2297" s="5" t="s">
        <v>17404</v>
      </c>
      <c r="R2297" s="5" t="s">
        <v>19994</v>
      </c>
      <c r="T2297" s="5" t="s">
        <v>5994</v>
      </c>
      <c r="U2297" s="5" t="s">
        <v>14593</v>
      </c>
      <c r="V2297" s="5" t="s">
        <v>12646</v>
      </c>
      <c r="W2297" s="5"/>
    </row>
    <row r="2298" spans="1:23" ht="12.5">
      <c r="A2298" s="5">
        <v>92816</v>
      </c>
      <c r="B2298" s="5" t="s">
        <v>19514</v>
      </c>
      <c r="C2298" s="10" t="s">
        <v>19995</v>
      </c>
      <c r="D2298" s="5">
        <v>95</v>
      </c>
      <c r="E2298" s="5" t="s">
        <v>42</v>
      </c>
      <c r="F2298" s="5" t="s">
        <v>12657</v>
      </c>
      <c r="G2298" s="5" t="s">
        <v>12718</v>
      </c>
      <c r="H2298" s="5" t="s">
        <v>12657</v>
      </c>
      <c r="I2298" s="5">
        <v>573014785425</v>
      </c>
      <c r="J2298" s="12">
        <v>46088</v>
      </c>
      <c r="K2298" s="11">
        <v>0</v>
      </c>
      <c r="M2298" s="10" t="s">
        <v>14863</v>
      </c>
      <c r="N2298" s="12">
        <v>46088</v>
      </c>
      <c r="O2298" s="10" t="s">
        <v>17262</v>
      </c>
      <c r="P2298" s="5" t="s">
        <v>14571</v>
      </c>
      <c r="Q2298" s="5" t="s">
        <v>17688</v>
      </c>
      <c r="R2298" s="5" t="s">
        <v>19996</v>
      </c>
      <c r="T2298" s="5" t="s">
        <v>5994</v>
      </c>
      <c r="U2298" s="5"/>
      <c r="V2298" s="5" t="s">
        <v>1705</v>
      </c>
      <c r="W2298" s="5"/>
    </row>
    <row r="2299" spans="1:23" ht="12.5">
      <c r="A2299" s="5">
        <v>92817</v>
      </c>
      <c r="B2299" s="5" t="s">
        <v>19997</v>
      </c>
      <c r="C2299" s="5">
        <v>573118234583</v>
      </c>
      <c r="D2299" s="5">
        <v>95</v>
      </c>
      <c r="E2299" s="5" t="s">
        <v>42</v>
      </c>
      <c r="F2299" s="5" t="s">
        <v>12657</v>
      </c>
      <c r="G2299" s="5" t="s">
        <v>13520</v>
      </c>
      <c r="H2299" s="5" t="s">
        <v>12657</v>
      </c>
      <c r="I2299" s="5">
        <v>573118234583</v>
      </c>
      <c r="J2299" s="12">
        <v>46088</v>
      </c>
      <c r="K2299" s="11">
        <v>0.70833333333212067</v>
      </c>
      <c r="M2299" s="10" t="s">
        <v>2686</v>
      </c>
      <c r="N2299" s="12">
        <v>46088.609111087964</v>
      </c>
      <c r="O2299" s="10" t="s">
        <v>19998</v>
      </c>
      <c r="P2299" s="5" t="s">
        <v>14571</v>
      </c>
      <c r="Q2299" s="5" t="s">
        <v>14572</v>
      </c>
      <c r="R2299" s="5" t="s">
        <v>19999</v>
      </c>
      <c r="T2299" s="5" t="s">
        <v>5994</v>
      </c>
      <c r="U2299" s="5"/>
      <c r="V2299" s="5" t="s">
        <v>12646</v>
      </c>
      <c r="W2299" s="5" t="s">
        <v>13523</v>
      </c>
    </row>
    <row r="2300" spans="1:23" ht="12.5">
      <c r="A2300" s="5">
        <v>92818</v>
      </c>
      <c r="B2300" s="5" t="s">
        <v>19132</v>
      </c>
      <c r="C2300" s="5">
        <v>573043190657</v>
      </c>
      <c r="D2300" s="5">
        <v>95</v>
      </c>
      <c r="E2300" s="5" t="s">
        <v>42</v>
      </c>
      <c r="F2300" s="5" t="s">
        <v>12657</v>
      </c>
      <c r="G2300" s="5" t="s">
        <v>13566</v>
      </c>
      <c r="H2300" s="5" t="s">
        <v>12657</v>
      </c>
      <c r="I2300" s="5">
        <v>573043190657</v>
      </c>
      <c r="J2300" s="12">
        <v>46088</v>
      </c>
      <c r="K2300" s="11">
        <v>0</v>
      </c>
      <c r="M2300" s="10" t="s">
        <v>16519</v>
      </c>
      <c r="N2300" s="12">
        <v>46088.642653842588</v>
      </c>
      <c r="O2300" s="10" t="s">
        <v>16925</v>
      </c>
      <c r="P2300" s="5" t="s">
        <v>14571</v>
      </c>
      <c r="Q2300" s="5" t="s">
        <v>16907</v>
      </c>
      <c r="R2300" s="5" t="s">
        <v>20000</v>
      </c>
      <c r="T2300" s="5" t="s">
        <v>5994</v>
      </c>
      <c r="U2300" s="5"/>
      <c r="V2300" s="5" t="s">
        <v>1481</v>
      </c>
      <c r="W2300" s="5"/>
    </row>
    <row r="2301" spans="1:23" ht="12.5">
      <c r="A2301" s="5">
        <v>92819</v>
      </c>
      <c r="B2301" s="5" t="s">
        <v>20001</v>
      </c>
      <c r="C2301" s="10" t="s">
        <v>20002</v>
      </c>
      <c r="D2301" s="5" t="s">
        <v>19574</v>
      </c>
      <c r="E2301" s="5" t="s">
        <v>12814</v>
      </c>
      <c r="F2301" s="5" t="s">
        <v>265</v>
      </c>
      <c r="G2301" s="5" t="s">
        <v>20003</v>
      </c>
      <c r="H2301" s="5" t="s">
        <v>13489</v>
      </c>
      <c r="I2301" s="5">
        <v>573243087390</v>
      </c>
      <c r="J2301" s="12">
        <v>46088</v>
      </c>
      <c r="K2301" s="11">
        <v>0.70833333333333337</v>
      </c>
      <c r="M2301" s="10" t="s">
        <v>16274</v>
      </c>
      <c r="N2301" s="12">
        <v>46088</v>
      </c>
      <c r="O2301" s="10" t="s">
        <v>14941</v>
      </c>
      <c r="P2301" s="5" t="s">
        <v>14571</v>
      </c>
      <c r="Q2301" s="5" t="s">
        <v>14578</v>
      </c>
      <c r="R2301" s="5" t="s">
        <v>20004</v>
      </c>
      <c r="T2301" s="5" t="s">
        <v>5994</v>
      </c>
      <c r="U2301" s="5" t="s">
        <v>14691</v>
      </c>
      <c r="V2301" s="5" t="s">
        <v>12646</v>
      </c>
      <c r="W2301" s="5"/>
    </row>
    <row r="2302" spans="1:23" ht="12.5">
      <c r="A2302" s="5">
        <v>92820</v>
      </c>
      <c r="B2302" s="5" t="s">
        <v>20005</v>
      </c>
      <c r="C2302" s="5">
        <v>573016673824</v>
      </c>
      <c r="D2302" s="5" t="s">
        <v>14589</v>
      </c>
      <c r="E2302" s="5" t="s">
        <v>13547</v>
      </c>
      <c r="F2302" s="5" t="s">
        <v>146</v>
      </c>
      <c r="G2302" s="5" t="s">
        <v>13545</v>
      </c>
      <c r="H2302" s="5" t="s">
        <v>13546</v>
      </c>
      <c r="I2302" s="5">
        <v>573016673824</v>
      </c>
      <c r="J2302" s="12">
        <v>46089</v>
      </c>
      <c r="K2302" s="11">
        <v>0.29166666666787933</v>
      </c>
      <c r="M2302" s="10" t="s">
        <v>14595</v>
      </c>
      <c r="N2302" s="12">
        <v>46088.630827824076</v>
      </c>
      <c r="O2302" s="10" t="s">
        <v>18124</v>
      </c>
      <c r="P2302" s="5" t="s">
        <v>14571</v>
      </c>
      <c r="Q2302" s="5" t="s">
        <v>17404</v>
      </c>
      <c r="R2302" s="5" t="s">
        <v>20006</v>
      </c>
      <c r="T2302" s="5" t="s">
        <v>5994</v>
      </c>
      <c r="U2302" s="5" t="s">
        <v>14618</v>
      </c>
      <c r="V2302" s="5" t="s">
        <v>12646</v>
      </c>
      <c r="W2302" s="5" t="s">
        <v>13550</v>
      </c>
    </row>
    <row r="2303" spans="1:23" ht="12.5">
      <c r="A2303" s="5">
        <v>92821</v>
      </c>
      <c r="B2303" s="5" t="s">
        <v>20007</v>
      </c>
      <c r="C2303" s="10" t="s">
        <v>20008</v>
      </c>
      <c r="D2303" s="5">
        <v>95</v>
      </c>
      <c r="E2303" s="5" t="s">
        <v>42</v>
      </c>
      <c r="F2303" s="5" t="s">
        <v>33</v>
      </c>
      <c r="G2303" s="5" t="s">
        <v>13576</v>
      </c>
      <c r="H2303" s="5" t="s">
        <v>49</v>
      </c>
      <c r="I2303" s="5">
        <v>573242814915</v>
      </c>
      <c r="J2303" s="12">
        <v>46088</v>
      </c>
      <c r="K2303" s="11">
        <v>0.16666666666666666</v>
      </c>
      <c r="M2303" s="10" t="s">
        <v>14585</v>
      </c>
      <c r="N2303" s="12">
        <v>46088</v>
      </c>
      <c r="O2303" s="10" t="s">
        <v>16477</v>
      </c>
      <c r="P2303" s="5" t="s">
        <v>14571</v>
      </c>
      <c r="Q2303" s="5" t="s">
        <v>17404</v>
      </c>
      <c r="R2303" s="5" t="s">
        <v>20009</v>
      </c>
      <c r="T2303" s="5" t="s">
        <v>14574</v>
      </c>
      <c r="U2303" s="5" t="s">
        <v>33</v>
      </c>
      <c r="V2303" s="5" t="s">
        <v>1705</v>
      </c>
      <c r="W2303" s="5" t="s">
        <v>13578</v>
      </c>
    </row>
    <row r="2304" spans="1:23" ht="12.5">
      <c r="A2304" s="5">
        <v>92822</v>
      </c>
      <c r="B2304" s="5" t="s">
        <v>20010</v>
      </c>
      <c r="C2304" s="5">
        <v>573126606039</v>
      </c>
      <c r="D2304" s="5">
        <v>21</v>
      </c>
      <c r="E2304" s="5" t="s">
        <v>12924</v>
      </c>
      <c r="F2304" s="5" t="s">
        <v>103</v>
      </c>
      <c r="G2304" s="5" t="s">
        <v>13534</v>
      </c>
      <c r="H2304" s="5" t="s">
        <v>13535</v>
      </c>
      <c r="I2304" s="5">
        <v>573173312315</v>
      </c>
      <c r="J2304" s="12">
        <v>46089</v>
      </c>
      <c r="K2304" s="11">
        <v>0.41666666666787933</v>
      </c>
      <c r="M2304" s="10" t="s">
        <v>14777</v>
      </c>
      <c r="N2304" s="12">
        <v>46088.626691412035</v>
      </c>
      <c r="O2304" s="10" t="s">
        <v>15882</v>
      </c>
      <c r="P2304" s="5" t="s">
        <v>14571</v>
      </c>
      <c r="Q2304" s="5" t="s">
        <v>14572</v>
      </c>
      <c r="R2304" s="5" t="s">
        <v>20011</v>
      </c>
      <c r="T2304" s="5" t="s">
        <v>5994</v>
      </c>
      <c r="U2304" s="5" t="s">
        <v>14593</v>
      </c>
      <c r="V2304" s="5" t="s">
        <v>12646</v>
      </c>
      <c r="W2304" s="5" t="s">
        <v>9771</v>
      </c>
    </row>
    <row r="2305" spans="1:23" ht="12.5">
      <c r="A2305" s="5">
        <v>92823</v>
      </c>
      <c r="B2305" s="5" t="s">
        <v>20012</v>
      </c>
      <c r="C2305" s="10" t="s">
        <v>20013</v>
      </c>
      <c r="D2305" s="5" t="s">
        <v>20014</v>
      </c>
      <c r="E2305" s="5" t="s">
        <v>13563</v>
      </c>
      <c r="F2305" s="5" t="s">
        <v>265</v>
      </c>
      <c r="G2305" s="5" t="s">
        <v>13561</v>
      </c>
      <c r="H2305" s="5" t="s">
        <v>13562</v>
      </c>
      <c r="I2305" s="5">
        <v>573223885721</v>
      </c>
      <c r="J2305" s="12">
        <v>46089</v>
      </c>
      <c r="K2305" s="11">
        <v>0.41666666666666669</v>
      </c>
      <c r="M2305" s="10" t="s">
        <v>17993</v>
      </c>
      <c r="N2305" s="12">
        <v>46088</v>
      </c>
      <c r="O2305" s="10" t="s">
        <v>15054</v>
      </c>
      <c r="P2305" s="5" t="s">
        <v>14571</v>
      </c>
      <c r="Q2305" s="5" t="s">
        <v>14612</v>
      </c>
      <c r="R2305" s="5" t="s">
        <v>20015</v>
      </c>
      <c r="T2305" s="5" t="s">
        <v>5994</v>
      </c>
      <c r="U2305" s="5" t="s">
        <v>14691</v>
      </c>
      <c r="V2305" s="5" t="s">
        <v>12646</v>
      </c>
      <c r="W2305" s="5" t="s">
        <v>13565</v>
      </c>
    </row>
    <row r="2306" spans="1:23" ht="12.5">
      <c r="A2306" s="5">
        <v>92824</v>
      </c>
      <c r="B2306" s="5" t="s">
        <v>20016</v>
      </c>
      <c r="C2306" s="5">
        <v>573124484094</v>
      </c>
      <c r="D2306" s="5" t="s">
        <v>20017</v>
      </c>
      <c r="E2306" s="5" t="s">
        <v>13554</v>
      </c>
      <c r="F2306" s="5" t="s">
        <v>7476</v>
      </c>
      <c r="G2306" s="5" t="s">
        <v>13552</v>
      </c>
      <c r="H2306" s="5" t="s">
        <v>13553</v>
      </c>
      <c r="I2306" s="5">
        <v>573114473491</v>
      </c>
      <c r="J2306" s="12">
        <v>46089</v>
      </c>
      <c r="K2306" s="11">
        <v>0.375</v>
      </c>
      <c r="M2306" s="10" t="s">
        <v>19299</v>
      </c>
      <c r="N2306" s="12">
        <v>46088.631320347224</v>
      </c>
      <c r="O2306" s="10" t="s">
        <v>15887</v>
      </c>
      <c r="P2306" s="5" t="s">
        <v>14571</v>
      </c>
      <c r="Q2306" s="5" t="s">
        <v>17688</v>
      </c>
      <c r="R2306" s="5" t="s">
        <v>20018</v>
      </c>
      <c r="T2306" s="5" t="s">
        <v>5994</v>
      </c>
      <c r="U2306" s="5" t="s">
        <v>15349</v>
      </c>
      <c r="V2306" s="5" t="s">
        <v>12646</v>
      </c>
      <c r="W2306" s="5" t="s">
        <v>13556</v>
      </c>
    </row>
    <row r="2307" spans="1:23" ht="12.5">
      <c r="A2307" s="5">
        <v>92826</v>
      </c>
      <c r="B2307" s="5" t="s">
        <v>20019</v>
      </c>
      <c r="C2307" s="5">
        <v>573183494738</v>
      </c>
      <c r="D2307" s="5">
        <v>29</v>
      </c>
      <c r="E2307" s="5" t="s">
        <v>12406</v>
      </c>
      <c r="F2307" s="5" t="s">
        <v>11267</v>
      </c>
      <c r="G2307" s="5" t="s">
        <v>13512</v>
      </c>
      <c r="H2307" s="5" t="s">
        <v>13513</v>
      </c>
      <c r="I2307" s="5">
        <v>573208244545</v>
      </c>
      <c r="J2307" s="12">
        <v>46089</v>
      </c>
      <c r="K2307" s="11">
        <v>0</v>
      </c>
      <c r="M2307" s="10" t="s">
        <v>16408</v>
      </c>
      <c r="N2307" s="12">
        <v>46088.605829942127</v>
      </c>
      <c r="O2307" s="10" t="s">
        <v>15959</v>
      </c>
      <c r="P2307" s="5" t="s">
        <v>14571</v>
      </c>
      <c r="Q2307" s="5" t="s">
        <v>17688</v>
      </c>
      <c r="R2307" s="5" t="s">
        <v>20020</v>
      </c>
      <c r="T2307" s="5" t="s">
        <v>5994</v>
      </c>
      <c r="U2307" s="5" t="s">
        <v>14691</v>
      </c>
      <c r="V2307" s="5" t="s">
        <v>12646</v>
      </c>
      <c r="W2307" s="5"/>
    </row>
    <row r="2308" spans="1:23" ht="12.5">
      <c r="A2308" s="5">
        <v>92827</v>
      </c>
      <c r="B2308" s="5" t="s">
        <v>20021</v>
      </c>
      <c r="C2308" s="5">
        <v>573016510953</v>
      </c>
      <c r="D2308" s="5">
        <v>21</v>
      </c>
      <c r="E2308" s="5" t="s">
        <v>12924</v>
      </c>
      <c r="F2308" s="5" t="s">
        <v>54</v>
      </c>
      <c r="G2308" s="5" t="s">
        <v>13503</v>
      </c>
      <c r="H2308" s="5" t="s">
        <v>13504</v>
      </c>
      <c r="I2308" s="5">
        <v>573106040276</v>
      </c>
      <c r="J2308" s="12">
        <v>46090</v>
      </c>
      <c r="K2308" s="11">
        <v>0.33333333333212067</v>
      </c>
      <c r="M2308" s="10" t="s">
        <v>14569</v>
      </c>
      <c r="N2308" s="12">
        <v>46088.599711921299</v>
      </c>
      <c r="O2308" s="10" t="s">
        <v>15959</v>
      </c>
      <c r="P2308" s="5" t="s">
        <v>14571</v>
      </c>
      <c r="Q2308" s="5" t="s">
        <v>14572</v>
      </c>
      <c r="R2308" s="5" t="s">
        <v>20022</v>
      </c>
      <c r="T2308" s="5" t="s">
        <v>5994</v>
      </c>
      <c r="U2308" s="5" t="s">
        <v>14580</v>
      </c>
      <c r="V2308" s="5" t="s">
        <v>12646</v>
      </c>
      <c r="W2308" s="5" t="s">
        <v>13506</v>
      </c>
    </row>
    <row r="2309" spans="1:23" ht="12.5">
      <c r="A2309" s="5">
        <v>92828</v>
      </c>
      <c r="B2309" s="5" t="s">
        <v>20023</v>
      </c>
      <c r="C2309" s="5">
        <v>573015883041</v>
      </c>
      <c r="D2309" s="5">
        <v>101</v>
      </c>
      <c r="E2309" s="5" t="s">
        <v>12724</v>
      </c>
      <c r="F2309" s="5" t="s">
        <v>193</v>
      </c>
      <c r="G2309" s="5" t="s">
        <v>13592</v>
      </c>
      <c r="H2309" s="5" t="s">
        <v>13593</v>
      </c>
      <c r="I2309" s="5">
        <v>573014145481</v>
      </c>
      <c r="J2309" s="12">
        <v>46089</v>
      </c>
      <c r="K2309" s="11">
        <v>0.41666666666787933</v>
      </c>
      <c r="M2309" s="10" t="s">
        <v>15019</v>
      </c>
      <c r="N2309" s="12">
        <v>46088.662006423612</v>
      </c>
      <c r="O2309" s="10" t="s">
        <v>15050</v>
      </c>
      <c r="P2309" s="5" t="s">
        <v>14571</v>
      </c>
      <c r="Q2309" s="5" t="s">
        <v>14612</v>
      </c>
      <c r="R2309" s="5" t="s">
        <v>20024</v>
      </c>
      <c r="T2309" s="5" t="s">
        <v>5994</v>
      </c>
      <c r="U2309" s="5" t="s">
        <v>14580</v>
      </c>
      <c r="V2309" s="5" t="s">
        <v>12646</v>
      </c>
      <c r="W2309" s="5" t="s">
        <v>13595</v>
      </c>
    </row>
    <row r="2310" spans="1:23" ht="12.5">
      <c r="A2310" s="5">
        <v>92829</v>
      </c>
      <c r="B2310" s="5" t="s">
        <v>20025</v>
      </c>
      <c r="C2310" s="10" t="s">
        <v>20026</v>
      </c>
      <c r="D2310" s="5">
        <v>51</v>
      </c>
      <c r="E2310" s="5" t="s">
        <v>13138</v>
      </c>
      <c r="F2310" s="5" t="s">
        <v>12657</v>
      </c>
      <c r="G2310" s="5" t="s">
        <v>13557</v>
      </c>
      <c r="H2310" s="5" t="s">
        <v>12657</v>
      </c>
      <c r="I2310" s="5">
        <v>573145549122</v>
      </c>
      <c r="J2310" s="12">
        <v>46089</v>
      </c>
      <c r="K2310" s="11">
        <v>0</v>
      </c>
      <c r="M2310" s="10" t="s">
        <v>14712</v>
      </c>
      <c r="N2310" s="12">
        <v>46088</v>
      </c>
      <c r="O2310" s="10" t="s">
        <v>15717</v>
      </c>
      <c r="P2310" s="5" t="s">
        <v>14571</v>
      </c>
      <c r="Q2310" s="5" t="s">
        <v>16907</v>
      </c>
      <c r="R2310" s="5" t="s">
        <v>20027</v>
      </c>
      <c r="T2310" s="5" t="s">
        <v>5994</v>
      </c>
      <c r="U2310" s="5"/>
      <c r="V2310" s="5" t="s">
        <v>12646</v>
      </c>
      <c r="W2310" s="5"/>
    </row>
    <row r="2311" spans="1:23" ht="12.5">
      <c r="A2311" s="5">
        <v>92830</v>
      </c>
      <c r="B2311" s="5" t="s">
        <v>12969</v>
      </c>
      <c r="C2311" s="10" t="s">
        <v>19651</v>
      </c>
      <c r="D2311" s="5">
        <v>95</v>
      </c>
      <c r="E2311" s="5" t="s">
        <v>42</v>
      </c>
      <c r="F2311" s="5" t="s">
        <v>726</v>
      </c>
      <c r="G2311" s="5" t="s">
        <v>20028</v>
      </c>
      <c r="H2311" s="5" t="s">
        <v>13602</v>
      </c>
      <c r="I2311" s="5">
        <v>573000000000</v>
      </c>
      <c r="J2311" s="12">
        <v>46089</v>
      </c>
      <c r="K2311" s="11">
        <v>0.33333333333333331</v>
      </c>
      <c r="M2311" s="10" t="s">
        <v>20029</v>
      </c>
      <c r="N2311" s="12">
        <v>46088</v>
      </c>
      <c r="O2311" s="10" t="s">
        <v>15370</v>
      </c>
      <c r="P2311" s="5" t="s">
        <v>14571</v>
      </c>
      <c r="Q2311" s="5" t="s">
        <v>14612</v>
      </c>
      <c r="R2311" s="5" t="s">
        <v>20030</v>
      </c>
      <c r="T2311" s="5" t="s">
        <v>5994</v>
      </c>
      <c r="U2311" s="5" t="s">
        <v>14618</v>
      </c>
      <c r="V2311" s="5" t="s">
        <v>12646</v>
      </c>
      <c r="W2311" s="5" t="s">
        <v>13604</v>
      </c>
    </row>
    <row r="2312" spans="1:23" ht="12.5">
      <c r="A2312" s="5">
        <v>92831</v>
      </c>
      <c r="B2312" s="5" t="s">
        <v>13278</v>
      </c>
      <c r="C2312" s="5">
        <v>573108339033</v>
      </c>
      <c r="D2312" s="5">
        <v>29</v>
      </c>
      <c r="E2312" s="5" t="s">
        <v>12406</v>
      </c>
      <c r="F2312" s="5" t="s">
        <v>249</v>
      </c>
      <c r="G2312" s="5" t="s">
        <v>13384</v>
      </c>
      <c r="H2312" s="5" t="s">
        <v>13385</v>
      </c>
      <c r="I2312" s="5">
        <v>573108339033</v>
      </c>
      <c r="J2312" s="12">
        <v>46089</v>
      </c>
      <c r="K2312" s="11">
        <v>0.45833333333212067</v>
      </c>
      <c r="M2312" s="10" t="s">
        <v>14705</v>
      </c>
      <c r="N2312" s="12">
        <v>46088.514808622684</v>
      </c>
      <c r="O2312" s="10" t="s">
        <v>16792</v>
      </c>
      <c r="P2312" s="5" t="s">
        <v>14571</v>
      </c>
      <c r="Q2312" s="5" t="s">
        <v>17404</v>
      </c>
      <c r="R2312" s="5" t="s">
        <v>20031</v>
      </c>
      <c r="T2312" s="5" t="s">
        <v>5994</v>
      </c>
      <c r="U2312" s="5" t="s">
        <v>14593</v>
      </c>
      <c r="V2312" s="5" t="s">
        <v>12646</v>
      </c>
      <c r="W2312" s="5"/>
    </row>
    <row r="2313" spans="1:23" ht="12.5">
      <c r="A2313" s="5">
        <v>92832</v>
      </c>
      <c r="B2313" s="5" t="s">
        <v>20032</v>
      </c>
      <c r="C2313" s="5">
        <v>573008049549</v>
      </c>
      <c r="D2313" s="5">
        <v>29</v>
      </c>
      <c r="E2313" s="5" t="s">
        <v>12406</v>
      </c>
      <c r="F2313" s="5" t="s">
        <v>307</v>
      </c>
      <c r="G2313" s="5" t="s">
        <v>13580</v>
      </c>
      <c r="H2313" s="5" t="s">
        <v>13581</v>
      </c>
      <c r="I2313" s="5">
        <v>573008049549</v>
      </c>
      <c r="J2313" s="12">
        <v>46089</v>
      </c>
      <c r="K2313" s="11">
        <v>0.41666666666787933</v>
      </c>
      <c r="M2313" s="10" t="s">
        <v>14599</v>
      </c>
      <c r="N2313" s="12">
        <v>46088.650587141208</v>
      </c>
      <c r="O2313" s="10" t="s">
        <v>19709</v>
      </c>
      <c r="P2313" s="5" t="s">
        <v>14571</v>
      </c>
      <c r="Q2313" s="5" t="s">
        <v>17423</v>
      </c>
      <c r="R2313" s="5" t="s">
        <v>20033</v>
      </c>
      <c r="T2313" s="5" t="s">
        <v>5994</v>
      </c>
      <c r="U2313" s="5" t="s">
        <v>14618</v>
      </c>
      <c r="V2313" s="5" t="s">
        <v>12646</v>
      </c>
      <c r="W2313" s="5"/>
    </row>
    <row r="2314" spans="1:23" ht="12.5">
      <c r="A2314" s="5">
        <v>92833</v>
      </c>
      <c r="B2314" s="5" t="s">
        <v>20034</v>
      </c>
      <c r="C2314" s="10" t="s">
        <v>20035</v>
      </c>
      <c r="D2314" s="5">
        <v>95</v>
      </c>
      <c r="E2314" s="5" t="s">
        <v>42</v>
      </c>
      <c r="F2314" s="5" t="s">
        <v>12657</v>
      </c>
      <c r="G2314" s="5" t="s">
        <v>13612</v>
      </c>
      <c r="H2314" s="5" t="s">
        <v>12657</v>
      </c>
      <c r="I2314" s="5">
        <v>573003858601</v>
      </c>
      <c r="J2314" s="12">
        <v>46088</v>
      </c>
      <c r="K2314" s="11">
        <v>0</v>
      </c>
      <c r="M2314" s="10" t="s">
        <v>20036</v>
      </c>
      <c r="N2314" s="12">
        <v>46088</v>
      </c>
      <c r="O2314" s="10" t="s">
        <v>16553</v>
      </c>
      <c r="P2314" s="5" t="s">
        <v>14571</v>
      </c>
      <c r="Q2314" s="5" t="s">
        <v>14612</v>
      </c>
      <c r="R2314" s="5" t="s">
        <v>20037</v>
      </c>
      <c r="T2314" s="5" t="s">
        <v>5994</v>
      </c>
      <c r="U2314" s="5"/>
      <c r="V2314" s="5" t="s">
        <v>2636</v>
      </c>
      <c r="W2314" s="5"/>
    </row>
    <row r="2315" spans="1:23" ht="12.5">
      <c r="A2315" s="5">
        <v>92834</v>
      </c>
      <c r="B2315" s="5" t="s">
        <v>13586</v>
      </c>
      <c r="C2315" s="5">
        <v>573004918707</v>
      </c>
      <c r="D2315" s="5" t="s">
        <v>19859</v>
      </c>
      <c r="E2315" s="5" t="s">
        <v>13336</v>
      </c>
      <c r="F2315" s="5" t="s">
        <v>63</v>
      </c>
      <c r="G2315" s="5" t="s">
        <v>13586</v>
      </c>
      <c r="H2315" s="5" t="s">
        <v>13587</v>
      </c>
      <c r="I2315" s="5">
        <v>573004918707</v>
      </c>
      <c r="J2315" s="12">
        <v>46088</v>
      </c>
      <c r="K2315" s="11">
        <v>0.75</v>
      </c>
      <c r="M2315" s="10" t="s">
        <v>20038</v>
      </c>
      <c r="N2315" s="12">
        <v>46088.661103703707</v>
      </c>
      <c r="O2315" s="10" t="s">
        <v>18798</v>
      </c>
      <c r="P2315" s="5" t="s">
        <v>14571</v>
      </c>
      <c r="Q2315" s="5" t="s">
        <v>17423</v>
      </c>
      <c r="R2315" s="5" t="s">
        <v>20039</v>
      </c>
      <c r="T2315" s="5" t="s">
        <v>5994</v>
      </c>
      <c r="U2315" s="5" t="s">
        <v>14598</v>
      </c>
      <c r="V2315" s="5" t="s">
        <v>12646</v>
      </c>
      <c r="W2315" s="5"/>
    </row>
    <row r="2316" spans="1:23" ht="12.5">
      <c r="A2316" s="5">
        <v>92835</v>
      </c>
      <c r="B2316" s="5" t="s">
        <v>20040</v>
      </c>
      <c r="C2316" s="10" t="s">
        <v>15673</v>
      </c>
      <c r="D2316" s="5">
        <v>29</v>
      </c>
      <c r="E2316" s="5" t="s">
        <v>12406</v>
      </c>
      <c r="F2316" s="5" t="s">
        <v>12657</v>
      </c>
      <c r="G2316" s="5" t="s">
        <v>9432</v>
      </c>
      <c r="H2316" s="5" t="s">
        <v>12657</v>
      </c>
      <c r="I2316" s="5">
        <v>573016856910</v>
      </c>
      <c r="J2316" s="12">
        <v>46089</v>
      </c>
      <c r="K2316" s="11">
        <v>0.375</v>
      </c>
      <c r="M2316" s="10" t="s">
        <v>14627</v>
      </c>
      <c r="N2316" s="12">
        <v>46088</v>
      </c>
      <c r="O2316" s="10" t="s">
        <v>16739</v>
      </c>
      <c r="P2316" s="5" t="s">
        <v>14571</v>
      </c>
      <c r="Q2316" s="5" t="s">
        <v>17404</v>
      </c>
      <c r="R2316" s="5" t="s">
        <v>20041</v>
      </c>
      <c r="T2316" s="5" t="s">
        <v>5994</v>
      </c>
      <c r="U2316" s="5"/>
      <c r="V2316" s="5" t="s">
        <v>12646</v>
      </c>
      <c r="W2316" s="5" t="s">
        <v>9771</v>
      </c>
    </row>
    <row r="2317" spans="1:23" ht="12.5">
      <c r="A2317" s="5">
        <v>92836</v>
      </c>
      <c r="B2317" s="5" t="s">
        <v>20042</v>
      </c>
      <c r="C2317" s="10" t="s">
        <v>20043</v>
      </c>
      <c r="D2317" s="5">
        <v>21</v>
      </c>
      <c r="E2317" s="5" t="s">
        <v>12924</v>
      </c>
      <c r="F2317" s="5" t="s">
        <v>892</v>
      </c>
      <c r="G2317" s="5" t="s">
        <v>13378</v>
      </c>
      <c r="H2317" s="5" t="s">
        <v>13379</v>
      </c>
      <c r="I2317" s="5">
        <v>573008378521</v>
      </c>
      <c r="J2317" s="12">
        <v>46089</v>
      </c>
      <c r="K2317" s="11">
        <v>0.41666666666666669</v>
      </c>
      <c r="M2317" s="10" t="s">
        <v>14777</v>
      </c>
      <c r="N2317" s="12">
        <v>46088</v>
      </c>
      <c r="O2317" s="10" t="s">
        <v>14918</v>
      </c>
      <c r="P2317" s="5" t="s">
        <v>14571</v>
      </c>
      <c r="Q2317" s="5" t="s">
        <v>17688</v>
      </c>
      <c r="R2317" s="5" t="s">
        <v>20044</v>
      </c>
      <c r="T2317" s="5" t="s">
        <v>5994</v>
      </c>
      <c r="U2317" s="5" t="s">
        <v>14593</v>
      </c>
      <c r="V2317" s="5" t="s">
        <v>12646</v>
      </c>
      <c r="W2317" s="5" t="s">
        <v>13382</v>
      </c>
    </row>
    <row r="2318" spans="1:23" ht="12.5">
      <c r="A2318" s="5">
        <v>92837</v>
      </c>
      <c r="B2318" s="5" t="s">
        <v>13572</v>
      </c>
      <c r="C2318" s="5">
        <v>573243002224</v>
      </c>
      <c r="D2318" s="5">
        <v>41</v>
      </c>
      <c r="E2318" s="5" t="s">
        <v>13079</v>
      </c>
      <c r="F2318" s="5" t="s">
        <v>307</v>
      </c>
      <c r="G2318" s="5" t="s">
        <v>13572</v>
      </c>
      <c r="H2318" s="5" t="s">
        <v>13573</v>
      </c>
      <c r="I2318" s="5">
        <v>573243002224</v>
      </c>
      <c r="J2318" s="12">
        <v>46089</v>
      </c>
      <c r="K2318" s="11">
        <v>0.45833333333212067</v>
      </c>
      <c r="M2318" s="10" t="s">
        <v>14740</v>
      </c>
      <c r="N2318" s="12">
        <v>46088.647519143517</v>
      </c>
      <c r="O2318" s="10" t="s">
        <v>14918</v>
      </c>
      <c r="P2318" s="5" t="s">
        <v>14571</v>
      </c>
      <c r="Q2318" s="5" t="s">
        <v>17990</v>
      </c>
      <c r="R2318" s="5" t="s">
        <v>20045</v>
      </c>
      <c r="T2318" s="5" t="s">
        <v>5994</v>
      </c>
      <c r="U2318" s="5" t="s">
        <v>14618</v>
      </c>
      <c r="V2318" s="5" t="s">
        <v>12646</v>
      </c>
      <c r="W2318" s="5"/>
    </row>
    <row r="2319" spans="1:23" ht="12.5">
      <c r="A2319" s="5">
        <v>92838</v>
      </c>
      <c r="B2319" s="5" t="s">
        <v>20046</v>
      </c>
      <c r="C2319" s="5">
        <v>573244495614</v>
      </c>
      <c r="D2319" s="5">
        <v>95</v>
      </c>
      <c r="E2319" s="5" t="s">
        <v>42</v>
      </c>
      <c r="F2319" s="5" t="s">
        <v>12657</v>
      </c>
      <c r="G2319" s="5" t="s">
        <v>13635</v>
      </c>
      <c r="H2319" s="5" t="s">
        <v>12657</v>
      </c>
      <c r="I2319" s="5">
        <v>573244495614</v>
      </c>
      <c r="J2319" s="12">
        <v>46088</v>
      </c>
      <c r="K2319" s="11">
        <v>0</v>
      </c>
      <c r="M2319" s="10" t="s">
        <v>14702</v>
      </c>
      <c r="N2319" s="12">
        <v>46088.692590300925</v>
      </c>
      <c r="O2319" s="10" t="s">
        <v>14709</v>
      </c>
      <c r="P2319" s="5" t="s">
        <v>14571</v>
      </c>
      <c r="Q2319" s="5" t="s">
        <v>17423</v>
      </c>
      <c r="R2319" s="5" t="s">
        <v>20047</v>
      </c>
      <c r="T2319" s="5" t="s">
        <v>5994</v>
      </c>
      <c r="U2319" s="5"/>
      <c r="V2319" s="5" t="s">
        <v>196</v>
      </c>
      <c r="W2319" s="5"/>
    </row>
    <row r="2320" spans="1:23" ht="12.5">
      <c r="A2320" s="5">
        <v>92839</v>
      </c>
      <c r="B2320" s="5" t="s">
        <v>20048</v>
      </c>
      <c r="C2320" s="10" t="s">
        <v>20049</v>
      </c>
      <c r="D2320" s="5">
        <v>29</v>
      </c>
      <c r="E2320" s="5" t="s">
        <v>12406</v>
      </c>
      <c r="F2320" s="5" t="s">
        <v>146</v>
      </c>
      <c r="G2320" s="5" t="s">
        <v>4952</v>
      </c>
      <c r="H2320" s="5" t="s">
        <v>13619</v>
      </c>
      <c r="I2320" s="5">
        <v>573226529301</v>
      </c>
      <c r="J2320" s="12">
        <v>46089</v>
      </c>
      <c r="K2320" s="11">
        <v>0.45833333333333331</v>
      </c>
      <c r="M2320" s="10" t="s">
        <v>15179</v>
      </c>
      <c r="N2320" s="12">
        <v>46088</v>
      </c>
      <c r="O2320" s="10" t="s">
        <v>15353</v>
      </c>
      <c r="P2320" s="5" t="s">
        <v>14571</v>
      </c>
      <c r="Q2320" s="5" t="s">
        <v>17688</v>
      </c>
      <c r="R2320" s="5" t="s">
        <v>20050</v>
      </c>
      <c r="T2320" s="5" t="s">
        <v>5994</v>
      </c>
      <c r="U2320" s="5" t="s">
        <v>14618</v>
      </c>
      <c r="V2320" s="5" t="s">
        <v>12646</v>
      </c>
      <c r="W2320" s="5"/>
    </row>
    <row r="2321" spans="1:23" ht="12.5">
      <c r="A2321" s="5">
        <v>92840</v>
      </c>
      <c r="B2321" s="5" t="s">
        <v>19959</v>
      </c>
      <c r="C2321" s="5">
        <v>573174870896</v>
      </c>
      <c r="D2321" s="5">
        <v>39</v>
      </c>
      <c r="E2321" s="5" t="s">
        <v>12437</v>
      </c>
      <c r="F2321" s="5" t="s">
        <v>73</v>
      </c>
      <c r="G2321" s="5" t="s">
        <v>13631</v>
      </c>
      <c r="H2321" s="5" t="s">
        <v>13632</v>
      </c>
      <c r="I2321" s="5">
        <v>573174870896</v>
      </c>
      <c r="J2321" s="12">
        <v>46089</v>
      </c>
      <c r="K2321" s="11">
        <v>0.45833333333212067</v>
      </c>
      <c r="M2321" s="10" t="s">
        <v>16647</v>
      </c>
      <c r="N2321" s="12">
        <v>46088.692084837967</v>
      </c>
      <c r="O2321" s="10" t="s">
        <v>16614</v>
      </c>
      <c r="P2321" s="5" t="s">
        <v>14571</v>
      </c>
      <c r="Q2321" s="5" t="s">
        <v>14572</v>
      </c>
      <c r="R2321" s="5" t="s">
        <v>20051</v>
      </c>
      <c r="T2321" s="5" t="s">
        <v>5994</v>
      </c>
      <c r="U2321" s="5" t="s">
        <v>14593</v>
      </c>
      <c r="V2321" s="5" t="s">
        <v>12646</v>
      </c>
      <c r="W2321" s="5"/>
    </row>
    <row r="2322" spans="1:23" ht="12.5">
      <c r="A2322" s="5">
        <v>92841</v>
      </c>
      <c r="B2322" s="5" t="s">
        <v>20052</v>
      </c>
      <c r="C2322" s="5">
        <v>573007835381</v>
      </c>
      <c r="D2322" s="5">
        <v>95</v>
      </c>
      <c r="E2322" s="5" t="s">
        <v>42</v>
      </c>
      <c r="F2322" s="5" t="s">
        <v>12657</v>
      </c>
      <c r="G2322" s="5" t="s">
        <v>13657</v>
      </c>
      <c r="H2322" s="5" t="s">
        <v>12657</v>
      </c>
      <c r="I2322" s="5">
        <v>573007835381</v>
      </c>
      <c r="J2322" s="12">
        <v>46088</v>
      </c>
      <c r="K2322" s="11">
        <v>0</v>
      </c>
      <c r="M2322" s="10" t="s">
        <v>14585</v>
      </c>
      <c r="N2322" s="12">
        <v>46088.698142685185</v>
      </c>
      <c r="O2322" s="10" t="s">
        <v>15727</v>
      </c>
      <c r="P2322" s="5" t="s">
        <v>14571</v>
      </c>
      <c r="Q2322" s="5" t="s">
        <v>17404</v>
      </c>
      <c r="R2322" s="5" t="s">
        <v>20053</v>
      </c>
      <c r="T2322" s="5" t="s">
        <v>5994</v>
      </c>
      <c r="U2322" s="5"/>
      <c r="V2322" s="5" t="s">
        <v>1705</v>
      </c>
      <c r="W2322" s="5" t="s">
        <v>13658</v>
      </c>
    </row>
    <row r="2323" spans="1:23" ht="12.5">
      <c r="A2323" s="5">
        <v>92842</v>
      </c>
      <c r="B2323" s="5" t="s">
        <v>20054</v>
      </c>
      <c r="C2323" s="5">
        <v>573186000036</v>
      </c>
      <c r="D2323" s="5">
        <v>105</v>
      </c>
      <c r="E2323" s="5" t="s">
        <v>12701</v>
      </c>
      <c r="F2323" s="5" t="s">
        <v>73</v>
      </c>
      <c r="G2323" s="5" t="s">
        <v>13627</v>
      </c>
      <c r="H2323" s="5" t="s">
        <v>13628</v>
      </c>
      <c r="I2323" s="5">
        <v>573156706066</v>
      </c>
      <c r="J2323" s="12">
        <v>46089</v>
      </c>
      <c r="K2323" s="11">
        <v>0.45833333333212067</v>
      </c>
      <c r="M2323" s="10" t="s">
        <v>15623</v>
      </c>
      <c r="N2323" s="12">
        <v>46088.691361562502</v>
      </c>
      <c r="O2323" s="10" t="s">
        <v>16239</v>
      </c>
      <c r="P2323" s="5" t="s">
        <v>14571</v>
      </c>
      <c r="Q2323" s="5" t="s">
        <v>17404</v>
      </c>
      <c r="R2323" s="5" t="s">
        <v>20055</v>
      </c>
      <c r="T2323" s="5" t="s">
        <v>5994</v>
      </c>
      <c r="U2323" s="5" t="s">
        <v>14593</v>
      </c>
      <c r="V2323" s="5" t="s">
        <v>12646</v>
      </c>
      <c r="W2323" s="5"/>
    </row>
    <row r="2324" spans="1:23" ht="12.5">
      <c r="A2324" s="5">
        <v>92843</v>
      </c>
      <c r="B2324" s="5" t="s">
        <v>20056</v>
      </c>
      <c r="C2324" s="5">
        <v>573183309978</v>
      </c>
      <c r="D2324" s="5">
        <v>53</v>
      </c>
      <c r="E2324" s="5" t="s">
        <v>12423</v>
      </c>
      <c r="F2324" s="5" t="s">
        <v>1317</v>
      </c>
      <c r="G2324" s="5" t="s">
        <v>13680</v>
      </c>
      <c r="H2324" s="5" t="s">
        <v>13681</v>
      </c>
      <c r="I2324" s="5">
        <v>573157335190</v>
      </c>
      <c r="J2324" s="12">
        <v>46089</v>
      </c>
      <c r="K2324" s="11">
        <v>0.37916666666569654</v>
      </c>
      <c r="M2324" s="10" t="s">
        <v>14832</v>
      </c>
      <c r="N2324" s="12">
        <v>46088.710547303242</v>
      </c>
      <c r="O2324" s="10" t="s">
        <v>17946</v>
      </c>
      <c r="P2324" s="5" t="s">
        <v>14571</v>
      </c>
      <c r="Q2324" s="5" t="s">
        <v>17423</v>
      </c>
      <c r="R2324" s="5" t="s">
        <v>20057</v>
      </c>
      <c r="T2324" s="5" t="s">
        <v>5994</v>
      </c>
      <c r="U2324" s="5" t="s">
        <v>15349</v>
      </c>
      <c r="V2324" s="5" t="s">
        <v>1705</v>
      </c>
      <c r="W2324" s="5"/>
    </row>
    <row r="2325" spans="1:23" ht="12.5">
      <c r="A2325" s="5">
        <v>92844</v>
      </c>
      <c r="B2325" s="5" t="s">
        <v>20034</v>
      </c>
      <c r="C2325" s="5">
        <v>573003858601</v>
      </c>
      <c r="D2325" s="5" t="s">
        <v>14589</v>
      </c>
      <c r="E2325" s="5" t="s">
        <v>13672</v>
      </c>
      <c r="F2325" s="5"/>
      <c r="G2325" s="5" t="s">
        <v>13670</v>
      </c>
      <c r="H2325" s="5" t="s">
        <v>13671</v>
      </c>
      <c r="I2325" s="5"/>
      <c r="J2325" s="12">
        <v>46089</v>
      </c>
      <c r="K2325" s="11">
        <v>0.33333333333212067</v>
      </c>
      <c r="M2325" s="10" t="s">
        <v>20058</v>
      </c>
      <c r="N2325" s="12">
        <v>46088.70748474537</v>
      </c>
      <c r="O2325" s="10" t="s">
        <v>17946</v>
      </c>
      <c r="P2325" s="5" t="s">
        <v>14571</v>
      </c>
      <c r="Q2325" s="5" t="s">
        <v>14612</v>
      </c>
      <c r="R2325" s="5" t="s">
        <v>20059</v>
      </c>
      <c r="T2325" s="5" t="s">
        <v>5994</v>
      </c>
      <c r="U2325" s="5"/>
      <c r="V2325" s="5" t="s">
        <v>2636</v>
      </c>
      <c r="W2325" s="5"/>
    </row>
    <row r="2326" spans="1:23" ht="12.5">
      <c r="A2326" s="5">
        <v>92845</v>
      </c>
      <c r="B2326" s="5" t="s">
        <v>20060</v>
      </c>
      <c r="C2326" s="5">
        <v>3103615061</v>
      </c>
      <c r="D2326" s="5" t="s">
        <v>19978</v>
      </c>
      <c r="E2326" s="5" t="s">
        <v>13531</v>
      </c>
      <c r="F2326" s="5" t="s">
        <v>930</v>
      </c>
      <c r="G2326" s="5" t="s">
        <v>13623</v>
      </c>
      <c r="H2326" s="5" t="s">
        <v>13624</v>
      </c>
      <c r="I2326" s="5">
        <v>573008157380</v>
      </c>
      <c r="J2326" s="12">
        <v>46089</v>
      </c>
      <c r="K2326" s="11">
        <v>0.45833333333212067</v>
      </c>
      <c r="M2326" s="10" t="s">
        <v>14649</v>
      </c>
      <c r="N2326" s="12">
        <v>46088.691075451388</v>
      </c>
      <c r="O2326" s="10" t="s">
        <v>17955</v>
      </c>
      <c r="P2326" s="5" t="s">
        <v>14571</v>
      </c>
      <c r="Q2326" s="5" t="s">
        <v>17404</v>
      </c>
      <c r="R2326" s="5" t="s">
        <v>20061</v>
      </c>
      <c r="T2326" s="5" t="s">
        <v>5994</v>
      </c>
      <c r="U2326" s="5" t="s">
        <v>14598</v>
      </c>
      <c r="V2326" s="5" t="s">
        <v>12646</v>
      </c>
      <c r="W2326" s="5"/>
    </row>
    <row r="2327" spans="1:23" ht="12.5">
      <c r="A2327" s="5">
        <v>92846</v>
      </c>
      <c r="B2327" s="5" t="s">
        <v>20034</v>
      </c>
      <c r="C2327" s="5">
        <v>573003858601</v>
      </c>
      <c r="D2327" s="5">
        <v>29</v>
      </c>
      <c r="E2327" s="5" t="s">
        <v>13217</v>
      </c>
      <c r="F2327" s="5"/>
      <c r="G2327" s="5" t="s">
        <v>13670</v>
      </c>
      <c r="H2327" s="5" t="s">
        <v>13684</v>
      </c>
      <c r="I2327" s="5"/>
      <c r="J2327" s="12">
        <v>46089</v>
      </c>
      <c r="K2327" s="11">
        <v>0.33333333333212067</v>
      </c>
      <c r="M2327" s="10" t="s">
        <v>16788</v>
      </c>
      <c r="N2327" s="12">
        <v>46088.71542349537</v>
      </c>
      <c r="O2327" s="10" t="s">
        <v>15041</v>
      </c>
      <c r="P2327" s="5" t="s">
        <v>14571</v>
      </c>
      <c r="Q2327" s="5" t="s">
        <v>17423</v>
      </c>
      <c r="R2327" s="5" t="s">
        <v>20062</v>
      </c>
      <c r="T2327" s="5" t="s">
        <v>5994</v>
      </c>
      <c r="U2327" s="5"/>
      <c r="V2327" s="5" t="s">
        <v>2636</v>
      </c>
      <c r="W2327" s="5"/>
    </row>
    <row r="2328" spans="1:23" ht="12.5">
      <c r="A2328" s="5">
        <v>92825</v>
      </c>
      <c r="B2328" s="5" t="s">
        <v>20063</v>
      </c>
      <c r="C2328" s="10" t="s">
        <v>20064</v>
      </c>
      <c r="D2328" s="5">
        <v>44</v>
      </c>
      <c r="E2328" s="5" t="s">
        <v>13483</v>
      </c>
      <c r="F2328" s="5" t="s">
        <v>73</v>
      </c>
      <c r="G2328" s="5" t="s">
        <v>13481</v>
      </c>
      <c r="H2328" s="5" t="s">
        <v>13482</v>
      </c>
      <c r="I2328" s="5">
        <v>573007734183</v>
      </c>
      <c r="J2328" s="12">
        <v>46089</v>
      </c>
      <c r="K2328" s="11">
        <v>0.375</v>
      </c>
      <c r="M2328" s="10" t="s">
        <v>15623</v>
      </c>
      <c r="N2328" s="12">
        <v>46088</v>
      </c>
      <c r="O2328" s="10" t="s">
        <v>15041</v>
      </c>
      <c r="P2328" s="5" t="s">
        <v>14571</v>
      </c>
      <c r="Q2328" s="5"/>
      <c r="R2328" s="5"/>
      <c r="T2328" s="5" t="s">
        <v>5994</v>
      </c>
      <c r="U2328" s="5" t="s">
        <v>14593</v>
      </c>
      <c r="V2328" s="5" t="s">
        <v>12646</v>
      </c>
      <c r="W2328" s="5"/>
    </row>
    <row r="2329" spans="1:23" ht="12.5">
      <c r="A2329" s="5">
        <v>92847</v>
      </c>
      <c r="B2329" s="5" t="s">
        <v>20034</v>
      </c>
      <c r="C2329" s="10" t="s">
        <v>20035</v>
      </c>
      <c r="D2329" s="5">
        <v>53</v>
      </c>
      <c r="E2329" s="5" t="s">
        <v>12423</v>
      </c>
      <c r="F2329" s="5"/>
      <c r="G2329" s="5" t="s">
        <v>13686</v>
      </c>
      <c r="H2329" s="5" t="s">
        <v>13687</v>
      </c>
      <c r="I2329" s="5"/>
      <c r="J2329" s="12">
        <v>46089</v>
      </c>
      <c r="K2329" s="11">
        <v>0.33333333333333331</v>
      </c>
      <c r="M2329" s="10" t="s">
        <v>20065</v>
      </c>
      <c r="N2329" s="12">
        <v>46088</v>
      </c>
      <c r="O2329" s="10" t="s">
        <v>17277</v>
      </c>
      <c r="P2329" s="5" t="s">
        <v>14571</v>
      </c>
      <c r="Q2329" s="5" t="s">
        <v>17688</v>
      </c>
      <c r="R2329" s="5" t="s">
        <v>20066</v>
      </c>
      <c r="T2329" s="5" t="s">
        <v>5994</v>
      </c>
      <c r="U2329" s="5"/>
      <c r="V2329" s="5" t="s">
        <v>2636</v>
      </c>
      <c r="W2329" s="5"/>
    </row>
    <row r="2330" spans="1:23" ht="12.5">
      <c r="A2330" s="5">
        <v>92848</v>
      </c>
      <c r="B2330" s="5" t="s">
        <v>20067</v>
      </c>
      <c r="C2330" s="5">
        <v>573126810333</v>
      </c>
      <c r="D2330" s="5" t="s">
        <v>14589</v>
      </c>
      <c r="E2330" s="5" t="s">
        <v>13597</v>
      </c>
      <c r="F2330" s="5" t="s">
        <v>6905</v>
      </c>
      <c r="G2330" s="5" t="s">
        <v>13185</v>
      </c>
      <c r="H2330" s="5" t="s">
        <v>13596</v>
      </c>
      <c r="I2330" s="5">
        <v>573126810333</v>
      </c>
      <c r="J2330" s="12">
        <v>46088</v>
      </c>
      <c r="K2330" s="11">
        <v>0.75</v>
      </c>
      <c r="M2330" s="10" t="s">
        <v>16732</v>
      </c>
      <c r="N2330" s="12">
        <v>46088.669020486108</v>
      </c>
      <c r="O2330" s="10" t="s">
        <v>15811</v>
      </c>
      <c r="P2330" s="5" t="s">
        <v>14571</v>
      </c>
      <c r="Q2330" s="5" t="s">
        <v>16907</v>
      </c>
      <c r="R2330" s="5" t="s">
        <v>20068</v>
      </c>
      <c r="T2330" s="5" t="s">
        <v>5994</v>
      </c>
      <c r="U2330" s="5" t="s">
        <v>14598</v>
      </c>
      <c r="V2330" s="5" t="s">
        <v>12646</v>
      </c>
      <c r="W2330" s="5" t="s">
        <v>13600</v>
      </c>
    </row>
    <row r="2331" spans="1:23" ht="12.5">
      <c r="A2331" s="5">
        <v>92849</v>
      </c>
      <c r="B2331" s="5" t="s">
        <v>20034</v>
      </c>
      <c r="C2331" s="5">
        <v>573003858601</v>
      </c>
      <c r="D2331" s="5">
        <v>53</v>
      </c>
      <c r="E2331" s="5" t="s">
        <v>12423</v>
      </c>
      <c r="F2331" s="5"/>
      <c r="G2331" s="5" t="s">
        <v>13689</v>
      </c>
      <c r="H2331" s="5" t="s">
        <v>13690</v>
      </c>
      <c r="I2331" s="5"/>
      <c r="J2331" s="12">
        <v>46089</v>
      </c>
      <c r="K2331" s="11">
        <v>0.33333333333212067</v>
      </c>
      <c r="M2331" s="10" t="s">
        <v>20065</v>
      </c>
      <c r="N2331" s="12">
        <v>46088.725034490737</v>
      </c>
      <c r="O2331" s="10" t="s">
        <v>16619</v>
      </c>
      <c r="P2331" s="5" t="s">
        <v>14571</v>
      </c>
      <c r="Q2331" s="5" t="s">
        <v>17990</v>
      </c>
      <c r="R2331" s="5" t="s">
        <v>20069</v>
      </c>
      <c r="T2331" s="5" t="s">
        <v>5994</v>
      </c>
      <c r="U2331" s="5"/>
      <c r="V2331" s="5" t="s">
        <v>2636</v>
      </c>
      <c r="W2331" s="5"/>
    </row>
    <row r="2332" spans="1:23" ht="12.5">
      <c r="A2332" s="5">
        <v>92850</v>
      </c>
      <c r="B2332" s="5" t="s">
        <v>19253</v>
      </c>
      <c r="C2332" s="5">
        <v>573043810703</v>
      </c>
      <c r="D2332" s="5">
        <v>95</v>
      </c>
      <c r="E2332" s="5" t="s">
        <v>42</v>
      </c>
      <c r="F2332" s="5" t="s">
        <v>12657</v>
      </c>
      <c r="G2332" s="5" t="s">
        <v>12202</v>
      </c>
      <c r="H2332" s="5" t="s">
        <v>12657</v>
      </c>
      <c r="I2332" s="5">
        <v>573043810703</v>
      </c>
      <c r="J2332" s="12">
        <v>46089</v>
      </c>
      <c r="K2332" s="11">
        <v>0</v>
      </c>
      <c r="M2332" s="10" t="s">
        <v>14863</v>
      </c>
      <c r="N2332" s="12">
        <v>46088.72690543982</v>
      </c>
      <c r="O2332" s="10" t="s">
        <v>18600</v>
      </c>
      <c r="P2332" s="5" t="s">
        <v>14571</v>
      </c>
      <c r="Q2332" s="5" t="s">
        <v>14612</v>
      </c>
      <c r="R2332" s="5" t="s">
        <v>20070</v>
      </c>
      <c r="T2332" s="5" t="s">
        <v>5994</v>
      </c>
      <c r="U2332" s="5"/>
      <c r="V2332" s="5" t="s">
        <v>43</v>
      </c>
      <c r="W2332" s="5" t="s">
        <v>13698</v>
      </c>
    </row>
    <row r="2333" spans="1:23" ht="12.5">
      <c r="A2333" s="5">
        <v>92851</v>
      </c>
      <c r="B2333" s="5" t="s">
        <v>20071</v>
      </c>
      <c r="C2333" s="10" t="s">
        <v>20072</v>
      </c>
      <c r="D2333" s="5" t="s">
        <v>17954</v>
      </c>
      <c r="E2333" s="5" t="s">
        <v>13648</v>
      </c>
      <c r="F2333" s="5" t="s">
        <v>11267</v>
      </c>
      <c r="G2333" s="5" t="s">
        <v>20073</v>
      </c>
      <c r="H2333" s="5" t="s">
        <v>13647</v>
      </c>
      <c r="I2333" s="5">
        <v>573147853196</v>
      </c>
      <c r="J2333" s="12">
        <v>46089</v>
      </c>
      <c r="K2333" s="11">
        <v>0.33333333333333331</v>
      </c>
      <c r="M2333" s="10" t="s">
        <v>17358</v>
      </c>
      <c r="N2333" s="12">
        <v>46088</v>
      </c>
      <c r="O2333" s="10" t="s">
        <v>17209</v>
      </c>
      <c r="P2333" s="5" t="s">
        <v>14571</v>
      </c>
      <c r="Q2333" s="5" t="s">
        <v>17688</v>
      </c>
      <c r="R2333" s="5" t="s">
        <v>20074</v>
      </c>
      <c r="T2333" s="5" t="s">
        <v>5994</v>
      </c>
      <c r="U2333" s="5" t="s">
        <v>14691</v>
      </c>
      <c r="V2333" s="5" t="s">
        <v>12646</v>
      </c>
      <c r="W2333" s="5" t="s">
        <v>9771</v>
      </c>
    </row>
    <row r="2334" spans="1:23" ht="12.5">
      <c r="A2334" s="5">
        <v>92852</v>
      </c>
      <c r="B2334" s="5" t="s">
        <v>20034</v>
      </c>
      <c r="C2334" s="5">
        <v>573003858601</v>
      </c>
      <c r="D2334" s="5">
        <v>52</v>
      </c>
      <c r="E2334" s="5" t="s">
        <v>20075</v>
      </c>
      <c r="F2334" s="5"/>
      <c r="G2334" s="5" t="s">
        <v>13699</v>
      </c>
      <c r="H2334" s="5" t="s">
        <v>13700</v>
      </c>
      <c r="I2334" s="5"/>
      <c r="J2334" s="12">
        <v>46089</v>
      </c>
      <c r="K2334" s="11">
        <v>0.33333333333212067</v>
      </c>
      <c r="M2334" s="10" t="s">
        <v>20076</v>
      </c>
      <c r="N2334" s="12">
        <v>46088.730505335647</v>
      </c>
      <c r="O2334" s="10" t="s">
        <v>15028</v>
      </c>
      <c r="P2334" s="5" t="s">
        <v>14571</v>
      </c>
      <c r="Q2334" s="5" t="s">
        <v>14612</v>
      </c>
      <c r="R2334" s="5" t="s">
        <v>20077</v>
      </c>
      <c r="T2334" s="5" t="s">
        <v>5994</v>
      </c>
      <c r="U2334" s="5"/>
      <c r="V2334" s="5" t="s">
        <v>2636</v>
      </c>
      <c r="W2334" s="5"/>
    </row>
    <row r="2335" spans="1:23" ht="12.5">
      <c r="A2335" s="5">
        <v>92853</v>
      </c>
      <c r="B2335" s="5" t="s">
        <v>20078</v>
      </c>
      <c r="C2335" s="10" t="s">
        <v>20079</v>
      </c>
      <c r="D2335" s="5">
        <v>52</v>
      </c>
      <c r="E2335" s="5" t="s">
        <v>12496</v>
      </c>
      <c r="F2335" s="5" t="s">
        <v>448</v>
      </c>
      <c r="G2335" s="5" t="s">
        <v>13568</v>
      </c>
      <c r="H2335" s="5" t="s">
        <v>13569</v>
      </c>
      <c r="I2335" s="5">
        <v>573207258284</v>
      </c>
      <c r="J2335" s="12">
        <v>46089</v>
      </c>
      <c r="K2335" s="11">
        <v>0.41666666666666669</v>
      </c>
      <c r="M2335" s="10" t="s">
        <v>14643</v>
      </c>
      <c r="N2335" s="12">
        <v>46088</v>
      </c>
      <c r="O2335" s="10" t="s">
        <v>17963</v>
      </c>
      <c r="P2335" s="5" t="s">
        <v>14571</v>
      </c>
      <c r="Q2335" s="5" t="s">
        <v>14578</v>
      </c>
      <c r="R2335" s="5" t="s">
        <v>20080</v>
      </c>
      <c r="T2335" s="5" t="s">
        <v>5994</v>
      </c>
      <c r="U2335" s="5" t="s">
        <v>14580</v>
      </c>
      <c r="V2335" s="5" t="s">
        <v>12646</v>
      </c>
      <c r="W2335" s="5"/>
    </row>
    <row r="2336" spans="1:23" ht="12.5">
      <c r="A2336" s="5">
        <v>92854</v>
      </c>
      <c r="B2336" s="5" t="s">
        <v>20081</v>
      </c>
      <c r="C2336" s="5">
        <v>573013019698</v>
      </c>
      <c r="D2336" s="5">
        <v>58</v>
      </c>
      <c r="E2336" s="5" t="s">
        <v>12728</v>
      </c>
      <c r="F2336" s="5" t="s">
        <v>265</v>
      </c>
      <c r="G2336" s="5" t="s">
        <v>738</v>
      </c>
      <c r="H2336" s="5" t="s">
        <v>13643</v>
      </c>
      <c r="I2336" s="5">
        <v>573014254024</v>
      </c>
      <c r="J2336" s="12">
        <v>46089</v>
      </c>
      <c r="K2336" s="11">
        <v>0.41666666666787933</v>
      </c>
      <c r="M2336" s="10" t="s">
        <v>15157</v>
      </c>
      <c r="N2336" s="12">
        <v>46088.693669456014</v>
      </c>
      <c r="O2336" s="10" t="s">
        <v>20082</v>
      </c>
      <c r="P2336" s="5" t="s">
        <v>14571</v>
      </c>
      <c r="Q2336" s="5" t="s">
        <v>14612</v>
      </c>
      <c r="R2336" s="5" t="s">
        <v>20083</v>
      </c>
      <c r="T2336" s="5" t="s">
        <v>5994</v>
      </c>
      <c r="U2336" s="5" t="s">
        <v>14691</v>
      </c>
      <c r="V2336" s="5" t="s">
        <v>12646</v>
      </c>
      <c r="W2336" s="5"/>
    </row>
    <row r="2337" spans="1:23" ht="12.5">
      <c r="A2337" s="5">
        <v>92855</v>
      </c>
      <c r="B2337" s="5" t="s">
        <v>20084</v>
      </c>
      <c r="C2337" s="5">
        <v>573005293740</v>
      </c>
      <c r="D2337" s="5">
        <v>30</v>
      </c>
      <c r="E2337" s="5" t="s">
        <v>12844</v>
      </c>
      <c r="F2337" s="5" t="s">
        <v>73</v>
      </c>
      <c r="G2337" s="5" t="s">
        <v>13704</v>
      </c>
      <c r="H2337" s="5" t="s">
        <v>13705</v>
      </c>
      <c r="I2337" s="5">
        <v>573005293740</v>
      </c>
      <c r="J2337" s="12">
        <v>46089</v>
      </c>
      <c r="K2337" s="11">
        <v>0.33333333333212067</v>
      </c>
      <c r="M2337" s="10" t="s">
        <v>14627</v>
      </c>
      <c r="N2337" s="12">
        <v>46088.736487314818</v>
      </c>
      <c r="O2337" s="10" t="s">
        <v>17631</v>
      </c>
      <c r="P2337" s="5" t="s">
        <v>14571</v>
      </c>
      <c r="Q2337" s="5" t="s">
        <v>17990</v>
      </c>
      <c r="R2337" s="5" t="s">
        <v>20085</v>
      </c>
      <c r="T2337" s="5" t="s">
        <v>5994</v>
      </c>
      <c r="U2337" s="5" t="s">
        <v>14593</v>
      </c>
      <c r="V2337" s="5" t="s">
        <v>12646</v>
      </c>
      <c r="W2337" s="5" t="s">
        <v>13707</v>
      </c>
    </row>
    <row r="2338" spans="1:23" ht="12.5">
      <c r="A2338" s="5">
        <v>92856</v>
      </c>
      <c r="B2338" s="5" t="s">
        <v>20086</v>
      </c>
      <c r="C2338" s="5">
        <v>573156670982</v>
      </c>
      <c r="D2338" s="5">
        <v>1</v>
      </c>
      <c r="E2338" s="5" t="s">
        <v>13074</v>
      </c>
      <c r="F2338" s="5" t="s">
        <v>63</v>
      </c>
      <c r="G2338" s="5" t="s">
        <v>13614</v>
      </c>
      <c r="H2338" s="5" t="s">
        <v>13615</v>
      </c>
      <c r="I2338" s="5">
        <v>573185779237</v>
      </c>
      <c r="J2338" s="12">
        <v>46089</v>
      </c>
      <c r="K2338" s="11">
        <v>0.5</v>
      </c>
      <c r="M2338" s="10" t="s">
        <v>15436</v>
      </c>
      <c r="N2338" s="12">
        <v>46088.683641990741</v>
      </c>
      <c r="O2338" s="10" t="s">
        <v>16423</v>
      </c>
      <c r="P2338" s="5" t="s">
        <v>14571</v>
      </c>
      <c r="Q2338" s="5" t="s">
        <v>17404</v>
      </c>
      <c r="R2338" s="5" t="s">
        <v>20087</v>
      </c>
      <c r="T2338" s="5" t="s">
        <v>5994</v>
      </c>
      <c r="U2338" s="5" t="s">
        <v>14598</v>
      </c>
      <c r="V2338" s="5" t="s">
        <v>12646</v>
      </c>
      <c r="W2338" s="5"/>
    </row>
    <row r="2339" spans="1:23" ht="12.5">
      <c r="A2339" s="5">
        <v>92857</v>
      </c>
      <c r="B2339" s="5" t="s">
        <v>20088</v>
      </c>
      <c r="C2339" s="10" t="s">
        <v>20089</v>
      </c>
      <c r="D2339" s="5">
        <v>29</v>
      </c>
      <c r="E2339" s="5" t="s">
        <v>12406</v>
      </c>
      <c r="F2339" s="5" t="s">
        <v>12657</v>
      </c>
      <c r="G2339" s="5" t="s">
        <v>13712</v>
      </c>
      <c r="H2339" s="5" t="s">
        <v>12657</v>
      </c>
      <c r="I2339" s="5">
        <v>573014686030</v>
      </c>
      <c r="J2339" s="12">
        <v>46089</v>
      </c>
      <c r="K2339" s="11">
        <v>0.33333333333333331</v>
      </c>
      <c r="M2339" s="10" t="s">
        <v>14627</v>
      </c>
      <c r="N2339" s="12">
        <v>46088</v>
      </c>
      <c r="O2339" s="10" t="s">
        <v>15665</v>
      </c>
      <c r="P2339" s="5" t="s">
        <v>14571</v>
      </c>
      <c r="Q2339" s="5" t="s">
        <v>14612</v>
      </c>
      <c r="R2339" s="5" t="s">
        <v>20090</v>
      </c>
      <c r="T2339" s="5" t="s">
        <v>5994</v>
      </c>
      <c r="U2339" s="5"/>
      <c r="V2339" s="5" t="s">
        <v>1705</v>
      </c>
      <c r="W2339" s="5"/>
    </row>
    <row r="2340" spans="1:23" ht="12.5">
      <c r="A2340" s="5">
        <v>92858</v>
      </c>
      <c r="B2340" s="5" t="s">
        <v>20091</v>
      </c>
      <c r="C2340" s="10" t="s">
        <v>20092</v>
      </c>
      <c r="D2340" s="5">
        <v>53</v>
      </c>
      <c r="E2340" s="5" t="s">
        <v>12423</v>
      </c>
      <c r="F2340" s="5" t="s">
        <v>73</v>
      </c>
      <c r="G2340" s="5" t="s">
        <v>13660</v>
      </c>
      <c r="H2340" s="5" t="s">
        <v>13661</v>
      </c>
      <c r="I2340" s="5">
        <v>573024235316</v>
      </c>
      <c r="J2340" s="12">
        <v>46089</v>
      </c>
      <c r="K2340" s="11">
        <v>0.375</v>
      </c>
      <c r="M2340" s="10" t="s">
        <v>14850</v>
      </c>
      <c r="N2340" s="12">
        <v>46088</v>
      </c>
      <c r="O2340" s="10" t="s">
        <v>15350</v>
      </c>
      <c r="P2340" s="5" t="s">
        <v>14571</v>
      </c>
      <c r="Q2340" s="5" t="s">
        <v>17423</v>
      </c>
      <c r="R2340" s="5" t="s">
        <v>20093</v>
      </c>
      <c r="T2340" s="5" t="s">
        <v>5994</v>
      </c>
      <c r="U2340" s="5" t="s">
        <v>14593</v>
      </c>
      <c r="V2340" s="5" t="s">
        <v>12646</v>
      </c>
      <c r="W2340" s="5"/>
    </row>
    <row r="2341" spans="1:23" ht="12.5">
      <c r="A2341" s="5">
        <v>92859</v>
      </c>
      <c r="B2341" s="5" t="s">
        <v>20094</v>
      </c>
      <c r="C2341" s="5">
        <v>573106407759</v>
      </c>
      <c r="D2341" s="5">
        <v>29</v>
      </c>
      <c r="E2341" s="5" t="s">
        <v>13639</v>
      </c>
      <c r="F2341" s="5" t="s">
        <v>161</v>
      </c>
      <c r="G2341" s="5" t="s">
        <v>13637</v>
      </c>
      <c r="H2341" s="5" t="s">
        <v>13638</v>
      </c>
      <c r="I2341" s="5">
        <v>573007895738</v>
      </c>
      <c r="J2341" s="12">
        <v>46089</v>
      </c>
      <c r="K2341" s="11">
        <v>0.5</v>
      </c>
      <c r="M2341" s="10" t="s">
        <v>15064</v>
      </c>
      <c r="N2341" s="12">
        <v>46088.693601678242</v>
      </c>
      <c r="O2341" s="10" t="s">
        <v>16990</v>
      </c>
      <c r="P2341" s="5" t="s">
        <v>14571</v>
      </c>
      <c r="Q2341" s="5" t="s">
        <v>17688</v>
      </c>
      <c r="R2341" s="5" t="s">
        <v>20095</v>
      </c>
      <c r="T2341" s="5" t="s">
        <v>5994</v>
      </c>
      <c r="U2341" s="5" t="s">
        <v>14593</v>
      </c>
      <c r="V2341" s="5" t="s">
        <v>1937</v>
      </c>
      <c r="W2341" s="5"/>
    </row>
    <row r="2342" spans="1:23" ht="12.5">
      <c r="A2342" s="5">
        <v>92860</v>
      </c>
      <c r="B2342" s="5" t="s">
        <v>20096</v>
      </c>
      <c r="C2342" s="5">
        <v>573017703687</v>
      </c>
      <c r="D2342" s="5">
        <v>95</v>
      </c>
      <c r="E2342" s="5" t="s">
        <v>13716</v>
      </c>
      <c r="F2342" s="5" t="s">
        <v>12657</v>
      </c>
      <c r="G2342" s="5" t="s">
        <v>13715</v>
      </c>
      <c r="H2342" s="5" t="s">
        <v>12657</v>
      </c>
      <c r="I2342" s="5">
        <v>573017703687</v>
      </c>
      <c r="J2342" s="12">
        <v>46088</v>
      </c>
      <c r="K2342" s="11">
        <v>0</v>
      </c>
      <c r="M2342" s="10" t="s">
        <v>14800</v>
      </c>
      <c r="N2342" s="12">
        <v>46088.750521655093</v>
      </c>
      <c r="O2342" s="10" t="s">
        <v>17973</v>
      </c>
      <c r="P2342" s="5" t="s">
        <v>14571</v>
      </c>
      <c r="Q2342" s="5" t="s">
        <v>14572</v>
      </c>
      <c r="R2342" s="5" t="s">
        <v>20097</v>
      </c>
      <c r="T2342" s="5" t="s">
        <v>5994</v>
      </c>
      <c r="U2342" s="5"/>
      <c r="V2342" s="5" t="s">
        <v>1705</v>
      </c>
      <c r="W2342" s="5"/>
    </row>
    <row r="2343" spans="1:23" ht="12.5">
      <c r="A2343" s="5">
        <v>92861</v>
      </c>
      <c r="B2343" s="5" t="s">
        <v>20098</v>
      </c>
      <c r="C2343" s="5">
        <v>5719543974714</v>
      </c>
      <c r="D2343" s="5">
        <v>52</v>
      </c>
      <c r="E2343" s="5" t="s">
        <v>12496</v>
      </c>
      <c r="F2343" s="5" t="s">
        <v>103</v>
      </c>
      <c r="G2343" s="5" t="s">
        <v>13727</v>
      </c>
      <c r="H2343" s="5" t="s">
        <v>13728</v>
      </c>
      <c r="I2343" s="5"/>
      <c r="J2343" s="12">
        <v>46089</v>
      </c>
      <c r="K2343" s="11">
        <v>0.33333333333212067</v>
      </c>
      <c r="M2343" s="10" t="s">
        <v>10581</v>
      </c>
      <c r="N2343" s="12">
        <v>46088.754542812501</v>
      </c>
      <c r="O2343" s="10" t="s">
        <v>17979</v>
      </c>
      <c r="P2343" s="5" t="s">
        <v>14571</v>
      </c>
      <c r="Q2343" s="5" t="s">
        <v>14612</v>
      </c>
      <c r="R2343" s="5" t="s">
        <v>20099</v>
      </c>
      <c r="T2343" s="5" t="s">
        <v>5994</v>
      </c>
      <c r="U2343" s="5" t="s">
        <v>14593</v>
      </c>
      <c r="V2343" s="5" t="s">
        <v>43</v>
      </c>
      <c r="W2343" s="5" t="s">
        <v>13731</v>
      </c>
    </row>
    <row r="2344" spans="1:23" ht="12.5">
      <c r="A2344" s="5">
        <v>92862</v>
      </c>
      <c r="B2344" s="5" t="s">
        <v>20100</v>
      </c>
      <c r="C2344" s="5">
        <v>573052988140</v>
      </c>
      <c r="D2344" s="5" t="s">
        <v>14589</v>
      </c>
      <c r="E2344" s="5" t="s">
        <v>13654</v>
      </c>
      <c r="F2344" s="5" t="s">
        <v>146</v>
      </c>
      <c r="G2344" s="5" t="s">
        <v>13652</v>
      </c>
      <c r="H2344" s="5" t="s">
        <v>13653</v>
      </c>
      <c r="I2344" s="5">
        <v>573052988140</v>
      </c>
      <c r="J2344" s="12">
        <v>46089</v>
      </c>
      <c r="K2344" s="11">
        <v>0.5</v>
      </c>
      <c r="M2344" s="10" t="s">
        <v>14595</v>
      </c>
      <c r="N2344" s="12">
        <v>46088.696607511578</v>
      </c>
      <c r="O2344" s="10" t="s">
        <v>17979</v>
      </c>
      <c r="P2344" s="5" t="s">
        <v>14571</v>
      </c>
      <c r="Q2344" s="5" t="s">
        <v>14572</v>
      </c>
      <c r="R2344" s="5" t="s">
        <v>20101</v>
      </c>
      <c r="T2344" s="5" t="s">
        <v>5994</v>
      </c>
      <c r="U2344" s="5" t="s">
        <v>14618</v>
      </c>
      <c r="V2344" s="5" t="s">
        <v>12646</v>
      </c>
      <c r="W2344" s="5"/>
    </row>
    <row r="2345" spans="1:23" ht="12.5">
      <c r="A2345" s="5">
        <v>92863</v>
      </c>
      <c r="B2345" s="5" t="s">
        <v>20102</v>
      </c>
      <c r="C2345" s="5">
        <v>573242829432</v>
      </c>
      <c r="D2345" s="5">
        <v>58</v>
      </c>
      <c r="E2345" s="5" t="s">
        <v>12728</v>
      </c>
      <c r="F2345" s="5" t="s">
        <v>146</v>
      </c>
      <c r="G2345" s="5" t="s">
        <v>8395</v>
      </c>
      <c r="H2345" s="5" t="s">
        <v>13709</v>
      </c>
      <c r="I2345" s="5">
        <v>573137652515</v>
      </c>
      <c r="J2345" s="12">
        <v>46089</v>
      </c>
      <c r="K2345" s="11">
        <v>0.41666666666787933</v>
      </c>
      <c r="M2345" s="10" t="s">
        <v>14643</v>
      </c>
      <c r="N2345" s="12">
        <v>46088.739160081022</v>
      </c>
      <c r="O2345" s="10" t="s">
        <v>16995</v>
      </c>
      <c r="P2345" s="5" t="s">
        <v>14571</v>
      </c>
      <c r="Q2345" s="5" t="s">
        <v>17990</v>
      </c>
      <c r="R2345" s="5" t="s">
        <v>20103</v>
      </c>
      <c r="T2345" s="5" t="s">
        <v>5994</v>
      </c>
      <c r="U2345" s="5" t="s">
        <v>14618</v>
      </c>
      <c r="V2345" s="5" t="s">
        <v>12646</v>
      </c>
      <c r="W2345" s="5"/>
    </row>
    <row r="2346" spans="1:23" ht="12.5">
      <c r="A2346" s="5">
        <v>92685</v>
      </c>
      <c r="B2346" s="5" t="s">
        <v>20104</v>
      </c>
      <c r="C2346" s="10" t="s">
        <v>20105</v>
      </c>
      <c r="D2346" s="5">
        <v>30</v>
      </c>
      <c r="E2346" s="5" t="s">
        <v>12844</v>
      </c>
      <c r="F2346" s="5" t="s">
        <v>249</v>
      </c>
      <c r="G2346" s="5" t="s">
        <v>12955</v>
      </c>
      <c r="H2346" s="5" t="s">
        <v>12956</v>
      </c>
      <c r="I2346" s="5">
        <v>573246155465</v>
      </c>
      <c r="J2346" s="12">
        <v>46089</v>
      </c>
      <c r="K2346" s="11">
        <v>0.375</v>
      </c>
      <c r="M2346" s="10" t="s">
        <v>14627</v>
      </c>
      <c r="N2346" s="12">
        <v>46088</v>
      </c>
      <c r="O2346" s="10" t="s">
        <v>16685</v>
      </c>
      <c r="P2346" s="5" t="s">
        <v>14571</v>
      </c>
      <c r="Q2346" s="5" t="s">
        <v>17688</v>
      </c>
      <c r="R2346" s="5"/>
      <c r="T2346" s="5" t="s">
        <v>5994</v>
      </c>
      <c r="U2346" s="5" t="s">
        <v>14593</v>
      </c>
      <c r="V2346" s="5" t="s">
        <v>67</v>
      </c>
      <c r="W2346" s="5"/>
    </row>
    <row r="2347" spans="1:23" ht="12.5">
      <c r="A2347" s="5">
        <v>92864</v>
      </c>
      <c r="B2347" s="5" t="s">
        <v>20106</v>
      </c>
      <c r="C2347" s="10" t="s">
        <v>20107</v>
      </c>
      <c r="D2347" s="5">
        <v>29</v>
      </c>
      <c r="E2347" s="5" t="s">
        <v>12406</v>
      </c>
      <c r="F2347" s="5" t="s">
        <v>103</v>
      </c>
      <c r="G2347" s="5" t="s">
        <v>20108</v>
      </c>
      <c r="H2347" s="5" t="s">
        <v>13719</v>
      </c>
      <c r="I2347" s="5">
        <v>573205116170</v>
      </c>
      <c r="J2347" s="12">
        <v>46089</v>
      </c>
      <c r="K2347" s="11">
        <v>0.5</v>
      </c>
      <c r="M2347" s="10" t="s">
        <v>14705</v>
      </c>
      <c r="N2347" s="12">
        <v>46088</v>
      </c>
      <c r="O2347" s="10" t="s">
        <v>16495</v>
      </c>
      <c r="P2347" s="5" t="s">
        <v>14571</v>
      </c>
      <c r="Q2347" s="5" t="s">
        <v>17688</v>
      </c>
      <c r="R2347" s="5" t="s">
        <v>20109</v>
      </c>
      <c r="T2347" s="5" t="s">
        <v>5994</v>
      </c>
      <c r="U2347" s="5" t="s">
        <v>14593</v>
      </c>
      <c r="V2347" s="5" t="s">
        <v>12646</v>
      </c>
      <c r="W2347" s="5"/>
    </row>
    <row r="2348" spans="1:23" ht="12.5">
      <c r="A2348" s="5">
        <v>92865</v>
      </c>
      <c r="B2348" s="5" t="s">
        <v>20110</v>
      </c>
      <c r="C2348" s="5">
        <v>573008366418</v>
      </c>
      <c r="D2348" s="5" t="s">
        <v>17927</v>
      </c>
      <c r="E2348" s="5" t="s">
        <v>13725</v>
      </c>
      <c r="F2348" s="5" t="s">
        <v>103</v>
      </c>
      <c r="G2348" s="5" t="s">
        <v>13723</v>
      </c>
      <c r="H2348" s="5" t="s">
        <v>13724</v>
      </c>
      <c r="I2348" s="5">
        <v>573008366418</v>
      </c>
      <c r="J2348" s="12">
        <v>46089</v>
      </c>
      <c r="K2348" s="11">
        <v>4.1666666667879326E-2</v>
      </c>
      <c r="M2348" s="10" t="s">
        <v>15232</v>
      </c>
      <c r="N2348" s="12">
        <v>46088.751638171292</v>
      </c>
      <c r="O2348" s="10" t="s">
        <v>16563</v>
      </c>
      <c r="P2348" s="5" t="s">
        <v>14571</v>
      </c>
      <c r="Q2348" s="5" t="s">
        <v>14572</v>
      </c>
      <c r="R2348" s="5" t="s">
        <v>20111</v>
      </c>
      <c r="T2348" s="5" t="s">
        <v>5994</v>
      </c>
      <c r="U2348" s="5" t="s">
        <v>14593</v>
      </c>
      <c r="V2348" s="5" t="s">
        <v>12646</v>
      </c>
      <c r="W2348" s="5" t="s">
        <v>9771</v>
      </c>
    </row>
    <row r="2349" spans="1:23" ht="12.5">
      <c r="A2349" s="5">
        <v>92866</v>
      </c>
      <c r="B2349" s="5" t="s">
        <v>20112</v>
      </c>
      <c r="C2349" s="5">
        <v>573138831564</v>
      </c>
      <c r="D2349" s="5">
        <v>44</v>
      </c>
      <c r="E2349" s="5" t="s">
        <v>13483</v>
      </c>
      <c r="F2349" s="5" t="s">
        <v>124</v>
      </c>
      <c r="G2349" s="5" t="s">
        <v>13664</v>
      </c>
      <c r="H2349" s="5" t="s">
        <v>13665</v>
      </c>
      <c r="I2349" s="5">
        <v>573007389560</v>
      </c>
      <c r="J2349" s="12">
        <v>46089</v>
      </c>
      <c r="K2349" s="11">
        <v>4.1666666667879326E-2</v>
      </c>
      <c r="M2349" s="10" t="s">
        <v>14708</v>
      </c>
      <c r="N2349" s="12">
        <v>46088.699771840278</v>
      </c>
      <c r="O2349" s="10" t="s">
        <v>15900</v>
      </c>
      <c r="P2349" s="5" t="s">
        <v>14571</v>
      </c>
      <c r="Q2349" s="5" t="s">
        <v>14578</v>
      </c>
      <c r="R2349" s="5" t="s">
        <v>20113</v>
      </c>
      <c r="T2349" s="5" t="s">
        <v>5994</v>
      </c>
      <c r="U2349" s="5" t="s">
        <v>14775</v>
      </c>
      <c r="V2349" s="5" t="s">
        <v>12646</v>
      </c>
      <c r="W2349" s="5" t="s">
        <v>9771</v>
      </c>
    </row>
    <row r="2350" spans="1:23" ht="12.5">
      <c r="A2350" s="5">
        <v>92696</v>
      </c>
      <c r="B2350" s="5" t="s">
        <v>20114</v>
      </c>
      <c r="C2350" s="10" t="s">
        <v>20115</v>
      </c>
      <c r="D2350" s="5">
        <v>30</v>
      </c>
      <c r="E2350" s="5" t="s">
        <v>12844</v>
      </c>
      <c r="F2350" s="5" t="s">
        <v>63</v>
      </c>
      <c r="G2350" s="5" t="s">
        <v>20116</v>
      </c>
      <c r="H2350" s="5" t="s">
        <v>13039</v>
      </c>
      <c r="I2350" s="5">
        <v>573102091868</v>
      </c>
      <c r="J2350" s="12">
        <v>46089</v>
      </c>
      <c r="K2350" s="11">
        <v>0.33333333333333331</v>
      </c>
      <c r="M2350" s="10" t="s">
        <v>15525</v>
      </c>
      <c r="N2350" s="12">
        <v>46088</v>
      </c>
      <c r="O2350" s="10" t="s">
        <v>15206</v>
      </c>
      <c r="P2350" s="5" t="s">
        <v>14571</v>
      </c>
      <c r="Q2350" s="5" t="s">
        <v>17688</v>
      </c>
      <c r="R2350" s="5" t="s">
        <v>20117</v>
      </c>
      <c r="T2350" s="5" t="s">
        <v>5994</v>
      </c>
      <c r="U2350" s="5" t="s">
        <v>14598</v>
      </c>
      <c r="V2350" s="5" t="s">
        <v>12646</v>
      </c>
      <c r="W2350" s="5" t="s">
        <v>13041</v>
      </c>
    </row>
    <row r="2351" spans="1:23" ht="12.5">
      <c r="A2351" s="5">
        <v>92867</v>
      </c>
      <c r="B2351" s="5" t="s">
        <v>20118</v>
      </c>
      <c r="C2351" s="5">
        <v>573243585945</v>
      </c>
      <c r="D2351" s="5" t="s">
        <v>20119</v>
      </c>
      <c r="E2351" s="5" t="s">
        <v>13608</v>
      </c>
      <c r="F2351" s="5" t="s">
        <v>9925</v>
      </c>
      <c r="G2351" s="5" t="s">
        <v>13606</v>
      </c>
      <c r="H2351" s="5" t="s">
        <v>13607</v>
      </c>
      <c r="I2351" s="5">
        <v>573243585945</v>
      </c>
      <c r="J2351" s="12">
        <v>46089</v>
      </c>
      <c r="K2351" s="11">
        <v>0.5</v>
      </c>
      <c r="M2351" s="10" t="s">
        <v>16119</v>
      </c>
      <c r="N2351" s="12">
        <v>46088.67969167824</v>
      </c>
      <c r="O2351" s="10" t="s">
        <v>15023</v>
      </c>
      <c r="P2351" s="5" t="s">
        <v>14571</v>
      </c>
      <c r="Q2351" s="5" t="s">
        <v>17404</v>
      </c>
      <c r="R2351" s="5" t="s">
        <v>20120</v>
      </c>
      <c r="T2351" s="5" t="s">
        <v>5994</v>
      </c>
      <c r="U2351" s="5" t="s">
        <v>14618</v>
      </c>
      <c r="V2351" s="5" t="s">
        <v>12646</v>
      </c>
      <c r="W2351" s="5" t="s">
        <v>13611</v>
      </c>
    </row>
    <row r="2352" spans="1:23" ht="12.5">
      <c r="A2352" s="5">
        <v>92868</v>
      </c>
      <c r="B2352" s="5" t="s">
        <v>20121</v>
      </c>
      <c r="C2352" s="5">
        <v>573114121833</v>
      </c>
      <c r="D2352" s="5">
        <v>1</v>
      </c>
      <c r="E2352" s="5" t="s">
        <v>13074</v>
      </c>
      <c r="F2352" s="5" t="s">
        <v>4558</v>
      </c>
      <c r="G2352" s="5" t="s">
        <v>13744</v>
      </c>
      <c r="H2352" s="5" t="s">
        <v>13745</v>
      </c>
      <c r="I2352" s="5">
        <v>573114121833</v>
      </c>
      <c r="J2352" s="12">
        <v>46089</v>
      </c>
      <c r="K2352" s="11">
        <v>0.54166666666787933</v>
      </c>
      <c r="M2352" s="10" t="s">
        <v>16109</v>
      </c>
      <c r="N2352" s="12">
        <v>46088.771066759262</v>
      </c>
      <c r="O2352" s="10" t="s">
        <v>19045</v>
      </c>
      <c r="P2352" s="5" t="s">
        <v>14571</v>
      </c>
      <c r="Q2352" s="5" t="s">
        <v>16907</v>
      </c>
      <c r="R2352" s="5" t="s">
        <v>20122</v>
      </c>
      <c r="T2352" s="5" t="s">
        <v>5994</v>
      </c>
      <c r="U2352" s="5" t="s">
        <v>14593</v>
      </c>
      <c r="V2352" s="5" t="s">
        <v>12646</v>
      </c>
      <c r="W2352" s="5" t="s">
        <v>9771</v>
      </c>
    </row>
    <row r="2353" spans="1:23" ht="12.5">
      <c r="A2353" s="5">
        <v>92869</v>
      </c>
      <c r="B2353" s="5" t="s">
        <v>20123</v>
      </c>
      <c r="C2353" s="5">
        <v>573004304422</v>
      </c>
      <c r="D2353" s="5" t="s">
        <v>14589</v>
      </c>
      <c r="E2353" s="5" t="s">
        <v>13741</v>
      </c>
      <c r="F2353" s="5" t="s">
        <v>63</v>
      </c>
      <c r="G2353" s="5" t="s">
        <v>13739</v>
      </c>
      <c r="H2353" s="5" t="s">
        <v>13740</v>
      </c>
      <c r="I2353" s="5"/>
      <c r="J2353" s="12">
        <v>46089</v>
      </c>
      <c r="K2353" s="11">
        <v>0.41666666666787933</v>
      </c>
      <c r="M2353" s="10" t="s">
        <v>16274</v>
      </c>
      <c r="N2353" s="12">
        <v>46088.763666342595</v>
      </c>
      <c r="O2353" s="10" t="s">
        <v>20124</v>
      </c>
      <c r="P2353" s="5" t="s">
        <v>14571</v>
      </c>
      <c r="Q2353" s="5" t="s">
        <v>17423</v>
      </c>
      <c r="R2353" s="5" t="s">
        <v>20125</v>
      </c>
      <c r="T2353" s="5" t="s">
        <v>5994</v>
      </c>
      <c r="U2353" s="5" t="s">
        <v>14598</v>
      </c>
      <c r="V2353" s="5" t="s">
        <v>12646</v>
      </c>
      <c r="W2353" s="5" t="s">
        <v>9771</v>
      </c>
    </row>
    <row r="2354" spans="1:23" ht="12.5">
      <c r="A2354" s="5">
        <v>92870</v>
      </c>
      <c r="B2354" s="5" t="s">
        <v>20126</v>
      </c>
      <c r="C2354" s="5">
        <v>13059988217</v>
      </c>
      <c r="D2354" s="5">
        <v>62</v>
      </c>
      <c r="E2354" s="5" t="s">
        <v>12484</v>
      </c>
      <c r="F2354" s="5" t="s">
        <v>307</v>
      </c>
      <c r="G2354" s="5" t="s">
        <v>13674</v>
      </c>
      <c r="H2354" s="5" t="s">
        <v>13675</v>
      </c>
      <c r="I2354" s="5">
        <v>573045365575</v>
      </c>
      <c r="J2354" s="12">
        <v>46089</v>
      </c>
      <c r="K2354" s="11">
        <v>4.1666666667879326E-2</v>
      </c>
      <c r="M2354" s="10" t="s">
        <v>14712</v>
      </c>
      <c r="N2354" s="12">
        <v>46088.709996527774</v>
      </c>
      <c r="O2354" s="10" t="s">
        <v>20127</v>
      </c>
      <c r="P2354" s="5" t="s">
        <v>14571</v>
      </c>
      <c r="Q2354" s="5" t="s">
        <v>17688</v>
      </c>
      <c r="R2354" s="5" t="s">
        <v>20128</v>
      </c>
      <c r="T2354" s="5" t="s">
        <v>5994</v>
      </c>
      <c r="U2354" s="5" t="s">
        <v>14618</v>
      </c>
      <c r="V2354" s="5" t="s">
        <v>1937</v>
      </c>
      <c r="W2354" s="5" t="s">
        <v>13678</v>
      </c>
    </row>
    <row r="2355" spans="1:23" ht="12.5">
      <c r="A2355" s="5">
        <v>92871</v>
      </c>
      <c r="B2355" s="5" t="s">
        <v>20129</v>
      </c>
      <c r="C2355" s="5">
        <v>573164708911</v>
      </c>
      <c r="D2355" s="5">
        <v>106</v>
      </c>
      <c r="E2355" s="5" t="s">
        <v>13758</v>
      </c>
      <c r="F2355" s="5" t="s">
        <v>110</v>
      </c>
      <c r="G2355" s="5" t="s">
        <v>13756</v>
      </c>
      <c r="H2355" s="5" t="s">
        <v>13757</v>
      </c>
      <c r="I2355" s="5">
        <v>573164708911</v>
      </c>
      <c r="J2355" s="12">
        <v>46089</v>
      </c>
      <c r="K2355" s="11">
        <v>0</v>
      </c>
      <c r="M2355" s="10" t="s">
        <v>16849</v>
      </c>
      <c r="N2355" s="12">
        <v>46088.79059178241</v>
      </c>
      <c r="O2355" s="10" t="s">
        <v>19125</v>
      </c>
      <c r="P2355" s="5" t="s">
        <v>14571</v>
      </c>
      <c r="Q2355" s="5" t="s">
        <v>17990</v>
      </c>
      <c r="R2355" s="5" t="s">
        <v>20130</v>
      </c>
      <c r="T2355" s="5" t="s">
        <v>5994</v>
      </c>
      <c r="U2355" s="5" t="s">
        <v>14593</v>
      </c>
      <c r="V2355" s="5" t="s">
        <v>12646</v>
      </c>
      <c r="W2355" s="5" t="s">
        <v>13759</v>
      </c>
    </row>
    <row r="2356" spans="1:23" ht="12.5">
      <c r="A2356" s="5">
        <v>92872</v>
      </c>
      <c r="B2356" s="5" t="s">
        <v>20131</v>
      </c>
      <c r="C2356" s="5">
        <v>573217755180</v>
      </c>
      <c r="D2356" s="5" t="s">
        <v>18242</v>
      </c>
      <c r="E2356" s="5" t="s">
        <v>13695</v>
      </c>
      <c r="F2356" s="5" t="s">
        <v>185</v>
      </c>
      <c r="G2356" s="5" t="s">
        <v>13693</v>
      </c>
      <c r="H2356" s="5" t="s">
        <v>13694</v>
      </c>
      <c r="I2356" s="5">
        <v>573160560530</v>
      </c>
      <c r="J2356" s="12">
        <v>46088</v>
      </c>
      <c r="K2356" s="11">
        <v>4.1666666667879326E-2</v>
      </c>
      <c r="M2356" s="10" t="s">
        <v>15925</v>
      </c>
      <c r="N2356" s="12">
        <v>46088.725830995369</v>
      </c>
      <c r="O2356" s="10" t="s">
        <v>20132</v>
      </c>
      <c r="P2356" s="5" t="s">
        <v>14571</v>
      </c>
      <c r="Q2356" s="5" t="s">
        <v>14572</v>
      </c>
      <c r="R2356" s="5" t="s">
        <v>20133</v>
      </c>
      <c r="T2356" s="5" t="s">
        <v>5994</v>
      </c>
      <c r="U2356" s="5" t="s">
        <v>14580</v>
      </c>
      <c r="V2356" s="5" t="s">
        <v>1937</v>
      </c>
      <c r="W2356" s="5" t="s">
        <v>13697</v>
      </c>
    </row>
    <row r="2357" spans="1:23" ht="12.5">
      <c r="A2357" s="5">
        <v>92873</v>
      </c>
      <c r="B2357" s="5" t="s">
        <v>20134</v>
      </c>
      <c r="C2357" s="5">
        <v>573123838194</v>
      </c>
      <c r="D2357" s="5" t="s">
        <v>14589</v>
      </c>
      <c r="E2357" s="5" t="s">
        <v>13667</v>
      </c>
      <c r="F2357" s="5" t="s">
        <v>12657</v>
      </c>
      <c r="G2357" s="5" t="s">
        <v>13666</v>
      </c>
      <c r="H2357" s="5" t="s">
        <v>12657</v>
      </c>
      <c r="I2357" s="5">
        <v>573123838194</v>
      </c>
      <c r="J2357" s="12">
        <v>46089</v>
      </c>
      <c r="K2357" s="11">
        <v>0</v>
      </c>
      <c r="M2357" s="10" t="s">
        <v>14585</v>
      </c>
      <c r="N2357" s="12">
        <v>46088.702785092595</v>
      </c>
      <c r="O2357" s="10" t="s">
        <v>19460</v>
      </c>
      <c r="P2357" s="5" t="s">
        <v>14571</v>
      </c>
      <c r="Q2357" s="5" t="s">
        <v>17990</v>
      </c>
      <c r="R2357" s="5" t="s">
        <v>20135</v>
      </c>
      <c r="T2357" s="5" t="s">
        <v>5994</v>
      </c>
      <c r="U2357" s="5"/>
      <c r="V2357" s="5" t="s">
        <v>1937</v>
      </c>
      <c r="W2357" s="5"/>
    </row>
    <row r="2358" spans="1:23" ht="12.5">
      <c r="A2358" s="5">
        <v>92874</v>
      </c>
      <c r="B2358" s="5" t="s">
        <v>20136</v>
      </c>
      <c r="C2358" s="10" t="s">
        <v>20137</v>
      </c>
      <c r="D2358" s="5">
        <v>29</v>
      </c>
      <c r="E2358" s="5" t="s">
        <v>12406</v>
      </c>
      <c r="F2358" s="5" t="s">
        <v>886</v>
      </c>
      <c r="G2358" s="5" t="s">
        <v>20138</v>
      </c>
      <c r="H2358" s="5" t="s">
        <v>13750</v>
      </c>
      <c r="I2358" s="5">
        <v>573012120265</v>
      </c>
      <c r="J2358" s="12">
        <v>46089</v>
      </c>
      <c r="K2358" s="11">
        <v>4.1666666666666664E-2</v>
      </c>
      <c r="M2358" s="10" t="s">
        <v>15632</v>
      </c>
      <c r="N2358" s="12">
        <v>46088</v>
      </c>
      <c r="O2358" s="10" t="s">
        <v>20139</v>
      </c>
      <c r="P2358" s="5" t="s">
        <v>14571</v>
      </c>
      <c r="Q2358" s="5" t="s">
        <v>17688</v>
      </c>
      <c r="R2358" s="5" t="s">
        <v>20140</v>
      </c>
      <c r="T2358" s="5" t="s">
        <v>5994</v>
      </c>
      <c r="U2358" s="5" t="s">
        <v>14618</v>
      </c>
      <c r="V2358" s="5" t="s">
        <v>12646</v>
      </c>
      <c r="W2358" s="5" t="s">
        <v>9771</v>
      </c>
    </row>
    <row r="2359" spans="1:23" ht="12.5">
      <c r="A2359" s="5">
        <v>92875</v>
      </c>
      <c r="B2359" s="5" t="s">
        <v>19132</v>
      </c>
      <c r="C2359" s="5">
        <v>573043190657</v>
      </c>
      <c r="D2359" s="5">
        <v>29</v>
      </c>
      <c r="E2359" s="5" t="s">
        <v>12406</v>
      </c>
      <c r="F2359" s="5" t="s">
        <v>12657</v>
      </c>
      <c r="G2359" s="5" t="s">
        <v>3183</v>
      </c>
      <c r="H2359" s="5" t="s">
        <v>12657</v>
      </c>
      <c r="I2359" s="5">
        <v>573043190657</v>
      </c>
      <c r="J2359" s="12">
        <v>46089</v>
      </c>
      <c r="K2359" s="11">
        <v>0.4375</v>
      </c>
      <c r="M2359" s="10" t="s">
        <v>15594</v>
      </c>
      <c r="N2359" s="12">
        <v>46088.757215173609</v>
      </c>
      <c r="O2359" s="10" t="s">
        <v>20141</v>
      </c>
      <c r="P2359" s="5" t="s">
        <v>14571</v>
      </c>
      <c r="Q2359" s="5" t="s">
        <v>14572</v>
      </c>
      <c r="R2359" s="5" t="s">
        <v>20142</v>
      </c>
      <c r="T2359" s="5" t="s">
        <v>5994</v>
      </c>
      <c r="U2359" s="5"/>
      <c r="V2359" s="5" t="s">
        <v>12646</v>
      </c>
      <c r="W2359" s="5" t="s">
        <v>13734</v>
      </c>
    </row>
    <row r="2360" spans="1:23" ht="12.5">
      <c r="A2360" s="5">
        <v>92876</v>
      </c>
      <c r="B2360" s="5" t="s">
        <v>20143</v>
      </c>
      <c r="C2360" s="5">
        <v>573144430705</v>
      </c>
      <c r="D2360" s="5">
        <v>104</v>
      </c>
      <c r="E2360" s="5" t="s">
        <v>12673</v>
      </c>
      <c r="F2360" s="5" t="s">
        <v>185</v>
      </c>
      <c r="G2360" s="5" t="s">
        <v>941</v>
      </c>
      <c r="H2360" s="5" t="s">
        <v>13735</v>
      </c>
      <c r="I2360" s="5">
        <v>573144430705</v>
      </c>
      <c r="J2360" s="12">
        <v>46088</v>
      </c>
      <c r="K2360" s="11">
        <v>4.1666666667879326E-2</v>
      </c>
      <c r="M2360" s="10" t="s">
        <v>14890</v>
      </c>
      <c r="N2360" s="12">
        <v>46088.760082962966</v>
      </c>
      <c r="O2360" s="10" t="s">
        <v>20144</v>
      </c>
      <c r="P2360" s="5" t="s">
        <v>14571</v>
      </c>
      <c r="Q2360" s="5" t="s">
        <v>14612</v>
      </c>
      <c r="R2360" s="5" t="s">
        <v>20145</v>
      </c>
      <c r="T2360" s="5" t="s">
        <v>5994</v>
      </c>
      <c r="U2360" s="5" t="s">
        <v>14580</v>
      </c>
      <c r="V2360" s="5" t="s">
        <v>12646</v>
      </c>
      <c r="W2360" s="5" t="s">
        <v>9771</v>
      </c>
    </row>
    <row r="2361" spans="1:23" ht="12.5">
      <c r="A2361" s="5">
        <v>92877</v>
      </c>
      <c r="B2361" s="5" t="s">
        <v>20146</v>
      </c>
      <c r="C2361" s="10" t="s">
        <v>20147</v>
      </c>
      <c r="D2361" s="5">
        <v>39</v>
      </c>
      <c r="E2361" s="5" t="s">
        <v>12437</v>
      </c>
      <c r="F2361" s="5" t="s">
        <v>54</v>
      </c>
      <c r="G2361" s="5" t="s">
        <v>20148</v>
      </c>
      <c r="H2361" s="5" t="s">
        <v>13754</v>
      </c>
      <c r="I2361" s="5">
        <v>573016476237</v>
      </c>
      <c r="J2361" s="12">
        <v>46089</v>
      </c>
      <c r="K2361" s="11">
        <v>4.1666666666666664E-2</v>
      </c>
      <c r="M2361" s="10" t="s">
        <v>15460</v>
      </c>
      <c r="N2361" s="12">
        <v>46088</v>
      </c>
      <c r="O2361" s="10" t="s">
        <v>20149</v>
      </c>
      <c r="P2361" s="5" t="s">
        <v>14571</v>
      </c>
      <c r="Q2361" s="5" t="s">
        <v>14572</v>
      </c>
      <c r="R2361" s="5" t="s">
        <v>20150</v>
      </c>
      <c r="T2361" s="5" t="s">
        <v>5994</v>
      </c>
      <c r="U2361" s="5" t="s">
        <v>14580</v>
      </c>
      <c r="V2361" s="5" t="s">
        <v>12646</v>
      </c>
      <c r="W2361" s="5" t="s">
        <v>9771</v>
      </c>
    </row>
    <row r="2362" spans="1:23" ht="12.5">
      <c r="A2362" s="5">
        <v>92878</v>
      </c>
      <c r="B2362" s="5" t="s">
        <v>20151</v>
      </c>
      <c r="C2362" s="5">
        <v>573017717218</v>
      </c>
      <c r="D2362" s="5">
        <v>29</v>
      </c>
      <c r="E2362" s="5" t="s">
        <v>12406</v>
      </c>
      <c r="F2362" s="5" t="s">
        <v>1317</v>
      </c>
      <c r="G2362" s="5" t="s">
        <v>13766</v>
      </c>
      <c r="H2362" s="5" t="s">
        <v>13767</v>
      </c>
      <c r="I2362" s="5">
        <v>573017717218</v>
      </c>
      <c r="J2362" s="12">
        <v>46089</v>
      </c>
      <c r="K2362" s="11">
        <v>4.1666666667879326E-2</v>
      </c>
      <c r="M2362" s="10" t="s">
        <v>15632</v>
      </c>
      <c r="N2362" s="12">
        <v>46088.797228090276</v>
      </c>
      <c r="O2362" s="10" t="s">
        <v>20152</v>
      </c>
      <c r="P2362" s="5" t="s">
        <v>14571</v>
      </c>
      <c r="Q2362" s="5" t="s">
        <v>17688</v>
      </c>
      <c r="R2362" s="5" t="s">
        <v>20153</v>
      </c>
      <c r="T2362" s="5" t="s">
        <v>5994</v>
      </c>
      <c r="U2362" s="5" t="s">
        <v>15349</v>
      </c>
      <c r="V2362" s="5" t="s">
        <v>12646</v>
      </c>
      <c r="W2362" s="5" t="s">
        <v>9771</v>
      </c>
    </row>
    <row r="2363" spans="1:23" ht="12.5">
      <c r="A2363" s="5">
        <v>92879</v>
      </c>
      <c r="B2363" s="5" t="s">
        <v>20154</v>
      </c>
      <c r="C2363" s="5">
        <v>573206470322</v>
      </c>
      <c r="D2363" s="5">
        <v>29</v>
      </c>
      <c r="E2363" s="5" t="s">
        <v>12406</v>
      </c>
      <c r="F2363" s="5" t="s">
        <v>7476</v>
      </c>
      <c r="G2363" s="5" t="s">
        <v>13771</v>
      </c>
      <c r="H2363" s="5" t="s">
        <v>13772</v>
      </c>
      <c r="I2363" s="5">
        <v>573234741832</v>
      </c>
      <c r="J2363" s="12">
        <v>46089</v>
      </c>
      <c r="K2363" s="11">
        <v>4.1666666667879326E-2</v>
      </c>
      <c r="M2363" s="10" t="s">
        <v>16470</v>
      </c>
      <c r="N2363" s="12">
        <v>46088.804454826386</v>
      </c>
      <c r="O2363" s="10" t="s">
        <v>20155</v>
      </c>
      <c r="P2363" s="5" t="s">
        <v>14571</v>
      </c>
      <c r="Q2363" s="5" t="s">
        <v>17688</v>
      </c>
      <c r="R2363" s="5" t="s">
        <v>20156</v>
      </c>
      <c r="T2363" s="5" t="s">
        <v>5994</v>
      </c>
      <c r="U2363" s="5" t="s">
        <v>15349</v>
      </c>
      <c r="V2363" s="5" t="s">
        <v>12646</v>
      </c>
      <c r="W2363" s="5" t="s">
        <v>9771</v>
      </c>
    </row>
    <row r="2364" spans="1:23" ht="12.5">
      <c r="A2364" s="5">
        <v>92880</v>
      </c>
      <c r="B2364" s="5" t="s">
        <v>20134</v>
      </c>
      <c r="C2364" s="5">
        <v>57312383819419</v>
      </c>
      <c r="D2364" s="5">
        <v>29</v>
      </c>
      <c r="E2364" s="5" t="s">
        <v>12406</v>
      </c>
      <c r="F2364" s="5" t="s">
        <v>12657</v>
      </c>
      <c r="G2364" s="5" t="s">
        <v>13666</v>
      </c>
      <c r="H2364" s="5" t="s">
        <v>12657</v>
      </c>
      <c r="I2364" s="5">
        <v>573123838194</v>
      </c>
      <c r="J2364" s="12">
        <v>46089</v>
      </c>
      <c r="K2364" s="11">
        <v>0.41666666666787933</v>
      </c>
      <c r="M2364" s="10" t="s">
        <v>14627</v>
      </c>
      <c r="N2364" s="12">
        <v>46088.82136563657</v>
      </c>
      <c r="O2364" s="10" t="s">
        <v>20157</v>
      </c>
      <c r="P2364" s="5" t="s">
        <v>14571</v>
      </c>
      <c r="Q2364" s="5" t="s">
        <v>17423</v>
      </c>
      <c r="R2364" s="5" t="s">
        <v>20158</v>
      </c>
      <c r="T2364" s="5" t="s">
        <v>5994</v>
      </c>
      <c r="U2364" s="5"/>
      <c r="V2364" s="5" t="s">
        <v>1937</v>
      </c>
      <c r="W2364" s="5" t="s">
        <v>9771</v>
      </c>
    </row>
    <row r="2365" spans="1:23" ht="12.5">
      <c r="A2365" s="5">
        <v>92881</v>
      </c>
      <c r="B2365" s="5" t="s">
        <v>20159</v>
      </c>
      <c r="C2365" s="5">
        <v>573013258824</v>
      </c>
      <c r="D2365" s="5">
        <v>41</v>
      </c>
      <c r="E2365" s="5" t="s">
        <v>13079</v>
      </c>
      <c r="F2365" s="5" t="s">
        <v>63</v>
      </c>
      <c r="G2365" s="5" t="s">
        <v>13778</v>
      </c>
      <c r="H2365" s="5" t="s">
        <v>13779</v>
      </c>
      <c r="I2365" s="5">
        <v>573022940485</v>
      </c>
      <c r="J2365" s="12">
        <v>46089</v>
      </c>
      <c r="K2365" s="11">
        <v>4.1666666667879326E-2</v>
      </c>
      <c r="M2365" s="10" t="s">
        <v>16329</v>
      </c>
      <c r="N2365" s="12">
        <v>46088.831149618054</v>
      </c>
      <c r="O2365" s="10" t="s">
        <v>20160</v>
      </c>
      <c r="P2365" s="5" t="s">
        <v>14571</v>
      </c>
      <c r="Q2365" s="5" t="s">
        <v>17688</v>
      </c>
      <c r="R2365" s="5" t="s">
        <v>20161</v>
      </c>
      <c r="T2365" s="5" t="s">
        <v>5994</v>
      </c>
      <c r="U2365" s="5" t="s">
        <v>14598</v>
      </c>
      <c r="V2365" s="5" t="s">
        <v>12646</v>
      </c>
      <c r="W2365" s="5" t="s">
        <v>13782</v>
      </c>
    </row>
    <row r="2366" spans="1:23" ht="12.5">
      <c r="A2366" s="5">
        <v>92882</v>
      </c>
      <c r="B2366" s="5" t="s">
        <v>20162</v>
      </c>
      <c r="C2366" s="10" t="s">
        <v>20163</v>
      </c>
      <c r="D2366" s="5">
        <v>53</v>
      </c>
      <c r="E2366" s="5" t="s">
        <v>12423</v>
      </c>
      <c r="F2366" s="5" t="s">
        <v>103</v>
      </c>
      <c r="G2366" s="5" t="s">
        <v>20164</v>
      </c>
      <c r="H2366" s="5" t="s">
        <v>13785</v>
      </c>
      <c r="I2366" s="5">
        <v>573042441999</v>
      </c>
      <c r="J2366" s="12">
        <v>46089</v>
      </c>
      <c r="K2366" s="11">
        <v>4.1666666666666664E-2</v>
      </c>
      <c r="M2366" s="10" t="s">
        <v>14627</v>
      </c>
      <c r="N2366" s="12">
        <v>46088</v>
      </c>
      <c r="O2366" s="10" t="s">
        <v>20165</v>
      </c>
      <c r="P2366" s="5" t="s">
        <v>14571</v>
      </c>
      <c r="Q2366" s="5" t="s">
        <v>16907</v>
      </c>
      <c r="R2366" s="5" t="s">
        <v>20166</v>
      </c>
      <c r="T2366" s="5" t="s">
        <v>5994</v>
      </c>
      <c r="U2366" s="5" t="s">
        <v>14593</v>
      </c>
      <c r="V2366" s="5" t="s">
        <v>1937</v>
      </c>
      <c r="W2366" s="5" t="s">
        <v>9771</v>
      </c>
    </row>
    <row r="2367" spans="1:23" ht="12.5">
      <c r="A2367" s="5">
        <v>92883</v>
      </c>
      <c r="B2367" s="5" t="s">
        <v>20167</v>
      </c>
      <c r="C2367" s="10" t="s">
        <v>20168</v>
      </c>
      <c r="D2367" s="5">
        <v>102</v>
      </c>
      <c r="E2367" s="5" t="s">
        <v>13789</v>
      </c>
      <c r="F2367" s="5" t="s">
        <v>103</v>
      </c>
      <c r="G2367" s="5" t="s">
        <v>11357</v>
      </c>
      <c r="H2367" s="5" t="s">
        <v>13788</v>
      </c>
      <c r="I2367" s="5"/>
      <c r="J2367" s="12">
        <v>46089</v>
      </c>
      <c r="K2367" s="11">
        <v>0</v>
      </c>
      <c r="M2367" s="10" t="s">
        <v>14777</v>
      </c>
      <c r="N2367" s="12">
        <v>46088</v>
      </c>
      <c r="O2367" s="10" t="s">
        <v>20169</v>
      </c>
      <c r="P2367" s="5" t="s">
        <v>14571</v>
      </c>
      <c r="Q2367" s="5" t="s">
        <v>16907</v>
      </c>
      <c r="R2367" s="5" t="s">
        <v>20170</v>
      </c>
      <c r="T2367" s="5" t="s">
        <v>5994</v>
      </c>
      <c r="U2367" s="5" t="s">
        <v>14593</v>
      </c>
      <c r="V2367" s="5" t="s">
        <v>43</v>
      </c>
      <c r="W2367" s="5"/>
    </row>
    <row r="2368" spans="1:23" ht="12.5">
      <c r="A2368" s="5">
        <v>92884</v>
      </c>
      <c r="B2368" s="5" t="s">
        <v>19447</v>
      </c>
      <c r="C2368" s="5">
        <v>573112024333</v>
      </c>
      <c r="D2368" s="5">
        <v>21</v>
      </c>
      <c r="E2368" s="5" t="s">
        <v>12924</v>
      </c>
      <c r="F2368" s="5" t="s">
        <v>7476</v>
      </c>
      <c r="G2368" s="5" t="s">
        <v>13792</v>
      </c>
      <c r="H2368" s="5" t="s">
        <v>13793</v>
      </c>
      <c r="I2368" s="5">
        <v>573045291724</v>
      </c>
      <c r="J2368" s="12">
        <v>46089</v>
      </c>
      <c r="K2368" s="11">
        <v>0.54166666666787933</v>
      </c>
      <c r="M2368" s="10" t="s">
        <v>15359</v>
      </c>
      <c r="N2368" s="12">
        <v>46088.862595879633</v>
      </c>
      <c r="O2368" s="10" t="s">
        <v>20171</v>
      </c>
      <c r="P2368" s="5" t="s">
        <v>14571</v>
      </c>
      <c r="Q2368" s="5" t="s">
        <v>14572</v>
      </c>
      <c r="R2368" s="5" t="s">
        <v>20172</v>
      </c>
      <c r="T2368" s="5" t="s">
        <v>5994</v>
      </c>
      <c r="U2368" s="5" t="s">
        <v>15349</v>
      </c>
      <c r="V2368" s="5" t="s">
        <v>12646</v>
      </c>
      <c r="W2368" s="5"/>
    </row>
    <row r="2369" spans="1:23" ht="12.5">
      <c r="A2369" s="5">
        <v>92885</v>
      </c>
      <c r="B2369" s="5" t="s">
        <v>20173</v>
      </c>
      <c r="C2369" s="10" t="s">
        <v>20174</v>
      </c>
      <c r="D2369" s="5" t="s">
        <v>14589</v>
      </c>
      <c r="E2369" s="5" t="s">
        <v>13799</v>
      </c>
      <c r="F2369" s="5" t="s">
        <v>9925</v>
      </c>
      <c r="G2369" s="5" t="s">
        <v>13797</v>
      </c>
      <c r="H2369" s="5" t="s">
        <v>13798</v>
      </c>
      <c r="I2369" s="5">
        <v>573052578032</v>
      </c>
      <c r="J2369" s="12">
        <v>46089</v>
      </c>
      <c r="K2369" s="11">
        <v>0.95833333333333337</v>
      </c>
      <c r="M2369" s="10" t="s">
        <v>15298</v>
      </c>
      <c r="N2369" s="12">
        <v>46088</v>
      </c>
      <c r="O2369" s="10" t="s">
        <v>20175</v>
      </c>
      <c r="P2369" s="5" t="s">
        <v>14571</v>
      </c>
      <c r="Q2369" s="5" t="s">
        <v>17423</v>
      </c>
      <c r="R2369" s="5" t="s">
        <v>20176</v>
      </c>
      <c r="T2369" s="5" t="s">
        <v>5994</v>
      </c>
      <c r="U2369" s="5" t="s">
        <v>14618</v>
      </c>
      <c r="V2369" s="5" t="s">
        <v>12646</v>
      </c>
      <c r="W2369" s="5"/>
    </row>
    <row r="2370" spans="1:23" ht="12.5">
      <c r="A2370" s="5">
        <v>92886</v>
      </c>
      <c r="B2370" s="5" t="s">
        <v>20177</v>
      </c>
      <c r="C2370" s="5">
        <v>573116677797</v>
      </c>
      <c r="D2370" s="5">
        <v>103</v>
      </c>
      <c r="E2370" s="5" t="s">
        <v>13807</v>
      </c>
      <c r="F2370" s="5" t="s">
        <v>73</v>
      </c>
      <c r="G2370" s="5" t="s">
        <v>13805</v>
      </c>
      <c r="H2370" s="5" t="s">
        <v>13806</v>
      </c>
      <c r="I2370" s="5">
        <v>573116677797</v>
      </c>
      <c r="J2370" s="12">
        <v>46089</v>
      </c>
      <c r="K2370" s="11">
        <v>8.3333333332120674E-2</v>
      </c>
      <c r="M2370" s="10" t="s">
        <v>15623</v>
      </c>
      <c r="N2370" s="12">
        <v>46088.885757662036</v>
      </c>
      <c r="O2370" s="10" t="s">
        <v>20178</v>
      </c>
      <c r="P2370" s="5" t="s">
        <v>14571</v>
      </c>
      <c r="Q2370" s="5" t="s">
        <v>14612</v>
      </c>
      <c r="R2370" s="5" t="s">
        <v>20179</v>
      </c>
      <c r="T2370" s="5" t="s">
        <v>5994</v>
      </c>
      <c r="U2370" s="5" t="s">
        <v>14593</v>
      </c>
      <c r="V2370" s="5" t="s">
        <v>12646</v>
      </c>
      <c r="W2370" s="5" t="s">
        <v>13808</v>
      </c>
    </row>
    <row r="2371" spans="1:23" ht="12.5">
      <c r="A2371" s="5">
        <v>92887</v>
      </c>
      <c r="B2371" s="5" t="s">
        <v>20180</v>
      </c>
      <c r="C2371" s="5">
        <v>573112118759</v>
      </c>
      <c r="D2371" s="5">
        <v>29</v>
      </c>
      <c r="E2371" s="5" t="s">
        <v>12406</v>
      </c>
      <c r="F2371" s="5" t="s">
        <v>103</v>
      </c>
      <c r="G2371" s="5" t="s">
        <v>13157</v>
      </c>
      <c r="H2371" s="5" t="s">
        <v>13158</v>
      </c>
      <c r="I2371" s="5"/>
      <c r="J2371" s="12">
        <v>46089</v>
      </c>
      <c r="K2371" s="11">
        <v>0.54166666666787933</v>
      </c>
      <c r="M2371" s="10" t="s">
        <v>14705</v>
      </c>
      <c r="N2371" s="12">
        <v>46087.838216782402</v>
      </c>
      <c r="O2371" s="10" t="s">
        <v>20181</v>
      </c>
      <c r="P2371" s="5" t="s">
        <v>14571</v>
      </c>
      <c r="Q2371" s="5" t="s">
        <v>17688</v>
      </c>
      <c r="R2371" s="5" t="s">
        <v>20182</v>
      </c>
      <c r="T2371" s="5" t="s">
        <v>5994</v>
      </c>
      <c r="U2371" s="5" t="s">
        <v>14593</v>
      </c>
      <c r="V2371" s="5" t="s">
        <v>12646</v>
      </c>
      <c r="W2371" s="5"/>
    </row>
    <row r="2372" spans="1:23" ht="12.5">
      <c r="A2372" s="5">
        <v>92888</v>
      </c>
      <c r="B2372" s="5" t="s">
        <v>20183</v>
      </c>
      <c r="C2372" s="5">
        <v>573114301416</v>
      </c>
      <c r="D2372" s="5">
        <v>29</v>
      </c>
      <c r="E2372" s="5" t="s">
        <v>12406</v>
      </c>
      <c r="F2372" s="5" t="s">
        <v>185</v>
      </c>
      <c r="G2372" s="5" t="s">
        <v>13810</v>
      </c>
      <c r="H2372" s="5" t="s">
        <v>13811</v>
      </c>
      <c r="I2372" s="5"/>
      <c r="J2372" s="12">
        <v>46089</v>
      </c>
      <c r="K2372" s="11">
        <v>0.54166666666787933</v>
      </c>
      <c r="M2372" s="10" t="s">
        <v>15064</v>
      </c>
      <c r="N2372" s="12">
        <v>46088.887168402776</v>
      </c>
      <c r="O2372" s="10" t="s">
        <v>20184</v>
      </c>
      <c r="P2372" s="5" t="s">
        <v>14571</v>
      </c>
      <c r="Q2372" s="5" t="s">
        <v>17688</v>
      </c>
      <c r="R2372" s="5" t="s">
        <v>20185</v>
      </c>
      <c r="T2372" s="5" t="s">
        <v>5994</v>
      </c>
      <c r="U2372" s="5" t="s">
        <v>14580</v>
      </c>
      <c r="V2372" s="5" t="s">
        <v>12646</v>
      </c>
      <c r="W2372" s="5"/>
    </row>
    <row r="2373" spans="1:23" ht="12.5">
      <c r="A2373" s="5">
        <v>92889</v>
      </c>
      <c r="B2373" s="5" t="s">
        <v>13814</v>
      </c>
      <c r="C2373" s="5">
        <v>573015327503</v>
      </c>
      <c r="D2373" s="5">
        <v>53</v>
      </c>
      <c r="E2373" s="5" t="s">
        <v>12423</v>
      </c>
      <c r="F2373" s="5" t="s">
        <v>12657</v>
      </c>
      <c r="G2373" s="5" t="s">
        <v>13814</v>
      </c>
      <c r="H2373" s="5" t="s">
        <v>12657</v>
      </c>
      <c r="I2373" s="5">
        <v>573015327503</v>
      </c>
      <c r="J2373" s="12">
        <v>46089</v>
      </c>
      <c r="K2373" s="11">
        <v>0.41666666666787933</v>
      </c>
      <c r="M2373" s="10" t="s">
        <v>14585</v>
      </c>
      <c r="N2373" s="12">
        <v>46088.89892663194</v>
      </c>
      <c r="O2373" s="10" t="s">
        <v>17159</v>
      </c>
      <c r="P2373" s="5" t="s">
        <v>14571</v>
      </c>
      <c r="Q2373" s="5" t="s">
        <v>17688</v>
      </c>
      <c r="R2373" s="5" t="s">
        <v>20186</v>
      </c>
      <c r="T2373" s="5" t="s">
        <v>5994</v>
      </c>
      <c r="U2373" s="5"/>
      <c r="V2373" s="5" t="s">
        <v>2438</v>
      </c>
      <c r="W2373" s="5" t="s">
        <v>13816</v>
      </c>
    </row>
    <row r="2374" spans="1:23" ht="12.5">
      <c r="A2374" s="5">
        <v>92890</v>
      </c>
      <c r="B2374" s="5" t="s">
        <v>13309</v>
      </c>
      <c r="C2374" s="10" t="s">
        <v>20187</v>
      </c>
      <c r="D2374" s="5">
        <v>95</v>
      </c>
      <c r="E2374" s="5" t="s">
        <v>42</v>
      </c>
      <c r="F2374" s="5" t="s">
        <v>12657</v>
      </c>
      <c r="G2374" s="5" t="s">
        <v>13308</v>
      </c>
      <c r="H2374" s="5" t="s">
        <v>12657</v>
      </c>
      <c r="I2374" s="5">
        <v>573017245671</v>
      </c>
      <c r="J2374" s="12">
        <v>46089</v>
      </c>
      <c r="K2374" s="11">
        <v>0</v>
      </c>
      <c r="M2374" s="10" t="s">
        <v>15152</v>
      </c>
      <c r="N2374" s="12">
        <v>46089</v>
      </c>
      <c r="O2374" s="10" t="s">
        <v>14781</v>
      </c>
      <c r="P2374" s="5" t="s">
        <v>14571</v>
      </c>
      <c r="Q2374" s="5" t="s">
        <v>17990</v>
      </c>
      <c r="R2374" s="5" t="s">
        <v>20188</v>
      </c>
      <c r="T2374" s="5" t="s">
        <v>5994</v>
      </c>
      <c r="U2374" s="5"/>
      <c r="V2374" s="5" t="s">
        <v>1705</v>
      </c>
      <c r="W2374" s="5"/>
    </row>
    <row r="2375" spans="1:23" ht="12.5">
      <c r="A2375" s="5">
        <v>92891</v>
      </c>
      <c r="B2375" s="5" t="s">
        <v>20189</v>
      </c>
      <c r="C2375" s="5">
        <v>573145948123</v>
      </c>
      <c r="D2375" s="5">
        <v>29</v>
      </c>
      <c r="E2375" s="5" t="s">
        <v>12406</v>
      </c>
      <c r="F2375" s="5" t="s">
        <v>726</v>
      </c>
      <c r="G2375" s="5" t="s">
        <v>13831</v>
      </c>
      <c r="H2375" s="5" t="s">
        <v>13832</v>
      </c>
      <c r="I2375" s="5">
        <v>573106158120</v>
      </c>
      <c r="J2375" s="12">
        <v>46089</v>
      </c>
      <c r="K2375" s="11">
        <v>0.58333333333212067</v>
      </c>
      <c r="M2375" s="10" t="s">
        <v>16385</v>
      </c>
      <c r="N2375" s="12">
        <v>46089.31990613426</v>
      </c>
      <c r="O2375" s="10" t="s">
        <v>15184</v>
      </c>
      <c r="P2375" s="5" t="s">
        <v>14571</v>
      </c>
      <c r="Q2375" s="5" t="s">
        <v>16907</v>
      </c>
      <c r="R2375" s="5" t="s">
        <v>20190</v>
      </c>
      <c r="T2375" s="5" t="s">
        <v>5994</v>
      </c>
      <c r="U2375" s="5" t="s">
        <v>14618</v>
      </c>
      <c r="V2375" s="5" t="s">
        <v>12646</v>
      </c>
      <c r="W2375" s="5"/>
    </row>
    <row r="2376" spans="1:23" ht="12.5">
      <c r="A2376" s="5">
        <v>92892</v>
      </c>
      <c r="B2376" s="5" t="s">
        <v>20191</v>
      </c>
      <c r="C2376" s="5">
        <v>573122768847</v>
      </c>
      <c r="D2376" s="5">
        <v>106</v>
      </c>
      <c r="E2376" s="5" t="s">
        <v>13838</v>
      </c>
      <c r="F2376" s="5" t="s">
        <v>9925</v>
      </c>
      <c r="G2376" s="5" t="s">
        <v>13836</v>
      </c>
      <c r="H2376" s="5" t="s">
        <v>13837</v>
      </c>
      <c r="I2376" s="5">
        <v>573046549343</v>
      </c>
      <c r="J2376" s="12">
        <v>46089</v>
      </c>
      <c r="K2376" s="11">
        <v>0.58333333333212067</v>
      </c>
      <c r="M2376" s="10" t="s">
        <v>14792</v>
      </c>
      <c r="N2376" s="12">
        <v>46089.328812488428</v>
      </c>
      <c r="O2376" s="10" t="s">
        <v>16358</v>
      </c>
      <c r="P2376" s="5" t="s">
        <v>14571</v>
      </c>
      <c r="Q2376" s="5" t="s">
        <v>17990</v>
      </c>
      <c r="R2376" s="5" t="s">
        <v>20192</v>
      </c>
      <c r="T2376" s="5" t="s">
        <v>5994</v>
      </c>
      <c r="U2376" s="5" t="s">
        <v>14618</v>
      </c>
      <c r="V2376" s="5" t="s">
        <v>12646</v>
      </c>
      <c r="W2376" s="5" t="s">
        <v>13840</v>
      </c>
    </row>
    <row r="2377" spans="1:23" ht="12.5">
      <c r="A2377" s="5">
        <v>92893</v>
      </c>
      <c r="B2377" s="5" t="s">
        <v>20193</v>
      </c>
      <c r="C2377" s="5">
        <v>573234632212</v>
      </c>
      <c r="D2377" s="5" t="s">
        <v>14589</v>
      </c>
      <c r="E2377" s="5" t="s">
        <v>13853</v>
      </c>
      <c r="F2377" s="5" t="s">
        <v>110</v>
      </c>
      <c r="G2377" s="5" t="s">
        <v>13851</v>
      </c>
      <c r="H2377" s="5" t="s">
        <v>13852</v>
      </c>
      <c r="I2377" s="5">
        <v>573234632212</v>
      </c>
      <c r="J2377" s="12">
        <v>46089</v>
      </c>
      <c r="K2377" s="11">
        <v>0.45833333333212067</v>
      </c>
      <c r="M2377" s="10" t="s">
        <v>20194</v>
      </c>
      <c r="N2377" s="12">
        <v>46089.355952280093</v>
      </c>
      <c r="O2377" s="10" t="s">
        <v>17507</v>
      </c>
      <c r="P2377" s="5" t="s">
        <v>14571</v>
      </c>
      <c r="Q2377" s="5" t="s">
        <v>14612</v>
      </c>
      <c r="R2377" s="5" t="s">
        <v>20195</v>
      </c>
      <c r="T2377" s="5" t="s">
        <v>5994</v>
      </c>
      <c r="U2377" s="5" t="s">
        <v>14593</v>
      </c>
      <c r="V2377" s="5" t="s">
        <v>12646</v>
      </c>
      <c r="W2377" s="5" t="s">
        <v>13856</v>
      </c>
    </row>
    <row r="2378" spans="1:23" ht="12.5">
      <c r="A2378" s="5">
        <v>92894</v>
      </c>
      <c r="B2378" s="5" t="s">
        <v>13827</v>
      </c>
      <c r="C2378" s="10" t="s">
        <v>20196</v>
      </c>
      <c r="D2378" s="5">
        <v>58</v>
      </c>
      <c r="E2378" s="5" t="s">
        <v>12728</v>
      </c>
      <c r="F2378" s="5" t="s">
        <v>12657</v>
      </c>
      <c r="G2378" s="5" t="s">
        <v>13826</v>
      </c>
      <c r="H2378" s="5" t="s">
        <v>12657</v>
      </c>
      <c r="I2378" s="5">
        <v>573023902381</v>
      </c>
      <c r="J2378" s="12">
        <v>46089</v>
      </c>
      <c r="K2378" s="11">
        <v>8.3333333333333329E-2</v>
      </c>
      <c r="M2378" s="10" t="s">
        <v>15594</v>
      </c>
      <c r="N2378" s="12">
        <v>46089</v>
      </c>
      <c r="O2378" s="10" t="s">
        <v>15751</v>
      </c>
      <c r="P2378" s="5" t="s">
        <v>14571</v>
      </c>
      <c r="Q2378" s="5" t="s">
        <v>16907</v>
      </c>
      <c r="R2378" s="5" t="s">
        <v>20197</v>
      </c>
      <c r="T2378" s="5" t="s">
        <v>5994</v>
      </c>
      <c r="U2378" s="5"/>
      <c r="V2378" s="5" t="s">
        <v>12646</v>
      </c>
      <c r="W2378" s="5" t="s">
        <v>9771</v>
      </c>
    </row>
    <row r="2379" spans="1:23" ht="12.5">
      <c r="A2379" s="5">
        <v>92895</v>
      </c>
      <c r="B2379" s="5" t="s">
        <v>20198</v>
      </c>
      <c r="C2379" s="5">
        <v>573106894979</v>
      </c>
      <c r="D2379" s="5">
        <v>29</v>
      </c>
      <c r="E2379" s="5" t="s">
        <v>12406</v>
      </c>
      <c r="F2379" s="5" t="s">
        <v>964</v>
      </c>
      <c r="G2379" s="5" t="s">
        <v>13842</v>
      </c>
      <c r="H2379" s="5" t="s">
        <v>13843</v>
      </c>
      <c r="I2379" s="5">
        <v>573057860370</v>
      </c>
      <c r="J2379" s="12">
        <v>46089</v>
      </c>
      <c r="K2379" s="11">
        <v>8.3333333332120674E-2</v>
      </c>
      <c r="M2379" s="10" t="s">
        <v>15632</v>
      </c>
      <c r="N2379" s="12">
        <v>46089.332901412039</v>
      </c>
      <c r="O2379" s="10" t="s">
        <v>16044</v>
      </c>
      <c r="P2379" s="5" t="s">
        <v>14571</v>
      </c>
      <c r="Q2379" s="5" t="s">
        <v>17423</v>
      </c>
      <c r="R2379" s="5" t="s">
        <v>20199</v>
      </c>
      <c r="T2379" s="5" t="s">
        <v>5994</v>
      </c>
      <c r="U2379" s="5" t="s">
        <v>14618</v>
      </c>
      <c r="V2379" s="5" t="s">
        <v>12646</v>
      </c>
      <c r="W2379" s="5" t="s">
        <v>9771</v>
      </c>
    </row>
    <row r="2380" spans="1:23" ht="12.5">
      <c r="A2380" s="5">
        <v>92896</v>
      </c>
      <c r="B2380" s="5" t="s">
        <v>20200</v>
      </c>
      <c r="C2380" s="5">
        <v>573057683063</v>
      </c>
      <c r="D2380" s="5">
        <v>52</v>
      </c>
      <c r="E2380" s="5" t="s">
        <v>12496</v>
      </c>
      <c r="F2380" s="5" t="s">
        <v>598</v>
      </c>
      <c r="G2380" s="5" t="s">
        <v>13823</v>
      </c>
      <c r="H2380" s="5" t="s">
        <v>13824</v>
      </c>
      <c r="I2380" s="5">
        <v>573225721015</v>
      </c>
      <c r="J2380" s="12">
        <v>46089</v>
      </c>
      <c r="K2380" s="11">
        <v>0.58333333333212067</v>
      </c>
      <c r="M2380" s="10" t="s">
        <v>10581</v>
      </c>
      <c r="N2380" s="12">
        <v>46088.919242534721</v>
      </c>
      <c r="O2380" s="10" t="s">
        <v>14900</v>
      </c>
      <c r="P2380" s="5" t="s">
        <v>14571</v>
      </c>
      <c r="Q2380" s="5" t="s">
        <v>16907</v>
      </c>
      <c r="R2380" s="5" t="s">
        <v>20201</v>
      </c>
      <c r="T2380" s="5" t="s">
        <v>5994</v>
      </c>
      <c r="U2380" s="5" t="s">
        <v>14593</v>
      </c>
      <c r="V2380" s="5" t="s">
        <v>12646</v>
      </c>
      <c r="W2380" s="5"/>
    </row>
    <row r="2381" spans="1:23" ht="12.5">
      <c r="A2381" s="5">
        <v>92897</v>
      </c>
      <c r="B2381" s="5" t="s">
        <v>20202</v>
      </c>
      <c r="C2381" s="5">
        <v>573001241116</v>
      </c>
      <c r="D2381" s="5">
        <v>95</v>
      </c>
      <c r="E2381" s="5" t="s">
        <v>13903</v>
      </c>
      <c r="F2381" s="5" t="s">
        <v>12657</v>
      </c>
      <c r="G2381" s="5" t="s">
        <v>10549</v>
      </c>
      <c r="H2381" s="5" t="s">
        <v>12657</v>
      </c>
      <c r="I2381" s="5">
        <v>573001241116</v>
      </c>
      <c r="J2381" s="12">
        <v>46089</v>
      </c>
      <c r="K2381" s="11">
        <v>0</v>
      </c>
      <c r="M2381" s="10" t="s">
        <v>14619</v>
      </c>
      <c r="N2381" s="12">
        <v>46089.404731168979</v>
      </c>
      <c r="O2381" s="10" t="s">
        <v>17563</v>
      </c>
      <c r="P2381" s="5" t="s">
        <v>14571</v>
      </c>
      <c r="Q2381" s="5" t="s">
        <v>17688</v>
      </c>
      <c r="R2381" s="5" t="s">
        <v>20203</v>
      </c>
      <c r="T2381" s="5" t="s">
        <v>5994</v>
      </c>
      <c r="U2381" s="5"/>
      <c r="V2381" s="5" t="s">
        <v>196</v>
      </c>
      <c r="W2381" s="5"/>
    </row>
    <row r="2382" spans="1:23" ht="12.5">
      <c r="A2382" s="5">
        <v>92898</v>
      </c>
      <c r="B2382" s="5" t="s">
        <v>20204</v>
      </c>
      <c r="C2382" s="5">
        <v>573505478522</v>
      </c>
      <c r="D2382" s="5">
        <v>103</v>
      </c>
      <c r="E2382" s="5" t="s">
        <v>13807</v>
      </c>
      <c r="F2382" s="5" t="s">
        <v>12657</v>
      </c>
      <c r="G2382" s="5" t="s">
        <v>13923</v>
      </c>
      <c r="H2382" s="5" t="s">
        <v>12657</v>
      </c>
      <c r="I2382" s="5">
        <v>573505478522</v>
      </c>
      <c r="J2382" s="12">
        <v>46089</v>
      </c>
      <c r="K2382" s="11">
        <v>0.375</v>
      </c>
      <c r="M2382" s="10" t="s">
        <v>14646</v>
      </c>
      <c r="N2382" s="12">
        <v>46089.413519710652</v>
      </c>
      <c r="O2382" s="10" t="s">
        <v>17861</v>
      </c>
      <c r="P2382" s="5" t="s">
        <v>14571</v>
      </c>
      <c r="Q2382" s="5" t="s">
        <v>17990</v>
      </c>
      <c r="R2382" s="5" t="s">
        <v>20205</v>
      </c>
      <c r="T2382" s="5" t="s">
        <v>5994</v>
      </c>
      <c r="U2382" s="5"/>
      <c r="V2382" s="5" t="s">
        <v>1705</v>
      </c>
      <c r="W2382" s="5"/>
    </row>
    <row r="2383" spans="1:23" ht="12.5">
      <c r="A2383" s="5">
        <v>92899</v>
      </c>
      <c r="B2383" s="5" t="s">
        <v>20206</v>
      </c>
      <c r="C2383" s="10" t="s">
        <v>20207</v>
      </c>
      <c r="D2383" s="5" t="s">
        <v>14589</v>
      </c>
      <c r="E2383" s="5" t="s">
        <v>13931</v>
      </c>
      <c r="F2383" s="5" t="s">
        <v>110</v>
      </c>
      <c r="G2383" s="5" t="s">
        <v>492</v>
      </c>
      <c r="H2383" s="5" t="s">
        <v>13930</v>
      </c>
      <c r="I2383" s="5"/>
      <c r="J2383" s="12">
        <v>46089</v>
      </c>
      <c r="K2383" s="11">
        <v>0.58333333333333337</v>
      </c>
      <c r="M2383" s="10" t="s">
        <v>15377</v>
      </c>
      <c r="N2383" s="12">
        <v>46089</v>
      </c>
      <c r="O2383" s="10" t="s">
        <v>15103</v>
      </c>
      <c r="P2383" s="5" t="s">
        <v>14571</v>
      </c>
      <c r="Q2383" s="5" t="s">
        <v>16907</v>
      </c>
      <c r="R2383" s="5" t="s">
        <v>20208</v>
      </c>
      <c r="T2383" s="5" t="s">
        <v>5994</v>
      </c>
      <c r="U2383" s="5" t="s">
        <v>14593</v>
      </c>
      <c r="V2383" s="5" t="s">
        <v>43</v>
      </c>
      <c r="W2383" s="5" t="s">
        <v>13931</v>
      </c>
    </row>
    <row r="2384" spans="1:23" ht="12.5">
      <c r="A2384" s="5">
        <v>92900</v>
      </c>
      <c r="B2384" s="5" t="s">
        <v>20209</v>
      </c>
      <c r="C2384" s="10" t="s">
        <v>20210</v>
      </c>
      <c r="D2384" s="5">
        <v>52</v>
      </c>
      <c r="E2384" s="5" t="s">
        <v>12496</v>
      </c>
      <c r="F2384" s="5" t="s">
        <v>4171</v>
      </c>
      <c r="G2384" s="5" t="s">
        <v>20211</v>
      </c>
      <c r="H2384" s="5" t="s">
        <v>13848</v>
      </c>
      <c r="I2384" s="5">
        <v>573222595986</v>
      </c>
      <c r="J2384" s="12">
        <v>46089</v>
      </c>
      <c r="K2384" s="11">
        <v>0.58333333333333337</v>
      </c>
      <c r="M2384" s="10" t="s">
        <v>15656</v>
      </c>
      <c r="N2384" s="12">
        <v>46089</v>
      </c>
      <c r="O2384" s="10" t="s">
        <v>15989</v>
      </c>
      <c r="P2384" s="5" t="s">
        <v>14571</v>
      </c>
      <c r="Q2384" s="5" t="s">
        <v>14572</v>
      </c>
      <c r="R2384" s="5" t="s">
        <v>20212</v>
      </c>
      <c r="T2384" s="5" t="s">
        <v>5994</v>
      </c>
      <c r="U2384" s="5" t="s">
        <v>14618</v>
      </c>
      <c r="V2384" s="5" t="s">
        <v>12646</v>
      </c>
      <c r="W2384" s="5"/>
    </row>
    <row r="2385" spans="1:23" ht="12.5">
      <c r="A2385" s="5">
        <v>92901</v>
      </c>
      <c r="B2385" s="5" t="s">
        <v>20213</v>
      </c>
      <c r="C2385" s="5">
        <v>573015934541</v>
      </c>
      <c r="D2385" s="5">
        <v>95</v>
      </c>
      <c r="E2385" s="5" t="s">
        <v>13941</v>
      </c>
      <c r="F2385" s="5" t="s">
        <v>12657</v>
      </c>
      <c r="G2385" s="5" t="s">
        <v>13940</v>
      </c>
      <c r="H2385" s="5" t="s">
        <v>12657</v>
      </c>
      <c r="I2385" s="5">
        <v>573015934541</v>
      </c>
      <c r="J2385" s="12">
        <v>46089</v>
      </c>
      <c r="K2385" s="11">
        <v>0</v>
      </c>
      <c r="M2385" s="10" t="s">
        <v>14595</v>
      </c>
      <c r="N2385" s="12">
        <v>46089.422725104167</v>
      </c>
      <c r="O2385" s="10" t="s">
        <v>14991</v>
      </c>
      <c r="P2385" s="5" t="s">
        <v>14571</v>
      </c>
      <c r="Q2385" s="5" t="s">
        <v>14578</v>
      </c>
      <c r="R2385" s="5" t="s">
        <v>20214</v>
      </c>
      <c r="T2385" s="5" t="s">
        <v>5994</v>
      </c>
      <c r="U2385" s="5"/>
      <c r="V2385" s="5" t="s">
        <v>1705</v>
      </c>
      <c r="W2385" s="5"/>
    </row>
    <row r="2386" spans="1:23" ht="12.5">
      <c r="A2386" s="5">
        <v>92902</v>
      </c>
      <c r="B2386" s="5" t="s">
        <v>20215</v>
      </c>
      <c r="C2386" s="10" t="s">
        <v>20216</v>
      </c>
      <c r="D2386" s="5" t="s">
        <v>20217</v>
      </c>
      <c r="E2386" s="5" t="s">
        <v>13870</v>
      </c>
      <c r="F2386" s="5" t="s">
        <v>33</v>
      </c>
      <c r="G2386" s="5" t="s">
        <v>13868</v>
      </c>
      <c r="H2386" s="5" t="s">
        <v>13869</v>
      </c>
      <c r="I2386" s="5">
        <v>573042078835</v>
      </c>
      <c r="J2386" s="12">
        <v>46089</v>
      </c>
      <c r="K2386" s="11">
        <v>0.58333333333333337</v>
      </c>
      <c r="M2386" s="10" t="s">
        <v>15232</v>
      </c>
      <c r="N2386" s="12">
        <v>46089</v>
      </c>
      <c r="O2386" s="10" t="s">
        <v>15099</v>
      </c>
      <c r="P2386" s="5" t="s">
        <v>14571</v>
      </c>
      <c r="Q2386" s="5" t="s">
        <v>14572</v>
      </c>
      <c r="R2386" s="5" t="s">
        <v>20218</v>
      </c>
      <c r="T2386" s="5" t="s">
        <v>14574</v>
      </c>
      <c r="U2386" s="5" t="s">
        <v>33</v>
      </c>
      <c r="V2386" s="5" t="s">
        <v>12646</v>
      </c>
      <c r="W2386" s="5" t="s">
        <v>13873</v>
      </c>
    </row>
    <row r="2387" spans="1:23" ht="12.5">
      <c r="A2387" s="5">
        <v>92903</v>
      </c>
      <c r="B2387" s="5" t="s">
        <v>20219</v>
      </c>
      <c r="C2387" s="5">
        <v>573003591462</v>
      </c>
      <c r="D2387" s="5">
        <v>53</v>
      </c>
      <c r="E2387" s="5" t="s">
        <v>12423</v>
      </c>
      <c r="F2387" s="5" t="s">
        <v>892</v>
      </c>
      <c r="G2387" s="5" t="s">
        <v>13875</v>
      </c>
      <c r="H2387" s="5" t="s">
        <v>13876</v>
      </c>
      <c r="I2387" s="5">
        <v>573107283794</v>
      </c>
      <c r="J2387" s="12">
        <v>46089</v>
      </c>
      <c r="K2387" s="11">
        <v>0</v>
      </c>
      <c r="M2387" s="10" t="s">
        <v>14627</v>
      </c>
      <c r="N2387" s="12">
        <v>46089.374158888888</v>
      </c>
      <c r="O2387" s="10" t="s">
        <v>16691</v>
      </c>
      <c r="P2387" s="5" t="s">
        <v>14571</v>
      </c>
      <c r="Q2387" s="5" t="s">
        <v>17404</v>
      </c>
      <c r="R2387" s="5" t="s">
        <v>20220</v>
      </c>
      <c r="T2387" s="5" t="s">
        <v>5994</v>
      </c>
      <c r="U2387" s="5" t="s">
        <v>14593</v>
      </c>
      <c r="V2387" s="5" t="s">
        <v>12646</v>
      </c>
      <c r="W2387" s="5" t="s">
        <v>13878</v>
      </c>
    </row>
    <row r="2388" spans="1:23" ht="12.5">
      <c r="A2388" s="5">
        <v>92904</v>
      </c>
      <c r="B2388" s="5" t="s">
        <v>20221</v>
      </c>
      <c r="C2388" s="10" t="s">
        <v>20222</v>
      </c>
      <c r="D2388" s="5">
        <v>29</v>
      </c>
      <c r="E2388" s="5" t="s">
        <v>12406</v>
      </c>
      <c r="F2388" s="5" t="s">
        <v>124</v>
      </c>
      <c r="G2388" s="5" t="s">
        <v>20223</v>
      </c>
      <c r="H2388" s="5" t="s">
        <v>13881</v>
      </c>
      <c r="I2388" s="5">
        <v>573242526558</v>
      </c>
      <c r="J2388" s="12">
        <v>46089</v>
      </c>
      <c r="K2388" s="11">
        <v>0</v>
      </c>
      <c r="M2388" s="10" t="s">
        <v>15632</v>
      </c>
      <c r="N2388" s="12">
        <v>46089</v>
      </c>
      <c r="O2388" s="10" t="s">
        <v>16454</v>
      </c>
      <c r="P2388" s="5" t="s">
        <v>14571</v>
      </c>
      <c r="Q2388" s="5" t="s">
        <v>17423</v>
      </c>
      <c r="R2388" s="5" t="s">
        <v>20224</v>
      </c>
      <c r="T2388" s="5" t="s">
        <v>5994</v>
      </c>
      <c r="U2388" s="5" t="s">
        <v>14775</v>
      </c>
      <c r="V2388" s="5" t="s">
        <v>12646</v>
      </c>
      <c r="W2388" s="5" t="s">
        <v>13884</v>
      </c>
    </row>
    <row r="2389" spans="1:23" ht="12.5">
      <c r="A2389" s="5">
        <v>92905</v>
      </c>
      <c r="B2389" s="5" t="s">
        <v>20225</v>
      </c>
      <c r="C2389" s="5">
        <v>573175115454</v>
      </c>
      <c r="D2389" s="5">
        <v>21</v>
      </c>
      <c r="E2389" s="5" t="s">
        <v>12924</v>
      </c>
      <c r="F2389" s="5" t="s">
        <v>79</v>
      </c>
      <c r="G2389" s="5" t="s">
        <v>13890</v>
      </c>
      <c r="H2389" s="5" t="s">
        <v>13891</v>
      </c>
      <c r="I2389" s="5">
        <v>573175115454</v>
      </c>
      <c r="J2389" s="12">
        <v>46089</v>
      </c>
      <c r="K2389" s="11">
        <v>0.54166666666787933</v>
      </c>
      <c r="M2389" s="10" t="s">
        <v>14777</v>
      </c>
      <c r="N2389" s="12">
        <v>46089.381243888885</v>
      </c>
      <c r="O2389" s="10" t="s">
        <v>14665</v>
      </c>
      <c r="P2389" s="5" t="s">
        <v>14571</v>
      </c>
      <c r="Q2389" s="5" t="s">
        <v>17688</v>
      </c>
      <c r="R2389" s="5" t="s">
        <v>20226</v>
      </c>
      <c r="T2389" s="5" t="s">
        <v>5994</v>
      </c>
      <c r="U2389" s="5" t="s">
        <v>14593</v>
      </c>
      <c r="V2389" s="5" t="s">
        <v>1937</v>
      </c>
      <c r="W2389" s="5" t="s">
        <v>13878</v>
      </c>
    </row>
    <row r="2390" spans="1:23" ht="12.5">
      <c r="A2390" s="5">
        <v>92906</v>
      </c>
      <c r="B2390" s="5" t="s">
        <v>20227</v>
      </c>
      <c r="C2390" s="10" t="s">
        <v>20228</v>
      </c>
      <c r="D2390" s="5" t="s">
        <v>20229</v>
      </c>
      <c r="E2390" s="5" t="s">
        <v>13907</v>
      </c>
      <c r="F2390" s="5" t="s">
        <v>351</v>
      </c>
      <c r="G2390" s="5" t="s">
        <v>13905</v>
      </c>
      <c r="H2390" s="5" t="s">
        <v>13906</v>
      </c>
      <c r="I2390" s="5">
        <v>573022009383</v>
      </c>
      <c r="J2390" s="12">
        <v>46089</v>
      </c>
      <c r="K2390" s="11">
        <v>8.3333333333333329E-2</v>
      </c>
      <c r="M2390" s="10" t="s">
        <v>15076</v>
      </c>
      <c r="N2390" s="12">
        <v>46089</v>
      </c>
      <c r="O2390" s="10" t="s">
        <v>14663</v>
      </c>
      <c r="P2390" s="5" t="s">
        <v>14571</v>
      </c>
      <c r="Q2390" s="5" t="s">
        <v>17990</v>
      </c>
      <c r="R2390" s="5" t="s">
        <v>20230</v>
      </c>
      <c r="T2390" s="5" t="s">
        <v>5994</v>
      </c>
      <c r="U2390" s="5" t="s">
        <v>14580</v>
      </c>
      <c r="V2390" s="5" t="s">
        <v>12646</v>
      </c>
      <c r="W2390" s="5" t="s">
        <v>9771</v>
      </c>
    </row>
    <row r="2391" spans="1:23" ht="12.5">
      <c r="A2391" s="5">
        <v>92907</v>
      </c>
      <c r="B2391" s="5" t="s">
        <v>20213</v>
      </c>
      <c r="C2391" s="10" t="s">
        <v>20231</v>
      </c>
      <c r="D2391" s="5">
        <v>53</v>
      </c>
      <c r="E2391" s="5" t="s">
        <v>12423</v>
      </c>
      <c r="F2391" s="5" t="s">
        <v>1497</v>
      </c>
      <c r="G2391" s="5" t="s">
        <v>20232</v>
      </c>
      <c r="H2391" s="5" t="s">
        <v>13962</v>
      </c>
      <c r="I2391" s="5">
        <v>573007592052</v>
      </c>
      <c r="J2391" s="12">
        <v>46089</v>
      </c>
      <c r="K2391" s="11">
        <v>0.54166666666666663</v>
      </c>
      <c r="M2391" s="10" t="s">
        <v>14832</v>
      </c>
      <c r="N2391" s="12">
        <v>46089</v>
      </c>
      <c r="O2391" s="10" t="s">
        <v>16049</v>
      </c>
      <c r="P2391" s="5" t="s">
        <v>14571</v>
      </c>
      <c r="Q2391" s="5" t="s">
        <v>16907</v>
      </c>
      <c r="R2391" s="5" t="s">
        <v>20233</v>
      </c>
      <c r="T2391" s="5" t="s">
        <v>5994</v>
      </c>
      <c r="U2391" s="5" t="s">
        <v>14593</v>
      </c>
      <c r="V2391" s="5" t="s">
        <v>1705</v>
      </c>
      <c r="W2391" s="5"/>
    </row>
    <row r="2392" spans="1:23" ht="12.5">
      <c r="A2392" s="5">
        <v>92908</v>
      </c>
      <c r="B2392" s="5" t="s">
        <v>20234</v>
      </c>
      <c r="C2392" s="10" t="s">
        <v>20235</v>
      </c>
      <c r="D2392" s="5" t="s">
        <v>20236</v>
      </c>
      <c r="E2392" s="5" t="s">
        <v>13921</v>
      </c>
      <c r="F2392" s="5" t="s">
        <v>87</v>
      </c>
      <c r="G2392" s="5" t="s">
        <v>13919</v>
      </c>
      <c r="H2392" s="5" t="s">
        <v>13920</v>
      </c>
      <c r="I2392" s="5">
        <v>573226242456</v>
      </c>
      <c r="J2392" s="12">
        <v>46089</v>
      </c>
      <c r="K2392" s="11">
        <v>8.3333333333333329E-2</v>
      </c>
      <c r="M2392" s="10" t="s">
        <v>20237</v>
      </c>
      <c r="N2392" s="12">
        <v>46089</v>
      </c>
      <c r="O2392" s="10" t="s">
        <v>14771</v>
      </c>
      <c r="P2392" s="5" t="s">
        <v>14571</v>
      </c>
      <c r="Q2392" s="5" t="s">
        <v>14572</v>
      </c>
      <c r="R2392" s="5" t="s">
        <v>20238</v>
      </c>
      <c r="T2392" s="5" t="s">
        <v>5994</v>
      </c>
      <c r="U2392" s="5" t="s">
        <v>14580</v>
      </c>
      <c r="V2392" s="5" t="s">
        <v>12646</v>
      </c>
      <c r="W2392" s="5" t="s">
        <v>9771</v>
      </c>
    </row>
    <row r="2393" spans="1:23" ht="12.5">
      <c r="A2393" s="5">
        <v>92909</v>
      </c>
      <c r="B2393" s="5" t="s">
        <v>20239</v>
      </c>
      <c r="C2393" s="5">
        <v>573003322666</v>
      </c>
      <c r="D2393" s="5">
        <v>53</v>
      </c>
      <c r="E2393" s="5" t="s">
        <v>12423</v>
      </c>
      <c r="F2393" s="5" t="s">
        <v>12657</v>
      </c>
      <c r="G2393" s="5" t="s">
        <v>13969</v>
      </c>
      <c r="H2393" s="5" t="s">
        <v>12657</v>
      </c>
      <c r="I2393" s="5">
        <v>573003322666</v>
      </c>
      <c r="J2393" s="12">
        <v>46089</v>
      </c>
      <c r="K2393" s="11">
        <v>0.45833333333212067</v>
      </c>
      <c r="M2393" s="10" t="s">
        <v>14585</v>
      </c>
      <c r="N2393" s="12">
        <v>46089.432292083337</v>
      </c>
      <c r="O2393" s="10" t="s">
        <v>15498</v>
      </c>
      <c r="P2393" s="5" t="s">
        <v>14571</v>
      </c>
      <c r="Q2393" s="5" t="s">
        <v>14578</v>
      </c>
      <c r="R2393" s="5" t="s">
        <v>20240</v>
      </c>
      <c r="T2393" s="5" t="s">
        <v>5994</v>
      </c>
      <c r="U2393" s="5"/>
      <c r="V2393" s="5" t="s">
        <v>1705</v>
      </c>
      <c r="W2393" s="5"/>
    </row>
    <row r="2394" spans="1:23" ht="12.5">
      <c r="A2394" s="5">
        <v>92910</v>
      </c>
      <c r="B2394" s="5" t="s">
        <v>20241</v>
      </c>
      <c r="C2394" s="10" t="s">
        <v>17395</v>
      </c>
      <c r="D2394" s="5">
        <v>52</v>
      </c>
      <c r="E2394" s="5" t="s">
        <v>12496</v>
      </c>
      <c r="F2394" s="5" t="s">
        <v>9925</v>
      </c>
      <c r="G2394" s="5" t="s">
        <v>20242</v>
      </c>
      <c r="H2394" s="5" t="s">
        <v>13865</v>
      </c>
      <c r="I2394" s="5">
        <v>573218473244</v>
      </c>
      <c r="J2394" s="12">
        <v>46089</v>
      </c>
      <c r="K2394" s="11">
        <v>0.58333333333333337</v>
      </c>
      <c r="M2394" s="10" t="s">
        <v>16484</v>
      </c>
      <c r="N2394" s="12">
        <v>46089</v>
      </c>
      <c r="O2394" s="10" t="s">
        <v>17658</v>
      </c>
      <c r="P2394" s="5" t="s">
        <v>14571</v>
      </c>
      <c r="Q2394" s="5" t="s">
        <v>14612</v>
      </c>
      <c r="R2394" s="5" t="s">
        <v>20243</v>
      </c>
      <c r="T2394" s="5" t="s">
        <v>5994</v>
      </c>
      <c r="U2394" s="5" t="s">
        <v>14618</v>
      </c>
      <c r="V2394" s="5" t="s">
        <v>12646</v>
      </c>
      <c r="W2394" s="5"/>
    </row>
    <row r="2395" spans="1:23" ht="12.5">
      <c r="A2395" s="5">
        <v>92911</v>
      </c>
      <c r="B2395" s="5" t="s">
        <v>20244</v>
      </c>
      <c r="C2395" s="5">
        <v>573133861423</v>
      </c>
      <c r="D2395" s="5" t="s">
        <v>14589</v>
      </c>
      <c r="E2395" s="5" t="s">
        <v>20245</v>
      </c>
      <c r="F2395" s="5" t="s">
        <v>12657</v>
      </c>
      <c r="G2395" s="5" t="s">
        <v>13970</v>
      </c>
      <c r="H2395" s="5" t="s">
        <v>12657</v>
      </c>
      <c r="I2395" s="5">
        <v>573133861423</v>
      </c>
      <c r="J2395" s="12">
        <v>46089</v>
      </c>
      <c r="K2395" s="11">
        <v>0</v>
      </c>
      <c r="M2395" s="10" t="s">
        <v>14599</v>
      </c>
      <c r="N2395" s="12">
        <v>46089.435666215279</v>
      </c>
      <c r="O2395" s="10" t="s">
        <v>14762</v>
      </c>
      <c r="P2395" s="5" t="s">
        <v>14571</v>
      </c>
      <c r="Q2395" s="5" t="s">
        <v>17404</v>
      </c>
      <c r="R2395" s="5" t="s">
        <v>20246</v>
      </c>
      <c r="T2395" s="5" t="s">
        <v>5994</v>
      </c>
      <c r="U2395" s="5"/>
      <c r="V2395" s="5" t="s">
        <v>1705</v>
      </c>
      <c r="W2395" s="5"/>
    </row>
    <row r="2396" spans="1:23" ht="12.5">
      <c r="A2396" s="5">
        <v>92912</v>
      </c>
      <c r="B2396" s="5" t="s">
        <v>20247</v>
      </c>
      <c r="C2396" s="5">
        <v>573046167890</v>
      </c>
      <c r="D2396" s="5" t="s">
        <v>20248</v>
      </c>
      <c r="E2396" s="5" t="s">
        <v>20249</v>
      </c>
      <c r="F2396" s="5" t="s">
        <v>892</v>
      </c>
      <c r="G2396" s="5" t="s">
        <v>13910</v>
      </c>
      <c r="H2396" s="5" t="s">
        <v>13911</v>
      </c>
      <c r="I2396" s="5">
        <v>573207472778</v>
      </c>
      <c r="J2396" s="12">
        <v>46089</v>
      </c>
      <c r="K2396" s="11">
        <v>0.58333333333212067</v>
      </c>
      <c r="M2396" s="10" t="s">
        <v>20250</v>
      </c>
      <c r="N2396" s="12">
        <v>46089.411447974533</v>
      </c>
      <c r="O2396" s="10" t="s">
        <v>16111</v>
      </c>
      <c r="P2396" s="5" t="s">
        <v>14571</v>
      </c>
      <c r="Q2396" s="5" t="s">
        <v>17423</v>
      </c>
      <c r="R2396" s="5" t="s">
        <v>20251</v>
      </c>
      <c r="T2396" s="5" t="s">
        <v>5994</v>
      </c>
      <c r="U2396" s="5" t="s">
        <v>14593</v>
      </c>
      <c r="V2396" s="5" t="s">
        <v>12646</v>
      </c>
      <c r="W2396" s="5"/>
    </row>
    <row r="2397" spans="1:23" ht="12.5">
      <c r="A2397" s="5">
        <v>92913</v>
      </c>
      <c r="B2397" s="5" t="s">
        <v>20252</v>
      </c>
      <c r="C2397" s="5">
        <v>573005873865</v>
      </c>
      <c r="D2397" s="5">
        <v>29</v>
      </c>
      <c r="E2397" s="5" t="s">
        <v>12406</v>
      </c>
      <c r="F2397" s="5" t="s">
        <v>1647</v>
      </c>
      <c r="G2397" s="5" t="s">
        <v>13958</v>
      </c>
      <c r="H2397" s="5" t="s">
        <v>13959</v>
      </c>
      <c r="I2397" s="5">
        <v>573015202077</v>
      </c>
      <c r="J2397" s="12">
        <v>46089</v>
      </c>
      <c r="K2397" s="11">
        <v>8.3333333332120674E-2</v>
      </c>
      <c r="M2397" s="10" t="s">
        <v>14859</v>
      </c>
      <c r="N2397" s="12">
        <v>46089.428198935188</v>
      </c>
      <c r="O2397" s="10" t="s">
        <v>15760</v>
      </c>
      <c r="P2397" s="5" t="s">
        <v>14571</v>
      </c>
      <c r="Q2397" s="5" t="s">
        <v>17423</v>
      </c>
      <c r="R2397" s="5" t="s">
        <v>20253</v>
      </c>
      <c r="T2397" s="5" t="s">
        <v>5994</v>
      </c>
      <c r="U2397" s="5" t="s">
        <v>14580</v>
      </c>
      <c r="V2397" s="5" t="s">
        <v>12646</v>
      </c>
      <c r="W2397" s="5" t="s">
        <v>9771</v>
      </c>
    </row>
    <row r="2398" spans="1:23" ht="12.5">
      <c r="A2398" s="5">
        <v>92914</v>
      </c>
      <c r="B2398" s="5" t="s">
        <v>20254</v>
      </c>
      <c r="C2398" s="10" t="s">
        <v>20255</v>
      </c>
      <c r="D2398" s="5">
        <v>62</v>
      </c>
      <c r="E2398" s="5" t="s">
        <v>12484</v>
      </c>
      <c r="F2398" s="5" t="s">
        <v>12657</v>
      </c>
      <c r="G2398" s="5" t="s">
        <v>13976</v>
      </c>
      <c r="H2398" s="5" t="s">
        <v>12657</v>
      </c>
      <c r="I2398" s="5">
        <v>573502817351</v>
      </c>
      <c r="J2398" s="12">
        <v>46089</v>
      </c>
      <c r="K2398" s="11">
        <v>0</v>
      </c>
      <c r="M2398" s="10" t="s">
        <v>15040</v>
      </c>
      <c r="N2398" s="12">
        <v>46089</v>
      </c>
      <c r="O2398" s="10" t="s">
        <v>15760</v>
      </c>
      <c r="P2398" s="5" t="s">
        <v>14571</v>
      </c>
      <c r="Q2398" s="5" t="s">
        <v>17404</v>
      </c>
      <c r="R2398" s="5" t="s">
        <v>20256</v>
      </c>
      <c r="T2398" s="5" t="s">
        <v>5994</v>
      </c>
      <c r="U2398" s="5"/>
      <c r="V2398" s="5" t="s">
        <v>196</v>
      </c>
      <c r="W2398" s="5"/>
    </row>
    <row r="2399" spans="1:23" ht="12.5">
      <c r="A2399" s="5">
        <v>92915</v>
      </c>
      <c r="B2399" s="5" t="s">
        <v>20257</v>
      </c>
      <c r="C2399" s="5">
        <v>573127035334</v>
      </c>
      <c r="D2399" s="5">
        <v>51</v>
      </c>
      <c r="E2399" s="5" t="s">
        <v>13138</v>
      </c>
      <c r="F2399" s="5" t="s">
        <v>448</v>
      </c>
      <c r="G2399" s="5" t="s">
        <v>13914</v>
      </c>
      <c r="H2399" s="5" t="s">
        <v>13915</v>
      </c>
      <c r="I2399" s="5">
        <v>573127035334</v>
      </c>
      <c r="J2399" s="12">
        <v>46089</v>
      </c>
      <c r="K2399" s="11">
        <v>0.125</v>
      </c>
      <c r="M2399" s="10" t="s">
        <v>18167</v>
      </c>
      <c r="N2399" s="12">
        <v>46089.411709652777</v>
      </c>
      <c r="O2399" s="10" t="s">
        <v>16512</v>
      </c>
      <c r="P2399" s="5" t="s">
        <v>14571</v>
      </c>
      <c r="Q2399" s="5" t="s">
        <v>16907</v>
      </c>
      <c r="R2399" s="5" t="s">
        <v>20258</v>
      </c>
      <c r="T2399" s="5" t="s">
        <v>5994</v>
      </c>
      <c r="U2399" s="5" t="s">
        <v>14580</v>
      </c>
      <c r="V2399" s="5" t="s">
        <v>12646</v>
      </c>
      <c r="W2399" s="5" t="s">
        <v>9771</v>
      </c>
    </row>
    <row r="2400" spans="1:23" ht="12.5">
      <c r="A2400" s="5">
        <v>92916</v>
      </c>
      <c r="B2400" s="5" t="s">
        <v>20239</v>
      </c>
      <c r="C2400" s="5">
        <v>573003322666</v>
      </c>
      <c r="D2400" s="5">
        <v>106</v>
      </c>
      <c r="E2400" s="5" t="s">
        <v>13978</v>
      </c>
      <c r="F2400" s="5" t="s">
        <v>12657</v>
      </c>
      <c r="G2400" s="5" t="s">
        <v>13969</v>
      </c>
      <c r="H2400" s="5" t="s">
        <v>12657</v>
      </c>
      <c r="I2400" s="5">
        <v>573003322666</v>
      </c>
      <c r="J2400" s="12">
        <v>46089</v>
      </c>
      <c r="K2400" s="11">
        <v>0</v>
      </c>
      <c r="M2400" s="10" t="s">
        <v>15384</v>
      </c>
      <c r="N2400" s="12">
        <v>46089.446330532402</v>
      </c>
      <c r="O2400" s="10" t="s">
        <v>18469</v>
      </c>
      <c r="P2400" s="5" t="s">
        <v>14571</v>
      </c>
      <c r="Q2400" s="5" t="s">
        <v>17404</v>
      </c>
      <c r="R2400" s="5"/>
      <c r="T2400" s="5" t="s">
        <v>5994</v>
      </c>
      <c r="U2400" s="5"/>
      <c r="V2400" s="5" t="s">
        <v>1705</v>
      </c>
      <c r="W2400" s="5"/>
    </row>
    <row r="2401" spans="1:23" ht="12.5">
      <c r="A2401" s="5">
        <v>92917</v>
      </c>
      <c r="B2401" s="5" t="s">
        <v>20259</v>
      </c>
      <c r="C2401" s="5">
        <v>573013726870</v>
      </c>
      <c r="D2401" s="5">
        <v>95</v>
      </c>
      <c r="E2401" s="5" t="s">
        <v>42</v>
      </c>
      <c r="F2401" s="5" t="s">
        <v>12657</v>
      </c>
      <c r="G2401" s="5" t="s">
        <v>13983</v>
      </c>
      <c r="H2401" s="5" t="s">
        <v>12657</v>
      </c>
      <c r="I2401" s="5">
        <v>573013726870</v>
      </c>
      <c r="J2401" s="12">
        <v>46089</v>
      </c>
      <c r="K2401" s="11">
        <v>0</v>
      </c>
      <c r="M2401" s="10" t="s">
        <v>15352</v>
      </c>
      <c r="N2401" s="12">
        <v>46089.449573773149</v>
      </c>
      <c r="O2401" s="10" t="s">
        <v>14658</v>
      </c>
      <c r="P2401" s="5" t="s">
        <v>14571</v>
      </c>
      <c r="Q2401" s="5" t="s">
        <v>14572</v>
      </c>
      <c r="R2401" s="5" t="s">
        <v>20260</v>
      </c>
      <c r="T2401" s="5" t="s">
        <v>5994</v>
      </c>
      <c r="U2401" s="5"/>
      <c r="V2401" s="5" t="s">
        <v>1705</v>
      </c>
      <c r="W2401" s="5"/>
    </row>
    <row r="2402" spans="1:23" ht="12.5">
      <c r="A2402" s="5">
        <v>92918</v>
      </c>
      <c r="B2402" s="5" t="s">
        <v>20261</v>
      </c>
      <c r="C2402" s="5">
        <v>57300514042300</v>
      </c>
      <c r="D2402" s="5" t="s">
        <v>20262</v>
      </c>
      <c r="E2402" s="5" t="s">
        <v>13900</v>
      </c>
      <c r="F2402" s="5" t="s">
        <v>33</v>
      </c>
      <c r="G2402" s="5" t="s">
        <v>46</v>
      </c>
      <c r="H2402" s="5" t="s">
        <v>579</v>
      </c>
      <c r="I2402" s="10" t="s">
        <v>2019</v>
      </c>
      <c r="J2402" s="12">
        <v>46089</v>
      </c>
      <c r="K2402" s="11">
        <v>8.3333333332120674E-2</v>
      </c>
      <c r="M2402" s="10" t="s">
        <v>14649</v>
      </c>
      <c r="N2402" s="12">
        <v>46089.398386412038</v>
      </c>
      <c r="O2402" s="10" t="s">
        <v>17177</v>
      </c>
      <c r="P2402" s="5" t="s">
        <v>14571</v>
      </c>
      <c r="Q2402" s="5" t="s">
        <v>17990</v>
      </c>
      <c r="R2402" s="5" t="s">
        <v>20263</v>
      </c>
      <c r="T2402" s="5" t="s">
        <v>14574</v>
      </c>
      <c r="U2402" s="5" t="s">
        <v>33</v>
      </c>
      <c r="V2402" s="5" t="s">
        <v>12646</v>
      </c>
      <c r="W2402" s="5" t="s">
        <v>9612</v>
      </c>
    </row>
    <row r="2403" spans="1:23" ht="12.5">
      <c r="A2403" s="5">
        <v>92919</v>
      </c>
      <c r="B2403" s="5" t="s">
        <v>20264</v>
      </c>
      <c r="C2403" s="5">
        <v>57320940951551</v>
      </c>
      <c r="D2403" s="5">
        <v>103</v>
      </c>
      <c r="E2403" s="5" t="s">
        <v>13807</v>
      </c>
      <c r="F2403" s="5" t="s">
        <v>12657</v>
      </c>
      <c r="G2403" s="5" t="s">
        <v>13937</v>
      </c>
      <c r="H2403" s="5" t="s">
        <v>12657</v>
      </c>
      <c r="I2403" s="5">
        <v>573209409515</v>
      </c>
      <c r="J2403" s="12">
        <v>46089</v>
      </c>
      <c r="K2403" s="11">
        <v>0.5</v>
      </c>
      <c r="M2403" s="10" t="s">
        <v>14646</v>
      </c>
      <c r="N2403" s="12">
        <v>46089.421229652777</v>
      </c>
      <c r="O2403" s="10" t="s">
        <v>17177</v>
      </c>
      <c r="P2403" s="5" t="s">
        <v>14571</v>
      </c>
      <c r="Q2403" s="5" t="s">
        <v>17404</v>
      </c>
      <c r="R2403" s="5" t="s">
        <v>20265</v>
      </c>
      <c r="T2403" s="5" t="s">
        <v>5994</v>
      </c>
      <c r="U2403" s="5"/>
      <c r="V2403" s="5" t="s">
        <v>2438</v>
      </c>
      <c r="W2403" s="5" t="s">
        <v>13939</v>
      </c>
    </row>
    <row r="2404" spans="1:23" ht="12.5">
      <c r="A2404" s="5">
        <v>92920</v>
      </c>
      <c r="B2404" s="5" t="s">
        <v>20266</v>
      </c>
      <c r="C2404" s="10" t="s">
        <v>20267</v>
      </c>
      <c r="D2404" s="5">
        <v>1</v>
      </c>
      <c r="E2404" s="5" t="s">
        <v>13074</v>
      </c>
      <c r="F2404" s="5" t="s">
        <v>103</v>
      </c>
      <c r="G2404" s="5" t="s">
        <v>13973</v>
      </c>
      <c r="H2404" s="5" t="s">
        <v>13974</v>
      </c>
      <c r="I2404" s="5">
        <v>573004214517</v>
      </c>
      <c r="J2404" s="12">
        <v>46089</v>
      </c>
      <c r="K2404" s="11">
        <v>8.3333333333333329E-2</v>
      </c>
      <c r="M2404" s="10" t="s">
        <v>16109</v>
      </c>
      <c r="N2404" s="12">
        <v>46089</v>
      </c>
      <c r="O2404" s="10" t="s">
        <v>20268</v>
      </c>
      <c r="P2404" s="5" t="s">
        <v>14571</v>
      </c>
      <c r="Q2404" s="5" t="s">
        <v>16907</v>
      </c>
      <c r="R2404" s="5" t="s">
        <v>20269</v>
      </c>
      <c r="T2404" s="5" t="s">
        <v>5994</v>
      </c>
      <c r="U2404" s="5" t="s">
        <v>14593</v>
      </c>
      <c r="V2404" s="5" t="s">
        <v>12646</v>
      </c>
      <c r="W2404" s="5"/>
    </row>
    <row r="2405" spans="1:23" ht="12.5">
      <c r="A2405" s="5">
        <v>92921</v>
      </c>
      <c r="B2405" s="5" t="s">
        <v>20270</v>
      </c>
      <c r="C2405" s="5">
        <v>573022812819</v>
      </c>
      <c r="D2405" s="5">
        <v>53</v>
      </c>
      <c r="E2405" s="5" t="s">
        <v>12423</v>
      </c>
      <c r="F2405" s="5" t="s">
        <v>249</v>
      </c>
      <c r="G2405" s="5" t="s">
        <v>13964</v>
      </c>
      <c r="H2405" s="5" t="s">
        <v>13965</v>
      </c>
      <c r="I2405" s="5">
        <v>573113106759</v>
      </c>
      <c r="J2405" s="12">
        <v>46089</v>
      </c>
      <c r="K2405" s="11">
        <v>0.60416666666787933</v>
      </c>
      <c r="M2405" s="10" t="s">
        <v>14627</v>
      </c>
      <c r="N2405" s="12">
        <v>46089.430539837966</v>
      </c>
      <c r="O2405" s="10" t="s">
        <v>18471</v>
      </c>
      <c r="P2405" s="5" t="s">
        <v>14571</v>
      </c>
      <c r="Q2405" s="5" t="s">
        <v>17423</v>
      </c>
      <c r="R2405" s="5" t="s">
        <v>20271</v>
      </c>
      <c r="T2405" s="5" t="s">
        <v>5994</v>
      </c>
      <c r="U2405" s="5" t="s">
        <v>14593</v>
      </c>
      <c r="V2405" s="5" t="s">
        <v>12646</v>
      </c>
      <c r="W2405" s="5" t="s">
        <v>13968</v>
      </c>
    </row>
    <row r="2406" spans="1:23" ht="12.5">
      <c r="A2406" s="5">
        <v>92922</v>
      </c>
      <c r="B2406" s="5" t="s">
        <v>20272</v>
      </c>
      <c r="C2406" s="10" t="s">
        <v>20273</v>
      </c>
      <c r="D2406" s="5">
        <v>53</v>
      </c>
      <c r="E2406" s="5" t="s">
        <v>12423</v>
      </c>
      <c r="F2406" s="5" t="s">
        <v>265</v>
      </c>
      <c r="G2406" s="5" t="s">
        <v>13895</v>
      </c>
      <c r="H2406" s="5" t="s">
        <v>13896</v>
      </c>
      <c r="I2406" s="5">
        <v>573173666064</v>
      </c>
      <c r="J2406" s="12">
        <v>46089</v>
      </c>
      <c r="K2406" s="11">
        <v>0</v>
      </c>
      <c r="M2406" s="10" t="s">
        <v>15525</v>
      </c>
      <c r="N2406" s="12">
        <v>46089</v>
      </c>
      <c r="O2406" s="10" t="s">
        <v>15506</v>
      </c>
      <c r="P2406" s="5" t="s">
        <v>14571</v>
      </c>
      <c r="Q2406" s="5" t="s">
        <v>17688</v>
      </c>
      <c r="R2406" s="5" t="s">
        <v>20274</v>
      </c>
      <c r="T2406" s="5" t="s">
        <v>5994</v>
      </c>
      <c r="U2406" s="5" t="s">
        <v>14691</v>
      </c>
      <c r="V2406" s="5" t="s">
        <v>12646</v>
      </c>
      <c r="W2406" s="5"/>
    </row>
    <row r="2407" spans="1:23" ht="12.5">
      <c r="A2407" s="5">
        <v>92923</v>
      </c>
      <c r="B2407" s="5" t="s">
        <v>20275</v>
      </c>
      <c r="C2407" s="10" t="s">
        <v>20276</v>
      </c>
      <c r="D2407" s="5">
        <v>58</v>
      </c>
      <c r="E2407" s="5" t="s">
        <v>12728</v>
      </c>
      <c r="F2407" s="5" t="s">
        <v>33</v>
      </c>
      <c r="G2407" s="5" t="s">
        <v>20277</v>
      </c>
      <c r="H2407" s="5" t="s">
        <v>579</v>
      </c>
      <c r="I2407" s="5"/>
      <c r="J2407" s="12">
        <v>46089</v>
      </c>
      <c r="K2407" s="11">
        <v>4.1666666666666664E-2</v>
      </c>
      <c r="M2407" s="10" t="s">
        <v>15594</v>
      </c>
      <c r="N2407" s="12">
        <v>46089</v>
      </c>
      <c r="O2407" s="10" t="s">
        <v>16284</v>
      </c>
      <c r="P2407" s="5" t="s">
        <v>14571</v>
      </c>
      <c r="Q2407" s="5" t="s">
        <v>17404</v>
      </c>
      <c r="R2407" s="5" t="s">
        <v>20278</v>
      </c>
      <c r="T2407" s="5" t="s">
        <v>14574</v>
      </c>
      <c r="U2407" s="5" t="s">
        <v>33</v>
      </c>
      <c r="V2407" s="5" t="s">
        <v>12646</v>
      </c>
      <c r="W2407" s="5" t="s">
        <v>13764</v>
      </c>
    </row>
    <row r="2408" spans="1:23" ht="12.5">
      <c r="A2408" s="5">
        <v>92924</v>
      </c>
      <c r="B2408" s="5" t="s">
        <v>20259</v>
      </c>
      <c r="C2408" s="5">
        <v>573013726870</v>
      </c>
      <c r="D2408" s="5">
        <v>95</v>
      </c>
      <c r="E2408" s="5" t="s">
        <v>42</v>
      </c>
      <c r="F2408" s="5" t="s">
        <v>12657</v>
      </c>
      <c r="G2408" s="5" t="s">
        <v>13983</v>
      </c>
      <c r="H2408" s="5" t="s">
        <v>12657</v>
      </c>
      <c r="I2408" s="5">
        <v>573013726870</v>
      </c>
      <c r="J2408" s="12">
        <v>46089</v>
      </c>
      <c r="K2408" s="11">
        <v>0</v>
      </c>
      <c r="M2408" s="10" t="s">
        <v>14705</v>
      </c>
      <c r="N2408" s="12">
        <v>46089.463062187497</v>
      </c>
      <c r="O2408" s="10" t="s">
        <v>14647</v>
      </c>
      <c r="P2408" s="5" t="s">
        <v>14571</v>
      </c>
      <c r="Q2408" s="5" t="s">
        <v>16907</v>
      </c>
      <c r="R2408" s="5" t="s">
        <v>20279</v>
      </c>
      <c r="T2408" s="5" t="s">
        <v>5994</v>
      </c>
      <c r="U2408" s="5"/>
      <c r="V2408" s="5" t="s">
        <v>20280</v>
      </c>
      <c r="W2408" s="5"/>
    </row>
    <row r="2409" spans="1:23" ht="12.5">
      <c r="A2409" s="5">
        <v>92925</v>
      </c>
      <c r="B2409" s="5" t="s">
        <v>14005</v>
      </c>
      <c r="C2409" s="10" t="s">
        <v>20281</v>
      </c>
      <c r="D2409" s="5">
        <v>52</v>
      </c>
      <c r="E2409" s="5" t="s">
        <v>12496</v>
      </c>
      <c r="F2409" s="5" t="s">
        <v>12657</v>
      </c>
      <c r="G2409" s="5" t="s">
        <v>14004</v>
      </c>
      <c r="H2409" s="5" t="s">
        <v>12657</v>
      </c>
      <c r="I2409" s="5">
        <v>573106336999</v>
      </c>
      <c r="J2409" s="12">
        <v>46089</v>
      </c>
      <c r="K2409" s="11">
        <v>0</v>
      </c>
      <c r="M2409" s="10" t="s">
        <v>15594</v>
      </c>
      <c r="N2409" s="12">
        <v>46089</v>
      </c>
      <c r="O2409" s="10" t="s">
        <v>16593</v>
      </c>
      <c r="P2409" s="5" t="s">
        <v>14571</v>
      </c>
      <c r="Q2409" s="5" t="s">
        <v>14572</v>
      </c>
      <c r="R2409" s="5" t="s">
        <v>20282</v>
      </c>
      <c r="T2409" s="5" t="s">
        <v>5994</v>
      </c>
      <c r="U2409" s="5"/>
      <c r="V2409" s="5" t="s">
        <v>1705</v>
      </c>
      <c r="W2409" s="5"/>
    </row>
    <row r="2410" spans="1:23" ht="12.5">
      <c r="A2410" s="5">
        <v>92926</v>
      </c>
      <c r="B2410" s="5" t="s">
        <v>20283</v>
      </c>
      <c r="C2410" s="10" t="s">
        <v>20284</v>
      </c>
      <c r="D2410" s="5">
        <v>29</v>
      </c>
      <c r="E2410" s="5" t="s">
        <v>12406</v>
      </c>
      <c r="F2410" s="5" t="s">
        <v>1317</v>
      </c>
      <c r="G2410" s="5" t="s">
        <v>13949</v>
      </c>
      <c r="H2410" s="5" t="s">
        <v>13950</v>
      </c>
      <c r="I2410" s="5">
        <v>573006489514</v>
      </c>
      <c r="J2410" s="12">
        <v>46089</v>
      </c>
      <c r="K2410" s="11">
        <v>0.54166666666666663</v>
      </c>
      <c r="M2410" s="10" t="s">
        <v>15632</v>
      </c>
      <c r="N2410" s="12">
        <v>46089</v>
      </c>
      <c r="O2410" s="10" t="s">
        <v>15997</v>
      </c>
      <c r="P2410" s="5" t="s">
        <v>14571</v>
      </c>
      <c r="Q2410" s="5" t="s">
        <v>17423</v>
      </c>
      <c r="R2410" s="5" t="s">
        <v>20285</v>
      </c>
      <c r="T2410" s="5" t="s">
        <v>5994</v>
      </c>
      <c r="U2410" s="5" t="s">
        <v>15349</v>
      </c>
      <c r="V2410" s="5" t="s">
        <v>12646</v>
      </c>
      <c r="W2410" s="5"/>
    </row>
    <row r="2411" spans="1:23" ht="12.5">
      <c r="A2411" s="5">
        <v>92927</v>
      </c>
      <c r="B2411" s="5" t="s">
        <v>14005</v>
      </c>
      <c r="C2411" s="5">
        <v>573106336999</v>
      </c>
      <c r="D2411" s="5">
        <v>95</v>
      </c>
      <c r="E2411" s="5" t="s">
        <v>42</v>
      </c>
      <c r="F2411" s="5" t="s">
        <v>12657</v>
      </c>
      <c r="G2411" s="5" t="s">
        <v>14004</v>
      </c>
      <c r="H2411" s="5" t="s">
        <v>12657</v>
      </c>
      <c r="I2411" s="5">
        <v>573106336999</v>
      </c>
      <c r="J2411" s="12">
        <v>46089</v>
      </c>
      <c r="K2411" s="11">
        <v>0</v>
      </c>
      <c r="M2411" s="10" t="s">
        <v>14619</v>
      </c>
      <c r="N2411" s="12">
        <v>46089.474594293977</v>
      </c>
      <c r="O2411" s="10" t="s">
        <v>15079</v>
      </c>
      <c r="P2411" s="5" t="s">
        <v>14571</v>
      </c>
      <c r="Q2411" s="5" t="s">
        <v>14612</v>
      </c>
      <c r="R2411" s="5" t="s">
        <v>20286</v>
      </c>
      <c r="T2411" s="5" t="s">
        <v>5994</v>
      </c>
      <c r="U2411" s="5"/>
      <c r="V2411" s="5" t="s">
        <v>1705</v>
      </c>
      <c r="W2411" s="5"/>
    </row>
    <row r="2412" spans="1:23" ht="12.5">
      <c r="A2412" s="5">
        <v>92928</v>
      </c>
      <c r="B2412" s="5" t="s">
        <v>20287</v>
      </c>
      <c r="C2412" s="5">
        <v>573186228967</v>
      </c>
      <c r="D2412" s="5" t="s">
        <v>14589</v>
      </c>
      <c r="E2412" s="5" t="s">
        <v>14027</v>
      </c>
      <c r="F2412" s="5" t="s">
        <v>12657</v>
      </c>
      <c r="G2412" s="5" t="s">
        <v>14026</v>
      </c>
      <c r="H2412" s="5" t="s">
        <v>12657</v>
      </c>
      <c r="I2412" s="5">
        <v>573186228967</v>
      </c>
      <c r="J2412" s="12">
        <v>46089</v>
      </c>
      <c r="K2412" s="11">
        <v>0.52083333333212067</v>
      </c>
      <c r="M2412" s="10" t="s">
        <v>14734</v>
      </c>
      <c r="N2412" s="12">
        <v>46089.480985821763</v>
      </c>
      <c r="O2412" s="10" t="s">
        <v>15290</v>
      </c>
      <c r="P2412" s="5" t="s">
        <v>14571</v>
      </c>
      <c r="Q2412" s="5" t="s">
        <v>14572</v>
      </c>
      <c r="R2412" s="5" t="s">
        <v>20288</v>
      </c>
      <c r="T2412" s="5" t="s">
        <v>5994</v>
      </c>
      <c r="U2412" s="5"/>
      <c r="V2412" s="5" t="s">
        <v>1705</v>
      </c>
      <c r="W2412" s="5"/>
    </row>
    <row r="2413" spans="1:23" ht="12.5">
      <c r="A2413" s="5">
        <v>92929</v>
      </c>
      <c r="B2413" s="5" t="s">
        <v>20289</v>
      </c>
      <c r="C2413" s="5">
        <v>573017997710</v>
      </c>
      <c r="D2413" s="5">
        <v>106</v>
      </c>
      <c r="E2413" s="5" t="s">
        <v>13838</v>
      </c>
      <c r="F2413" s="5" t="s">
        <v>73</v>
      </c>
      <c r="G2413" s="5" t="s">
        <v>13925</v>
      </c>
      <c r="H2413" s="5" t="s">
        <v>13926</v>
      </c>
      <c r="I2413" s="5">
        <v>573017997710</v>
      </c>
      <c r="J2413" s="12">
        <v>46089</v>
      </c>
      <c r="K2413" s="11">
        <v>8.3333333332120674E-2</v>
      </c>
      <c r="M2413" s="10" t="s">
        <v>14850</v>
      </c>
      <c r="N2413" s="12">
        <v>46089.41523982639</v>
      </c>
      <c r="O2413" s="10" t="s">
        <v>14756</v>
      </c>
      <c r="P2413" s="5" t="s">
        <v>14571</v>
      </c>
      <c r="Q2413" s="5" t="s">
        <v>17990</v>
      </c>
      <c r="R2413" s="5" t="s">
        <v>20290</v>
      </c>
      <c r="T2413" s="5" t="s">
        <v>5994</v>
      </c>
      <c r="U2413" s="5" t="s">
        <v>14593</v>
      </c>
      <c r="V2413" s="5" t="s">
        <v>12646</v>
      </c>
      <c r="W2413" s="5" t="s">
        <v>9771</v>
      </c>
    </row>
    <row r="2414" spans="1:23" ht="12.5">
      <c r="A2414" s="5">
        <v>92930</v>
      </c>
      <c r="B2414" s="5" t="s">
        <v>20291</v>
      </c>
      <c r="C2414" s="10" t="s">
        <v>20292</v>
      </c>
      <c r="D2414" s="5">
        <v>59</v>
      </c>
      <c r="E2414" s="5" t="s">
        <v>13283</v>
      </c>
      <c r="F2414" s="5" t="s">
        <v>1047</v>
      </c>
      <c r="G2414" s="5" t="s">
        <v>20293</v>
      </c>
      <c r="H2414" s="5" t="s">
        <v>13995</v>
      </c>
      <c r="I2414" s="5">
        <v>573112313035</v>
      </c>
      <c r="J2414" s="12">
        <v>46089</v>
      </c>
      <c r="K2414" s="11">
        <v>0.58333333333333337</v>
      </c>
      <c r="M2414" s="10" t="s">
        <v>14953</v>
      </c>
      <c r="N2414" s="12">
        <v>46089</v>
      </c>
      <c r="O2414" s="10" t="s">
        <v>15407</v>
      </c>
      <c r="P2414" s="5" t="s">
        <v>14571</v>
      </c>
      <c r="Q2414" s="5" t="s">
        <v>14612</v>
      </c>
      <c r="R2414" s="5" t="s">
        <v>20294</v>
      </c>
      <c r="T2414" s="5" t="s">
        <v>5994</v>
      </c>
      <c r="U2414" s="5" t="s">
        <v>14580</v>
      </c>
      <c r="V2414" s="5" t="s">
        <v>12646</v>
      </c>
      <c r="W2414" s="5" t="s">
        <v>9771</v>
      </c>
    </row>
    <row r="2415" spans="1:23" ht="12.5">
      <c r="A2415" s="5">
        <v>92931</v>
      </c>
      <c r="B2415" s="5" t="s">
        <v>20295</v>
      </c>
      <c r="C2415" s="5">
        <v>34620769481</v>
      </c>
      <c r="D2415" s="5" t="s">
        <v>20296</v>
      </c>
      <c r="E2415" s="5" t="s">
        <v>13860</v>
      </c>
      <c r="F2415" s="5" t="s">
        <v>87</v>
      </c>
      <c r="G2415" s="5" t="s">
        <v>13858</v>
      </c>
      <c r="H2415" s="5" t="s">
        <v>13859</v>
      </c>
      <c r="I2415" s="5">
        <v>573004073607</v>
      </c>
      <c r="J2415" s="12">
        <v>46089</v>
      </c>
      <c r="K2415" s="11">
        <v>0.58333333333212067</v>
      </c>
      <c r="M2415" s="10" t="s">
        <v>20297</v>
      </c>
      <c r="N2415" s="12">
        <v>46089.366661979162</v>
      </c>
      <c r="O2415" s="10" t="s">
        <v>19863</v>
      </c>
      <c r="P2415" s="5" t="s">
        <v>14571</v>
      </c>
      <c r="Q2415" s="5" t="s">
        <v>14578</v>
      </c>
      <c r="R2415" s="5" t="s">
        <v>20298</v>
      </c>
      <c r="T2415" s="5" t="s">
        <v>5994</v>
      </c>
      <c r="U2415" s="5" t="s">
        <v>14580</v>
      </c>
      <c r="V2415" s="5" t="s">
        <v>12646</v>
      </c>
      <c r="W2415" s="5"/>
    </row>
    <row r="2416" spans="1:23" ht="12.5">
      <c r="A2416" s="5">
        <v>92932</v>
      </c>
      <c r="B2416" s="5" t="s">
        <v>20299</v>
      </c>
      <c r="C2416" s="10" t="s">
        <v>20300</v>
      </c>
      <c r="D2416" s="5">
        <v>58</v>
      </c>
      <c r="E2416" s="5" t="s">
        <v>12728</v>
      </c>
      <c r="F2416" s="5" t="s">
        <v>12657</v>
      </c>
      <c r="G2416" s="5" t="s">
        <v>10764</v>
      </c>
      <c r="H2416" s="5" t="s">
        <v>12657</v>
      </c>
      <c r="I2416" s="5">
        <v>573215240869</v>
      </c>
      <c r="J2416" s="12">
        <v>46089</v>
      </c>
      <c r="K2416" s="11">
        <v>0.54166666666666663</v>
      </c>
      <c r="M2416" s="10" t="s">
        <v>15594</v>
      </c>
      <c r="N2416" s="12">
        <v>46089</v>
      </c>
      <c r="O2416" s="10" t="s">
        <v>14977</v>
      </c>
      <c r="P2416" s="5" t="s">
        <v>14571</v>
      </c>
      <c r="Q2416" s="5" t="s">
        <v>17404</v>
      </c>
      <c r="R2416" s="5" t="s">
        <v>20301</v>
      </c>
      <c r="T2416" s="5" t="s">
        <v>5994</v>
      </c>
      <c r="U2416" s="5"/>
      <c r="V2416" s="5" t="s">
        <v>12646</v>
      </c>
      <c r="W2416" s="5"/>
    </row>
    <row r="2417" spans="1:23" ht="12.5">
      <c r="A2417" s="5">
        <v>92933</v>
      </c>
      <c r="B2417" s="5" t="s">
        <v>20302</v>
      </c>
      <c r="C2417" s="5">
        <v>84383137308438</v>
      </c>
      <c r="D2417" s="5">
        <v>29</v>
      </c>
      <c r="E2417" s="5" t="s">
        <v>13217</v>
      </c>
      <c r="F2417" s="5" t="s">
        <v>1921</v>
      </c>
      <c r="G2417" s="5" t="s">
        <v>13985</v>
      </c>
      <c r="H2417" s="5" t="s">
        <v>13986</v>
      </c>
      <c r="I2417" s="5">
        <v>573166256584</v>
      </c>
      <c r="J2417" s="12">
        <v>46089</v>
      </c>
      <c r="K2417" s="11">
        <v>0.58333333333212067</v>
      </c>
      <c r="M2417" s="10" t="s">
        <v>15102</v>
      </c>
      <c r="N2417" s="12">
        <v>46089.455298020832</v>
      </c>
      <c r="O2417" s="10" t="s">
        <v>15077</v>
      </c>
      <c r="P2417" s="5" t="s">
        <v>14571</v>
      </c>
      <c r="Q2417" s="5" t="s">
        <v>17688</v>
      </c>
      <c r="R2417" s="5" t="s">
        <v>20303</v>
      </c>
      <c r="T2417" s="5" t="s">
        <v>5994</v>
      </c>
      <c r="U2417" s="5" t="s">
        <v>14580</v>
      </c>
      <c r="V2417" s="5" t="s">
        <v>12646</v>
      </c>
      <c r="W2417" s="5"/>
    </row>
    <row r="2418" spans="1:23" ht="12.5">
      <c r="A2418" s="5">
        <v>92934</v>
      </c>
      <c r="B2418" s="5" t="s">
        <v>20304</v>
      </c>
      <c r="C2418" s="5">
        <v>573016147069</v>
      </c>
      <c r="D2418" s="5">
        <v>70</v>
      </c>
      <c r="E2418" s="5" t="s">
        <v>12522</v>
      </c>
      <c r="F2418" s="5" t="s">
        <v>103</v>
      </c>
      <c r="G2418" s="5" t="s">
        <v>13943</v>
      </c>
      <c r="H2418" s="5" t="s">
        <v>13944</v>
      </c>
      <c r="I2418" s="5">
        <v>573209588809</v>
      </c>
      <c r="J2418" s="12">
        <v>46089</v>
      </c>
      <c r="K2418" s="11">
        <v>0.58333333333212067</v>
      </c>
      <c r="M2418" s="10" t="s">
        <v>14653</v>
      </c>
      <c r="N2418" s="12">
        <v>46089.42503189815</v>
      </c>
      <c r="O2418" s="10" t="s">
        <v>15518</v>
      </c>
      <c r="P2418" s="5" t="s">
        <v>14571</v>
      </c>
      <c r="Q2418" s="5" t="s">
        <v>17688</v>
      </c>
      <c r="R2418" s="5" t="s">
        <v>20305</v>
      </c>
      <c r="T2418" s="5" t="s">
        <v>5994</v>
      </c>
      <c r="U2418" s="5" t="s">
        <v>14593</v>
      </c>
      <c r="V2418" s="5" t="s">
        <v>12646</v>
      </c>
      <c r="W2418" s="5" t="s">
        <v>13947</v>
      </c>
    </row>
    <row r="2419" spans="1:23" ht="12.5">
      <c r="A2419" s="5">
        <v>92935</v>
      </c>
      <c r="B2419" s="5" t="s">
        <v>20306</v>
      </c>
      <c r="C2419" s="5">
        <v>573204208147</v>
      </c>
      <c r="D2419" s="5">
        <v>53</v>
      </c>
      <c r="E2419" s="5" t="s">
        <v>12423</v>
      </c>
      <c r="F2419" s="5" t="s">
        <v>975</v>
      </c>
      <c r="G2419" s="5" t="s">
        <v>13953</v>
      </c>
      <c r="H2419" s="5" t="s">
        <v>13954</v>
      </c>
      <c r="I2419" s="5">
        <v>573147387811</v>
      </c>
      <c r="J2419" s="12">
        <v>46089</v>
      </c>
      <c r="K2419" s="11">
        <v>0.58333333333212067</v>
      </c>
      <c r="M2419" s="10" t="s">
        <v>14627</v>
      </c>
      <c r="N2419" s="12">
        <v>46089.425523680555</v>
      </c>
      <c r="O2419" s="10" t="s">
        <v>14640</v>
      </c>
      <c r="P2419" s="5" t="s">
        <v>14571</v>
      </c>
      <c r="Q2419" s="5" t="s">
        <v>14612</v>
      </c>
      <c r="R2419" s="5" t="s">
        <v>20307</v>
      </c>
      <c r="T2419" s="5" t="s">
        <v>5994</v>
      </c>
      <c r="U2419" s="5" t="s">
        <v>14593</v>
      </c>
      <c r="V2419" s="5" t="s">
        <v>12646</v>
      </c>
      <c r="W2419" s="5"/>
    </row>
    <row r="2420" spans="1:23" ht="12.5">
      <c r="A2420" s="5">
        <v>92936</v>
      </c>
      <c r="B2420" s="5" t="s">
        <v>20308</v>
      </c>
      <c r="C2420" s="5">
        <v>573145417064</v>
      </c>
      <c r="D2420" s="5">
        <v>104</v>
      </c>
      <c r="E2420" s="5" t="s">
        <v>12673</v>
      </c>
      <c r="F2420" s="5" t="s">
        <v>161</v>
      </c>
      <c r="G2420" s="5" t="s">
        <v>14041</v>
      </c>
      <c r="H2420" s="5" t="s">
        <v>14042</v>
      </c>
      <c r="I2420" s="5">
        <v>573145417064</v>
      </c>
      <c r="J2420" s="12">
        <v>46089</v>
      </c>
      <c r="K2420" s="11">
        <v>8.3333333332120674E-2</v>
      </c>
      <c r="M2420" s="10" t="s">
        <v>14890</v>
      </c>
      <c r="N2420" s="12">
        <v>46089.501530289352</v>
      </c>
      <c r="O2420" s="10" t="s">
        <v>14971</v>
      </c>
      <c r="P2420" s="5" t="s">
        <v>14571</v>
      </c>
      <c r="Q2420" s="5" t="s">
        <v>17404</v>
      </c>
      <c r="R2420" s="5" t="s">
        <v>20309</v>
      </c>
      <c r="T2420" s="5" t="s">
        <v>5994</v>
      </c>
      <c r="U2420" s="5" t="s">
        <v>14593</v>
      </c>
      <c r="V2420" s="5" t="s">
        <v>1937</v>
      </c>
      <c r="W2420" s="5" t="s">
        <v>9771</v>
      </c>
    </row>
    <row r="2421" spans="1:23" ht="12.5">
      <c r="A2421" s="5">
        <v>92937</v>
      </c>
      <c r="B2421" s="5" t="s">
        <v>20310</v>
      </c>
      <c r="C2421" s="10" t="s">
        <v>20311</v>
      </c>
      <c r="D2421" s="5">
        <v>95</v>
      </c>
      <c r="E2421" s="5" t="s">
        <v>14057</v>
      </c>
      <c r="F2421" s="5" t="s">
        <v>12657</v>
      </c>
      <c r="G2421" s="5" t="s">
        <v>14056</v>
      </c>
      <c r="H2421" s="5" t="s">
        <v>12657</v>
      </c>
      <c r="I2421" s="5">
        <v>573004568021</v>
      </c>
      <c r="J2421" s="12">
        <v>46089</v>
      </c>
      <c r="K2421" s="11">
        <v>0</v>
      </c>
      <c r="M2421" s="10" t="s">
        <v>15032</v>
      </c>
      <c r="N2421" s="12">
        <v>46089</v>
      </c>
      <c r="O2421" s="10" t="s">
        <v>14744</v>
      </c>
      <c r="P2421" s="5" t="s">
        <v>14571</v>
      </c>
      <c r="Q2421" s="5" t="s">
        <v>17404</v>
      </c>
      <c r="R2421" s="5" t="s">
        <v>20312</v>
      </c>
      <c r="T2421" s="5" t="s">
        <v>5994</v>
      </c>
      <c r="U2421" s="5"/>
      <c r="V2421" s="5" t="s">
        <v>12646</v>
      </c>
      <c r="W2421" s="5"/>
    </row>
    <row r="2422" spans="1:23" ht="12.5">
      <c r="A2422" s="5">
        <v>92938</v>
      </c>
      <c r="B2422" s="5" t="s">
        <v>20308</v>
      </c>
      <c r="C2422" s="5">
        <v>573145417064</v>
      </c>
      <c r="D2422" s="5">
        <v>104</v>
      </c>
      <c r="E2422" s="5" t="s">
        <v>12673</v>
      </c>
      <c r="F2422" s="5" t="s">
        <v>103</v>
      </c>
      <c r="G2422" s="5" t="s">
        <v>14007</v>
      </c>
      <c r="H2422" s="5" t="s">
        <v>14008</v>
      </c>
      <c r="I2422" s="5">
        <v>573145471397</v>
      </c>
      <c r="J2422" s="12">
        <v>46089</v>
      </c>
      <c r="K2422" s="11">
        <v>8.3333333332120674E-2</v>
      </c>
      <c r="M2422" s="10" t="s">
        <v>14649</v>
      </c>
      <c r="N2422" s="12">
        <v>46089.474160185186</v>
      </c>
      <c r="O2422" s="10" t="s">
        <v>15849</v>
      </c>
      <c r="P2422" s="5" t="s">
        <v>14571</v>
      </c>
      <c r="Q2422" s="5" t="s">
        <v>17423</v>
      </c>
      <c r="R2422" s="5" t="s">
        <v>20313</v>
      </c>
      <c r="T2422" s="5" t="s">
        <v>5994</v>
      </c>
      <c r="U2422" s="5" t="s">
        <v>14593</v>
      </c>
      <c r="V2422" s="5" t="s">
        <v>1937</v>
      </c>
      <c r="W2422" s="5" t="s">
        <v>9771</v>
      </c>
    </row>
    <row r="2423" spans="1:23" ht="12.5">
      <c r="A2423" s="5">
        <v>92939</v>
      </c>
      <c r="B2423" s="5" t="s">
        <v>13309</v>
      </c>
      <c r="C2423" s="10" t="s">
        <v>20314</v>
      </c>
      <c r="D2423" s="5">
        <v>51</v>
      </c>
      <c r="E2423" s="5" t="s">
        <v>13138</v>
      </c>
      <c r="F2423" s="5" t="s">
        <v>420</v>
      </c>
      <c r="G2423" s="5" t="s">
        <v>20315</v>
      </c>
      <c r="H2423" s="5" t="s">
        <v>14038</v>
      </c>
      <c r="I2423" s="5">
        <v>573105923689</v>
      </c>
      <c r="J2423" s="12">
        <v>46089</v>
      </c>
      <c r="K2423" s="11">
        <v>0.58333333333333337</v>
      </c>
      <c r="M2423" s="10" t="s">
        <v>17577</v>
      </c>
      <c r="N2423" s="12">
        <v>46089</v>
      </c>
      <c r="O2423" s="10" t="s">
        <v>15780</v>
      </c>
      <c r="P2423" s="5" t="s">
        <v>14571</v>
      </c>
      <c r="Q2423" s="5" t="s">
        <v>16907</v>
      </c>
      <c r="R2423" s="5" t="s">
        <v>20316</v>
      </c>
      <c r="T2423" s="5" t="s">
        <v>5994</v>
      </c>
      <c r="U2423" s="5" t="s">
        <v>14580</v>
      </c>
      <c r="V2423" s="5" t="s">
        <v>12646</v>
      </c>
      <c r="W2423" s="5"/>
    </row>
    <row r="2424" spans="1:23" ht="12.5">
      <c r="A2424" s="5">
        <v>92940</v>
      </c>
      <c r="B2424" s="5" t="s">
        <v>20317</v>
      </c>
      <c r="C2424" s="10" t="s">
        <v>20318</v>
      </c>
      <c r="D2424" s="5">
        <v>62</v>
      </c>
      <c r="E2424" s="5" t="s">
        <v>12484</v>
      </c>
      <c r="F2424" s="5" t="s">
        <v>1057</v>
      </c>
      <c r="G2424" s="5" t="s">
        <v>13818</v>
      </c>
      <c r="H2424" s="5" t="s">
        <v>13819</v>
      </c>
      <c r="I2424" s="5">
        <v>573045961095</v>
      </c>
      <c r="J2424" s="12">
        <v>46089</v>
      </c>
      <c r="K2424" s="11">
        <v>0.58333333333333337</v>
      </c>
      <c r="M2424" s="10" t="s">
        <v>15327</v>
      </c>
      <c r="N2424" s="12">
        <v>46089</v>
      </c>
      <c r="O2424" s="10" t="s">
        <v>14741</v>
      </c>
      <c r="P2424" s="5" t="s">
        <v>14571</v>
      </c>
      <c r="Q2424" s="5" t="s">
        <v>14612</v>
      </c>
      <c r="R2424" s="5" t="s">
        <v>20319</v>
      </c>
      <c r="T2424" s="5" t="s">
        <v>5994</v>
      </c>
      <c r="U2424" s="5" t="s">
        <v>14580</v>
      </c>
      <c r="V2424" s="5" t="s">
        <v>12646</v>
      </c>
      <c r="W2424" s="5"/>
    </row>
    <row r="2425" spans="1:23" ht="12.5">
      <c r="A2425" s="5">
        <v>92941</v>
      </c>
      <c r="B2425" s="5" t="s">
        <v>13933</v>
      </c>
      <c r="C2425" s="10" t="s">
        <v>20320</v>
      </c>
      <c r="D2425" s="5" t="s">
        <v>20229</v>
      </c>
      <c r="E2425" s="5" t="s">
        <v>13907</v>
      </c>
      <c r="F2425" s="5" t="s">
        <v>1815</v>
      </c>
      <c r="G2425" s="5" t="s">
        <v>13932</v>
      </c>
      <c r="H2425" s="5" t="s">
        <v>13934</v>
      </c>
      <c r="I2425" s="5">
        <v>573114239021</v>
      </c>
      <c r="J2425" s="12">
        <v>46089</v>
      </c>
      <c r="K2425" s="11">
        <v>0.125</v>
      </c>
      <c r="M2425" s="10" t="s">
        <v>15248</v>
      </c>
      <c r="N2425" s="12">
        <v>46089</v>
      </c>
      <c r="O2425" s="10" t="s">
        <v>16065</v>
      </c>
      <c r="P2425" s="5" t="s">
        <v>14571</v>
      </c>
      <c r="Q2425" s="5" t="s">
        <v>16907</v>
      </c>
      <c r="R2425" s="5" t="s">
        <v>20321</v>
      </c>
      <c r="T2425" s="5" t="s">
        <v>5994</v>
      </c>
      <c r="U2425" s="5" t="s">
        <v>14580</v>
      </c>
      <c r="V2425" s="5" t="s">
        <v>12646</v>
      </c>
      <c r="W2425" s="5"/>
    </row>
    <row r="2426" spans="1:23" ht="12.5">
      <c r="A2426" s="5">
        <v>92942</v>
      </c>
      <c r="B2426" s="5" t="s">
        <v>20322</v>
      </c>
      <c r="C2426" s="10" t="s">
        <v>20323</v>
      </c>
      <c r="D2426" s="5">
        <v>62</v>
      </c>
      <c r="E2426" s="5" t="s">
        <v>12484</v>
      </c>
      <c r="F2426" s="5" t="s">
        <v>892</v>
      </c>
      <c r="G2426" s="5" t="s">
        <v>20324</v>
      </c>
      <c r="H2426" s="5" t="s">
        <v>14024</v>
      </c>
      <c r="I2426" s="5">
        <v>573013506011</v>
      </c>
      <c r="J2426" s="12">
        <v>46089</v>
      </c>
      <c r="K2426" s="11">
        <v>0.58333333333333337</v>
      </c>
      <c r="M2426" s="10" t="s">
        <v>14712</v>
      </c>
      <c r="N2426" s="12">
        <v>46089</v>
      </c>
      <c r="O2426" s="10" t="s">
        <v>16458</v>
      </c>
      <c r="P2426" s="5" t="s">
        <v>14571</v>
      </c>
      <c r="Q2426" s="5" t="s">
        <v>14572</v>
      </c>
      <c r="R2426" s="5" t="s">
        <v>20325</v>
      </c>
      <c r="T2426" s="5" t="s">
        <v>5994</v>
      </c>
      <c r="U2426" s="5" t="s">
        <v>14593</v>
      </c>
      <c r="V2426" s="5" t="s">
        <v>12646</v>
      </c>
      <c r="W2426" s="5"/>
    </row>
    <row r="2427" spans="1:23" ht="12.5">
      <c r="A2427" s="5">
        <v>92943</v>
      </c>
      <c r="B2427" s="5" t="s">
        <v>20322</v>
      </c>
      <c r="C2427" s="5">
        <v>573013506011</v>
      </c>
      <c r="D2427" s="5">
        <v>41</v>
      </c>
      <c r="E2427" s="5" t="s">
        <v>13079</v>
      </c>
      <c r="F2427" s="5" t="s">
        <v>892</v>
      </c>
      <c r="G2427" s="5" t="s">
        <v>14032</v>
      </c>
      <c r="H2427" s="5" t="s">
        <v>14024</v>
      </c>
      <c r="I2427" s="5">
        <v>573013506011</v>
      </c>
      <c r="J2427" s="12">
        <v>46089</v>
      </c>
      <c r="K2427" s="11">
        <v>0.58333333333212067</v>
      </c>
      <c r="M2427" s="10" t="s">
        <v>14734</v>
      </c>
      <c r="N2427" s="12">
        <v>46089.484684305557</v>
      </c>
      <c r="O2427" s="10" t="s">
        <v>17039</v>
      </c>
      <c r="P2427" s="5" t="s">
        <v>14571</v>
      </c>
      <c r="Q2427" s="5" t="s">
        <v>14578</v>
      </c>
      <c r="R2427" s="5" t="s">
        <v>20326</v>
      </c>
      <c r="T2427" s="5" t="s">
        <v>5994</v>
      </c>
      <c r="U2427" s="5" t="s">
        <v>14593</v>
      </c>
      <c r="V2427" s="5" t="s">
        <v>12646</v>
      </c>
      <c r="W2427" s="5"/>
    </row>
    <row r="2428" spans="1:23" ht="12.5">
      <c r="A2428" s="5">
        <v>92944</v>
      </c>
      <c r="B2428" s="5" t="s">
        <v>20327</v>
      </c>
      <c r="C2428" s="5">
        <v>573136454703</v>
      </c>
      <c r="D2428" s="5">
        <v>95</v>
      </c>
      <c r="E2428" s="5" t="s">
        <v>42</v>
      </c>
      <c r="F2428" s="5" t="s">
        <v>33</v>
      </c>
      <c r="G2428" s="5" t="s">
        <v>14068</v>
      </c>
      <c r="H2428" s="5" t="s">
        <v>49</v>
      </c>
      <c r="I2428" s="5">
        <v>573136454703</v>
      </c>
      <c r="J2428" s="12">
        <v>46089</v>
      </c>
      <c r="K2428" s="11">
        <v>4.1666666667879326E-2</v>
      </c>
      <c r="M2428" s="10" t="s">
        <v>14619</v>
      </c>
      <c r="N2428" s="12">
        <v>46089.516784039355</v>
      </c>
      <c r="O2428" s="10" t="s">
        <v>15853</v>
      </c>
      <c r="P2428" s="5" t="s">
        <v>14571</v>
      </c>
      <c r="Q2428" s="5" t="s">
        <v>14612</v>
      </c>
      <c r="R2428" s="5" t="s">
        <v>20328</v>
      </c>
      <c r="T2428" s="5" t="s">
        <v>14574</v>
      </c>
      <c r="U2428" s="5" t="s">
        <v>33</v>
      </c>
      <c r="V2428" s="5" t="s">
        <v>12646</v>
      </c>
      <c r="W2428" s="5" t="s">
        <v>14071</v>
      </c>
    </row>
    <row r="2429" spans="1:23" ht="12.5">
      <c r="A2429" s="5">
        <v>92945</v>
      </c>
      <c r="B2429" s="5" t="s">
        <v>20329</v>
      </c>
      <c r="C2429" s="5">
        <v>573238048114</v>
      </c>
      <c r="D2429" s="5">
        <v>95</v>
      </c>
      <c r="E2429" s="5" t="s">
        <v>20330</v>
      </c>
      <c r="F2429" s="5" t="s">
        <v>12657</v>
      </c>
      <c r="G2429" s="5" t="s">
        <v>14072</v>
      </c>
      <c r="H2429" s="5" t="s">
        <v>12657</v>
      </c>
      <c r="I2429" s="5">
        <v>573238048114</v>
      </c>
      <c r="J2429" s="12">
        <v>46089</v>
      </c>
      <c r="K2429" s="11">
        <v>0</v>
      </c>
      <c r="M2429" s="10" t="s">
        <v>15565</v>
      </c>
      <c r="N2429" s="12">
        <v>46089.522515543984</v>
      </c>
      <c r="O2429" s="10" t="s">
        <v>17130</v>
      </c>
      <c r="P2429" s="5" t="s">
        <v>14571</v>
      </c>
      <c r="Q2429" s="5" t="s">
        <v>17404</v>
      </c>
      <c r="R2429" s="5" t="s">
        <v>20331</v>
      </c>
      <c r="T2429" s="5" t="s">
        <v>5994</v>
      </c>
      <c r="U2429" s="5"/>
      <c r="V2429" s="5" t="s">
        <v>1705</v>
      </c>
      <c r="W2429" s="5"/>
    </row>
    <row r="2430" spans="1:23" ht="12.5">
      <c r="A2430" s="5">
        <v>92946</v>
      </c>
      <c r="B2430" s="5" t="s">
        <v>20332</v>
      </c>
      <c r="C2430" s="10" t="s">
        <v>20333</v>
      </c>
      <c r="D2430" s="5">
        <v>58</v>
      </c>
      <c r="E2430" s="5" t="s">
        <v>12728</v>
      </c>
      <c r="F2430" s="5" t="s">
        <v>14052</v>
      </c>
      <c r="G2430" s="5" t="s">
        <v>20334</v>
      </c>
      <c r="H2430" s="5" t="s">
        <v>14053</v>
      </c>
      <c r="I2430" s="5">
        <v>573028023810</v>
      </c>
      <c r="J2430" s="12">
        <v>46089</v>
      </c>
      <c r="K2430" s="11">
        <v>0.125</v>
      </c>
      <c r="M2430" s="10" t="s">
        <v>14599</v>
      </c>
      <c r="N2430" s="12">
        <v>46089</v>
      </c>
      <c r="O2430" s="10" t="s">
        <v>15613</v>
      </c>
      <c r="P2430" s="5" t="s">
        <v>14571</v>
      </c>
      <c r="Q2430" s="5" t="s">
        <v>17404</v>
      </c>
      <c r="R2430" s="5" t="s">
        <v>20335</v>
      </c>
      <c r="T2430" s="5" t="s">
        <v>5994</v>
      </c>
      <c r="U2430" s="5" t="s">
        <v>14580</v>
      </c>
      <c r="V2430" s="5" t="s">
        <v>12646</v>
      </c>
      <c r="W2430" s="5"/>
    </row>
    <row r="2431" spans="1:23" ht="12.5">
      <c r="A2431" s="5">
        <v>92947</v>
      </c>
      <c r="B2431" s="10" t="s">
        <v>20336</v>
      </c>
      <c r="C2431" s="10" t="s">
        <v>20337</v>
      </c>
      <c r="D2431" s="5">
        <v>29</v>
      </c>
      <c r="E2431" s="5" t="s">
        <v>12406</v>
      </c>
      <c r="F2431" s="5" t="s">
        <v>307</v>
      </c>
      <c r="G2431" s="5" t="s">
        <v>14028</v>
      </c>
      <c r="H2431" s="5" t="s">
        <v>14029</v>
      </c>
      <c r="I2431" s="5">
        <v>573246899919</v>
      </c>
      <c r="J2431" s="12">
        <v>46089</v>
      </c>
      <c r="K2431" s="11">
        <v>8.3333333333333329E-2</v>
      </c>
      <c r="M2431" s="10" t="s">
        <v>14705</v>
      </c>
      <c r="N2431" s="12">
        <v>46089</v>
      </c>
      <c r="O2431" s="10" t="s">
        <v>16302</v>
      </c>
      <c r="P2431" s="5" t="s">
        <v>14571</v>
      </c>
      <c r="Q2431" s="5" t="s">
        <v>17688</v>
      </c>
      <c r="R2431" s="5" t="s">
        <v>20338</v>
      </c>
      <c r="T2431" s="5" t="s">
        <v>5994</v>
      </c>
      <c r="U2431" s="5" t="s">
        <v>14618</v>
      </c>
      <c r="V2431" s="5" t="s">
        <v>12646</v>
      </c>
      <c r="W2431" s="5" t="s">
        <v>9771</v>
      </c>
    </row>
    <row r="2432" spans="1:23" ht="12.5">
      <c r="A2432" s="5">
        <v>92948</v>
      </c>
      <c r="B2432" s="5" t="s">
        <v>20339</v>
      </c>
      <c r="C2432" s="5">
        <v>573244514045</v>
      </c>
      <c r="D2432" s="5">
        <v>53</v>
      </c>
      <c r="E2432" s="5" t="s">
        <v>12423</v>
      </c>
      <c r="F2432" s="5" t="s">
        <v>1647</v>
      </c>
      <c r="G2432" s="5" t="s">
        <v>4163</v>
      </c>
      <c r="H2432" s="5" t="s">
        <v>14059</v>
      </c>
      <c r="I2432" s="5"/>
      <c r="J2432" s="12">
        <v>46089</v>
      </c>
      <c r="K2432" s="11">
        <v>0.58333333333212067</v>
      </c>
      <c r="M2432" s="10" t="s">
        <v>15064</v>
      </c>
      <c r="N2432" s="12">
        <v>46089.507549849535</v>
      </c>
      <c r="O2432" s="10" t="s">
        <v>15616</v>
      </c>
      <c r="P2432" s="5" t="s">
        <v>14571</v>
      </c>
      <c r="Q2432" s="5" t="s">
        <v>17990</v>
      </c>
      <c r="R2432" s="5" t="s">
        <v>20340</v>
      </c>
      <c r="T2432" s="5" t="s">
        <v>5994</v>
      </c>
      <c r="U2432" s="5" t="s">
        <v>14580</v>
      </c>
      <c r="V2432" s="5" t="s">
        <v>12646</v>
      </c>
      <c r="W2432" s="5" t="s">
        <v>14061</v>
      </c>
    </row>
    <row r="2433" spans="1:23" ht="12.5">
      <c r="A2433" s="5">
        <v>92949</v>
      </c>
      <c r="B2433" s="5" t="s">
        <v>20341</v>
      </c>
      <c r="C2433" s="5">
        <v>573015245531</v>
      </c>
      <c r="D2433" s="5">
        <v>70</v>
      </c>
      <c r="E2433" s="5" t="s">
        <v>14020</v>
      </c>
      <c r="F2433" s="5" t="s">
        <v>73</v>
      </c>
      <c r="G2433" s="5" t="s">
        <v>14018</v>
      </c>
      <c r="H2433" s="5" t="s">
        <v>14019</v>
      </c>
      <c r="I2433" s="5">
        <v>573184187111</v>
      </c>
      <c r="J2433" s="12">
        <v>46089</v>
      </c>
      <c r="K2433" s="11">
        <v>0.58333333333212067</v>
      </c>
      <c r="M2433" s="10" t="s">
        <v>15623</v>
      </c>
      <c r="N2433" s="12">
        <v>46089.479508715274</v>
      </c>
      <c r="O2433" s="10" t="s">
        <v>17134</v>
      </c>
      <c r="P2433" s="5" t="s">
        <v>14571</v>
      </c>
      <c r="Q2433" s="5" t="s">
        <v>16907</v>
      </c>
      <c r="R2433" s="5" t="s">
        <v>20342</v>
      </c>
      <c r="T2433" s="5" t="s">
        <v>5994</v>
      </c>
      <c r="U2433" s="5" t="s">
        <v>14593</v>
      </c>
      <c r="V2433" s="5" t="s">
        <v>12646</v>
      </c>
      <c r="W2433" s="5"/>
    </row>
    <row r="2434" spans="1:23" ht="12.5">
      <c r="A2434" s="5">
        <v>92950</v>
      </c>
      <c r="B2434" s="5" t="s">
        <v>20343</v>
      </c>
      <c r="C2434" s="5">
        <v>573150491518</v>
      </c>
      <c r="D2434" s="5">
        <v>29</v>
      </c>
      <c r="E2434" s="5" t="s">
        <v>12406</v>
      </c>
      <c r="F2434" s="5" t="s">
        <v>12657</v>
      </c>
      <c r="G2434" s="5" t="s">
        <v>14083</v>
      </c>
      <c r="H2434" s="5" t="s">
        <v>12657</v>
      </c>
      <c r="I2434" s="5">
        <v>573150491518</v>
      </c>
      <c r="J2434" s="12">
        <v>46089</v>
      </c>
      <c r="K2434" s="11">
        <v>0.54166666666787933</v>
      </c>
      <c r="M2434" s="10" t="s">
        <v>14627</v>
      </c>
      <c r="N2434" s="12">
        <v>46089.528510972217</v>
      </c>
      <c r="O2434" s="10" t="s">
        <v>14631</v>
      </c>
      <c r="P2434" s="5" t="s">
        <v>14571</v>
      </c>
      <c r="Q2434" s="5" t="s">
        <v>17423</v>
      </c>
      <c r="R2434" s="5" t="s">
        <v>20344</v>
      </c>
      <c r="T2434" s="5" t="s">
        <v>5994</v>
      </c>
      <c r="U2434" s="5"/>
      <c r="V2434" s="5" t="s">
        <v>12646</v>
      </c>
      <c r="W2434" s="5" t="s">
        <v>14086</v>
      </c>
    </row>
    <row r="2435" spans="1:23" ht="12.5">
      <c r="A2435" s="5">
        <v>92951</v>
      </c>
      <c r="B2435" s="5" t="s">
        <v>20345</v>
      </c>
      <c r="C2435" s="5">
        <v>573043117743</v>
      </c>
      <c r="D2435" s="5">
        <v>70</v>
      </c>
      <c r="E2435" s="5" t="s">
        <v>12522</v>
      </c>
      <c r="F2435" s="5" t="s">
        <v>63</v>
      </c>
      <c r="G2435" s="5" t="s">
        <v>14034</v>
      </c>
      <c r="H2435" s="5" t="s">
        <v>14035</v>
      </c>
      <c r="I2435" s="5">
        <v>573043117743</v>
      </c>
      <c r="J2435" s="12">
        <v>46089</v>
      </c>
      <c r="K2435" s="11">
        <v>0.625</v>
      </c>
      <c r="M2435" s="10" t="s">
        <v>19693</v>
      </c>
      <c r="N2435" s="12">
        <v>46089.487220439813</v>
      </c>
      <c r="O2435" s="10" t="s">
        <v>16305</v>
      </c>
      <c r="P2435" s="5" t="s">
        <v>14571</v>
      </c>
      <c r="Q2435" s="5" t="s">
        <v>17404</v>
      </c>
      <c r="R2435" s="5" t="s">
        <v>20346</v>
      </c>
      <c r="T2435" s="5" t="s">
        <v>5994</v>
      </c>
      <c r="U2435" s="5" t="s">
        <v>14598</v>
      </c>
      <c r="V2435" s="5" t="s">
        <v>1937</v>
      </c>
      <c r="W2435" s="5"/>
    </row>
    <row r="2436" spans="1:23" ht="12.5">
      <c r="A2436" s="5">
        <v>92952</v>
      </c>
      <c r="B2436" s="5" t="s">
        <v>20347</v>
      </c>
      <c r="C2436" s="5">
        <v>573007358551</v>
      </c>
      <c r="D2436" s="5">
        <v>53</v>
      </c>
      <c r="E2436" s="5" t="s">
        <v>12423</v>
      </c>
      <c r="F2436" s="5" t="s">
        <v>12657</v>
      </c>
      <c r="G2436" s="5" t="s">
        <v>14092</v>
      </c>
      <c r="H2436" s="5" t="s">
        <v>12657</v>
      </c>
      <c r="I2436" s="5">
        <v>573007358551</v>
      </c>
      <c r="J2436" s="12">
        <v>46089</v>
      </c>
      <c r="K2436" s="11">
        <v>0</v>
      </c>
      <c r="M2436" s="10" t="s">
        <v>14585</v>
      </c>
      <c r="N2436" s="12">
        <v>46089.539936562505</v>
      </c>
      <c r="O2436" s="10" t="s">
        <v>16534</v>
      </c>
      <c r="P2436" s="5" t="s">
        <v>14571</v>
      </c>
      <c r="Q2436" s="5" t="s">
        <v>14612</v>
      </c>
      <c r="R2436" s="5" t="s">
        <v>20348</v>
      </c>
      <c r="T2436" s="5" t="s">
        <v>5994</v>
      </c>
      <c r="U2436" s="5"/>
      <c r="V2436" s="5" t="s">
        <v>1705</v>
      </c>
      <c r="W2436" s="5"/>
    </row>
    <row r="2437" spans="1:23" ht="12.5">
      <c r="A2437" s="5">
        <v>92953</v>
      </c>
      <c r="B2437" s="5" t="s">
        <v>20349</v>
      </c>
      <c r="C2437" s="5">
        <v>573052429073</v>
      </c>
      <c r="D2437" s="5">
        <v>52</v>
      </c>
      <c r="E2437" s="5" t="s">
        <v>12496</v>
      </c>
      <c r="F2437" s="5" t="s">
        <v>124</v>
      </c>
      <c r="G2437" s="5" t="s">
        <v>13990</v>
      </c>
      <c r="H2437" s="5" t="s">
        <v>13991</v>
      </c>
      <c r="I2437" s="5">
        <v>573002866923</v>
      </c>
      <c r="J2437" s="12">
        <v>46089</v>
      </c>
      <c r="K2437" s="11">
        <v>0.66666666666787933</v>
      </c>
      <c r="M2437" s="10" t="s">
        <v>14960</v>
      </c>
      <c r="N2437" s="12">
        <v>46089.456288032408</v>
      </c>
      <c r="O2437" s="10" t="s">
        <v>16313</v>
      </c>
      <c r="P2437" s="5" t="s">
        <v>14571</v>
      </c>
      <c r="Q2437" s="5" t="s">
        <v>16907</v>
      </c>
      <c r="R2437" s="5" t="s">
        <v>20350</v>
      </c>
      <c r="T2437" s="5" t="s">
        <v>5994</v>
      </c>
      <c r="U2437" s="5" t="s">
        <v>14775</v>
      </c>
      <c r="V2437" s="5" t="s">
        <v>12646</v>
      </c>
      <c r="W2437" s="5"/>
    </row>
    <row r="2438" spans="1:23" ht="12.5">
      <c r="A2438" s="5">
        <v>92954</v>
      </c>
      <c r="B2438" s="5" t="s">
        <v>20351</v>
      </c>
      <c r="C2438" s="10" t="s">
        <v>20352</v>
      </c>
      <c r="D2438" s="5">
        <v>102</v>
      </c>
      <c r="E2438" s="5" t="s">
        <v>13789</v>
      </c>
      <c r="F2438" s="5" t="s">
        <v>193</v>
      </c>
      <c r="G2438" s="5" t="s">
        <v>20353</v>
      </c>
      <c r="H2438" s="5" t="s">
        <v>14013</v>
      </c>
      <c r="I2438" s="5">
        <v>573163764650</v>
      </c>
      <c r="J2438" s="12">
        <v>46089</v>
      </c>
      <c r="K2438" s="11">
        <v>0.125</v>
      </c>
      <c r="M2438" s="10" t="s">
        <v>15019</v>
      </c>
      <c r="N2438" s="12">
        <v>46089</v>
      </c>
      <c r="O2438" s="10" t="s">
        <v>20354</v>
      </c>
      <c r="P2438" s="5" t="s">
        <v>14571</v>
      </c>
      <c r="Q2438" s="5" t="s">
        <v>14612</v>
      </c>
      <c r="R2438" s="5" t="s">
        <v>20355</v>
      </c>
      <c r="T2438" s="5" t="s">
        <v>5994</v>
      </c>
      <c r="U2438" s="5" t="s">
        <v>14580</v>
      </c>
      <c r="V2438" s="5" t="s">
        <v>1937</v>
      </c>
      <c r="W2438" s="5" t="s">
        <v>14016</v>
      </c>
    </row>
    <row r="2439" spans="1:23" ht="12.5">
      <c r="A2439" s="5">
        <v>92955</v>
      </c>
      <c r="B2439" s="5" t="s">
        <v>20356</v>
      </c>
      <c r="C2439" s="10" t="s">
        <v>20357</v>
      </c>
      <c r="D2439" s="5">
        <v>58</v>
      </c>
      <c r="E2439" s="5" t="s">
        <v>12728</v>
      </c>
      <c r="F2439" s="5" t="s">
        <v>154</v>
      </c>
      <c r="G2439" s="5" t="s">
        <v>14046</v>
      </c>
      <c r="H2439" s="5" t="s">
        <v>14047</v>
      </c>
      <c r="I2439" s="5">
        <v>573005435875</v>
      </c>
      <c r="J2439" s="12">
        <v>46089</v>
      </c>
      <c r="K2439" s="11">
        <v>0.625</v>
      </c>
      <c r="M2439" s="10" t="s">
        <v>14885</v>
      </c>
      <c r="N2439" s="12">
        <v>46089</v>
      </c>
      <c r="O2439" s="10" t="s">
        <v>15625</v>
      </c>
      <c r="P2439" s="5" t="s">
        <v>14571</v>
      </c>
      <c r="Q2439" s="5" t="s">
        <v>17688</v>
      </c>
      <c r="R2439" s="5" t="s">
        <v>20358</v>
      </c>
      <c r="T2439" s="5" t="s">
        <v>5994</v>
      </c>
      <c r="U2439" s="5" t="s">
        <v>14593</v>
      </c>
      <c r="V2439" s="5" t="s">
        <v>12646</v>
      </c>
      <c r="W2439" s="5"/>
    </row>
    <row r="2440" spans="1:23" ht="12.5">
      <c r="A2440" s="5">
        <v>92956</v>
      </c>
      <c r="B2440" s="5" t="s">
        <v>20359</v>
      </c>
      <c r="C2440" s="5">
        <v>573154447302</v>
      </c>
      <c r="D2440" s="5" t="s">
        <v>20360</v>
      </c>
      <c r="E2440" s="5" t="s">
        <v>14077</v>
      </c>
      <c r="F2440" s="5" t="s">
        <v>964</v>
      </c>
      <c r="G2440" s="5" t="s">
        <v>14075</v>
      </c>
      <c r="H2440" s="5" t="s">
        <v>14076</v>
      </c>
      <c r="I2440" s="5">
        <v>573045724174</v>
      </c>
      <c r="J2440" s="12">
        <v>46089</v>
      </c>
      <c r="K2440" s="11">
        <v>0.125</v>
      </c>
      <c r="M2440" s="10" t="s">
        <v>15660</v>
      </c>
      <c r="N2440" s="12">
        <v>46089.526134537038</v>
      </c>
      <c r="O2440" s="10" t="s">
        <v>15535</v>
      </c>
      <c r="P2440" s="5" t="s">
        <v>14571</v>
      </c>
      <c r="Q2440" s="5" t="s">
        <v>17990</v>
      </c>
      <c r="R2440" s="5" t="s">
        <v>20361</v>
      </c>
      <c r="T2440" s="5" t="s">
        <v>5994</v>
      </c>
      <c r="U2440" s="5" t="s">
        <v>14618</v>
      </c>
      <c r="V2440" s="5" t="s">
        <v>12646</v>
      </c>
      <c r="W2440" s="5" t="s">
        <v>9771</v>
      </c>
    </row>
    <row r="2441" spans="1:23" ht="12.5">
      <c r="A2441" s="5">
        <v>92957</v>
      </c>
      <c r="B2441" s="5" t="s">
        <v>20362</v>
      </c>
      <c r="C2441" s="10" t="s">
        <v>20363</v>
      </c>
      <c r="D2441" s="5">
        <v>29</v>
      </c>
      <c r="E2441" s="5" t="s">
        <v>12406</v>
      </c>
      <c r="F2441" s="5" t="s">
        <v>307</v>
      </c>
      <c r="G2441" s="5" t="s">
        <v>20364</v>
      </c>
      <c r="H2441" s="5" t="s">
        <v>14064</v>
      </c>
      <c r="I2441" s="5">
        <v>573004400740</v>
      </c>
      <c r="J2441" s="12">
        <v>46089</v>
      </c>
      <c r="K2441" s="11">
        <v>0.625</v>
      </c>
      <c r="M2441" s="10" t="s">
        <v>14705</v>
      </c>
      <c r="N2441" s="12">
        <v>46089</v>
      </c>
      <c r="O2441" s="10" t="s">
        <v>15273</v>
      </c>
      <c r="P2441" s="5" t="s">
        <v>14571</v>
      </c>
      <c r="Q2441" s="5" t="s">
        <v>17423</v>
      </c>
      <c r="R2441" s="5" t="s">
        <v>20365</v>
      </c>
      <c r="T2441" s="5" t="s">
        <v>5994</v>
      </c>
      <c r="U2441" s="5" t="s">
        <v>14618</v>
      </c>
      <c r="V2441" s="5" t="s">
        <v>1937</v>
      </c>
      <c r="W2441" s="5"/>
    </row>
    <row r="2442" spans="1:23" ht="12.5">
      <c r="A2442" s="5">
        <v>92958</v>
      </c>
      <c r="B2442" s="5" t="s">
        <v>20366</v>
      </c>
      <c r="C2442" s="5">
        <v>573005273265</v>
      </c>
      <c r="D2442" s="5" t="s">
        <v>20367</v>
      </c>
      <c r="E2442" s="5" t="s">
        <v>14090</v>
      </c>
      <c r="F2442" s="5" t="s">
        <v>964</v>
      </c>
      <c r="G2442" s="5" t="s">
        <v>14088</v>
      </c>
      <c r="H2442" s="5" t="s">
        <v>14089</v>
      </c>
      <c r="I2442" s="5">
        <v>573012112234</v>
      </c>
      <c r="J2442" s="12">
        <v>46089</v>
      </c>
      <c r="K2442" s="11">
        <v>0.625</v>
      </c>
      <c r="M2442" s="10" t="s">
        <v>14602</v>
      </c>
      <c r="N2442" s="12">
        <v>46089.53823450231</v>
      </c>
      <c r="O2442" s="10" t="s">
        <v>14963</v>
      </c>
      <c r="P2442" s="5" t="s">
        <v>14571</v>
      </c>
      <c r="Q2442" s="5" t="s">
        <v>14578</v>
      </c>
      <c r="R2442" s="5" t="s">
        <v>20368</v>
      </c>
      <c r="T2442" s="5" t="s">
        <v>5994</v>
      </c>
      <c r="U2442" s="5" t="s">
        <v>14618</v>
      </c>
      <c r="V2442" s="5" t="s">
        <v>12646</v>
      </c>
      <c r="W2442" s="5"/>
    </row>
    <row r="2443" spans="1:23" ht="12.5">
      <c r="A2443" s="5">
        <v>92959</v>
      </c>
      <c r="B2443" s="5" t="s">
        <v>20369</v>
      </c>
      <c r="C2443" s="5">
        <v>573105585460</v>
      </c>
      <c r="D2443" s="5">
        <v>103</v>
      </c>
      <c r="E2443" s="5" t="s">
        <v>13807</v>
      </c>
      <c r="F2443" s="5" t="s">
        <v>307</v>
      </c>
      <c r="G2443" s="5" t="s">
        <v>13999</v>
      </c>
      <c r="H2443" s="5" t="s">
        <v>14000</v>
      </c>
      <c r="I2443" s="5">
        <v>573105585460</v>
      </c>
      <c r="J2443" s="12">
        <v>46089</v>
      </c>
      <c r="K2443" s="11">
        <v>0.16666666666787933</v>
      </c>
      <c r="M2443" s="10" t="s">
        <v>15384</v>
      </c>
      <c r="N2443" s="12">
        <v>46089.467667696765</v>
      </c>
      <c r="O2443" s="10" t="s">
        <v>17779</v>
      </c>
      <c r="P2443" s="5" t="s">
        <v>14571</v>
      </c>
      <c r="Q2443" s="5" t="s">
        <v>14578</v>
      </c>
      <c r="R2443" s="5" t="s">
        <v>20370</v>
      </c>
      <c r="T2443" s="5" t="s">
        <v>5994</v>
      </c>
      <c r="U2443" s="5" t="s">
        <v>14618</v>
      </c>
      <c r="V2443" s="5" t="s">
        <v>12646</v>
      </c>
      <c r="W2443" s="5" t="s">
        <v>9771</v>
      </c>
    </row>
    <row r="2444" spans="1:23" ht="12.5">
      <c r="A2444" s="5">
        <v>92960</v>
      </c>
      <c r="B2444" s="5" t="s">
        <v>20371</v>
      </c>
      <c r="C2444" s="10" t="s">
        <v>14094</v>
      </c>
      <c r="D2444" s="5" t="s">
        <v>20372</v>
      </c>
      <c r="E2444" s="5" t="s">
        <v>14095</v>
      </c>
      <c r="F2444" s="5" t="s">
        <v>12657</v>
      </c>
      <c r="G2444" s="5" t="s">
        <v>14093</v>
      </c>
      <c r="H2444" s="5" t="s">
        <v>12657</v>
      </c>
      <c r="I2444" s="5">
        <v>573106376698</v>
      </c>
      <c r="J2444" s="12">
        <v>46089</v>
      </c>
      <c r="K2444" s="11">
        <v>0.125</v>
      </c>
      <c r="M2444" s="10" t="s">
        <v>16109</v>
      </c>
      <c r="N2444" s="12">
        <v>46089</v>
      </c>
      <c r="O2444" s="10" t="s">
        <v>18838</v>
      </c>
      <c r="P2444" s="5" t="s">
        <v>14571</v>
      </c>
      <c r="Q2444" s="5" t="s">
        <v>14578</v>
      </c>
      <c r="R2444" s="5" t="s">
        <v>20373</v>
      </c>
      <c r="T2444" s="5" t="s">
        <v>5994</v>
      </c>
      <c r="U2444" s="5"/>
      <c r="V2444" s="5" t="s">
        <v>12646</v>
      </c>
      <c r="W2444" s="5" t="s">
        <v>9771</v>
      </c>
    </row>
    <row r="2445" spans="1:23" ht="12.5">
      <c r="A2445" s="5">
        <v>92961</v>
      </c>
      <c r="B2445" s="5" t="s">
        <v>20374</v>
      </c>
      <c r="C2445" s="10" t="s">
        <v>20375</v>
      </c>
      <c r="D2445" s="5">
        <v>29</v>
      </c>
      <c r="E2445" s="5" t="s">
        <v>12406</v>
      </c>
      <c r="F2445" s="5" t="s">
        <v>73</v>
      </c>
      <c r="G2445" s="5" t="s">
        <v>14097</v>
      </c>
      <c r="H2445" s="5" t="s">
        <v>14098</v>
      </c>
      <c r="I2445" s="5">
        <v>573156165550</v>
      </c>
      <c r="J2445" s="12">
        <v>46089</v>
      </c>
      <c r="K2445" s="11">
        <v>0.625</v>
      </c>
      <c r="M2445" s="10" t="s">
        <v>15064</v>
      </c>
      <c r="N2445" s="12">
        <v>46089</v>
      </c>
      <c r="O2445" s="10" t="s">
        <v>15864</v>
      </c>
      <c r="P2445" s="5" t="s">
        <v>14571</v>
      </c>
      <c r="Q2445" s="5" t="s">
        <v>17990</v>
      </c>
      <c r="R2445" s="5" t="s">
        <v>20376</v>
      </c>
      <c r="T2445" s="5" t="s">
        <v>5994</v>
      </c>
      <c r="U2445" s="5" t="s">
        <v>14593</v>
      </c>
      <c r="V2445" s="5" t="s">
        <v>12646</v>
      </c>
      <c r="W2445" s="5"/>
    </row>
    <row r="2446" spans="1:23" ht="12.5">
      <c r="A2446" s="5">
        <v>92962</v>
      </c>
      <c r="B2446" s="5" t="s">
        <v>20377</v>
      </c>
      <c r="C2446" s="5">
        <v>573052325427</v>
      </c>
      <c r="D2446" s="5" t="s">
        <v>20378</v>
      </c>
      <c r="E2446" s="5" t="s">
        <v>13803</v>
      </c>
      <c r="F2446" s="5" t="s">
        <v>12657</v>
      </c>
      <c r="G2446" s="5" t="s">
        <v>13802</v>
      </c>
      <c r="H2446" s="5" t="s">
        <v>12657</v>
      </c>
      <c r="I2446" s="5">
        <v>573052325427</v>
      </c>
      <c r="J2446" s="12">
        <v>46089</v>
      </c>
      <c r="K2446" s="11">
        <v>8.3333333332120674E-2</v>
      </c>
      <c r="M2446" s="10" t="s">
        <v>14734</v>
      </c>
      <c r="N2446" s="12">
        <v>46088.881928055554</v>
      </c>
      <c r="O2446" s="10" t="s">
        <v>15866</v>
      </c>
      <c r="P2446" s="5" t="s">
        <v>14571</v>
      </c>
      <c r="Q2446" s="5" t="s">
        <v>17990</v>
      </c>
      <c r="R2446" s="5" t="s">
        <v>20379</v>
      </c>
      <c r="T2446" s="5" t="s">
        <v>5994</v>
      </c>
      <c r="U2446" s="5"/>
      <c r="V2446" s="5" t="s">
        <v>12646</v>
      </c>
      <c r="W2446" s="5" t="s">
        <v>9771</v>
      </c>
    </row>
    <row r="2447" spans="1:23" ht="12.5">
      <c r="A2447" s="5">
        <v>92963</v>
      </c>
      <c r="B2447" s="5" t="s">
        <v>20380</v>
      </c>
      <c r="C2447" s="5">
        <v>573188709938</v>
      </c>
      <c r="D2447" s="5">
        <v>51</v>
      </c>
      <c r="E2447" s="5" t="s">
        <v>13138</v>
      </c>
      <c r="F2447" s="5" t="s">
        <v>307</v>
      </c>
      <c r="G2447" s="5" t="s">
        <v>13980</v>
      </c>
      <c r="H2447" s="5" t="s">
        <v>13981</v>
      </c>
      <c r="I2447" s="5">
        <v>573215461190</v>
      </c>
      <c r="J2447" s="12">
        <v>46089</v>
      </c>
      <c r="K2447" s="11">
        <v>0.66666666666787933</v>
      </c>
      <c r="M2447" s="10" t="s">
        <v>14777</v>
      </c>
      <c r="N2447" s="12">
        <v>46089.448361087962</v>
      </c>
      <c r="O2447" s="10" t="s">
        <v>15267</v>
      </c>
      <c r="P2447" s="5" t="s">
        <v>14571</v>
      </c>
      <c r="Q2447" s="5" t="s">
        <v>16907</v>
      </c>
      <c r="R2447" s="5" t="s">
        <v>20381</v>
      </c>
      <c r="T2447" s="5" t="s">
        <v>5994</v>
      </c>
      <c r="U2447" s="5" t="s">
        <v>14618</v>
      </c>
      <c r="V2447" s="5" t="s">
        <v>12646</v>
      </c>
      <c r="W2447" s="5"/>
    </row>
    <row r="2448" spans="1:23" ht="12.5">
      <c r="A2448" s="5">
        <v>92964</v>
      </c>
      <c r="B2448" s="5" t="s">
        <v>20382</v>
      </c>
      <c r="C2448" s="10" t="s">
        <v>20383</v>
      </c>
      <c r="D2448" s="5">
        <v>52</v>
      </c>
      <c r="E2448" s="5" t="s">
        <v>12496</v>
      </c>
      <c r="F2448" s="5" t="s">
        <v>154</v>
      </c>
      <c r="G2448" s="5" t="s">
        <v>14102</v>
      </c>
      <c r="H2448" s="5" t="s">
        <v>14103</v>
      </c>
      <c r="I2448" s="5">
        <v>573053042125</v>
      </c>
      <c r="J2448" s="12">
        <v>46089</v>
      </c>
      <c r="K2448" s="11">
        <v>0.16666666666666666</v>
      </c>
      <c r="M2448" s="10" t="s">
        <v>14885</v>
      </c>
      <c r="N2448" s="12">
        <v>46089</v>
      </c>
      <c r="O2448" s="10" t="s">
        <v>14727</v>
      </c>
      <c r="P2448" s="5" t="s">
        <v>14571</v>
      </c>
      <c r="Q2448" s="5" t="s">
        <v>16907</v>
      </c>
      <c r="R2448" s="5" t="s">
        <v>20384</v>
      </c>
      <c r="T2448" s="5" t="s">
        <v>5994</v>
      </c>
      <c r="U2448" s="5" t="s">
        <v>14593</v>
      </c>
      <c r="V2448" s="5" t="s">
        <v>12646</v>
      </c>
      <c r="W2448" s="5" t="s">
        <v>9771</v>
      </c>
    </row>
    <row r="2449" spans="1:23" ht="12.5">
      <c r="A2449" s="5">
        <v>92965</v>
      </c>
      <c r="B2449" s="5" t="s">
        <v>20385</v>
      </c>
      <c r="C2449" s="5">
        <v>573208395916</v>
      </c>
      <c r="D2449" s="5">
        <v>51</v>
      </c>
      <c r="E2449" s="5" t="s">
        <v>13138</v>
      </c>
      <c r="F2449" s="5" t="s">
        <v>73</v>
      </c>
      <c r="G2449" s="5" t="s">
        <v>14107</v>
      </c>
      <c r="H2449" s="5" t="s">
        <v>14108</v>
      </c>
      <c r="I2449" s="5">
        <v>573004056966</v>
      </c>
      <c r="J2449" s="12">
        <v>46089</v>
      </c>
      <c r="K2449" s="11">
        <v>0.625</v>
      </c>
      <c r="M2449" s="10" t="s">
        <v>15140</v>
      </c>
      <c r="N2449" s="12">
        <v>46089.55796395833</v>
      </c>
      <c r="O2449" s="10" t="s">
        <v>15129</v>
      </c>
      <c r="P2449" s="5" t="s">
        <v>14571</v>
      </c>
      <c r="Q2449" s="5" t="s">
        <v>16907</v>
      </c>
      <c r="R2449" s="5" t="s">
        <v>20386</v>
      </c>
      <c r="T2449" s="5" t="s">
        <v>5994</v>
      </c>
      <c r="U2449" s="5" t="s">
        <v>14593</v>
      </c>
      <c r="V2449" s="5" t="s">
        <v>12646</v>
      </c>
      <c r="W2449" s="5"/>
    </row>
    <row r="2450" spans="1:23" ht="12.5">
      <c r="A2450" s="5">
        <v>92966</v>
      </c>
      <c r="B2450" s="5" t="s">
        <v>20387</v>
      </c>
      <c r="C2450" s="10" t="s">
        <v>20388</v>
      </c>
      <c r="D2450" s="5">
        <v>29</v>
      </c>
      <c r="E2450" s="5" t="s">
        <v>12406</v>
      </c>
      <c r="F2450" s="5" t="s">
        <v>146</v>
      </c>
      <c r="G2450" s="5" t="s">
        <v>14112</v>
      </c>
      <c r="H2450" s="5" t="s">
        <v>14113</v>
      </c>
      <c r="I2450" s="5">
        <v>573012615857</v>
      </c>
      <c r="J2450" s="12">
        <v>46089</v>
      </c>
      <c r="K2450" s="11">
        <v>0.66666666666666663</v>
      </c>
      <c r="M2450" s="10" t="s">
        <v>15179</v>
      </c>
      <c r="N2450" s="12">
        <v>46089</v>
      </c>
      <c r="O2450" s="10" t="s">
        <v>15257</v>
      </c>
      <c r="P2450" s="5" t="s">
        <v>14571</v>
      </c>
      <c r="Q2450" s="5" t="s">
        <v>17688</v>
      </c>
      <c r="R2450" s="5" t="s">
        <v>20389</v>
      </c>
      <c r="T2450" s="5" t="s">
        <v>5994</v>
      </c>
      <c r="U2450" s="5" t="s">
        <v>14618</v>
      </c>
      <c r="V2450" s="5" t="s">
        <v>12646</v>
      </c>
      <c r="W2450" s="5"/>
    </row>
    <row r="2451" spans="1:23" ht="12.5">
      <c r="A2451" s="5">
        <v>92967</v>
      </c>
      <c r="B2451" s="5" t="s">
        <v>20390</v>
      </c>
      <c r="C2451" s="5">
        <v>573013894849</v>
      </c>
      <c r="D2451" s="5">
        <v>104</v>
      </c>
      <c r="E2451" s="5" t="s">
        <v>12673</v>
      </c>
      <c r="F2451" s="5" t="s">
        <v>63</v>
      </c>
      <c r="G2451" s="5" t="s">
        <v>10497</v>
      </c>
      <c r="H2451" s="5" t="s">
        <v>13886</v>
      </c>
      <c r="I2451" s="5">
        <v>573013894849</v>
      </c>
      <c r="J2451" s="12">
        <v>46089</v>
      </c>
      <c r="K2451" s="11">
        <v>0.16666666666787933</v>
      </c>
      <c r="M2451" s="10" t="s">
        <v>14870</v>
      </c>
      <c r="N2451" s="12">
        <v>46089.380789456016</v>
      </c>
      <c r="O2451" s="10" t="s">
        <v>16078</v>
      </c>
      <c r="P2451" s="5" t="s">
        <v>14571</v>
      </c>
      <c r="Q2451" s="5" t="s">
        <v>14612</v>
      </c>
      <c r="R2451" s="5" t="s">
        <v>20391</v>
      </c>
      <c r="T2451" s="5" t="s">
        <v>5994</v>
      </c>
      <c r="U2451" s="5" t="s">
        <v>14598</v>
      </c>
      <c r="V2451" s="5" t="s">
        <v>12646</v>
      </c>
      <c r="W2451" s="5" t="s">
        <v>9771</v>
      </c>
    </row>
    <row r="2452" spans="1:23" ht="12.5">
      <c r="A2452" s="5">
        <v>92968</v>
      </c>
      <c r="B2452" s="5" t="s">
        <v>20392</v>
      </c>
      <c r="C2452" s="5">
        <v>30043004612667</v>
      </c>
      <c r="D2452" s="5">
        <v>58</v>
      </c>
      <c r="E2452" s="5" t="s">
        <v>12728</v>
      </c>
      <c r="F2452" s="5" t="s">
        <v>103</v>
      </c>
      <c r="G2452" s="5" t="s">
        <v>14122</v>
      </c>
      <c r="H2452" s="5" t="s">
        <v>14123</v>
      </c>
      <c r="I2452" s="5">
        <v>573004612667</v>
      </c>
      <c r="J2452" s="12">
        <v>46089</v>
      </c>
      <c r="K2452" s="11">
        <v>0.66666666666787933</v>
      </c>
      <c r="M2452" s="10" t="s">
        <v>10581</v>
      </c>
      <c r="N2452" s="12">
        <v>46089.577494421297</v>
      </c>
      <c r="O2452" s="10" t="s">
        <v>15544</v>
      </c>
      <c r="P2452" s="5" t="s">
        <v>14571</v>
      </c>
      <c r="Q2452" s="5" t="s">
        <v>14578</v>
      </c>
      <c r="R2452" s="5" t="s">
        <v>20393</v>
      </c>
      <c r="T2452" s="5" t="s">
        <v>5994</v>
      </c>
      <c r="U2452" s="5" t="s">
        <v>14593</v>
      </c>
      <c r="V2452" s="5" t="s">
        <v>12646</v>
      </c>
      <c r="W2452" s="5"/>
    </row>
    <row r="2453" spans="1:23" ht="12.5">
      <c r="A2453" s="5">
        <v>92969</v>
      </c>
      <c r="B2453" s="5" t="s">
        <v>20394</v>
      </c>
      <c r="C2453" s="5">
        <v>573007524271</v>
      </c>
      <c r="D2453" s="5" t="s">
        <v>19798</v>
      </c>
      <c r="E2453" s="5" t="s">
        <v>13212</v>
      </c>
      <c r="F2453" s="5" t="s">
        <v>161</v>
      </c>
      <c r="G2453" s="5" t="s">
        <v>14133</v>
      </c>
      <c r="H2453" s="5" t="s">
        <v>14134</v>
      </c>
      <c r="I2453" s="5">
        <v>573007524271</v>
      </c>
      <c r="J2453" s="12">
        <v>46089</v>
      </c>
      <c r="K2453" s="11">
        <v>0.625</v>
      </c>
      <c r="M2453" s="10" t="s">
        <v>16429</v>
      </c>
      <c r="N2453" s="12">
        <v>46089.579437708337</v>
      </c>
      <c r="O2453" s="10" t="s">
        <v>17913</v>
      </c>
      <c r="P2453" s="5" t="s">
        <v>14571</v>
      </c>
      <c r="Q2453" s="5" t="s">
        <v>17423</v>
      </c>
      <c r="R2453" s="5" t="s">
        <v>20395</v>
      </c>
      <c r="T2453" s="5" t="s">
        <v>5994</v>
      </c>
      <c r="U2453" s="5" t="s">
        <v>14593</v>
      </c>
      <c r="V2453" s="5" t="s">
        <v>12646</v>
      </c>
      <c r="W2453" s="5" t="s">
        <v>14136</v>
      </c>
    </row>
    <row r="2454" spans="1:23" ht="12.5">
      <c r="A2454" s="5">
        <v>92970</v>
      </c>
      <c r="B2454" s="5" t="s">
        <v>20396</v>
      </c>
      <c r="C2454" s="5">
        <v>573168763144</v>
      </c>
      <c r="D2454" s="5">
        <v>95</v>
      </c>
      <c r="E2454" s="5" t="s">
        <v>14140</v>
      </c>
      <c r="F2454" s="5" t="s">
        <v>12657</v>
      </c>
      <c r="G2454" s="5" t="s">
        <v>14139</v>
      </c>
      <c r="H2454" s="5" t="s">
        <v>12657</v>
      </c>
      <c r="I2454" s="5">
        <v>573168763144</v>
      </c>
      <c r="J2454" s="12">
        <v>46089</v>
      </c>
      <c r="K2454" s="11">
        <v>0</v>
      </c>
      <c r="M2454" s="10" t="s">
        <v>2686</v>
      </c>
      <c r="N2454" s="12">
        <v>46089.589754918983</v>
      </c>
      <c r="O2454" s="10" t="s">
        <v>14839</v>
      </c>
      <c r="P2454" s="5" t="s">
        <v>14571</v>
      </c>
      <c r="Q2454" s="5" t="s">
        <v>17423</v>
      </c>
      <c r="R2454" s="5" t="s">
        <v>20397</v>
      </c>
      <c r="T2454" s="5" t="s">
        <v>5994</v>
      </c>
      <c r="U2454" s="5"/>
      <c r="V2454" s="5" t="s">
        <v>1705</v>
      </c>
      <c r="W2454" s="5"/>
    </row>
    <row r="2455" spans="1:23" ht="12.5">
      <c r="A2455" s="5">
        <v>92971</v>
      </c>
      <c r="B2455" s="5" t="s">
        <v>20398</v>
      </c>
      <c r="C2455" s="5">
        <v>34644380068</v>
      </c>
      <c r="D2455" s="5" t="s">
        <v>20399</v>
      </c>
      <c r="E2455" s="5" t="s">
        <v>14129</v>
      </c>
      <c r="F2455" s="5" t="s">
        <v>448</v>
      </c>
      <c r="G2455" s="5" t="s">
        <v>14127</v>
      </c>
      <c r="H2455" s="5" t="s">
        <v>14128</v>
      </c>
      <c r="I2455" s="5">
        <v>573508401213</v>
      </c>
      <c r="J2455" s="12">
        <v>46089</v>
      </c>
      <c r="K2455" s="11">
        <v>0.1875</v>
      </c>
      <c r="M2455" s="10" t="s">
        <v>20400</v>
      </c>
      <c r="N2455" s="12">
        <v>46089.578450138884</v>
      </c>
      <c r="O2455" s="10" t="s">
        <v>14839</v>
      </c>
      <c r="P2455" s="5" t="s">
        <v>14571</v>
      </c>
      <c r="Q2455" s="5" t="s">
        <v>17404</v>
      </c>
      <c r="R2455" s="5" t="s">
        <v>20401</v>
      </c>
      <c r="T2455" s="5" t="s">
        <v>5994</v>
      </c>
      <c r="U2455" s="5" t="s">
        <v>14580</v>
      </c>
      <c r="V2455" s="5" t="s">
        <v>1937</v>
      </c>
      <c r="W2455" s="5" t="s">
        <v>14131</v>
      </c>
    </row>
    <row r="2456" spans="1:23" ht="12.5">
      <c r="A2456" s="5">
        <v>92972</v>
      </c>
      <c r="B2456" s="5" t="s">
        <v>19935</v>
      </c>
      <c r="C2456" s="5">
        <v>573012967965</v>
      </c>
      <c r="D2456" s="5">
        <v>95</v>
      </c>
      <c r="E2456" s="5" t="s">
        <v>14160</v>
      </c>
      <c r="F2456" s="5" t="s">
        <v>12657</v>
      </c>
      <c r="G2456" s="5" t="s">
        <v>13441</v>
      </c>
      <c r="H2456" s="5" t="s">
        <v>12657</v>
      </c>
      <c r="I2456" s="5">
        <v>573012967965</v>
      </c>
      <c r="J2456" s="12">
        <v>46089</v>
      </c>
      <c r="K2456" s="11">
        <v>0</v>
      </c>
      <c r="M2456" s="10" t="s">
        <v>15152</v>
      </c>
      <c r="N2456" s="12">
        <v>46089.598624143517</v>
      </c>
      <c r="O2456" s="10" t="s">
        <v>15707</v>
      </c>
      <c r="P2456" s="5" t="s">
        <v>14571</v>
      </c>
      <c r="Q2456" s="5" t="s">
        <v>17990</v>
      </c>
      <c r="R2456" s="5" t="s">
        <v>20402</v>
      </c>
      <c r="T2456" s="5" t="s">
        <v>5994</v>
      </c>
      <c r="U2456" s="5"/>
      <c r="V2456" s="5" t="s">
        <v>1705</v>
      </c>
      <c r="W2456" s="5"/>
    </row>
    <row r="2457" spans="1:23" ht="12.5">
      <c r="A2457" s="5">
        <v>92973</v>
      </c>
      <c r="B2457" s="5" t="s">
        <v>20392</v>
      </c>
      <c r="C2457" s="5">
        <v>3004612667</v>
      </c>
      <c r="D2457" s="5">
        <v>58</v>
      </c>
      <c r="E2457" s="5" t="s">
        <v>12728</v>
      </c>
      <c r="F2457" s="5" t="s">
        <v>103</v>
      </c>
      <c r="G2457" s="5" t="s">
        <v>14157</v>
      </c>
      <c r="H2457" s="5" t="s">
        <v>14158</v>
      </c>
      <c r="I2457" s="5">
        <v>573044233449</v>
      </c>
      <c r="J2457" s="12">
        <v>46089</v>
      </c>
      <c r="K2457" s="11">
        <v>0.66666666666787933</v>
      </c>
      <c r="M2457" s="10" t="s">
        <v>10581</v>
      </c>
      <c r="N2457" s="12">
        <v>46089.597468599539</v>
      </c>
      <c r="O2457" s="10" t="s">
        <v>18925</v>
      </c>
      <c r="P2457" s="5" t="s">
        <v>14571</v>
      </c>
      <c r="Q2457" s="5" t="s">
        <v>17688</v>
      </c>
      <c r="R2457" s="5" t="s">
        <v>20403</v>
      </c>
      <c r="T2457" s="5" t="s">
        <v>5994</v>
      </c>
      <c r="U2457" s="5" t="s">
        <v>14593</v>
      </c>
      <c r="V2457" s="5" t="s">
        <v>12646</v>
      </c>
      <c r="W2457" s="5"/>
    </row>
    <row r="2458" spans="1:23" ht="12.5">
      <c r="A2458" s="5">
        <v>92974</v>
      </c>
      <c r="B2458" s="5" t="s">
        <v>20404</v>
      </c>
      <c r="C2458" s="5">
        <v>573155928344</v>
      </c>
      <c r="D2458" s="5">
        <v>29</v>
      </c>
      <c r="E2458" s="5" t="s">
        <v>12406</v>
      </c>
      <c r="F2458" s="5" t="s">
        <v>103</v>
      </c>
      <c r="G2458" s="5" t="s">
        <v>14171</v>
      </c>
      <c r="H2458" s="5" t="s">
        <v>14172</v>
      </c>
      <c r="I2458" s="5"/>
      <c r="J2458" s="12">
        <v>46089</v>
      </c>
      <c r="K2458" s="11">
        <v>0</v>
      </c>
      <c r="M2458" s="10" t="s">
        <v>14705</v>
      </c>
      <c r="N2458" s="12">
        <v>46089.606167002319</v>
      </c>
      <c r="O2458" s="10" t="s">
        <v>14607</v>
      </c>
      <c r="P2458" s="5" t="s">
        <v>14571</v>
      </c>
      <c r="Q2458" s="5" t="s">
        <v>17688</v>
      </c>
      <c r="R2458" s="5" t="s">
        <v>20405</v>
      </c>
      <c r="T2458" s="5" t="s">
        <v>5994</v>
      </c>
      <c r="U2458" s="5" t="s">
        <v>14593</v>
      </c>
      <c r="V2458" s="5" t="s">
        <v>12646</v>
      </c>
      <c r="W2458" s="5"/>
    </row>
    <row r="2459" spans="1:23" ht="12.5">
      <c r="A2459" s="5">
        <v>92975</v>
      </c>
      <c r="B2459" s="5" t="s">
        <v>20406</v>
      </c>
      <c r="C2459" s="5">
        <v>573015889880</v>
      </c>
      <c r="D2459" s="5">
        <v>106</v>
      </c>
      <c r="E2459" s="5" t="s">
        <v>13838</v>
      </c>
      <c r="F2459" s="5" t="s">
        <v>12657</v>
      </c>
      <c r="G2459" s="5" t="s">
        <v>14080</v>
      </c>
      <c r="H2459" s="5" t="s">
        <v>12657</v>
      </c>
      <c r="I2459" s="5">
        <v>573015889880</v>
      </c>
      <c r="J2459" s="12">
        <v>46089</v>
      </c>
      <c r="K2459" s="11">
        <v>0</v>
      </c>
      <c r="M2459" s="10" t="s">
        <v>14585</v>
      </c>
      <c r="N2459" s="12">
        <v>46089.528256400459</v>
      </c>
      <c r="O2459" s="10" t="s">
        <v>16024</v>
      </c>
      <c r="P2459" s="5" t="s">
        <v>14571</v>
      </c>
      <c r="Q2459" s="5" t="s">
        <v>17990</v>
      </c>
      <c r="R2459" s="5" t="s">
        <v>20407</v>
      </c>
      <c r="T2459" s="5" t="s">
        <v>5994</v>
      </c>
      <c r="U2459" s="5"/>
      <c r="V2459" s="5" t="s">
        <v>12646</v>
      </c>
      <c r="W2459" s="5"/>
    </row>
    <row r="2460" spans="1:23" ht="12.5">
      <c r="A2460" s="5">
        <v>92976</v>
      </c>
      <c r="B2460" s="5" t="s">
        <v>20408</v>
      </c>
      <c r="C2460" s="5">
        <v>573145927399</v>
      </c>
      <c r="D2460" s="5">
        <v>96</v>
      </c>
      <c r="E2460" s="5" t="s">
        <v>12651</v>
      </c>
      <c r="F2460" s="5" t="s">
        <v>185</v>
      </c>
      <c r="G2460" s="5" t="s">
        <v>14162</v>
      </c>
      <c r="H2460" s="5" t="s">
        <v>14163</v>
      </c>
      <c r="I2460" s="5">
        <v>573145927399</v>
      </c>
      <c r="J2460" s="12">
        <v>46089</v>
      </c>
      <c r="K2460" s="11">
        <v>0.6875</v>
      </c>
      <c r="M2460" s="10" t="s">
        <v>16192</v>
      </c>
      <c r="N2460" s="12">
        <v>46089.603112488425</v>
      </c>
      <c r="O2460" s="10" t="s">
        <v>14954</v>
      </c>
      <c r="P2460" s="5" t="s">
        <v>14571</v>
      </c>
      <c r="Q2460" s="5" t="s">
        <v>14612</v>
      </c>
      <c r="R2460" s="5" t="s">
        <v>20409</v>
      </c>
      <c r="T2460" s="5" t="s">
        <v>5994</v>
      </c>
      <c r="U2460" s="5" t="s">
        <v>14580</v>
      </c>
      <c r="V2460" s="5" t="s">
        <v>12646</v>
      </c>
      <c r="W2460" s="5"/>
    </row>
    <row r="2461" spans="1:23" ht="12.5">
      <c r="A2461" s="5">
        <v>92977</v>
      </c>
      <c r="B2461" s="5" t="s">
        <v>20410</v>
      </c>
      <c r="C2461" s="5">
        <v>573044408100</v>
      </c>
      <c r="D2461" s="5">
        <v>29</v>
      </c>
      <c r="E2461" s="5" t="s">
        <v>12406</v>
      </c>
      <c r="F2461" s="5" t="s">
        <v>73</v>
      </c>
      <c r="G2461" s="5" t="s">
        <v>14148</v>
      </c>
      <c r="H2461" s="5" t="s">
        <v>14149</v>
      </c>
      <c r="I2461" s="5">
        <v>573044408100</v>
      </c>
      <c r="J2461" s="12">
        <v>46089</v>
      </c>
      <c r="K2461" s="11">
        <v>0.16666666666787933</v>
      </c>
      <c r="M2461" s="10" t="s">
        <v>15064</v>
      </c>
      <c r="N2461" s="12">
        <v>46089.594753831014</v>
      </c>
      <c r="O2461" s="10" t="s">
        <v>16402</v>
      </c>
      <c r="P2461" s="5" t="s">
        <v>14571</v>
      </c>
      <c r="Q2461" s="5" t="s">
        <v>17990</v>
      </c>
      <c r="R2461" s="5" t="s">
        <v>20411</v>
      </c>
      <c r="T2461" s="5" t="s">
        <v>5994</v>
      </c>
      <c r="U2461" s="5" t="s">
        <v>14593</v>
      </c>
      <c r="V2461" s="5" t="s">
        <v>12646</v>
      </c>
      <c r="W2461" s="5" t="s">
        <v>9771</v>
      </c>
    </row>
    <row r="2462" spans="1:23" ht="12.5">
      <c r="A2462" s="5">
        <v>92978</v>
      </c>
      <c r="B2462" s="5" t="s">
        <v>20412</v>
      </c>
      <c r="C2462" s="5">
        <v>573117169931</v>
      </c>
      <c r="D2462" s="5" t="s">
        <v>20413</v>
      </c>
      <c r="E2462" s="5" t="s">
        <v>14168</v>
      </c>
      <c r="F2462" s="5" t="s">
        <v>103</v>
      </c>
      <c r="G2462" s="5" t="s">
        <v>14062</v>
      </c>
      <c r="H2462" s="5" t="s">
        <v>14167</v>
      </c>
      <c r="I2462" s="5">
        <v>573004400740</v>
      </c>
      <c r="J2462" s="12">
        <v>46089</v>
      </c>
      <c r="K2462" s="11">
        <v>0.16666666666787933</v>
      </c>
      <c r="M2462" s="10" t="s">
        <v>14712</v>
      </c>
      <c r="N2462" s="12">
        <v>46089.604187662037</v>
      </c>
      <c r="O2462" s="10" t="s">
        <v>14944</v>
      </c>
      <c r="P2462" s="5" t="s">
        <v>14571</v>
      </c>
      <c r="Q2462" s="5" t="s">
        <v>14572</v>
      </c>
      <c r="R2462" s="5" t="s">
        <v>20414</v>
      </c>
      <c r="T2462" s="5" t="s">
        <v>5994</v>
      </c>
      <c r="U2462" s="5" t="s">
        <v>14593</v>
      </c>
      <c r="V2462" s="5" t="s">
        <v>1937</v>
      </c>
      <c r="W2462" s="5" t="s">
        <v>9771</v>
      </c>
    </row>
    <row r="2463" spans="1:23" ht="12.5">
      <c r="A2463" s="5">
        <v>92979</v>
      </c>
      <c r="B2463" s="5" t="s">
        <v>20415</v>
      </c>
      <c r="C2463" s="5">
        <v>573126314688</v>
      </c>
      <c r="D2463" s="5" t="s">
        <v>20416</v>
      </c>
      <c r="E2463" s="5" t="s">
        <v>14186</v>
      </c>
      <c r="F2463" s="5" t="s">
        <v>12657</v>
      </c>
      <c r="G2463" s="5" t="s">
        <v>14185</v>
      </c>
      <c r="H2463" s="5" t="s">
        <v>12657</v>
      </c>
      <c r="I2463" s="5">
        <v>573126314688</v>
      </c>
      <c r="J2463" s="12">
        <v>46089</v>
      </c>
      <c r="K2463" s="11">
        <v>0.70833333333212067</v>
      </c>
      <c r="M2463" s="10" t="s">
        <v>14599</v>
      </c>
      <c r="N2463" s="12">
        <v>46089.626607164348</v>
      </c>
      <c r="O2463" s="10" t="s">
        <v>15710</v>
      </c>
      <c r="P2463" s="5" t="s">
        <v>14571</v>
      </c>
      <c r="Q2463" s="5" t="s">
        <v>17688</v>
      </c>
      <c r="R2463" s="5" t="s">
        <v>20417</v>
      </c>
      <c r="T2463" s="5" t="s">
        <v>5994</v>
      </c>
      <c r="U2463" s="5"/>
      <c r="V2463" s="5" t="s">
        <v>12646</v>
      </c>
      <c r="W2463" s="5"/>
    </row>
    <row r="2464" spans="1:23" ht="12.5">
      <c r="A2464" s="5">
        <v>92980</v>
      </c>
      <c r="B2464" s="5" t="s">
        <v>19421</v>
      </c>
      <c r="C2464" s="5">
        <v>573003346799</v>
      </c>
      <c r="D2464" s="5">
        <v>105</v>
      </c>
      <c r="E2464" s="5" t="s">
        <v>14154</v>
      </c>
      <c r="F2464" s="5" t="s">
        <v>124</v>
      </c>
      <c r="G2464" s="5" t="s">
        <v>14152</v>
      </c>
      <c r="H2464" s="5" t="s">
        <v>14153</v>
      </c>
      <c r="I2464" s="5">
        <v>573114100464</v>
      </c>
      <c r="J2464" s="12">
        <v>46089</v>
      </c>
      <c r="K2464" s="11">
        <v>0.70833333333212067</v>
      </c>
      <c r="M2464" s="10" t="s">
        <v>14708</v>
      </c>
      <c r="N2464" s="12">
        <v>46089.59510799768</v>
      </c>
      <c r="O2464" s="10" t="s">
        <v>15556</v>
      </c>
      <c r="P2464" s="5" t="s">
        <v>14571</v>
      </c>
      <c r="Q2464" s="5" t="s">
        <v>14578</v>
      </c>
      <c r="R2464" s="5" t="s">
        <v>20418</v>
      </c>
      <c r="T2464" s="5" t="s">
        <v>5994</v>
      </c>
      <c r="U2464" s="5" t="s">
        <v>14775</v>
      </c>
      <c r="V2464" s="5" t="s">
        <v>12646</v>
      </c>
      <c r="W2464" s="5"/>
    </row>
    <row r="2465" spans="1:23" ht="12.5">
      <c r="A2465" s="5">
        <v>92981</v>
      </c>
      <c r="B2465" s="5" t="s">
        <v>20419</v>
      </c>
      <c r="C2465" s="5">
        <v>573234114820</v>
      </c>
      <c r="D2465" s="5">
        <v>95</v>
      </c>
      <c r="E2465" s="5" t="s">
        <v>14188</v>
      </c>
      <c r="F2465" s="5" t="s">
        <v>12657</v>
      </c>
      <c r="G2465" s="5" t="s">
        <v>14187</v>
      </c>
      <c r="H2465" s="5" t="s">
        <v>12657</v>
      </c>
      <c r="I2465" s="5">
        <v>573234114820</v>
      </c>
      <c r="J2465" s="12">
        <v>46089</v>
      </c>
      <c r="K2465" s="11">
        <v>0</v>
      </c>
      <c r="M2465" s="10" t="s">
        <v>20065</v>
      </c>
      <c r="N2465" s="12">
        <v>46089.629386365741</v>
      </c>
      <c r="O2465" s="10" t="s">
        <v>16409</v>
      </c>
      <c r="P2465" s="5" t="s">
        <v>14571</v>
      </c>
      <c r="Q2465" s="5" t="s">
        <v>16907</v>
      </c>
      <c r="R2465" s="5" t="s">
        <v>20420</v>
      </c>
      <c r="T2465" s="5" t="s">
        <v>5994</v>
      </c>
      <c r="U2465" s="5"/>
      <c r="V2465" s="5" t="s">
        <v>196</v>
      </c>
      <c r="W2465" s="5"/>
    </row>
    <row r="2466" spans="1:23" ht="12.5">
      <c r="A2466" s="5">
        <v>92982</v>
      </c>
      <c r="B2466" s="5" t="s">
        <v>14190</v>
      </c>
      <c r="C2466" s="5">
        <v>573152651668</v>
      </c>
      <c r="D2466" s="5">
        <v>95</v>
      </c>
      <c r="E2466" s="5" t="s">
        <v>14191</v>
      </c>
      <c r="F2466" s="5" t="s">
        <v>12657</v>
      </c>
      <c r="G2466" s="5" t="s">
        <v>14190</v>
      </c>
      <c r="H2466" s="5" t="s">
        <v>12657</v>
      </c>
      <c r="I2466" s="5">
        <v>573152651668</v>
      </c>
      <c r="J2466" s="12">
        <v>46089</v>
      </c>
      <c r="K2466" s="11">
        <v>0</v>
      </c>
      <c r="M2466" s="10" t="s">
        <v>14619</v>
      </c>
      <c r="N2466" s="12">
        <v>46089.632178356478</v>
      </c>
      <c r="O2466" s="10" t="s">
        <v>15558</v>
      </c>
      <c r="P2466" s="5" t="s">
        <v>14571</v>
      </c>
      <c r="Q2466" s="5" t="s">
        <v>14572</v>
      </c>
      <c r="R2466" s="5" t="s">
        <v>20421</v>
      </c>
      <c r="T2466" s="5" t="s">
        <v>5994</v>
      </c>
      <c r="U2466" s="5"/>
      <c r="V2466" s="5" t="s">
        <v>1705</v>
      </c>
      <c r="W2466" s="5"/>
    </row>
    <row r="2467" spans="1:23" ht="12.5">
      <c r="A2467" s="5">
        <v>92983</v>
      </c>
      <c r="B2467" s="5" t="s">
        <v>20422</v>
      </c>
      <c r="C2467" s="5">
        <v>573148167126</v>
      </c>
      <c r="D2467" s="5">
        <v>44</v>
      </c>
      <c r="E2467" s="5" t="s">
        <v>13483</v>
      </c>
      <c r="F2467" s="5" t="s">
        <v>11628</v>
      </c>
      <c r="G2467" s="5" t="s">
        <v>14143</v>
      </c>
      <c r="H2467" s="5" t="s">
        <v>14144</v>
      </c>
      <c r="I2467" s="5">
        <v>573148167126</v>
      </c>
      <c r="J2467" s="12">
        <v>46089</v>
      </c>
      <c r="K2467" s="11">
        <v>0.66666666666787933</v>
      </c>
      <c r="M2467" s="10" t="s">
        <v>14708</v>
      </c>
      <c r="N2467" s="12">
        <v>46089.591371921299</v>
      </c>
      <c r="O2467" s="10" t="s">
        <v>16785</v>
      </c>
      <c r="P2467" s="5" t="s">
        <v>14571</v>
      </c>
      <c r="Q2467" s="5" t="s">
        <v>14572</v>
      </c>
      <c r="R2467" s="5" t="s">
        <v>20423</v>
      </c>
      <c r="T2467" s="5" t="s">
        <v>5994</v>
      </c>
      <c r="U2467" s="5"/>
      <c r="V2467" s="5" t="s">
        <v>12646</v>
      </c>
      <c r="W2467" s="5"/>
    </row>
    <row r="2468" spans="1:23" ht="12.5">
      <c r="A2468" s="5">
        <v>92984</v>
      </c>
      <c r="B2468" s="5" t="s">
        <v>20264</v>
      </c>
      <c r="C2468" s="10" t="s">
        <v>20424</v>
      </c>
      <c r="D2468" s="5">
        <v>44</v>
      </c>
      <c r="E2468" s="5" t="s">
        <v>13483</v>
      </c>
      <c r="F2468" s="5" t="s">
        <v>12657</v>
      </c>
      <c r="G2468" s="5" t="s">
        <v>13937</v>
      </c>
      <c r="H2468" s="5" t="s">
        <v>12657</v>
      </c>
      <c r="I2468" s="5">
        <v>573209409515</v>
      </c>
      <c r="J2468" s="12">
        <v>46089</v>
      </c>
      <c r="K2468" s="11">
        <v>0</v>
      </c>
      <c r="M2468" s="10" t="s">
        <v>14646</v>
      </c>
      <c r="N2468" s="12">
        <v>46089</v>
      </c>
      <c r="O2468" s="10" t="s">
        <v>16330</v>
      </c>
      <c r="P2468" s="5" t="s">
        <v>14571</v>
      </c>
      <c r="Q2468" s="5" t="s">
        <v>14612</v>
      </c>
      <c r="R2468" s="5" t="s">
        <v>20425</v>
      </c>
      <c r="T2468" s="5" t="s">
        <v>5994</v>
      </c>
      <c r="U2468" s="5"/>
      <c r="V2468" s="5" t="s">
        <v>196</v>
      </c>
      <c r="W2468" s="5" t="s">
        <v>14192</v>
      </c>
    </row>
    <row r="2469" spans="1:23" ht="12.5">
      <c r="A2469" s="5">
        <v>92985</v>
      </c>
      <c r="B2469" s="5" t="s">
        <v>20426</v>
      </c>
      <c r="C2469" s="5">
        <v>573006498138</v>
      </c>
      <c r="D2469" s="5">
        <v>58</v>
      </c>
      <c r="E2469" s="5" t="s">
        <v>12728</v>
      </c>
      <c r="F2469" s="5" t="s">
        <v>79</v>
      </c>
      <c r="G2469" s="5" t="s">
        <v>14117</v>
      </c>
      <c r="H2469" s="5" t="s">
        <v>14137</v>
      </c>
      <c r="I2469" s="5">
        <v>573157496731</v>
      </c>
      <c r="J2469" s="12">
        <v>46089</v>
      </c>
      <c r="K2469" s="11">
        <v>0.16666666666787933</v>
      </c>
      <c r="M2469" s="10" t="s">
        <v>10581</v>
      </c>
      <c r="N2469" s="12">
        <v>46089.575119004629</v>
      </c>
      <c r="O2469" s="10" t="s">
        <v>16790</v>
      </c>
      <c r="P2469" s="5" t="s">
        <v>14571</v>
      </c>
      <c r="Q2469" s="5" t="s">
        <v>17404</v>
      </c>
      <c r="R2469" s="5" t="s">
        <v>20427</v>
      </c>
      <c r="T2469" s="5" t="s">
        <v>5994</v>
      </c>
      <c r="U2469" s="5" t="s">
        <v>14593</v>
      </c>
      <c r="V2469" s="5" t="s">
        <v>12646</v>
      </c>
      <c r="W2469" s="5" t="s">
        <v>9771</v>
      </c>
    </row>
    <row r="2470" spans="1:23" ht="12.5">
      <c r="A2470" s="5">
        <v>92986</v>
      </c>
      <c r="B2470" s="5" t="s">
        <v>20426</v>
      </c>
      <c r="C2470" s="5">
        <v>573006498138</v>
      </c>
      <c r="D2470" s="5">
        <v>29</v>
      </c>
      <c r="E2470" s="5" t="s">
        <v>12406</v>
      </c>
      <c r="F2470" s="5" t="s">
        <v>73</v>
      </c>
      <c r="G2470" s="5" t="s">
        <v>3174</v>
      </c>
      <c r="H2470" s="5" t="s">
        <v>14137</v>
      </c>
      <c r="I2470" s="5">
        <v>573157496731</v>
      </c>
      <c r="J2470" s="12">
        <v>46089</v>
      </c>
      <c r="K2470" s="11">
        <v>0.16666666666787933</v>
      </c>
      <c r="M2470" s="10" t="s">
        <v>15064</v>
      </c>
      <c r="N2470" s="12">
        <v>46089.58417188657</v>
      </c>
      <c r="O2470" s="10" t="s">
        <v>15059</v>
      </c>
      <c r="P2470" s="5" t="s">
        <v>14571</v>
      </c>
      <c r="Q2470" s="5" t="s">
        <v>17404</v>
      </c>
      <c r="R2470" s="5" t="s">
        <v>20428</v>
      </c>
      <c r="T2470" s="5" t="s">
        <v>5994</v>
      </c>
      <c r="U2470" s="5" t="s">
        <v>14593</v>
      </c>
      <c r="V2470" s="5" t="s">
        <v>12646</v>
      </c>
      <c r="W2470" s="5" t="s">
        <v>9612</v>
      </c>
    </row>
    <row r="2471" spans="1:23" ht="12.5">
      <c r="A2471" s="5">
        <v>92987</v>
      </c>
      <c r="B2471" s="5" t="s">
        <v>20429</v>
      </c>
      <c r="C2471" s="5">
        <v>573205423436</v>
      </c>
      <c r="D2471" s="5" t="s">
        <v>14589</v>
      </c>
      <c r="E2471" s="5" t="s">
        <v>14200</v>
      </c>
      <c r="F2471" s="5" t="s">
        <v>307</v>
      </c>
      <c r="G2471" s="5" t="s">
        <v>14198</v>
      </c>
      <c r="H2471" s="5" t="s">
        <v>14199</v>
      </c>
      <c r="I2471" s="5">
        <v>573008834542</v>
      </c>
      <c r="J2471" s="12">
        <v>46089</v>
      </c>
      <c r="K2471" s="11">
        <v>0.6875</v>
      </c>
      <c r="M2471" s="10" t="s">
        <v>10581</v>
      </c>
      <c r="N2471" s="12">
        <v>46089.643225891203</v>
      </c>
      <c r="O2471" s="10" t="s">
        <v>14827</v>
      </c>
      <c r="P2471" s="5" t="s">
        <v>14571</v>
      </c>
      <c r="Q2471" s="5" t="s">
        <v>16907</v>
      </c>
      <c r="R2471" s="5" t="s">
        <v>20430</v>
      </c>
      <c r="T2471" s="5" t="s">
        <v>5994</v>
      </c>
      <c r="U2471" s="5" t="s">
        <v>14618</v>
      </c>
      <c r="V2471" s="5" t="s">
        <v>12646</v>
      </c>
      <c r="W2471" s="5"/>
    </row>
    <row r="2472" spans="1:23" ht="12.5">
      <c r="A2472" s="5">
        <v>92988</v>
      </c>
      <c r="B2472" s="5" t="s">
        <v>20431</v>
      </c>
      <c r="C2472" s="5">
        <v>573012421500</v>
      </c>
      <c r="D2472" s="5">
        <v>95</v>
      </c>
      <c r="E2472" s="5" t="s">
        <v>14204</v>
      </c>
      <c r="F2472" s="5" t="s">
        <v>12657</v>
      </c>
      <c r="G2472" s="5" t="s">
        <v>14203</v>
      </c>
      <c r="H2472" s="5" t="s">
        <v>12657</v>
      </c>
      <c r="I2472" s="5">
        <v>573012421500</v>
      </c>
      <c r="J2472" s="12">
        <v>46089</v>
      </c>
      <c r="K2472" s="11">
        <v>0</v>
      </c>
      <c r="M2472" s="10" t="s">
        <v>14585</v>
      </c>
      <c r="N2472" s="12">
        <v>46089.64734899305</v>
      </c>
      <c r="O2472" s="10" t="s">
        <v>15056</v>
      </c>
      <c r="P2472" s="5" t="s">
        <v>14571</v>
      </c>
      <c r="Q2472" s="5" t="s">
        <v>17990</v>
      </c>
      <c r="R2472" s="5" t="s">
        <v>20432</v>
      </c>
      <c r="T2472" s="5" t="s">
        <v>5994</v>
      </c>
      <c r="U2472" s="5"/>
      <c r="V2472" s="5" t="s">
        <v>1705</v>
      </c>
      <c r="W2472" s="5"/>
    </row>
    <row r="2473" spans="1:23" ht="12.5">
      <c r="A2473" s="5">
        <v>92989</v>
      </c>
      <c r="B2473" s="5" t="s">
        <v>20433</v>
      </c>
      <c r="C2473" s="10" t="s">
        <v>20434</v>
      </c>
      <c r="D2473" s="5">
        <v>41</v>
      </c>
      <c r="E2473" s="5" t="s">
        <v>13079</v>
      </c>
      <c r="F2473" s="5" t="s">
        <v>516</v>
      </c>
      <c r="G2473" s="5" t="s">
        <v>20435</v>
      </c>
      <c r="H2473" s="5" t="s">
        <v>14182</v>
      </c>
      <c r="I2473" s="5">
        <v>573162880157</v>
      </c>
      <c r="J2473" s="12">
        <v>46089</v>
      </c>
      <c r="K2473" s="11">
        <v>0.16666666666666666</v>
      </c>
      <c r="M2473" s="10" t="s">
        <v>14740</v>
      </c>
      <c r="N2473" s="12">
        <v>46089</v>
      </c>
      <c r="O2473" s="10" t="s">
        <v>15054</v>
      </c>
      <c r="P2473" s="5" t="s">
        <v>14571</v>
      </c>
      <c r="Q2473" s="5" t="s">
        <v>14612</v>
      </c>
      <c r="R2473" s="5" t="s">
        <v>20436</v>
      </c>
      <c r="T2473" s="5" t="s">
        <v>5994</v>
      </c>
      <c r="U2473" s="5" t="s">
        <v>14580</v>
      </c>
      <c r="V2473" s="5" t="s">
        <v>12646</v>
      </c>
      <c r="W2473" s="5" t="s">
        <v>9771</v>
      </c>
    </row>
    <row r="2474" spans="1:23" ht="12.5">
      <c r="A2474" s="5">
        <v>92990</v>
      </c>
      <c r="B2474" s="5" t="s">
        <v>20437</v>
      </c>
      <c r="C2474" s="5">
        <v>573023088354</v>
      </c>
      <c r="D2474" s="5">
        <v>95</v>
      </c>
      <c r="E2474" s="5" t="s">
        <v>42</v>
      </c>
      <c r="F2474" s="5" t="s">
        <v>185</v>
      </c>
      <c r="G2474" s="5" t="s">
        <v>14176</v>
      </c>
      <c r="H2474" s="5" t="s">
        <v>14177</v>
      </c>
      <c r="I2474" s="5">
        <v>573023088354</v>
      </c>
      <c r="J2474" s="12">
        <v>46089</v>
      </c>
      <c r="K2474" s="11">
        <v>0.16666666666787933</v>
      </c>
      <c r="M2474" s="10" t="s">
        <v>15623</v>
      </c>
      <c r="N2474" s="12">
        <v>46089.620057499997</v>
      </c>
      <c r="O2474" s="10" t="s">
        <v>15803</v>
      </c>
      <c r="P2474" s="5" t="s">
        <v>14571</v>
      </c>
      <c r="Q2474" s="5" t="s">
        <v>14572</v>
      </c>
      <c r="R2474" s="5" t="s">
        <v>20438</v>
      </c>
      <c r="T2474" s="5" t="s">
        <v>5994</v>
      </c>
      <c r="U2474" s="5" t="s">
        <v>14580</v>
      </c>
      <c r="V2474" s="5" t="s">
        <v>12646</v>
      </c>
      <c r="W2474" s="5" t="s">
        <v>14179</v>
      </c>
    </row>
    <row r="2475" spans="1:23" ht="12.5">
      <c r="A2475" s="5">
        <v>92991</v>
      </c>
      <c r="B2475" s="5" t="s">
        <v>20439</v>
      </c>
      <c r="C2475" s="10" t="s">
        <v>20440</v>
      </c>
      <c r="D2475" s="5">
        <v>95</v>
      </c>
      <c r="E2475" s="5" t="s">
        <v>14206</v>
      </c>
      <c r="F2475" s="5" t="s">
        <v>12657</v>
      </c>
      <c r="G2475" s="5" t="s">
        <v>14205</v>
      </c>
      <c r="H2475" s="5" t="s">
        <v>12657</v>
      </c>
      <c r="I2475" s="5">
        <v>573000000000</v>
      </c>
      <c r="J2475" s="12">
        <v>46089</v>
      </c>
      <c r="K2475" s="11">
        <v>0</v>
      </c>
      <c r="M2475" s="10" t="s">
        <v>15152</v>
      </c>
      <c r="N2475" s="12">
        <v>46089</v>
      </c>
      <c r="O2475" s="10" t="s">
        <v>15803</v>
      </c>
      <c r="P2475" s="5" t="s">
        <v>14571</v>
      </c>
      <c r="Q2475" s="5" t="s">
        <v>14578</v>
      </c>
      <c r="R2475" s="5" t="s">
        <v>20441</v>
      </c>
      <c r="T2475" s="5" t="s">
        <v>5994</v>
      </c>
      <c r="U2475" s="5"/>
      <c r="V2475" s="5" t="s">
        <v>196</v>
      </c>
      <c r="W2475" s="5"/>
    </row>
    <row r="2476" spans="1:23" ht="12.5">
      <c r="A2476" s="5">
        <v>92992</v>
      </c>
      <c r="B2476" s="5" t="s">
        <v>20442</v>
      </c>
      <c r="C2476" s="5">
        <v>573213359021</v>
      </c>
      <c r="D2476" s="5">
        <v>70</v>
      </c>
      <c r="E2476" s="5" t="s">
        <v>12522</v>
      </c>
      <c r="F2476" s="5" t="s">
        <v>63</v>
      </c>
      <c r="G2476" s="5" t="s">
        <v>14194</v>
      </c>
      <c r="H2476" s="5" t="s">
        <v>14195</v>
      </c>
      <c r="I2476" s="5">
        <v>573213359021</v>
      </c>
      <c r="J2476" s="12">
        <v>46089</v>
      </c>
      <c r="K2476" s="11">
        <v>0.70833333333212067</v>
      </c>
      <c r="M2476" s="10" t="s">
        <v>15569</v>
      </c>
      <c r="N2476" s="12">
        <v>46089.639491863425</v>
      </c>
      <c r="O2476" s="10" t="s">
        <v>15378</v>
      </c>
      <c r="P2476" s="5" t="s">
        <v>14571</v>
      </c>
      <c r="Q2476" s="5" t="s">
        <v>14612</v>
      </c>
      <c r="R2476" s="5" t="s">
        <v>20443</v>
      </c>
      <c r="T2476" s="5" t="s">
        <v>5994</v>
      </c>
      <c r="U2476" s="5" t="s">
        <v>14598</v>
      </c>
      <c r="V2476" s="5" t="s">
        <v>12646</v>
      </c>
      <c r="W2476" s="5"/>
    </row>
    <row r="2477" spans="1:23" ht="12.5">
      <c r="A2477" s="5">
        <v>92993</v>
      </c>
      <c r="B2477" s="5" t="s">
        <v>19421</v>
      </c>
      <c r="C2477" s="5">
        <v>573003346799</v>
      </c>
      <c r="D2477" s="5">
        <v>58</v>
      </c>
      <c r="E2477" s="5" t="s">
        <v>12728</v>
      </c>
      <c r="F2477" s="5" t="s">
        <v>12657</v>
      </c>
      <c r="G2477" s="5" t="s">
        <v>12577</v>
      </c>
      <c r="H2477" s="5" t="s">
        <v>12657</v>
      </c>
      <c r="I2477" s="5">
        <v>573003346799</v>
      </c>
      <c r="J2477" s="12">
        <v>46089</v>
      </c>
      <c r="K2477" s="11">
        <v>0.70833333333212067</v>
      </c>
      <c r="M2477" s="10" t="s">
        <v>15594</v>
      </c>
      <c r="N2477" s="12">
        <v>46089.643543611106</v>
      </c>
      <c r="O2477" s="10" t="s">
        <v>15236</v>
      </c>
      <c r="P2477" s="5" t="s">
        <v>14571</v>
      </c>
      <c r="Q2477" s="5" t="s">
        <v>17404</v>
      </c>
      <c r="R2477" s="5" t="s">
        <v>20444</v>
      </c>
      <c r="T2477" s="5" t="s">
        <v>5994</v>
      </c>
      <c r="U2477" s="5"/>
      <c r="V2477" s="5" t="s">
        <v>12646</v>
      </c>
      <c r="W2477" s="5"/>
    </row>
    <row r="2478" spans="1:23" ht="12.5">
      <c r="A2478" s="5">
        <v>92994</v>
      </c>
      <c r="B2478" s="5" t="s">
        <v>20445</v>
      </c>
      <c r="C2478" s="5">
        <v>573017217176</v>
      </c>
      <c r="D2478" s="5" t="s">
        <v>20446</v>
      </c>
      <c r="E2478" s="5" t="s">
        <v>14214</v>
      </c>
      <c r="F2478" s="5" t="s">
        <v>12657</v>
      </c>
      <c r="G2478" s="5" t="s">
        <v>14213</v>
      </c>
      <c r="H2478" s="5" t="s">
        <v>12657</v>
      </c>
      <c r="I2478" s="5">
        <v>573017217176</v>
      </c>
      <c r="J2478" s="12">
        <v>46089</v>
      </c>
      <c r="K2478" s="11">
        <v>0.70833333333212067</v>
      </c>
      <c r="M2478" s="10" t="s">
        <v>20447</v>
      </c>
      <c r="N2478" s="12">
        <v>46089.661064548607</v>
      </c>
      <c r="O2478" s="10" t="s">
        <v>15050</v>
      </c>
      <c r="P2478" s="5" t="s">
        <v>14571</v>
      </c>
      <c r="Q2478" s="5" t="s">
        <v>14612</v>
      </c>
      <c r="R2478" s="5" t="s">
        <v>20448</v>
      </c>
      <c r="T2478" s="5" t="s">
        <v>5994</v>
      </c>
      <c r="U2478" s="5"/>
      <c r="V2478" s="5" t="s">
        <v>12646</v>
      </c>
      <c r="W2478" s="5" t="s">
        <v>14216</v>
      </c>
    </row>
    <row r="2479" spans="1:23" ht="12.5">
      <c r="A2479" s="5">
        <v>92995</v>
      </c>
      <c r="B2479" s="5" t="s">
        <v>20449</v>
      </c>
      <c r="C2479" s="5">
        <v>573232862659</v>
      </c>
      <c r="D2479" s="5">
        <v>58</v>
      </c>
      <c r="E2479" s="5" t="s">
        <v>12728</v>
      </c>
      <c r="F2479" s="5" t="s">
        <v>726</v>
      </c>
      <c r="G2479" s="5" t="s">
        <v>14218</v>
      </c>
      <c r="H2479" s="5" t="s">
        <v>14219</v>
      </c>
      <c r="I2479" s="5"/>
      <c r="J2479" s="12">
        <v>46090</v>
      </c>
      <c r="K2479" s="11">
        <v>0.33333333333212067</v>
      </c>
      <c r="M2479" s="10" t="s">
        <v>20450</v>
      </c>
      <c r="N2479" s="12">
        <v>46089.6687165162</v>
      </c>
      <c r="O2479" s="10" t="s">
        <v>15890</v>
      </c>
      <c r="P2479" s="5" t="s">
        <v>14571</v>
      </c>
      <c r="Q2479" s="5" t="s">
        <v>14578</v>
      </c>
      <c r="R2479" s="5" t="s">
        <v>20451</v>
      </c>
      <c r="T2479" s="5" t="s">
        <v>5994</v>
      </c>
      <c r="U2479" s="5" t="s">
        <v>14618</v>
      </c>
      <c r="V2479" s="5" t="s">
        <v>12646</v>
      </c>
      <c r="W2479" s="5"/>
    </row>
    <row r="2480" spans="1:23" ht="12.5">
      <c r="A2480" s="5">
        <v>92996</v>
      </c>
      <c r="B2480" s="5" t="s">
        <v>20452</v>
      </c>
      <c r="C2480" s="5">
        <v>573045225866</v>
      </c>
      <c r="D2480" s="5">
        <v>95</v>
      </c>
      <c r="E2480" s="5" t="s">
        <v>14222</v>
      </c>
      <c r="F2480" s="5" t="s">
        <v>12657</v>
      </c>
      <c r="G2480" s="5" t="s">
        <v>14221</v>
      </c>
      <c r="H2480" s="5" t="s">
        <v>12657</v>
      </c>
      <c r="I2480" s="5">
        <v>573045225866</v>
      </c>
      <c r="J2480" s="12">
        <v>46089</v>
      </c>
      <c r="K2480" s="11">
        <v>0</v>
      </c>
      <c r="M2480" s="10" t="s">
        <v>14863</v>
      </c>
      <c r="N2480" s="12">
        <v>46089.676864548615</v>
      </c>
      <c r="O2480" s="10" t="s">
        <v>15367</v>
      </c>
      <c r="P2480" s="5" t="s">
        <v>14571</v>
      </c>
      <c r="Q2480" s="5" t="s">
        <v>17688</v>
      </c>
      <c r="R2480" s="5" t="s">
        <v>20453</v>
      </c>
      <c r="T2480" s="5" t="s">
        <v>5994</v>
      </c>
      <c r="U2480" s="5"/>
      <c r="V2480" s="5" t="s">
        <v>196</v>
      </c>
      <c r="W2480" s="5"/>
    </row>
    <row r="2481" spans="1:23" ht="12.5">
      <c r="A2481" s="5">
        <v>92997</v>
      </c>
      <c r="B2481" s="5" t="s">
        <v>20454</v>
      </c>
      <c r="C2481" s="5">
        <v>573005296460</v>
      </c>
      <c r="D2481" s="5">
        <v>95</v>
      </c>
      <c r="E2481" s="5" t="s">
        <v>42</v>
      </c>
      <c r="F2481" s="5" t="s">
        <v>598</v>
      </c>
      <c r="G2481" s="5" t="s">
        <v>14226</v>
      </c>
      <c r="H2481" s="5" t="s">
        <v>14227</v>
      </c>
      <c r="I2481" s="5">
        <v>573005296460</v>
      </c>
      <c r="J2481" s="12">
        <v>46089</v>
      </c>
      <c r="K2481" s="11">
        <v>0</v>
      </c>
      <c r="M2481" s="10" t="s">
        <v>15594</v>
      </c>
      <c r="N2481" s="12">
        <v>46089.68420304398</v>
      </c>
      <c r="O2481" s="10" t="s">
        <v>15363</v>
      </c>
      <c r="P2481" s="5" t="s">
        <v>14571</v>
      </c>
      <c r="Q2481" s="5" t="s">
        <v>17990</v>
      </c>
      <c r="R2481" s="5" t="s">
        <v>20455</v>
      </c>
      <c r="T2481" s="5" t="s">
        <v>5994</v>
      </c>
      <c r="U2481" s="5" t="s">
        <v>14593</v>
      </c>
      <c r="V2481" s="5" t="s">
        <v>12646</v>
      </c>
      <c r="W2481" s="5" t="s">
        <v>14230</v>
      </c>
    </row>
    <row r="2482" spans="1:23" ht="12.5">
      <c r="A2482" s="5">
        <v>92998</v>
      </c>
      <c r="B2482" s="5" t="s">
        <v>20456</v>
      </c>
      <c r="C2482" s="10" t="s">
        <v>20457</v>
      </c>
      <c r="D2482" s="5">
        <v>95</v>
      </c>
      <c r="E2482" s="5" t="s">
        <v>14232</v>
      </c>
      <c r="F2482" s="5" t="s">
        <v>12657</v>
      </c>
      <c r="G2482" s="5" t="s">
        <v>14231</v>
      </c>
      <c r="H2482" s="5" t="s">
        <v>12657</v>
      </c>
      <c r="I2482" s="5">
        <v>573013053173</v>
      </c>
      <c r="J2482" s="12">
        <v>46089</v>
      </c>
      <c r="K2482" s="11">
        <v>0</v>
      </c>
      <c r="M2482" s="10" t="s">
        <v>14712</v>
      </c>
      <c r="N2482" s="12">
        <v>46089</v>
      </c>
      <c r="O2482" s="10" t="s">
        <v>16085</v>
      </c>
      <c r="P2482" s="5" t="s">
        <v>14571</v>
      </c>
      <c r="Q2482" s="5" t="s">
        <v>16907</v>
      </c>
      <c r="R2482" s="5" t="s">
        <v>20458</v>
      </c>
      <c r="T2482" s="5" t="s">
        <v>5994</v>
      </c>
      <c r="U2482" s="5"/>
      <c r="V2482" s="5" t="s">
        <v>1705</v>
      </c>
      <c r="W2482" s="5"/>
    </row>
    <row r="2483" spans="1:23" ht="12.5">
      <c r="A2483" s="5">
        <v>92999</v>
      </c>
      <c r="B2483" s="5" t="s">
        <v>20459</v>
      </c>
      <c r="C2483" s="10" t="s">
        <v>20460</v>
      </c>
      <c r="D2483" s="5">
        <v>70</v>
      </c>
      <c r="E2483" s="5" t="s">
        <v>12522</v>
      </c>
      <c r="F2483" s="5" t="s">
        <v>103</v>
      </c>
      <c r="G2483" s="5" t="s">
        <v>20461</v>
      </c>
      <c r="H2483" s="5" t="s">
        <v>14209</v>
      </c>
      <c r="I2483" s="5">
        <v>573004071754</v>
      </c>
      <c r="J2483" s="12">
        <v>46089</v>
      </c>
      <c r="K2483" s="11">
        <v>0</v>
      </c>
      <c r="M2483" s="10" t="s">
        <v>14653</v>
      </c>
      <c r="N2483" s="12">
        <v>46089</v>
      </c>
      <c r="O2483" s="10" t="s">
        <v>14811</v>
      </c>
      <c r="P2483" s="5" t="s">
        <v>14571</v>
      </c>
      <c r="Q2483" s="5" t="s">
        <v>14572</v>
      </c>
      <c r="R2483" s="5" t="s">
        <v>20462</v>
      </c>
      <c r="T2483" s="5" t="s">
        <v>5994</v>
      </c>
      <c r="U2483" s="5" t="s">
        <v>14593</v>
      </c>
      <c r="V2483" s="5" t="s">
        <v>12646</v>
      </c>
      <c r="W2483" s="5"/>
    </row>
    <row r="2484" spans="1:23" ht="12.5">
      <c r="A2484" s="5">
        <v>93000</v>
      </c>
      <c r="B2484" s="5" t="s">
        <v>14234</v>
      </c>
      <c r="C2484" s="10" t="s">
        <v>20463</v>
      </c>
      <c r="D2484" s="5">
        <v>95</v>
      </c>
      <c r="E2484" s="5" t="s">
        <v>42</v>
      </c>
      <c r="F2484" s="5" t="s">
        <v>12657</v>
      </c>
      <c r="G2484" s="5" t="s">
        <v>14233</v>
      </c>
      <c r="H2484" s="5" t="s">
        <v>12657</v>
      </c>
      <c r="I2484" s="5">
        <v>573222222222</v>
      </c>
      <c r="J2484" s="12">
        <v>46089</v>
      </c>
      <c r="K2484" s="11">
        <v>0</v>
      </c>
      <c r="M2484" s="10" t="s">
        <v>2686</v>
      </c>
      <c r="N2484" s="12">
        <v>46089</v>
      </c>
      <c r="O2484" s="10" t="s">
        <v>17946</v>
      </c>
      <c r="P2484" s="5" t="s">
        <v>14571</v>
      </c>
      <c r="Q2484" s="5" t="s">
        <v>14578</v>
      </c>
      <c r="R2484" s="5" t="s">
        <v>20464</v>
      </c>
      <c r="T2484" s="5" t="s">
        <v>5994</v>
      </c>
      <c r="U2484" s="5"/>
      <c r="V2484" s="5" t="s">
        <v>43</v>
      </c>
      <c r="W2484" s="5" t="s">
        <v>14235</v>
      </c>
    </row>
    <row r="2485" spans="1:23" ht="12.5">
      <c r="A2485" s="5">
        <v>93001</v>
      </c>
      <c r="B2485" s="5" t="s">
        <v>20465</v>
      </c>
      <c r="C2485" s="10" t="s">
        <v>20466</v>
      </c>
      <c r="D2485" s="5">
        <v>95</v>
      </c>
      <c r="E2485" s="5" t="s">
        <v>42</v>
      </c>
      <c r="F2485" s="5" t="s">
        <v>12657</v>
      </c>
      <c r="G2485" s="5" t="s">
        <v>14243</v>
      </c>
      <c r="H2485" s="5" t="s">
        <v>12657</v>
      </c>
      <c r="I2485" s="5">
        <v>573176465214</v>
      </c>
      <c r="J2485" s="12">
        <v>46089</v>
      </c>
      <c r="K2485" s="11">
        <v>0</v>
      </c>
      <c r="M2485" s="10" t="s">
        <v>14705</v>
      </c>
      <c r="N2485" s="12">
        <v>46089</v>
      </c>
      <c r="O2485" s="10" t="s">
        <v>16555</v>
      </c>
      <c r="P2485" s="5" t="s">
        <v>14571</v>
      </c>
      <c r="Q2485" s="5" t="s">
        <v>14612</v>
      </c>
      <c r="R2485" s="5" t="s">
        <v>20467</v>
      </c>
      <c r="T2485" s="5" t="s">
        <v>5994</v>
      </c>
      <c r="U2485" s="5"/>
      <c r="V2485" s="5" t="s">
        <v>12646</v>
      </c>
      <c r="W2485" s="5"/>
    </row>
    <row r="2486" spans="1:23" ht="12.5">
      <c r="A2486" s="5">
        <v>93002</v>
      </c>
      <c r="B2486" s="5" t="s">
        <v>20468</v>
      </c>
      <c r="C2486" s="5">
        <v>50495814532</v>
      </c>
      <c r="D2486" s="5">
        <v>43</v>
      </c>
      <c r="E2486" s="5" t="s">
        <v>14247</v>
      </c>
      <c r="F2486" s="5" t="s">
        <v>146</v>
      </c>
      <c r="G2486" s="5" t="s">
        <v>14245</v>
      </c>
      <c r="H2486" s="5" t="s">
        <v>14246</v>
      </c>
      <c r="I2486" s="5">
        <v>573005370705</v>
      </c>
      <c r="J2486" s="12">
        <v>46090</v>
      </c>
      <c r="K2486" s="11">
        <v>0.375</v>
      </c>
      <c r="M2486" s="10" t="s">
        <v>18167</v>
      </c>
      <c r="N2486" s="12">
        <v>46089.761813495366</v>
      </c>
      <c r="O2486" s="10" t="s">
        <v>16937</v>
      </c>
      <c r="P2486" s="5" t="s">
        <v>14571</v>
      </c>
      <c r="Q2486" s="5" t="s">
        <v>14578</v>
      </c>
      <c r="R2486" s="5" t="s">
        <v>20469</v>
      </c>
      <c r="T2486" s="5" t="s">
        <v>5994</v>
      </c>
      <c r="U2486" s="5" t="s">
        <v>14618</v>
      </c>
      <c r="V2486" s="5" t="s">
        <v>1937</v>
      </c>
      <c r="W2486" s="5"/>
    </row>
    <row r="2487" spans="1:23" ht="12.5">
      <c r="A2487" s="5">
        <v>93003</v>
      </c>
      <c r="B2487" s="5" t="s">
        <v>20470</v>
      </c>
      <c r="C2487" s="5">
        <v>573135053809</v>
      </c>
      <c r="D2487" s="5">
        <v>100</v>
      </c>
      <c r="E2487" s="5" t="s">
        <v>13447</v>
      </c>
      <c r="F2487" s="5" t="s">
        <v>464</v>
      </c>
      <c r="G2487" s="5" t="s">
        <v>14251</v>
      </c>
      <c r="H2487" s="5" t="s">
        <v>14252</v>
      </c>
      <c r="I2487" s="5">
        <v>573113526683</v>
      </c>
      <c r="J2487" s="12">
        <v>46090</v>
      </c>
      <c r="K2487" s="11">
        <v>0</v>
      </c>
      <c r="M2487" s="10" t="s">
        <v>14734</v>
      </c>
      <c r="N2487" s="12">
        <v>46090.185329050924</v>
      </c>
      <c r="O2487" s="10" t="s">
        <v>16744</v>
      </c>
      <c r="P2487" s="5" t="s">
        <v>14571</v>
      </c>
      <c r="Q2487" s="5" t="s">
        <v>14612</v>
      </c>
      <c r="R2487" s="5" t="s">
        <v>20471</v>
      </c>
      <c r="T2487" s="5" t="s">
        <v>5994</v>
      </c>
      <c r="U2487" s="5" t="s">
        <v>14580</v>
      </c>
      <c r="V2487" s="5" t="s">
        <v>1481</v>
      </c>
      <c r="W2487" s="5" t="s">
        <v>14255</v>
      </c>
    </row>
    <row r="2488" spans="1:23" ht="12.5">
      <c r="A2488" s="5">
        <v>93004</v>
      </c>
      <c r="B2488" s="5" t="s">
        <v>20472</v>
      </c>
      <c r="C2488" s="10" t="s">
        <v>20473</v>
      </c>
      <c r="D2488" s="5" t="s">
        <v>14589</v>
      </c>
      <c r="E2488" s="5" t="s">
        <v>12423</v>
      </c>
      <c r="F2488" s="5" t="s">
        <v>12657</v>
      </c>
      <c r="G2488" s="5" t="s">
        <v>14262</v>
      </c>
      <c r="H2488" s="5" t="s">
        <v>12657</v>
      </c>
      <c r="I2488" s="5">
        <v>573000000002</v>
      </c>
      <c r="J2488" s="12">
        <v>46090</v>
      </c>
      <c r="K2488" s="11">
        <v>0</v>
      </c>
      <c r="M2488" s="10" t="s">
        <v>14585</v>
      </c>
      <c r="N2488" s="12">
        <v>46090</v>
      </c>
      <c r="O2488" s="10" t="s">
        <v>15580</v>
      </c>
      <c r="P2488" s="5" t="s">
        <v>14571</v>
      </c>
      <c r="Q2488" s="5" t="s">
        <v>14572</v>
      </c>
      <c r="R2488" s="5" t="s">
        <v>20474</v>
      </c>
      <c r="T2488" s="5" t="s">
        <v>5994</v>
      </c>
      <c r="U2488" s="5"/>
      <c r="V2488" s="5" t="s">
        <v>37</v>
      </c>
      <c r="W2488" s="5" t="s">
        <v>14263</v>
      </c>
    </row>
    <row r="2489" spans="1:23" ht="12.5">
      <c r="A2489" s="5">
        <v>93005</v>
      </c>
      <c r="B2489" s="5" t="s">
        <v>20475</v>
      </c>
      <c r="C2489" s="10" t="s">
        <v>20473</v>
      </c>
      <c r="D2489" s="5">
        <v>53</v>
      </c>
      <c r="E2489" s="5" t="s">
        <v>75</v>
      </c>
      <c r="F2489" s="5" t="s">
        <v>12657</v>
      </c>
      <c r="G2489" s="5" t="s">
        <v>14264</v>
      </c>
      <c r="H2489" s="5" t="s">
        <v>12657</v>
      </c>
      <c r="I2489" s="5">
        <v>573000000002</v>
      </c>
      <c r="J2489" s="12">
        <v>46090</v>
      </c>
      <c r="K2489" s="11">
        <v>0</v>
      </c>
      <c r="M2489" s="10" t="s">
        <v>14585</v>
      </c>
      <c r="N2489" s="12">
        <v>46090</v>
      </c>
      <c r="O2489" s="10" t="s">
        <v>15580</v>
      </c>
      <c r="P2489" s="5" t="s">
        <v>14571</v>
      </c>
      <c r="Q2489" s="5" t="s">
        <v>14578</v>
      </c>
      <c r="R2489" s="5" t="s">
        <v>20476</v>
      </c>
      <c r="T2489" s="5" t="s">
        <v>5994</v>
      </c>
      <c r="U2489" s="5"/>
      <c r="V2489" s="5" t="s">
        <v>37</v>
      </c>
      <c r="W2489" s="5" t="s">
        <v>14266</v>
      </c>
    </row>
    <row r="2490" spans="1:23" ht="12.5">
      <c r="A2490" s="5">
        <v>93006</v>
      </c>
      <c r="B2490" s="5" t="s">
        <v>20477</v>
      </c>
      <c r="C2490" s="10" t="s">
        <v>20478</v>
      </c>
      <c r="D2490" s="5">
        <v>52</v>
      </c>
      <c r="E2490" s="5" t="s">
        <v>178</v>
      </c>
      <c r="F2490" s="5" t="s">
        <v>12657</v>
      </c>
      <c r="G2490" s="5" t="s">
        <v>14267</v>
      </c>
      <c r="H2490" s="5" t="s">
        <v>12657</v>
      </c>
      <c r="I2490" s="5">
        <v>573213197043</v>
      </c>
      <c r="J2490" s="12">
        <v>46090</v>
      </c>
      <c r="K2490" s="11">
        <v>0</v>
      </c>
      <c r="M2490" s="10" t="s">
        <v>15594</v>
      </c>
      <c r="N2490" s="12">
        <v>46090</v>
      </c>
      <c r="O2490" s="10" t="s">
        <v>20479</v>
      </c>
      <c r="P2490" s="5" t="s">
        <v>14571</v>
      </c>
      <c r="Q2490" s="5" t="s">
        <v>14572</v>
      </c>
      <c r="R2490" s="5" t="s">
        <v>20480</v>
      </c>
      <c r="T2490" s="5" t="s">
        <v>5994</v>
      </c>
      <c r="U2490" s="5"/>
      <c r="V2490" s="5" t="s">
        <v>37</v>
      </c>
      <c r="W2490" s="5" t="s">
        <v>14269</v>
      </c>
    </row>
    <row r="2491" spans="1:23" ht="12.5">
      <c r="A2491" s="5">
        <v>93007</v>
      </c>
      <c r="B2491" s="5" t="s">
        <v>20481</v>
      </c>
      <c r="C2491" s="10" t="s">
        <v>20482</v>
      </c>
      <c r="D2491" s="5">
        <v>45</v>
      </c>
      <c r="E2491" s="5" t="s">
        <v>2270</v>
      </c>
      <c r="F2491" s="5" t="s">
        <v>2090</v>
      </c>
      <c r="G2491" s="5" t="s">
        <v>14257</v>
      </c>
      <c r="H2491" s="5" t="s">
        <v>14258</v>
      </c>
      <c r="I2491" s="5">
        <v>573147737274</v>
      </c>
      <c r="J2491" s="12">
        <v>46090</v>
      </c>
      <c r="K2491" s="11">
        <v>0.41666666666666669</v>
      </c>
      <c r="M2491" s="10" t="s">
        <v>14740</v>
      </c>
      <c r="N2491" s="12">
        <v>46090</v>
      </c>
      <c r="O2491" s="10" t="s">
        <v>15747</v>
      </c>
      <c r="P2491" s="5" t="s">
        <v>14571</v>
      </c>
      <c r="Q2491" s="5" t="s">
        <v>14572</v>
      </c>
      <c r="R2491" s="5" t="s">
        <v>20483</v>
      </c>
      <c r="T2491" s="5" t="s">
        <v>5994</v>
      </c>
      <c r="U2491" s="5" t="s">
        <v>14618</v>
      </c>
      <c r="V2491" s="5" t="s">
        <v>1481</v>
      </c>
      <c r="W2491" s="5" t="s">
        <v>14261</v>
      </c>
    </row>
    <row r="2492" spans="1:23" ht="12.5">
      <c r="A2492" s="5">
        <v>93008</v>
      </c>
      <c r="B2492" s="5" t="s">
        <v>20484</v>
      </c>
      <c r="C2492" s="10" t="s">
        <v>20485</v>
      </c>
      <c r="D2492" s="5">
        <v>95</v>
      </c>
      <c r="E2492" s="5" t="s">
        <v>42</v>
      </c>
      <c r="F2492" s="5" t="s">
        <v>12657</v>
      </c>
      <c r="G2492" s="5" t="s">
        <v>14295</v>
      </c>
      <c r="H2492" s="5" t="s">
        <v>12657</v>
      </c>
      <c r="I2492" s="5">
        <v>573004645452</v>
      </c>
      <c r="J2492" s="12">
        <v>46090</v>
      </c>
      <c r="K2492" s="11">
        <v>0</v>
      </c>
      <c r="M2492" s="10" t="s">
        <v>16222</v>
      </c>
      <c r="N2492" s="12">
        <v>46090</v>
      </c>
      <c r="O2492" s="10" t="s">
        <v>15012</v>
      </c>
      <c r="P2492" s="5" t="s">
        <v>14571</v>
      </c>
      <c r="Q2492" s="5" t="s">
        <v>14578</v>
      </c>
      <c r="R2492" s="5" t="s">
        <v>20486</v>
      </c>
      <c r="T2492" s="5" t="s">
        <v>5994</v>
      </c>
      <c r="U2492" s="5"/>
      <c r="V2492" s="5" t="s">
        <v>1705</v>
      </c>
      <c r="W2492" s="5" t="s">
        <v>14296</v>
      </c>
    </row>
    <row r="2493" spans="1:23" ht="12.5">
      <c r="A2493" s="5">
        <v>93009</v>
      </c>
      <c r="B2493" s="5" t="s">
        <v>20487</v>
      </c>
      <c r="C2493" s="5">
        <v>573234455100</v>
      </c>
      <c r="D2493" s="5">
        <v>66</v>
      </c>
      <c r="E2493" s="5" t="s">
        <v>576</v>
      </c>
      <c r="F2493" s="5" t="s">
        <v>161</v>
      </c>
      <c r="G2493" s="5" t="s">
        <v>14298</v>
      </c>
      <c r="H2493" s="5" t="s">
        <v>14299</v>
      </c>
      <c r="I2493" s="5">
        <v>573106512053</v>
      </c>
      <c r="J2493" s="12">
        <v>46090</v>
      </c>
      <c r="K2493" s="11">
        <v>0.41666666666787933</v>
      </c>
      <c r="M2493" s="10" t="s">
        <v>15248</v>
      </c>
      <c r="N2493" s="12">
        <v>46090.366253402783</v>
      </c>
      <c r="O2493" s="10" t="s">
        <v>15184</v>
      </c>
      <c r="P2493" s="5" t="s">
        <v>14571</v>
      </c>
      <c r="Q2493" s="5" t="s">
        <v>14572</v>
      </c>
      <c r="R2493" s="5" t="s">
        <v>20488</v>
      </c>
      <c r="T2493" s="5" t="s">
        <v>5994</v>
      </c>
      <c r="U2493" s="5" t="s">
        <v>14593</v>
      </c>
      <c r="V2493" s="5" t="s">
        <v>1705</v>
      </c>
      <c r="W2493" s="5"/>
    </row>
    <row r="2494" spans="1:23" ht="12.5">
      <c r="A2494" s="5">
        <v>93010</v>
      </c>
      <c r="B2494" s="5" t="s">
        <v>20489</v>
      </c>
      <c r="C2494" s="10" t="s">
        <v>20490</v>
      </c>
      <c r="D2494" s="5" t="s">
        <v>20491</v>
      </c>
      <c r="E2494" s="5" t="s">
        <v>14273</v>
      </c>
      <c r="F2494" s="5" t="s">
        <v>185</v>
      </c>
      <c r="G2494" s="5" t="s">
        <v>14271</v>
      </c>
      <c r="H2494" s="5" t="s">
        <v>14272</v>
      </c>
      <c r="I2494" s="5">
        <v>573002542493</v>
      </c>
      <c r="J2494" s="12">
        <v>46090</v>
      </c>
      <c r="K2494" s="11">
        <v>0.41666666666666669</v>
      </c>
      <c r="M2494" s="10" t="s">
        <v>14859</v>
      </c>
      <c r="N2494" s="12">
        <v>46090</v>
      </c>
      <c r="O2494" s="10" t="s">
        <v>17165</v>
      </c>
      <c r="P2494" s="5" t="s">
        <v>14571</v>
      </c>
      <c r="Q2494" s="5" t="s">
        <v>14572</v>
      </c>
      <c r="R2494" s="5" t="s">
        <v>20492</v>
      </c>
      <c r="T2494" s="5" t="s">
        <v>5994</v>
      </c>
      <c r="U2494" s="5" t="s">
        <v>14580</v>
      </c>
      <c r="V2494" s="5" t="s">
        <v>1481</v>
      </c>
      <c r="W2494" s="5" t="s">
        <v>14276</v>
      </c>
    </row>
    <row r="2495" spans="1:23" ht="12.5">
      <c r="A2495" s="5">
        <v>93011</v>
      </c>
      <c r="B2495" s="5" t="s">
        <v>20493</v>
      </c>
      <c r="C2495" s="5">
        <v>573152574626</v>
      </c>
      <c r="D2495" s="5" t="s">
        <v>14589</v>
      </c>
      <c r="E2495" s="5" t="s">
        <v>14280</v>
      </c>
      <c r="F2495" s="5" t="s">
        <v>563</v>
      </c>
      <c r="G2495" s="5" t="s">
        <v>14278</v>
      </c>
      <c r="H2495" s="5" t="s">
        <v>14279</v>
      </c>
      <c r="I2495" s="5">
        <v>573152574626</v>
      </c>
      <c r="J2495" s="12">
        <v>46090</v>
      </c>
      <c r="K2495" s="11">
        <v>0.41666666666787933</v>
      </c>
      <c r="M2495" s="10" t="s">
        <v>15619</v>
      </c>
      <c r="N2495" s="12">
        <v>46090.354780034722</v>
      </c>
      <c r="O2495" s="10" t="s">
        <v>15675</v>
      </c>
      <c r="P2495" s="5" t="s">
        <v>14571</v>
      </c>
      <c r="Q2495" s="5" t="s">
        <v>14612</v>
      </c>
      <c r="R2495" s="5" t="s">
        <v>20494</v>
      </c>
      <c r="T2495" s="5" t="s">
        <v>5994</v>
      </c>
      <c r="U2495" s="5" t="s">
        <v>14775</v>
      </c>
      <c r="V2495" s="5" t="s">
        <v>1481</v>
      </c>
      <c r="W2495" s="5" t="s">
        <v>14283</v>
      </c>
    </row>
    <row r="2496" spans="1:23" ht="12.5">
      <c r="A2496" s="5">
        <v>93012</v>
      </c>
      <c r="B2496" s="5" t="s">
        <v>14237</v>
      </c>
      <c r="C2496" s="5">
        <v>573165774386</v>
      </c>
      <c r="D2496" s="5">
        <v>95</v>
      </c>
      <c r="E2496" s="5" t="s">
        <v>42</v>
      </c>
      <c r="F2496" s="5" t="s">
        <v>9166</v>
      </c>
      <c r="G2496" s="5" t="s">
        <v>14237</v>
      </c>
      <c r="H2496" s="5" t="s">
        <v>14238</v>
      </c>
      <c r="I2496" s="5">
        <v>573165774386</v>
      </c>
      <c r="J2496" s="12">
        <v>46090</v>
      </c>
      <c r="K2496" s="11">
        <v>0.41666666666787933</v>
      </c>
      <c r="M2496" s="10" t="s">
        <v>15573</v>
      </c>
      <c r="N2496" s="12">
        <v>46089.716154560185</v>
      </c>
      <c r="O2496" s="10" t="s">
        <v>15751</v>
      </c>
      <c r="P2496" s="5" t="s">
        <v>14571</v>
      </c>
      <c r="Q2496" s="5" t="s">
        <v>14578</v>
      </c>
      <c r="R2496" s="5" t="s">
        <v>20495</v>
      </c>
      <c r="T2496" s="5" t="s">
        <v>5994</v>
      </c>
      <c r="U2496" s="5"/>
      <c r="V2496" s="5" t="s">
        <v>1481</v>
      </c>
      <c r="W2496" s="5" t="s">
        <v>14241</v>
      </c>
    </row>
    <row r="2497" spans="1:23" ht="12.5">
      <c r="A2497" s="5">
        <v>93013</v>
      </c>
      <c r="B2497" s="5" t="s">
        <v>20496</v>
      </c>
      <c r="C2497" s="5">
        <v>573000000002</v>
      </c>
      <c r="D2497" s="5">
        <v>21</v>
      </c>
      <c r="E2497" s="5" t="s">
        <v>12924</v>
      </c>
      <c r="F2497" s="5" t="s">
        <v>12657</v>
      </c>
      <c r="G2497" s="5" t="s">
        <v>14305</v>
      </c>
      <c r="H2497" s="5" t="s">
        <v>12657</v>
      </c>
      <c r="I2497" s="5">
        <v>573003014520</v>
      </c>
      <c r="J2497" s="12">
        <v>46090</v>
      </c>
      <c r="K2497" s="11">
        <v>0</v>
      </c>
      <c r="M2497" s="10" t="s">
        <v>14712</v>
      </c>
      <c r="N2497" s="12">
        <v>46090.397997534717</v>
      </c>
      <c r="O2497" s="10" t="s">
        <v>14900</v>
      </c>
      <c r="P2497" s="5" t="s">
        <v>14571</v>
      </c>
      <c r="Q2497" s="5" t="s">
        <v>14572</v>
      </c>
      <c r="R2497" s="5" t="s">
        <v>20497</v>
      </c>
      <c r="T2497" s="5" t="s">
        <v>5994</v>
      </c>
      <c r="U2497" s="5"/>
      <c r="V2497" s="5" t="s">
        <v>1705</v>
      </c>
      <c r="W2497" s="5" t="s">
        <v>8660</v>
      </c>
    </row>
    <row r="2498" spans="1:23" ht="12.5">
      <c r="A2498" s="5">
        <v>93014</v>
      </c>
      <c r="B2498" s="5" t="s">
        <v>20498</v>
      </c>
      <c r="C2498" s="10" t="s">
        <v>20499</v>
      </c>
      <c r="D2498" s="5">
        <v>64</v>
      </c>
      <c r="E2498" s="5" t="s">
        <v>133</v>
      </c>
      <c r="F2498" s="5" t="s">
        <v>1057</v>
      </c>
      <c r="G2498" s="5" t="s">
        <v>14285</v>
      </c>
      <c r="H2498" s="5" t="s">
        <v>14286</v>
      </c>
      <c r="I2498" s="5">
        <v>573106305830</v>
      </c>
      <c r="J2498" s="12">
        <v>46090</v>
      </c>
      <c r="K2498" s="11">
        <v>0.41666666666666669</v>
      </c>
      <c r="M2498" s="10" t="s">
        <v>20500</v>
      </c>
      <c r="N2498" s="12">
        <v>46090</v>
      </c>
      <c r="O2498" s="10" t="s">
        <v>16275</v>
      </c>
      <c r="P2498" s="5" t="s">
        <v>14571</v>
      </c>
      <c r="Q2498" s="5" t="s">
        <v>14578</v>
      </c>
      <c r="R2498" s="5" t="s">
        <v>20501</v>
      </c>
      <c r="T2498" s="5" t="s">
        <v>5994</v>
      </c>
      <c r="U2498" s="5" t="s">
        <v>14580</v>
      </c>
      <c r="V2498" s="5" t="s">
        <v>3754</v>
      </c>
      <c r="W2498" s="5"/>
    </row>
    <row r="2499" spans="1:23" ht="12.5">
      <c r="A2499" s="5">
        <v>93015</v>
      </c>
      <c r="B2499" s="5" t="s">
        <v>20502</v>
      </c>
      <c r="C2499" s="5">
        <v>573007562052</v>
      </c>
      <c r="D2499" s="5">
        <v>53</v>
      </c>
      <c r="E2499" s="5" t="s">
        <v>75</v>
      </c>
      <c r="F2499" s="5" t="s">
        <v>1497</v>
      </c>
      <c r="G2499" s="5" t="s">
        <v>14307</v>
      </c>
      <c r="H2499" s="5" t="s">
        <v>14308</v>
      </c>
      <c r="I2499" s="5">
        <v>573007592052</v>
      </c>
      <c r="J2499" s="12">
        <v>46090</v>
      </c>
      <c r="K2499" s="11">
        <v>0.45833333333212067</v>
      </c>
      <c r="M2499" s="10" t="s">
        <v>14832</v>
      </c>
      <c r="N2499" s="12">
        <v>46090.399054768517</v>
      </c>
      <c r="O2499" s="10" t="s">
        <v>15106</v>
      </c>
      <c r="P2499" s="5" t="s">
        <v>14571</v>
      </c>
      <c r="Q2499" s="5" t="s">
        <v>14612</v>
      </c>
      <c r="R2499" s="5" t="s">
        <v>20503</v>
      </c>
      <c r="T2499" s="5" t="s">
        <v>5994</v>
      </c>
      <c r="U2499" s="5" t="s">
        <v>14593</v>
      </c>
      <c r="V2499" s="5" t="s">
        <v>180</v>
      </c>
      <c r="W2499" s="5"/>
    </row>
    <row r="2500" spans="1:23" ht="12.5">
      <c r="A2500" s="5">
        <v>93016</v>
      </c>
      <c r="B2500" s="5" t="s">
        <v>20504</v>
      </c>
      <c r="C2500" s="5">
        <v>573003243935</v>
      </c>
      <c r="D2500" s="5" t="s">
        <v>14589</v>
      </c>
      <c r="E2500" s="5" t="s">
        <v>14292</v>
      </c>
      <c r="F2500" s="5" t="s">
        <v>73</v>
      </c>
      <c r="G2500" s="5" t="s">
        <v>14290</v>
      </c>
      <c r="H2500" s="5" t="s">
        <v>14291</v>
      </c>
      <c r="I2500" s="5">
        <v>573208301662</v>
      </c>
      <c r="J2500" s="12">
        <v>46090</v>
      </c>
      <c r="K2500" s="11">
        <v>0</v>
      </c>
      <c r="M2500" s="10" t="s">
        <v>14672</v>
      </c>
      <c r="N2500" s="12">
        <v>46090.360654317134</v>
      </c>
      <c r="O2500" s="10" t="s">
        <v>16107</v>
      </c>
      <c r="P2500" s="5" t="s">
        <v>14571</v>
      </c>
      <c r="Q2500" s="5" t="s">
        <v>14572</v>
      </c>
      <c r="R2500" s="5" t="s">
        <v>20505</v>
      </c>
      <c r="T2500" s="5" t="s">
        <v>5994</v>
      </c>
      <c r="U2500" s="5" t="s">
        <v>14593</v>
      </c>
      <c r="V2500" s="5" t="s">
        <v>1481</v>
      </c>
      <c r="W2500" s="5"/>
    </row>
    <row r="2501" spans="1:23" ht="12.5">
      <c r="A2501" s="5">
        <v>93017</v>
      </c>
      <c r="B2501" s="5" t="s">
        <v>20506</v>
      </c>
      <c r="C2501" s="5">
        <v>573004179000</v>
      </c>
      <c r="D2501" s="5" t="s">
        <v>14589</v>
      </c>
      <c r="E2501" s="5" t="s">
        <v>14302</v>
      </c>
      <c r="F2501" s="5" t="s">
        <v>12657</v>
      </c>
      <c r="G2501" s="5" t="s">
        <v>14301</v>
      </c>
      <c r="H2501" s="5" t="s">
        <v>12657</v>
      </c>
      <c r="I2501" s="5">
        <v>573004179000</v>
      </c>
      <c r="J2501" s="12">
        <v>46090</v>
      </c>
      <c r="K2501" s="11">
        <v>0</v>
      </c>
      <c r="M2501" s="10" t="s">
        <v>15301</v>
      </c>
      <c r="N2501" s="12">
        <v>46090.378967511569</v>
      </c>
      <c r="O2501" s="10" t="s">
        <v>16952</v>
      </c>
      <c r="P2501" s="5" t="s">
        <v>14571</v>
      </c>
      <c r="Q2501" s="5" t="s">
        <v>14578</v>
      </c>
      <c r="R2501" s="5" t="s">
        <v>20507</v>
      </c>
      <c r="T2501" s="5" t="s">
        <v>5994</v>
      </c>
      <c r="U2501" s="5"/>
      <c r="V2501" s="5" t="s">
        <v>180</v>
      </c>
      <c r="W2501" s="5"/>
    </row>
    <row r="2502" spans="1:23" ht="12.5">
      <c r="A2502" s="5">
        <v>93018</v>
      </c>
      <c r="B2502" s="5" t="s">
        <v>20508</v>
      </c>
      <c r="C2502" s="10" t="s">
        <v>20509</v>
      </c>
      <c r="D2502" s="5" t="s">
        <v>14589</v>
      </c>
      <c r="E2502" s="5" t="s">
        <v>11673</v>
      </c>
      <c r="F2502" s="5" t="s">
        <v>146</v>
      </c>
      <c r="G2502" s="5" t="s">
        <v>14318</v>
      </c>
      <c r="H2502" s="5" t="s">
        <v>14319</v>
      </c>
      <c r="I2502" s="5">
        <v>573122985343</v>
      </c>
      <c r="J2502" s="12">
        <v>46090</v>
      </c>
      <c r="K2502" s="11">
        <v>0</v>
      </c>
      <c r="M2502" s="10" t="s">
        <v>16077</v>
      </c>
      <c r="N2502" s="12">
        <v>46090</v>
      </c>
      <c r="O2502" s="10" t="s">
        <v>14665</v>
      </c>
      <c r="P2502" s="5" t="s">
        <v>14571</v>
      </c>
      <c r="Q2502" s="5" t="s">
        <v>14572</v>
      </c>
      <c r="R2502" s="5" t="s">
        <v>20510</v>
      </c>
      <c r="T2502" s="5" t="s">
        <v>5994</v>
      </c>
      <c r="U2502" s="5" t="s">
        <v>14618</v>
      </c>
      <c r="V2502" s="5" t="s">
        <v>1481</v>
      </c>
      <c r="W2502" s="5"/>
    </row>
    <row r="2503" spans="1:23" ht="12.5">
      <c r="A2503" s="5">
        <v>93019</v>
      </c>
      <c r="B2503" s="5" t="s">
        <v>20511</v>
      </c>
      <c r="C2503" s="5">
        <v>577864587718</v>
      </c>
      <c r="D2503" s="5">
        <v>104</v>
      </c>
      <c r="E2503" s="5" t="s">
        <v>3111</v>
      </c>
      <c r="F2503" s="5" t="s">
        <v>161</v>
      </c>
      <c r="G2503" s="5" t="s">
        <v>14312</v>
      </c>
      <c r="H2503" s="5" t="s">
        <v>14313</v>
      </c>
      <c r="I2503" s="5">
        <v>573157215522</v>
      </c>
      <c r="J2503" s="12">
        <v>46104</v>
      </c>
      <c r="K2503" s="11">
        <v>0.33333333333212067</v>
      </c>
      <c r="M2503" s="10" t="s">
        <v>14890</v>
      </c>
      <c r="N2503" s="12">
        <v>46090.418248923612</v>
      </c>
      <c r="O2503" s="10" t="s">
        <v>15764</v>
      </c>
      <c r="P2503" s="5" t="s">
        <v>19487</v>
      </c>
      <c r="Q2503" s="5"/>
      <c r="R2503" s="5" t="s">
        <v>20512</v>
      </c>
      <c r="T2503" s="5" t="s">
        <v>5994</v>
      </c>
      <c r="U2503" s="5" t="s">
        <v>14593</v>
      </c>
      <c r="V2503" s="5" t="s">
        <v>1481</v>
      </c>
      <c r="W2503" s="5"/>
    </row>
    <row r="2504" spans="1:23" ht="12.5">
      <c r="A2504" s="5">
        <v>93020</v>
      </c>
      <c r="B2504" s="5" t="s">
        <v>20513</v>
      </c>
      <c r="C2504" s="5">
        <v>573014230323</v>
      </c>
      <c r="D2504" s="5">
        <v>53</v>
      </c>
      <c r="E2504" s="5" t="s">
        <v>75</v>
      </c>
      <c r="F2504" s="5" t="s">
        <v>12657</v>
      </c>
      <c r="G2504" s="5" t="s">
        <v>14332</v>
      </c>
      <c r="H2504" s="5" t="s">
        <v>12657</v>
      </c>
      <c r="I2504" s="5"/>
      <c r="J2504" s="12">
        <v>46090</v>
      </c>
      <c r="K2504" s="11">
        <v>0</v>
      </c>
      <c r="M2504" s="10" t="s">
        <v>14585</v>
      </c>
      <c r="N2504" s="12">
        <v>46090.469706956021</v>
      </c>
      <c r="O2504" s="10" t="s">
        <v>16287</v>
      </c>
      <c r="P2504" s="5" t="s">
        <v>14571</v>
      </c>
      <c r="Q2504" s="5" t="s">
        <v>14572</v>
      </c>
      <c r="R2504" s="5" t="s">
        <v>20514</v>
      </c>
      <c r="T2504" s="5" t="s">
        <v>5994</v>
      </c>
      <c r="U2504" s="5"/>
      <c r="V2504" s="5" t="s">
        <v>37</v>
      </c>
      <c r="W2504" s="5"/>
    </row>
    <row r="2505" spans="1:23" ht="12.5">
      <c r="A2505" s="5">
        <v>93021</v>
      </c>
      <c r="B2505" s="5" t="s">
        <v>20515</v>
      </c>
      <c r="C2505" s="5">
        <v>573005359055</v>
      </c>
      <c r="D2505" s="5">
        <v>52</v>
      </c>
      <c r="E2505" s="5" t="s">
        <v>178</v>
      </c>
      <c r="F2505" s="5" t="s">
        <v>1047</v>
      </c>
      <c r="G2505" s="5" t="s">
        <v>14323</v>
      </c>
      <c r="H2505" s="5" t="s">
        <v>14324</v>
      </c>
      <c r="I2505" s="5">
        <v>573017802621</v>
      </c>
      <c r="J2505" s="12">
        <v>46090</v>
      </c>
      <c r="K2505" s="11">
        <v>0.58333333333212067</v>
      </c>
      <c r="M2505" s="10" t="s">
        <v>14643</v>
      </c>
      <c r="N2505" s="12">
        <v>46090.459329930556</v>
      </c>
      <c r="O2505" s="10" t="s">
        <v>16124</v>
      </c>
      <c r="P2505" s="5" t="s">
        <v>14571</v>
      </c>
      <c r="Q2505" s="5" t="s">
        <v>14572</v>
      </c>
      <c r="R2505" s="5" t="s">
        <v>20516</v>
      </c>
      <c r="T2505" s="5" t="s">
        <v>5994</v>
      </c>
      <c r="U2505" s="5" t="s">
        <v>14580</v>
      </c>
      <c r="V2505" s="5" t="s">
        <v>1937</v>
      </c>
      <c r="W2505" s="5"/>
    </row>
    <row r="2506" spans="1:23" ht="12.5">
      <c r="A2506" s="5">
        <v>93022</v>
      </c>
      <c r="B2506" s="5" t="s">
        <v>20517</v>
      </c>
      <c r="C2506" s="10" t="s">
        <v>20518</v>
      </c>
      <c r="D2506" s="5">
        <v>95</v>
      </c>
      <c r="E2506" s="5" t="s">
        <v>42</v>
      </c>
      <c r="F2506" s="5"/>
      <c r="G2506" s="5" t="s">
        <v>20519</v>
      </c>
      <c r="H2506" s="5" t="s">
        <v>14346</v>
      </c>
      <c r="I2506" s="5">
        <v>573015758743</v>
      </c>
      <c r="J2506" s="12">
        <v>46090</v>
      </c>
      <c r="K2506" s="11">
        <v>0.58333333333333337</v>
      </c>
      <c r="M2506" s="10" t="s">
        <v>14599</v>
      </c>
      <c r="N2506" s="12">
        <v>46090</v>
      </c>
      <c r="O2506" s="10" t="s">
        <v>16000</v>
      </c>
      <c r="P2506" s="5" t="s">
        <v>14571</v>
      </c>
      <c r="Q2506" s="5" t="s">
        <v>14572</v>
      </c>
      <c r="R2506" s="5" t="s">
        <v>20520</v>
      </c>
      <c r="T2506" s="5" t="s">
        <v>5994</v>
      </c>
      <c r="U2506" s="5"/>
      <c r="V2506" s="5" t="s">
        <v>1481</v>
      </c>
      <c r="W2506" s="5" t="s">
        <v>14348</v>
      </c>
    </row>
    <row r="2507" spans="1:23" ht="12.5">
      <c r="A2507" s="5">
        <v>93023</v>
      </c>
      <c r="B2507" s="5" t="s">
        <v>20521</v>
      </c>
      <c r="C2507" s="5">
        <v>573215005033</v>
      </c>
      <c r="D2507" s="5">
        <v>52</v>
      </c>
      <c r="E2507" s="5" t="s">
        <v>178</v>
      </c>
      <c r="F2507" s="5" t="s">
        <v>563</v>
      </c>
      <c r="G2507" s="5" t="s">
        <v>14334</v>
      </c>
      <c r="H2507" s="5" t="s">
        <v>14335</v>
      </c>
      <c r="I2507" s="5">
        <v>573012546176</v>
      </c>
      <c r="J2507" s="12">
        <v>46090</v>
      </c>
      <c r="K2507" s="11">
        <v>0.58333333333212067</v>
      </c>
      <c r="M2507" s="10" t="s">
        <v>14643</v>
      </c>
      <c r="N2507" s="12">
        <v>46090.469917395836</v>
      </c>
      <c r="O2507" s="10" t="s">
        <v>16004</v>
      </c>
      <c r="P2507" s="5" t="s">
        <v>14571</v>
      </c>
      <c r="Q2507" s="5" t="s">
        <v>14572</v>
      </c>
      <c r="R2507" s="5" t="s">
        <v>20522</v>
      </c>
      <c r="T2507" s="5" t="s">
        <v>5994</v>
      </c>
      <c r="U2507" s="5" t="s">
        <v>14775</v>
      </c>
      <c r="V2507" s="5" t="s">
        <v>1481</v>
      </c>
      <c r="W2507" s="5"/>
    </row>
    <row r="2508" spans="1:23" ht="12.5">
      <c r="A2508" s="5">
        <v>93024</v>
      </c>
      <c r="B2508" s="5" t="s">
        <v>20523</v>
      </c>
      <c r="C2508" s="5">
        <v>573218244370</v>
      </c>
      <c r="D2508" s="5">
        <v>56</v>
      </c>
      <c r="E2508" s="5" t="s">
        <v>1102</v>
      </c>
      <c r="F2508" s="5" t="s">
        <v>185</v>
      </c>
      <c r="G2508" s="5" t="s">
        <v>14339</v>
      </c>
      <c r="H2508" s="5" t="s">
        <v>14340</v>
      </c>
      <c r="I2508" s="5">
        <v>573045866895</v>
      </c>
      <c r="J2508" s="12">
        <v>46090</v>
      </c>
      <c r="K2508" s="11">
        <v>0.58333333333212067</v>
      </c>
      <c r="M2508" s="10" t="s">
        <v>14890</v>
      </c>
      <c r="N2508" s="12">
        <v>46090.471356064816</v>
      </c>
      <c r="O2508" s="10" t="s">
        <v>14877</v>
      </c>
      <c r="P2508" s="5" t="s">
        <v>14571</v>
      </c>
      <c r="Q2508" s="5" t="s">
        <v>14572</v>
      </c>
      <c r="R2508" s="5" t="s">
        <v>20524</v>
      </c>
      <c r="T2508" s="5" t="s">
        <v>5994</v>
      </c>
      <c r="U2508" s="5" t="s">
        <v>14580</v>
      </c>
      <c r="V2508" s="5" t="s">
        <v>1481</v>
      </c>
      <c r="W2508" s="5" t="s">
        <v>14343</v>
      </c>
    </row>
    <row r="2509" spans="1:23" ht="12.5">
      <c r="A2509" s="5">
        <v>93025</v>
      </c>
      <c r="B2509" s="5" t="s">
        <v>20525</v>
      </c>
      <c r="C2509" s="5">
        <v>573135743675</v>
      </c>
      <c r="D2509" s="5">
        <v>70</v>
      </c>
      <c r="E2509" s="5" t="s">
        <v>559</v>
      </c>
      <c r="F2509" s="5" t="s">
        <v>726</v>
      </c>
      <c r="G2509" s="5" t="s">
        <v>14328</v>
      </c>
      <c r="H2509" s="5" t="s">
        <v>14329</v>
      </c>
      <c r="I2509" s="5">
        <v>573135743675</v>
      </c>
      <c r="J2509" s="12">
        <v>46090</v>
      </c>
      <c r="K2509" s="11">
        <v>0.58333333333212067</v>
      </c>
      <c r="M2509" s="10" t="s">
        <v>14859</v>
      </c>
      <c r="N2509" s="12">
        <v>46090.468416655094</v>
      </c>
      <c r="O2509" s="10" t="s">
        <v>15690</v>
      </c>
      <c r="P2509" s="5" t="s">
        <v>14571</v>
      </c>
      <c r="Q2509" s="5" t="s">
        <v>14572</v>
      </c>
      <c r="R2509" s="5" t="s">
        <v>20526</v>
      </c>
      <c r="T2509" s="5" t="s">
        <v>5994</v>
      </c>
      <c r="U2509" s="5" t="s">
        <v>14618</v>
      </c>
      <c r="V2509" s="5" t="s">
        <v>67</v>
      </c>
      <c r="W2509" s="5"/>
    </row>
    <row r="2510" spans="1:23" ht="12.5">
      <c r="A2510" s="5">
        <v>93026</v>
      </c>
      <c r="B2510" s="5" t="s">
        <v>20527</v>
      </c>
      <c r="C2510" s="5">
        <v>573017245676</v>
      </c>
      <c r="D2510" s="5">
        <v>95</v>
      </c>
      <c r="E2510" s="5" t="s">
        <v>42</v>
      </c>
      <c r="F2510" s="5" t="s">
        <v>892</v>
      </c>
      <c r="G2510" s="5" t="s">
        <v>532</v>
      </c>
      <c r="H2510" s="5" t="s">
        <v>14350</v>
      </c>
      <c r="I2510" s="5">
        <v>573017245676</v>
      </c>
      <c r="J2510" s="12">
        <v>46092</v>
      </c>
      <c r="K2510" s="11">
        <v>0</v>
      </c>
      <c r="M2510" s="10" t="s">
        <v>10581</v>
      </c>
      <c r="N2510" s="12">
        <v>46090.477877314814</v>
      </c>
      <c r="O2510" s="10" t="s">
        <v>15856</v>
      </c>
      <c r="P2510" s="5" t="s">
        <v>19487</v>
      </c>
      <c r="Q2510" s="5"/>
      <c r="R2510" s="5" t="s">
        <v>20528</v>
      </c>
      <c r="T2510" s="5" t="s">
        <v>5994</v>
      </c>
      <c r="U2510" s="5" t="s">
        <v>14593</v>
      </c>
      <c r="V2510" s="5" t="s">
        <v>1481</v>
      </c>
      <c r="W2510" s="5" t="s">
        <v>14351</v>
      </c>
    </row>
    <row r="2511" spans="1:23" ht="12.5">
      <c r="A2511" s="5">
        <v>93027</v>
      </c>
      <c r="B2511" s="5" t="s">
        <v>20529</v>
      </c>
      <c r="C2511" s="5">
        <v>573016531088</v>
      </c>
      <c r="D2511" s="5">
        <v>95</v>
      </c>
      <c r="E2511" s="5" t="s">
        <v>42</v>
      </c>
      <c r="F2511" s="5" t="s">
        <v>185</v>
      </c>
      <c r="G2511" s="5" t="s">
        <v>14357</v>
      </c>
      <c r="H2511" s="5" t="s">
        <v>14358</v>
      </c>
      <c r="I2511" s="5">
        <v>573243031400</v>
      </c>
      <c r="J2511" s="12">
        <v>46093</v>
      </c>
      <c r="K2511" s="11">
        <v>0.375</v>
      </c>
      <c r="M2511" s="10" t="s">
        <v>14576</v>
      </c>
      <c r="N2511" s="12">
        <v>46090.48634768519</v>
      </c>
      <c r="O2511" s="10" t="s">
        <v>15133</v>
      </c>
      <c r="P2511" s="5" t="s">
        <v>19487</v>
      </c>
      <c r="Q2511" s="5"/>
      <c r="R2511" s="5" t="s">
        <v>20530</v>
      </c>
      <c r="T2511" s="5" t="s">
        <v>5994</v>
      </c>
      <c r="U2511" s="5" t="s">
        <v>14580</v>
      </c>
      <c r="V2511" s="5" t="s">
        <v>1481</v>
      </c>
      <c r="W2511" s="5" t="s">
        <v>14361</v>
      </c>
    </row>
    <row r="2512" spans="1:23" ht="12.5">
      <c r="A2512" s="5">
        <v>93028</v>
      </c>
      <c r="B2512" s="5" t="s">
        <v>14363</v>
      </c>
      <c r="C2512" s="5">
        <v>573057837333</v>
      </c>
      <c r="D2512" s="5">
        <v>31</v>
      </c>
      <c r="E2512" s="5" t="s">
        <v>375</v>
      </c>
      <c r="F2512" s="5" t="s">
        <v>12657</v>
      </c>
      <c r="G2512" s="5" t="s">
        <v>14363</v>
      </c>
      <c r="H2512" s="5" t="s">
        <v>12657</v>
      </c>
      <c r="I2512" s="5">
        <v>573057837333</v>
      </c>
      <c r="J2512" s="12">
        <v>46090</v>
      </c>
      <c r="K2512" s="11">
        <v>8.3333333332120674E-2</v>
      </c>
      <c r="M2512" s="10" t="s">
        <v>14585</v>
      </c>
      <c r="N2512" s="12">
        <v>46090.509806307869</v>
      </c>
      <c r="O2512" s="10" t="s">
        <v>16722</v>
      </c>
      <c r="P2512" s="5" t="s">
        <v>14571</v>
      </c>
      <c r="Q2512" s="5" t="s">
        <v>14612</v>
      </c>
      <c r="R2512" s="5" t="s">
        <v>20531</v>
      </c>
      <c r="T2512" s="5" t="s">
        <v>5994</v>
      </c>
      <c r="U2512" s="5"/>
      <c r="V2512" s="5" t="s">
        <v>1937</v>
      </c>
      <c r="W2512" s="5"/>
    </row>
    <row r="2513" spans="1:23" ht="12.5">
      <c r="A2513" s="5">
        <v>93029</v>
      </c>
      <c r="B2513" s="5" t="s">
        <v>20532</v>
      </c>
      <c r="C2513" s="5">
        <v>573005259249</v>
      </c>
      <c r="D2513" s="5">
        <v>68</v>
      </c>
      <c r="E2513" s="5" t="s">
        <v>361</v>
      </c>
      <c r="F2513" s="5" t="s">
        <v>4403</v>
      </c>
      <c r="G2513" s="5" t="s">
        <v>14371</v>
      </c>
      <c r="H2513" s="5" t="s">
        <v>14372</v>
      </c>
      <c r="I2513" s="5">
        <v>573005259249</v>
      </c>
      <c r="J2513" s="12">
        <v>46090</v>
      </c>
      <c r="K2513" s="11">
        <v>0.60416666666787933</v>
      </c>
      <c r="M2513" s="10" t="s">
        <v>14569</v>
      </c>
      <c r="N2513" s="12">
        <v>46090.550262951394</v>
      </c>
      <c r="O2513" s="10" t="s">
        <v>18568</v>
      </c>
      <c r="P2513" s="5" t="s">
        <v>14571</v>
      </c>
      <c r="Q2513" s="5" t="s">
        <v>14578</v>
      </c>
      <c r="R2513" s="5" t="s">
        <v>20533</v>
      </c>
      <c r="T2513" s="5" t="s">
        <v>5994</v>
      </c>
      <c r="U2513" s="5" t="s">
        <v>14598</v>
      </c>
      <c r="V2513" s="5" t="s">
        <v>204</v>
      </c>
      <c r="W2513" s="5"/>
    </row>
    <row r="2514" spans="1:23" ht="12.5">
      <c r="A2514" s="5">
        <v>93030</v>
      </c>
      <c r="B2514" s="5" t="s">
        <v>20034</v>
      </c>
      <c r="C2514" s="5">
        <v>573003858601</v>
      </c>
      <c r="D2514" s="5">
        <v>95</v>
      </c>
      <c r="E2514" s="5" t="s">
        <v>42</v>
      </c>
      <c r="F2514" s="5" t="s">
        <v>33</v>
      </c>
      <c r="G2514" s="5" t="s">
        <v>14374</v>
      </c>
      <c r="H2514" s="5" t="s">
        <v>14375</v>
      </c>
      <c r="I2514" s="5">
        <v>573003858601</v>
      </c>
      <c r="J2514" s="12">
        <v>46090</v>
      </c>
      <c r="K2514" s="11">
        <v>0</v>
      </c>
      <c r="M2514" s="10" t="s">
        <v>15594</v>
      </c>
      <c r="N2514" s="12">
        <v>46090.559696180557</v>
      </c>
      <c r="O2514" s="10" t="s">
        <v>15866</v>
      </c>
      <c r="P2514" s="5" t="s">
        <v>14571</v>
      </c>
      <c r="Q2514" s="5" t="s">
        <v>14612</v>
      </c>
      <c r="R2514" s="5" t="s">
        <v>20534</v>
      </c>
      <c r="T2514" s="5" t="s">
        <v>14574</v>
      </c>
      <c r="U2514" s="5" t="s">
        <v>33</v>
      </c>
      <c r="V2514" s="5" t="s">
        <v>67</v>
      </c>
      <c r="W2514" s="5"/>
    </row>
    <row r="2515" spans="1:23" ht="12.5">
      <c r="A2515" s="5">
        <v>93031</v>
      </c>
      <c r="B2515" s="5" t="s">
        <v>20535</v>
      </c>
      <c r="C2515" s="5">
        <v>573017963833</v>
      </c>
      <c r="D2515" s="5">
        <v>25</v>
      </c>
      <c r="E2515" s="5" t="s">
        <v>1792</v>
      </c>
      <c r="F2515" s="5" t="s">
        <v>1124</v>
      </c>
      <c r="G2515" s="5" t="s">
        <v>14377</v>
      </c>
      <c r="H2515" s="5" t="s">
        <v>14378</v>
      </c>
      <c r="I2515" s="5">
        <v>573116178466</v>
      </c>
      <c r="J2515" s="12">
        <v>46090</v>
      </c>
      <c r="K2515" s="11">
        <v>0.625</v>
      </c>
      <c r="M2515" s="10" t="s">
        <v>14740</v>
      </c>
      <c r="N2515" s="12">
        <v>46090.568818969907</v>
      </c>
      <c r="O2515" s="10" t="s">
        <v>14961</v>
      </c>
      <c r="P2515" s="5" t="s">
        <v>14571</v>
      </c>
      <c r="Q2515" s="5" t="s">
        <v>14572</v>
      </c>
      <c r="R2515" s="5" t="s">
        <v>20536</v>
      </c>
      <c r="T2515" s="5" t="s">
        <v>5994</v>
      </c>
      <c r="U2515" s="5" t="s">
        <v>14691</v>
      </c>
      <c r="V2515" s="5" t="s">
        <v>12646</v>
      </c>
      <c r="W2515" s="5" t="s">
        <v>14381</v>
      </c>
    </row>
    <row r="2516" spans="1:23" ht="12.5">
      <c r="A2516" s="5">
        <v>93032</v>
      </c>
      <c r="B2516" s="5" t="s">
        <v>20537</v>
      </c>
      <c r="C2516" s="10" t="s">
        <v>20538</v>
      </c>
      <c r="D2516" s="5">
        <v>95</v>
      </c>
      <c r="E2516" s="5" t="s">
        <v>42</v>
      </c>
      <c r="F2516" s="5" t="s">
        <v>33</v>
      </c>
      <c r="G2516" s="5" t="s">
        <v>31</v>
      </c>
      <c r="H2516" s="5" t="s">
        <v>14383</v>
      </c>
      <c r="I2516" s="5">
        <v>573016619356</v>
      </c>
      <c r="J2516" s="12">
        <v>46090</v>
      </c>
      <c r="K2516" s="11">
        <v>0</v>
      </c>
      <c r="M2516" s="10" t="s">
        <v>14585</v>
      </c>
      <c r="N2516" s="12">
        <v>46090</v>
      </c>
      <c r="O2516" s="10" t="s">
        <v>16074</v>
      </c>
      <c r="P2516" s="5" t="s">
        <v>14571</v>
      </c>
      <c r="Q2516" s="5" t="s">
        <v>14578</v>
      </c>
      <c r="R2516" s="5" t="s">
        <v>20539</v>
      </c>
      <c r="T2516" s="5" t="s">
        <v>14574</v>
      </c>
      <c r="U2516" s="5" t="s">
        <v>33</v>
      </c>
      <c r="V2516" s="5" t="s">
        <v>37</v>
      </c>
      <c r="W2516" s="5" t="s">
        <v>14384</v>
      </c>
    </row>
    <row r="2517" spans="1:23" ht="12.5">
      <c r="A2517" s="5">
        <v>93033</v>
      </c>
      <c r="B2517" s="5" t="s">
        <v>20540</v>
      </c>
      <c r="C2517" s="5">
        <v>573161910255</v>
      </c>
      <c r="D2517" s="5">
        <v>58</v>
      </c>
      <c r="E2517" s="5" t="s">
        <v>57</v>
      </c>
      <c r="F2517" s="5" t="s">
        <v>33</v>
      </c>
      <c r="G2517" s="5" t="s">
        <v>3330</v>
      </c>
      <c r="H2517" s="5" t="s">
        <v>14375</v>
      </c>
      <c r="I2517" s="5">
        <v>573161910255</v>
      </c>
      <c r="J2517" s="12">
        <v>46090</v>
      </c>
      <c r="K2517" s="11">
        <v>0</v>
      </c>
      <c r="M2517" s="10" t="s">
        <v>15594</v>
      </c>
      <c r="N2517" s="12">
        <v>46090.583638888886</v>
      </c>
      <c r="O2517" s="10" t="s">
        <v>15257</v>
      </c>
      <c r="P2517" s="5" t="s">
        <v>14571</v>
      </c>
      <c r="Q2517" s="5" t="s">
        <v>14572</v>
      </c>
      <c r="R2517" s="5" t="s">
        <v>20541</v>
      </c>
      <c r="T2517" s="5" t="s">
        <v>14574</v>
      </c>
      <c r="U2517" s="5" t="s">
        <v>33</v>
      </c>
      <c r="V2517" s="5" t="s">
        <v>37</v>
      </c>
      <c r="W2517" s="5" t="s">
        <v>14387</v>
      </c>
    </row>
    <row r="2518" spans="1:23" ht="12.5">
      <c r="A2518" s="5">
        <v>93034</v>
      </c>
      <c r="B2518" s="5" t="s">
        <v>14389</v>
      </c>
      <c r="C2518" s="5">
        <v>573216579591</v>
      </c>
      <c r="D2518" s="5">
        <v>52</v>
      </c>
      <c r="E2518" s="5" t="s">
        <v>178</v>
      </c>
      <c r="F2518" s="5" t="s">
        <v>33</v>
      </c>
      <c r="G2518" s="5" t="s">
        <v>14389</v>
      </c>
      <c r="H2518" s="5" t="s">
        <v>14375</v>
      </c>
      <c r="I2518" s="5">
        <v>573216579591</v>
      </c>
      <c r="J2518" s="12">
        <v>46090</v>
      </c>
      <c r="K2518" s="11">
        <v>0.58333333333212067</v>
      </c>
      <c r="M2518" s="10" t="s">
        <v>15594</v>
      </c>
      <c r="N2518" s="12">
        <v>46090.592284861108</v>
      </c>
      <c r="O2518" s="10" t="s">
        <v>14723</v>
      </c>
      <c r="P2518" s="5" t="s">
        <v>14571</v>
      </c>
      <c r="Q2518" s="5" t="s">
        <v>14572</v>
      </c>
      <c r="R2518" s="5" t="s">
        <v>20542</v>
      </c>
      <c r="T2518" s="5" t="s">
        <v>14574</v>
      </c>
      <c r="U2518" s="5" t="s">
        <v>33</v>
      </c>
      <c r="V2518" s="5" t="s">
        <v>1705</v>
      </c>
      <c r="W2518" s="5"/>
    </row>
    <row r="2519" spans="1:23" ht="12.5">
      <c r="A2519" s="5">
        <v>93035</v>
      </c>
      <c r="B2519" s="5" t="s">
        <v>20543</v>
      </c>
      <c r="C2519" s="5">
        <v>3053742565</v>
      </c>
      <c r="D2519" s="5">
        <v>53</v>
      </c>
      <c r="E2519" s="5" t="s">
        <v>75</v>
      </c>
      <c r="F2519" s="5" t="s">
        <v>1595</v>
      </c>
      <c r="G2519" s="5" t="s">
        <v>14367</v>
      </c>
      <c r="H2519" s="5" t="s">
        <v>14368</v>
      </c>
      <c r="I2519" s="5">
        <v>573052703708</v>
      </c>
      <c r="J2519" s="12">
        <v>46090</v>
      </c>
      <c r="K2519" s="11">
        <v>0.66666666666787933</v>
      </c>
      <c r="M2519" s="10" t="s">
        <v>14705</v>
      </c>
      <c r="N2519" s="12">
        <v>46090.535937881941</v>
      </c>
      <c r="O2519" s="10" t="s">
        <v>16148</v>
      </c>
      <c r="P2519" s="5" t="s">
        <v>14571</v>
      </c>
      <c r="Q2519" s="5" t="s">
        <v>14572</v>
      </c>
      <c r="R2519" s="5" t="s">
        <v>20544</v>
      </c>
      <c r="T2519" s="5" t="s">
        <v>5994</v>
      </c>
      <c r="U2519" s="5" t="s">
        <v>14580</v>
      </c>
      <c r="V2519" s="5" t="s">
        <v>12646</v>
      </c>
      <c r="W2519" s="5"/>
    </row>
    <row r="2520" spans="1:23" ht="12.5">
      <c r="A2520" s="5">
        <v>93036</v>
      </c>
      <c r="B2520" s="5" t="s">
        <v>20545</v>
      </c>
      <c r="C2520" s="5">
        <v>57300318287828</v>
      </c>
      <c r="D2520" s="5">
        <v>58</v>
      </c>
      <c r="E2520" s="5" t="s">
        <v>57</v>
      </c>
      <c r="F2520" s="5" t="s">
        <v>154</v>
      </c>
      <c r="G2520" s="5" t="s">
        <v>14390</v>
      </c>
      <c r="H2520" s="5" t="s">
        <v>14391</v>
      </c>
      <c r="I2520" s="5">
        <v>573116019862</v>
      </c>
      <c r="J2520" s="12">
        <v>46090</v>
      </c>
      <c r="K2520" s="11">
        <v>0.54166666666787933</v>
      </c>
      <c r="M2520" s="10" t="s">
        <v>14850</v>
      </c>
      <c r="N2520" s="12">
        <v>46090.62060898148</v>
      </c>
      <c r="O2520" s="10" t="s">
        <v>15243</v>
      </c>
      <c r="P2520" s="5" t="s">
        <v>14571</v>
      </c>
      <c r="Q2520" s="5" t="s">
        <v>14572</v>
      </c>
      <c r="R2520" s="5" t="s">
        <v>20546</v>
      </c>
      <c r="T2520" s="5" t="s">
        <v>5994</v>
      </c>
      <c r="U2520" s="5" t="s">
        <v>14593</v>
      </c>
      <c r="V2520" s="5" t="s">
        <v>43</v>
      </c>
      <c r="W2520" s="5"/>
    </row>
    <row r="2521" spans="1:23" ht="12.5">
      <c r="A2521" s="5">
        <v>93037</v>
      </c>
      <c r="B2521" s="5" t="s">
        <v>14403</v>
      </c>
      <c r="C2521" s="5">
        <v>573207326329</v>
      </c>
      <c r="D2521" s="5">
        <v>53</v>
      </c>
      <c r="E2521" s="5" t="s">
        <v>75</v>
      </c>
      <c r="F2521" s="5" t="s">
        <v>33</v>
      </c>
      <c r="G2521" s="5" t="s">
        <v>14403</v>
      </c>
      <c r="H2521" s="5" t="s">
        <v>14375</v>
      </c>
      <c r="I2521" s="5">
        <v>573207326329</v>
      </c>
      <c r="J2521" s="12">
        <v>46090</v>
      </c>
      <c r="K2521" s="11">
        <v>0.64583333333212067</v>
      </c>
      <c r="M2521" s="10" t="s">
        <v>14585</v>
      </c>
      <c r="N2521" s="12">
        <v>46090.637965995367</v>
      </c>
      <c r="O2521" s="10" t="s">
        <v>17924</v>
      </c>
      <c r="P2521" s="5" t="s">
        <v>14571</v>
      </c>
      <c r="Q2521" s="5" t="s">
        <v>14572</v>
      </c>
      <c r="R2521" s="5" t="s">
        <v>20547</v>
      </c>
      <c r="T2521" s="5" t="s">
        <v>14574</v>
      </c>
      <c r="U2521" s="5" t="s">
        <v>33</v>
      </c>
      <c r="V2521" s="5" t="s">
        <v>37</v>
      </c>
      <c r="W2521" s="5" t="s">
        <v>14404</v>
      </c>
    </row>
    <row r="2522" spans="1:23" ht="12.5">
      <c r="A2522" s="5">
        <v>93038</v>
      </c>
      <c r="B2522" s="5" t="s">
        <v>20548</v>
      </c>
      <c r="C2522" s="5">
        <v>573014716102</v>
      </c>
      <c r="D2522" s="5">
        <v>41</v>
      </c>
      <c r="E2522" s="5" t="s">
        <v>89</v>
      </c>
      <c r="F2522" s="5" t="s">
        <v>146</v>
      </c>
      <c r="G2522" s="5" t="s">
        <v>14398</v>
      </c>
      <c r="H2522" s="5" t="s">
        <v>14399</v>
      </c>
      <c r="I2522" s="5">
        <v>573014749102</v>
      </c>
      <c r="J2522" s="12">
        <v>46090</v>
      </c>
      <c r="K2522" s="11">
        <v>0.6875</v>
      </c>
      <c r="M2522" s="10" t="s">
        <v>16003</v>
      </c>
      <c r="N2522" s="12">
        <v>46090.637423715278</v>
      </c>
      <c r="O2522" s="10" t="s">
        <v>15059</v>
      </c>
      <c r="P2522" s="5" t="s">
        <v>14571</v>
      </c>
      <c r="Q2522" s="5" t="s">
        <v>14578</v>
      </c>
      <c r="R2522" s="5" t="s">
        <v>20549</v>
      </c>
      <c r="T2522" s="5" t="s">
        <v>5994</v>
      </c>
      <c r="U2522" s="5" t="s">
        <v>14618</v>
      </c>
      <c r="V2522" s="5" t="s">
        <v>12646</v>
      </c>
      <c r="W2522" s="5" t="s">
        <v>14401</v>
      </c>
    </row>
    <row r="2523" spans="1:23" ht="12.5">
      <c r="A2523" s="5">
        <v>93039</v>
      </c>
      <c r="B2523" s="5" t="s">
        <v>20550</v>
      </c>
      <c r="C2523" s="10" t="s">
        <v>20551</v>
      </c>
      <c r="D2523" s="5">
        <v>95</v>
      </c>
      <c r="E2523" s="5" t="s">
        <v>42</v>
      </c>
      <c r="F2523" s="5" t="s">
        <v>33</v>
      </c>
      <c r="G2523" s="5" t="s">
        <v>14409</v>
      </c>
      <c r="H2523" s="5" t="s">
        <v>14375</v>
      </c>
      <c r="I2523" s="5">
        <v>573044685715</v>
      </c>
      <c r="J2523" s="12">
        <v>46090</v>
      </c>
      <c r="K2523" s="11">
        <v>0.625</v>
      </c>
      <c r="M2523" s="10" t="s">
        <v>15032</v>
      </c>
      <c r="N2523" s="12">
        <v>46090</v>
      </c>
      <c r="O2523" s="10" t="s">
        <v>18124</v>
      </c>
      <c r="P2523" s="5" t="s">
        <v>14571</v>
      </c>
      <c r="Q2523" s="5" t="s">
        <v>14612</v>
      </c>
      <c r="R2523" s="5" t="s">
        <v>20552</v>
      </c>
      <c r="T2523" s="5" t="s">
        <v>14574</v>
      </c>
      <c r="U2523" s="5" t="s">
        <v>33</v>
      </c>
      <c r="V2523" s="5" t="s">
        <v>1705</v>
      </c>
      <c r="W2523" s="5" t="s">
        <v>2275</v>
      </c>
    </row>
    <row r="2524" spans="1:23" ht="12.5">
      <c r="A2524" s="5">
        <v>93040</v>
      </c>
      <c r="B2524" s="5" t="s">
        <v>14395</v>
      </c>
      <c r="C2524" s="5">
        <v>573007608715</v>
      </c>
      <c r="D2524" s="5">
        <v>58</v>
      </c>
      <c r="E2524" s="5" t="s">
        <v>57</v>
      </c>
      <c r="F2524" s="5" t="s">
        <v>12657</v>
      </c>
      <c r="G2524" s="5" t="s">
        <v>14395</v>
      </c>
      <c r="H2524" s="5" t="s">
        <v>12657</v>
      </c>
      <c r="I2524" s="5">
        <v>573007608715</v>
      </c>
      <c r="J2524" s="12">
        <v>46090</v>
      </c>
      <c r="K2524" s="11">
        <v>0</v>
      </c>
      <c r="M2524" s="10" t="s">
        <v>15594</v>
      </c>
      <c r="N2524" s="12">
        <v>46090.63529460648</v>
      </c>
      <c r="O2524" s="10" t="s">
        <v>16477</v>
      </c>
      <c r="P2524" s="5" t="s">
        <v>14571</v>
      </c>
      <c r="Q2524" s="5" t="s">
        <v>14572</v>
      </c>
      <c r="R2524" s="5" t="s">
        <v>20553</v>
      </c>
      <c r="T2524" s="5" t="s">
        <v>5994</v>
      </c>
      <c r="U2524" s="5"/>
      <c r="V2524" s="5" t="s">
        <v>67</v>
      </c>
      <c r="W2524" s="5"/>
    </row>
    <row r="2525" spans="1:23" ht="12.5">
      <c r="A2525" s="5">
        <v>93041</v>
      </c>
      <c r="B2525" s="5" t="s">
        <v>20554</v>
      </c>
      <c r="C2525" s="10" t="s">
        <v>20555</v>
      </c>
      <c r="D2525" s="5">
        <v>95</v>
      </c>
      <c r="E2525" s="5" t="s">
        <v>42</v>
      </c>
      <c r="F2525" s="5" t="s">
        <v>33</v>
      </c>
      <c r="G2525" s="5" t="s">
        <v>14412</v>
      </c>
      <c r="H2525" s="5" t="s">
        <v>14375</v>
      </c>
      <c r="I2525" s="5">
        <v>573003454454</v>
      </c>
      <c r="J2525" s="12">
        <v>46090</v>
      </c>
      <c r="K2525" s="11">
        <v>0</v>
      </c>
      <c r="M2525" s="10" t="s">
        <v>15663</v>
      </c>
      <c r="N2525" s="12">
        <v>46090</v>
      </c>
      <c r="O2525" s="10" t="s">
        <v>15882</v>
      </c>
      <c r="P2525" s="5" t="s">
        <v>14571</v>
      </c>
      <c r="Q2525" s="5" t="s">
        <v>14578</v>
      </c>
      <c r="R2525" s="5" t="s">
        <v>20556</v>
      </c>
      <c r="T2525" s="5" t="s">
        <v>14574</v>
      </c>
      <c r="U2525" s="5" t="s">
        <v>33</v>
      </c>
      <c r="V2525" s="5" t="s">
        <v>196</v>
      </c>
      <c r="W2525" s="5" t="s">
        <v>1286</v>
      </c>
    </row>
    <row r="2526" spans="1:23" ht="12.5">
      <c r="A2526" s="5">
        <v>93042</v>
      </c>
      <c r="B2526" s="5" t="s">
        <v>20557</v>
      </c>
      <c r="C2526" s="10" t="s">
        <v>20558</v>
      </c>
      <c r="D2526" s="5" t="s">
        <v>14589</v>
      </c>
      <c r="E2526" s="5" t="s">
        <v>14411</v>
      </c>
      <c r="F2526" s="5" t="s">
        <v>33</v>
      </c>
      <c r="G2526" s="5" t="s">
        <v>33</v>
      </c>
      <c r="H2526" s="5" t="s">
        <v>33</v>
      </c>
      <c r="I2526" s="5">
        <v>3000000000</v>
      </c>
      <c r="J2526" s="12">
        <v>46090</v>
      </c>
      <c r="K2526" s="11">
        <v>0</v>
      </c>
      <c r="M2526" s="10" t="s">
        <v>14702</v>
      </c>
      <c r="N2526" s="12">
        <v>46090</v>
      </c>
      <c r="O2526" s="10" t="s">
        <v>15445</v>
      </c>
      <c r="P2526" s="5" t="s">
        <v>14571</v>
      </c>
      <c r="Q2526" s="5" t="s">
        <v>14572</v>
      </c>
      <c r="R2526" s="5" t="s">
        <v>20559</v>
      </c>
      <c r="T2526" s="5" t="s">
        <v>14574</v>
      </c>
      <c r="U2526" s="5" t="s">
        <v>33</v>
      </c>
      <c r="V2526" s="5" t="s">
        <v>196</v>
      </c>
      <c r="W2526" s="5"/>
    </row>
    <row r="2527" spans="1:23" ht="12.5">
      <c r="A2527" s="5">
        <v>93043</v>
      </c>
      <c r="B2527" s="5" t="s">
        <v>20560</v>
      </c>
      <c r="C2527" s="5">
        <v>57301413587883</v>
      </c>
      <c r="D2527" s="5">
        <v>53</v>
      </c>
      <c r="E2527" s="5" t="s">
        <v>75</v>
      </c>
      <c r="F2527" s="5" t="s">
        <v>7476</v>
      </c>
      <c r="G2527" s="5" t="s">
        <v>14406</v>
      </c>
      <c r="H2527" s="5" t="s">
        <v>14407</v>
      </c>
      <c r="I2527" s="5">
        <v>573006836054</v>
      </c>
      <c r="J2527" s="12">
        <v>46090</v>
      </c>
      <c r="K2527" s="11">
        <v>0.6875</v>
      </c>
      <c r="M2527" s="10" t="s">
        <v>15525</v>
      </c>
      <c r="N2527" s="12">
        <v>46090.642007326387</v>
      </c>
      <c r="O2527" s="10" t="s">
        <v>15803</v>
      </c>
      <c r="P2527" s="5" t="s">
        <v>14571</v>
      </c>
      <c r="Q2527" s="5" t="s">
        <v>14572</v>
      </c>
      <c r="R2527" s="5" t="s">
        <v>20561</v>
      </c>
      <c r="T2527" s="5" t="s">
        <v>5994</v>
      </c>
      <c r="U2527" s="5" t="s">
        <v>15349</v>
      </c>
      <c r="V2527" s="5" t="s">
        <v>12646</v>
      </c>
      <c r="W2527" s="5"/>
    </row>
    <row r="2528" spans="1:23" ht="12.5">
      <c r="A2528" s="5">
        <v>93044</v>
      </c>
      <c r="B2528" s="5" t="s">
        <v>20562</v>
      </c>
      <c r="C2528" s="5">
        <v>573014184815</v>
      </c>
      <c r="D2528" s="5">
        <v>73</v>
      </c>
      <c r="E2528" s="5" t="s">
        <v>918</v>
      </c>
      <c r="F2528" s="5" t="s">
        <v>63</v>
      </c>
      <c r="G2528" s="5" t="s">
        <v>14414</v>
      </c>
      <c r="H2528" s="5" t="s">
        <v>14415</v>
      </c>
      <c r="I2528" s="5">
        <v>573205337978</v>
      </c>
      <c r="J2528" s="12">
        <v>46091</v>
      </c>
      <c r="K2528" s="11">
        <v>0.70833333333212067</v>
      </c>
      <c r="M2528" s="10" t="s">
        <v>17945</v>
      </c>
      <c r="N2528" s="12">
        <v>46090.659489999998</v>
      </c>
      <c r="O2528" s="10" t="s">
        <v>15372</v>
      </c>
      <c r="P2528" s="5" t="s">
        <v>14571</v>
      </c>
      <c r="Q2528" s="5" t="s">
        <v>14699</v>
      </c>
      <c r="R2528" s="5" t="s">
        <v>20563</v>
      </c>
      <c r="T2528" s="5" t="s">
        <v>5994</v>
      </c>
      <c r="U2528" s="5" t="s">
        <v>14598</v>
      </c>
      <c r="V2528" s="5" t="s">
        <v>12646</v>
      </c>
      <c r="W2528" s="5"/>
    </row>
    <row r="2529" spans="1:23" ht="12.5">
      <c r="A2529" s="5">
        <v>93045</v>
      </c>
      <c r="B2529" s="5" t="s">
        <v>20564</v>
      </c>
      <c r="C2529" s="10" t="s">
        <v>20565</v>
      </c>
      <c r="D2529" s="5" t="s">
        <v>20566</v>
      </c>
      <c r="E2529" s="5" t="s">
        <v>14426</v>
      </c>
      <c r="F2529" s="5" t="s">
        <v>103</v>
      </c>
      <c r="G2529" s="5" t="s">
        <v>14424</v>
      </c>
      <c r="H2529" s="5" t="s">
        <v>14425</v>
      </c>
      <c r="I2529" s="5">
        <v>573505316838</v>
      </c>
      <c r="J2529" s="12">
        <v>46090</v>
      </c>
      <c r="K2529" s="11">
        <v>0.70833333333333337</v>
      </c>
      <c r="M2529" s="10" t="s">
        <v>15628</v>
      </c>
      <c r="N2529" s="12">
        <v>46090</v>
      </c>
      <c r="O2529" s="10" t="s">
        <v>16083</v>
      </c>
      <c r="P2529" s="5" t="s">
        <v>14571</v>
      </c>
      <c r="Q2529" s="5" t="s">
        <v>14572</v>
      </c>
      <c r="R2529" s="5" t="s">
        <v>20567</v>
      </c>
      <c r="T2529" s="5" t="s">
        <v>5994</v>
      </c>
      <c r="U2529" s="5" t="s">
        <v>14593</v>
      </c>
      <c r="V2529" s="5" t="s">
        <v>12646</v>
      </c>
      <c r="W2529" s="5"/>
    </row>
    <row r="2530" spans="1:23" ht="12.5">
      <c r="A2530" s="5">
        <v>93046</v>
      </c>
      <c r="B2530" s="5" t="s">
        <v>20568</v>
      </c>
      <c r="C2530" s="5">
        <v>573106857965</v>
      </c>
      <c r="D2530" s="5">
        <v>29</v>
      </c>
      <c r="E2530" s="5" t="s">
        <v>309</v>
      </c>
      <c r="F2530" s="5" t="s">
        <v>161</v>
      </c>
      <c r="G2530" s="5" t="s">
        <v>14429</v>
      </c>
      <c r="H2530" s="5" t="s">
        <v>14430</v>
      </c>
      <c r="I2530" s="5">
        <v>573105431366</v>
      </c>
      <c r="J2530" s="12">
        <v>46090</v>
      </c>
      <c r="K2530" s="11">
        <v>0.16666666666787933</v>
      </c>
      <c r="M2530" s="10" t="s">
        <v>20569</v>
      </c>
      <c r="N2530" s="12">
        <v>46090.692504027778</v>
      </c>
      <c r="O2530" s="10" t="s">
        <v>14809</v>
      </c>
      <c r="P2530" s="5" t="s">
        <v>14571</v>
      </c>
      <c r="Q2530" s="5" t="s">
        <v>14612</v>
      </c>
      <c r="R2530" s="5" t="s">
        <v>20570</v>
      </c>
      <c r="T2530" s="5" t="s">
        <v>5994</v>
      </c>
      <c r="U2530" s="5" t="s">
        <v>14593</v>
      </c>
      <c r="V2530" s="5" t="s">
        <v>67</v>
      </c>
      <c r="W2530" s="5" t="s">
        <v>14432</v>
      </c>
    </row>
    <row r="2531" spans="1:23" ht="12.5">
      <c r="A2531" s="5">
        <v>93047</v>
      </c>
      <c r="B2531" s="5" t="s">
        <v>20571</v>
      </c>
      <c r="C2531" s="5">
        <v>573044819783</v>
      </c>
      <c r="D2531" s="5">
        <v>53</v>
      </c>
      <c r="E2531" s="5" t="s">
        <v>75</v>
      </c>
      <c r="F2531" s="5" t="s">
        <v>33</v>
      </c>
      <c r="G2531" s="5" t="s">
        <v>14433</v>
      </c>
      <c r="H2531" s="5" t="s">
        <v>14375</v>
      </c>
      <c r="I2531" s="5">
        <v>573044819783</v>
      </c>
      <c r="J2531" s="12">
        <v>46090</v>
      </c>
      <c r="K2531" s="11">
        <v>0.70833333333212067</v>
      </c>
      <c r="M2531" s="10" t="s">
        <v>14585</v>
      </c>
      <c r="N2531" s="12">
        <v>46090.70002142361</v>
      </c>
      <c r="O2531" s="10" t="s">
        <v>14914</v>
      </c>
      <c r="P2531" s="5" t="s">
        <v>14571</v>
      </c>
      <c r="Q2531" s="5" t="s">
        <v>14572</v>
      </c>
      <c r="R2531" s="5"/>
      <c r="T2531" s="5" t="s">
        <v>14574</v>
      </c>
      <c r="U2531" s="5" t="s">
        <v>33</v>
      </c>
      <c r="V2531" s="5" t="s">
        <v>12646</v>
      </c>
      <c r="W2531" s="5"/>
    </row>
    <row r="2532" spans="1:23" ht="12.5">
      <c r="A2532" s="5">
        <v>93048</v>
      </c>
      <c r="B2532" s="5" t="s">
        <v>14435</v>
      </c>
      <c r="C2532" s="5">
        <v>573004234025</v>
      </c>
      <c r="D2532" s="5">
        <v>95</v>
      </c>
      <c r="E2532" s="5" t="s">
        <v>42</v>
      </c>
      <c r="F2532" s="5" t="s">
        <v>2880</v>
      </c>
      <c r="G2532" s="5" t="s">
        <v>14435</v>
      </c>
      <c r="H2532" s="5" t="s">
        <v>14436</v>
      </c>
      <c r="I2532" s="5">
        <v>573004234025</v>
      </c>
      <c r="J2532" s="12">
        <v>46091</v>
      </c>
      <c r="K2532" s="11">
        <v>0.33333333333212067</v>
      </c>
      <c r="M2532" s="10" t="s">
        <v>15301</v>
      </c>
      <c r="N2532" s="12">
        <v>46090.71223636574</v>
      </c>
      <c r="O2532" s="10" t="s">
        <v>17270</v>
      </c>
      <c r="P2532" s="5" t="s">
        <v>14571</v>
      </c>
      <c r="Q2532" s="5"/>
      <c r="R2532" s="5" t="s">
        <v>20572</v>
      </c>
      <c r="T2532" s="5" t="s">
        <v>5994</v>
      </c>
      <c r="U2532" s="5" t="s">
        <v>14691</v>
      </c>
      <c r="V2532" s="5" t="s">
        <v>180</v>
      </c>
      <c r="W2532" s="5" t="s">
        <v>14437</v>
      </c>
    </row>
    <row r="2533" spans="1:23" ht="12.5">
      <c r="A2533" s="5">
        <v>93049</v>
      </c>
      <c r="B2533" s="5" t="s">
        <v>20573</v>
      </c>
      <c r="C2533" s="10" t="s">
        <v>20574</v>
      </c>
      <c r="D2533" s="5">
        <v>31</v>
      </c>
      <c r="E2533" s="5" t="s">
        <v>375</v>
      </c>
      <c r="F2533" s="5" t="s">
        <v>249</v>
      </c>
      <c r="G2533" s="5" t="s">
        <v>20575</v>
      </c>
      <c r="H2533" s="5" t="s">
        <v>14420</v>
      </c>
      <c r="I2533" s="5">
        <v>573209830972</v>
      </c>
      <c r="J2533" s="12">
        <v>46090</v>
      </c>
      <c r="K2533" s="11">
        <v>0.72916666666666663</v>
      </c>
      <c r="M2533" s="10" t="s">
        <v>14627</v>
      </c>
      <c r="N2533" s="12">
        <v>46090</v>
      </c>
      <c r="O2533" s="10" t="s">
        <v>16421</v>
      </c>
      <c r="P2533" s="5" t="s">
        <v>14571</v>
      </c>
      <c r="Q2533" s="5" t="s">
        <v>14572</v>
      </c>
      <c r="R2533" s="5" t="s">
        <v>20576</v>
      </c>
      <c r="T2533" s="5" t="s">
        <v>5994</v>
      </c>
      <c r="U2533" s="5" t="s">
        <v>14593</v>
      </c>
      <c r="V2533" s="5" t="s">
        <v>12646</v>
      </c>
      <c r="W2533" s="5"/>
    </row>
    <row r="2534" spans="1:23" ht="12.5">
      <c r="A2534" s="5">
        <v>93050</v>
      </c>
      <c r="B2534" s="5" t="s">
        <v>14403</v>
      </c>
      <c r="C2534" s="10" t="s">
        <v>20577</v>
      </c>
      <c r="D2534" s="5">
        <v>53</v>
      </c>
      <c r="E2534" s="5" t="s">
        <v>75</v>
      </c>
      <c r="F2534" s="5" t="s">
        <v>33</v>
      </c>
      <c r="G2534" s="5" t="s">
        <v>14402</v>
      </c>
      <c r="H2534" s="5" t="s">
        <v>14375</v>
      </c>
      <c r="I2534" s="5">
        <v>573207326329</v>
      </c>
      <c r="J2534" s="12">
        <v>46090</v>
      </c>
      <c r="K2534" s="11">
        <v>0</v>
      </c>
      <c r="M2534" s="10" t="s">
        <v>14585</v>
      </c>
      <c r="N2534" s="12">
        <v>46090</v>
      </c>
      <c r="O2534" s="10" t="s">
        <v>15026</v>
      </c>
      <c r="P2534" s="5" t="s">
        <v>14571</v>
      </c>
      <c r="Q2534" s="5" t="s">
        <v>14572</v>
      </c>
      <c r="R2534" s="5" t="s">
        <v>20578</v>
      </c>
      <c r="T2534" s="5" t="s">
        <v>14574</v>
      </c>
      <c r="U2534" s="5" t="s">
        <v>33</v>
      </c>
      <c r="V2534" s="5" t="s">
        <v>1705</v>
      </c>
      <c r="W2534" s="5"/>
    </row>
    <row r="2535" spans="1:23" ht="12.5">
      <c r="A2535" s="5">
        <v>93051</v>
      </c>
      <c r="B2535" s="5" t="s">
        <v>20579</v>
      </c>
      <c r="C2535" s="5">
        <v>573104397397</v>
      </c>
      <c r="D2535" s="5">
        <v>95</v>
      </c>
      <c r="E2535" s="5" t="s">
        <v>42</v>
      </c>
      <c r="F2535" s="5" t="s">
        <v>33</v>
      </c>
      <c r="G2535" s="5" t="s">
        <v>14442</v>
      </c>
      <c r="H2535" s="5" t="s">
        <v>14375</v>
      </c>
      <c r="I2535" s="5">
        <v>573104397397</v>
      </c>
      <c r="J2535" s="12">
        <v>46090</v>
      </c>
      <c r="K2535" s="11">
        <v>0</v>
      </c>
      <c r="M2535" s="10" t="s">
        <v>14702</v>
      </c>
      <c r="N2535" s="12">
        <v>46090.737844490737</v>
      </c>
      <c r="O2535" s="10" t="s">
        <v>15570</v>
      </c>
      <c r="P2535" s="5" t="s">
        <v>14571</v>
      </c>
      <c r="Q2535" s="5" t="s">
        <v>14572</v>
      </c>
      <c r="R2535" s="5" t="s">
        <v>20580</v>
      </c>
      <c r="T2535" s="5" t="s">
        <v>14574</v>
      </c>
      <c r="U2535" s="5" t="s">
        <v>33</v>
      </c>
      <c r="V2535" s="5" t="s">
        <v>1705</v>
      </c>
      <c r="W2535" s="5" t="s">
        <v>120</v>
      </c>
    </row>
    <row r="2536" spans="1:23" ht="12.5">
      <c r="A2536" s="5">
        <v>93052</v>
      </c>
      <c r="B2536" s="5" t="s">
        <v>14440</v>
      </c>
      <c r="C2536" s="5">
        <v>573244055115</v>
      </c>
      <c r="D2536" s="5">
        <v>95</v>
      </c>
      <c r="E2536" s="5" t="s">
        <v>42</v>
      </c>
      <c r="F2536" s="5" t="s">
        <v>33</v>
      </c>
      <c r="G2536" s="5" t="s">
        <v>14440</v>
      </c>
      <c r="H2536" s="5" t="s">
        <v>14375</v>
      </c>
      <c r="I2536" s="5">
        <v>573244055115</v>
      </c>
      <c r="J2536" s="12">
        <v>46090</v>
      </c>
      <c r="K2536" s="11">
        <v>0</v>
      </c>
      <c r="M2536" s="10" t="s">
        <v>14619</v>
      </c>
      <c r="N2536" s="12">
        <v>46090.725095231479</v>
      </c>
      <c r="O2536" s="10" t="s">
        <v>16423</v>
      </c>
      <c r="P2536" s="5" t="s">
        <v>14571</v>
      </c>
      <c r="Q2536" s="5" t="s">
        <v>14572</v>
      </c>
      <c r="R2536" s="5" t="s">
        <v>20581</v>
      </c>
      <c r="T2536" s="5" t="s">
        <v>14574</v>
      </c>
      <c r="U2536" s="5" t="s">
        <v>33</v>
      </c>
      <c r="V2536" s="5" t="s">
        <v>12646</v>
      </c>
      <c r="W2536" s="5" t="s">
        <v>14441</v>
      </c>
    </row>
    <row r="2537" spans="1:23" ht="12.5">
      <c r="A2537" s="5">
        <v>93053</v>
      </c>
      <c r="B2537" s="5" t="s">
        <v>20582</v>
      </c>
      <c r="C2537" s="5">
        <v>573226090059</v>
      </c>
      <c r="D2537" s="5">
        <v>64</v>
      </c>
      <c r="E2537" s="5" t="s">
        <v>133</v>
      </c>
      <c r="F2537" s="5" t="s">
        <v>12657</v>
      </c>
      <c r="G2537" s="5" t="s">
        <v>14438</v>
      </c>
      <c r="H2537" s="5" t="s">
        <v>12657</v>
      </c>
      <c r="I2537" s="5">
        <v>573226090059</v>
      </c>
      <c r="J2537" s="12">
        <v>46091</v>
      </c>
      <c r="K2537" s="11">
        <v>0.33333333333212067</v>
      </c>
      <c r="M2537" s="10" t="s">
        <v>14646</v>
      </c>
      <c r="N2537" s="12">
        <v>46090.713593171298</v>
      </c>
      <c r="O2537" s="10" t="s">
        <v>18531</v>
      </c>
      <c r="P2537" s="5" t="s">
        <v>14571</v>
      </c>
      <c r="Q2537" s="5" t="s">
        <v>14612</v>
      </c>
      <c r="R2537" s="5" t="s">
        <v>20583</v>
      </c>
      <c r="T2537" s="5" t="s">
        <v>5994</v>
      </c>
      <c r="U2537" s="5"/>
      <c r="V2537" s="5" t="s">
        <v>2438</v>
      </c>
      <c r="W2537" s="5"/>
    </row>
    <row r="2538" spans="1:23" ht="12.5">
      <c r="A2538" s="5">
        <v>93054</v>
      </c>
      <c r="B2538" s="5" t="s">
        <v>20584</v>
      </c>
      <c r="C2538" s="10" t="s">
        <v>20473</v>
      </c>
      <c r="D2538" s="5">
        <v>64</v>
      </c>
      <c r="E2538" s="5" t="s">
        <v>133</v>
      </c>
      <c r="F2538" s="5"/>
      <c r="G2538" s="5" t="s">
        <v>14444</v>
      </c>
      <c r="H2538" s="5" t="s">
        <v>14445</v>
      </c>
      <c r="I2538" s="5"/>
      <c r="J2538" s="12">
        <v>46091</v>
      </c>
      <c r="K2538" s="11">
        <v>0.375</v>
      </c>
      <c r="M2538" s="10" t="s">
        <v>14646</v>
      </c>
      <c r="N2538" s="12">
        <v>46091</v>
      </c>
      <c r="O2538" s="10" t="s">
        <v>16342</v>
      </c>
      <c r="P2538" s="5" t="s">
        <v>14571</v>
      </c>
      <c r="Q2538" s="5" t="s">
        <v>14612</v>
      </c>
      <c r="R2538" s="5" t="s">
        <v>20585</v>
      </c>
      <c r="T2538" s="5" t="s">
        <v>5994</v>
      </c>
      <c r="U2538" s="5"/>
      <c r="V2538" s="5" t="s">
        <v>43</v>
      </c>
      <c r="W2538" s="5"/>
    </row>
    <row r="2539" spans="1:23" ht="12.5">
      <c r="A2539" s="5">
        <v>93055</v>
      </c>
      <c r="B2539" s="5" t="s">
        <v>20586</v>
      </c>
      <c r="C2539" s="10" t="s">
        <v>20587</v>
      </c>
      <c r="D2539" s="5">
        <v>95</v>
      </c>
      <c r="E2539" s="5" t="s">
        <v>42</v>
      </c>
      <c r="F2539" s="5" t="s">
        <v>307</v>
      </c>
      <c r="G2539" s="5" t="s">
        <v>14454</v>
      </c>
      <c r="H2539" s="5" t="s">
        <v>14455</v>
      </c>
      <c r="I2539" s="5">
        <v>573019085103</v>
      </c>
      <c r="J2539" s="12">
        <v>46091</v>
      </c>
      <c r="K2539" s="11">
        <v>0.41666666666666669</v>
      </c>
      <c r="M2539" s="10" t="s">
        <v>14800</v>
      </c>
      <c r="N2539" s="12">
        <v>46091</v>
      </c>
      <c r="O2539" s="10" t="s">
        <v>20588</v>
      </c>
      <c r="P2539" s="5" t="s">
        <v>14571</v>
      </c>
      <c r="Q2539" s="5" t="s">
        <v>14612</v>
      </c>
      <c r="R2539" s="5" t="s">
        <v>20589</v>
      </c>
      <c r="T2539" s="5" t="s">
        <v>5994</v>
      </c>
      <c r="U2539" s="5" t="s">
        <v>14618</v>
      </c>
      <c r="V2539" s="5" t="s">
        <v>12646</v>
      </c>
      <c r="W2539" s="5" t="s">
        <v>14456</v>
      </c>
    </row>
    <row r="2540" spans="1:23" ht="12.5">
      <c r="A2540" s="5">
        <v>93056</v>
      </c>
      <c r="B2540" s="5" t="s">
        <v>20590</v>
      </c>
      <c r="C2540" s="5">
        <v>57312864078064</v>
      </c>
      <c r="D2540" s="5" t="s">
        <v>14589</v>
      </c>
      <c r="E2540" s="5" t="s">
        <v>14451</v>
      </c>
      <c r="F2540" s="5" t="s">
        <v>14449</v>
      </c>
      <c r="G2540" s="5" t="s">
        <v>14448</v>
      </c>
      <c r="H2540" s="5" t="s">
        <v>14450</v>
      </c>
      <c r="I2540" s="5">
        <v>573128640780</v>
      </c>
      <c r="J2540" s="12">
        <v>46091</v>
      </c>
      <c r="K2540" s="11">
        <v>0.41666666666787933</v>
      </c>
      <c r="M2540" s="10" t="s">
        <v>17583</v>
      </c>
      <c r="N2540" s="12">
        <v>46091.29993212963</v>
      </c>
      <c r="O2540" s="10" t="s">
        <v>15577</v>
      </c>
      <c r="P2540" s="5" t="s">
        <v>14571</v>
      </c>
      <c r="Q2540" s="5" t="s">
        <v>14612</v>
      </c>
      <c r="R2540" s="5" t="s">
        <v>20591</v>
      </c>
      <c r="T2540" s="5" t="s">
        <v>5994</v>
      </c>
      <c r="U2540" s="5" t="s">
        <v>14618</v>
      </c>
      <c r="V2540" s="5" t="s">
        <v>180</v>
      </c>
      <c r="W2540" s="5"/>
    </row>
    <row r="2541" spans="1:23" ht="12.5">
      <c r="A2541" s="5">
        <v>93057</v>
      </c>
      <c r="B2541" s="5" t="s">
        <v>20592</v>
      </c>
      <c r="C2541" s="5">
        <v>573007660285</v>
      </c>
      <c r="D2541" s="5">
        <v>51</v>
      </c>
      <c r="E2541" s="5" t="s">
        <v>384</v>
      </c>
      <c r="F2541" s="5" t="s">
        <v>12657</v>
      </c>
      <c r="G2541" s="5" t="s">
        <v>14457</v>
      </c>
      <c r="H2541" s="5" t="s">
        <v>12657</v>
      </c>
      <c r="I2541" s="5">
        <v>573007660285</v>
      </c>
      <c r="J2541" s="12">
        <v>46091</v>
      </c>
      <c r="K2541" s="11">
        <v>0</v>
      </c>
      <c r="M2541" s="10" t="s">
        <v>14712</v>
      </c>
      <c r="N2541" s="12">
        <v>46091.322883946763</v>
      </c>
      <c r="O2541" s="10" t="s">
        <v>18434</v>
      </c>
      <c r="P2541" s="5" t="s">
        <v>14571</v>
      </c>
      <c r="Q2541" s="5" t="s">
        <v>14699</v>
      </c>
      <c r="R2541" s="5" t="s">
        <v>20593</v>
      </c>
      <c r="T2541" s="5" t="s">
        <v>5994</v>
      </c>
      <c r="U2541" s="5"/>
      <c r="V2541" s="5" t="s">
        <v>1705</v>
      </c>
      <c r="W2541" s="5"/>
    </row>
    <row r="2542" spans="1:23" ht="12.5">
      <c r="A2542" s="5">
        <v>93058</v>
      </c>
      <c r="B2542" s="5" t="s">
        <v>20592</v>
      </c>
      <c r="C2542" s="5">
        <v>573007660285</v>
      </c>
      <c r="D2542" s="5">
        <v>82</v>
      </c>
      <c r="E2542" s="5" t="s">
        <v>14459</v>
      </c>
      <c r="F2542" s="5" t="s">
        <v>12657</v>
      </c>
      <c r="G2542" s="5" t="s">
        <v>14457</v>
      </c>
      <c r="H2542" s="5" t="s">
        <v>12657</v>
      </c>
      <c r="I2542" s="5">
        <v>573007660285</v>
      </c>
      <c r="J2542" s="12">
        <v>46091</v>
      </c>
      <c r="K2542" s="11">
        <v>0</v>
      </c>
      <c r="M2542" s="10" t="s">
        <v>14800</v>
      </c>
      <c r="N2542" s="12">
        <v>46091.327696886576</v>
      </c>
      <c r="O2542" s="10" t="s">
        <v>19051</v>
      </c>
      <c r="P2542" s="5" t="s">
        <v>14571</v>
      </c>
      <c r="Q2542" s="5" t="s">
        <v>14699</v>
      </c>
      <c r="R2542" s="5" t="s">
        <v>20594</v>
      </c>
      <c r="T2542" s="5" t="s">
        <v>5994</v>
      </c>
      <c r="U2542" s="5"/>
      <c r="V2542" s="5" t="s">
        <v>1705</v>
      </c>
      <c r="W2542" s="5"/>
    </row>
    <row r="2543" spans="1:23" ht="12.5">
      <c r="A2543" s="5">
        <v>93059</v>
      </c>
      <c r="B2543" s="5" t="s">
        <v>20595</v>
      </c>
      <c r="C2543" s="10" t="s">
        <v>20596</v>
      </c>
      <c r="D2543" s="5">
        <v>21</v>
      </c>
      <c r="E2543" s="5" t="s">
        <v>12924</v>
      </c>
      <c r="F2543" s="5" t="s">
        <v>185</v>
      </c>
      <c r="G2543" s="5" t="s">
        <v>14462</v>
      </c>
      <c r="H2543" s="5" t="s">
        <v>14463</v>
      </c>
      <c r="I2543" s="5">
        <v>573008307176</v>
      </c>
      <c r="J2543" s="12">
        <v>46091</v>
      </c>
      <c r="K2543" s="11">
        <v>0.375</v>
      </c>
      <c r="M2543" s="10" t="s">
        <v>15140</v>
      </c>
      <c r="N2543" s="12">
        <v>46091</v>
      </c>
      <c r="O2543" s="10" t="s">
        <v>16877</v>
      </c>
      <c r="P2543" s="5" t="s">
        <v>14571</v>
      </c>
      <c r="Q2543" s="5" t="s">
        <v>14699</v>
      </c>
      <c r="R2543" s="5" t="s">
        <v>20597</v>
      </c>
      <c r="T2543" s="5" t="s">
        <v>5994</v>
      </c>
      <c r="U2543" s="5" t="s">
        <v>14580</v>
      </c>
      <c r="V2543" s="5" t="s">
        <v>67</v>
      </c>
      <c r="W2543" s="5" t="s">
        <v>14466</v>
      </c>
    </row>
    <row r="2544" spans="1:23" ht="12.5">
      <c r="A2544" s="5">
        <v>93060</v>
      </c>
      <c r="B2544" s="5" t="s">
        <v>20134</v>
      </c>
      <c r="C2544" s="5">
        <v>573123838194</v>
      </c>
      <c r="D2544" s="5">
        <v>95</v>
      </c>
      <c r="E2544" s="5" t="s">
        <v>42</v>
      </c>
      <c r="F2544" s="5" t="s">
        <v>12657</v>
      </c>
      <c r="G2544" s="5" t="s">
        <v>13666</v>
      </c>
      <c r="H2544" s="5" t="s">
        <v>12657</v>
      </c>
      <c r="I2544" s="5">
        <v>573123838194</v>
      </c>
      <c r="J2544" s="12">
        <v>46091</v>
      </c>
      <c r="K2544" s="11">
        <v>0.40833333333284827</v>
      </c>
      <c r="M2544" s="10" t="s">
        <v>2686</v>
      </c>
      <c r="N2544" s="12">
        <v>46091.345722916667</v>
      </c>
      <c r="O2544" s="10" t="s">
        <v>15968</v>
      </c>
      <c r="P2544" s="5" t="s">
        <v>14571</v>
      </c>
      <c r="Q2544" s="5" t="s">
        <v>14699</v>
      </c>
      <c r="R2544" s="5" t="s">
        <v>20598</v>
      </c>
      <c r="T2544" s="5" t="s">
        <v>5994</v>
      </c>
      <c r="U2544" s="5"/>
      <c r="V2544" s="5" t="s">
        <v>1937</v>
      </c>
      <c r="W2544" s="5" t="s">
        <v>14461</v>
      </c>
    </row>
    <row r="2545" spans="1:23" ht="12.5">
      <c r="A2545" s="5">
        <v>93061</v>
      </c>
      <c r="B2545" s="5" t="s">
        <v>20599</v>
      </c>
      <c r="C2545" s="5">
        <v>5719396251269</v>
      </c>
      <c r="D2545" s="5">
        <v>62</v>
      </c>
      <c r="E2545" s="5" t="s">
        <v>2586</v>
      </c>
      <c r="F2545" s="5" t="s">
        <v>103</v>
      </c>
      <c r="G2545" s="5" t="s">
        <v>14468</v>
      </c>
      <c r="H2545" s="5" t="s">
        <v>14469</v>
      </c>
      <c r="I2545" s="5">
        <v>573105079636</v>
      </c>
      <c r="J2545" s="12">
        <v>46091</v>
      </c>
      <c r="K2545" s="11">
        <v>0.375</v>
      </c>
      <c r="M2545" s="10" t="s">
        <v>14712</v>
      </c>
      <c r="N2545" s="12">
        <v>46091.351232777779</v>
      </c>
      <c r="O2545" s="10" t="s">
        <v>17010</v>
      </c>
      <c r="P2545" s="5" t="s">
        <v>14571</v>
      </c>
      <c r="Q2545" s="5" t="s">
        <v>14612</v>
      </c>
      <c r="R2545" s="5" t="s">
        <v>20600</v>
      </c>
      <c r="T2545" s="5" t="s">
        <v>5994</v>
      </c>
      <c r="U2545" s="5" t="s">
        <v>14593</v>
      </c>
      <c r="V2545" s="5" t="s">
        <v>1937</v>
      </c>
      <c r="W2545" s="5"/>
    </row>
    <row r="2546" spans="1:23" ht="12.5">
      <c r="A2546" s="5">
        <v>93062</v>
      </c>
      <c r="B2546" s="5" t="s">
        <v>20601</v>
      </c>
      <c r="C2546" s="10" t="s">
        <v>20602</v>
      </c>
      <c r="D2546" s="5">
        <v>62</v>
      </c>
      <c r="E2546" s="5" t="s">
        <v>2586</v>
      </c>
      <c r="F2546" s="5" t="s">
        <v>103</v>
      </c>
      <c r="G2546" s="5" t="s">
        <v>20603</v>
      </c>
      <c r="H2546" s="5" t="s">
        <v>14485</v>
      </c>
      <c r="I2546" s="5">
        <v>573000000000</v>
      </c>
      <c r="J2546" s="12">
        <v>46091</v>
      </c>
      <c r="K2546" s="11">
        <v>0.45833333333333331</v>
      </c>
      <c r="M2546" s="10" t="s">
        <v>14712</v>
      </c>
      <c r="N2546" s="12">
        <v>46091</v>
      </c>
      <c r="O2546" s="10" t="s">
        <v>14677</v>
      </c>
      <c r="P2546" s="5" t="s">
        <v>14571</v>
      </c>
      <c r="Q2546" s="5" t="s">
        <v>14699</v>
      </c>
      <c r="R2546" s="5" t="s">
        <v>20604</v>
      </c>
      <c r="T2546" s="5" t="s">
        <v>5994</v>
      </c>
      <c r="U2546" s="5" t="s">
        <v>14593</v>
      </c>
      <c r="V2546" s="5" t="s">
        <v>196</v>
      </c>
      <c r="W2546" s="5"/>
    </row>
    <row r="2547" spans="1:23" ht="12.5">
      <c r="A2547" s="5">
        <v>93063</v>
      </c>
      <c r="B2547" s="5" t="s">
        <v>20605</v>
      </c>
      <c r="C2547" s="5">
        <v>578293545629</v>
      </c>
      <c r="D2547" s="5" t="s">
        <v>20606</v>
      </c>
      <c r="E2547" s="5" t="s">
        <v>20607</v>
      </c>
      <c r="F2547" s="5" t="s">
        <v>124</v>
      </c>
      <c r="G2547" s="5" t="s">
        <v>14474</v>
      </c>
      <c r="H2547" s="5" t="s">
        <v>14475</v>
      </c>
      <c r="I2547" s="5">
        <v>573017405738</v>
      </c>
      <c r="J2547" s="12">
        <v>46091</v>
      </c>
      <c r="K2547" s="11">
        <v>0.45833333333212067</v>
      </c>
      <c r="M2547" s="10" t="s">
        <v>15776</v>
      </c>
      <c r="N2547" s="12">
        <v>46091.359922916672</v>
      </c>
      <c r="O2547" s="10" t="s">
        <v>16044</v>
      </c>
      <c r="P2547" s="5" t="s">
        <v>14571</v>
      </c>
      <c r="Q2547" s="5" t="s">
        <v>14612</v>
      </c>
      <c r="R2547" s="5" t="s">
        <v>20608</v>
      </c>
      <c r="T2547" s="5" t="s">
        <v>5994</v>
      </c>
      <c r="U2547" s="5" t="s">
        <v>14775</v>
      </c>
      <c r="V2547" s="5" t="s">
        <v>1937</v>
      </c>
      <c r="W2547" s="5"/>
    </row>
    <row r="2548" spans="1:23" ht="12.5">
      <c r="A2548" s="5">
        <v>93064</v>
      </c>
      <c r="B2548" s="5" t="s">
        <v>20609</v>
      </c>
      <c r="C2548" s="5">
        <v>573168798455</v>
      </c>
      <c r="D2548" s="5">
        <v>31</v>
      </c>
      <c r="E2548" s="5" t="s">
        <v>375</v>
      </c>
      <c r="F2548" s="5" t="s">
        <v>7476</v>
      </c>
      <c r="G2548" s="5" t="s">
        <v>14479</v>
      </c>
      <c r="H2548" s="5" t="s">
        <v>14480</v>
      </c>
      <c r="I2548" s="5">
        <v>573002509412</v>
      </c>
      <c r="J2548" s="12">
        <v>46091</v>
      </c>
      <c r="K2548" s="11">
        <v>0.45833333333212067</v>
      </c>
      <c r="M2548" s="10" t="s">
        <v>15525</v>
      </c>
      <c r="N2548" s="12">
        <v>46091.370815289352</v>
      </c>
      <c r="O2548" s="10" t="s">
        <v>14673</v>
      </c>
      <c r="P2548" s="5" t="s">
        <v>14571</v>
      </c>
      <c r="Q2548" s="5" t="s">
        <v>14612</v>
      </c>
      <c r="R2548" s="5" t="s">
        <v>20610</v>
      </c>
      <c r="T2548" s="5" t="s">
        <v>5994</v>
      </c>
      <c r="U2548" s="5" t="s">
        <v>15349</v>
      </c>
      <c r="V2548" s="5" t="s">
        <v>67</v>
      </c>
      <c r="W2548" s="5"/>
    </row>
    <row r="2549" spans="1:23" ht="12.5">
      <c r="A2549" s="5">
        <v>93065</v>
      </c>
      <c r="B2549" s="5" t="s">
        <v>20611</v>
      </c>
      <c r="C2549" s="10" t="s">
        <v>20612</v>
      </c>
      <c r="D2549" s="5">
        <v>69</v>
      </c>
      <c r="E2549" s="5" t="s">
        <v>335</v>
      </c>
      <c r="F2549" s="5" t="s">
        <v>2381</v>
      </c>
      <c r="G2549" s="5" t="s">
        <v>20613</v>
      </c>
      <c r="H2549" s="5" t="s">
        <v>14494</v>
      </c>
      <c r="I2549" s="5">
        <v>573205803522</v>
      </c>
      <c r="J2549" s="12">
        <v>46091</v>
      </c>
      <c r="K2549" s="11">
        <v>0.5</v>
      </c>
      <c r="M2549" s="10" t="s">
        <v>15656</v>
      </c>
      <c r="N2549" s="12">
        <v>46091</v>
      </c>
      <c r="O2549" s="10" t="s">
        <v>14654</v>
      </c>
      <c r="P2549" s="5" t="s">
        <v>14571</v>
      </c>
      <c r="Q2549" s="5" t="s">
        <v>14612</v>
      </c>
      <c r="R2549" s="5" t="s">
        <v>20614</v>
      </c>
      <c r="T2549" s="5" t="s">
        <v>5994</v>
      </c>
      <c r="U2549" s="5" t="s">
        <v>14593</v>
      </c>
      <c r="V2549" s="5" t="s">
        <v>204</v>
      </c>
      <c r="W2549" s="5" t="s">
        <v>14497</v>
      </c>
    </row>
    <row r="2550" spans="1:23" ht="12.5">
      <c r="A2550" s="5">
        <v>93066</v>
      </c>
      <c r="B2550" s="5" t="s">
        <v>20615</v>
      </c>
      <c r="C2550" s="10" t="s">
        <v>20616</v>
      </c>
      <c r="D2550" s="5">
        <v>104</v>
      </c>
      <c r="E2550" s="5" t="s">
        <v>3111</v>
      </c>
      <c r="F2550" s="5" t="s">
        <v>265</v>
      </c>
      <c r="G2550" s="5" t="s">
        <v>14504</v>
      </c>
      <c r="H2550" s="5" t="s">
        <v>14505</v>
      </c>
      <c r="I2550" s="5">
        <v>573002524546</v>
      </c>
      <c r="J2550" s="12">
        <v>46092</v>
      </c>
      <c r="K2550" s="11">
        <v>0.54166666666666663</v>
      </c>
      <c r="M2550" s="10" t="s">
        <v>14870</v>
      </c>
      <c r="N2550" s="12">
        <v>46091</v>
      </c>
      <c r="O2550" s="10" t="s">
        <v>15083</v>
      </c>
      <c r="P2550" s="5" t="s">
        <v>19487</v>
      </c>
      <c r="Q2550" s="5"/>
      <c r="R2550" s="5" t="s">
        <v>20617</v>
      </c>
      <c r="T2550" s="5" t="s">
        <v>5994</v>
      </c>
      <c r="U2550" s="5" t="s">
        <v>14691</v>
      </c>
      <c r="V2550" s="5" t="s">
        <v>1481</v>
      </c>
      <c r="W2550" s="5" t="s">
        <v>14508</v>
      </c>
    </row>
    <row r="2551" spans="1:23" ht="12.5">
      <c r="A2551" s="5">
        <v>93067</v>
      </c>
      <c r="B2551" s="5" t="s">
        <v>20618</v>
      </c>
      <c r="C2551" s="10" t="s">
        <v>20619</v>
      </c>
      <c r="D2551" s="5">
        <v>45</v>
      </c>
      <c r="E2551" s="5" t="s">
        <v>210</v>
      </c>
      <c r="F2551" s="5" t="s">
        <v>73</v>
      </c>
      <c r="G2551" s="5" t="s">
        <v>14499</v>
      </c>
      <c r="H2551" s="5" t="s">
        <v>14500</v>
      </c>
      <c r="I2551" s="5">
        <v>573002257529</v>
      </c>
      <c r="J2551" s="12">
        <v>46095</v>
      </c>
      <c r="K2551" s="11">
        <v>0.52083333333333337</v>
      </c>
      <c r="M2551" s="10" t="s">
        <v>16429</v>
      </c>
      <c r="N2551" s="12">
        <v>46091</v>
      </c>
      <c r="O2551" s="10" t="s">
        <v>15410</v>
      </c>
      <c r="P2551" s="5" t="s">
        <v>19487</v>
      </c>
      <c r="Q2551" s="5"/>
      <c r="R2551" s="5" t="s">
        <v>20620</v>
      </c>
      <c r="T2551" s="5" t="s">
        <v>5994</v>
      </c>
      <c r="U2551" s="5" t="s">
        <v>14593</v>
      </c>
      <c r="V2551" s="5" t="s">
        <v>67</v>
      </c>
      <c r="W2551" s="5" t="s">
        <v>14502</v>
      </c>
    </row>
    <row r="2552" spans="1:23" ht="12.5">
      <c r="A2552" s="5">
        <v>93068</v>
      </c>
      <c r="B2552" s="5" t="s">
        <v>2492</v>
      </c>
      <c r="C2552" s="5">
        <v>41424142358683</v>
      </c>
      <c r="D2552" s="5" t="s">
        <v>20621</v>
      </c>
      <c r="E2552" s="5" t="s">
        <v>14489</v>
      </c>
      <c r="F2552" s="5" t="s">
        <v>563</v>
      </c>
      <c r="G2552" s="5" t="s">
        <v>2489</v>
      </c>
      <c r="H2552" s="5" t="s">
        <v>14488</v>
      </c>
      <c r="I2552" s="5"/>
      <c r="J2552" s="12">
        <v>46091</v>
      </c>
      <c r="K2552" s="11">
        <v>0.52083333333212067</v>
      </c>
      <c r="M2552" s="10" t="s">
        <v>16610</v>
      </c>
      <c r="N2552" s="12">
        <v>46091.414524722219</v>
      </c>
      <c r="O2552" s="10" t="s">
        <v>15997</v>
      </c>
      <c r="P2552" s="5" t="s">
        <v>14571</v>
      </c>
      <c r="Q2552" s="5" t="s">
        <v>14612</v>
      </c>
      <c r="R2552" s="5" t="s">
        <v>20622</v>
      </c>
      <c r="T2552" s="5" t="s">
        <v>5994</v>
      </c>
      <c r="U2552" s="5" t="s">
        <v>14775</v>
      </c>
      <c r="V2552" s="5" t="s">
        <v>67</v>
      </c>
      <c r="W2552" s="5"/>
    </row>
    <row r="2553" spans="1:23" ht="12.5">
      <c r="A2553" s="5">
        <v>93069</v>
      </c>
      <c r="B2553" s="5" t="s">
        <v>20623</v>
      </c>
      <c r="C2553" s="5">
        <v>573238143135</v>
      </c>
      <c r="D2553" s="5">
        <v>95</v>
      </c>
      <c r="E2553" s="5" t="s">
        <v>42</v>
      </c>
      <c r="F2553" s="5" t="s">
        <v>33</v>
      </c>
      <c r="G2553" s="5" t="s">
        <v>14534</v>
      </c>
      <c r="H2553" s="5" t="s">
        <v>12983</v>
      </c>
      <c r="I2553" s="5">
        <v>573238143135</v>
      </c>
      <c r="J2553" s="12">
        <v>46091</v>
      </c>
      <c r="K2553" s="11">
        <v>0.625</v>
      </c>
      <c r="M2553" s="10" t="s">
        <v>15049</v>
      </c>
      <c r="N2553" s="12">
        <v>46091.494116064816</v>
      </c>
      <c r="O2553" s="10" t="s">
        <v>17114</v>
      </c>
      <c r="P2553" s="5" t="s">
        <v>19487</v>
      </c>
      <c r="Q2553" s="5" t="s">
        <v>14612</v>
      </c>
      <c r="R2553" s="5" t="s">
        <v>20624</v>
      </c>
      <c r="T2553" s="5" t="s">
        <v>14574</v>
      </c>
      <c r="U2553" s="5" t="s">
        <v>33</v>
      </c>
      <c r="V2553" s="5" t="s">
        <v>67</v>
      </c>
      <c r="W2553" s="5" t="s">
        <v>14535</v>
      </c>
    </row>
    <row r="2554" spans="1:23" ht="12.5">
      <c r="A2554" s="5">
        <v>93070</v>
      </c>
      <c r="B2554" s="5" t="s">
        <v>20625</v>
      </c>
      <c r="C2554" s="5">
        <v>573046484291</v>
      </c>
      <c r="D2554" s="5">
        <v>29</v>
      </c>
      <c r="E2554" s="5" t="s">
        <v>309</v>
      </c>
      <c r="F2554" s="5" t="s">
        <v>892</v>
      </c>
      <c r="G2554" s="5" t="s">
        <v>14510</v>
      </c>
      <c r="H2554" s="5" t="s">
        <v>14511</v>
      </c>
      <c r="I2554" s="5">
        <v>573004840859</v>
      </c>
      <c r="J2554" s="12">
        <v>46091</v>
      </c>
      <c r="K2554" s="11">
        <v>0.75</v>
      </c>
      <c r="M2554" s="10" t="s">
        <v>14705</v>
      </c>
      <c r="N2554" s="12">
        <v>46091.454334537033</v>
      </c>
      <c r="O2554" s="10" t="s">
        <v>14977</v>
      </c>
      <c r="P2554" s="5" t="s">
        <v>19487</v>
      </c>
      <c r="Q2554" s="5" t="s">
        <v>14699</v>
      </c>
      <c r="R2554" s="5" t="s">
        <v>20626</v>
      </c>
      <c r="T2554" s="5" t="s">
        <v>5994</v>
      </c>
      <c r="U2554" s="5" t="s">
        <v>14593</v>
      </c>
      <c r="V2554" s="5" t="s">
        <v>67</v>
      </c>
      <c r="W2554" s="5" t="s">
        <v>14514</v>
      </c>
    </row>
    <row r="2555" spans="1:23" ht="12.5">
      <c r="A2555" s="5">
        <v>93071</v>
      </c>
      <c r="B2555" s="5" t="s">
        <v>20627</v>
      </c>
      <c r="C2555" s="5">
        <v>5713059685691</v>
      </c>
      <c r="D2555" s="5">
        <v>30</v>
      </c>
      <c r="E2555" s="5" t="s">
        <v>156</v>
      </c>
      <c r="F2555" s="5" t="s">
        <v>110</v>
      </c>
      <c r="G2555" s="5" t="s">
        <v>9172</v>
      </c>
      <c r="H2555" s="5" t="s">
        <v>14537</v>
      </c>
      <c r="I2555" s="5">
        <v>573116823754</v>
      </c>
      <c r="J2555" s="12">
        <v>46091</v>
      </c>
      <c r="K2555" s="11">
        <v>0.58333333333212067</v>
      </c>
      <c r="M2555" s="10" t="s">
        <v>14817</v>
      </c>
      <c r="N2555" s="12">
        <v>46091.507255104167</v>
      </c>
      <c r="O2555" s="10" t="s">
        <v>15696</v>
      </c>
      <c r="P2555" s="5" t="s">
        <v>19487</v>
      </c>
      <c r="Q2555" s="5" t="s">
        <v>14612</v>
      </c>
      <c r="R2555" s="5" t="s">
        <v>20628</v>
      </c>
      <c r="T2555" s="5" t="s">
        <v>5994</v>
      </c>
      <c r="U2555" s="5" t="s">
        <v>14593</v>
      </c>
      <c r="V2555" s="5" t="s">
        <v>67</v>
      </c>
      <c r="W2555" s="5"/>
    </row>
    <row r="2556" spans="1:23" ht="12.5">
      <c r="A2556" s="5">
        <v>93072</v>
      </c>
      <c r="B2556" s="5" t="s">
        <v>20629</v>
      </c>
      <c r="C2556" s="10" t="s">
        <v>20630</v>
      </c>
      <c r="D2556" s="5">
        <v>39</v>
      </c>
      <c r="E2556" s="5" t="s">
        <v>96</v>
      </c>
      <c r="F2556" s="5" t="s">
        <v>516</v>
      </c>
      <c r="G2556" s="5" t="s">
        <v>20631</v>
      </c>
      <c r="H2556" s="5" t="s">
        <v>14525</v>
      </c>
      <c r="I2556" s="5">
        <v>573124653367</v>
      </c>
      <c r="J2556" s="12">
        <v>46091</v>
      </c>
      <c r="K2556" s="11">
        <v>0.58333333333333337</v>
      </c>
      <c r="M2556" s="10" t="s">
        <v>15859</v>
      </c>
      <c r="N2556" s="12">
        <v>46091</v>
      </c>
      <c r="O2556" s="10" t="s">
        <v>15528</v>
      </c>
      <c r="P2556" s="5" t="s">
        <v>19487</v>
      </c>
      <c r="Q2556" s="5" t="s">
        <v>14699</v>
      </c>
      <c r="R2556" s="5" t="s">
        <v>20632</v>
      </c>
      <c r="T2556" s="5" t="s">
        <v>5994</v>
      </c>
      <c r="U2556" s="5" t="s">
        <v>14580</v>
      </c>
      <c r="V2556" s="5" t="s">
        <v>67</v>
      </c>
      <c r="W2556" s="5"/>
    </row>
    <row r="2557" spans="1:23" ht="12.5">
      <c r="A2557" s="5">
        <v>93073</v>
      </c>
      <c r="B2557" s="5" t="s">
        <v>14554</v>
      </c>
      <c r="C2557" s="5">
        <v>573003640809</v>
      </c>
      <c r="D2557" s="5">
        <v>52</v>
      </c>
      <c r="E2557" s="5" t="s">
        <v>178</v>
      </c>
      <c r="F2557" s="5" t="s">
        <v>33</v>
      </c>
      <c r="G2557" s="5" t="s">
        <v>14554</v>
      </c>
      <c r="H2557" s="5" t="s">
        <v>12983</v>
      </c>
      <c r="I2557" s="5">
        <v>573003640809</v>
      </c>
      <c r="J2557" s="12">
        <v>46091</v>
      </c>
      <c r="K2557" s="11">
        <v>0</v>
      </c>
      <c r="M2557" s="10" t="s">
        <v>15594</v>
      </c>
      <c r="N2557" s="12">
        <v>46091.532838819447</v>
      </c>
      <c r="O2557" s="10" t="s">
        <v>16654</v>
      </c>
      <c r="P2557" s="5" t="s">
        <v>19487</v>
      </c>
      <c r="Q2557" s="5" t="s">
        <v>14612</v>
      </c>
      <c r="R2557" s="5" t="s">
        <v>20633</v>
      </c>
      <c r="T2557" s="5" t="s">
        <v>14574</v>
      </c>
      <c r="U2557" s="5" t="s">
        <v>33</v>
      </c>
      <c r="V2557" s="5" t="s">
        <v>67</v>
      </c>
      <c r="W2557" s="5"/>
    </row>
    <row r="2558" spans="1:23" ht="12.5">
      <c r="A2558" s="5"/>
      <c r="B2558" s="5"/>
      <c r="C2558" s="5"/>
      <c r="D2558" s="5"/>
      <c r="E2558" s="5"/>
      <c r="F2558" s="5"/>
      <c r="G2558" s="5"/>
      <c r="H2558" s="5"/>
      <c r="I2558" s="5"/>
      <c r="J2558" s="12"/>
      <c r="K2558" s="11"/>
      <c r="M2558" s="5"/>
      <c r="N2558" s="12"/>
      <c r="O2558" s="5"/>
      <c r="P2558" s="5"/>
      <c r="Q2558" s="5"/>
      <c r="R2558" s="5"/>
      <c r="T2558" s="5"/>
      <c r="U2558" s="5"/>
      <c r="V2558" s="5"/>
      <c r="W2558" s="5"/>
    </row>
    <row r="2559" spans="1:23" ht="12.5">
      <c r="A2559" s="5"/>
      <c r="B2559" s="5"/>
      <c r="C2559" s="5"/>
      <c r="D2559" s="5"/>
      <c r="E2559" s="5"/>
      <c r="F2559" s="5"/>
      <c r="G2559" s="5"/>
      <c r="H2559" s="5"/>
      <c r="I2559" s="5"/>
      <c r="J2559" s="12"/>
      <c r="K2559" s="11"/>
      <c r="M2559" s="5"/>
      <c r="N2559" s="12"/>
      <c r="O2559" s="5"/>
      <c r="P2559" s="5"/>
      <c r="Q2559" s="5"/>
      <c r="R2559" s="5"/>
      <c r="T2559" s="5"/>
      <c r="U2559" s="5"/>
      <c r="V2559" s="5"/>
      <c r="W2559" s="5"/>
    </row>
    <row r="2560" spans="1:23" ht="12.5">
      <c r="A2560" s="5"/>
      <c r="B2560" s="5"/>
      <c r="C2560" s="5"/>
      <c r="D2560" s="5"/>
      <c r="E2560" s="5"/>
      <c r="F2560" s="5"/>
      <c r="G2560" s="5"/>
      <c r="H2560" s="5"/>
      <c r="I2560" s="5"/>
      <c r="J2560" s="12"/>
      <c r="K2560" s="11"/>
      <c r="M2560" s="5"/>
      <c r="N2560" s="12"/>
      <c r="O2560" s="5"/>
      <c r="P2560" s="5"/>
      <c r="Q2560" s="5"/>
      <c r="R2560" s="5"/>
      <c r="T2560" s="5"/>
      <c r="U2560" s="5"/>
      <c r="V2560" s="5"/>
      <c r="W2560" s="5"/>
    </row>
    <row r="2561" spans="1:23" ht="12.5">
      <c r="A2561" s="5"/>
      <c r="B2561" s="5"/>
      <c r="C2561" s="5"/>
      <c r="D2561" s="5"/>
      <c r="E2561" s="5"/>
      <c r="F2561" s="5"/>
      <c r="G2561" s="5"/>
      <c r="H2561" s="5"/>
      <c r="I2561" s="5"/>
      <c r="J2561" s="12"/>
      <c r="K2561" s="11"/>
      <c r="M2561" s="5"/>
      <c r="N2561" s="12"/>
      <c r="O2561" s="5"/>
      <c r="P2561" s="5"/>
      <c r="Q2561" s="5"/>
      <c r="R2561" s="5"/>
      <c r="T2561" s="5"/>
      <c r="U2561" s="5"/>
      <c r="V2561" s="5"/>
      <c r="W2561" s="5"/>
    </row>
    <row r="2562" spans="1:23" ht="12.5">
      <c r="A2562" s="5"/>
      <c r="B2562" s="5"/>
      <c r="C2562" s="5"/>
      <c r="D2562" s="5"/>
      <c r="E2562" s="5"/>
      <c r="F2562" s="5"/>
      <c r="G2562" s="5"/>
      <c r="H2562" s="5"/>
      <c r="I2562" s="5"/>
      <c r="J2562" s="12"/>
      <c r="K2562" s="11"/>
      <c r="M2562" s="5"/>
      <c r="N2562" s="12"/>
      <c r="O2562" s="5"/>
      <c r="P2562" s="5"/>
      <c r="Q2562" s="5"/>
      <c r="R2562" s="5"/>
      <c r="T2562" s="5"/>
      <c r="U2562" s="5"/>
      <c r="V2562" s="5"/>
      <c r="W2562" s="5"/>
    </row>
    <row r="2563" spans="1:23" ht="12.5">
      <c r="A2563" s="5"/>
      <c r="B2563" s="5"/>
      <c r="C2563" s="5"/>
      <c r="D2563" s="5"/>
      <c r="E2563" s="5"/>
      <c r="F2563" s="5"/>
      <c r="G2563" s="5"/>
      <c r="H2563" s="5"/>
      <c r="I2563" s="5"/>
      <c r="J2563" s="12"/>
      <c r="K2563" s="11"/>
      <c r="M2563" s="5"/>
      <c r="N2563" s="12"/>
      <c r="O2563" s="5"/>
      <c r="P2563" s="5"/>
      <c r="Q2563" s="5"/>
      <c r="R2563" s="5"/>
      <c r="T2563" s="5"/>
      <c r="U2563" s="5"/>
      <c r="V2563" s="5"/>
      <c r="W2563" s="5"/>
    </row>
    <row r="2564" spans="1:23" ht="12.5">
      <c r="A2564" s="5"/>
      <c r="B2564" s="5"/>
      <c r="C2564" s="5"/>
      <c r="D2564" s="5"/>
      <c r="E2564" s="5"/>
      <c r="F2564" s="5"/>
      <c r="G2564" s="5"/>
      <c r="H2564" s="5"/>
      <c r="I2564" s="5"/>
      <c r="J2564" s="12"/>
      <c r="K2564" s="11"/>
      <c r="M2564" s="5"/>
      <c r="N2564" s="12"/>
      <c r="O2564" s="5"/>
      <c r="P2564" s="5"/>
      <c r="Q2564" s="5"/>
      <c r="R2564" s="5"/>
      <c r="T2564" s="5"/>
      <c r="U2564" s="5"/>
      <c r="V2564" s="5"/>
      <c r="W2564" s="5"/>
    </row>
    <row r="2565" spans="1:23" ht="12.5">
      <c r="A2565" s="5"/>
      <c r="B2565" s="5"/>
      <c r="C2565" s="5"/>
      <c r="D2565" s="5"/>
      <c r="E2565" s="5"/>
      <c r="F2565" s="5"/>
      <c r="G2565" s="5"/>
      <c r="H2565" s="5"/>
      <c r="I2565" s="5"/>
      <c r="J2565" s="12"/>
      <c r="K2565" s="11"/>
      <c r="M2565" s="5"/>
      <c r="N2565" s="12"/>
      <c r="O2565" s="5"/>
      <c r="P2565" s="5"/>
      <c r="Q2565" s="5"/>
      <c r="R2565" s="5"/>
      <c r="T2565" s="5"/>
      <c r="U2565" s="5"/>
      <c r="V2565" s="5"/>
      <c r="W2565" s="5"/>
    </row>
    <row r="2566" spans="1:23" ht="12.5">
      <c r="A2566" s="5"/>
      <c r="B2566" s="5"/>
      <c r="C2566" s="5"/>
      <c r="D2566" s="5"/>
      <c r="E2566" s="5"/>
      <c r="F2566" s="5"/>
      <c r="G2566" s="5"/>
      <c r="H2566" s="5"/>
      <c r="I2566" s="5"/>
      <c r="J2566" s="12"/>
      <c r="K2566" s="11"/>
      <c r="M2566" s="5"/>
      <c r="N2566" s="12"/>
      <c r="O2566" s="5"/>
      <c r="P2566" s="5"/>
      <c r="Q2566" s="5"/>
      <c r="R2566" s="5"/>
      <c r="T2566" s="5"/>
      <c r="U2566" s="5"/>
      <c r="V2566" s="5"/>
      <c r="W2566" s="5"/>
    </row>
    <row r="2567" spans="1:23" ht="12.5">
      <c r="A2567" s="5"/>
      <c r="B2567" s="5"/>
      <c r="C2567" s="5"/>
      <c r="D2567" s="5"/>
      <c r="E2567" s="5"/>
      <c r="F2567" s="5"/>
      <c r="G2567" s="5"/>
      <c r="H2567" s="5"/>
      <c r="I2567" s="5"/>
      <c r="J2567" s="12"/>
      <c r="K2567" s="11"/>
      <c r="M2567" s="5"/>
      <c r="N2567" s="12"/>
      <c r="O2567" s="5"/>
      <c r="P2567" s="5"/>
      <c r="Q2567" s="5"/>
      <c r="R2567" s="5"/>
      <c r="T2567" s="5"/>
      <c r="U2567" s="5"/>
      <c r="V2567" s="5"/>
      <c r="W2567" s="5"/>
    </row>
    <row r="2568" spans="1:23" ht="12.5">
      <c r="A2568" s="5"/>
      <c r="B2568" s="5"/>
      <c r="C2568" s="5"/>
      <c r="D2568" s="5"/>
      <c r="E2568" s="5"/>
      <c r="F2568" s="5"/>
      <c r="G2568" s="5"/>
      <c r="H2568" s="5"/>
      <c r="I2568" s="5"/>
      <c r="J2568" s="12"/>
      <c r="K2568" s="11"/>
      <c r="M2568" s="5"/>
      <c r="N2568" s="12"/>
      <c r="O2568" s="5"/>
      <c r="P2568" s="5"/>
      <c r="Q2568" s="5"/>
      <c r="R2568" s="5"/>
      <c r="T2568" s="5"/>
      <c r="U2568" s="5"/>
      <c r="V2568" s="5"/>
      <c r="W2568" s="5"/>
    </row>
    <row r="2569" spans="1:23" ht="12.5">
      <c r="A2569" s="5"/>
      <c r="B2569" s="5"/>
      <c r="C2569" s="5"/>
      <c r="D2569" s="5"/>
      <c r="E2569" s="5"/>
      <c r="F2569" s="5"/>
      <c r="G2569" s="5"/>
      <c r="H2569" s="5"/>
      <c r="I2569" s="5"/>
      <c r="J2569" s="12"/>
      <c r="K2569" s="11"/>
      <c r="M2569" s="5"/>
      <c r="N2569" s="12"/>
      <c r="O2569" s="5"/>
      <c r="P2569" s="5"/>
      <c r="Q2569" s="5"/>
      <c r="R2569" s="5"/>
      <c r="T2569" s="5"/>
      <c r="U2569" s="5"/>
      <c r="V2569" s="5"/>
      <c r="W2569" s="5"/>
    </row>
    <row r="2570" spans="1:23" ht="12.5">
      <c r="A2570" s="5"/>
      <c r="B2570" s="5"/>
      <c r="C2570" s="5"/>
      <c r="D2570" s="5"/>
      <c r="E2570" s="5"/>
      <c r="F2570" s="5"/>
      <c r="G2570" s="5"/>
      <c r="H2570" s="5"/>
      <c r="I2570" s="5"/>
      <c r="J2570" s="12"/>
      <c r="K2570" s="11"/>
      <c r="M2570" s="5"/>
      <c r="N2570" s="12"/>
      <c r="O2570" s="5"/>
      <c r="P2570" s="5"/>
      <c r="Q2570" s="5"/>
      <c r="R2570" s="5"/>
      <c r="T2570" s="5"/>
      <c r="U2570" s="5"/>
      <c r="V2570" s="5"/>
      <c r="W2570" s="5"/>
    </row>
    <row r="2571" spans="1:23" ht="12.5">
      <c r="A2571" s="5"/>
      <c r="B2571" s="5"/>
      <c r="C2571" s="5"/>
      <c r="D2571" s="5"/>
      <c r="E2571" s="5"/>
      <c r="F2571" s="5"/>
      <c r="G2571" s="5"/>
      <c r="H2571" s="5"/>
      <c r="I2571" s="5"/>
      <c r="J2571" s="12"/>
      <c r="K2571" s="11"/>
      <c r="M2571" s="5"/>
      <c r="N2571" s="12"/>
      <c r="O2571" s="5"/>
      <c r="P2571" s="5"/>
      <c r="Q2571" s="5"/>
      <c r="R2571" s="5"/>
      <c r="T2571" s="5"/>
      <c r="U2571" s="5"/>
      <c r="V2571" s="5"/>
      <c r="W2571" s="5"/>
    </row>
    <row r="2572" spans="1:23" ht="12.5">
      <c r="A2572" s="5"/>
      <c r="B2572" s="5"/>
      <c r="C2572" s="5"/>
      <c r="D2572" s="5"/>
      <c r="E2572" s="5"/>
      <c r="F2572" s="5"/>
      <c r="G2572" s="5"/>
      <c r="H2572" s="5"/>
      <c r="I2572" s="5"/>
      <c r="J2572" s="12"/>
      <c r="K2572" s="11"/>
      <c r="M2572" s="5"/>
      <c r="N2572" s="12"/>
      <c r="O2572" s="5"/>
      <c r="P2572" s="5"/>
      <c r="Q2572" s="5"/>
      <c r="R2572" s="5"/>
      <c r="T2572" s="5"/>
      <c r="U2572" s="5"/>
      <c r="V2572" s="5"/>
      <c r="W2572" s="5"/>
    </row>
    <row r="2573" spans="1:23" ht="12.5">
      <c r="A2573" s="5"/>
      <c r="B2573" s="5"/>
      <c r="C2573" s="5"/>
      <c r="D2573" s="5"/>
      <c r="E2573" s="5"/>
      <c r="F2573" s="5"/>
      <c r="G2573" s="5"/>
      <c r="H2573" s="5"/>
      <c r="I2573" s="5"/>
      <c r="J2573" s="12"/>
      <c r="K2573" s="11"/>
      <c r="M2573" s="5"/>
      <c r="N2573" s="12"/>
      <c r="O2573" s="5"/>
      <c r="P2573" s="5"/>
      <c r="Q2573" s="5"/>
      <c r="R2573" s="5"/>
      <c r="T2573" s="5"/>
      <c r="U2573" s="5"/>
      <c r="V2573" s="5"/>
      <c r="W2573" s="5"/>
    </row>
    <row r="2574" spans="1:23" ht="12.5">
      <c r="A2574" s="5"/>
      <c r="B2574" s="5"/>
      <c r="C2574" s="5"/>
      <c r="D2574" s="5"/>
      <c r="E2574" s="5"/>
      <c r="F2574" s="5"/>
      <c r="G2574" s="5"/>
      <c r="H2574" s="5"/>
      <c r="I2574" s="5"/>
      <c r="J2574" s="12"/>
      <c r="K2574" s="11"/>
      <c r="M2574" s="5"/>
      <c r="N2574" s="12"/>
      <c r="O2574" s="5"/>
      <c r="P2574" s="5"/>
      <c r="Q2574" s="5"/>
      <c r="R2574" s="5"/>
      <c r="T2574" s="5"/>
      <c r="U2574" s="5"/>
      <c r="V2574" s="5"/>
      <c r="W2574" s="5"/>
    </row>
    <row r="2575" spans="1:23" ht="12.5">
      <c r="A2575" s="5"/>
      <c r="B2575" s="5"/>
      <c r="C2575" s="5"/>
      <c r="D2575" s="5"/>
      <c r="E2575" s="5"/>
      <c r="F2575" s="5"/>
      <c r="G2575" s="5"/>
      <c r="H2575" s="5"/>
      <c r="I2575" s="5"/>
      <c r="J2575" s="12"/>
      <c r="K2575" s="11"/>
      <c r="M2575" s="5"/>
      <c r="N2575" s="12"/>
      <c r="O2575" s="5"/>
      <c r="P2575" s="5"/>
      <c r="Q2575" s="5"/>
      <c r="R2575" s="5"/>
      <c r="T2575" s="5"/>
      <c r="U2575" s="5"/>
      <c r="V2575" s="5"/>
      <c r="W2575" s="5"/>
    </row>
    <row r="2576" spans="1:23" ht="12.5">
      <c r="A2576" s="5"/>
      <c r="B2576" s="5"/>
      <c r="C2576" s="5"/>
      <c r="D2576" s="5"/>
      <c r="E2576" s="5"/>
      <c r="F2576" s="5"/>
      <c r="G2576" s="5"/>
      <c r="H2576" s="5"/>
      <c r="I2576" s="5"/>
      <c r="J2576" s="12"/>
      <c r="K2576" s="11"/>
      <c r="M2576" s="5"/>
      <c r="N2576" s="12"/>
      <c r="O2576" s="5"/>
      <c r="P2576" s="5"/>
      <c r="Q2576" s="5"/>
      <c r="R2576" s="5"/>
      <c r="T2576" s="5"/>
      <c r="U2576" s="5"/>
      <c r="V2576" s="5"/>
      <c r="W2576" s="5"/>
    </row>
    <row r="2577" spans="1:23" ht="12.5">
      <c r="A2577" s="5"/>
      <c r="B2577" s="5"/>
      <c r="C2577" s="5"/>
      <c r="D2577" s="5"/>
      <c r="E2577" s="5"/>
      <c r="F2577" s="5"/>
      <c r="G2577" s="5"/>
      <c r="H2577" s="5"/>
      <c r="I2577" s="5"/>
      <c r="J2577" s="12"/>
      <c r="K2577" s="11"/>
      <c r="M2577" s="5"/>
      <c r="N2577" s="12"/>
      <c r="O2577" s="5"/>
      <c r="P2577" s="5"/>
      <c r="Q2577" s="5"/>
      <c r="R2577" s="5"/>
      <c r="T2577" s="5"/>
      <c r="U2577" s="5"/>
      <c r="V2577" s="5"/>
      <c r="W2577" s="5"/>
    </row>
    <row r="2578" spans="1:23" ht="12.5">
      <c r="A2578" s="5"/>
      <c r="B2578" s="5"/>
      <c r="C2578" s="5"/>
      <c r="D2578" s="5"/>
      <c r="E2578" s="5"/>
      <c r="F2578" s="5"/>
      <c r="G2578" s="5"/>
      <c r="H2578" s="5"/>
      <c r="I2578" s="5"/>
      <c r="J2578" s="12"/>
      <c r="K2578" s="11"/>
      <c r="M2578" s="5"/>
      <c r="N2578" s="12"/>
      <c r="O2578" s="5"/>
      <c r="P2578" s="5"/>
      <c r="Q2578" s="5"/>
      <c r="R2578" s="5"/>
      <c r="T2578" s="5"/>
      <c r="U2578" s="5"/>
      <c r="V2578" s="5"/>
      <c r="W2578" s="5"/>
    </row>
    <row r="2579" spans="1:23" ht="12.5">
      <c r="A2579" s="5"/>
      <c r="B2579" s="5"/>
      <c r="C2579" s="5"/>
      <c r="D2579" s="5"/>
      <c r="E2579" s="5"/>
      <c r="F2579" s="5"/>
      <c r="G2579" s="5"/>
      <c r="H2579" s="5"/>
      <c r="I2579" s="5"/>
      <c r="J2579" s="12"/>
      <c r="K2579" s="11"/>
      <c r="M2579" s="5"/>
      <c r="N2579" s="12"/>
      <c r="O2579" s="5"/>
      <c r="P2579" s="5"/>
      <c r="Q2579" s="5"/>
      <c r="R2579" s="5"/>
      <c r="T2579" s="5"/>
      <c r="U2579" s="5"/>
      <c r="V2579" s="5"/>
      <c r="W2579" s="5"/>
    </row>
    <row r="2580" spans="1:23" ht="12.5">
      <c r="A2580" s="5"/>
      <c r="B2580" s="5"/>
      <c r="C2580" s="5"/>
      <c r="D2580" s="5"/>
      <c r="E2580" s="5"/>
      <c r="F2580" s="5"/>
      <c r="G2580" s="5"/>
      <c r="H2580" s="5"/>
      <c r="I2580" s="5"/>
      <c r="J2580" s="12"/>
      <c r="K2580" s="11"/>
      <c r="M2580" s="5"/>
      <c r="N2580" s="12"/>
      <c r="O2580" s="5"/>
      <c r="P2580" s="5"/>
      <c r="Q2580" s="5"/>
      <c r="R2580" s="5"/>
      <c r="T2580" s="5"/>
      <c r="U2580" s="5"/>
      <c r="V2580" s="5"/>
      <c r="W2580" s="5"/>
    </row>
    <row r="2581" spans="1:23" ht="12.5">
      <c r="A2581" s="5"/>
      <c r="B2581" s="5"/>
      <c r="C2581" s="5"/>
      <c r="D2581" s="5"/>
      <c r="E2581" s="5"/>
      <c r="F2581" s="5"/>
      <c r="G2581" s="5"/>
      <c r="H2581" s="5"/>
      <c r="I2581" s="5"/>
      <c r="J2581" s="12"/>
      <c r="K2581" s="11"/>
      <c r="M2581" s="5"/>
      <c r="N2581" s="12"/>
      <c r="O2581" s="5"/>
      <c r="P2581" s="5"/>
      <c r="Q2581" s="5"/>
      <c r="R2581" s="5"/>
      <c r="T2581" s="5"/>
      <c r="U2581" s="5"/>
      <c r="V2581" s="5"/>
      <c r="W2581" s="5"/>
    </row>
    <row r="2582" spans="1:23" ht="12.5">
      <c r="A2582" s="5"/>
      <c r="B2582" s="5"/>
      <c r="C2582" s="5"/>
      <c r="D2582" s="5"/>
      <c r="E2582" s="5"/>
      <c r="F2582" s="5"/>
      <c r="G2582" s="5"/>
      <c r="H2582" s="5"/>
      <c r="I2582" s="5"/>
      <c r="J2582" s="12"/>
      <c r="K2582" s="11"/>
      <c r="M2582" s="5"/>
      <c r="N2582" s="12"/>
      <c r="O2582" s="5"/>
      <c r="P2582" s="5"/>
      <c r="Q2582" s="5"/>
      <c r="R2582" s="5"/>
      <c r="T2582" s="5"/>
      <c r="U2582" s="5"/>
      <c r="V2582" s="5"/>
      <c r="W2582" s="5"/>
    </row>
    <row r="2583" spans="1:23" ht="12.5">
      <c r="A2583" s="5"/>
      <c r="B2583" s="5"/>
      <c r="C2583" s="5"/>
      <c r="D2583" s="5"/>
      <c r="E2583" s="5"/>
      <c r="F2583" s="5"/>
      <c r="G2583" s="5"/>
      <c r="H2583" s="5"/>
      <c r="I2583" s="5"/>
      <c r="J2583" s="12"/>
      <c r="K2583" s="11"/>
      <c r="M2583" s="5"/>
      <c r="N2583" s="12"/>
      <c r="O2583" s="5"/>
      <c r="P2583" s="5"/>
      <c r="Q2583" s="5"/>
      <c r="R2583" s="5"/>
      <c r="T2583" s="5"/>
      <c r="U2583" s="5"/>
      <c r="V2583" s="5"/>
      <c r="W2583" s="5"/>
    </row>
    <row r="2584" spans="1:23" ht="12.5">
      <c r="A2584" s="5"/>
      <c r="B2584" s="5"/>
      <c r="C2584" s="5"/>
      <c r="D2584" s="5"/>
      <c r="E2584" s="5"/>
      <c r="F2584" s="5"/>
      <c r="G2584" s="5"/>
      <c r="H2584" s="5"/>
      <c r="I2584" s="5"/>
      <c r="J2584" s="12"/>
      <c r="K2584" s="11"/>
      <c r="M2584" s="5"/>
      <c r="N2584" s="12"/>
      <c r="O2584" s="5"/>
      <c r="P2584" s="5"/>
      <c r="Q2584" s="5"/>
      <c r="R2584" s="5"/>
      <c r="T2584" s="5"/>
      <c r="U2584" s="5"/>
      <c r="V2584" s="5"/>
      <c r="W2584" s="5"/>
    </row>
    <row r="2585" spans="1:23" ht="12.5">
      <c r="A2585" s="5"/>
      <c r="B2585" s="5"/>
      <c r="C2585" s="5"/>
      <c r="D2585" s="5"/>
      <c r="E2585" s="5"/>
      <c r="F2585" s="5"/>
      <c r="G2585" s="5"/>
      <c r="H2585" s="5"/>
      <c r="I2585" s="5"/>
      <c r="J2585" s="12"/>
      <c r="K2585" s="11"/>
      <c r="M2585" s="5"/>
      <c r="N2585" s="12"/>
      <c r="O2585" s="5"/>
      <c r="P2585" s="5"/>
      <c r="Q2585" s="5"/>
      <c r="R2585" s="5"/>
      <c r="T2585" s="5"/>
      <c r="U2585" s="5"/>
      <c r="V2585" s="5"/>
      <c r="W2585" s="5"/>
    </row>
    <row r="2586" spans="1:23" ht="12.5">
      <c r="A2586" s="5"/>
      <c r="B2586" s="5"/>
      <c r="C2586" s="5"/>
      <c r="D2586" s="5"/>
      <c r="E2586" s="5"/>
      <c r="F2586" s="5"/>
      <c r="G2586" s="5"/>
      <c r="H2586" s="5"/>
      <c r="I2586" s="5"/>
      <c r="J2586" s="12"/>
      <c r="K2586" s="11"/>
      <c r="M2586" s="5"/>
      <c r="N2586" s="12"/>
      <c r="O2586" s="5"/>
      <c r="P2586" s="5"/>
      <c r="Q2586" s="5"/>
      <c r="R2586" s="5"/>
      <c r="T2586" s="5"/>
      <c r="U2586" s="5"/>
      <c r="V2586" s="5"/>
      <c r="W2586" s="5"/>
    </row>
    <row r="2587" spans="1:23" ht="12.5">
      <c r="A2587" s="5"/>
      <c r="B2587" s="5"/>
      <c r="C2587" s="5"/>
      <c r="D2587" s="5"/>
      <c r="E2587" s="5"/>
      <c r="F2587" s="5"/>
      <c r="G2587" s="5"/>
      <c r="H2587" s="5"/>
      <c r="I2587" s="5"/>
      <c r="J2587" s="12"/>
      <c r="K2587" s="11"/>
      <c r="M2587" s="5"/>
      <c r="N2587" s="12"/>
      <c r="O2587" s="5"/>
      <c r="P2587" s="5"/>
      <c r="Q2587" s="5"/>
      <c r="R2587" s="5"/>
      <c r="T2587" s="5"/>
      <c r="U2587" s="5"/>
      <c r="V2587" s="5"/>
      <c r="W2587" s="5"/>
    </row>
    <row r="2588" spans="1:23" ht="12.5">
      <c r="A2588" s="5"/>
      <c r="B2588" s="5"/>
      <c r="C2588" s="5"/>
      <c r="D2588" s="5"/>
      <c r="E2588" s="5"/>
      <c r="F2588" s="5"/>
      <c r="G2588" s="5"/>
      <c r="H2588" s="5"/>
      <c r="I2588" s="5"/>
      <c r="J2588" s="12"/>
      <c r="K2588" s="11"/>
      <c r="M2588" s="5"/>
      <c r="N2588" s="12"/>
      <c r="O2588" s="5"/>
      <c r="P2588" s="5"/>
      <c r="Q2588" s="5"/>
      <c r="R2588" s="5"/>
      <c r="T2588" s="5"/>
      <c r="U2588" s="5"/>
      <c r="V2588" s="5"/>
      <c r="W2588" s="5"/>
    </row>
    <row r="2589" spans="1:23" ht="12.5">
      <c r="A2589" s="5"/>
      <c r="B2589" s="5"/>
      <c r="C2589" s="5"/>
      <c r="D2589" s="5"/>
      <c r="E2589" s="5"/>
      <c r="F2589" s="5"/>
      <c r="G2589" s="5"/>
      <c r="H2589" s="5"/>
      <c r="I2589" s="5"/>
      <c r="J2589" s="12"/>
      <c r="K2589" s="11"/>
      <c r="M2589" s="5"/>
      <c r="N2589" s="12"/>
      <c r="O2589" s="5"/>
      <c r="P2589" s="5"/>
      <c r="Q2589" s="5"/>
      <c r="R2589" s="5"/>
      <c r="T2589" s="5"/>
      <c r="U2589" s="5"/>
      <c r="V2589" s="5"/>
      <c r="W2589" s="5"/>
    </row>
    <row r="2590" spans="1:23" ht="12.5">
      <c r="A2590" s="5"/>
      <c r="B2590" s="5"/>
      <c r="C2590" s="5"/>
      <c r="D2590" s="5"/>
      <c r="E2590" s="5"/>
      <c r="F2590" s="5"/>
      <c r="G2590" s="5"/>
      <c r="H2590" s="5"/>
      <c r="I2590" s="5"/>
      <c r="J2590" s="12"/>
      <c r="K2590" s="11"/>
      <c r="M2590" s="5"/>
      <c r="N2590" s="12"/>
      <c r="O2590" s="5"/>
      <c r="P2590" s="5"/>
      <c r="Q2590" s="5"/>
      <c r="R2590" s="5"/>
      <c r="T2590" s="5"/>
      <c r="U2590" s="5"/>
      <c r="V2590" s="5"/>
      <c r="W2590" s="5"/>
    </row>
    <row r="2591" spans="1:23" ht="12.5">
      <c r="A2591" s="5"/>
      <c r="B2591" s="5"/>
      <c r="C2591" s="5"/>
      <c r="D2591" s="5"/>
      <c r="E2591" s="5"/>
      <c r="F2591" s="5"/>
      <c r="G2591" s="5"/>
      <c r="H2591" s="5"/>
      <c r="I2591" s="5"/>
      <c r="J2591" s="12"/>
      <c r="K2591" s="11"/>
      <c r="M2591" s="5"/>
      <c r="N2591" s="12"/>
      <c r="O2591" s="5"/>
      <c r="P2591" s="5"/>
      <c r="Q2591" s="5"/>
      <c r="R2591" s="5"/>
      <c r="T2591" s="5"/>
      <c r="U2591" s="5"/>
      <c r="V2591" s="5"/>
      <c r="W2591" s="5"/>
    </row>
    <row r="2592" spans="1:23" ht="12.5">
      <c r="A2592" s="5"/>
      <c r="B2592" s="5"/>
      <c r="C2592" s="5"/>
      <c r="D2592" s="5"/>
      <c r="E2592" s="5"/>
      <c r="F2592" s="5"/>
      <c r="G2592" s="5"/>
      <c r="H2592" s="5"/>
      <c r="I2592" s="5"/>
      <c r="J2592" s="12"/>
      <c r="K2592" s="11"/>
      <c r="M2592" s="5"/>
      <c r="N2592" s="12"/>
      <c r="O2592" s="5"/>
      <c r="P2592" s="5"/>
      <c r="Q2592" s="5"/>
      <c r="R2592" s="5"/>
      <c r="T2592" s="5"/>
      <c r="U2592" s="5"/>
      <c r="V2592" s="5"/>
      <c r="W2592" s="5"/>
    </row>
    <row r="2593" spans="1:23" ht="12.5">
      <c r="A2593" s="5"/>
      <c r="B2593" s="5"/>
      <c r="C2593" s="5"/>
      <c r="D2593" s="5"/>
      <c r="E2593" s="5"/>
      <c r="F2593" s="5"/>
      <c r="G2593" s="5"/>
      <c r="H2593" s="5"/>
      <c r="I2593" s="5"/>
      <c r="J2593" s="12"/>
      <c r="K2593" s="11"/>
      <c r="M2593" s="5"/>
      <c r="N2593" s="12"/>
      <c r="O2593" s="5"/>
      <c r="P2593" s="5"/>
      <c r="Q2593" s="5"/>
      <c r="R2593" s="5"/>
      <c r="T2593" s="5"/>
      <c r="U2593" s="5"/>
      <c r="V2593" s="5"/>
      <c r="W2593" s="5"/>
    </row>
    <row r="2594" spans="1:23" ht="12.5">
      <c r="A2594" s="5"/>
      <c r="B2594" s="5"/>
      <c r="C2594" s="5"/>
      <c r="D2594" s="5"/>
      <c r="E2594" s="5"/>
      <c r="F2594" s="5"/>
      <c r="G2594" s="5"/>
      <c r="H2594" s="5"/>
      <c r="I2594" s="5"/>
      <c r="J2594" s="12"/>
      <c r="K2594" s="11"/>
      <c r="M2594" s="5"/>
      <c r="N2594" s="12"/>
      <c r="O2594" s="5"/>
      <c r="P2594" s="5"/>
      <c r="Q2594" s="5"/>
      <c r="R2594" s="5"/>
      <c r="T2594" s="5"/>
      <c r="U2594" s="5"/>
      <c r="V2594" s="5"/>
      <c r="W2594" s="5"/>
    </row>
    <row r="2595" spans="1:23" ht="12.5">
      <c r="A2595" s="5"/>
      <c r="B2595" s="5"/>
      <c r="C2595" s="5"/>
      <c r="D2595" s="5"/>
      <c r="E2595" s="5"/>
      <c r="F2595" s="5"/>
      <c r="G2595" s="5"/>
      <c r="H2595" s="5"/>
      <c r="I2595" s="5"/>
      <c r="J2595" s="12"/>
      <c r="K2595" s="11"/>
      <c r="M2595" s="5"/>
      <c r="N2595" s="12"/>
      <c r="O2595" s="5"/>
      <c r="P2595" s="5"/>
      <c r="Q2595" s="5"/>
      <c r="R2595" s="5"/>
      <c r="T2595" s="5"/>
      <c r="U2595" s="5"/>
      <c r="V2595" s="5"/>
      <c r="W2595" s="5"/>
    </row>
    <row r="2596" spans="1:23" ht="12.5">
      <c r="A2596" s="5"/>
      <c r="B2596" s="5"/>
      <c r="C2596" s="5"/>
      <c r="D2596" s="5"/>
      <c r="E2596" s="5"/>
      <c r="F2596" s="5"/>
      <c r="G2596" s="5"/>
      <c r="H2596" s="5"/>
      <c r="I2596" s="5"/>
      <c r="J2596" s="12"/>
      <c r="K2596" s="11"/>
      <c r="M2596" s="5"/>
      <c r="N2596" s="12"/>
      <c r="O2596" s="5"/>
      <c r="P2596" s="5"/>
      <c r="Q2596" s="5"/>
      <c r="R2596" s="5"/>
      <c r="T2596" s="5"/>
      <c r="U2596" s="5"/>
      <c r="V2596" s="5"/>
      <c r="W2596" s="5"/>
    </row>
    <row r="2597" spans="1:23" ht="12.5">
      <c r="A2597" s="5"/>
      <c r="B2597" s="5"/>
      <c r="C2597" s="5"/>
      <c r="D2597" s="5"/>
      <c r="E2597" s="5"/>
      <c r="F2597" s="5"/>
      <c r="G2597" s="5"/>
      <c r="H2597" s="5"/>
      <c r="I2597" s="5"/>
      <c r="J2597" s="12"/>
      <c r="K2597" s="11"/>
      <c r="M2597" s="5"/>
      <c r="N2597" s="12"/>
      <c r="O2597" s="5"/>
      <c r="P2597" s="5"/>
      <c r="Q2597" s="5"/>
      <c r="R2597" s="5"/>
      <c r="T2597" s="5"/>
      <c r="U2597" s="5"/>
      <c r="V2597" s="5"/>
      <c r="W2597" s="5"/>
    </row>
    <row r="2598" spans="1:23" ht="12.5">
      <c r="A2598" s="5"/>
      <c r="B2598" s="5"/>
      <c r="C2598" s="5"/>
      <c r="D2598" s="5"/>
      <c r="E2598" s="5"/>
      <c r="F2598" s="5"/>
      <c r="G2598" s="5"/>
      <c r="H2598" s="5"/>
      <c r="I2598" s="5"/>
      <c r="J2598" s="12"/>
      <c r="K2598" s="11"/>
      <c r="M2598" s="5"/>
      <c r="N2598" s="12"/>
      <c r="O2598" s="5"/>
      <c r="P2598" s="5"/>
      <c r="Q2598" s="5"/>
      <c r="R2598" s="5"/>
      <c r="T2598" s="5"/>
      <c r="U2598" s="5"/>
      <c r="V2598" s="5"/>
      <c r="W2598" s="5"/>
    </row>
    <row r="2599" spans="1:23" ht="12.5">
      <c r="A2599" s="5"/>
      <c r="B2599" s="5"/>
      <c r="C2599" s="5"/>
      <c r="D2599" s="5"/>
      <c r="E2599" s="5"/>
      <c r="F2599" s="5"/>
      <c r="G2599" s="5"/>
      <c r="H2599" s="5"/>
      <c r="I2599" s="5"/>
      <c r="J2599" s="12"/>
      <c r="K2599" s="11"/>
      <c r="M2599" s="5"/>
      <c r="N2599" s="12"/>
      <c r="O2599" s="5"/>
      <c r="P2599" s="5"/>
      <c r="Q2599" s="5"/>
      <c r="R2599" s="5"/>
      <c r="T2599" s="5"/>
      <c r="U2599" s="5"/>
      <c r="V2599" s="5"/>
      <c r="W2599" s="5"/>
    </row>
    <row r="2600" spans="1:23" ht="12.5">
      <c r="A2600" s="5"/>
      <c r="B2600" s="5"/>
      <c r="C2600" s="5"/>
      <c r="D2600" s="5"/>
      <c r="E2600" s="5"/>
      <c r="F2600" s="5"/>
      <c r="G2600" s="5"/>
      <c r="H2600" s="5"/>
      <c r="I2600" s="5"/>
      <c r="J2600" s="12"/>
      <c r="K2600" s="11"/>
      <c r="M2600" s="5"/>
      <c r="N2600" s="12"/>
      <c r="O2600" s="5"/>
      <c r="P2600" s="5"/>
      <c r="Q2600" s="5"/>
      <c r="R2600" s="5"/>
      <c r="T2600" s="5"/>
      <c r="U2600" s="5"/>
      <c r="V2600" s="5"/>
      <c r="W2600" s="5"/>
    </row>
    <row r="2601" spans="1:23" ht="12.5">
      <c r="A2601" s="5"/>
      <c r="B2601" s="5"/>
      <c r="C2601" s="5"/>
      <c r="D2601" s="5"/>
      <c r="E2601" s="5"/>
      <c r="F2601" s="5"/>
      <c r="G2601" s="5"/>
      <c r="H2601" s="5"/>
      <c r="I2601" s="5"/>
      <c r="J2601" s="12"/>
      <c r="K2601" s="11"/>
      <c r="M2601" s="5"/>
      <c r="N2601" s="12"/>
      <c r="O2601" s="5"/>
      <c r="P2601" s="5"/>
      <c r="Q2601" s="5"/>
      <c r="R2601" s="5"/>
      <c r="T2601" s="5"/>
      <c r="U2601" s="5"/>
      <c r="V2601" s="5"/>
      <c r="W2601" s="5"/>
    </row>
    <row r="2602" spans="1:23" ht="12.5">
      <c r="A2602" s="5"/>
      <c r="B2602" s="5"/>
      <c r="C2602" s="5"/>
      <c r="D2602" s="5"/>
      <c r="E2602" s="5"/>
      <c r="F2602" s="5"/>
      <c r="G2602" s="5"/>
      <c r="H2602" s="5"/>
      <c r="I2602" s="5"/>
      <c r="J2602" s="12"/>
      <c r="K2602" s="11"/>
      <c r="M2602" s="5"/>
      <c r="N2602" s="12"/>
      <c r="O2602" s="5"/>
      <c r="P2602" s="5"/>
      <c r="Q2602" s="5"/>
      <c r="R2602" s="5"/>
      <c r="T2602" s="5"/>
      <c r="U2602" s="5"/>
      <c r="V2602" s="5"/>
      <c r="W2602" s="5"/>
    </row>
    <row r="2603" spans="1:23" ht="12.5">
      <c r="A2603" s="5"/>
      <c r="B2603" s="5"/>
      <c r="C2603" s="5"/>
      <c r="D2603" s="5"/>
      <c r="E2603" s="5"/>
      <c r="F2603" s="5"/>
      <c r="G2603" s="5"/>
      <c r="H2603" s="5"/>
      <c r="I2603" s="5"/>
      <c r="J2603" s="12"/>
      <c r="K2603" s="11"/>
      <c r="M2603" s="5"/>
      <c r="N2603" s="12"/>
      <c r="O2603" s="5"/>
      <c r="P2603" s="5"/>
      <c r="Q2603" s="5"/>
      <c r="R2603" s="5"/>
      <c r="T2603" s="5"/>
      <c r="U2603" s="5"/>
      <c r="V2603" s="5"/>
      <c r="W2603" s="5"/>
    </row>
    <row r="2604" spans="1:23" ht="12.5">
      <c r="A2604" s="5"/>
      <c r="B2604" s="5"/>
      <c r="C2604" s="5"/>
      <c r="D2604" s="5"/>
      <c r="E2604" s="5"/>
      <c r="F2604" s="5"/>
      <c r="G2604" s="5"/>
      <c r="H2604" s="5"/>
      <c r="I2604" s="5"/>
      <c r="J2604" s="12"/>
      <c r="K2604" s="11"/>
      <c r="M2604" s="5"/>
      <c r="N2604" s="12"/>
      <c r="O2604" s="5"/>
      <c r="P2604" s="5"/>
      <c r="Q2604" s="5"/>
      <c r="R2604" s="5"/>
      <c r="T2604" s="5"/>
      <c r="U2604" s="5"/>
      <c r="V2604" s="5"/>
      <c r="W2604" s="5"/>
    </row>
    <row r="2605" spans="1:23" ht="12.5">
      <c r="A2605" s="5"/>
      <c r="B2605" s="5"/>
      <c r="C2605" s="5"/>
      <c r="D2605" s="5"/>
      <c r="E2605" s="5"/>
      <c r="F2605" s="5"/>
      <c r="G2605" s="5"/>
      <c r="H2605" s="5"/>
      <c r="I2605" s="5"/>
      <c r="J2605" s="12"/>
      <c r="K2605" s="11"/>
      <c r="M2605" s="5"/>
      <c r="N2605" s="12"/>
      <c r="O2605" s="5"/>
      <c r="P2605" s="5"/>
      <c r="Q2605" s="5"/>
      <c r="R2605" s="5"/>
      <c r="T2605" s="5"/>
      <c r="U2605" s="5"/>
      <c r="V2605" s="5"/>
      <c r="W2605" s="5"/>
    </row>
    <row r="2606" spans="1:23" ht="12.5">
      <c r="A2606" s="5"/>
      <c r="B2606" s="5"/>
      <c r="C2606" s="5"/>
      <c r="D2606" s="5"/>
      <c r="E2606" s="5"/>
      <c r="F2606" s="5"/>
      <c r="G2606" s="5"/>
      <c r="H2606" s="5"/>
      <c r="I2606" s="5"/>
      <c r="J2606" s="12"/>
      <c r="K2606" s="11"/>
      <c r="M2606" s="5"/>
      <c r="N2606" s="12"/>
      <c r="O2606" s="5"/>
      <c r="P2606" s="5"/>
      <c r="Q2606" s="5"/>
      <c r="R2606" s="5"/>
      <c r="T2606" s="5"/>
      <c r="U2606" s="5"/>
      <c r="V2606" s="5"/>
      <c r="W2606" s="5"/>
    </row>
    <row r="2607" spans="1:23" ht="12.5">
      <c r="A2607" s="5"/>
      <c r="B2607" s="5"/>
      <c r="C2607" s="5"/>
      <c r="D2607" s="5"/>
      <c r="E2607" s="5"/>
      <c r="F2607" s="5"/>
      <c r="G2607" s="5"/>
      <c r="H2607" s="5"/>
      <c r="I2607" s="5"/>
      <c r="J2607" s="12"/>
      <c r="K2607" s="11"/>
      <c r="M2607" s="5"/>
      <c r="N2607" s="12"/>
      <c r="O2607" s="5"/>
      <c r="P2607" s="5"/>
      <c r="Q2607" s="5"/>
      <c r="R2607" s="5"/>
      <c r="T2607" s="5"/>
      <c r="U2607" s="5"/>
      <c r="V2607" s="5"/>
      <c r="W2607" s="5"/>
    </row>
    <row r="2608" spans="1:23" ht="12.5">
      <c r="A2608" s="5"/>
      <c r="B2608" s="5"/>
      <c r="C2608" s="5"/>
      <c r="D2608" s="5"/>
      <c r="E2608" s="5"/>
      <c r="F2608" s="5"/>
      <c r="G2608" s="5"/>
      <c r="H2608" s="5"/>
      <c r="I2608" s="5"/>
      <c r="J2608" s="12"/>
      <c r="K2608" s="11"/>
      <c r="M2608" s="5"/>
      <c r="N2608" s="12"/>
      <c r="O2608" s="5"/>
      <c r="P2608" s="5"/>
      <c r="Q2608" s="5"/>
      <c r="R2608" s="5"/>
      <c r="T2608" s="5"/>
      <c r="U2608" s="5"/>
      <c r="V2608" s="5"/>
      <c r="W2608" s="5"/>
    </row>
    <row r="2609" spans="1:23" ht="12.5">
      <c r="A2609" s="5"/>
      <c r="B2609" s="5"/>
      <c r="C2609" s="5"/>
      <c r="D2609" s="5"/>
      <c r="E2609" s="5"/>
      <c r="F2609" s="5"/>
      <c r="G2609" s="5"/>
      <c r="H2609" s="5"/>
      <c r="I2609" s="5"/>
      <c r="J2609" s="12"/>
      <c r="K2609" s="11"/>
      <c r="M2609" s="5"/>
      <c r="N2609" s="12"/>
      <c r="O2609" s="5"/>
      <c r="P2609" s="5"/>
      <c r="Q2609" s="5"/>
      <c r="R2609" s="5"/>
      <c r="T2609" s="5"/>
      <c r="U2609" s="5"/>
      <c r="V2609" s="5"/>
      <c r="W2609" s="5"/>
    </row>
    <row r="2610" spans="1:23" ht="12.5">
      <c r="A2610" s="5"/>
      <c r="B2610" s="5"/>
      <c r="C2610" s="5"/>
      <c r="D2610" s="5"/>
      <c r="E2610" s="5"/>
      <c r="F2610" s="5"/>
      <c r="G2610" s="5"/>
      <c r="H2610" s="5"/>
      <c r="I2610" s="5"/>
      <c r="J2610" s="12"/>
      <c r="K2610" s="11"/>
      <c r="M2610" s="5"/>
      <c r="N2610" s="12"/>
      <c r="O2610" s="5"/>
      <c r="P2610" s="5"/>
      <c r="Q2610" s="5"/>
      <c r="R2610" s="5"/>
      <c r="T2610" s="5"/>
      <c r="U2610" s="5"/>
      <c r="V2610" s="5"/>
      <c r="W2610" s="5"/>
    </row>
    <row r="2611" spans="1:23" ht="12.5">
      <c r="A2611" s="5"/>
      <c r="B2611" s="5"/>
      <c r="C2611" s="5"/>
      <c r="D2611" s="5"/>
      <c r="E2611" s="5"/>
      <c r="F2611" s="5"/>
      <c r="G2611" s="5"/>
      <c r="H2611" s="5"/>
      <c r="I2611" s="5"/>
      <c r="J2611" s="12"/>
      <c r="K2611" s="11"/>
      <c r="M2611" s="5"/>
      <c r="N2611" s="12"/>
      <c r="O2611" s="5"/>
      <c r="P2611" s="5"/>
      <c r="Q2611" s="5"/>
      <c r="R2611" s="5"/>
      <c r="T2611" s="5"/>
      <c r="U2611" s="5"/>
      <c r="V2611" s="5"/>
      <c r="W2611" s="5"/>
    </row>
    <row r="2612" spans="1:23" ht="12.5">
      <c r="A2612" s="5"/>
      <c r="B2612" s="5"/>
      <c r="C2612" s="5"/>
      <c r="D2612" s="5"/>
      <c r="E2612" s="5"/>
      <c r="F2612" s="5"/>
      <c r="G2612" s="5"/>
      <c r="H2612" s="5"/>
      <c r="I2612" s="5"/>
      <c r="J2612" s="12"/>
      <c r="K2612" s="11"/>
      <c r="M2612" s="5"/>
      <c r="N2612" s="12"/>
      <c r="O2612" s="5"/>
      <c r="P2612" s="5"/>
      <c r="Q2612" s="5"/>
      <c r="R2612" s="5"/>
      <c r="T2612" s="5"/>
      <c r="U2612" s="5"/>
      <c r="V2612" s="5"/>
      <c r="W2612" s="5"/>
    </row>
    <row r="2613" spans="1:23" ht="12.5">
      <c r="A2613" s="5"/>
      <c r="B2613" s="5"/>
      <c r="C2613" s="5"/>
      <c r="D2613" s="5"/>
      <c r="E2613" s="5"/>
      <c r="F2613" s="5"/>
      <c r="G2613" s="5"/>
      <c r="H2613" s="5"/>
      <c r="I2613" s="5"/>
      <c r="J2613" s="12"/>
      <c r="K2613" s="11"/>
      <c r="M2613" s="5"/>
      <c r="N2613" s="12"/>
      <c r="O2613" s="5"/>
      <c r="P2613" s="5"/>
      <c r="Q2613" s="5"/>
      <c r="R2613" s="5"/>
      <c r="T2613" s="5"/>
      <c r="U2613" s="5"/>
      <c r="V2613" s="5"/>
      <c r="W2613" s="5"/>
    </row>
    <row r="2614" spans="1:23" ht="12.5">
      <c r="A2614" s="5"/>
      <c r="B2614" s="5"/>
      <c r="C2614" s="5"/>
      <c r="D2614" s="5"/>
      <c r="E2614" s="5"/>
      <c r="F2614" s="5"/>
      <c r="G2614" s="5"/>
      <c r="H2614" s="5"/>
      <c r="I2614" s="5"/>
      <c r="J2614" s="12"/>
      <c r="K2614" s="11"/>
      <c r="M2614" s="5"/>
      <c r="N2614" s="12"/>
      <c r="O2614" s="5"/>
      <c r="P2614" s="5"/>
      <c r="Q2614" s="5"/>
      <c r="R2614" s="5"/>
      <c r="T2614" s="5"/>
      <c r="U2614" s="5"/>
      <c r="V2614" s="5"/>
      <c r="W2614" s="5"/>
    </row>
    <row r="2615" spans="1:23" ht="12.5">
      <c r="A2615" s="5"/>
      <c r="B2615" s="5"/>
      <c r="C2615" s="5"/>
      <c r="D2615" s="5"/>
      <c r="E2615" s="5"/>
      <c r="F2615" s="5"/>
      <c r="G2615" s="5"/>
      <c r="H2615" s="5"/>
      <c r="I2615" s="5"/>
      <c r="J2615" s="12"/>
      <c r="K2615" s="11"/>
      <c r="M2615" s="5"/>
      <c r="N2615" s="12"/>
      <c r="O2615" s="5"/>
      <c r="P2615" s="5"/>
      <c r="Q2615" s="5"/>
      <c r="R2615" s="5"/>
      <c r="T2615" s="5"/>
      <c r="U2615" s="5"/>
      <c r="V2615" s="5"/>
      <c r="W2615" s="5"/>
    </row>
    <row r="2616" spans="1:23" ht="12.5">
      <c r="A2616" s="5"/>
      <c r="B2616" s="5"/>
      <c r="C2616" s="5"/>
      <c r="D2616" s="5"/>
      <c r="E2616" s="5"/>
      <c r="F2616" s="5"/>
      <c r="G2616" s="5"/>
      <c r="H2616" s="5"/>
      <c r="I2616" s="5"/>
      <c r="J2616" s="12"/>
      <c r="K2616" s="11"/>
      <c r="M2616" s="5"/>
      <c r="N2616" s="12"/>
      <c r="O2616" s="5"/>
      <c r="P2616" s="5"/>
      <c r="Q2616" s="5"/>
      <c r="R2616" s="5"/>
      <c r="T2616" s="5"/>
      <c r="U2616" s="5"/>
      <c r="V2616" s="5"/>
      <c r="W2616" s="5"/>
    </row>
    <row r="2617" spans="1:23" ht="12.5">
      <c r="A2617" s="5"/>
      <c r="B2617" s="5"/>
      <c r="C2617" s="5"/>
      <c r="D2617" s="5"/>
      <c r="E2617" s="5"/>
      <c r="F2617" s="5"/>
      <c r="G2617" s="5"/>
      <c r="H2617" s="5"/>
      <c r="I2617" s="5"/>
      <c r="J2617" s="12"/>
      <c r="K2617" s="11"/>
      <c r="M2617" s="5"/>
      <c r="N2617" s="12"/>
      <c r="O2617" s="5"/>
      <c r="P2617" s="5"/>
      <c r="Q2617" s="5"/>
      <c r="R2617" s="5"/>
      <c r="T2617" s="5"/>
      <c r="U2617" s="5"/>
      <c r="V2617" s="5"/>
      <c r="W2617" s="5"/>
    </row>
    <row r="2618" spans="1:23" ht="12.5">
      <c r="A2618" s="5"/>
      <c r="B2618" s="5"/>
      <c r="C2618" s="5"/>
      <c r="D2618" s="5"/>
      <c r="E2618" s="5"/>
      <c r="F2618" s="5"/>
      <c r="G2618" s="5"/>
      <c r="H2618" s="5"/>
      <c r="I2618" s="5"/>
      <c r="J2618" s="12"/>
      <c r="K2618" s="11"/>
      <c r="M2618" s="5"/>
      <c r="N2618" s="12"/>
      <c r="O2618" s="5"/>
      <c r="P2618" s="5"/>
      <c r="Q2618" s="5"/>
      <c r="R2618" s="5"/>
      <c r="T2618" s="5"/>
      <c r="U2618" s="5"/>
      <c r="V2618" s="5"/>
      <c r="W2618" s="5"/>
    </row>
    <row r="2619" spans="1:23" ht="12.5">
      <c r="A2619" s="5"/>
      <c r="B2619" s="5"/>
      <c r="C2619" s="5"/>
      <c r="D2619" s="5"/>
      <c r="E2619" s="5"/>
      <c r="F2619" s="5"/>
      <c r="G2619" s="5"/>
      <c r="H2619" s="5"/>
      <c r="I2619" s="5"/>
      <c r="J2619" s="12"/>
      <c r="K2619" s="11"/>
      <c r="M2619" s="5"/>
      <c r="N2619" s="12"/>
      <c r="O2619" s="5"/>
      <c r="P2619" s="5"/>
      <c r="Q2619" s="5"/>
      <c r="R2619" s="5"/>
      <c r="T2619" s="5"/>
      <c r="U2619" s="5"/>
      <c r="V2619" s="5"/>
      <c r="W2619" s="5"/>
    </row>
    <row r="2620" spans="1:23" ht="12.5">
      <c r="A2620" s="5"/>
      <c r="B2620" s="5"/>
      <c r="C2620" s="5"/>
      <c r="D2620" s="5"/>
      <c r="E2620" s="5"/>
      <c r="F2620" s="5"/>
      <c r="G2620" s="5"/>
      <c r="H2620" s="5"/>
      <c r="I2620" s="5"/>
      <c r="J2620" s="12"/>
      <c r="K2620" s="11"/>
      <c r="M2620" s="5"/>
      <c r="N2620" s="12"/>
      <c r="O2620" s="5"/>
      <c r="P2620" s="5"/>
      <c r="Q2620" s="5"/>
      <c r="R2620" s="5"/>
      <c r="T2620" s="5"/>
      <c r="U2620" s="5"/>
      <c r="V2620" s="5"/>
      <c r="W2620" s="5"/>
    </row>
    <row r="2621" spans="1:23" ht="12.5">
      <c r="A2621" s="5"/>
      <c r="B2621" s="5"/>
      <c r="C2621" s="5"/>
      <c r="D2621" s="5"/>
      <c r="E2621" s="5"/>
      <c r="F2621" s="5"/>
      <c r="G2621" s="5"/>
      <c r="H2621" s="5"/>
      <c r="I2621" s="5"/>
      <c r="J2621" s="12"/>
      <c r="K2621" s="11"/>
      <c r="M2621" s="5"/>
      <c r="N2621" s="12"/>
      <c r="O2621" s="5"/>
      <c r="P2621" s="5"/>
      <c r="Q2621" s="5"/>
      <c r="R2621" s="5"/>
      <c r="T2621" s="5"/>
      <c r="U2621" s="5"/>
      <c r="V2621" s="5"/>
      <c r="W2621" s="5"/>
    </row>
    <row r="2622" spans="1:23" ht="12.5">
      <c r="A2622" s="5"/>
      <c r="B2622" s="5"/>
      <c r="C2622" s="5"/>
      <c r="D2622" s="5"/>
      <c r="E2622" s="5"/>
      <c r="F2622" s="5"/>
      <c r="G2622" s="5"/>
      <c r="H2622" s="5"/>
      <c r="I2622" s="5"/>
      <c r="J2622" s="12"/>
      <c r="K2622" s="11"/>
      <c r="M2622" s="5"/>
      <c r="N2622" s="12"/>
      <c r="O2622" s="5"/>
      <c r="P2622" s="5"/>
      <c r="Q2622" s="5"/>
      <c r="R2622" s="5"/>
      <c r="T2622" s="5"/>
      <c r="U2622" s="5"/>
      <c r="V2622" s="5"/>
      <c r="W2622" s="5"/>
    </row>
    <row r="2623" spans="1:23" ht="12.5">
      <c r="A2623" s="5"/>
      <c r="B2623" s="5"/>
      <c r="C2623" s="5"/>
      <c r="D2623" s="5"/>
      <c r="E2623" s="5"/>
      <c r="F2623" s="5"/>
      <c r="G2623" s="5"/>
      <c r="H2623" s="5"/>
      <c r="I2623" s="5"/>
      <c r="J2623" s="12"/>
      <c r="K2623" s="11"/>
      <c r="M2623" s="5"/>
      <c r="N2623" s="12"/>
      <c r="O2623" s="5"/>
      <c r="P2623" s="5"/>
      <c r="Q2623" s="5"/>
      <c r="R2623" s="5"/>
      <c r="T2623" s="5"/>
      <c r="U2623" s="5"/>
      <c r="V2623" s="5"/>
      <c r="W2623" s="5"/>
    </row>
    <row r="2624" spans="1:23" ht="12.5">
      <c r="A2624" s="5"/>
      <c r="B2624" s="5"/>
      <c r="C2624" s="5"/>
      <c r="D2624" s="5"/>
      <c r="E2624" s="5"/>
      <c r="F2624" s="5"/>
      <c r="G2624" s="5"/>
      <c r="H2624" s="5"/>
      <c r="I2624" s="5"/>
      <c r="J2624" s="12"/>
      <c r="K2624" s="11"/>
      <c r="M2624" s="5"/>
      <c r="N2624" s="12"/>
      <c r="O2624" s="5"/>
      <c r="P2624" s="5"/>
      <c r="Q2624" s="5"/>
      <c r="R2624" s="5"/>
      <c r="T2624" s="5"/>
      <c r="U2624" s="5"/>
      <c r="V2624" s="5"/>
      <c r="W2624" s="5"/>
    </row>
    <row r="2625" spans="1:23" ht="12.5">
      <c r="A2625" s="5"/>
      <c r="B2625" s="5"/>
      <c r="C2625" s="5"/>
      <c r="D2625" s="5"/>
      <c r="E2625" s="5"/>
      <c r="F2625" s="5"/>
      <c r="G2625" s="5"/>
      <c r="H2625" s="5"/>
      <c r="I2625" s="5"/>
      <c r="J2625" s="12"/>
      <c r="K2625" s="11"/>
      <c r="M2625" s="5"/>
      <c r="N2625" s="12"/>
      <c r="O2625" s="5"/>
      <c r="P2625" s="5"/>
      <c r="Q2625" s="5"/>
      <c r="R2625" s="5"/>
      <c r="T2625" s="5"/>
      <c r="U2625" s="5"/>
      <c r="V2625" s="5"/>
      <c r="W2625" s="5"/>
    </row>
    <row r="2626" spans="1:23" ht="12.5">
      <c r="A2626" s="5"/>
      <c r="B2626" s="5"/>
      <c r="C2626" s="5"/>
      <c r="D2626" s="5"/>
      <c r="E2626" s="5"/>
      <c r="F2626" s="5"/>
      <c r="G2626" s="5"/>
      <c r="H2626" s="5"/>
      <c r="I2626" s="5"/>
      <c r="J2626" s="12"/>
      <c r="K2626" s="11"/>
      <c r="M2626" s="5"/>
      <c r="N2626" s="12"/>
      <c r="O2626" s="5"/>
      <c r="P2626" s="5"/>
      <c r="Q2626" s="5"/>
      <c r="R2626" s="5"/>
      <c r="T2626" s="5"/>
      <c r="U2626" s="5"/>
      <c r="V2626" s="5"/>
      <c r="W2626" s="5"/>
    </row>
    <row r="2627" spans="1:23" ht="12.5">
      <c r="A2627" s="5"/>
      <c r="B2627" s="5"/>
      <c r="C2627" s="5"/>
      <c r="D2627" s="5"/>
      <c r="E2627" s="5"/>
      <c r="F2627" s="5"/>
      <c r="G2627" s="5"/>
      <c r="H2627" s="5"/>
      <c r="I2627" s="5"/>
      <c r="J2627" s="12"/>
      <c r="K2627" s="11"/>
      <c r="M2627" s="5"/>
      <c r="N2627" s="12"/>
      <c r="O2627" s="5"/>
      <c r="P2627" s="5"/>
      <c r="Q2627" s="5"/>
      <c r="R2627" s="5"/>
      <c r="T2627" s="5"/>
      <c r="U2627" s="5"/>
      <c r="V2627" s="5"/>
      <c r="W2627" s="5"/>
    </row>
    <row r="2628" spans="1:23" ht="12.5">
      <c r="A2628" s="5"/>
      <c r="B2628" s="5"/>
      <c r="C2628" s="5"/>
      <c r="D2628" s="5"/>
      <c r="E2628" s="5"/>
      <c r="F2628" s="5"/>
      <c r="G2628" s="5"/>
      <c r="H2628" s="5"/>
      <c r="I2628" s="5"/>
      <c r="J2628" s="12"/>
      <c r="K2628" s="11"/>
      <c r="M2628" s="5"/>
      <c r="N2628" s="12"/>
      <c r="O2628" s="5"/>
      <c r="P2628" s="5"/>
      <c r="Q2628" s="5"/>
      <c r="R2628" s="5"/>
      <c r="T2628" s="5"/>
      <c r="U2628" s="5"/>
      <c r="V2628" s="5"/>
      <c r="W2628" s="5"/>
    </row>
    <row r="2629" spans="1:23" ht="12.5">
      <c r="A2629" s="5"/>
      <c r="B2629" s="5"/>
      <c r="C2629" s="5"/>
      <c r="D2629" s="5"/>
      <c r="E2629" s="5"/>
      <c r="F2629" s="5"/>
      <c r="G2629" s="5"/>
      <c r="H2629" s="5"/>
      <c r="I2629" s="5"/>
      <c r="J2629" s="12"/>
      <c r="K2629" s="11"/>
      <c r="M2629" s="5"/>
      <c r="N2629" s="12"/>
      <c r="O2629" s="5"/>
      <c r="P2629" s="5"/>
      <c r="Q2629" s="5"/>
      <c r="R2629" s="5"/>
      <c r="T2629" s="5"/>
      <c r="U2629" s="5"/>
      <c r="V2629" s="5"/>
      <c r="W2629" s="5"/>
    </row>
    <row r="2630" spans="1:23" ht="12.5">
      <c r="A2630" s="5"/>
      <c r="B2630" s="5"/>
      <c r="C2630" s="5"/>
      <c r="D2630" s="5"/>
      <c r="E2630" s="5"/>
      <c r="F2630" s="5"/>
      <c r="G2630" s="5"/>
      <c r="H2630" s="5"/>
      <c r="I2630" s="5"/>
      <c r="J2630" s="12"/>
      <c r="K2630" s="11"/>
      <c r="M2630" s="5"/>
      <c r="N2630" s="12"/>
      <c r="O2630" s="5"/>
      <c r="P2630" s="5"/>
      <c r="Q2630" s="5"/>
      <c r="R2630" s="5"/>
      <c r="T2630" s="5"/>
      <c r="U2630" s="5"/>
      <c r="V2630" s="5"/>
      <c r="W2630" s="5"/>
    </row>
    <row r="2631" spans="1:23" ht="12.5">
      <c r="A2631" s="5"/>
      <c r="B2631" s="5"/>
      <c r="C2631" s="5"/>
      <c r="D2631" s="5"/>
      <c r="E2631" s="5"/>
      <c r="F2631" s="5"/>
      <c r="G2631" s="5"/>
      <c r="H2631" s="5"/>
      <c r="I2631" s="5"/>
      <c r="J2631" s="12"/>
      <c r="K2631" s="11"/>
      <c r="M2631" s="5"/>
      <c r="N2631" s="12"/>
      <c r="O2631" s="5"/>
      <c r="P2631" s="5"/>
      <c r="Q2631" s="5"/>
      <c r="R2631" s="5"/>
      <c r="T2631" s="5"/>
      <c r="U2631" s="5"/>
      <c r="V2631" s="5"/>
      <c r="W2631" s="5"/>
    </row>
    <row r="2632" spans="1:23" ht="12.5">
      <c r="A2632" s="5"/>
      <c r="B2632" s="5"/>
      <c r="C2632" s="5"/>
      <c r="D2632" s="5"/>
      <c r="E2632" s="5"/>
      <c r="F2632" s="5"/>
      <c r="G2632" s="5"/>
      <c r="H2632" s="5"/>
      <c r="I2632" s="5"/>
      <c r="J2632" s="12"/>
      <c r="K2632" s="11"/>
      <c r="M2632" s="5"/>
      <c r="N2632" s="12"/>
      <c r="O2632" s="5"/>
      <c r="P2632" s="5"/>
      <c r="Q2632" s="5"/>
      <c r="R2632" s="5"/>
      <c r="T2632" s="5"/>
      <c r="U2632" s="5"/>
      <c r="V2632" s="5"/>
      <c r="W2632" s="5"/>
    </row>
    <row r="2633" spans="1:23" ht="12.5">
      <c r="A2633" s="5"/>
      <c r="B2633" s="5"/>
      <c r="C2633" s="5"/>
      <c r="D2633" s="5"/>
      <c r="E2633" s="5"/>
      <c r="F2633" s="5"/>
      <c r="G2633" s="5"/>
      <c r="H2633" s="5"/>
      <c r="I2633" s="5"/>
      <c r="J2633" s="12"/>
      <c r="K2633" s="11"/>
      <c r="M2633" s="5"/>
      <c r="N2633" s="12"/>
      <c r="O2633" s="5"/>
      <c r="P2633" s="5"/>
      <c r="Q2633" s="5"/>
      <c r="R2633" s="5"/>
      <c r="T2633" s="5"/>
      <c r="U2633" s="5"/>
      <c r="V2633" s="5"/>
      <c r="W2633" s="5"/>
    </row>
    <row r="2634" spans="1:23" ht="12.5">
      <c r="A2634" s="5"/>
      <c r="B2634" s="5"/>
      <c r="C2634" s="5"/>
      <c r="D2634" s="5"/>
      <c r="E2634" s="5"/>
      <c r="F2634" s="5"/>
      <c r="G2634" s="5"/>
      <c r="H2634" s="5"/>
      <c r="I2634" s="5"/>
      <c r="J2634" s="12"/>
      <c r="K2634" s="11"/>
      <c r="M2634" s="5"/>
      <c r="N2634" s="12"/>
      <c r="O2634" s="5"/>
      <c r="P2634" s="5"/>
      <c r="Q2634" s="5"/>
      <c r="R2634" s="5"/>
      <c r="T2634" s="5"/>
      <c r="U2634" s="5"/>
      <c r="V2634" s="5"/>
      <c r="W2634" s="5"/>
    </row>
    <row r="2635" spans="1:23" ht="12.5">
      <c r="A2635" s="5"/>
      <c r="B2635" s="5"/>
      <c r="C2635" s="5"/>
      <c r="D2635" s="5"/>
      <c r="E2635" s="5"/>
      <c r="F2635" s="5"/>
      <c r="G2635" s="5"/>
      <c r="H2635" s="5"/>
      <c r="I2635" s="5"/>
      <c r="J2635" s="12"/>
      <c r="K2635" s="11"/>
      <c r="M2635" s="5"/>
      <c r="N2635" s="12"/>
      <c r="O2635" s="5"/>
      <c r="P2635" s="5"/>
      <c r="Q2635" s="5"/>
      <c r="R2635" s="5"/>
      <c r="T2635" s="5"/>
      <c r="U2635" s="5"/>
      <c r="V2635" s="5"/>
      <c r="W2635" s="5"/>
    </row>
    <row r="2636" spans="1:23" ht="12.5">
      <c r="A2636" s="5"/>
      <c r="B2636" s="5"/>
      <c r="C2636" s="5"/>
      <c r="D2636" s="5"/>
      <c r="E2636" s="5"/>
      <c r="F2636" s="5"/>
      <c r="G2636" s="5"/>
      <c r="H2636" s="5"/>
      <c r="I2636" s="5"/>
      <c r="J2636" s="12"/>
      <c r="K2636" s="11"/>
      <c r="M2636" s="5"/>
      <c r="N2636" s="12"/>
      <c r="O2636" s="5"/>
      <c r="P2636" s="5"/>
      <c r="Q2636" s="5"/>
      <c r="R2636" s="5"/>
      <c r="T2636" s="5"/>
      <c r="U2636" s="5"/>
      <c r="V2636" s="5"/>
      <c r="W2636" s="5"/>
    </row>
    <row r="2637" spans="1:23" ht="12.5">
      <c r="A2637" s="5"/>
      <c r="B2637" s="5"/>
      <c r="C2637" s="5"/>
      <c r="D2637" s="5"/>
      <c r="E2637" s="5"/>
      <c r="F2637" s="5"/>
      <c r="G2637" s="5"/>
      <c r="H2637" s="5"/>
      <c r="I2637" s="5"/>
      <c r="J2637" s="12"/>
      <c r="K2637" s="11"/>
      <c r="M2637" s="5"/>
      <c r="N2637" s="12"/>
      <c r="O2637" s="5"/>
      <c r="P2637" s="5"/>
      <c r="Q2637" s="5"/>
      <c r="R2637" s="5"/>
      <c r="T2637" s="5"/>
      <c r="U2637" s="5"/>
      <c r="V2637" s="5"/>
      <c r="W2637" s="5"/>
    </row>
    <row r="2638" spans="1:23" ht="12.5">
      <c r="A2638" s="5"/>
      <c r="B2638" s="5"/>
      <c r="C2638" s="5"/>
      <c r="D2638" s="5"/>
      <c r="E2638" s="5"/>
      <c r="F2638" s="5"/>
      <c r="G2638" s="5"/>
      <c r="H2638" s="5"/>
      <c r="I2638" s="5"/>
      <c r="J2638" s="12"/>
      <c r="K2638" s="11"/>
      <c r="M2638" s="5"/>
      <c r="N2638" s="12"/>
      <c r="O2638" s="5"/>
      <c r="P2638" s="5"/>
      <c r="Q2638" s="5"/>
      <c r="R2638" s="5"/>
      <c r="T2638" s="5"/>
      <c r="U2638" s="5"/>
      <c r="V2638" s="5"/>
      <c r="W2638" s="5"/>
    </row>
    <row r="2639" spans="1:23" ht="12.5">
      <c r="A2639" s="5"/>
      <c r="B2639" s="5"/>
      <c r="C2639" s="5"/>
      <c r="D2639" s="5"/>
      <c r="E2639" s="5"/>
      <c r="F2639" s="5"/>
      <c r="G2639" s="5"/>
      <c r="H2639" s="5"/>
      <c r="I2639" s="5"/>
      <c r="J2639" s="12"/>
      <c r="K2639" s="11"/>
      <c r="M2639" s="5"/>
      <c r="N2639" s="12"/>
      <c r="O2639" s="5"/>
      <c r="P2639" s="5"/>
      <c r="Q2639" s="5"/>
      <c r="R2639" s="5"/>
      <c r="T2639" s="5"/>
      <c r="U2639" s="5"/>
      <c r="V2639" s="5"/>
      <c r="W2639" s="5"/>
    </row>
    <row r="2640" spans="1:23" ht="12.5">
      <c r="A2640" s="5"/>
      <c r="B2640" s="5"/>
      <c r="C2640" s="5"/>
      <c r="D2640" s="5"/>
      <c r="E2640" s="5"/>
      <c r="F2640" s="5"/>
      <c r="G2640" s="5"/>
      <c r="H2640" s="5"/>
      <c r="I2640" s="5"/>
      <c r="J2640" s="12"/>
      <c r="K2640" s="11"/>
      <c r="M2640" s="5"/>
      <c r="N2640" s="12"/>
      <c r="O2640" s="5"/>
      <c r="P2640" s="5"/>
      <c r="Q2640" s="5"/>
      <c r="R2640" s="5"/>
      <c r="T2640" s="5"/>
      <c r="U2640" s="5"/>
      <c r="V2640" s="5"/>
      <c r="W2640" s="5"/>
    </row>
    <row r="2641" spans="1:23" ht="12.5">
      <c r="A2641" s="5"/>
      <c r="B2641" s="5"/>
      <c r="C2641" s="5"/>
      <c r="D2641" s="5"/>
      <c r="E2641" s="5"/>
      <c r="F2641" s="5"/>
      <c r="G2641" s="5"/>
      <c r="H2641" s="5"/>
      <c r="I2641" s="5"/>
      <c r="J2641" s="12"/>
      <c r="K2641" s="11"/>
      <c r="M2641" s="5"/>
      <c r="N2641" s="12"/>
      <c r="O2641" s="5"/>
      <c r="P2641" s="5"/>
      <c r="Q2641" s="5"/>
      <c r="R2641" s="5"/>
      <c r="T2641" s="5"/>
      <c r="U2641" s="5"/>
      <c r="V2641" s="5"/>
      <c r="W2641" s="5"/>
    </row>
    <row r="2642" spans="1:23" ht="12.5">
      <c r="A2642" s="5"/>
      <c r="B2642" s="5"/>
      <c r="C2642" s="5"/>
      <c r="D2642" s="5"/>
      <c r="E2642" s="5"/>
      <c r="F2642" s="5"/>
      <c r="G2642" s="5"/>
      <c r="H2642" s="5"/>
      <c r="I2642" s="5"/>
      <c r="J2642" s="12"/>
      <c r="K2642" s="11"/>
      <c r="M2642" s="5"/>
      <c r="N2642" s="12"/>
      <c r="O2642" s="5"/>
      <c r="P2642" s="5"/>
      <c r="Q2642" s="5"/>
      <c r="R2642" s="5"/>
      <c r="T2642" s="5"/>
      <c r="U2642" s="5"/>
      <c r="V2642" s="5"/>
      <c r="W2642" s="5"/>
    </row>
    <row r="2643" spans="1:23" ht="12.5">
      <c r="A2643" s="5"/>
      <c r="B2643" s="5"/>
      <c r="C2643" s="5"/>
      <c r="D2643" s="5"/>
      <c r="E2643" s="5"/>
      <c r="F2643" s="5"/>
      <c r="G2643" s="5"/>
      <c r="H2643" s="5"/>
      <c r="I2643" s="5"/>
      <c r="J2643" s="12"/>
      <c r="K2643" s="11"/>
      <c r="M2643" s="5"/>
      <c r="N2643" s="12"/>
      <c r="O2643" s="5"/>
      <c r="P2643" s="5"/>
      <c r="Q2643" s="5"/>
      <c r="R2643" s="5"/>
      <c r="T2643" s="5"/>
      <c r="U2643" s="5"/>
      <c r="V2643" s="5"/>
      <c r="W2643" s="5"/>
    </row>
    <row r="2644" spans="1:23" ht="12.5">
      <c r="A2644" s="5"/>
      <c r="B2644" s="5"/>
      <c r="C2644" s="5"/>
      <c r="D2644" s="5"/>
      <c r="E2644" s="5"/>
      <c r="F2644" s="5"/>
      <c r="G2644" s="5"/>
      <c r="H2644" s="5"/>
      <c r="I2644" s="5"/>
      <c r="J2644" s="12"/>
      <c r="K2644" s="11"/>
      <c r="M2644" s="5"/>
      <c r="N2644" s="12"/>
      <c r="O2644" s="5"/>
      <c r="P2644" s="5"/>
      <c r="Q2644" s="5"/>
      <c r="R2644" s="5"/>
      <c r="T2644" s="5"/>
      <c r="U2644" s="5"/>
      <c r="V2644" s="5"/>
      <c r="W2644" s="5"/>
    </row>
    <row r="2645" spans="1:23" ht="12.5">
      <c r="A2645" s="5"/>
      <c r="B2645" s="5"/>
      <c r="C2645" s="5"/>
      <c r="D2645" s="5"/>
      <c r="E2645" s="5"/>
      <c r="F2645" s="5"/>
      <c r="G2645" s="5"/>
      <c r="H2645" s="5"/>
      <c r="I2645" s="5"/>
      <c r="J2645" s="12"/>
      <c r="K2645" s="11"/>
      <c r="M2645" s="5"/>
      <c r="N2645" s="12"/>
      <c r="O2645" s="5"/>
      <c r="P2645" s="5"/>
      <c r="Q2645" s="5"/>
      <c r="R2645" s="5"/>
      <c r="T2645" s="5"/>
      <c r="U2645" s="5"/>
      <c r="V2645" s="5"/>
      <c r="W2645" s="5"/>
    </row>
    <row r="2646" spans="1:23" ht="12.5">
      <c r="A2646" s="5"/>
      <c r="B2646" s="5"/>
      <c r="C2646" s="5"/>
      <c r="D2646" s="5"/>
      <c r="E2646" s="5"/>
      <c r="F2646" s="5"/>
      <c r="G2646" s="5"/>
      <c r="H2646" s="5"/>
      <c r="I2646" s="5"/>
      <c r="J2646" s="12"/>
      <c r="K2646" s="11"/>
      <c r="M2646" s="5"/>
      <c r="N2646" s="12"/>
      <c r="O2646" s="5"/>
      <c r="P2646" s="5"/>
      <c r="Q2646" s="5"/>
      <c r="R2646" s="5"/>
      <c r="T2646" s="5"/>
      <c r="U2646" s="5"/>
      <c r="V2646" s="5"/>
      <c r="W2646" s="5"/>
    </row>
    <row r="2647" spans="1:23" ht="12.5">
      <c r="A2647" s="5"/>
      <c r="B2647" s="5"/>
      <c r="C2647" s="5"/>
      <c r="D2647" s="5"/>
      <c r="E2647" s="5"/>
      <c r="F2647" s="5"/>
      <c r="G2647" s="5"/>
      <c r="H2647" s="5"/>
      <c r="I2647" s="5"/>
      <c r="J2647" s="12"/>
      <c r="K2647" s="11"/>
      <c r="M2647" s="5"/>
      <c r="N2647" s="12"/>
      <c r="O2647" s="5"/>
      <c r="P2647" s="5"/>
      <c r="Q2647" s="5"/>
      <c r="R2647" s="5"/>
      <c r="T2647" s="5"/>
      <c r="U2647" s="5"/>
      <c r="V2647" s="5"/>
      <c r="W2647" s="5"/>
    </row>
    <row r="2648" spans="1:23" ht="12.5">
      <c r="A2648" s="5"/>
      <c r="B2648" s="5"/>
      <c r="C2648" s="5"/>
      <c r="D2648" s="5"/>
      <c r="E2648" s="5"/>
      <c r="F2648" s="5"/>
      <c r="G2648" s="5"/>
      <c r="H2648" s="5"/>
      <c r="I2648" s="5"/>
      <c r="J2648" s="12"/>
      <c r="K2648" s="11"/>
      <c r="M2648" s="5"/>
      <c r="N2648" s="12"/>
      <c r="O2648" s="5"/>
      <c r="P2648" s="5"/>
      <c r="Q2648" s="5"/>
      <c r="R2648" s="5"/>
      <c r="T2648" s="5"/>
      <c r="U2648" s="5"/>
      <c r="V2648" s="5"/>
      <c r="W2648" s="5"/>
    </row>
    <row r="2649" spans="1:23" ht="12.5">
      <c r="A2649" s="5"/>
      <c r="B2649" s="5"/>
      <c r="C2649" s="5"/>
      <c r="D2649" s="5"/>
      <c r="E2649" s="5"/>
      <c r="F2649" s="5"/>
      <c r="G2649" s="5"/>
      <c r="H2649" s="5"/>
      <c r="I2649" s="5"/>
      <c r="J2649" s="12"/>
      <c r="K2649" s="11"/>
      <c r="M2649" s="5"/>
      <c r="N2649" s="12"/>
      <c r="O2649" s="5"/>
      <c r="P2649" s="5"/>
      <c r="Q2649" s="5"/>
      <c r="R2649" s="5"/>
      <c r="T2649" s="5"/>
      <c r="U2649" s="5"/>
      <c r="V2649" s="5"/>
      <c r="W2649" s="5"/>
    </row>
    <row r="2650" spans="1:23" ht="12.5">
      <c r="A2650" s="5"/>
      <c r="B2650" s="5"/>
      <c r="C2650" s="5"/>
      <c r="D2650" s="5"/>
      <c r="E2650" s="5"/>
      <c r="F2650" s="5"/>
      <c r="G2650" s="5"/>
      <c r="H2650" s="5"/>
      <c r="I2650" s="5"/>
      <c r="J2650" s="12"/>
      <c r="K2650" s="11"/>
      <c r="M2650" s="5"/>
      <c r="N2650" s="12"/>
      <c r="O2650" s="5"/>
      <c r="P2650" s="5"/>
      <c r="Q2650" s="5"/>
      <c r="R2650" s="5"/>
      <c r="T2650" s="5"/>
      <c r="U2650" s="5"/>
      <c r="V2650" s="5"/>
      <c r="W2650" s="5"/>
    </row>
    <row r="2651" spans="1:23" ht="12.5">
      <c r="A2651" s="5"/>
      <c r="B2651" s="5"/>
      <c r="C2651" s="5"/>
      <c r="D2651" s="5"/>
      <c r="E2651" s="5"/>
      <c r="F2651" s="5"/>
      <c r="G2651" s="5"/>
      <c r="H2651" s="5"/>
      <c r="I2651" s="5"/>
      <c r="J2651" s="12"/>
      <c r="K2651" s="11"/>
      <c r="M2651" s="5"/>
      <c r="N2651" s="12"/>
      <c r="O2651" s="5"/>
      <c r="P2651" s="5"/>
      <c r="Q2651" s="5"/>
      <c r="R2651" s="5"/>
      <c r="T2651" s="5"/>
      <c r="U2651" s="5"/>
      <c r="V2651" s="5"/>
      <c r="W2651" s="5"/>
    </row>
    <row r="2652" spans="1:23" ht="12.5">
      <c r="A2652" s="5"/>
      <c r="B2652" s="5"/>
      <c r="C2652" s="5"/>
      <c r="D2652" s="5"/>
      <c r="E2652" s="5"/>
      <c r="F2652" s="5"/>
      <c r="G2652" s="5"/>
      <c r="H2652" s="5"/>
      <c r="I2652" s="5"/>
      <c r="J2652" s="12"/>
      <c r="K2652" s="11"/>
      <c r="M2652" s="5"/>
      <c r="N2652" s="12"/>
      <c r="O2652" s="5"/>
      <c r="P2652" s="5"/>
      <c r="Q2652" s="5"/>
      <c r="R2652" s="5"/>
      <c r="T2652" s="5"/>
      <c r="U2652" s="5"/>
      <c r="V2652" s="5"/>
      <c r="W2652" s="5"/>
    </row>
    <row r="2653" spans="1:23" ht="12.5">
      <c r="A2653" s="5"/>
      <c r="B2653" s="5"/>
      <c r="C2653" s="5"/>
      <c r="D2653" s="5"/>
      <c r="E2653" s="5"/>
      <c r="F2653" s="5"/>
      <c r="G2653" s="5"/>
      <c r="H2653" s="5"/>
      <c r="I2653" s="5"/>
      <c r="J2653" s="12"/>
      <c r="K2653" s="11"/>
      <c r="M2653" s="5"/>
      <c r="N2653" s="12"/>
      <c r="O2653" s="5"/>
      <c r="P2653" s="5"/>
      <c r="Q2653" s="5"/>
      <c r="R2653" s="5"/>
      <c r="T2653" s="5"/>
      <c r="U2653" s="5"/>
      <c r="V2653" s="5"/>
      <c r="W2653" s="5"/>
    </row>
    <row r="2654" spans="1:23" ht="12.5">
      <c r="A2654" s="5"/>
      <c r="B2654" s="5"/>
      <c r="C2654" s="5"/>
      <c r="D2654" s="5"/>
      <c r="E2654" s="5"/>
      <c r="F2654" s="5"/>
      <c r="G2654" s="5"/>
      <c r="H2654" s="5"/>
      <c r="I2654" s="5"/>
      <c r="J2654" s="12"/>
      <c r="K2654" s="11"/>
      <c r="M2654" s="5"/>
      <c r="N2654" s="12"/>
      <c r="O2654" s="5"/>
      <c r="P2654" s="5"/>
      <c r="Q2654" s="5"/>
      <c r="R2654" s="5"/>
      <c r="T2654" s="5"/>
      <c r="U2654" s="5"/>
      <c r="V2654" s="5"/>
      <c r="W2654" s="5"/>
    </row>
    <row r="2655" spans="1:23" ht="12.5">
      <c r="A2655" s="5"/>
      <c r="B2655" s="5"/>
      <c r="C2655" s="5"/>
      <c r="D2655" s="5"/>
      <c r="E2655" s="5"/>
      <c r="F2655" s="5"/>
      <c r="G2655" s="5"/>
      <c r="H2655" s="5"/>
      <c r="I2655" s="5"/>
      <c r="J2655" s="12"/>
      <c r="K2655" s="11"/>
      <c r="M2655" s="5"/>
      <c r="N2655" s="12"/>
      <c r="O2655" s="5"/>
      <c r="P2655" s="5"/>
      <c r="Q2655" s="5"/>
      <c r="R2655" s="5"/>
      <c r="T2655" s="5"/>
      <c r="U2655" s="5"/>
      <c r="V2655" s="5"/>
      <c r="W2655" s="5"/>
    </row>
    <row r="2656" spans="1:23" ht="12.5">
      <c r="A2656" s="5"/>
      <c r="B2656" s="5"/>
      <c r="C2656" s="5"/>
      <c r="D2656" s="5"/>
      <c r="E2656" s="5"/>
      <c r="F2656" s="5"/>
      <c r="G2656" s="5"/>
      <c r="H2656" s="5"/>
      <c r="I2656" s="5"/>
      <c r="J2656" s="12"/>
      <c r="K2656" s="11"/>
      <c r="M2656" s="5"/>
      <c r="N2656" s="12"/>
      <c r="O2656" s="5"/>
      <c r="P2656" s="5"/>
      <c r="Q2656" s="5"/>
      <c r="R2656" s="5"/>
      <c r="T2656" s="5"/>
      <c r="U2656" s="5"/>
      <c r="V2656" s="5"/>
      <c r="W2656" s="5"/>
    </row>
    <row r="2657" spans="1:23" ht="12.5">
      <c r="A2657" s="5"/>
      <c r="B2657" s="5"/>
      <c r="C2657" s="5"/>
      <c r="D2657" s="5"/>
      <c r="E2657" s="5"/>
      <c r="F2657" s="5"/>
      <c r="G2657" s="5"/>
      <c r="H2657" s="5"/>
      <c r="I2657" s="5"/>
      <c r="J2657" s="12"/>
      <c r="K2657" s="11"/>
      <c r="M2657" s="5"/>
      <c r="N2657" s="12"/>
      <c r="O2657" s="5"/>
      <c r="P2657" s="5"/>
      <c r="Q2657" s="5"/>
      <c r="R2657" s="5"/>
      <c r="T2657" s="5"/>
      <c r="U2657" s="5"/>
      <c r="V2657" s="5"/>
      <c r="W2657" s="5"/>
    </row>
    <row r="2658" spans="1:23" ht="12.5">
      <c r="A2658" s="5"/>
      <c r="B2658" s="5"/>
      <c r="C2658" s="5"/>
      <c r="D2658" s="5"/>
      <c r="E2658" s="5"/>
      <c r="F2658" s="5"/>
      <c r="G2658" s="5"/>
      <c r="H2658" s="5"/>
      <c r="I2658" s="5"/>
      <c r="J2658" s="12"/>
      <c r="K2658" s="11"/>
      <c r="M2658" s="5"/>
      <c r="N2658" s="12"/>
      <c r="O2658" s="5"/>
      <c r="P2658" s="5"/>
      <c r="Q2658" s="5"/>
      <c r="R2658" s="5"/>
      <c r="T2658" s="5"/>
      <c r="U2658" s="5"/>
      <c r="V2658" s="5"/>
      <c r="W2658" s="5"/>
    </row>
    <row r="2659" spans="1:23" ht="12.5">
      <c r="A2659" s="5"/>
      <c r="B2659" s="5"/>
      <c r="C2659" s="5"/>
      <c r="D2659" s="5"/>
      <c r="E2659" s="5"/>
      <c r="F2659" s="5"/>
      <c r="G2659" s="5"/>
      <c r="H2659" s="5"/>
      <c r="I2659" s="5"/>
      <c r="J2659" s="12"/>
      <c r="K2659" s="11"/>
      <c r="M2659" s="5"/>
      <c r="N2659" s="12"/>
      <c r="O2659" s="5"/>
      <c r="P2659" s="5"/>
      <c r="Q2659" s="5"/>
      <c r="R2659" s="5"/>
      <c r="T2659" s="5"/>
      <c r="U2659" s="5"/>
      <c r="V2659" s="5"/>
      <c r="W2659" s="5"/>
    </row>
    <row r="2660" spans="1:23" ht="12.5">
      <c r="A2660" s="5"/>
      <c r="B2660" s="5"/>
      <c r="C2660" s="5"/>
      <c r="D2660" s="5"/>
      <c r="E2660" s="5"/>
      <c r="F2660" s="5"/>
      <c r="G2660" s="5"/>
      <c r="H2660" s="5"/>
      <c r="I2660" s="5"/>
      <c r="J2660" s="12"/>
      <c r="K2660" s="11"/>
      <c r="M2660" s="5"/>
      <c r="N2660" s="12"/>
      <c r="O2660" s="5"/>
      <c r="P2660" s="5"/>
      <c r="Q2660" s="5"/>
      <c r="R2660" s="5"/>
      <c r="T2660" s="5"/>
      <c r="U2660" s="5"/>
      <c r="V2660" s="5"/>
      <c r="W2660" s="5"/>
    </row>
    <row r="2661" spans="1:23" ht="12.5">
      <c r="A2661" s="5"/>
      <c r="B2661" s="5"/>
      <c r="C2661" s="5"/>
      <c r="D2661" s="5"/>
      <c r="E2661" s="5"/>
      <c r="F2661" s="5"/>
      <c r="G2661" s="5"/>
      <c r="H2661" s="5"/>
      <c r="I2661" s="5"/>
      <c r="J2661" s="12"/>
      <c r="K2661" s="11"/>
      <c r="M2661" s="5"/>
      <c r="N2661" s="12"/>
      <c r="O2661" s="5"/>
      <c r="P2661" s="5"/>
      <c r="Q2661" s="5"/>
      <c r="R2661" s="5"/>
      <c r="T2661" s="5"/>
      <c r="U2661" s="5"/>
      <c r="V2661" s="5"/>
      <c r="W2661" s="5"/>
    </row>
    <row r="2662" spans="1:23" ht="12.5">
      <c r="A2662" s="5"/>
      <c r="B2662" s="5"/>
      <c r="C2662" s="5"/>
      <c r="D2662" s="5"/>
      <c r="E2662" s="5"/>
      <c r="F2662" s="5"/>
      <c r="G2662" s="5"/>
      <c r="H2662" s="5"/>
      <c r="I2662" s="5"/>
      <c r="J2662" s="12"/>
      <c r="K2662" s="11"/>
      <c r="M2662" s="5"/>
      <c r="N2662" s="12"/>
      <c r="O2662" s="5"/>
      <c r="P2662" s="5"/>
      <c r="Q2662" s="5"/>
      <c r="R2662" s="5"/>
      <c r="T2662" s="5"/>
      <c r="U2662" s="5"/>
      <c r="V2662" s="5"/>
      <c r="W2662" s="5"/>
    </row>
    <row r="2663" spans="1:23" ht="12.5">
      <c r="A2663" s="5"/>
      <c r="B2663" s="5"/>
      <c r="C2663" s="5"/>
      <c r="D2663" s="5"/>
      <c r="E2663" s="5"/>
      <c r="F2663" s="5"/>
      <c r="G2663" s="5"/>
      <c r="H2663" s="5"/>
      <c r="I2663" s="5"/>
      <c r="J2663" s="12"/>
      <c r="K2663" s="11"/>
      <c r="M2663" s="5"/>
      <c r="N2663" s="12"/>
      <c r="O2663" s="5"/>
      <c r="P2663" s="5"/>
      <c r="Q2663" s="5"/>
      <c r="R2663" s="5"/>
      <c r="T2663" s="5"/>
      <c r="U2663" s="5"/>
      <c r="V2663" s="5"/>
      <c r="W2663" s="5"/>
    </row>
    <row r="2664" spans="1:23" ht="12.5">
      <c r="A2664" s="5"/>
      <c r="B2664" s="5"/>
      <c r="C2664" s="5"/>
      <c r="D2664" s="5"/>
      <c r="E2664" s="5"/>
      <c r="F2664" s="5"/>
      <c r="G2664" s="5"/>
      <c r="H2664" s="5"/>
      <c r="I2664" s="5"/>
      <c r="J2664" s="12"/>
      <c r="K2664" s="11"/>
      <c r="M2664" s="5"/>
      <c r="N2664" s="12"/>
      <c r="O2664" s="5"/>
      <c r="P2664" s="5"/>
      <c r="Q2664" s="5"/>
      <c r="R2664" s="5"/>
      <c r="T2664" s="5"/>
      <c r="U2664" s="5"/>
      <c r="V2664" s="5"/>
      <c r="W2664" s="5"/>
    </row>
    <row r="2665" spans="1:23" ht="12.5">
      <c r="A2665" s="5"/>
      <c r="B2665" s="5"/>
      <c r="C2665" s="5"/>
      <c r="D2665" s="5"/>
      <c r="E2665" s="5"/>
      <c r="F2665" s="5"/>
      <c r="G2665" s="5"/>
      <c r="H2665" s="5"/>
      <c r="I2665" s="5"/>
      <c r="J2665" s="12"/>
      <c r="K2665" s="11"/>
      <c r="M2665" s="5"/>
      <c r="N2665" s="12"/>
      <c r="O2665" s="5"/>
      <c r="P2665" s="5"/>
      <c r="Q2665" s="5"/>
      <c r="R2665" s="5"/>
      <c r="T2665" s="5"/>
      <c r="U2665" s="5"/>
      <c r="V2665" s="5"/>
      <c r="W2665" s="5"/>
    </row>
    <row r="2666" spans="1:23" ht="12.5">
      <c r="A2666" s="5"/>
      <c r="B2666" s="5"/>
      <c r="C2666" s="5"/>
      <c r="D2666" s="5"/>
      <c r="E2666" s="5"/>
      <c r="F2666" s="5"/>
      <c r="G2666" s="5"/>
      <c r="H2666" s="5"/>
      <c r="I2666" s="5"/>
      <c r="J2666" s="12"/>
      <c r="K2666" s="11"/>
      <c r="M2666" s="5"/>
      <c r="N2666" s="12"/>
      <c r="O2666" s="5"/>
      <c r="P2666" s="5"/>
      <c r="Q2666" s="5"/>
      <c r="R2666" s="5"/>
      <c r="T2666" s="5"/>
      <c r="U2666" s="5"/>
      <c r="V2666" s="5"/>
      <c r="W2666" s="5"/>
    </row>
    <row r="2667" spans="1:23" ht="12.5">
      <c r="A2667" s="5"/>
      <c r="B2667" s="5"/>
      <c r="C2667" s="5"/>
      <c r="D2667" s="5"/>
      <c r="E2667" s="5"/>
      <c r="F2667" s="5"/>
      <c r="G2667" s="5"/>
      <c r="H2667" s="5"/>
      <c r="I2667" s="5"/>
      <c r="J2667" s="12"/>
      <c r="K2667" s="11"/>
      <c r="M2667" s="5"/>
      <c r="N2667" s="12"/>
      <c r="O2667" s="5"/>
      <c r="P2667" s="5"/>
      <c r="Q2667" s="5"/>
      <c r="R2667" s="5"/>
      <c r="T2667" s="5"/>
      <c r="U2667" s="5"/>
      <c r="V2667" s="5"/>
      <c r="W2667" s="5"/>
    </row>
    <row r="2668" spans="1:23" ht="12.5">
      <c r="A2668" s="5"/>
      <c r="B2668" s="5"/>
      <c r="C2668" s="5"/>
      <c r="D2668" s="5"/>
      <c r="E2668" s="5"/>
      <c r="F2668" s="5"/>
      <c r="G2668" s="5"/>
      <c r="H2668" s="5"/>
      <c r="I2668" s="5"/>
      <c r="J2668" s="12"/>
      <c r="K2668" s="11"/>
      <c r="M2668" s="5"/>
      <c r="N2668" s="12"/>
      <c r="O2668" s="5"/>
      <c r="P2668" s="5"/>
      <c r="Q2668" s="5"/>
      <c r="R2668" s="5"/>
      <c r="T2668" s="5"/>
      <c r="U2668" s="5"/>
      <c r="V2668" s="5"/>
      <c r="W2668" s="5"/>
    </row>
    <row r="2669" spans="1:23" ht="12.5">
      <c r="A2669" s="5"/>
      <c r="B2669" s="5"/>
      <c r="C2669" s="5"/>
      <c r="D2669" s="5"/>
      <c r="E2669" s="5"/>
      <c r="F2669" s="5"/>
      <c r="G2669" s="5"/>
      <c r="H2669" s="5"/>
      <c r="I2669" s="5"/>
      <c r="J2669" s="12"/>
      <c r="K2669" s="11"/>
      <c r="M2669" s="5"/>
      <c r="N2669" s="12"/>
      <c r="O2669" s="5"/>
      <c r="P2669" s="5"/>
      <c r="Q2669" s="5"/>
      <c r="R2669" s="5"/>
      <c r="T2669" s="5"/>
      <c r="U2669" s="5"/>
      <c r="V2669" s="5"/>
      <c r="W2669" s="5"/>
    </row>
    <row r="2670" spans="1:23" ht="12.5">
      <c r="A2670" s="5"/>
      <c r="B2670" s="5"/>
      <c r="C2670" s="5"/>
      <c r="D2670" s="5"/>
      <c r="E2670" s="5"/>
      <c r="F2670" s="5"/>
      <c r="G2670" s="5"/>
      <c r="H2670" s="5"/>
      <c r="I2670" s="5"/>
      <c r="J2670" s="12"/>
      <c r="K2670" s="11"/>
      <c r="M2670" s="5"/>
      <c r="N2670" s="12"/>
      <c r="O2670" s="5"/>
      <c r="P2670" s="5"/>
      <c r="Q2670" s="5"/>
      <c r="R2670" s="5"/>
      <c r="T2670" s="5"/>
      <c r="U2670" s="5"/>
      <c r="V2670" s="5"/>
      <c r="W2670" s="5"/>
    </row>
    <row r="2671" spans="1:23" ht="12.5">
      <c r="A2671" s="5"/>
      <c r="B2671" s="5"/>
      <c r="C2671" s="5"/>
      <c r="D2671" s="5"/>
      <c r="E2671" s="5"/>
      <c r="F2671" s="5"/>
      <c r="G2671" s="5"/>
      <c r="H2671" s="5"/>
      <c r="I2671" s="5"/>
      <c r="J2671" s="12"/>
      <c r="K2671" s="11"/>
      <c r="M2671" s="5"/>
      <c r="N2671" s="12"/>
      <c r="O2671" s="5"/>
      <c r="P2671" s="5"/>
      <c r="Q2671" s="5"/>
      <c r="R2671" s="5"/>
      <c r="T2671" s="5"/>
      <c r="U2671" s="5"/>
      <c r="V2671" s="5"/>
      <c r="W2671" s="5"/>
    </row>
    <row r="2672" spans="1:23" ht="12.5">
      <c r="A2672" s="5"/>
      <c r="B2672" s="5"/>
      <c r="C2672" s="5"/>
      <c r="D2672" s="5"/>
      <c r="E2672" s="5"/>
      <c r="F2672" s="5"/>
      <c r="G2672" s="5"/>
      <c r="H2672" s="5"/>
      <c r="I2672" s="5"/>
      <c r="J2672" s="12"/>
      <c r="K2672" s="11"/>
      <c r="M2672" s="5"/>
      <c r="N2672" s="12"/>
      <c r="O2672" s="5"/>
      <c r="P2672" s="5"/>
      <c r="Q2672" s="5"/>
      <c r="R2672" s="5"/>
      <c r="T2672" s="5"/>
      <c r="U2672" s="5"/>
      <c r="V2672" s="5"/>
      <c r="W2672" s="5"/>
    </row>
    <row r="2673" spans="1:23" ht="12.5">
      <c r="A2673" s="5"/>
      <c r="B2673" s="5"/>
      <c r="C2673" s="5"/>
      <c r="D2673" s="5"/>
      <c r="E2673" s="5"/>
      <c r="F2673" s="5"/>
      <c r="G2673" s="5"/>
      <c r="H2673" s="5"/>
      <c r="I2673" s="5"/>
      <c r="J2673" s="12"/>
      <c r="K2673" s="11"/>
      <c r="M2673" s="5"/>
      <c r="N2673" s="12"/>
      <c r="O2673" s="5"/>
      <c r="P2673" s="5"/>
      <c r="Q2673" s="5"/>
      <c r="R2673" s="5"/>
      <c r="T2673" s="5"/>
      <c r="U2673" s="5"/>
      <c r="V2673" s="5"/>
      <c r="W2673" s="5"/>
    </row>
    <row r="2674" spans="1:23" ht="12.5">
      <c r="A2674" s="5"/>
      <c r="B2674" s="5"/>
      <c r="C2674" s="5"/>
      <c r="D2674" s="5"/>
      <c r="E2674" s="5"/>
      <c r="F2674" s="5"/>
      <c r="G2674" s="5"/>
      <c r="H2674" s="5"/>
      <c r="I2674" s="5"/>
      <c r="J2674" s="12"/>
      <c r="K2674" s="11"/>
      <c r="M2674" s="5"/>
      <c r="N2674" s="12"/>
      <c r="O2674" s="5"/>
      <c r="P2674" s="5"/>
      <c r="Q2674" s="5"/>
      <c r="R2674" s="5"/>
      <c r="T2674" s="5"/>
      <c r="U2674" s="5"/>
      <c r="V2674" s="5"/>
      <c r="W2674" s="5"/>
    </row>
    <row r="2675" spans="1:23" ht="12.5">
      <c r="A2675" s="5"/>
      <c r="B2675" s="5"/>
      <c r="C2675" s="5"/>
      <c r="D2675" s="5"/>
      <c r="E2675" s="5"/>
      <c r="F2675" s="5"/>
      <c r="G2675" s="5"/>
      <c r="H2675" s="5"/>
      <c r="I2675" s="5"/>
      <c r="J2675" s="12"/>
      <c r="K2675" s="11"/>
      <c r="M2675" s="5"/>
      <c r="N2675" s="12"/>
      <c r="O2675" s="5"/>
      <c r="P2675" s="5"/>
      <c r="Q2675" s="5"/>
      <c r="R2675" s="5"/>
      <c r="T2675" s="5"/>
      <c r="U2675" s="5"/>
      <c r="V2675" s="5"/>
      <c r="W2675" s="5"/>
    </row>
    <row r="2676" spans="1:23" ht="12.5">
      <c r="A2676" s="5"/>
      <c r="B2676" s="5"/>
      <c r="C2676" s="5"/>
      <c r="D2676" s="5"/>
      <c r="E2676" s="5"/>
      <c r="F2676" s="5"/>
      <c r="G2676" s="5"/>
      <c r="H2676" s="5"/>
      <c r="I2676" s="5"/>
      <c r="J2676" s="12"/>
      <c r="K2676" s="11"/>
      <c r="M2676" s="5"/>
      <c r="N2676" s="12"/>
      <c r="O2676" s="5"/>
      <c r="P2676" s="5"/>
      <c r="Q2676" s="5"/>
      <c r="R2676" s="5"/>
      <c r="T2676" s="5"/>
      <c r="U2676" s="5"/>
      <c r="V2676" s="5"/>
      <c r="W2676" s="5"/>
    </row>
    <row r="2677" spans="1:23" ht="12.5">
      <c r="A2677" s="5"/>
      <c r="B2677" s="5"/>
      <c r="C2677" s="5"/>
      <c r="D2677" s="5"/>
      <c r="E2677" s="5"/>
      <c r="F2677" s="5"/>
      <c r="G2677" s="5"/>
      <c r="H2677" s="5"/>
      <c r="I2677" s="5"/>
      <c r="J2677" s="12"/>
      <c r="K2677" s="11"/>
      <c r="M2677" s="5"/>
      <c r="N2677" s="12"/>
      <c r="O2677" s="5"/>
      <c r="P2677" s="5"/>
      <c r="Q2677" s="5"/>
      <c r="R2677" s="5"/>
      <c r="T2677" s="5"/>
      <c r="U2677" s="5"/>
      <c r="V2677" s="5"/>
      <c r="W2677" s="5"/>
    </row>
    <row r="2678" spans="1:23" ht="12.5">
      <c r="A2678" s="5"/>
      <c r="B2678" s="5"/>
      <c r="C2678" s="5"/>
      <c r="D2678" s="5"/>
      <c r="E2678" s="5"/>
      <c r="F2678" s="5"/>
      <c r="G2678" s="5"/>
      <c r="H2678" s="5"/>
      <c r="I2678" s="5"/>
      <c r="J2678" s="12"/>
      <c r="K2678" s="11"/>
      <c r="M2678" s="5"/>
      <c r="N2678" s="12"/>
      <c r="O2678" s="5"/>
      <c r="P2678" s="5"/>
      <c r="Q2678" s="5"/>
      <c r="R2678" s="5"/>
      <c r="T2678" s="5"/>
      <c r="U2678" s="5"/>
      <c r="V2678" s="5"/>
      <c r="W2678" s="5"/>
    </row>
    <row r="2679" spans="1:23" ht="12.5">
      <c r="A2679" s="5"/>
      <c r="B2679" s="5"/>
      <c r="C2679" s="5"/>
      <c r="D2679" s="5"/>
      <c r="E2679" s="5"/>
      <c r="F2679" s="5"/>
      <c r="G2679" s="5"/>
      <c r="H2679" s="5"/>
      <c r="I2679" s="5"/>
      <c r="J2679" s="12"/>
      <c r="K2679" s="11"/>
      <c r="M2679" s="5"/>
      <c r="N2679" s="12"/>
      <c r="O2679" s="5"/>
      <c r="P2679" s="5"/>
      <c r="Q2679" s="5"/>
      <c r="R2679" s="5"/>
      <c r="T2679" s="5"/>
      <c r="U2679" s="5"/>
      <c r="V2679" s="5"/>
      <c r="W2679" s="5"/>
    </row>
    <row r="2680" spans="1:23" ht="12.5">
      <c r="A2680" s="5"/>
      <c r="B2680" s="5"/>
      <c r="C2680" s="5"/>
      <c r="D2680" s="5"/>
      <c r="E2680" s="5"/>
      <c r="F2680" s="5"/>
      <c r="G2680" s="5"/>
      <c r="H2680" s="5"/>
      <c r="I2680" s="5"/>
      <c r="J2680" s="12"/>
      <c r="K2680" s="11"/>
      <c r="M2680" s="5"/>
      <c r="N2680" s="12"/>
      <c r="O2680" s="5"/>
      <c r="P2680" s="5"/>
      <c r="Q2680" s="5"/>
      <c r="R2680" s="5"/>
      <c r="T2680" s="5"/>
      <c r="U2680" s="5"/>
      <c r="V2680" s="5"/>
      <c r="W2680" s="5"/>
    </row>
    <row r="2681" spans="1:23" ht="12.5">
      <c r="A2681" s="5"/>
      <c r="B2681" s="5"/>
      <c r="C2681" s="5"/>
      <c r="D2681" s="5"/>
      <c r="E2681" s="5"/>
      <c r="F2681" s="5"/>
      <c r="G2681" s="5"/>
      <c r="H2681" s="5"/>
      <c r="I2681" s="5"/>
      <c r="J2681" s="12"/>
      <c r="K2681" s="11"/>
      <c r="M2681" s="5"/>
      <c r="N2681" s="12"/>
      <c r="O2681" s="5"/>
      <c r="P2681" s="5"/>
      <c r="Q2681" s="5"/>
      <c r="R2681" s="5"/>
      <c r="T2681" s="5"/>
      <c r="U2681" s="5"/>
      <c r="V2681" s="5"/>
      <c r="W2681" s="5"/>
    </row>
    <row r="2682" spans="1:23" ht="12.5">
      <c r="A2682" s="5"/>
      <c r="B2682" s="5"/>
      <c r="C2682" s="5"/>
      <c r="D2682" s="5"/>
      <c r="E2682" s="5"/>
      <c r="F2682" s="5"/>
      <c r="G2682" s="5"/>
      <c r="H2682" s="5"/>
      <c r="I2682" s="5"/>
      <c r="J2682" s="12"/>
      <c r="K2682" s="11"/>
      <c r="M2682" s="5"/>
      <c r="N2682" s="12"/>
      <c r="O2682" s="5"/>
      <c r="P2682" s="5"/>
      <c r="Q2682" s="5"/>
      <c r="R2682" s="5"/>
      <c r="T2682" s="5"/>
      <c r="U2682" s="5"/>
      <c r="V2682" s="5"/>
      <c r="W2682" s="5"/>
    </row>
    <row r="2683" spans="1:23" ht="12.5">
      <c r="A2683" s="5"/>
      <c r="B2683" s="5"/>
      <c r="C2683" s="5"/>
      <c r="D2683" s="5"/>
      <c r="E2683" s="5"/>
      <c r="F2683" s="5"/>
      <c r="G2683" s="5"/>
      <c r="H2683" s="5"/>
      <c r="I2683" s="5"/>
      <c r="J2683" s="12"/>
      <c r="K2683" s="11"/>
      <c r="M2683" s="5"/>
      <c r="N2683" s="12"/>
      <c r="O2683" s="5"/>
      <c r="P2683" s="5"/>
      <c r="Q2683" s="5"/>
      <c r="R2683" s="5"/>
      <c r="T2683" s="5"/>
      <c r="U2683" s="5"/>
      <c r="V2683" s="5"/>
      <c r="W2683" s="5"/>
    </row>
    <row r="2684" spans="1:23" ht="12.5">
      <c r="A2684" s="5"/>
      <c r="B2684" s="5"/>
      <c r="C2684" s="5"/>
      <c r="D2684" s="5"/>
      <c r="E2684" s="5"/>
      <c r="F2684" s="5"/>
      <c r="G2684" s="5"/>
      <c r="H2684" s="5"/>
      <c r="I2684" s="5"/>
      <c r="J2684" s="12"/>
      <c r="K2684" s="11"/>
      <c r="M2684" s="5"/>
      <c r="N2684" s="12"/>
      <c r="O2684" s="5"/>
      <c r="P2684" s="5"/>
      <c r="Q2684" s="5"/>
      <c r="R2684" s="5"/>
      <c r="T2684" s="5"/>
      <c r="U2684" s="5"/>
      <c r="V2684" s="5"/>
      <c r="W2684" s="5"/>
    </row>
    <row r="2685" spans="1:23" ht="12.5">
      <c r="A2685" s="5"/>
      <c r="B2685" s="5"/>
      <c r="C2685" s="5"/>
      <c r="D2685" s="5"/>
      <c r="E2685" s="5"/>
      <c r="F2685" s="5"/>
      <c r="G2685" s="5"/>
      <c r="H2685" s="5"/>
      <c r="I2685" s="5"/>
      <c r="J2685" s="12"/>
      <c r="K2685" s="11"/>
      <c r="M2685" s="5"/>
      <c r="N2685" s="12"/>
      <c r="O2685" s="5"/>
      <c r="P2685" s="5"/>
      <c r="Q2685" s="5"/>
      <c r="R2685" s="5"/>
      <c r="T2685" s="5"/>
      <c r="U2685" s="5"/>
      <c r="V2685" s="5"/>
      <c r="W2685" s="5"/>
    </row>
    <row r="2686" spans="1:23" ht="12.5">
      <c r="A2686" s="5"/>
      <c r="B2686" s="5"/>
      <c r="C2686" s="5"/>
      <c r="D2686" s="5"/>
      <c r="E2686" s="5"/>
      <c r="F2686" s="5"/>
      <c r="G2686" s="5"/>
      <c r="H2686" s="5"/>
      <c r="I2686" s="5"/>
      <c r="J2686" s="12"/>
      <c r="K2686" s="11"/>
      <c r="M2686" s="5"/>
      <c r="N2686" s="12"/>
      <c r="O2686" s="5"/>
      <c r="P2686" s="5"/>
      <c r="Q2686" s="5"/>
      <c r="R2686" s="5"/>
      <c r="T2686" s="5"/>
      <c r="U2686" s="5"/>
      <c r="V2686" s="5"/>
      <c r="W2686" s="5"/>
    </row>
    <row r="2687" spans="1:23" ht="12.5">
      <c r="A2687" s="5"/>
      <c r="B2687" s="5"/>
      <c r="C2687" s="5"/>
      <c r="D2687" s="5"/>
      <c r="E2687" s="5"/>
      <c r="F2687" s="5"/>
      <c r="G2687" s="5"/>
      <c r="H2687" s="5"/>
      <c r="I2687" s="5"/>
      <c r="J2687" s="12"/>
      <c r="K2687" s="11"/>
      <c r="M2687" s="5"/>
      <c r="N2687" s="12"/>
      <c r="O2687" s="5"/>
      <c r="P2687" s="5"/>
      <c r="Q2687" s="5"/>
      <c r="R2687" s="5"/>
      <c r="T2687" s="5"/>
      <c r="U2687" s="5"/>
      <c r="V2687" s="5"/>
      <c r="W2687" s="5"/>
    </row>
    <row r="2688" spans="1:23" ht="12.5">
      <c r="A2688" s="5"/>
      <c r="B2688" s="5"/>
      <c r="C2688" s="5"/>
      <c r="D2688" s="5"/>
      <c r="E2688" s="5"/>
      <c r="F2688" s="5"/>
      <c r="G2688" s="5"/>
      <c r="H2688" s="5"/>
      <c r="I2688" s="5"/>
      <c r="J2688" s="12"/>
      <c r="K2688" s="11"/>
      <c r="M2688" s="5"/>
      <c r="N2688" s="12"/>
      <c r="O2688" s="5"/>
      <c r="P2688" s="5"/>
      <c r="Q2688" s="5"/>
      <c r="R2688" s="5"/>
      <c r="T2688" s="5"/>
      <c r="U2688" s="5"/>
      <c r="V2688" s="5"/>
      <c r="W2688" s="5"/>
    </row>
    <row r="2689" spans="1:23" ht="12.5">
      <c r="A2689" s="5"/>
      <c r="B2689" s="5"/>
      <c r="C2689" s="5"/>
      <c r="D2689" s="5"/>
      <c r="E2689" s="5"/>
      <c r="F2689" s="5"/>
      <c r="G2689" s="5"/>
      <c r="H2689" s="5"/>
      <c r="I2689" s="5"/>
      <c r="J2689" s="12"/>
      <c r="K2689" s="11"/>
      <c r="M2689" s="5"/>
      <c r="N2689" s="12"/>
      <c r="O2689" s="5"/>
      <c r="P2689" s="5"/>
      <c r="Q2689" s="5"/>
      <c r="R2689" s="5"/>
      <c r="T2689" s="5"/>
      <c r="U2689" s="5"/>
      <c r="V2689" s="5"/>
      <c r="W2689" s="5"/>
    </row>
    <row r="2690" spans="1:23" ht="12.5">
      <c r="A2690" s="5"/>
      <c r="B2690" s="5"/>
      <c r="C2690" s="5"/>
      <c r="D2690" s="5"/>
      <c r="E2690" s="5"/>
      <c r="F2690" s="5"/>
      <c r="G2690" s="5"/>
      <c r="H2690" s="5"/>
      <c r="I2690" s="5"/>
      <c r="J2690" s="12"/>
      <c r="K2690" s="11"/>
      <c r="M2690" s="5"/>
      <c r="N2690" s="12"/>
      <c r="O2690" s="5"/>
      <c r="P2690" s="5"/>
      <c r="Q2690" s="5"/>
      <c r="R2690" s="5"/>
      <c r="T2690" s="5"/>
      <c r="U2690" s="5"/>
      <c r="V2690" s="5"/>
      <c r="W2690" s="5"/>
    </row>
    <row r="2691" spans="1:23" ht="12.5">
      <c r="A2691" s="5"/>
      <c r="B2691" s="5"/>
      <c r="C2691" s="5"/>
      <c r="D2691" s="5"/>
      <c r="E2691" s="5"/>
      <c r="F2691" s="5"/>
      <c r="G2691" s="5"/>
      <c r="H2691" s="5"/>
      <c r="I2691" s="5"/>
      <c r="J2691" s="12"/>
      <c r="K2691" s="11"/>
      <c r="M2691" s="5"/>
      <c r="N2691" s="12"/>
      <c r="O2691" s="5"/>
      <c r="P2691" s="5"/>
      <c r="Q2691" s="5"/>
      <c r="R2691" s="5"/>
      <c r="T2691" s="5"/>
      <c r="U2691" s="5"/>
      <c r="V2691" s="5"/>
      <c r="W2691" s="5"/>
    </row>
    <row r="2692" spans="1:23" ht="12.5">
      <c r="A2692" s="5"/>
      <c r="B2692" s="5"/>
      <c r="C2692" s="5"/>
      <c r="D2692" s="5"/>
      <c r="E2692" s="5"/>
      <c r="F2692" s="5"/>
      <c r="G2692" s="5"/>
      <c r="H2692" s="5"/>
      <c r="I2692" s="5"/>
      <c r="J2692" s="12"/>
      <c r="K2692" s="11"/>
      <c r="M2692" s="5"/>
      <c r="N2692" s="12"/>
      <c r="O2692" s="5"/>
      <c r="P2692" s="5"/>
      <c r="Q2692" s="5"/>
      <c r="R2692" s="5"/>
      <c r="T2692" s="5"/>
      <c r="U2692" s="5"/>
      <c r="V2692" s="5"/>
      <c r="W2692" s="5"/>
    </row>
    <row r="2693" spans="1:23" ht="12.5">
      <c r="A2693" s="5"/>
      <c r="B2693" s="5"/>
      <c r="C2693" s="5"/>
      <c r="D2693" s="5"/>
      <c r="E2693" s="5"/>
      <c r="F2693" s="5"/>
      <c r="G2693" s="5"/>
      <c r="H2693" s="5"/>
      <c r="I2693" s="5"/>
      <c r="J2693" s="12"/>
      <c r="K2693" s="11"/>
      <c r="M2693" s="5"/>
      <c r="N2693" s="12"/>
      <c r="O2693" s="5"/>
      <c r="P2693" s="5"/>
      <c r="Q2693" s="5"/>
      <c r="R2693" s="5"/>
      <c r="T2693" s="5"/>
      <c r="U2693" s="5"/>
      <c r="V2693" s="5"/>
      <c r="W2693" s="5"/>
    </row>
    <row r="2694" spans="1:23" ht="12.5">
      <c r="A2694" s="5"/>
      <c r="B2694" s="5"/>
      <c r="C2694" s="5"/>
      <c r="D2694" s="5"/>
      <c r="E2694" s="5"/>
      <c r="F2694" s="5"/>
      <c r="G2694" s="5"/>
      <c r="H2694" s="5"/>
      <c r="I2694" s="5"/>
      <c r="J2694" s="12"/>
      <c r="K2694" s="11"/>
      <c r="M2694" s="5"/>
      <c r="N2694" s="12"/>
      <c r="O2694" s="5"/>
      <c r="P2694" s="5"/>
      <c r="Q2694" s="5"/>
      <c r="R2694" s="5"/>
      <c r="T2694" s="5"/>
      <c r="U2694" s="5"/>
      <c r="V2694" s="5"/>
      <c r="W2694" s="5"/>
    </row>
    <row r="2695" spans="1:23" ht="12.5">
      <c r="A2695" s="5"/>
      <c r="B2695" s="5"/>
      <c r="C2695" s="5"/>
      <c r="D2695" s="5"/>
      <c r="E2695" s="5"/>
      <c r="F2695" s="5"/>
      <c r="G2695" s="5"/>
      <c r="H2695" s="5"/>
      <c r="I2695" s="5"/>
      <c r="J2695" s="12"/>
      <c r="K2695" s="11"/>
      <c r="M2695" s="5"/>
      <c r="N2695" s="12"/>
      <c r="O2695" s="5"/>
      <c r="P2695" s="5"/>
      <c r="Q2695" s="5"/>
      <c r="R2695" s="5"/>
      <c r="T2695" s="5"/>
      <c r="U2695" s="5"/>
      <c r="V2695" s="5"/>
      <c r="W2695" s="5"/>
    </row>
    <row r="2696" spans="1:23" ht="12.5">
      <c r="A2696" s="5"/>
      <c r="B2696" s="5"/>
      <c r="C2696" s="5"/>
      <c r="D2696" s="5"/>
      <c r="E2696" s="5"/>
      <c r="F2696" s="5"/>
      <c r="G2696" s="5"/>
      <c r="H2696" s="5"/>
      <c r="I2696" s="5"/>
      <c r="J2696" s="12"/>
      <c r="K2696" s="11"/>
      <c r="M2696" s="5"/>
      <c r="N2696" s="12"/>
      <c r="O2696" s="5"/>
      <c r="P2696" s="5"/>
      <c r="Q2696" s="5"/>
      <c r="R2696" s="5"/>
      <c r="T2696" s="5"/>
      <c r="U2696" s="5"/>
      <c r="V2696" s="5"/>
      <c r="W2696" s="5"/>
    </row>
    <row r="2697" spans="1:23" ht="12.5">
      <c r="A2697" s="5"/>
      <c r="B2697" s="5"/>
      <c r="C2697" s="5"/>
      <c r="D2697" s="5"/>
      <c r="E2697" s="5"/>
      <c r="F2697" s="5"/>
      <c r="G2697" s="5"/>
      <c r="H2697" s="5"/>
      <c r="I2697" s="5"/>
      <c r="J2697" s="12"/>
      <c r="K2697" s="11"/>
      <c r="M2697" s="5"/>
      <c r="N2697" s="12"/>
      <c r="O2697" s="5"/>
      <c r="P2697" s="5"/>
      <c r="Q2697" s="5"/>
      <c r="R2697" s="5"/>
      <c r="T2697" s="5"/>
      <c r="U2697" s="5"/>
      <c r="V2697" s="5"/>
      <c r="W2697" s="5"/>
    </row>
    <row r="2698" spans="1:23" ht="12.5">
      <c r="A2698" s="5"/>
      <c r="B2698" s="5"/>
      <c r="C2698" s="5"/>
      <c r="D2698" s="5"/>
      <c r="E2698" s="5"/>
      <c r="F2698" s="5"/>
      <c r="G2698" s="5"/>
      <c r="H2698" s="5"/>
      <c r="I2698" s="5"/>
      <c r="J2698" s="12"/>
      <c r="K2698" s="11"/>
      <c r="M2698" s="5"/>
      <c r="N2698" s="12"/>
      <c r="O2698" s="5"/>
      <c r="P2698" s="5"/>
      <c r="Q2698" s="5"/>
      <c r="R2698" s="5"/>
      <c r="T2698" s="5"/>
      <c r="U2698" s="5"/>
      <c r="V2698" s="5"/>
      <c r="W2698" s="5"/>
    </row>
    <row r="2699" spans="1:23" ht="12.5">
      <c r="A2699" s="5"/>
      <c r="B2699" s="5"/>
      <c r="C2699" s="5"/>
      <c r="D2699" s="5"/>
      <c r="E2699" s="5"/>
      <c r="F2699" s="5"/>
      <c r="G2699" s="5"/>
      <c r="H2699" s="5"/>
      <c r="I2699" s="5"/>
      <c r="J2699" s="12"/>
      <c r="K2699" s="11"/>
      <c r="M2699" s="5"/>
      <c r="N2699" s="12"/>
      <c r="O2699" s="5"/>
      <c r="P2699" s="5"/>
      <c r="Q2699" s="5"/>
      <c r="R2699" s="5"/>
      <c r="T2699" s="5"/>
      <c r="U2699" s="5"/>
      <c r="V2699" s="5"/>
      <c r="W2699" s="5"/>
    </row>
    <row r="2700" spans="1:23" ht="12.5">
      <c r="A2700" s="5"/>
      <c r="B2700" s="5"/>
      <c r="C2700" s="5"/>
      <c r="D2700" s="5"/>
      <c r="E2700" s="5"/>
      <c r="F2700" s="5"/>
      <c r="G2700" s="5"/>
      <c r="H2700" s="5"/>
      <c r="I2700" s="5"/>
      <c r="J2700" s="12"/>
      <c r="K2700" s="11"/>
      <c r="M2700" s="5"/>
      <c r="N2700" s="12"/>
      <c r="O2700" s="5"/>
      <c r="P2700" s="5"/>
      <c r="Q2700" s="5"/>
      <c r="R2700" s="5"/>
      <c r="T2700" s="5"/>
      <c r="U2700" s="5"/>
      <c r="V2700" s="5"/>
      <c r="W2700" s="5"/>
    </row>
    <row r="2701" spans="1:23" ht="12.5">
      <c r="A2701" s="5"/>
      <c r="B2701" s="5"/>
      <c r="C2701" s="5"/>
      <c r="D2701" s="5"/>
      <c r="E2701" s="5"/>
      <c r="F2701" s="5"/>
      <c r="G2701" s="5"/>
      <c r="H2701" s="5"/>
      <c r="I2701" s="5"/>
      <c r="J2701" s="12"/>
      <c r="K2701" s="11"/>
      <c r="M2701" s="5"/>
      <c r="N2701" s="12"/>
      <c r="O2701" s="5"/>
      <c r="P2701" s="5"/>
      <c r="Q2701" s="5"/>
      <c r="R2701" s="5"/>
      <c r="T2701" s="5"/>
      <c r="U2701" s="5"/>
      <c r="V2701" s="5"/>
      <c r="W2701" s="5"/>
    </row>
    <row r="2702" spans="1:23" ht="12.5">
      <c r="A2702" s="5"/>
      <c r="B2702" s="5"/>
      <c r="C2702" s="5"/>
      <c r="D2702" s="5"/>
      <c r="E2702" s="5"/>
      <c r="F2702" s="5"/>
      <c r="G2702" s="5"/>
      <c r="H2702" s="5"/>
      <c r="I2702" s="5"/>
      <c r="J2702" s="12"/>
      <c r="K2702" s="11"/>
      <c r="M2702" s="5"/>
      <c r="N2702" s="12"/>
      <c r="O2702" s="5"/>
      <c r="P2702" s="5"/>
      <c r="Q2702" s="5"/>
      <c r="R2702" s="5"/>
      <c r="T2702" s="5"/>
      <c r="U2702" s="5"/>
      <c r="V2702" s="5"/>
      <c r="W2702" s="5"/>
    </row>
    <row r="2703" spans="1:23" ht="12.5">
      <c r="A2703" s="5"/>
      <c r="B2703" s="5"/>
      <c r="C2703" s="5"/>
      <c r="D2703" s="5"/>
      <c r="E2703" s="5"/>
      <c r="F2703" s="5"/>
      <c r="G2703" s="5"/>
      <c r="H2703" s="5"/>
      <c r="I2703" s="5"/>
      <c r="J2703" s="12"/>
      <c r="K2703" s="11"/>
      <c r="M2703" s="5"/>
      <c r="N2703" s="12"/>
      <c r="O2703" s="5"/>
      <c r="P2703" s="5"/>
      <c r="Q2703" s="5"/>
      <c r="R2703" s="5"/>
      <c r="T2703" s="5"/>
      <c r="U2703" s="5"/>
      <c r="V2703" s="5"/>
      <c r="W2703" s="5"/>
    </row>
    <row r="2704" spans="1:23" ht="12.5">
      <c r="A2704" s="5"/>
      <c r="B2704" s="5"/>
      <c r="C2704" s="5"/>
      <c r="D2704" s="5"/>
      <c r="E2704" s="5"/>
      <c r="F2704" s="5"/>
      <c r="G2704" s="5"/>
      <c r="H2704" s="5"/>
      <c r="I2704" s="5"/>
      <c r="J2704" s="12"/>
      <c r="K2704" s="11"/>
      <c r="M2704" s="5"/>
      <c r="N2704" s="12"/>
      <c r="O2704" s="5"/>
      <c r="P2704" s="5"/>
      <c r="Q2704" s="5"/>
      <c r="R2704" s="5"/>
      <c r="T2704" s="5"/>
      <c r="U2704" s="5"/>
      <c r="V2704" s="5"/>
      <c r="W2704" s="5"/>
    </row>
    <row r="2705" spans="1:23" ht="12.5">
      <c r="A2705" s="5"/>
      <c r="B2705" s="5"/>
      <c r="C2705" s="5"/>
      <c r="D2705" s="5"/>
      <c r="E2705" s="5"/>
      <c r="F2705" s="5"/>
      <c r="G2705" s="5"/>
      <c r="H2705" s="5"/>
      <c r="I2705" s="5"/>
      <c r="J2705" s="12"/>
      <c r="K2705" s="11"/>
      <c r="M2705" s="5"/>
      <c r="N2705" s="12"/>
      <c r="O2705" s="5"/>
      <c r="P2705" s="5"/>
      <c r="Q2705" s="5"/>
      <c r="R2705" s="5"/>
      <c r="T2705" s="5"/>
      <c r="U2705" s="5"/>
      <c r="V2705" s="5"/>
      <c r="W2705" s="5"/>
    </row>
    <row r="2706" spans="1:23" ht="12.5">
      <c r="A2706" s="5"/>
      <c r="B2706" s="5"/>
      <c r="C2706" s="5"/>
      <c r="D2706" s="5"/>
      <c r="E2706" s="5"/>
      <c r="F2706" s="5"/>
      <c r="G2706" s="5"/>
      <c r="H2706" s="5"/>
      <c r="I2706" s="5"/>
      <c r="J2706" s="12"/>
      <c r="K2706" s="11"/>
      <c r="M2706" s="5"/>
      <c r="N2706" s="12"/>
      <c r="O2706" s="5"/>
      <c r="P2706" s="5"/>
      <c r="Q2706" s="5"/>
      <c r="R2706" s="5"/>
      <c r="T2706" s="5"/>
      <c r="U2706" s="5"/>
      <c r="V2706" s="5"/>
      <c r="W2706" s="5"/>
    </row>
    <row r="2707" spans="1:23" ht="12.5">
      <c r="A2707" s="5"/>
      <c r="B2707" s="5"/>
      <c r="C2707" s="5"/>
      <c r="D2707" s="5"/>
      <c r="E2707" s="5"/>
      <c r="F2707" s="5"/>
      <c r="G2707" s="5"/>
      <c r="H2707" s="5"/>
      <c r="I2707" s="5"/>
      <c r="J2707" s="12"/>
      <c r="K2707" s="11"/>
      <c r="M2707" s="5"/>
      <c r="N2707" s="12"/>
      <c r="O2707" s="5"/>
      <c r="P2707" s="5"/>
      <c r="Q2707" s="5"/>
      <c r="R2707" s="5"/>
      <c r="T2707" s="5"/>
      <c r="U2707" s="5"/>
      <c r="V2707" s="5"/>
      <c r="W2707" s="5"/>
    </row>
    <row r="2708" spans="1:23" ht="12.5">
      <c r="A2708" s="5"/>
      <c r="B2708" s="5"/>
      <c r="C2708" s="5"/>
      <c r="D2708" s="5"/>
      <c r="E2708" s="5"/>
      <c r="F2708" s="5"/>
      <c r="G2708" s="5"/>
      <c r="H2708" s="5"/>
      <c r="I2708" s="5"/>
      <c r="J2708" s="12"/>
      <c r="K2708" s="11"/>
      <c r="M2708" s="5"/>
      <c r="N2708" s="12"/>
      <c r="O2708" s="5"/>
      <c r="P2708" s="5"/>
      <c r="Q2708" s="5"/>
      <c r="R2708" s="5"/>
      <c r="T2708" s="5"/>
      <c r="U2708" s="5"/>
      <c r="V2708" s="5"/>
      <c r="W2708" s="5"/>
    </row>
    <row r="2709" spans="1:23" ht="12.5">
      <c r="A2709" s="5"/>
      <c r="B2709" s="5"/>
      <c r="C2709" s="5"/>
      <c r="D2709" s="5"/>
      <c r="E2709" s="5"/>
      <c r="F2709" s="5"/>
      <c r="G2709" s="5"/>
      <c r="H2709" s="5"/>
      <c r="I2709" s="5"/>
      <c r="J2709" s="12"/>
      <c r="K2709" s="11"/>
      <c r="M2709" s="5"/>
      <c r="N2709" s="12"/>
      <c r="O2709" s="5"/>
      <c r="P2709" s="5"/>
      <c r="Q2709" s="5"/>
      <c r="R2709" s="5"/>
      <c r="T2709" s="5"/>
      <c r="U2709" s="5"/>
      <c r="V2709" s="5"/>
      <c r="W2709" s="5"/>
    </row>
    <row r="2710" spans="1:23" ht="12.5">
      <c r="A2710" s="5"/>
      <c r="B2710" s="5"/>
      <c r="C2710" s="5"/>
      <c r="D2710" s="5"/>
      <c r="E2710" s="5"/>
      <c r="F2710" s="5"/>
      <c r="G2710" s="5"/>
      <c r="H2710" s="5"/>
      <c r="I2710" s="5"/>
      <c r="J2710" s="12"/>
      <c r="K2710" s="11"/>
      <c r="M2710" s="5"/>
      <c r="N2710" s="12"/>
      <c r="O2710" s="5"/>
      <c r="P2710" s="5"/>
      <c r="Q2710" s="5"/>
      <c r="R2710" s="5"/>
      <c r="T2710" s="5"/>
      <c r="U2710" s="5"/>
      <c r="V2710" s="5"/>
      <c r="W2710" s="5"/>
    </row>
    <row r="2711" spans="1:23" ht="12.5">
      <c r="A2711" s="5"/>
      <c r="B2711" s="5"/>
      <c r="C2711" s="5"/>
      <c r="D2711" s="5"/>
      <c r="E2711" s="5"/>
      <c r="F2711" s="5"/>
      <c r="G2711" s="5"/>
      <c r="H2711" s="5"/>
      <c r="I2711" s="5"/>
      <c r="J2711" s="12"/>
      <c r="K2711" s="11"/>
      <c r="M2711" s="5"/>
      <c r="N2711" s="12"/>
      <c r="O2711" s="5"/>
      <c r="P2711" s="5"/>
      <c r="Q2711" s="5"/>
      <c r="R2711" s="5"/>
      <c r="T2711" s="5"/>
      <c r="U2711" s="5"/>
      <c r="V2711" s="5"/>
      <c r="W2711" s="5"/>
    </row>
    <row r="2712" spans="1:23" ht="12.5">
      <c r="A2712" s="5"/>
      <c r="B2712" s="5"/>
      <c r="C2712" s="5"/>
      <c r="D2712" s="5"/>
      <c r="E2712" s="5"/>
      <c r="F2712" s="5"/>
      <c r="G2712" s="5"/>
      <c r="H2712" s="5"/>
      <c r="I2712" s="5"/>
      <c r="J2712" s="12"/>
      <c r="K2712" s="11"/>
      <c r="M2712" s="5"/>
      <c r="N2712" s="12"/>
      <c r="O2712" s="5"/>
      <c r="P2712" s="5"/>
      <c r="Q2712" s="5"/>
      <c r="R2712" s="5"/>
      <c r="T2712" s="5"/>
      <c r="U2712" s="5"/>
      <c r="V2712" s="5"/>
      <c r="W2712" s="5"/>
    </row>
    <row r="2713" spans="1:23" ht="12.5">
      <c r="A2713" s="5"/>
      <c r="B2713" s="5"/>
      <c r="C2713" s="5"/>
      <c r="D2713" s="5"/>
      <c r="E2713" s="5"/>
      <c r="F2713" s="5"/>
      <c r="G2713" s="5"/>
      <c r="H2713" s="5"/>
      <c r="I2713" s="5"/>
      <c r="J2713" s="12"/>
      <c r="K2713" s="11"/>
      <c r="M2713" s="5"/>
      <c r="N2713" s="12"/>
      <c r="O2713" s="5"/>
      <c r="P2713" s="5"/>
      <c r="Q2713" s="5"/>
      <c r="R2713" s="5"/>
      <c r="T2713" s="5"/>
      <c r="U2713" s="5"/>
      <c r="V2713" s="5"/>
      <c r="W2713" s="5"/>
    </row>
    <row r="2714" spans="1:23" ht="12.5">
      <c r="A2714" s="5"/>
      <c r="B2714" s="5"/>
      <c r="C2714" s="5"/>
      <c r="D2714" s="5"/>
      <c r="E2714" s="5"/>
      <c r="F2714" s="5"/>
      <c r="G2714" s="5"/>
      <c r="H2714" s="5"/>
      <c r="I2714" s="5"/>
      <c r="J2714" s="12"/>
      <c r="K2714" s="11"/>
      <c r="M2714" s="5"/>
      <c r="N2714" s="12"/>
      <c r="O2714" s="5"/>
      <c r="P2714" s="5"/>
      <c r="Q2714" s="5"/>
      <c r="R2714" s="5"/>
      <c r="T2714" s="5"/>
      <c r="U2714" s="5"/>
      <c r="V2714" s="5"/>
      <c r="W2714" s="5"/>
    </row>
    <row r="2715" spans="1:23" ht="12.5">
      <c r="A2715" s="5"/>
      <c r="B2715" s="5"/>
      <c r="C2715" s="5"/>
      <c r="D2715" s="5"/>
      <c r="E2715" s="5"/>
      <c r="F2715" s="5"/>
      <c r="G2715" s="5"/>
      <c r="H2715" s="5"/>
      <c r="I2715" s="5"/>
      <c r="J2715" s="12"/>
      <c r="K2715" s="11"/>
      <c r="M2715" s="5"/>
      <c r="N2715" s="12"/>
      <c r="O2715" s="5"/>
      <c r="P2715" s="5"/>
      <c r="Q2715" s="5"/>
      <c r="R2715" s="5"/>
      <c r="T2715" s="5"/>
      <c r="U2715" s="5"/>
      <c r="V2715" s="5"/>
      <c r="W2715" s="5"/>
    </row>
    <row r="2716" spans="1:23" ht="12.5">
      <c r="A2716" s="5"/>
      <c r="B2716" s="5"/>
      <c r="C2716" s="5"/>
      <c r="D2716" s="5"/>
      <c r="E2716" s="5"/>
      <c r="F2716" s="5"/>
      <c r="G2716" s="5"/>
      <c r="H2716" s="5"/>
      <c r="I2716" s="5"/>
      <c r="J2716" s="12"/>
      <c r="K2716" s="11"/>
      <c r="M2716" s="5"/>
      <c r="N2716" s="12"/>
      <c r="O2716" s="5"/>
      <c r="P2716" s="5"/>
      <c r="Q2716" s="5"/>
      <c r="R2716" s="5"/>
      <c r="T2716" s="5"/>
      <c r="U2716" s="5"/>
      <c r="V2716" s="5"/>
      <c r="W2716" s="5"/>
    </row>
    <row r="2717" spans="1:23" ht="12.5">
      <c r="A2717" s="5"/>
      <c r="B2717" s="5"/>
      <c r="C2717" s="5"/>
      <c r="D2717" s="5"/>
      <c r="E2717" s="5"/>
      <c r="F2717" s="5"/>
      <c r="G2717" s="5"/>
      <c r="H2717" s="5"/>
      <c r="I2717" s="5"/>
      <c r="J2717" s="12"/>
      <c r="K2717" s="11"/>
      <c r="M2717" s="5"/>
      <c r="N2717" s="12"/>
      <c r="O2717" s="5"/>
      <c r="P2717" s="5"/>
      <c r="Q2717" s="5"/>
      <c r="R2717" s="5"/>
      <c r="T2717" s="5"/>
      <c r="U2717" s="5"/>
      <c r="V2717" s="5"/>
      <c r="W2717" s="5"/>
    </row>
    <row r="2718" spans="1:23" ht="12.5">
      <c r="A2718" s="5"/>
      <c r="B2718" s="5"/>
      <c r="C2718" s="5"/>
      <c r="D2718" s="5"/>
      <c r="E2718" s="5"/>
      <c r="F2718" s="5"/>
      <c r="G2718" s="5"/>
      <c r="H2718" s="5"/>
      <c r="I2718" s="5"/>
      <c r="J2718" s="12"/>
      <c r="K2718" s="11"/>
      <c r="M2718" s="5"/>
      <c r="N2718" s="12"/>
      <c r="O2718" s="5"/>
      <c r="P2718" s="5"/>
      <c r="Q2718" s="5"/>
      <c r="R2718" s="5"/>
      <c r="T2718" s="5"/>
      <c r="U2718" s="5"/>
      <c r="V2718" s="5"/>
      <c r="W2718" s="5"/>
    </row>
    <row r="2719" spans="1:23" ht="12.5">
      <c r="A2719" s="5"/>
      <c r="B2719" s="5"/>
      <c r="C2719" s="5"/>
      <c r="D2719" s="5"/>
      <c r="E2719" s="5"/>
      <c r="F2719" s="5"/>
      <c r="G2719" s="5"/>
      <c r="H2719" s="5"/>
      <c r="I2719" s="5"/>
      <c r="J2719" s="12"/>
      <c r="K2719" s="11"/>
      <c r="M2719" s="5"/>
      <c r="N2719" s="12"/>
      <c r="O2719" s="5"/>
      <c r="P2719" s="5"/>
      <c r="Q2719" s="5"/>
      <c r="R2719" s="5"/>
      <c r="T2719" s="5"/>
      <c r="U2719" s="5"/>
      <c r="V2719" s="5"/>
      <c r="W2719" s="5"/>
    </row>
    <row r="2720" spans="1:23" ht="12.5">
      <c r="A2720" s="5"/>
      <c r="B2720" s="5"/>
      <c r="C2720" s="5"/>
      <c r="D2720" s="5"/>
      <c r="E2720" s="5"/>
      <c r="F2720" s="5"/>
      <c r="G2720" s="5"/>
      <c r="H2720" s="5"/>
      <c r="I2720" s="5"/>
      <c r="J2720" s="12"/>
      <c r="K2720" s="11"/>
      <c r="M2720" s="5"/>
      <c r="N2720" s="12"/>
      <c r="O2720" s="5"/>
      <c r="P2720" s="5"/>
      <c r="Q2720" s="5"/>
      <c r="R2720" s="5"/>
      <c r="T2720" s="5"/>
      <c r="U2720" s="5"/>
      <c r="V2720" s="5"/>
      <c r="W2720" s="5"/>
    </row>
    <row r="2721" spans="1:23" ht="12.5">
      <c r="A2721" s="5"/>
      <c r="B2721" s="5"/>
      <c r="C2721" s="5"/>
      <c r="D2721" s="5"/>
      <c r="E2721" s="5"/>
      <c r="F2721" s="5"/>
      <c r="G2721" s="5"/>
      <c r="H2721" s="5"/>
      <c r="I2721" s="5"/>
      <c r="J2721" s="12"/>
      <c r="K2721" s="11"/>
      <c r="M2721" s="5"/>
      <c r="N2721" s="12"/>
      <c r="O2721" s="5"/>
      <c r="P2721" s="5"/>
      <c r="Q2721" s="5"/>
      <c r="R2721" s="5"/>
      <c r="T2721" s="5"/>
      <c r="U2721" s="5"/>
      <c r="V2721" s="5"/>
      <c r="W2721" s="5"/>
    </row>
    <row r="2722" spans="1:23" ht="12.5">
      <c r="A2722" s="5"/>
      <c r="B2722" s="5"/>
      <c r="C2722" s="5"/>
      <c r="D2722" s="5"/>
      <c r="E2722" s="5"/>
      <c r="F2722" s="5"/>
      <c r="G2722" s="5"/>
      <c r="H2722" s="5"/>
      <c r="I2722" s="5"/>
      <c r="J2722" s="12"/>
      <c r="K2722" s="11"/>
      <c r="M2722" s="5"/>
      <c r="N2722" s="12"/>
      <c r="O2722" s="5"/>
      <c r="P2722" s="5"/>
      <c r="Q2722" s="5"/>
      <c r="R2722" s="5"/>
      <c r="T2722" s="5"/>
      <c r="U2722" s="5"/>
      <c r="V2722" s="5"/>
      <c r="W2722" s="5"/>
    </row>
    <row r="2723" spans="1:23" ht="12.5">
      <c r="A2723" s="5"/>
      <c r="B2723" s="5"/>
      <c r="C2723" s="5"/>
      <c r="D2723" s="5"/>
      <c r="E2723" s="5"/>
      <c r="F2723" s="5"/>
      <c r="G2723" s="5"/>
      <c r="H2723" s="5"/>
      <c r="I2723" s="5"/>
      <c r="J2723" s="12"/>
      <c r="K2723" s="11"/>
      <c r="M2723" s="5"/>
      <c r="N2723" s="12"/>
      <c r="O2723" s="5"/>
      <c r="P2723" s="5"/>
      <c r="Q2723" s="5"/>
      <c r="R2723" s="5"/>
      <c r="T2723" s="5"/>
      <c r="U2723" s="5"/>
      <c r="V2723" s="5"/>
      <c r="W2723" s="5"/>
    </row>
    <row r="2724" spans="1:23" ht="12.5">
      <c r="A2724" s="5"/>
      <c r="B2724" s="5"/>
      <c r="C2724" s="5"/>
      <c r="D2724" s="5"/>
      <c r="E2724" s="5"/>
      <c r="F2724" s="5"/>
      <c r="G2724" s="5"/>
      <c r="H2724" s="5"/>
      <c r="I2724" s="5"/>
      <c r="J2724" s="12"/>
      <c r="K2724" s="11"/>
      <c r="M2724" s="5"/>
      <c r="N2724" s="12"/>
      <c r="O2724" s="5"/>
      <c r="P2724" s="5"/>
      <c r="Q2724" s="5"/>
      <c r="R2724" s="5"/>
      <c r="T2724" s="5"/>
      <c r="U2724" s="5"/>
      <c r="V2724" s="5"/>
      <c r="W2724" s="5"/>
    </row>
    <row r="2725" spans="1:23" ht="12.5">
      <c r="A2725" s="5"/>
      <c r="B2725" s="5"/>
      <c r="C2725" s="5"/>
      <c r="D2725" s="5"/>
      <c r="E2725" s="5"/>
      <c r="F2725" s="5"/>
      <c r="G2725" s="5"/>
      <c r="H2725" s="5"/>
      <c r="I2725" s="5"/>
      <c r="J2725" s="12"/>
      <c r="K2725" s="11"/>
      <c r="M2725" s="5"/>
      <c r="N2725" s="12"/>
      <c r="O2725" s="5"/>
      <c r="P2725" s="5"/>
      <c r="Q2725" s="5"/>
      <c r="R2725" s="5"/>
      <c r="T2725" s="5"/>
      <c r="U2725" s="5"/>
      <c r="V2725" s="5"/>
      <c r="W2725" s="5"/>
    </row>
    <row r="2726" spans="1:23" ht="12.5">
      <c r="A2726" s="5"/>
      <c r="B2726" s="5"/>
      <c r="C2726" s="5"/>
      <c r="D2726" s="5"/>
      <c r="E2726" s="5"/>
      <c r="F2726" s="5"/>
      <c r="G2726" s="5"/>
      <c r="H2726" s="5"/>
      <c r="I2726" s="5"/>
      <c r="J2726" s="12"/>
      <c r="K2726" s="11"/>
      <c r="M2726" s="5"/>
      <c r="N2726" s="12"/>
      <c r="O2726" s="5"/>
      <c r="P2726" s="5"/>
      <c r="Q2726" s="5"/>
      <c r="R2726" s="5"/>
      <c r="T2726" s="5"/>
      <c r="U2726" s="5"/>
      <c r="V2726" s="5"/>
      <c r="W2726" s="5"/>
    </row>
    <row r="2727" spans="1:23" ht="12.5">
      <c r="A2727" s="5"/>
      <c r="B2727" s="5"/>
      <c r="C2727" s="5"/>
      <c r="D2727" s="5"/>
      <c r="E2727" s="5"/>
      <c r="F2727" s="5"/>
      <c r="G2727" s="5"/>
      <c r="H2727" s="5"/>
      <c r="I2727" s="5"/>
      <c r="J2727" s="12"/>
      <c r="K2727" s="11"/>
      <c r="M2727" s="5"/>
      <c r="N2727" s="12"/>
      <c r="O2727" s="5"/>
      <c r="P2727" s="5"/>
      <c r="Q2727" s="5"/>
      <c r="R2727" s="5"/>
      <c r="T2727" s="5"/>
      <c r="U2727" s="5"/>
      <c r="V2727" s="5"/>
      <c r="W2727" s="5"/>
    </row>
    <row r="2728" spans="1:23" ht="12.5">
      <c r="A2728" s="5"/>
      <c r="B2728" s="5"/>
      <c r="C2728" s="5"/>
      <c r="D2728" s="5"/>
      <c r="E2728" s="5"/>
      <c r="F2728" s="5"/>
      <c r="G2728" s="5"/>
      <c r="H2728" s="5"/>
      <c r="I2728" s="5"/>
      <c r="J2728" s="12"/>
      <c r="K2728" s="11"/>
      <c r="M2728" s="5"/>
      <c r="N2728" s="12"/>
      <c r="O2728" s="5"/>
      <c r="P2728" s="5"/>
      <c r="Q2728" s="5"/>
      <c r="R2728" s="5"/>
      <c r="T2728" s="5"/>
      <c r="U2728" s="5"/>
      <c r="V2728" s="5"/>
      <c r="W2728" s="5"/>
    </row>
    <row r="2729" spans="1:23" ht="12.5">
      <c r="A2729" s="5"/>
      <c r="B2729" s="5"/>
      <c r="C2729" s="5"/>
      <c r="D2729" s="5"/>
      <c r="E2729" s="5"/>
      <c r="F2729" s="5"/>
      <c r="G2729" s="5"/>
      <c r="H2729" s="5"/>
      <c r="I2729" s="5"/>
      <c r="J2729" s="12"/>
      <c r="K2729" s="11"/>
      <c r="M2729" s="5"/>
      <c r="N2729" s="12"/>
      <c r="O2729" s="5"/>
      <c r="P2729" s="5"/>
      <c r="Q2729" s="5"/>
      <c r="R2729" s="5"/>
      <c r="T2729" s="5"/>
      <c r="U2729" s="5"/>
      <c r="V2729" s="5"/>
      <c r="W2729" s="5"/>
    </row>
    <row r="2730" spans="1:23" ht="12.5">
      <c r="A2730" s="5"/>
      <c r="B2730" s="5"/>
      <c r="C2730" s="5"/>
      <c r="D2730" s="5"/>
      <c r="E2730" s="5"/>
      <c r="F2730" s="5"/>
      <c r="G2730" s="5"/>
      <c r="H2730" s="5"/>
      <c r="I2730" s="5"/>
      <c r="J2730" s="12"/>
      <c r="K2730" s="11"/>
      <c r="M2730" s="5"/>
      <c r="N2730" s="12"/>
      <c r="O2730" s="5"/>
      <c r="P2730" s="5"/>
      <c r="Q2730" s="5"/>
      <c r="R2730" s="5"/>
      <c r="T2730" s="5"/>
      <c r="U2730" s="5"/>
      <c r="V2730" s="5"/>
      <c r="W2730" s="5"/>
    </row>
    <row r="2731" spans="1:23" ht="12.5">
      <c r="A2731" s="5"/>
      <c r="B2731" s="5"/>
      <c r="C2731" s="5"/>
      <c r="D2731" s="5"/>
      <c r="E2731" s="5"/>
      <c r="F2731" s="5"/>
      <c r="G2731" s="5"/>
      <c r="H2731" s="5"/>
      <c r="I2731" s="5"/>
      <c r="J2731" s="12"/>
      <c r="K2731" s="11"/>
      <c r="M2731" s="5"/>
      <c r="N2731" s="12"/>
      <c r="O2731" s="5"/>
      <c r="P2731" s="5"/>
      <c r="Q2731" s="5"/>
      <c r="R2731" s="5"/>
      <c r="T2731" s="5"/>
      <c r="U2731" s="5"/>
      <c r="V2731" s="5"/>
      <c r="W2731" s="5"/>
    </row>
    <row r="2732" spans="1:23" ht="12.5">
      <c r="A2732" s="5"/>
      <c r="B2732" s="5"/>
      <c r="C2732" s="5"/>
      <c r="D2732" s="5"/>
      <c r="E2732" s="5"/>
      <c r="F2732" s="5"/>
      <c r="G2732" s="5"/>
      <c r="H2732" s="5"/>
      <c r="I2732" s="5"/>
      <c r="J2732" s="12"/>
      <c r="K2732" s="11"/>
      <c r="M2732" s="5"/>
      <c r="N2732" s="12"/>
      <c r="O2732" s="5"/>
      <c r="P2732" s="5"/>
      <c r="Q2732" s="5"/>
      <c r="R2732" s="5"/>
      <c r="T2732" s="5"/>
      <c r="U2732" s="5"/>
      <c r="V2732" s="5"/>
      <c r="W2732" s="5"/>
    </row>
    <row r="2733" spans="1:23" ht="12.5">
      <c r="A2733" s="5"/>
      <c r="B2733" s="5"/>
      <c r="C2733" s="5"/>
      <c r="D2733" s="5"/>
      <c r="E2733" s="5"/>
      <c r="F2733" s="5"/>
      <c r="G2733" s="5"/>
      <c r="H2733" s="5"/>
      <c r="I2733" s="5"/>
      <c r="J2733" s="12"/>
      <c r="K2733" s="11"/>
      <c r="M2733" s="5"/>
      <c r="N2733" s="12"/>
      <c r="O2733" s="5"/>
      <c r="P2733" s="5"/>
      <c r="Q2733" s="5"/>
      <c r="R2733" s="5"/>
      <c r="T2733" s="5"/>
      <c r="U2733" s="5"/>
      <c r="V2733" s="5"/>
      <c r="W2733" s="5"/>
    </row>
    <row r="2734" spans="1:23" ht="12.5">
      <c r="A2734" s="5"/>
      <c r="B2734" s="5"/>
      <c r="C2734" s="5"/>
      <c r="D2734" s="5"/>
      <c r="E2734" s="5"/>
      <c r="F2734" s="5"/>
      <c r="G2734" s="5"/>
      <c r="H2734" s="5"/>
      <c r="I2734" s="5"/>
      <c r="J2734" s="12"/>
      <c r="K2734" s="11"/>
      <c r="M2734" s="5"/>
      <c r="N2734" s="12"/>
      <c r="O2734" s="5"/>
      <c r="P2734" s="5"/>
      <c r="Q2734" s="5"/>
      <c r="R2734" s="5"/>
      <c r="T2734" s="5"/>
      <c r="U2734" s="5"/>
      <c r="V2734" s="5"/>
      <c r="W2734" s="5"/>
    </row>
    <row r="2735" spans="1:23" ht="12.5">
      <c r="A2735" s="5"/>
      <c r="B2735" s="5"/>
      <c r="C2735" s="5"/>
      <c r="D2735" s="5"/>
      <c r="E2735" s="5"/>
      <c r="F2735" s="5"/>
      <c r="G2735" s="5"/>
      <c r="H2735" s="5"/>
      <c r="I2735" s="5"/>
      <c r="J2735" s="12"/>
      <c r="K2735" s="11"/>
      <c r="M2735" s="5"/>
      <c r="N2735" s="12"/>
      <c r="O2735" s="5"/>
      <c r="P2735" s="5"/>
      <c r="Q2735" s="5"/>
      <c r="R2735" s="5"/>
      <c r="T2735" s="5"/>
      <c r="U2735" s="5"/>
      <c r="V2735" s="5"/>
      <c r="W2735" s="5"/>
    </row>
    <row r="2736" spans="1:23" ht="12.5">
      <c r="A2736" s="5"/>
      <c r="B2736" s="5"/>
      <c r="C2736" s="5"/>
      <c r="D2736" s="5"/>
      <c r="E2736" s="5"/>
      <c r="F2736" s="5"/>
      <c r="G2736" s="5"/>
      <c r="H2736" s="5"/>
      <c r="I2736" s="5"/>
      <c r="J2736" s="12"/>
      <c r="K2736" s="11"/>
      <c r="M2736" s="5"/>
      <c r="N2736" s="12"/>
      <c r="O2736" s="5"/>
      <c r="P2736" s="5"/>
      <c r="Q2736" s="5"/>
      <c r="R2736" s="5"/>
      <c r="T2736" s="5"/>
      <c r="U2736" s="5"/>
      <c r="V2736" s="5"/>
      <c r="W2736" s="5"/>
    </row>
    <row r="2737" spans="1:23" ht="12.5">
      <c r="A2737" s="5"/>
      <c r="B2737" s="5"/>
      <c r="C2737" s="5"/>
      <c r="D2737" s="5"/>
      <c r="E2737" s="5"/>
      <c r="F2737" s="5"/>
      <c r="G2737" s="5"/>
      <c r="H2737" s="5"/>
      <c r="I2737" s="5"/>
      <c r="J2737" s="12"/>
      <c r="K2737" s="11"/>
      <c r="M2737" s="5"/>
      <c r="N2737" s="12"/>
      <c r="O2737" s="5"/>
      <c r="P2737" s="5"/>
      <c r="Q2737" s="5"/>
      <c r="R2737" s="5"/>
      <c r="T2737" s="5"/>
      <c r="U2737" s="5"/>
      <c r="V2737" s="5"/>
      <c r="W2737" s="5"/>
    </row>
    <row r="2738" spans="1:23" ht="12.5">
      <c r="A2738" s="5"/>
      <c r="B2738" s="5"/>
      <c r="C2738" s="5"/>
      <c r="D2738" s="5"/>
      <c r="E2738" s="5"/>
      <c r="F2738" s="5"/>
      <c r="G2738" s="5"/>
      <c r="H2738" s="5"/>
      <c r="I2738" s="5"/>
      <c r="J2738" s="12"/>
      <c r="K2738" s="11"/>
      <c r="M2738" s="5"/>
      <c r="N2738" s="12"/>
      <c r="O2738" s="5"/>
      <c r="P2738" s="5"/>
      <c r="Q2738" s="5"/>
      <c r="R2738" s="5"/>
      <c r="T2738" s="5"/>
      <c r="U2738" s="5"/>
      <c r="V2738" s="5"/>
      <c r="W2738" s="5"/>
    </row>
    <row r="2739" spans="1:23" ht="12.5">
      <c r="A2739" s="5"/>
      <c r="B2739" s="5"/>
      <c r="C2739" s="5"/>
      <c r="D2739" s="5"/>
      <c r="E2739" s="5"/>
      <c r="F2739" s="5"/>
      <c r="G2739" s="5"/>
      <c r="H2739" s="5"/>
      <c r="I2739" s="5"/>
      <c r="J2739" s="12"/>
      <c r="K2739" s="11"/>
      <c r="M2739" s="5"/>
      <c r="N2739" s="12"/>
      <c r="O2739" s="5"/>
      <c r="P2739" s="5"/>
      <c r="Q2739" s="5"/>
      <c r="R2739" s="5"/>
      <c r="T2739" s="5"/>
      <c r="U2739" s="5"/>
      <c r="V2739" s="5"/>
      <c r="W2739" s="5"/>
    </row>
    <row r="2740" spans="1:23" ht="12.5">
      <c r="A2740" s="5"/>
      <c r="B2740" s="5"/>
      <c r="C2740" s="5"/>
      <c r="D2740" s="5"/>
      <c r="E2740" s="5"/>
      <c r="F2740" s="5"/>
      <c r="G2740" s="5"/>
      <c r="H2740" s="5"/>
      <c r="I2740" s="5"/>
      <c r="J2740" s="12"/>
      <c r="K2740" s="11"/>
      <c r="M2740" s="5"/>
      <c r="N2740" s="12"/>
      <c r="O2740" s="5"/>
      <c r="P2740" s="5"/>
      <c r="Q2740" s="5"/>
      <c r="R2740" s="5"/>
      <c r="T2740" s="5"/>
      <c r="U2740" s="5"/>
      <c r="V2740" s="5"/>
      <c r="W2740" s="5"/>
    </row>
    <row r="2741" spans="1:23" ht="12.5">
      <c r="A2741" s="5"/>
      <c r="B2741" s="5"/>
      <c r="C2741" s="5"/>
      <c r="D2741" s="5"/>
      <c r="E2741" s="5"/>
      <c r="F2741" s="5"/>
      <c r="G2741" s="5"/>
      <c r="H2741" s="5"/>
      <c r="I2741" s="5"/>
      <c r="J2741" s="12"/>
      <c r="K2741" s="11"/>
      <c r="M2741" s="5"/>
      <c r="N2741" s="12"/>
      <c r="O2741" s="5"/>
      <c r="P2741" s="5"/>
      <c r="Q2741" s="5"/>
      <c r="R2741" s="5"/>
      <c r="T2741" s="5"/>
      <c r="U2741" s="5"/>
      <c r="V2741" s="5"/>
      <c r="W2741" s="5"/>
    </row>
    <row r="2742" spans="1:23" ht="12.5">
      <c r="A2742" s="5"/>
      <c r="B2742" s="5"/>
      <c r="C2742" s="5"/>
      <c r="D2742" s="5"/>
      <c r="E2742" s="5"/>
      <c r="F2742" s="5"/>
      <c r="G2742" s="5"/>
      <c r="H2742" s="5"/>
      <c r="I2742" s="5"/>
      <c r="J2742" s="12"/>
      <c r="K2742" s="11"/>
      <c r="M2742" s="5"/>
      <c r="N2742" s="12"/>
      <c r="O2742" s="5"/>
      <c r="P2742" s="5"/>
      <c r="Q2742" s="5"/>
      <c r="R2742" s="5"/>
      <c r="T2742" s="5"/>
      <c r="U2742" s="5"/>
      <c r="V2742" s="5"/>
      <c r="W2742" s="5"/>
    </row>
    <row r="2743" spans="1:23" ht="12.5">
      <c r="A2743" s="5"/>
      <c r="B2743" s="5"/>
      <c r="C2743" s="5"/>
      <c r="D2743" s="5"/>
      <c r="E2743" s="5"/>
      <c r="F2743" s="5"/>
      <c r="G2743" s="5"/>
      <c r="H2743" s="5"/>
      <c r="I2743" s="5"/>
      <c r="J2743" s="12"/>
      <c r="K2743" s="11"/>
      <c r="M2743" s="5"/>
      <c r="N2743" s="12"/>
      <c r="O2743" s="5"/>
      <c r="P2743" s="5"/>
      <c r="Q2743" s="5"/>
      <c r="R2743" s="5"/>
      <c r="T2743" s="5"/>
      <c r="U2743" s="5"/>
      <c r="V2743" s="5"/>
      <c r="W2743" s="5"/>
    </row>
    <row r="2744" spans="1:23" ht="12.5">
      <c r="A2744" s="5"/>
      <c r="B2744" s="5"/>
      <c r="C2744" s="5"/>
      <c r="D2744" s="5"/>
      <c r="E2744" s="5"/>
      <c r="F2744" s="5"/>
      <c r="G2744" s="5"/>
      <c r="H2744" s="5"/>
      <c r="I2744" s="5"/>
      <c r="J2744" s="12"/>
      <c r="K2744" s="11"/>
      <c r="M2744" s="5"/>
      <c r="N2744" s="12"/>
      <c r="O2744" s="5"/>
      <c r="P2744" s="5"/>
      <c r="Q2744" s="5"/>
      <c r="R2744" s="5"/>
      <c r="T2744" s="5"/>
      <c r="U2744" s="5"/>
      <c r="V2744" s="5"/>
      <c r="W2744" s="5"/>
    </row>
    <row r="2745" spans="1:23" ht="12.5">
      <c r="A2745" s="5"/>
      <c r="B2745" s="5"/>
      <c r="C2745" s="5"/>
      <c r="D2745" s="5"/>
      <c r="E2745" s="5"/>
      <c r="F2745" s="5"/>
      <c r="G2745" s="5"/>
      <c r="H2745" s="5"/>
      <c r="I2745" s="5"/>
      <c r="J2745" s="12"/>
      <c r="K2745" s="11"/>
      <c r="M2745" s="5"/>
      <c r="N2745" s="12"/>
      <c r="O2745" s="5"/>
      <c r="P2745" s="5"/>
      <c r="Q2745" s="5"/>
      <c r="R2745" s="5"/>
      <c r="T2745" s="5"/>
      <c r="U2745" s="5"/>
      <c r="V2745" s="5"/>
      <c r="W2745" s="5"/>
    </row>
    <row r="2746" spans="1:23" ht="12.5">
      <c r="A2746" s="5"/>
      <c r="B2746" s="5"/>
      <c r="C2746" s="5"/>
      <c r="D2746" s="5"/>
      <c r="E2746" s="5"/>
      <c r="F2746" s="5"/>
      <c r="G2746" s="5"/>
      <c r="H2746" s="5"/>
      <c r="I2746" s="5"/>
      <c r="J2746" s="12"/>
      <c r="K2746" s="11"/>
      <c r="M2746" s="5"/>
      <c r="N2746" s="12"/>
      <c r="O2746" s="5"/>
      <c r="P2746" s="5"/>
      <c r="Q2746" s="5"/>
      <c r="R2746" s="5"/>
      <c r="T2746" s="5"/>
      <c r="U2746" s="5"/>
      <c r="V2746" s="5"/>
      <c r="W2746" s="5"/>
    </row>
    <row r="2747" spans="1:23" ht="12.5">
      <c r="A2747" s="5"/>
      <c r="B2747" s="5"/>
      <c r="C2747" s="5"/>
      <c r="D2747" s="5"/>
      <c r="E2747" s="5"/>
      <c r="F2747" s="5"/>
      <c r="G2747" s="5"/>
      <c r="H2747" s="5"/>
      <c r="I2747" s="5"/>
      <c r="J2747" s="12"/>
      <c r="K2747" s="11"/>
      <c r="M2747" s="5"/>
      <c r="N2747" s="12"/>
      <c r="O2747" s="5"/>
      <c r="P2747" s="5"/>
      <c r="Q2747" s="5"/>
      <c r="R2747" s="5"/>
      <c r="T2747" s="5"/>
      <c r="U2747" s="5"/>
      <c r="V2747" s="5"/>
      <c r="W2747" s="5"/>
    </row>
    <row r="2748" spans="1:23" ht="12.5">
      <c r="A2748" s="5"/>
      <c r="B2748" s="5"/>
      <c r="C2748" s="5"/>
      <c r="D2748" s="5"/>
      <c r="E2748" s="5"/>
      <c r="F2748" s="5"/>
      <c r="G2748" s="5"/>
      <c r="H2748" s="5"/>
      <c r="I2748" s="5"/>
      <c r="J2748" s="12"/>
      <c r="K2748" s="11"/>
      <c r="M2748" s="5"/>
      <c r="N2748" s="12"/>
      <c r="O2748" s="5"/>
      <c r="P2748" s="5"/>
      <c r="Q2748" s="5"/>
      <c r="R2748" s="5"/>
      <c r="T2748" s="5"/>
      <c r="U2748" s="5"/>
      <c r="V2748" s="5"/>
      <c r="W2748" s="5"/>
    </row>
    <row r="2749" spans="1:23" ht="12.5">
      <c r="A2749" s="5"/>
      <c r="B2749" s="5"/>
      <c r="C2749" s="5"/>
      <c r="D2749" s="5"/>
      <c r="E2749" s="5"/>
      <c r="F2749" s="5"/>
      <c r="G2749" s="5"/>
      <c r="H2749" s="5"/>
      <c r="I2749" s="5"/>
      <c r="J2749" s="12"/>
      <c r="K2749" s="11"/>
      <c r="M2749" s="5"/>
      <c r="N2749" s="12"/>
      <c r="O2749" s="5"/>
      <c r="P2749" s="5"/>
      <c r="Q2749" s="5"/>
      <c r="R2749" s="5"/>
      <c r="T2749" s="5"/>
      <c r="U2749" s="5"/>
      <c r="V2749" s="5"/>
      <c r="W2749" s="5"/>
    </row>
    <row r="2750" spans="1:23" ht="12.5">
      <c r="A2750" s="5"/>
      <c r="B2750" s="5"/>
      <c r="C2750" s="5"/>
      <c r="D2750" s="5"/>
      <c r="E2750" s="5"/>
      <c r="F2750" s="5"/>
      <c r="G2750" s="5"/>
      <c r="H2750" s="5"/>
      <c r="I2750" s="5"/>
      <c r="J2750" s="12"/>
      <c r="K2750" s="11"/>
      <c r="M2750" s="5"/>
      <c r="N2750" s="12"/>
      <c r="O2750" s="5"/>
      <c r="P2750" s="5"/>
      <c r="Q2750" s="5"/>
      <c r="R2750" s="5"/>
      <c r="T2750" s="5"/>
      <c r="U2750" s="5"/>
      <c r="V2750" s="5"/>
      <c r="W2750" s="5"/>
    </row>
    <row r="2751" spans="1:23" ht="12.5">
      <c r="A2751" s="5"/>
      <c r="B2751" s="5"/>
      <c r="C2751" s="5"/>
      <c r="D2751" s="5"/>
      <c r="E2751" s="5"/>
      <c r="F2751" s="5"/>
      <c r="G2751" s="5"/>
      <c r="H2751" s="5"/>
      <c r="I2751" s="5"/>
      <c r="J2751" s="12"/>
      <c r="K2751" s="11"/>
      <c r="M2751" s="5"/>
      <c r="N2751" s="12"/>
      <c r="O2751" s="5"/>
      <c r="P2751" s="5"/>
      <c r="Q2751" s="5"/>
      <c r="R2751" s="5"/>
      <c r="T2751" s="5"/>
      <c r="U2751" s="5"/>
      <c r="V2751" s="5"/>
      <c r="W2751" s="5"/>
    </row>
    <row r="2752" spans="1:23" ht="12.5">
      <c r="A2752" s="5"/>
      <c r="B2752" s="5"/>
      <c r="C2752" s="5"/>
      <c r="D2752" s="5"/>
      <c r="E2752" s="5"/>
      <c r="F2752" s="5"/>
      <c r="G2752" s="5"/>
      <c r="H2752" s="5"/>
      <c r="I2752" s="5"/>
      <c r="J2752" s="12"/>
      <c r="K2752" s="11"/>
      <c r="M2752" s="5"/>
      <c r="N2752" s="12"/>
      <c r="O2752" s="5"/>
      <c r="P2752" s="5"/>
      <c r="Q2752" s="5"/>
      <c r="R2752" s="5"/>
      <c r="T2752" s="5"/>
      <c r="U2752" s="5"/>
      <c r="V2752" s="5"/>
      <c r="W2752" s="5"/>
    </row>
    <row r="2753" spans="1:23" ht="12.5">
      <c r="A2753" s="5"/>
      <c r="B2753" s="5"/>
      <c r="C2753" s="5"/>
      <c r="D2753" s="5"/>
      <c r="E2753" s="5"/>
      <c r="F2753" s="5"/>
      <c r="G2753" s="5"/>
      <c r="H2753" s="5"/>
      <c r="I2753" s="5"/>
      <c r="J2753" s="12"/>
      <c r="K2753" s="11"/>
      <c r="M2753" s="5"/>
      <c r="N2753" s="12"/>
      <c r="O2753" s="5"/>
      <c r="P2753" s="5"/>
      <c r="Q2753" s="5"/>
      <c r="R2753" s="5"/>
      <c r="T2753" s="5"/>
      <c r="U2753" s="5"/>
      <c r="V2753" s="5"/>
      <c r="W2753" s="5"/>
    </row>
    <row r="2754" spans="1:23" ht="12.5">
      <c r="A2754" s="5"/>
      <c r="B2754" s="5"/>
      <c r="C2754" s="5"/>
      <c r="D2754" s="5"/>
      <c r="E2754" s="5"/>
      <c r="F2754" s="5"/>
      <c r="G2754" s="5"/>
      <c r="H2754" s="5"/>
      <c r="I2754" s="5"/>
      <c r="J2754" s="12"/>
      <c r="K2754" s="11"/>
      <c r="M2754" s="5"/>
      <c r="N2754" s="12"/>
      <c r="O2754" s="5"/>
      <c r="P2754" s="5"/>
      <c r="Q2754" s="5"/>
      <c r="R2754" s="5"/>
      <c r="T2754" s="5"/>
      <c r="U2754" s="5"/>
      <c r="V2754" s="5"/>
      <c r="W2754" s="5"/>
    </row>
    <row r="2755" spans="1:23" ht="12.5">
      <c r="A2755" s="5"/>
      <c r="B2755" s="5"/>
      <c r="C2755" s="5"/>
      <c r="D2755" s="5"/>
      <c r="E2755" s="5"/>
      <c r="F2755" s="5"/>
      <c r="G2755" s="5"/>
      <c r="H2755" s="5"/>
      <c r="I2755" s="5"/>
      <c r="J2755" s="12"/>
      <c r="K2755" s="11"/>
      <c r="M2755" s="5"/>
      <c r="N2755" s="12"/>
      <c r="O2755" s="5"/>
      <c r="P2755" s="5"/>
      <c r="Q2755" s="5"/>
      <c r="R2755" s="5"/>
      <c r="T2755" s="5"/>
      <c r="U2755" s="5"/>
      <c r="V2755" s="5"/>
      <c r="W2755" s="5"/>
    </row>
    <row r="2756" spans="1:23" ht="12.5">
      <c r="A2756" s="5"/>
      <c r="B2756" s="5"/>
      <c r="C2756" s="5"/>
      <c r="D2756" s="5"/>
      <c r="E2756" s="5"/>
      <c r="F2756" s="5"/>
      <c r="G2756" s="5"/>
      <c r="H2756" s="5"/>
      <c r="I2756" s="5"/>
      <c r="J2756" s="12"/>
      <c r="K2756" s="11"/>
      <c r="M2756" s="5"/>
      <c r="N2756" s="12"/>
      <c r="O2756" s="5"/>
      <c r="P2756" s="5"/>
      <c r="Q2756" s="5"/>
      <c r="R2756" s="5"/>
      <c r="T2756" s="5"/>
      <c r="U2756" s="5"/>
      <c r="V2756" s="5"/>
      <c r="W2756" s="5"/>
    </row>
    <row r="2757" spans="1:23" ht="12.5">
      <c r="A2757" s="5"/>
      <c r="B2757" s="5"/>
      <c r="C2757" s="5"/>
      <c r="D2757" s="5"/>
      <c r="E2757" s="5"/>
      <c r="F2757" s="5"/>
      <c r="G2757" s="5"/>
      <c r="H2757" s="5"/>
      <c r="I2757" s="5"/>
      <c r="J2757" s="12"/>
      <c r="K2757" s="11"/>
      <c r="M2757" s="5"/>
      <c r="N2757" s="12"/>
      <c r="O2757" s="5"/>
      <c r="P2757" s="5"/>
      <c r="Q2757" s="5"/>
      <c r="R2757" s="5"/>
      <c r="T2757" s="5"/>
      <c r="U2757" s="5"/>
      <c r="V2757" s="5"/>
      <c r="W2757" s="5"/>
    </row>
    <row r="2758" spans="1:23" ht="12.5">
      <c r="A2758" s="5"/>
      <c r="B2758" s="5"/>
      <c r="C2758" s="5"/>
      <c r="D2758" s="5"/>
      <c r="E2758" s="5"/>
      <c r="F2758" s="5"/>
      <c r="G2758" s="5"/>
      <c r="H2758" s="5"/>
      <c r="I2758" s="5"/>
      <c r="J2758" s="12"/>
      <c r="K2758" s="11"/>
      <c r="M2758" s="5"/>
      <c r="N2758" s="12"/>
      <c r="O2758" s="5"/>
      <c r="P2758" s="5"/>
      <c r="Q2758" s="5"/>
      <c r="R2758" s="5"/>
      <c r="T2758" s="5"/>
      <c r="U2758" s="5"/>
      <c r="V2758" s="5"/>
      <c r="W2758" s="5"/>
    </row>
    <row r="2759" spans="1:23" ht="12.5">
      <c r="A2759" s="5"/>
      <c r="B2759" s="5"/>
      <c r="C2759" s="5"/>
      <c r="D2759" s="5"/>
      <c r="E2759" s="5"/>
      <c r="F2759" s="5"/>
      <c r="G2759" s="5"/>
      <c r="H2759" s="5"/>
      <c r="I2759" s="5"/>
      <c r="J2759" s="12"/>
      <c r="K2759" s="11"/>
      <c r="M2759" s="5"/>
      <c r="N2759" s="12"/>
      <c r="O2759" s="5"/>
      <c r="P2759" s="5"/>
      <c r="Q2759" s="5"/>
      <c r="R2759" s="5"/>
      <c r="T2759" s="5"/>
      <c r="U2759" s="5"/>
      <c r="V2759" s="5"/>
      <c r="W2759" s="5"/>
    </row>
    <row r="2760" spans="1:23" ht="12.5">
      <c r="A2760" s="5"/>
      <c r="B2760" s="5"/>
      <c r="C2760" s="5"/>
      <c r="D2760" s="5"/>
      <c r="E2760" s="5"/>
      <c r="F2760" s="5"/>
      <c r="G2760" s="5"/>
      <c r="H2760" s="5"/>
      <c r="I2760" s="5"/>
      <c r="J2760" s="12"/>
      <c r="K2760" s="11"/>
      <c r="M2760" s="5"/>
      <c r="N2760" s="12"/>
      <c r="O2760" s="5"/>
      <c r="P2760" s="5"/>
      <c r="Q2760" s="5"/>
      <c r="R2760" s="5"/>
      <c r="T2760" s="5"/>
      <c r="U2760" s="5"/>
      <c r="V2760" s="5"/>
      <c r="W2760" s="5"/>
    </row>
    <row r="2761" spans="1:23" ht="12.5">
      <c r="A2761" s="5"/>
      <c r="B2761" s="5"/>
      <c r="C2761" s="5"/>
      <c r="D2761" s="5"/>
      <c r="E2761" s="5"/>
      <c r="F2761" s="5"/>
      <c r="G2761" s="5"/>
      <c r="H2761" s="5"/>
      <c r="I2761" s="5"/>
      <c r="J2761" s="12"/>
      <c r="K2761" s="11"/>
      <c r="M2761" s="5"/>
      <c r="N2761" s="12"/>
      <c r="O2761" s="5"/>
      <c r="P2761" s="5"/>
      <c r="Q2761" s="5"/>
      <c r="R2761" s="5"/>
      <c r="T2761" s="5"/>
      <c r="U2761" s="5"/>
      <c r="V2761" s="5"/>
      <c r="W2761" s="5"/>
    </row>
    <row r="2762" spans="1:23" ht="12.5">
      <c r="A2762" s="5"/>
      <c r="B2762" s="5"/>
      <c r="C2762" s="5"/>
      <c r="D2762" s="5"/>
      <c r="E2762" s="5"/>
      <c r="F2762" s="5"/>
      <c r="G2762" s="5"/>
      <c r="H2762" s="5"/>
      <c r="I2762" s="5"/>
      <c r="J2762" s="12"/>
      <c r="K2762" s="11"/>
      <c r="M2762" s="5"/>
      <c r="N2762" s="12"/>
      <c r="O2762" s="5"/>
      <c r="P2762" s="5"/>
      <c r="Q2762" s="5"/>
      <c r="R2762" s="5"/>
      <c r="T2762" s="5"/>
      <c r="U2762" s="5"/>
      <c r="V2762" s="5"/>
      <c r="W2762" s="5"/>
    </row>
    <row r="2763" spans="1:23" ht="12.5">
      <c r="A2763" s="5"/>
      <c r="B2763" s="5"/>
      <c r="C2763" s="5"/>
      <c r="D2763" s="5"/>
      <c r="E2763" s="5"/>
      <c r="F2763" s="5"/>
      <c r="G2763" s="5"/>
      <c r="H2763" s="5"/>
      <c r="I2763" s="5"/>
      <c r="J2763" s="12"/>
      <c r="K2763" s="11"/>
      <c r="M2763" s="5"/>
      <c r="N2763" s="12"/>
      <c r="O2763" s="5"/>
      <c r="P2763" s="5"/>
      <c r="Q2763" s="5"/>
      <c r="R2763" s="5"/>
      <c r="T2763" s="5"/>
      <c r="U2763" s="5"/>
      <c r="V2763" s="5"/>
      <c r="W2763" s="5"/>
    </row>
    <row r="2764" spans="1:23" ht="12.5">
      <c r="A2764" s="5"/>
      <c r="B2764" s="5"/>
      <c r="C2764" s="5"/>
      <c r="D2764" s="5"/>
      <c r="E2764" s="5"/>
      <c r="F2764" s="5"/>
      <c r="G2764" s="5"/>
      <c r="H2764" s="5"/>
      <c r="I2764" s="5"/>
      <c r="J2764" s="12"/>
      <c r="K2764" s="11"/>
      <c r="M2764" s="5"/>
      <c r="N2764" s="12"/>
      <c r="O2764" s="5"/>
      <c r="P2764" s="5"/>
      <c r="Q2764" s="5"/>
      <c r="R2764" s="5"/>
      <c r="T2764" s="5"/>
      <c r="U2764" s="5"/>
      <c r="V2764" s="5"/>
      <c r="W2764" s="5"/>
    </row>
    <row r="2765" spans="1:23" ht="12.5">
      <c r="A2765" s="5"/>
      <c r="B2765" s="5"/>
      <c r="C2765" s="5"/>
      <c r="D2765" s="5"/>
      <c r="E2765" s="5"/>
      <c r="F2765" s="5"/>
      <c r="G2765" s="5"/>
      <c r="H2765" s="5"/>
      <c r="I2765" s="5"/>
      <c r="J2765" s="12"/>
      <c r="K2765" s="11"/>
      <c r="M2765" s="5"/>
      <c r="N2765" s="12"/>
      <c r="O2765" s="5"/>
      <c r="P2765" s="5"/>
      <c r="Q2765" s="5"/>
      <c r="R2765" s="5"/>
      <c r="T2765" s="5"/>
      <c r="U2765" s="5"/>
      <c r="V2765" s="5"/>
      <c r="W2765" s="5"/>
    </row>
    <row r="2766" spans="1:23" ht="12.5">
      <c r="A2766" s="5"/>
      <c r="B2766" s="5"/>
      <c r="C2766" s="5"/>
      <c r="D2766" s="5"/>
      <c r="E2766" s="5"/>
      <c r="F2766" s="5"/>
      <c r="G2766" s="5"/>
      <c r="H2766" s="5"/>
      <c r="I2766" s="5"/>
      <c r="J2766" s="12"/>
      <c r="K2766" s="11"/>
      <c r="M2766" s="5"/>
      <c r="N2766" s="12"/>
      <c r="O2766" s="5"/>
      <c r="P2766" s="5"/>
      <c r="Q2766" s="5"/>
      <c r="R2766" s="5"/>
      <c r="T2766" s="5"/>
      <c r="U2766" s="5"/>
      <c r="V2766" s="5"/>
      <c r="W2766" s="5"/>
    </row>
    <row r="2767" spans="1:23" ht="12.5">
      <c r="A2767" s="5"/>
      <c r="B2767" s="5"/>
      <c r="C2767" s="5"/>
      <c r="D2767" s="5"/>
      <c r="E2767" s="5"/>
      <c r="F2767" s="5"/>
      <c r="G2767" s="5"/>
      <c r="H2767" s="5"/>
      <c r="I2767" s="5"/>
      <c r="J2767" s="12"/>
      <c r="K2767" s="11"/>
      <c r="M2767" s="5"/>
      <c r="N2767" s="12"/>
      <c r="O2767" s="5"/>
      <c r="P2767" s="5"/>
      <c r="Q2767" s="5"/>
      <c r="R2767" s="5"/>
      <c r="T2767" s="5"/>
      <c r="U2767" s="5"/>
      <c r="V2767" s="5"/>
      <c r="W2767" s="5"/>
    </row>
    <row r="2768" spans="1:23" ht="12.5">
      <c r="A2768" s="5"/>
      <c r="B2768" s="5"/>
      <c r="C2768" s="5"/>
      <c r="D2768" s="5"/>
      <c r="E2768" s="5"/>
      <c r="F2768" s="5"/>
      <c r="G2768" s="5"/>
      <c r="H2768" s="5"/>
      <c r="I2768" s="5"/>
      <c r="J2768" s="12"/>
      <c r="K2768" s="11"/>
      <c r="M2768" s="5"/>
      <c r="N2768" s="12"/>
      <c r="O2768" s="5"/>
      <c r="P2768" s="5"/>
      <c r="Q2768" s="5"/>
      <c r="R2768" s="5"/>
      <c r="T2768" s="5"/>
      <c r="U2768" s="5"/>
      <c r="V2768" s="5"/>
      <c r="W2768" s="5"/>
    </row>
    <row r="2769" spans="1:23" ht="12.5">
      <c r="A2769" s="5"/>
      <c r="B2769" s="5"/>
      <c r="C2769" s="5"/>
      <c r="D2769" s="5"/>
      <c r="E2769" s="5"/>
      <c r="F2769" s="5"/>
      <c r="G2769" s="5"/>
      <c r="H2769" s="5"/>
      <c r="I2769" s="5"/>
      <c r="J2769" s="12"/>
      <c r="K2769" s="11"/>
      <c r="M2769" s="5"/>
      <c r="N2769" s="12"/>
      <c r="O2769" s="5"/>
      <c r="P2769" s="5"/>
      <c r="Q2769" s="5"/>
      <c r="R2769" s="5"/>
      <c r="T2769" s="5"/>
      <c r="U2769" s="5"/>
      <c r="V2769" s="5"/>
      <c r="W2769" s="5"/>
    </row>
    <row r="2770" spans="1:23" ht="12.5">
      <c r="A2770" s="5"/>
      <c r="B2770" s="5"/>
      <c r="C2770" s="5"/>
      <c r="D2770" s="5"/>
      <c r="E2770" s="5"/>
      <c r="F2770" s="5"/>
      <c r="G2770" s="5"/>
      <c r="H2770" s="5"/>
      <c r="I2770" s="5"/>
      <c r="J2770" s="12"/>
      <c r="K2770" s="11"/>
      <c r="M2770" s="5"/>
      <c r="N2770" s="12"/>
      <c r="O2770" s="5"/>
      <c r="P2770" s="5"/>
      <c r="Q2770" s="5"/>
      <c r="R2770" s="5"/>
      <c r="T2770" s="5"/>
      <c r="U2770" s="5"/>
      <c r="V2770" s="5"/>
      <c r="W2770" s="5"/>
    </row>
    <row r="2771" spans="1:23" ht="12.5">
      <c r="A2771" s="5"/>
      <c r="B2771" s="5"/>
      <c r="C2771" s="5"/>
      <c r="D2771" s="5"/>
      <c r="E2771" s="5"/>
      <c r="F2771" s="5"/>
      <c r="G2771" s="5"/>
      <c r="H2771" s="5"/>
      <c r="I2771" s="5"/>
      <c r="J2771" s="12"/>
      <c r="K2771" s="11"/>
      <c r="M2771" s="5"/>
      <c r="N2771" s="12"/>
      <c r="O2771" s="5"/>
      <c r="P2771" s="5"/>
      <c r="Q2771" s="5"/>
      <c r="R2771" s="5"/>
      <c r="T2771" s="5"/>
      <c r="U2771" s="5"/>
      <c r="V2771" s="5"/>
      <c r="W2771" s="5"/>
    </row>
    <row r="2772" spans="1:23" ht="12.5">
      <c r="A2772" s="5"/>
      <c r="B2772" s="5"/>
      <c r="C2772" s="5"/>
      <c r="D2772" s="5"/>
      <c r="E2772" s="5"/>
      <c r="F2772" s="5"/>
      <c r="G2772" s="5"/>
      <c r="H2772" s="5"/>
      <c r="I2772" s="5"/>
      <c r="J2772" s="12"/>
      <c r="K2772" s="11"/>
      <c r="M2772" s="5"/>
      <c r="N2772" s="12"/>
      <c r="O2772" s="5"/>
      <c r="P2772" s="5"/>
      <c r="Q2772" s="5"/>
      <c r="R2772" s="5"/>
      <c r="T2772" s="5"/>
      <c r="U2772" s="5"/>
      <c r="V2772" s="5"/>
      <c r="W2772" s="5"/>
    </row>
    <row r="2773" spans="1:23" ht="12.5">
      <c r="A2773" s="5"/>
      <c r="B2773" s="5"/>
      <c r="C2773" s="5"/>
      <c r="D2773" s="5"/>
      <c r="E2773" s="5"/>
      <c r="F2773" s="5"/>
      <c r="G2773" s="5"/>
      <c r="H2773" s="5"/>
      <c r="I2773" s="5"/>
      <c r="J2773" s="12"/>
      <c r="K2773" s="11"/>
      <c r="M2773" s="5"/>
      <c r="N2773" s="12"/>
      <c r="O2773" s="5"/>
      <c r="P2773" s="5"/>
      <c r="Q2773" s="5"/>
      <c r="R2773" s="5"/>
      <c r="T2773" s="5"/>
      <c r="U2773" s="5"/>
      <c r="V2773" s="5"/>
      <c r="W2773" s="5"/>
    </row>
    <row r="2774" spans="1:23" ht="12.5">
      <c r="A2774" s="5"/>
      <c r="B2774" s="5"/>
      <c r="C2774" s="5"/>
      <c r="D2774" s="5"/>
      <c r="E2774" s="5"/>
      <c r="F2774" s="5"/>
      <c r="G2774" s="5"/>
      <c r="H2774" s="5"/>
      <c r="I2774" s="5"/>
      <c r="J2774" s="12"/>
      <c r="K2774" s="11"/>
      <c r="M2774" s="5"/>
      <c r="N2774" s="12"/>
      <c r="O2774" s="5"/>
      <c r="P2774" s="5"/>
      <c r="Q2774" s="5"/>
      <c r="R2774" s="5"/>
      <c r="T2774" s="5"/>
      <c r="U2774" s="5"/>
      <c r="V2774" s="5"/>
      <c r="W2774" s="5"/>
    </row>
    <row r="2775" spans="1:23" ht="12.5">
      <c r="A2775" s="5"/>
      <c r="B2775" s="5"/>
      <c r="C2775" s="5"/>
      <c r="D2775" s="5"/>
      <c r="E2775" s="5"/>
      <c r="F2775" s="5"/>
      <c r="G2775" s="5"/>
      <c r="H2775" s="5"/>
      <c r="I2775" s="5"/>
      <c r="J2775" s="12"/>
      <c r="K2775" s="11"/>
      <c r="M2775" s="5"/>
      <c r="N2775" s="12"/>
      <c r="O2775" s="5"/>
      <c r="P2775" s="5"/>
      <c r="Q2775" s="5"/>
      <c r="R2775" s="5"/>
      <c r="T2775" s="5"/>
      <c r="U2775" s="5"/>
      <c r="V2775" s="5"/>
      <c r="W2775" s="5"/>
    </row>
    <row r="2776" spans="1:23" ht="12.5">
      <c r="A2776" s="5"/>
      <c r="B2776" s="5"/>
      <c r="C2776" s="5"/>
      <c r="D2776" s="5"/>
      <c r="E2776" s="5"/>
      <c r="F2776" s="5"/>
      <c r="G2776" s="5"/>
      <c r="H2776" s="5"/>
      <c r="I2776" s="5"/>
      <c r="J2776" s="12"/>
      <c r="K2776" s="11"/>
      <c r="M2776" s="5"/>
      <c r="N2776" s="12"/>
      <c r="O2776" s="5"/>
      <c r="P2776" s="5"/>
      <c r="Q2776" s="5"/>
      <c r="R2776" s="5"/>
      <c r="T2776" s="5"/>
      <c r="U2776" s="5"/>
      <c r="V2776" s="5"/>
      <c r="W2776" s="5"/>
    </row>
    <row r="2777" spans="1:23" ht="12.5">
      <c r="A2777" s="5"/>
      <c r="B2777" s="5"/>
      <c r="C2777" s="5"/>
      <c r="D2777" s="5"/>
      <c r="E2777" s="5"/>
      <c r="F2777" s="5"/>
      <c r="G2777" s="5"/>
      <c r="H2777" s="5"/>
      <c r="I2777" s="5"/>
      <c r="J2777" s="12"/>
      <c r="K2777" s="11"/>
      <c r="M2777" s="5"/>
      <c r="N2777" s="12"/>
      <c r="O2777" s="5"/>
      <c r="P2777" s="5"/>
      <c r="Q2777" s="5"/>
      <c r="R2777" s="5"/>
      <c r="T2777" s="5"/>
      <c r="U2777" s="5"/>
      <c r="V2777" s="5"/>
      <c r="W2777" s="5"/>
    </row>
    <row r="2778" spans="1:23" ht="12.5">
      <c r="A2778" s="5"/>
      <c r="B2778" s="5"/>
      <c r="C2778" s="5"/>
      <c r="D2778" s="5"/>
      <c r="E2778" s="5"/>
      <c r="F2778" s="5"/>
      <c r="G2778" s="5"/>
      <c r="H2778" s="5"/>
      <c r="I2778" s="5"/>
      <c r="J2778" s="12"/>
      <c r="K2778" s="11"/>
      <c r="M2778" s="5"/>
      <c r="N2778" s="12"/>
      <c r="O2778" s="5"/>
      <c r="P2778" s="5"/>
      <c r="Q2778" s="5"/>
      <c r="R2778" s="5"/>
      <c r="T2778" s="5"/>
      <c r="U2778" s="5"/>
      <c r="V2778" s="5"/>
      <c r="W2778" s="5"/>
    </row>
    <row r="2779" spans="1:23" ht="12.5">
      <c r="A2779" s="5"/>
      <c r="B2779" s="5"/>
      <c r="C2779" s="5"/>
      <c r="D2779" s="5"/>
      <c r="E2779" s="5"/>
      <c r="F2779" s="5"/>
      <c r="G2779" s="5"/>
      <c r="H2779" s="5"/>
      <c r="I2779" s="5"/>
      <c r="J2779" s="12"/>
      <c r="K2779" s="11"/>
      <c r="M2779" s="5"/>
      <c r="N2779" s="12"/>
      <c r="O2779" s="5"/>
      <c r="P2779" s="5"/>
      <c r="Q2779" s="5"/>
      <c r="R2779" s="5"/>
      <c r="T2779" s="5"/>
      <c r="U2779" s="5"/>
      <c r="V2779" s="5"/>
      <c r="W2779" s="5"/>
    </row>
    <row r="2780" spans="1:23" ht="12.5">
      <c r="A2780" s="5"/>
      <c r="B2780" s="5"/>
      <c r="C2780" s="5"/>
      <c r="D2780" s="5"/>
      <c r="E2780" s="5"/>
      <c r="F2780" s="5"/>
      <c r="G2780" s="5"/>
      <c r="H2780" s="5"/>
      <c r="I2780" s="5"/>
      <c r="J2780" s="12"/>
      <c r="K2780" s="11"/>
      <c r="M2780" s="5"/>
      <c r="N2780" s="12"/>
      <c r="O2780" s="5"/>
      <c r="P2780" s="5"/>
      <c r="Q2780" s="5"/>
      <c r="R2780" s="5"/>
      <c r="T2780" s="5"/>
      <c r="U2780" s="5"/>
      <c r="V2780" s="5"/>
      <c r="W2780" s="5"/>
    </row>
    <row r="2781" spans="1:23" ht="12.5">
      <c r="A2781" s="5"/>
      <c r="B2781" s="5"/>
      <c r="C2781" s="5"/>
      <c r="D2781" s="5"/>
      <c r="E2781" s="5"/>
      <c r="F2781" s="5"/>
      <c r="G2781" s="5"/>
      <c r="H2781" s="5"/>
      <c r="I2781" s="5"/>
      <c r="J2781" s="12"/>
      <c r="K2781" s="11"/>
      <c r="M2781" s="5"/>
      <c r="N2781" s="12"/>
      <c r="O2781" s="5"/>
      <c r="P2781" s="5"/>
      <c r="Q2781" s="5"/>
      <c r="R2781" s="5"/>
      <c r="T2781" s="5"/>
      <c r="U2781" s="5"/>
      <c r="V2781" s="5"/>
      <c r="W2781" s="5"/>
    </row>
    <row r="2782" spans="1:23" ht="12.5">
      <c r="A2782" s="5"/>
      <c r="B2782" s="5"/>
      <c r="C2782" s="5"/>
      <c r="D2782" s="5"/>
      <c r="E2782" s="5"/>
      <c r="F2782" s="5"/>
      <c r="G2782" s="5"/>
      <c r="H2782" s="5"/>
      <c r="I2782" s="5"/>
      <c r="J2782" s="12"/>
      <c r="K2782" s="11"/>
      <c r="M2782" s="5"/>
      <c r="N2782" s="12"/>
      <c r="O2782" s="5"/>
      <c r="P2782" s="5"/>
      <c r="Q2782" s="5"/>
      <c r="R2782" s="5"/>
      <c r="T2782" s="5"/>
      <c r="U2782" s="5"/>
      <c r="V2782" s="5"/>
      <c r="W2782" s="5"/>
    </row>
    <row r="2783" spans="1:23" ht="12.5">
      <c r="A2783" s="5"/>
      <c r="B2783" s="5"/>
      <c r="C2783" s="5"/>
      <c r="D2783" s="5"/>
      <c r="E2783" s="5"/>
      <c r="F2783" s="5"/>
      <c r="G2783" s="5"/>
      <c r="H2783" s="5"/>
      <c r="I2783" s="5"/>
      <c r="J2783" s="12"/>
      <c r="K2783" s="11"/>
      <c r="M2783" s="5"/>
      <c r="N2783" s="12"/>
      <c r="O2783" s="5"/>
      <c r="P2783" s="5"/>
      <c r="Q2783" s="5"/>
      <c r="R2783" s="5"/>
      <c r="T2783" s="5"/>
      <c r="U2783" s="5"/>
      <c r="V2783" s="5"/>
      <c r="W2783" s="5"/>
    </row>
    <row r="2784" spans="1:23" ht="12.5">
      <c r="A2784" s="5"/>
      <c r="B2784" s="5"/>
      <c r="C2784" s="5"/>
      <c r="D2784" s="5"/>
      <c r="E2784" s="5"/>
      <c r="F2784" s="5"/>
      <c r="G2784" s="5"/>
      <c r="H2784" s="5"/>
      <c r="I2784" s="5"/>
      <c r="J2784" s="12"/>
      <c r="K2784" s="11"/>
      <c r="M2784" s="5"/>
      <c r="N2784" s="12"/>
      <c r="O2784" s="5"/>
      <c r="P2784" s="5"/>
      <c r="Q2784" s="5"/>
      <c r="R2784" s="5"/>
      <c r="T2784" s="5"/>
      <c r="U2784" s="5"/>
      <c r="V2784" s="5"/>
      <c r="W2784" s="5"/>
    </row>
    <row r="2785" spans="1:23" ht="12.5">
      <c r="A2785" s="5"/>
      <c r="B2785" s="5"/>
      <c r="C2785" s="5"/>
      <c r="D2785" s="5"/>
      <c r="E2785" s="5"/>
      <c r="F2785" s="5"/>
      <c r="G2785" s="5"/>
      <c r="H2785" s="5"/>
      <c r="I2785" s="5"/>
      <c r="J2785" s="12"/>
      <c r="K2785" s="11"/>
      <c r="M2785" s="5"/>
      <c r="N2785" s="12"/>
      <c r="O2785" s="5"/>
      <c r="P2785" s="5"/>
      <c r="Q2785" s="5"/>
      <c r="R2785" s="5"/>
      <c r="T2785" s="5"/>
      <c r="U2785" s="5"/>
      <c r="V2785" s="5"/>
      <c r="W2785" s="5"/>
    </row>
    <row r="2786" spans="1:23" ht="12.5">
      <c r="A2786" s="5"/>
      <c r="B2786" s="5"/>
      <c r="C2786" s="5"/>
      <c r="D2786" s="5"/>
      <c r="E2786" s="5"/>
      <c r="F2786" s="5"/>
      <c r="G2786" s="5"/>
      <c r="H2786" s="5"/>
      <c r="I2786" s="5"/>
      <c r="J2786" s="12"/>
      <c r="K2786" s="11"/>
      <c r="M2786" s="5"/>
      <c r="N2786" s="12"/>
      <c r="O2786" s="5"/>
      <c r="P2786" s="5"/>
      <c r="Q2786" s="5"/>
      <c r="R2786" s="5"/>
      <c r="T2786" s="5"/>
      <c r="U2786" s="5"/>
      <c r="V2786" s="5"/>
      <c r="W2786" s="5"/>
    </row>
    <row r="2787" spans="1:23" ht="12.5">
      <c r="A2787" s="5"/>
      <c r="B2787" s="5"/>
      <c r="C2787" s="5"/>
      <c r="D2787" s="5"/>
      <c r="E2787" s="5"/>
      <c r="F2787" s="5"/>
      <c r="G2787" s="5"/>
      <c r="H2787" s="5"/>
      <c r="I2787" s="5"/>
      <c r="J2787" s="12"/>
      <c r="K2787" s="11"/>
      <c r="M2787" s="5"/>
      <c r="N2787" s="12"/>
      <c r="O2787" s="5"/>
      <c r="P2787" s="5"/>
      <c r="Q2787" s="5"/>
      <c r="R2787" s="5"/>
      <c r="T2787" s="5"/>
      <c r="U2787" s="5"/>
      <c r="V2787" s="5"/>
      <c r="W2787" s="5"/>
    </row>
    <row r="2788" spans="1:23" ht="12.5">
      <c r="A2788" s="5"/>
      <c r="B2788" s="5"/>
      <c r="C2788" s="5"/>
      <c r="D2788" s="5"/>
      <c r="E2788" s="5"/>
      <c r="F2788" s="5"/>
      <c r="G2788" s="5"/>
      <c r="H2788" s="5"/>
      <c r="I2788" s="5"/>
      <c r="J2788" s="12"/>
      <c r="K2788" s="11"/>
      <c r="M2788" s="5"/>
      <c r="N2788" s="12"/>
      <c r="O2788" s="5"/>
      <c r="P2788" s="5"/>
      <c r="Q2788" s="5"/>
      <c r="R2788" s="5"/>
      <c r="T2788" s="5"/>
      <c r="U2788" s="5"/>
      <c r="V2788" s="5"/>
      <c r="W2788" s="5"/>
    </row>
    <row r="2789" spans="1:23" ht="12.5">
      <c r="A2789" s="5"/>
      <c r="B2789" s="5"/>
      <c r="C2789" s="5"/>
      <c r="D2789" s="5"/>
      <c r="E2789" s="5"/>
      <c r="F2789" s="5"/>
      <c r="G2789" s="5"/>
      <c r="H2789" s="5"/>
      <c r="I2789" s="5"/>
      <c r="J2789" s="12"/>
      <c r="K2789" s="11"/>
      <c r="M2789" s="5"/>
      <c r="N2789" s="12"/>
      <c r="O2789" s="5"/>
      <c r="P2789" s="5"/>
      <c r="Q2789" s="5"/>
      <c r="R2789" s="5"/>
      <c r="T2789" s="5"/>
      <c r="U2789" s="5"/>
      <c r="V2789" s="5"/>
      <c r="W2789" s="5"/>
    </row>
    <row r="2790" spans="1:23" ht="12.5">
      <c r="A2790" s="5"/>
      <c r="B2790" s="5"/>
      <c r="C2790" s="5"/>
      <c r="D2790" s="5"/>
      <c r="E2790" s="5"/>
      <c r="F2790" s="5"/>
      <c r="G2790" s="5"/>
      <c r="H2790" s="5"/>
      <c r="I2790" s="5"/>
      <c r="J2790" s="12"/>
      <c r="K2790" s="11"/>
      <c r="M2790" s="5"/>
      <c r="N2790" s="12"/>
      <c r="O2790" s="5"/>
      <c r="P2790" s="5"/>
      <c r="Q2790" s="5"/>
      <c r="R2790" s="5"/>
      <c r="T2790" s="5"/>
      <c r="U2790" s="5"/>
      <c r="V2790" s="5"/>
      <c r="W2790" s="5"/>
    </row>
    <row r="2791" spans="1:23" ht="12.5">
      <c r="A2791" s="5"/>
      <c r="B2791" s="5"/>
      <c r="C2791" s="5"/>
      <c r="D2791" s="5"/>
      <c r="E2791" s="5"/>
      <c r="F2791" s="5"/>
      <c r="G2791" s="5"/>
      <c r="H2791" s="5"/>
      <c r="I2791" s="5"/>
      <c r="J2791" s="12"/>
      <c r="K2791" s="11"/>
      <c r="M2791" s="5"/>
      <c r="N2791" s="12"/>
      <c r="O2791" s="5"/>
      <c r="P2791" s="5"/>
      <c r="Q2791" s="5"/>
      <c r="R2791" s="5"/>
      <c r="T2791" s="5"/>
      <c r="U2791" s="5"/>
      <c r="V2791" s="5"/>
      <c r="W2791" s="5"/>
    </row>
    <row r="2792" spans="1:23" ht="12.5">
      <c r="A2792" s="5"/>
      <c r="B2792" s="5"/>
      <c r="C2792" s="5"/>
      <c r="D2792" s="5"/>
      <c r="E2792" s="5"/>
      <c r="F2792" s="5"/>
      <c r="G2792" s="5"/>
      <c r="H2792" s="5"/>
      <c r="I2792" s="5"/>
      <c r="J2792" s="12"/>
      <c r="K2792" s="11"/>
      <c r="M2792" s="5"/>
      <c r="N2792" s="12"/>
      <c r="O2792" s="5"/>
      <c r="P2792" s="5"/>
      <c r="Q2792" s="5"/>
      <c r="R2792" s="5"/>
      <c r="T2792" s="5"/>
      <c r="U2792" s="5"/>
      <c r="V2792" s="5"/>
      <c r="W2792" s="5"/>
    </row>
    <row r="2793" spans="1:23" ht="12.5">
      <c r="A2793" s="5"/>
      <c r="B2793" s="5"/>
      <c r="C2793" s="5"/>
      <c r="D2793" s="5"/>
      <c r="E2793" s="5"/>
      <c r="F2793" s="5"/>
      <c r="G2793" s="5"/>
      <c r="H2793" s="5"/>
      <c r="I2793" s="5"/>
      <c r="J2793" s="12"/>
      <c r="K2793" s="11"/>
      <c r="M2793" s="5"/>
      <c r="N2793" s="12"/>
      <c r="O2793" s="5"/>
      <c r="P2793" s="5"/>
      <c r="Q2793" s="5"/>
      <c r="R2793" s="5"/>
      <c r="T2793" s="5"/>
      <c r="U2793" s="5"/>
      <c r="V2793" s="5"/>
      <c r="W2793" s="5"/>
    </row>
    <row r="2794" spans="1:23" ht="12.5">
      <c r="A2794" s="5"/>
      <c r="B2794" s="5"/>
      <c r="C2794" s="5"/>
      <c r="D2794" s="5"/>
      <c r="E2794" s="5"/>
      <c r="F2794" s="5"/>
      <c r="G2794" s="5"/>
      <c r="H2794" s="5"/>
      <c r="I2794" s="5"/>
      <c r="J2794" s="12"/>
      <c r="K2794" s="11"/>
      <c r="M2794" s="5"/>
      <c r="N2794" s="12"/>
      <c r="O2794" s="5"/>
      <c r="P2794" s="5"/>
      <c r="Q2794" s="5"/>
      <c r="R2794" s="5"/>
      <c r="T2794" s="5"/>
      <c r="U2794" s="5"/>
      <c r="V2794" s="5"/>
      <c r="W2794" s="5"/>
    </row>
    <row r="2795" spans="1:23" ht="12.5">
      <c r="A2795" s="5"/>
      <c r="B2795" s="5"/>
      <c r="C2795" s="5"/>
      <c r="D2795" s="5"/>
      <c r="E2795" s="5"/>
      <c r="F2795" s="5"/>
      <c r="G2795" s="5"/>
      <c r="H2795" s="5"/>
      <c r="I2795" s="5"/>
      <c r="J2795" s="12"/>
      <c r="K2795" s="11"/>
      <c r="M2795" s="5"/>
      <c r="N2795" s="12"/>
      <c r="O2795" s="5"/>
      <c r="P2795" s="5"/>
      <c r="Q2795" s="5"/>
      <c r="R2795" s="5"/>
      <c r="T2795" s="5"/>
      <c r="U2795" s="5"/>
      <c r="V2795" s="5"/>
      <c r="W2795" s="5"/>
    </row>
    <row r="2796" spans="1:23" ht="12.5">
      <c r="A2796" s="5"/>
      <c r="B2796" s="5"/>
      <c r="C2796" s="5"/>
      <c r="D2796" s="5"/>
      <c r="E2796" s="5"/>
      <c r="F2796" s="5"/>
      <c r="G2796" s="5"/>
      <c r="H2796" s="5"/>
      <c r="I2796" s="5"/>
      <c r="J2796" s="12"/>
      <c r="K2796" s="11"/>
      <c r="M2796" s="5"/>
      <c r="N2796" s="12"/>
      <c r="O2796" s="5"/>
      <c r="P2796" s="5"/>
      <c r="Q2796" s="5"/>
      <c r="R2796" s="5"/>
      <c r="T2796" s="5"/>
      <c r="U2796" s="5"/>
      <c r="V2796" s="5"/>
      <c r="W2796" s="5"/>
    </row>
    <row r="2797" spans="1:23" ht="12.5">
      <c r="A2797" s="5"/>
      <c r="B2797" s="5"/>
      <c r="C2797" s="5"/>
      <c r="D2797" s="5"/>
      <c r="E2797" s="5"/>
      <c r="F2797" s="5"/>
      <c r="G2797" s="5"/>
      <c r="H2797" s="5"/>
      <c r="I2797" s="5"/>
      <c r="J2797" s="12"/>
      <c r="K2797" s="11"/>
      <c r="M2797" s="5"/>
      <c r="N2797" s="12"/>
      <c r="O2797" s="5"/>
      <c r="P2797" s="5"/>
      <c r="Q2797" s="5"/>
      <c r="R2797" s="5"/>
      <c r="T2797" s="5"/>
      <c r="U2797" s="5"/>
      <c r="V2797" s="5"/>
      <c r="W2797" s="5"/>
    </row>
    <row r="2798" spans="1:23" ht="12.5">
      <c r="A2798" s="5"/>
      <c r="B2798" s="5"/>
      <c r="C2798" s="5"/>
      <c r="D2798" s="5"/>
      <c r="E2798" s="5"/>
      <c r="F2798" s="5"/>
      <c r="G2798" s="5"/>
      <c r="H2798" s="5"/>
      <c r="I2798" s="5"/>
      <c r="J2798" s="12"/>
      <c r="K2798" s="11"/>
      <c r="M2798" s="5"/>
      <c r="N2798" s="12"/>
      <c r="O2798" s="5"/>
      <c r="P2798" s="5"/>
      <c r="Q2798" s="5"/>
      <c r="R2798" s="5"/>
      <c r="T2798" s="5"/>
      <c r="U2798" s="5"/>
      <c r="V2798" s="5"/>
      <c r="W2798" s="5"/>
    </row>
    <row r="2799" spans="1:23" ht="12.5">
      <c r="A2799" s="5"/>
      <c r="B2799" s="5"/>
      <c r="C2799" s="5"/>
      <c r="D2799" s="5"/>
      <c r="E2799" s="5"/>
      <c r="F2799" s="5"/>
      <c r="G2799" s="5"/>
      <c r="H2799" s="5"/>
      <c r="I2799" s="5"/>
      <c r="J2799" s="12"/>
      <c r="K2799" s="11"/>
      <c r="M2799" s="5"/>
      <c r="N2799" s="12"/>
      <c r="O2799" s="5"/>
      <c r="P2799" s="5"/>
      <c r="Q2799" s="5"/>
      <c r="R2799" s="5"/>
      <c r="T2799" s="5"/>
      <c r="U2799" s="5"/>
      <c r="V2799" s="5"/>
      <c r="W2799" s="5"/>
    </row>
    <row r="2800" spans="1:23" ht="12.5">
      <c r="A2800" s="5"/>
      <c r="B2800" s="5"/>
      <c r="C2800" s="5"/>
      <c r="D2800" s="5"/>
      <c r="E2800" s="5"/>
      <c r="F2800" s="5"/>
      <c r="G2800" s="5"/>
      <c r="H2800" s="5"/>
      <c r="I2800" s="5"/>
      <c r="J2800" s="12"/>
      <c r="K2800" s="11"/>
      <c r="M2800" s="5"/>
      <c r="N2800" s="12"/>
      <c r="O2800" s="5"/>
      <c r="P2800" s="5"/>
      <c r="Q2800" s="5"/>
      <c r="R2800" s="5"/>
      <c r="T2800" s="5"/>
      <c r="U2800" s="5"/>
      <c r="V2800" s="5"/>
      <c r="W2800" s="5"/>
    </row>
    <row r="2801" spans="1:23" ht="12.5">
      <c r="A2801" s="5"/>
      <c r="B2801" s="5"/>
      <c r="C2801" s="5"/>
      <c r="D2801" s="5"/>
      <c r="E2801" s="5"/>
      <c r="F2801" s="5"/>
      <c r="G2801" s="5"/>
      <c r="H2801" s="5"/>
      <c r="I2801" s="5"/>
      <c r="J2801" s="12"/>
      <c r="K2801" s="11"/>
      <c r="M2801" s="5"/>
      <c r="N2801" s="12"/>
      <c r="O2801" s="5"/>
      <c r="P2801" s="5"/>
      <c r="Q2801" s="5"/>
      <c r="R2801" s="5"/>
      <c r="T2801" s="5"/>
      <c r="U2801" s="5"/>
      <c r="V2801" s="5"/>
      <c r="W2801" s="5"/>
    </row>
    <row r="2802" spans="1:23" ht="12.5">
      <c r="A2802" s="5"/>
      <c r="B2802" s="5"/>
      <c r="C2802" s="5"/>
      <c r="D2802" s="5"/>
      <c r="E2802" s="5"/>
      <c r="F2802" s="5"/>
      <c r="G2802" s="5"/>
      <c r="H2802" s="5"/>
      <c r="I2802" s="5"/>
      <c r="J2802" s="12"/>
      <c r="K2802" s="11"/>
      <c r="M2802" s="5"/>
      <c r="N2802" s="12"/>
      <c r="O2802" s="5"/>
      <c r="P2802" s="5"/>
      <c r="Q2802" s="5"/>
      <c r="R2802" s="5"/>
      <c r="T2802" s="5"/>
      <c r="U2802" s="5"/>
      <c r="V2802" s="5"/>
      <c r="W2802" s="5"/>
    </row>
    <row r="2803" spans="1:23" ht="12.5">
      <c r="A2803" s="5"/>
      <c r="B2803" s="5"/>
      <c r="C2803" s="5"/>
      <c r="D2803" s="5"/>
      <c r="E2803" s="5"/>
      <c r="F2803" s="5"/>
      <c r="G2803" s="5"/>
      <c r="H2803" s="5"/>
      <c r="I2803" s="5"/>
      <c r="J2803" s="12"/>
      <c r="K2803" s="11"/>
      <c r="M2803" s="5"/>
      <c r="N2803" s="12"/>
      <c r="O2803" s="5"/>
      <c r="P2803" s="5"/>
      <c r="Q2803" s="5"/>
      <c r="R2803" s="5"/>
      <c r="T2803" s="5"/>
      <c r="U2803" s="5"/>
      <c r="V2803" s="5"/>
      <c r="W2803" s="5"/>
    </row>
    <row r="2804" spans="1:23" ht="12.5">
      <c r="A2804" s="5"/>
      <c r="B2804" s="5"/>
      <c r="C2804" s="5"/>
      <c r="D2804" s="5"/>
      <c r="E2804" s="5"/>
      <c r="F2804" s="5"/>
      <c r="G2804" s="5"/>
      <c r="H2804" s="5"/>
      <c r="I2804" s="5"/>
      <c r="J2804" s="12"/>
      <c r="K2804" s="11"/>
      <c r="M2804" s="5"/>
      <c r="N2804" s="12"/>
      <c r="O2804" s="5"/>
      <c r="P2804" s="5"/>
      <c r="Q2804" s="5"/>
      <c r="R2804" s="5"/>
      <c r="T2804" s="5"/>
      <c r="U2804" s="5"/>
      <c r="V2804" s="5"/>
      <c r="W2804" s="5"/>
    </row>
    <row r="2805" spans="1:23" ht="12.5">
      <c r="A2805" s="5"/>
      <c r="B2805" s="5"/>
      <c r="C2805" s="5"/>
      <c r="D2805" s="5"/>
      <c r="E2805" s="5"/>
      <c r="F2805" s="5"/>
      <c r="G2805" s="5"/>
      <c r="H2805" s="5"/>
      <c r="I2805" s="5"/>
      <c r="J2805" s="12"/>
      <c r="K2805" s="11"/>
      <c r="M2805" s="5"/>
      <c r="N2805" s="12"/>
      <c r="O2805" s="5"/>
      <c r="P2805" s="5"/>
      <c r="Q2805" s="5"/>
      <c r="R2805" s="5"/>
      <c r="T2805" s="5"/>
      <c r="U2805" s="5"/>
      <c r="V2805" s="5"/>
      <c r="W2805" s="5"/>
    </row>
    <row r="2806" spans="1:23" ht="12.5">
      <c r="A2806" s="5"/>
      <c r="B2806" s="5"/>
      <c r="C2806" s="5"/>
      <c r="D2806" s="5"/>
      <c r="E2806" s="5"/>
      <c r="F2806" s="5"/>
      <c r="G2806" s="5"/>
      <c r="H2806" s="5"/>
      <c r="I2806" s="5"/>
      <c r="J2806" s="12"/>
      <c r="K2806" s="11"/>
      <c r="M2806" s="5"/>
      <c r="N2806" s="12"/>
      <c r="O2806" s="5"/>
      <c r="P2806" s="5"/>
      <c r="Q2806" s="5"/>
      <c r="R2806" s="5"/>
      <c r="T2806" s="5"/>
      <c r="U2806" s="5"/>
      <c r="V2806" s="5"/>
      <c r="W2806" s="5"/>
    </row>
    <row r="2807" spans="1:23" ht="12.5">
      <c r="A2807" s="5"/>
      <c r="B2807" s="5"/>
      <c r="C2807" s="5"/>
      <c r="D2807" s="5"/>
      <c r="E2807" s="5"/>
      <c r="F2807" s="5"/>
      <c r="G2807" s="5"/>
      <c r="H2807" s="5"/>
      <c r="I2807" s="5"/>
      <c r="J2807" s="12"/>
      <c r="K2807" s="11"/>
      <c r="M2807" s="5"/>
      <c r="N2807" s="12"/>
      <c r="O2807" s="5"/>
      <c r="P2807" s="5"/>
      <c r="Q2807" s="5"/>
      <c r="R2807" s="5"/>
      <c r="T2807" s="5"/>
      <c r="U2807" s="5"/>
      <c r="V2807" s="5"/>
      <c r="W2807" s="5"/>
    </row>
    <row r="2808" spans="1:23" ht="12.5">
      <c r="A2808" s="5"/>
      <c r="B2808" s="5"/>
      <c r="C2808" s="5"/>
      <c r="D2808" s="5"/>
      <c r="E2808" s="5"/>
      <c r="F2808" s="5"/>
      <c r="G2808" s="5"/>
      <c r="H2808" s="5"/>
      <c r="I2808" s="5"/>
      <c r="J2808" s="12"/>
      <c r="K2808" s="11"/>
      <c r="M2808" s="5"/>
      <c r="N2808" s="12"/>
      <c r="O2808" s="5"/>
      <c r="P2808" s="5"/>
      <c r="Q2808" s="5"/>
      <c r="R2808" s="5"/>
      <c r="T2808" s="5"/>
      <c r="U2808" s="5"/>
      <c r="V2808" s="5"/>
      <c r="W2808" s="5"/>
    </row>
    <row r="2809" spans="1:23" ht="12.5">
      <c r="A2809" s="5"/>
      <c r="B2809" s="5"/>
      <c r="C2809" s="5"/>
      <c r="D2809" s="5"/>
      <c r="E2809" s="5"/>
      <c r="F2809" s="5"/>
      <c r="G2809" s="5"/>
      <c r="H2809" s="5"/>
      <c r="I2809" s="5"/>
      <c r="J2809" s="12"/>
      <c r="K2809" s="11"/>
      <c r="M2809" s="5"/>
      <c r="N2809" s="12"/>
      <c r="O2809" s="5"/>
      <c r="P2809" s="5"/>
      <c r="Q2809" s="5"/>
      <c r="R2809" s="5"/>
      <c r="T2809" s="5"/>
      <c r="U2809" s="5"/>
      <c r="V2809" s="5"/>
      <c r="W2809" s="5"/>
    </row>
    <row r="2810" spans="1:23" ht="12.5">
      <c r="A2810" s="5"/>
      <c r="B2810" s="5"/>
      <c r="C2810" s="5"/>
      <c r="D2810" s="5"/>
      <c r="E2810" s="5"/>
      <c r="F2810" s="5"/>
      <c r="G2810" s="5"/>
      <c r="H2810" s="5"/>
      <c r="I2810" s="5"/>
      <c r="J2810" s="12"/>
      <c r="K2810" s="11"/>
      <c r="M2810" s="5"/>
      <c r="N2810" s="12"/>
      <c r="O2810" s="5"/>
      <c r="P2810" s="5"/>
      <c r="Q2810" s="5"/>
      <c r="R2810" s="5"/>
      <c r="T2810" s="5"/>
      <c r="U2810" s="5"/>
      <c r="V2810" s="5"/>
      <c r="W2810" s="5"/>
    </row>
    <row r="2811" spans="1:23" ht="12.5">
      <c r="A2811" s="5"/>
      <c r="B2811" s="5"/>
      <c r="C2811" s="5"/>
      <c r="D2811" s="5"/>
      <c r="E2811" s="5"/>
      <c r="F2811" s="5"/>
      <c r="G2811" s="5"/>
      <c r="H2811" s="5"/>
      <c r="I2811" s="5"/>
      <c r="J2811" s="12"/>
      <c r="K2811" s="11"/>
      <c r="M2811" s="5"/>
      <c r="N2811" s="12"/>
      <c r="O2811" s="5"/>
      <c r="P2811" s="5"/>
      <c r="Q2811" s="5"/>
      <c r="R2811" s="5"/>
      <c r="T2811" s="5"/>
      <c r="U2811" s="5"/>
      <c r="V2811" s="5"/>
      <c r="W2811" s="5"/>
    </row>
    <row r="2812" spans="1:23" ht="12.5">
      <c r="A2812" s="5"/>
      <c r="B2812" s="5"/>
      <c r="C2812" s="5"/>
      <c r="D2812" s="5"/>
      <c r="E2812" s="5"/>
      <c r="F2812" s="5"/>
      <c r="G2812" s="5"/>
      <c r="H2812" s="5"/>
      <c r="I2812" s="5"/>
      <c r="J2812" s="12"/>
      <c r="K2812" s="11"/>
      <c r="M2812" s="5"/>
      <c r="N2812" s="12"/>
      <c r="O2812" s="5"/>
      <c r="P2812" s="5"/>
      <c r="Q2812" s="5"/>
      <c r="R2812" s="5"/>
      <c r="T2812" s="5"/>
      <c r="U2812" s="5"/>
      <c r="V2812" s="5"/>
      <c r="W2812" s="5"/>
    </row>
    <row r="2813" spans="1:23" ht="12.5">
      <c r="A2813" s="5"/>
      <c r="B2813" s="5"/>
      <c r="C2813" s="5"/>
      <c r="D2813" s="5"/>
      <c r="E2813" s="5"/>
      <c r="F2813" s="5"/>
      <c r="G2813" s="5"/>
      <c r="H2813" s="5"/>
      <c r="I2813" s="5"/>
      <c r="J2813" s="12"/>
      <c r="K2813" s="11"/>
      <c r="M2813" s="5"/>
      <c r="N2813" s="12"/>
      <c r="O2813" s="5"/>
      <c r="P2813" s="5"/>
      <c r="Q2813" s="5"/>
      <c r="R2813" s="5"/>
      <c r="T2813" s="5"/>
      <c r="U2813" s="5"/>
      <c r="V2813" s="5"/>
      <c r="W2813" s="5"/>
    </row>
    <row r="2814" spans="1:23" ht="12.5">
      <c r="A2814" s="5"/>
      <c r="B2814" s="5"/>
      <c r="C2814" s="5"/>
      <c r="D2814" s="5"/>
      <c r="E2814" s="5"/>
      <c r="F2814" s="5"/>
      <c r="G2814" s="5"/>
      <c r="H2814" s="5"/>
      <c r="I2814" s="5"/>
      <c r="J2814" s="12"/>
      <c r="K2814" s="11"/>
      <c r="M2814" s="5"/>
      <c r="N2814" s="12"/>
      <c r="O2814" s="5"/>
      <c r="P2814" s="5"/>
      <c r="Q2814" s="5"/>
      <c r="R2814" s="5"/>
      <c r="T2814" s="5"/>
      <c r="U2814" s="5"/>
      <c r="V2814" s="5"/>
      <c r="W2814" s="5"/>
    </row>
    <row r="2815" spans="1:23" ht="12.5">
      <c r="A2815" s="5"/>
      <c r="B2815" s="5"/>
      <c r="C2815" s="5"/>
      <c r="D2815" s="5"/>
      <c r="E2815" s="5"/>
      <c r="F2815" s="5"/>
      <c r="G2815" s="5"/>
      <c r="H2815" s="5"/>
      <c r="I2815" s="5"/>
      <c r="J2815" s="12"/>
      <c r="K2815" s="11"/>
      <c r="M2815" s="5"/>
      <c r="N2815" s="12"/>
      <c r="O2815" s="5"/>
      <c r="P2815" s="5"/>
      <c r="Q2815" s="5"/>
      <c r="R2815" s="5"/>
      <c r="T2815" s="5"/>
      <c r="U2815" s="5"/>
      <c r="V2815" s="5"/>
      <c r="W2815" s="5"/>
    </row>
    <row r="2816" spans="1:23" ht="12.5">
      <c r="A2816" s="5"/>
      <c r="B2816" s="5"/>
      <c r="C2816" s="5"/>
      <c r="D2816" s="5"/>
      <c r="E2816" s="5"/>
      <c r="F2816" s="5"/>
      <c r="G2816" s="5"/>
      <c r="H2816" s="5"/>
      <c r="I2816" s="5"/>
      <c r="J2816" s="12"/>
      <c r="K2816" s="11"/>
      <c r="M2816" s="5"/>
      <c r="N2816" s="12"/>
      <c r="O2816" s="5"/>
      <c r="P2816" s="5"/>
      <c r="Q2816" s="5"/>
      <c r="R2816" s="5"/>
      <c r="T2816" s="5"/>
      <c r="U2816" s="5"/>
      <c r="V2816" s="5"/>
      <c r="W2816" s="5"/>
    </row>
    <row r="2817" spans="1:23" ht="12.5">
      <c r="A2817" s="5"/>
      <c r="B2817" s="5"/>
      <c r="C2817" s="5"/>
      <c r="D2817" s="5"/>
      <c r="E2817" s="5"/>
      <c r="F2817" s="5"/>
      <c r="G2817" s="5"/>
      <c r="H2817" s="5"/>
      <c r="I2817" s="5"/>
      <c r="J2817" s="12"/>
      <c r="K2817" s="11"/>
      <c r="M2817" s="5"/>
      <c r="N2817" s="12"/>
      <c r="O2817" s="5"/>
      <c r="P2817" s="5"/>
      <c r="Q2817" s="5"/>
      <c r="R2817" s="5"/>
      <c r="T2817" s="5"/>
      <c r="U2817" s="5"/>
      <c r="V2817" s="5"/>
      <c r="W2817" s="5"/>
    </row>
    <row r="2818" spans="1:23" ht="12.5">
      <c r="A2818" s="5"/>
      <c r="B2818" s="5"/>
      <c r="C2818" s="5"/>
      <c r="D2818" s="5"/>
      <c r="E2818" s="5"/>
      <c r="F2818" s="5"/>
      <c r="G2818" s="5"/>
      <c r="H2818" s="5"/>
      <c r="I2818" s="5"/>
      <c r="J2818" s="12"/>
      <c r="K2818" s="11"/>
      <c r="M2818" s="5"/>
      <c r="N2818" s="12"/>
      <c r="O2818" s="5"/>
      <c r="P2818" s="5"/>
      <c r="Q2818" s="5"/>
      <c r="R2818" s="5"/>
      <c r="T2818" s="5"/>
      <c r="U2818" s="5"/>
      <c r="V2818" s="5"/>
      <c r="W2818" s="5"/>
    </row>
    <row r="2819" spans="1:23" ht="12.5">
      <c r="A2819" s="5"/>
      <c r="B2819" s="5"/>
      <c r="C2819" s="5"/>
      <c r="D2819" s="5"/>
      <c r="E2819" s="5"/>
      <c r="F2819" s="5"/>
      <c r="G2819" s="5"/>
      <c r="H2819" s="5"/>
      <c r="I2819" s="5"/>
      <c r="J2819" s="12"/>
      <c r="K2819" s="11"/>
      <c r="M2819" s="5"/>
      <c r="N2819" s="12"/>
      <c r="O2819" s="5"/>
      <c r="P2819" s="5"/>
      <c r="Q2819" s="5"/>
      <c r="R2819" s="5"/>
      <c r="T2819" s="5"/>
      <c r="U2819" s="5"/>
      <c r="V2819" s="5"/>
      <c r="W2819" s="5"/>
    </row>
    <row r="2820" spans="1:23" ht="12.5">
      <c r="A2820" s="5"/>
      <c r="B2820" s="5"/>
      <c r="C2820" s="5"/>
      <c r="D2820" s="5"/>
      <c r="E2820" s="5"/>
      <c r="F2820" s="5"/>
      <c r="G2820" s="5"/>
      <c r="H2820" s="5"/>
      <c r="I2820" s="5"/>
      <c r="J2820" s="12"/>
      <c r="K2820" s="11"/>
      <c r="M2820" s="5"/>
      <c r="N2820" s="12"/>
      <c r="O2820" s="5"/>
      <c r="P2820" s="5"/>
      <c r="Q2820" s="5"/>
      <c r="R2820" s="5"/>
      <c r="T2820" s="5"/>
      <c r="U2820" s="5"/>
      <c r="V2820" s="5"/>
      <c r="W2820" s="5"/>
    </row>
    <row r="2821" spans="1:23" ht="12.5">
      <c r="A2821" s="5"/>
      <c r="B2821" s="5"/>
      <c r="C2821" s="5"/>
      <c r="D2821" s="5"/>
      <c r="E2821" s="5"/>
      <c r="F2821" s="5"/>
      <c r="G2821" s="5"/>
      <c r="H2821" s="5"/>
      <c r="I2821" s="5"/>
      <c r="J2821" s="12"/>
      <c r="K2821" s="11"/>
      <c r="M2821" s="5"/>
      <c r="N2821" s="12"/>
      <c r="O2821" s="5"/>
      <c r="P2821" s="5"/>
      <c r="Q2821" s="5"/>
      <c r="R2821" s="5"/>
      <c r="T2821" s="5"/>
      <c r="U2821" s="5"/>
      <c r="V2821" s="5"/>
      <c r="W2821" s="5"/>
    </row>
    <row r="2822" spans="1:23" ht="12.5">
      <c r="A2822" s="5"/>
      <c r="B2822" s="5"/>
      <c r="C2822" s="5"/>
      <c r="D2822" s="5"/>
      <c r="E2822" s="5"/>
      <c r="F2822" s="5"/>
      <c r="G2822" s="5"/>
      <c r="H2822" s="5"/>
      <c r="I2822" s="5"/>
      <c r="J2822" s="12"/>
      <c r="K2822" s="11"/>
      <c r="M2822" s="5"/>
      <c r="N2822" s="12"/>
      <c r="O2822" s="5"/>
      <c r="P2822" s="5"/>
      <c r="Q2822" s="5"/>
      <c r="R2822" s="5"/>
      <c r="T2822" s="5"/>
      <c r="U2822" s="5"/>
      <c r="V2822" s="5"/>
      <c r="W2822" s="5"/>
    </row>
    <row r="2823" spans="1:23" ht="12.5">
      <c r="A2823" s="5"/>
      <c r="B2823" s="5"/>
      <c r="C2823" s="5"/>
      <c r="D2823" s="5"/>
      <c r="E2823" s="5"/>
      <c r="F2823" s="5"/>
      <c r="G2823" s="5"/>
      <c r="H2823" s="5"/>
      <c r="I2823" s="5"/>
      <c r="J2823" s="12"/>
      <c r="K2823" s="11"/>
      <c r="M2823" s="5"/>
      <c r="N2823" s="12"/>
      <c r="O2823" s="5"/>
      <c r="P2823" s="5"/>
      <c r="Q2823" s="5"/>
      <c r="R2823" s="5"/>
      <c r="T2823" s="5"/>
      <c r="U2823" s="5"/>
      <c r="V2823" s="5"/>
      <c r="W2823" s="5"/>
    </row>
    <row r="2824" spans="1:23" ht="12.5">
      <c r="A2824" s="5"/>
      <c r="B2824" s="5"/>
      <c r="C2824" s="5"/>
      <c r="D2824" s="5"/>
      <c r="E2824" s="5"/>
      <c r="F2824" s="5"/>
      <c r="G2824" s="5"/>
      <c r="H2824" s="5"/>
      <c r="I2824" s="5"/>
      <c r="J2824" s="12"/>
      <c r="K2824" s="11"/>
      <c r="M2824" s="5"/>
      <c r="N2824" s="12"/>
      <c r="O2824" s="5"/>
      <c r="P2824" s="5"/>
      <c r="Q2824" s="5"/>
      <c r="R2824" s="5"/>
      <c r="T2824" s="5"/>
      <c r="U2824" s="5"/>
      <c r="V2824" s="5"/>
      <c r="W2824" s="5"/>
    </row>
    <row r="2825" spans="1:23" ht="12.5">
      <c r="A2825" s="5"/>
      <c r="B2825" s="5"/>
      <c r="C2825" s="5"/>
      <c r="D2825" s="5"/>
      <c r="E2825" s="5"/>
      <c r="F2825" s="5"/>
      <c r="G2825" s="5"/>
      <c r="H2825" s="5"/>
      <c r="I2825" s="5"/>
      <c r="J2825" s="12"/>
      <c r="K2825" s="11"/>
      <c r="M2825" s="5"/>
      <c r="N2825" s="12"/>
      <c r="O2825" s="5"/>
      <c r="P2825" s="5"/>
      <c r="Q2825" s="5"/>
      <c r="R2825" s="5"/>
      <c r="T2825" s="5"/>
      <c r="U2825" s="5"/>
      <c r="V2825" s="5"/>
      <c r="W2825" s="5"/>
    </row>
    <row r="2826" spans="1:23" ht="12.5">
      <c r="A2826" s="5"/>
      <c r="B2826" s="5"/>
      <c r="C2826" s="5"/>
      <c r="D2826" s="5"/>
      <c r="E2826" s="5"/>
      <c r="F2826" s="5"/>
      <c r="G2826" s="5"/>
      <c r="H2826" s="5"/>
      <c r="I2826" s="5"/>
      <c r="J2826" s="12"/>
      <c r="K2826" s="11"/>
      <c r="M2826" s="5"/>
      <c r="N2826" s="12"/>
      <c r="O2826" s="5"/>
      <c r="P2826" s="5"/>
      <c r="Q2826" s="5"/>
      <c r="R2826" s="5"/>
      <c r="T2826" s="5"/>
      <c r="U2826" s="5"/>
      <c r="V2826" s="5"/>
      <c r="W2826" s="5"/>
    </row>
    <row r="2827" spans="1:23" ht="12.5">
      <c r="A2827" s="5"/>
      <c r="B2827" s="5"/>
      <c r="C2827" s="5"/>
      <c r="D2827" s="5"/>
      <c r="E2827" s="5"/>
      <c r="F2827" s="5"/>
      <c r="G2827" s="5"/>
      <c r="H2827" s="5"/>
      <c r="I2827" s="5"/>
      <c r="J2827" s="12"/>
      <c r="K2827" s="11"/>
      <c r="M2827" s="5"/>
      <c r="N2827" s="12"/>
      <c r="O2827" s="5"/>
      <c r="P2827" s="5"/>
      <c r="Q2827" s="5"/>
      <c r="R2827" s="5"/>
      <c r="T2827" s="5"/>
      <c r="U2827" s="5"/>
      <c r="V2827" s="5"/>
      <c r="W2827" s="5"/>
    </row>
    <row r="2828" spans="1:23" ht="12.5">
      <c r="A2828" s="5"/>
      <c r="B2828" s="5"/>
      <c r="C2828" s="5"/>
      <c r="D2828" s="5"/>
      <c r="E2828" s="5"/>
      <c r="F2828" s="5"/>
      <c r="G2828" s="5"/>
      <c r="H2828" s="5"/>
      <c r="I2828" s="5"/>
      <c r="J2828" s="12"/>
      <c r="K2828" s="11"/>
      <c r="M2828" s="5"/>
      <c r="N2828" s="12"/>
      <c r="O2828" s="5"/>
      <c r="P2828" s="5"/>
      <c r="Q2828" s="5"/>
      <c r="R2828" s="5"/>
      <c r="T2828" s="5"/>
      <c r="U2828" s="5"/>
      <c r="V2828" s="5"/>
      <c r="W2828" s="5"/>
    </row>
    <row r="2829" spans="1:23" ht="12.5">
      <c r="A2829" s="5"/>
      <c r="B2829" s="5"/>
      <c r="C2829" s="5"/>
      <c r="D2829" s="5"/>
      <c r="E2829" s="5"/>
      <c r="F2829" s="5"/>
      <c r="G2829" s="5"/>
      <c r="H2829" s="5"/>
      <c r="I2829" s="5"/>
      <c r="J2829" s="12"/>
      <c r="K2829" s="11"/>
      <c r="M2829" s="5"/>
      <c r="N2829" s="12"/>
      <c r="O2829" s="5"/>
      <c r="P2829" s="5"/>
      <c r="Q2829" s="5"/>
      <c r="R2829" s="5"/>
      <c r="T2829" s="5"/>
      <c r="U2829" s="5"/>
      <c r="V2829" s="5"/>
      <c r="W2829" s="5"/>
    </row>
    <row r="2830" spans="1:23" ht="12.5">
      <c r="A2830" s="5"/>
      <c r="B2830" s="5"/>
      <c r="C2830" s="5"/>
      <c r="D2830" s="5"/>
      <c r="E2830" s="5"/>
      <c r="F2830" s="5"/>
      <c r="G2830" s="5"/>
      <c r="H2830" s="5"/>
      <c r="I2830" s="5"/>
      <c r="J2830" s="12"/>
      <c r="K2830" s="11"/>
      <c r="M2830" s="5"/>
      <c r="N2830" s="12"/>
      <c r="O2830" s="5"/>
      <c r="P2830" s="5"/>
      <c r="Q2830" s="5"/>
      <c r="R2830" s="5"/>
      <c r="T2830" s="5"/>
      <c r="U2830" s="5"/>
      <c r="V2830" s="5"/>
      <c r="W2830" s="5"/>
    </row>
    <row r="2831" spans="1:23" ht="12.5">
      <c r="A2831" s="5"/>
      <c r="B2831" s="5"/>
      <c r="C2831" s="5"/>
      <c r="D2831" s="5"/>
      <c r="E2831" s="5"/>
      <c r="F2831" s="5"/>
      <c r="G2831" s="5"/>
      <c r="H2831" s="5"/>
      <c r="I2831" s="5"/>
      <c r="J2831" s="12"/>
      <c r="K2831" s="11"/>
      <c r="M2831" s="5"/>
      <c r="N2831" s="12"/>
      <c r="O2831" s="5"/>
      <c r="P2831" s="5"/>
      <c r="Q2831" s="5"/>
      <c r="R2831" s="5"/>
      <c r="T2831" s="5"/>
      <c r="U2831" s="5"/>
      <c r="V2831" s="5"/>
      <c r="W2831" s="5"/>
    </row>
    <row r="2832" spans="1:23" ht="12.5">
      <c r="A2832" s="5"/>
      <c r="B2832" s="5"/>
      <c r="C2832" s="5"/>
      <c r="D2832" s="5"/>
      <c r="E2832" s="5"/>
      <c r="F2832" s="5"/>
      <c r="G2832" s="5"/>
      <c r="H2832" s="5"/>
      <c r="I2832" s="5"/>
      <c r="J2832" s="12"/>
      <c r="K2832" s="11"/>
      <c r="M2832" s="5"/>
      <c r="N2832" s="12"/>
      <c r="O2832" s="5"/>
      <c r="P2832" s="5"/>
      <c r="Q2832" s="5"/>
      <c r="R2832" s="5"/>
      <c r="T2832" s="5"/>
      <c r="U2832" s="5"/>
      <c r="V2832" s="5"/>
      <c r="W2832" s="5"/>
    </row>
    <row r="2833" spans="1:23" ht="12.5">
      <c r="A2833" s="5"/>
      <c r="B2833" s="5"/>
      <c r="C2833" s="5"/>
      <c r="D2833" s="5"/>
      <c r="E2833" s="5"/>
      <c r="F2833" s="5"/>
      <c r="G2833" s="5"/>
      <c r="H2833" s="5"/>
      <c r="I2833" s="5"/>
      <c r="J2833" s="12"/>
      <c r="K2833" s="11"/>
      <c r="M2833" s="5"/>
      <c r="N2833" s="12"/>
      <c r="O2833" s="5"/>
      <c r="P2833" s="5"/>
      <c r="Q2833" s="5"/>
      <c r="R2833" s="5"/>
      <c r="T2833" s="5"/>
      <c r="U2833" s="5"/>
      <c r="V2833" s="5"/>
      <c r="W2833" s="5"/>
    </row>
    <row r="2834" spans="1:23" ht="12.5">
      <c r="A2834" s="5"/>
      <c r="B2834" s="5"/>
      <c r="C2834" s="5"/>
      <c r="D2834" s="5"/>
      <c r="E2834" s="5"/>
      <c r="F2834" s="5"/>
      <c r="G2834" s="5"/>
      <c r="H2834" s="5"/>
      <c r="I2834" s="5"/>
      <c r="J2834" s="12"/>
      <c r="K2834" s="11"/>
      <c r="M2834" s="5"/>
      <c r="N2834" s="12"/>
      <c r="O2834" s="5"/>
      <c r="P2834" s="5"/>
      <c r="Q2834" s="5"/>
      <c r="R2834" s="5"/>
      <c r="T2834" s="5"/>
      <c r="U2834" s="5"/>
      <c r="V2834" s="5"/>
      <c r="W2834" s="5"/>
    </row>
    <row r="2835" spans="1:23" ht="12.5">
      <c r="A2835" s="5"/>
      <c r="B2835" s="5"/>
      <c r="C2835" s="5"/>
      <c r="D2835" s="5"/>
      <c r="E2835" s="5"/>
      <c r="F2835" s="5"/>
      <c r="G2835" s="5"/>
      <c r="H2835" s="5"/>
      <c r="I2835" s="5"/>
      <c r="J2835" s="12"/>
      <c r="K2835" s="11"/>
      <c r="M2835" s="5"/>
      <c r="N2835" s="12"/>
      <c r="O2835" s="5"/>
      <c r="P2835" s="5"/>
      <c r="Q2835" s="5"/>
      <c r="R2835" s="5"/>
      <c r="T2835" s="5"/>
      <c r="U2835" s="5"/>
      <c r="V2835" s="5"/>
      <c r="W2835" s="5"/>
    </row>
    <row r="2836" spans="1:23" ht="12.5">
      <c r="A2836" s="5"/>
      <c r="B2836" s="5"/>
      <c r="C2836" s="5"/>
      <c r="D2836" s="5"/>
      <c r="E2836" s="5"/>
      <c r="F2836" s="5"/>
      <c r="G2836" s="5"/>
      <c r="H2836" s="5"/>
      <c r="I2836" s="5"/>
      <c r="J2836" s="12"/>
      <c r="K2836" s="11"/>
      <c r="M2836" s="5"/>
      <c r="N2836" s="12"/>
      <c r="O2836" s="5"/>
      <c r="P2836" s="5"/>
      <c r="Q2836" s="5"/>
      <c r="R2836" s="5"/>
      <c r="T2836" s="5"/>
      <c r="U2836" s="5"/>
      <c r="V2836" s="5"/>
      <c r="W2836" s="5"/>
    </row>
    <row r="2837" spans="1:23" ht="12.5">
      <c r="A2837" s="5"/>
      <c r="B2837" s="5"/>
      <c r="C2837" s="5"/>
      <c r="D2837" s="5"/>
      <c r="E2837" s="5"/>
      <c r="F2837" s="5"/>
      <c r="G2837" s="5"/>
      <c r="H2837" s="5"/>
      <c r="I2837" s="5"/>
      <c r="J2837" s="12"/>
      <c r="K2837" s="11"/>
      <c r="M2837" s="5"/>
      <c r="N2837" s="12"/>
      <c r="O2837" s="5"/>
      <c r="P2837" s="5"/>
      <c r="Q2837" s="5"/>
      <c r="R2837" s="5"/>
      <c r="T2837" s="5"/>
      <c r="U2837" s="5"/>
      <c r="V2837" s="5"/>
      <c r="W2837" s="5"/>
    </row>
    <row r="2838" spans="1:23" ht="12.5">
      <c r="A2838" s="5"/>
      <c r="B2838" s="5"/>
      <c r="C2838" s="5"/>
      <c r="D2838" s="5"/>
      <c r="E2838" s="5"/>
      <c r="F2838" s="5"/>
      <c r="G2838" s="5"/>
      <c r="H2838" s="5"/>
      <c r="I2838" s="5"/>
      <c r="J2838" s="12"/>
      <c r="K2838" s="11"/>
      <c r="M2838" s="5"/>
      <c r="N2838" s="12"/>
      <c r="O2838" s="5"/>
      <c r="P2838" s="5"/>
      <c r="Q2838" s="5"/>
      <c r="R2838" s="5"/>
      <c r="T2838" s="5"/>
      <c r="U2838" s="5"/>
      <c r="V2838" s="5"/>
      <c r="W2838" s="5"/>
    </row>
    <row r="2839" spans="1:23" ht="12.5">
      <c r="A2839" s="5"/>
      <c r="B2839" s="5"/>
      <c r="C2839" s="5"/>
      <c r="D2839" s="5"/>
      <c r="E2839" s="5"/>
      <c r="F2839" s="5"/>
      <c r="G2839" s="5"/>
      <c r="H2839" s="5"/>
      <c r="I2839" s="5"/>
      <c r="J2839" s="12"/>
      <c r="K2839" s="11"/>
      <c r="M2839" s="5"/>
      <c r="N2839" s="12"/>
      <c r="O2839" s="5"/>
      <c r="P2839" s="5"/>
      <c r="Q2839" s="5"/>
      <c r="R2839" s="5"/>
      <c r="T2839" s="5"/>
      <c r="U2839" s="5"/>
      <c r="V2839" s="5"/>
      <c r="W2839" s="5"/>
    </row>
    <row r="2840" spans="1:23" ht="12.5">
      <c r="A2840" s="5"/>
      <c r="B2840" s="5"/>
      <c r="C2840" s="5"/>
      <c r="D2840" s="5"/>
      <c r="E2840" s="5"/>
      <c r="F2840" s="5"/>
      <c r="G2840" s="5"/>
      <c r="H2840" s="5"/>
      <c r="I2840" s="5"/>
      <c r="J2840" s="12"/>
      <c r="K2840" s="11"/>
      <c r="M2840" s="5"/>
      <c r="N2840" s="12"/>
      <c r="O2840" s="5"/>
      <c r="P2840" s="5"/>
      <c r="Q2840" s="5"/>
      <c r="R2840" s="5"/>
      <c r="T2840" s="5"/>
      <c r="U2840" s="5"/>
      <c r="V2840" s="5"/>
      <c r="W2840" s="5"/>
    </row>
    <row r="2841" spans="1:23" ht="12.5">
      <c r="A2841" s="5"/>
      <c r="B2841" s="5"/>
      <c r="C2841" s="5"/>
      <c r="D2841" s="5"/>
      <c r="E2841" s="5"/>
      <c r="F2841" s="5"/>
      <c r="G2841" s="5"/>
      <c r="H2841" s="5"/>
      <c r="I2841" s="5"/>
      <c r="J2841" s="12"/>
      <c r="K2841" s="11"/>
      <c r="M2841" s="5"/>
      <c r="N2841" s="12"/>
      <c r="O2841" s="5"/>
      <c r="P2841" s="5"/>
      <c r="Q2841" s="5"/>
      <c r="R2841" s="5"/>
      <c r="T2841" s="5"/>
      <c r="U2841" s="5"/>
      <c r="V2841" s="5"/>
      <c r="W2841" s="5"/>
    </row>
    <row r="2842" spans="1:23" ht="12.5">
      <c r="A2842" s="5"/>
      <c r="B2842" s="5"/>
      <c r="C2842" s="5"/>
      <c r="D2842" s="5"/>
      <c r="E2842" s="5"/>
      <c r="F2842" s="5"/>
      <c r="G2842" s="5"/>
      <c r="H2842" s="5"/>
      <c r="I2842" s="5"/>
      <c r="J2842" s="12"/>
      <c r="K2842" s="11"/>
      <c r="M2842" s="5"/>
      <c r="N2842" s="12"/>
      <c r="O2842" s="5"/>
      <c r="P2842" s="5"/>
      <c r="Q2842" s="5"/>
      <c r="R2842" s="5"/>
      <c r="T2842" s="5"/>
      <c r="U2842" s="5"/>
      <c r="V2842" s="5"/>
      <c r="W2842" s="5"/>
    </row>
    <row r="2843" spans="1:23" ht="12.5">
      <c r="A2843" s="5"/>
      <c r="B2843" s="5"/>
      <c r="C2843" s="5"/>
      <c r="D2843" s="5"/>
      <c r="E2843" s="5"/>
      <c r="F2843" s="5"/>
      <c r="G2843" s="5"/>
      <c r="H2843" s="5"/>
      <c r="I2843" s="5"/>
      <c r="J2843" s="12"/>
      <c r="K2843" s="11"/>
      <c r="M2843" s="5"/>
      <c r="N2843" s="12"/>
      <c r="O2843" s="5"/>
      <c r="P2843" s="5"/>
      <c r="Q2843" s="5"/>
      <c r="R2843" s="5"/>
      <c r="T2843" s="5"/>
      <c r="U2843" s="5"/>
      <c r="V2843" s="5"/>
      <c r="W2843" s="5"/>
    </row>
    <row r="2844" spans="1:23" ht="12.5">
      <c r="A2844" s="5"/>
      <c r="B2844" s="5"/>
      <c r="C2844" s="5"/>
      <c r="D2844" s="5"/>
      <c r="E2844" s="5"/>
      <c r="F2844" s="5"/>
      <c r="G2844" s="5"/>
      <c r="H2844" s="5"/>
      <c r="I2844" s="5"/>
      <c r="J2844" s="12"/>
      <c r="K2844" s="11"/>
      <c r="M2844" s="5"/>
      <c r="N2844" s="12"/>
      <c r="O2844" s="5"/>
      <c r="P2844" s="5"/>
      <c r="Q2844" s="5"/>
      <c r="R2844" s="5"/>
      <c r="T2844" s="5"/>
      <c r="U2844" s="5"/>
      <c r="V2844" s="5"/>
      <c r="W2844" s="5"/>
    </row>
    <row r="2845" spans="1:23" ht="12.5">
      <c r="A2845" s="5"/>
      <c r="B2845" s="5"/>
      <c r="C2845" s="5"/>
      <c r="D2845" s="5"/>
      <c r="E2845" s="5"/>
      <c r="F2845" s="5"/>
      <c r="G2845" s="5"/>
      <c r="H2845" s="5"/>
      <c r="I2845" s="5"/>
      <c r="J2845" s="12"/>
      <c r="K2845" s="11"/>
      <c r="M2845" s="5"/>
      <c r="N2845" s="12"/>
      <c r="O2845" s="5"/>
      <c r="P2845" s="5"/>
      <c r="Q2845" s="5"/>
      <c r="R2845" s="5"/>
      <c r="T2845" s="5"/>
      <c r="U2845" s="5"/>
      <c r="V2845" s="5"/>
      <c r="W2845" s="5"/>
    </row>
    <row r="2846" spans="1:23" ht="12.5">
      <c r="A2846" s="5"/>
      <c r="B2846" s="5"/>
      <c r="C2846" s="5"/>
      <c r="D2846" s="5"/>
      <c r="E2846" s="5"/>
      <c r="F2846" s="5"/>
      <c r="G2846" s="5"/>
      <c r="H2846" s="5"/>
      <c r="I2846" s="5"/>
      <c r="J2846" s="12"/>
      <c r="K2846" s="11"/>
      <c r="M2846" s="5"/>
      <c r="N2846" s="12"/>
      <c r="O2846" s="5"/>
      <c r="P2846" s="5"/>
      <c r="Q2846" s="5"/>
      <c r="R2846" s="5"/>
      <c r="T2846" s="5"/>
      <c r="U2846" s="5"/>
      <c r="V2846" s="5"/>
      <c r="W2846" s="5"/>
    </row>
    <row r="2847" spans="1:23" ht="12.5">
      <c r="A2847" s="5"/>
      <c r="B2847" s="5"/>
      <c r="C2847" s="5"/>
      <c r="D2847" s="5"/>
      <c r="E2847" s="5"/>
      <c r="F2847" s="5"/>
      <c r="G2847" s="5"/>
      <c r="H2847" s="5"/>
      <c r="I2847" s="5"/>
      <c r="J2847" s="12"/>
      <c r="K2847" s="11"/>
      <c r="M2847" s="5"/>
      <c r="N2847" s="12"/>
      <c r="O2847" s="5"/>
      <c r="P2847" s="5"/>
      <c r="Q2847" s="5"/>
      <c r="R2847" s="5"/>
      <c r="T2847" s="5"/>
      <c r="U2847" s="5"/>
      <c r="V2847" s="5"/>
      <c r="W2847" s="5"/>
    </row>
    <row r="2848" spans="1:23" ht="12.5">
      <c r="A2848" s="5"/>
      <c r="B2848" s="5"/>
      <c r="C2848" s="5"/>
      <c r="D2848" s="5"/>
      <c r="E2848" s="5"/>
      <c r="F2848" s="5"/>
      <c r="G2848" s="5"/>
      <c r="H2848" s="5"/>
      <c r="I2848" s="5"/>
      <c r="J2848" s="12"/>
      <c r="K2848" s="11"/>
      <c r="M2848" s="5"/>
      <c r="N2848" s="12"/>
      <c r="O2848" s="5"/>
      <c r="P2848" s="5"/>
      <c r="Q2848" s="5"/>
      <c r="R2848" s="5"/>
      <c r="T2848" s="5"/>
      <c r="U2848" s="5"/>
      <c r="V2848" s="5"/>
      <c r="W2848" s="5"/>
    </row>
    <row r="2849" spans="1:23" ht="12.5">
      <c r="A2849" s="5"/>
      <c r="B2849" s="5"/>
      <c r="C2849" s="5"/>
      <c r="D2849" s="5"/>
      <c r="E2849" s="5"/>
      <c r="F2849" s="5"/>
      <c r="G2849" s="5"/>
      <c r="H2849" s="5"/>
      <c r="I2849" s="5"/>
      <c r="J2849" s="12"/>
      <c r="K2849" s="11"/>
      <c r="M2849" s="5"/>
      <c r="N2849" s="12"/>
      <c r="O2849" s="5"/>
      <c r="P2849" s="5"/>
      <c r="Q2849" s="5"/>
      <c r="R2849" s="5"/>
      <c r="T2849" s="5"/>
      <c r="U2849" s="5"/>
      <c r="V2849" s="5"/>
      <c r="W2849" s="5"/>
    </row>
    <row r="2850" spans="1:23" ht="12.5">
      <c r="A2850" s="5"/>
      <c r="B2850" s="5"/>
      <c r="C2850" s="5"/>
      <c r="D2850" s="5"/>
      <c r="E2850" s="5"/>
      <c r="F2850" s="5"/>
      <c r="G2850" s="5"/>
      <c r="H2850" s="5"/>
      <c r="I2850" s="5"/>
      <c r="J2850" s="12"/>
      <c r="K2850" s="11"/>
      <c r="M2850" s="5"/>
      <c r="N2850" s="12"/>
      <c r="O2850" s="5"/>
      <c r="P2850" s="5"/>
      <c r="Q2850" s="5"/>
      <c r="R2850" s="5"/>
      <c r="T2850" s="5"/>
      <c r="U2850" s="5"/>
      <c r="V2850" s="5"/>
      <c r="W2850" s="5"/>
    </row>
    <row r="2851" spans="1:23" ht="12.5">
      <c r="A2851" s="5"/>
      <c r="B2851" s="5"/>
      <c r="C2851" s="5"/>
      <c r="D2851" s="5"/>
      <c r="E2851" s="5"/>
      <c r="F2851" s="5"/>
      <c r="G2851" s="5"/>
      <c r="H2851" s="5"/>
      <c r="I2851" s="5"/>
      <c r="J2851" s="12"/>
      <c r="K2851" s="11"/>
      <c r="M2851" s="5"/>
      <c r="N2851" s="12"/>
      <c r="O2851" s="5"/>
      <c r="P2851" s="5"/>
      <c r="Q2851" s="5"/>
      <c r="R2851" s="5"/>
      <c r="T2851" s="5"/>
      <c r="U2851" s="5"/>
      <c r="V2851" s="5"/>
      <c r="W2851" s="5"/>
    </row>
    <row r="2852" spans="1:23" ht="12.5">
      <c r="A2852" s="5"/>
      <c r="B2852" s="5"/>
      <c r="C2852" s="5"/>
      <c r="D2852" s="5"/>
      <c r="E2852" s="5"/>
      <c r="F2852" s="5"/>
      <c r="G2852" s="5"/>
      <c r="H2852" s="5"/>
      <c r="I2852" s="5"/>
      <c r="J2852" s="12"/>
      <c r="K2852" s="11"/>
      <c r="M2852" s="5"/>
      <c r="N2852" s="12"/>
      <c r="O2852" s="5"/>
      <c r="P2852" s="5"/>
      <c r="Q2852" s="5"/>
      <c r="R2852" s="5"/>
      <c r="T2852" s="5"/>
      <c r="U2852" s="5"/>
      <c r="V2852" s="5"/>
      <c r="W2852" s="5"/>
    </row>
    <row r="2853" spans="1:23" ht="12.5">
      <c r="A2853" s="5"/>
      <c r="B2853" s="5"/>
      <c r="C2853" s="5"/>
      <c r="D2853" s="5"/>
      <c r="E2853" s="5"/>
      <c r="F2853" s="5"/>
      <c r="G2853" s="5"/>
      <c r="H2853" s="5"/>
      <c r="I2853" s="5"/>
      <c r="J2853" s="12"/>
      <c r="K2853" s="11"/>
      <c r="M2853" s="5"/>
      <c r="N2853" s="12"/>
      <c r="O2853" s="5"/>
      <c r="P2853" s="5"/>
      <c r="Q2853" s="5"/>
      <c r="R2853" s="5"/>
      <c r="T2853" s="5"/>
      <c r="U2853" s="5"/>
      <c r="V2853" s="5"/>
      <c r="W2853" s="5"/>
    </row>
    <row r="2854" spans="1:23" ht="12.5">
      <c r="A2854" s="5"/>
      <c r="B2854" s="5"/>
      <c r="C2854" s="5"/>
      <c r="D2854" s="5"/>
      <c r="E2854" s="5"/>
      <c r="F2854" s="5"/>
      <c r="G2854" s="5"/>
      <c r="H2854" s="5"/>
      <c r="I2854" s="5"/>
      <c r="J2854" s="12"/>
      <c r="K2854" s="11"/>
      <c r="M2854" s="5"/>
      <c r="N2854" s="12"/>
      <c r="O2854" s="5"/>
      <c r="P2854" s="5"/>
      <c r="Q2854" s="5"/>
      <c r="R2854" s="5"/>
      <c r="T2854" s="5"/>
      <c r="U2854" s="5"/>
      <c r="V2854" s="5"/>
      <c r="W2854" s="5"/>
    </row>
    <row r="2855" spans="1:23" ht="12.5">
      <c r="A2855" s="5"/>
      <c r="B2855" s="5"/>
      <c r="C2855" s="5"/>
      <c r="D2855" s="5"/>
      <c r="E2855" s="5"/>
      <c r="F2855" s="5"/>
      <c r="G2855" s="5"/>
      <c r="H2855" s="5"/>
      <c r="I2855" s="5"/>
      <c r="J2855" s="12"/>
      <c r="K2855" s="11"/>
      <c r="M2855" s="5"/>
      <c r="N2855" s="12"/>
      <c r="O2855" s="5"/>
      <c r="P2855" s="5"/>
      <c r="Q2855" s="5"/>
      <c r="R2855" s="5"/>
      <c r="T2855" s="5"/>
      <c r="U2855" s="5"/>
      <c r="V2855" s="5"/>
      <c r="W2855" s="5"/>
    </row>
    <row r="2856" spans="1:23" ht="12.5">
      <c r="A2856" s="5"/>
      <c r="B2856" s="5"/>
      <c r="C2856" s="5"/>
      <c r="D2856" s="5"/>
      <c r="E2856" s="5"/>
      <c r="F2856" s="5"/>
      <c r="G2856" s="5"/>
      <c r="H2856" s="5"/>
      <c r="I2856" s="5"/>
      <c r="J2856" s="12"/>
      <c r="K2856" s="11"/>
      <c r="M2856" s="5"/>
      <c r="N2856" s="12"/>
      <c r="O2856" s="5"/>
      <c r="P2856" s="5"/>
      <c r="Q2856" s="5"/>
      <c r="R2856" s="5"/>
      <c r="T2856" s="5"/>
      <c r="U2856" s="5"/>
      <c r="V2856" s="5"/>
      <c r="W2856" s="5"/>
    </row>
    <row r="2857" spans="1:23" ht="12.5">
      <c r="A2857" s="5"/>
      <c r="B2857" s="5"/>
      <c r="C2857" s="5"/>
      <c r="D2857" s="5"/>
      <c r="E2857" s="5"/>
      <c r="F2857" s="5"/>
      <c r="G2857" s="5"/>
      <c r="H2857" s="5"/>
      <c r="I2857" s="5"/>
      <c r="J2857" s="12"/>
      <c r="K2857" s="11"/>
      <c r="M2857" s="5"/>
      <c r="N2857" s="12"/>
      <c r="O2857" s="5"/>
      <c r="P2857" s="5"/>
      <c r="Q2857" s="5"/>
      <c r="R2857" s="5"/>
      <c r="T2857" s="5"/>
      <c r="U2857" s="5"/>
      <c r="V2857" s="5"/>
      <c r="W2857" s="5"/>
    </row>
    <row r="2858" spans="1:23" ht="12.5">
      <c r="A2858" s="5"/>
      <c r="B2858" s="5"/>
      <c r="C2858" s="5"/>
      <c r="D2858" s="5"/>
      <c r="E2858" s="5"/>
      <c r="F2858" s="5"/>
      <c r="G2858" s="5"/>
      <c r="H2858" s="5"/>
      <c r="I2858" s="5"/>
      <c r="J2858" s="12"/>
      <c r="K2858" s="11"/>
      <c r="M2858" s="5"/>
      <c r="N2858" s="12"/>
      <c r="O2858" s="5"/>
      <c r="P2858" s="5"/>
      <c r="Q2858" s="5"/>
      <c r="R2858" s="5"/>
      <c r="T2858" s="5"/>
      <c r="U2858" s="5"/>
      <c r="V2858" s="5"/>
      <c r="W2858" s="5"/>
    </row>
    <row r="2859" spans="1:23" ht="12.5">
      <c r="A2859" s="5"/>
      <c r="B2859" s="5"/>
      <c r="C2859" s="5"/>
      <c r="D2859" s="5"/>
      <c r="E2859" s="5"/>
      <c r="F2859" s="5"/>
      <c r="G2859" s="5"/>
      <c r="H2859" s="5"/>
      <c r="I2859" s="5"/>
      <c r="J2859" s="12"/>
      <c r="K2859" s="11"/>
      <c r="M2859" s="5"/>
      <c r="N2859" s="12"/>
      <c r="O2859" s="5"/>
      <c r="P2859" s="5"/>
      <c r="Q2859" s="5"/>
      <c r="R2859" s="5"/>
      <c r="T2859" s="5"/>
      <c r="U2859" s="5"/>
      <c r="V2859" s="5"/>
      <c r="W2859" s="5"/>
    </row>
    <row r="2860" spans="1:23" ht="12.5">
      <c r="A2860" s="5"/>
      <c r="B2860" s="5"/>
      <c r="C2860" s="5"/>
      <c r="D2860" s="5"/>
      <c r="E2860" s="5"/>
      <c r="F2860" s="5"/>
      <c r="G2860" s="5"/>
      <c r="H2860" s="5"/>
      <c r="I2860" s="5"/>
      <c r="J2860" s="12"/>
      <c r="K2860" s="11"/>
      <c r="M2860" s="5"/>
      <c r="N2860" s="12"/>
      <c r="O2860" s="5"/>
      <c r="P2860" s="5"/>
      <c r="Q2860" s="5"/>
      <c r="R2860" s="5"/>
      <c r="T2860" s="5"/>
      <c r="U2860" s="5"/>
      <c r="V2860" s="5"/>
      <c r="W2860" s="5"/>
    </row>
    <row r="2861" spans="1:23" ht="12.5">
      <c r="A2861" s="5"/>
      <c r="B2861" s="5"/>
      <c r="C2861" s="5"/>
      <c r="D2861" s="5"/>
      <c r="E2861" s="5"/>
      <c r="F2861" s="5"/>
      <c r="G2861" s="5"/>
      <c r="H2861" s="5"/>
      <c r="I2861" s="5"/>
      <c r="J2861" s="12"/>
      <c r="K2861" s="11"/>
      <c r="M2861" s="5"/>
      <c r="N2861" s="12"/>
      <c r="O2861" s="5"/>
      <c r="P2861" s="5"/>
      <c r="Q2861" s="5"/>
      <c r="R2861" s="5"/>
      <c r="T2861" s="5"/>
      <c r="U2861" s="5"/>
      <c r="V2861" s="5"/>
      <c r="W2861" s="5"/>
    </row>
    <row r="2862" spans="1:23" ht="12.5">
      <c r="A2862" s="5"/>
      <c r="B2862" s="5"/>
      <c r="C2862" s="5"/>
      <c r="D2862" s="5"/>
      <c r="E2862" s="5"/>
      <c r="F2862" s="5"/>
      <c r="G2862" s="5"/>
      <c r="H2862" s="5"/>
      <c r="I2862" s="5"/>
      <c r="J2862" s="12"/>
      <c r="K2862" s="11"/>
      <c r="M2862" s="5"/>
      <c r="N2862" s="12"/>
      <c r="O2862" s="5"/>
      <c r="P2862" s="5"/>
      <c r="Q2862" s="5"/>
      <c r="R2862" s="5"/>
      <c r="T2862" s="5"/>
      <c r="U2862" s="5"/>
      <c r="V2862" s="5"/>
      <c r="W2862" s="5"/>
    </row>
    <row r="2863" spans="1:23" ht="12.5">
      <c r="A2863" s="5"/>
      <c r="B2863" s="5"/>
      <c r="C2863" s="5"/>
      <c r="D2863" s="5"/>
      <c r="E2863" s="5"/>
      <c r="F2863" s="5"/>
      <c r="G2863" s="5"/>
      <c r="H2863" s="5"/>
      <c r="I2863" s="5"/>
      <c r="J2863" s="12"/>
      <c r="K2863" s="11"/>
      <c r="M2863" s="5"/>
      <c r="N2863" s="12"/>
      <c r="O2863" s="5"/>
      <c r="P2863" s="5"/>
      <c r="Q2863" s="5"/>
      <c r="R2863" s="5"/>
      <c r="T2863" s="5"/>
      <c r="U2863" s="5"/>
      <c r="V2863" s="5"/>
      <c r="W2863" s="5"/>
    </row>
    <row r="2864" spans="1:23" ht="12.5">
      <c r="A2864" s="5"/>
      <c r="B2864" s="5"/>
      <c r="C2864" s="5"/>
      <c r="D2864" s="5"/>
      <c r="E2864" s="5"/>
      <c r="F2864" s="5"/>
      <c r="G2864" s="5"/>
      <c r="H2864" s="5"/>
      <c r="I2864" s="5"/>
      <c r="J2864" s="12"/>
      <c r="K2864" s="11"/>
      <c r="M2864" s="5"/>
      <c r="N2864" s="12"/>
      <c r="O2864" s="5"/>
      <c r="P2864" s="5"/>
      <c r="Q2864" s="5"/>
      <c r="R2864" s="5"/>
      <c r="T2864" s="5"/>
      <c r="U2864" s="5"/>
      <c r="V2864" s="5"/>
      <c r="W2864" s="5"/>
    </row>
    <row r="2865" spans="1:23" ht="12.5">
      <c r="A2865" s="5"/>
      <c r="B2865" s="5"/>
      <c r="C2865" s="5"/>
      <c r="D2865" s="5"/>
      <c r="E2865" s="5"/>
      <c r="F2865" s="5"/>
      <c r="G2865" s="5"/>
      <c r="H2865" s="5"/>
      <c r="I2865" s="5"/>
      <c r="J2865" s="12"/>
      <c r="K2865" s="11"/>
      <c r="M2865" s="5"/>
      <c r="N2865" s="12"/>
      <c r="O2865" s="5"/>
      <c r="P2865" s="5"/>
      <c r="Q2865" s="5"/>
      <c r="R2865" s="5"/>
      <c r="T2865" s="5"/>
      <c r="U2865" s="5"/>
      <c r="V2865" s="5"/>
      <c r="W2865" s="5"/>
    </row>
    <row r="2866" spans="1:23" ht="12.5">
      <c r="A2866" s="5"/>
      <c r="B2866" s="5"/>
      <c r="C2866" s="5"/>
      <c r="D2866" s="5"/>
      <c r="E2866" s="5"/>
      <c r="F2866" s="5"/>
      <c r="G2866" s="5"/>
      <c r="H2866" s="5"/>
      <c r="I2866" s="5"/>
      <c r="J2866" s="12"/>
      <c r="K2866" s="11"/>
      <c r="M2866" s="5"/>
      <c r="N2866" s="12"/>
      <c r="O2866" s="5"/>
      <c r="P2866" s="5"/>
      <c r="Q2866" s="5"/>
      <c r="R2866" s="5"/>
      <c r="T2866" s="5"/>
      <c r="U2866" s="5"/>
      <c r="V2866" s="5"/>
      <c r="W2866" s="5"/>
    </row>
    <row r="2867" spans="1:23" ht="12.5">
      <c r="A2867" s="5"/>
      <c r="B2867" s="5"/>
      <c r="C2867" s="5"/>
      <c r="D2867" s="5"/>
      <c r="E2867" s="5"/>
      <c r="F2867" s="5"/>
      <c r="G2867" s="5"/>
      <c r="H2867" s="5"/>
      <c r="I2867" s="5"/>
      <c r="J2867" s="12"/>
      <c r="K2867" s="11"/>
      <c r="M2867" s="5"/>
      <c r="N2867" s="12"/>
      <c r="O2867" s="5"/>
      <c r="P2867" s="5"/>
      <c r="Q2867" s="5"/>
      <c r="R2867" s="5"/>
      <c r="T2867" s="5"/>
      <c r="U2867" s="5"/>
      <c r="V2867" s="5"/>
      <c r="W2867" s="5"/>
    </row>
    <row r="2868" spans="1:23" ht="12.5">
      <c r="A2868" s="5"/>
      <c r="B2868" s="5"/>
      <c r="C2868" s="5"/>
      <c r="D2868" s="5"/>
      <c r="E2868" s="5"/>
      <c r="F2868" s="5"/>
      <c r="G2868" s="5"/>
      <c r="H2868" s="5"/>
      <c r="I2868" s="5"/>
      <c r="J2868" s="12"/>
      <c r="K2868" s="11"/>
      <c r="M2868" s="5"/>
      <c r="N2868" s="12"/>
      <c r="O2868" s="5"/>
      <c r="P2868" s="5"/>
      <c r="Q2868" s="5"/>
      <c r="R2868" s="5"/>
      <c r="T2868" s="5"/>
      <c r="U2868" s="5"/>
      <c r="V2868" s="5"/>
      <c r="W2868" s="5"/>
    </row>
    <row r="2869" spans="1:23" ht="12.5">
      <c r="A2869" s="5"/>
      <c r="B2869" s="5"/>
      <c r="C2869" s="5"/>
      <c r="D2869" s="5"/>
      <c r="E2869" s="5"/>
      <c r="F2869" s="5"/>
      <c r="G2869" s="5"/>
      <c r="H2869" s="5"/>
      <c r="I2869" s="5"/>
      <c r="J2869" s="12"/>
      <c r="K2869" s="11"/>
      <c r="M2869" s="5"/>
      <c r="N2869" s="12"/>
      <c r="O2869" s="5"/>
      <c r="P2869" s="5"/>
      <c r="Q2869" s="5"/>
      <c r="R2869" s="5"/>
      <c r="T2869" s="5"/>
      <c r="U2869" s="5"/>
      <c r="V2869" s="5"/>
      <c r="W2869" s="5"/>
    </row>
    <row r="2870" spans="1:23" ht="12.5">
      <c r="A2870" s="5"/>
      <c r="B2870" s="5"/>
      <c r="C2870" s="5"/>
      <c r="D2870" s="5"/>
      <c r="E2870" s="5"/>
      <c r="F2870" s="5"/>
      <c r="G2870" s="5"/>
      <c r="H2870" s="5"/>
      <c r="I2870" s="5"/>
      <c r="J2870" s="12"/>
      <c r="K2870" s="11"/>
      <c r="M2870" s="5"/>
      <c r="N2870" s="12"/>
      <c r="O2870" s="5"/>
      <c r="P2870" s="5"/>
      <c r="Q2870" s="5"/>
      <c r="R2870" s="5"/>
      <c r="T2870" s="5"/>
      <c r="U2870" s="5"/>
      <c r="V2870" s="5"/>
      <c r="W2870" s="5"/>
    </row>
    <row r="2871" spans="1:23" ht="12.5">
      <c r="A2871" s="5"/>
      <c r="B2871" s="5"/>
      <c r="C2871" s="5"/>
      <c r="D2871" s="5"/>
      <c r="E2871" s="5"/>
      <c r="F2871" s="5"/>
      <c r="G2871" s="5"/>
      <c r="H2871" s="5"/>
      <c r="I2871" s="5"/>
      <c r="J2871" s="12"/>
      <c r="K2871" s="11"/>
      <c r="M2871" s="5"/>
      <c r="N2871" s="12"/>
      <c r="O2871" s="5"/>
      <c r="P2871" s="5"/>
      <c r="Q2871" s="5"/>
      <c r="R2871" s="5"/>
      <c r="T2871" s="5"/>
      <c r="U2871" s="5"/>
      <c r="V2871" s="5"/>
      <c r="W2871" s="5"/>
    </row>
    <row r="2872" spans="1:23" ht="12.5">
      <c r="A2872" s="5"/>
      <c r="B2872" s="5"/>
      <c r="C2872" s="5"/>
      <c r="D2872" s="5"/>
      <c r="E2872" s="5"/>
      <c r="F2872" s="5"/>
      <c r="G2872" s="5"/>
      <c r="H2872" s="5"/>
      <c r="I2872" s="5"/>
      <c r="J2872" s="12"/>
      <c r="K2872" s="11"/>
      <c r="M2872" s="5"/>
      <c r="N2872" s="12"/>
      <c r="O2872" s="5"/>
      <c r="P2872" s="5"/>
      <c r="Q2872" s="5"/>
      <c r="R2872" s="5"/>
      <c r="T2872" s="5"/>
      <c r="U2872" s="5"/>
      <c r="V2872" s="5"/>
      <c r="W2872" s="5"/>
    </row>
    <row r="2873" spans="1:23" ht="12.5">
      <c r="A2873" s="5"/>
      <c r="B2873" s="5"/>
      <c r="C2873" s="5"/>
      <c r="D2873" s="5"/>
      <c r="E2873" s="5"/>
      <c r="F2873" s="5"/>
      <c r="G2873" s="5"/>
      <c r="H2873" s="5"/>
      <c r="I2873" s="5"/>
      <c r="J2873" s="12"/>
      <c r="K2873" s="11"/>
      <c r="M2873" s="5"/>
      <c r="N2873" s="12"/>
      <c r="O2873" s="5"/>
      <c r="P2873" s="5"/>
      <c r="Q2873" s="5"/>
      <c r="R2873" s="5"/>
      <c r="T2873" s="5"/>
      <c r="U2873" s="5"/>
      <c r="V2873" s="5"/>
      <c r="W2873" s="5"/>
    </row>
    <row r="2874" spans="1:23" ht="12.5">
      <c r="A2874" s="5"/>
      <c r="B2874" s="5"/>
      <c r="C2874" s="5"/>
      <c r="D2874" s="5"/>
      <c r="E2874" s="5"/>
      <c r="F2874" s="5"/>
      <c r="G2874" s="5"/>
      <c r="H2874" s="5"/>
      <c r="I2874" s="5"/>
      <c r="J2874" s="12"/>
      <c r="K2874" s="11"/>
      <c r="M2874" s="5"/>
      <c r="N2874" s="12"/>
      <c r="O2874" s="5"/>
      <c r="P2874" s="5"/>
      <c r="Q2874" s="5"/>
      <c r="R2874" s="5"/>
      <c r="T2874" s="5"/>
      <c r="U2874" s="5"/>
      <c r="V2874" s="5"/>
      <c r="W2874" s="5"/>
    </row>
    <row r="2875" spans="1:23" ht="12.5">
      <c r="A2875" s="5"/>
      <c r="B2875" s="5"/>
      <c r="C2875" s="5"/>
      <c r="D2875" s="5"/>
      <c r="E2875" s="5"/>
      <c r="F2875" s="5"/>
      <c r="G2875" s="5"/>
      <c r="H2875" s="5"/>
      <c r="I2875" s="5"/>
      <c r="J2875" s="12"/>
      <c r="K2875" s="11"/>
      <c r="M2875" s="5"/>
      <c r="N2875" s="12"/>
      <c r="O2875" s="5"/>
      <c r="P2875" s="5"/>
      <c r="Q2875" s="5"/>
      <c r="R2875" s="5"/>
      <c r="T2875" s="5"/>
      <c r="U2875" s="5"/>
      <c r="V2875" s="5"/>
      <c r="W2875" s="5"/>
    </row>
    <row r="2876" spans="1:23" ht="12.5">
      <c r="A2876" s="5"/>
      <c r="B2876" s="5"/>
      <c r="C2876" s="5"/>
      <c r="D2876" s="5"/>
      <c r="E2876" s="5"/>
      <c r="F2876" s="5"/>
      <c r="G2876" s="5"/>
      <c r="H2876" s="5"/>
      <c r="I2876" s="5"/>
      <c r="J2876" s="12"/>
      <c r="K2876" s="11"/>
      <c r="M2876" s="5"/>
      <c r="N2876" s="12"/>
      <c r="O2876" s="5"/>
      <c r="P2876" s="5"/>
      <c r="Q2876" s="5"/>
      <c r="R2876" s="5"/>
      <c r="T2876" s="5"/>
      <c r="U2876" s="5"/>
      <c r="V2876" s="5"/>
      <c r="W2876" s="5"/>
    </row>
    <row r="2877" spans="1:23" ht="12.5">
      <c r="A2877" s="5"/>
      <c r="B2877" s="5"/>
      <c r="C2877" s="5"/>
      <c r="D2877" s="5"/>
      <c r="E2877" s="5"/>
      <c r="F2877" s="5"/>
      <c r="G2877" s="5"/>
      <c r="H2877" s="5"/>
      <c r="I2877" s="5"/>
      <c r="J2877" s="12"/>
      <c r="K2877" s="11"/>
      <c r="M2877" s="5"/>
      <c r="N2877" s="12"/>
      <c r="O2877" s="5"/>
      <c r="P2877" s="5"/>
      <c r="Q2877" s="5"/>
      <c r="R2877" s="5"/>
      <c r="T2877" s="5"/>
      <c r="U2877" s="5"/>
      <c r="V2877" s="5"/>
      <c r="W2877" s="5"/>
    </row>
    <row r="2878" spans="1:23" ht="12.5">
      <c r="A2878" s="5"/>
      <c r="B2878" s="5"/>
      <c r="C2878" s="5"/>
      <c r="D2878" s="5"/>
      <c r="E2878" s="5"/>
      <c r="F2878" s="5"/>
      <c r="G2878" s="5"/>
      <c r="H2878" s="5"/>
      <c r="I2878" s="5"/>
      <c r="J2878" s="12"/>
      <c r="K2878" s="11"/>
      <c r="M2878" s="5"/>
      <c r="N2878" s="12"/>
      <c r="O2878" s="5"/>
      <c r="P2878" s="5"/>
      <c r="Q2878" s="5"/>
      <c r="R2878" s="5"/>
      <c r="T2878" s="5"/>
      <c r="U2878" s="5"/>
      <c r="V2878" s="5"/>
      <c r="W2878" s="5"/>
    </row>
    <row r="2879" spans="1:23" ht="12.5">
      <c r="A2879" s="5"/>
      <c r="B2879" s="5"/>
      <c r="C2879" s="5"/>
      <c r="D2879" s="5"/>
      <c r="E2879" s="5"/>
      <c r="F2879" s="5"/>
      <c r="G2879" s="5"/>
      <c r="H2879" s="5"/>
      <c r="I2879" s="5"/>
      <c r="J2879" s="12"/>
      <c r="K2879" s="11"/>
      <c r="M2879" s="5"/>
      <c r="N2879" s="12"/>
      <c r="O2879" s="5"/>
      <c r="P2879" s="5"/>
      <c r="Q2879" s="5"/>
      <c r="R2879" s="5"/>
      <c r="T2879" s="5"/>
      <c r="U2879" s="5"/>
      <c r="V2879" s="5"/>
      <c r="W2879" s="5"/>
    </row>
    <row r="2880" spans="1:23" ht="12.5">
      <c r="A2880" s="5"/>
      <c r="B2880" s="5"/>
      <c r="C2880" s="5"/>
      <c r="D2880" s="5"/>
      <c r="E2880" s="5"/>
      <c r="F2880" s="5"/>
      <c r="G2880" s="5"/>
      <c r="H2880" s="5"/>
      <c r="I2880" s="5"/>
      <c r="J2880" s="12"/>
      <c r="K2880" s="11"/>
      <c r="M2880" s="5"/>
      <c r="N2880" s="12"/>
      <c r="O2880" s="5"/>
      <c r="P2880" s="5"/>
      <c r="Q2880" s="5"/>
      <c r="R2880" s="5"/>
      <c r="T2880" s="5"/>
      <c r="U2880" s="5"/>
      <c r="V2880" s="5"/>
      <c r="W2880" s="5"/>
    </row>
    <row r="2881" spans="1:23" ht="12.5">
      <c r="A2881" s="5"/>
      <c r="B2881" s="5"/>
      <c r="C2881" s="5"/>
      <c r="D2881" s="5"/>
      <c r="E2881" s="5"/>
      <c r="F2881" s="5"/>
      <c r="G2881" s="5"/>
      <c r="H2881" s="5"/>
      <c r="I2881" s="5"/>
      <c r="J2881" s="12"/>
      <c r="K2881" s="11"/>
      <c r="M2881" s="5"/>
      <c r="N2881" s="12"/>
      <c r="O2881" s="5"/>
      <c r="P2881" s="5"/>
      <c r="Q2881" s="5"/>
      <c r="R2881" s="5"/>
      <c r="T2881" s="5"/>
      <c r="U2881" s="5"/>
      <c r="V2881" s="5"/>
      <c r="W2881" s="5"/>
    </row>
    <row r="2882" spans="1:23" ht="12.5">
      <c r="A2882" s="5"/>
      <c r="B2882" s="5"/>
      <c r="C2882" s="5"/>
      <c r="D2882" s="5"/>
      <c r="E2882" s="5"/>
      <c r="F2882" s="5"/>
      <c r="G2882" s="5"/>
      <c r="H2882" s="5"/>
      <c r="I2882" s="5"/>
      <c r="J2882" s="12"/>
      <c r="K2882" s="11"/>
      <c r="M2882" s="5"/>
      <c r="N2882" s="12"/>
      <c r="O2882" s="5"/>
      <c r="P2882" s="5"/>
      <c r="Q2882" s="5"/>
      <c r="R2882" s="5"/>
      <c r="T2882" s="5"/>
      <c r="U2882" s="5"/>
      <c r="V2882" s="5"/>
      <c r="W2882" s="5"/>
    </row>
    <row r="2883" spans="1:23" ht="12.5">
      <c r="A2883" s="5"/>
      <c r="B2883" s="5"/>
      <c r="C2883" s="5"/>
      <c r="D2883" s="5"/>
      <c r="E2883" s="5"/>
      <c r="F2883" s="5"/>
      <c r="G2883" s="5"/>
      <c r="H2883" s="5"/>
      <c r="I2883" s="5"/>
      <c r="J2883" s="12"/>
      <c r="K2883" s="11"/>
      <c r="M2883" s="5"/>
      <c r="N2883" s="12"/>
      <c r="O2883" s="5"/>
      <c r="P2883" s="5"/>
      <c r="Q2883" s="5"/>
      <c r="R2883" s="5"/>
      <c r="T2883" s="5"/>
      <c r="U2883" s="5"/>
      <c r="V2883" s="5"/>
      <c r="W2883" s="5"/>
    </row>
    <row r="2884" spans="1:23" ht="12.5">
      <c r="A2884" s="5"/>
      <c r="B2884" s="5"/>
      <c r="C2884" s="5"/>
      <c r="D2884" s="5"/>
      <c r="E2884" s="5"/>
      <c r="F2884" s="5"/>
      <c r="G2884" s="5"/>
      <c r="H2884" s="5"/>
      <c r="I2884" s="5"/>
      <c r="J2884" s="12"/>
      <c r="K2884" s="11"/>
      <c r="M2884" s="5"/>
      <c r="N2884" s="12"/>
      <c r="O2884" s="5"/>
      <c r="P2884" s="5"/>
      <c r="Q2884" s="5"/>
      <c r="R2884" s="5"/>
      <c r="T2884" s="5"/>
      <c r="U2884" s="5"/>
      <c r="V2884" s="5"/>
      <c r="W2884" s="5"/>
    </row>
    <row r="2885" spans="1:23" ht="12.5">
      <c r="A2885" s="5"/>
      <c r="B2885" s="5"/>
      <c r="C2885" s="5"/>
      <c r="D2885" s="5"/>
      <c r="E2885" s="5"/>
      <c r="F2885" s="5"/>
      <c r="G2885" s="5"/>
      <c r="H2885" s="5"/>
      <c r="I2885" s="5"/>
      <c r="J2885" s="12"/>
      <c r="K2885" s="11"/>
      <c r="M2885" s="5"/>
      <c r="N2885" s="12"/>
      <c r="O2885" s="5"/>
      <c r="P2885" s="5"/>
      <c r="Q2885" s="5"/>
      <c r="R2885" s="5"/>
      <c r="T2885" s="5"/>
      <c r="U2885" s="5"/>
      <c r="V2885" s="5"/>
      <c r="W2885" s="5"/>
    </row>
    <row r="2886" spans="1:23" ht="12.5">
      <c r="A2886" s="5"/>
      <c r="B2886" s="5"/>
      <c r="C2886" s="5"/>
      <c r="D2886" s="5"/>
      <c r="E2886" s="5"/>
      <c r="F2886" s="5"/>
      <c r="G2886" s="5"/>
      <c r="H2886" s="5"/>
      <c r="I2886" s="5"/>
      <c r="J2886" s="12"/>
      <c r="K2886" s="11"/>
      <c r="M2886" s="5"/>
      <c r="N2886" s="12"/>
      <c r="O2886" s="5"/>
      <c r="P2886" s="5"/>
      <c r="Q2886" s="5"/>
      <c r="R2886" s="5"/>
      <c r="T2886" s="5"/>
      <c r="U2886" s="5"/>
      <c r="V2886" s="5"/>
      <c r="W2886" s="5"/>
    </row>
    <row r="2887" spans="1:23" ht="12.5">
      <c r="A2887" s="5"/>
      <c r="B2887" s="5"/>
      <c r="C2887" s="5"/>
      <c r="D2887" s="5"/>
      <c r="E2887" s="5"/>
      <c r="F2887" s="5"/>
      <c r="G2887" s="5"/>
      <c r="H2887" s="5"/>
      <c r="I2887" s="5"/>
      <c r="J2887" s="12"/>
      <c r="K2887" s="11"/>
      <c r="M2887" s="5"/>
      <c r="N2887" s="12"/>
      <c r="O2887" s="5"/>
      <c r="P2887" s="5"/>
      <c r="Q2887" s="5"/>
      <c r="R2887" s="5"/>
      <c r="T2887" s="5"/>
      <c r="U2887" s="5"/>
      <c r="V2887" s="5"/>
      <c r="W2887" s="5"/>
    </row>
    <row r="2888" spans="1:23" ht="12.5">
      <c r="A2888" s="5"/>
      <c r="B2888" s="5"/>
      <c r="C2888" s="5"/>
      <c r="D2888" s="5"/>
      <c r="E2888" s="5"/>
      <c r="F2888" s="5"/>
      <c r="G2888" s="5"/>
      <c r="H2888" s="5"/>
      <c r="I2888" s="5"/>
      <c r="J2888" s="12"/>
      <c r="K2888" s="11"/>
      <c r="M2888" s="5"/>
      <c r="N2888" s="12"/>
      <c r="O2888" s="5"/>
      <c r="P2888" s="5"/>
      <c r="Q2888" s="5"/>
      <c r="R2888" s="5"/>
      <c r="T2888" s="5"/>
      <c r="U2888" s="5"/>
      <c r="V2888" s="5"/>
      <c r="W2888" s="5"/>
    </row>
    <row r="2889" spans="1:23" ht="12.5">
      <c r="A2889" s="5"/>
      <c r="B2889" s="5"/>
      <c r="C2889" s="5"/>
      <c r="D2889" s="5"/>
      <c r="E2889" s="5"/>
      <c r="F2889" s="5"/>
      <c r="G2889" s="5"/>
      <c r="H2889" s="5"/>
      <c r="I2889" s="5"/>
      <c r="J2889" s="12"/>
      <c r="K2889" s="11"/>
      <c r="M2889" s="5"/>
      <c r="N2889" s="12"/>
      <c r="O2889" s="5"/>
      <c r="P2889" s="5"/>
      <c r="Q2889" s="5"/>
      <c r="R2889" s="5"/>
      <c r="T2889" s="5"/>
      <c r="U2889" s="5"/>
      <c r="V2889" s="5"/>
      <c r="W2889" s="5"/>
    </row>
    <row r="2890" spans="1:23" ht="12.5">
      <c r="A2890" s="5"/>
      <c r="B2890" s="5"/>
      <c r="C2890" s="5"/>
      <c r="D2890" s="5"/>
      <c r="E2890" s="5"/>
      <c r="F2890" s="5"/>
      <c r="G2890" s="5"/>
      <c r="H2890" s="5"/>
      <c r="I2890" s="5"/>
      <c r="J2890" s="12"/>
      <c r="K2890" s="11"/>
      <c r="M2890" s="5"/>
      <c r="N2890" s="12"/>
      <c r="O2890" s="5"/>
      <c r="P2890" s="5"/>
      <c r="Q2890" s="5"/>
      <c r="R2890" s="5"/>
      <c r="T2890" s="5"/>
      <c r="U2890" s="5"/>
      <c r="V2890" s="5"/>
      <c r="W2890" s="5"/>
    </row>
    <row r="2891" spans="1:23" ht="12.5">
      <c r="A2891" s="5"/>
      <c r="B2891" s="5"/>
      <c r="C2891" s="5"/>
      <c r="D2891" s="5"/>
      <c r="E2891" s="5"/>
      <c r="F2891" s="5"/>
      <c r="G2891" s="5"/>
      <c r="H2891" s="5"/>
      <c r="I2891" s="5"/>
      <c r="J2891" s="12"/>
      <c r="K2891" s="11"/>
      <c r="M2891" s="5"/>
      <c r="N2891" s="12"/>
      <c r="O2891" s="5"/>
      <c r="P2891" s="5"/>
      <c r="Q2891" s="5"/>
      <c r="R2891" s="5"/>
      <c r="T2891" s="5"/>
      <c r="U2891" s="5"/>
      <c r="V2891" s="5"/>
      <c r="W2891" s="5"/>
    </row>
    <row r="2892" spans="1:23" ht="12.5">
      <c r="A2892" s="5"/>
      <c r="B2892" s="5"/>
      <c r="C2892" s="5"/>
      <c r="D2892" s="5"/>
      <c r="E2892" s="5"/>
      <c r="F2892" s="5"/>
      <c r="G2892" s="5"/>
      <c r="H2892" s="5"/>
      <c r="I2892" s="5"/>
      <c r="J2892" s="12"/>
      <c r="K2892" s="11"/>
      <c r="M2892" s="5"/>
      <c r="N2892" s="12"/>
      <c r="O2892" s="5"/>
      <c r="P2892" s="5"/>
      <c r="Q2892" s="5"/>
      <c r="R2892" s="5"/>
      <c r="T2892" s="5"/>
      <c r="U2892" s="5"/>
      <c r="V2892" s="5"/>
      <c r="W2892" s="5"/>
    </row>
    <row r="2893" spans="1:23" ht="12.5">
      <c r="A2893" s="5"/>
      <c r="B2893" s="5"/>
      <c r="C2893" s="5"/>
      <c r="D2893" s="5"/>
      <c r="E2893" s="5"/>
      <c r="F2893" s="5"/>
      <c r="G2893" s="5"/>
      <c r="H2893" s="5"/>
      <c r="I2893" s="5"/>
      <c r="J2893" s="12"/>
      <c r="K2893" s="11"/>
      <c r="M2893" s="5"/>
      <c r="N2893" s="12"/>
      <c r="O2893" s="5"/>
      <c r="P2893" s="5"/>
      <c r="Q2893" s="5"/>
      <c r="R2893" s="5"/>
      <c r="T2893" s="5"/>
      <c r="U2893" s="5"/>
      <c r="V2893" s="5"/>
      <c r="W2893" s="5"/>
    </row>
    <row r="2894" spans="1:23" ht="12.5">
      <c r="A2894" s="5"/>
      <c r="B2894" s="5"/>
      <c r="C2894" s="5"/>
      <c r="D2894" s="5"/>
      <c r="E2894" s="5"/>
      <c r="F2894" s="5"/>
      <c r="G2894" s="5"/>
      <c r="H2894" s="5"/>
      <c r="I2894" s="5"/>
      <c r="J2894" s="12"/>
      <c r="K2894" s="11"/>
      <c r="M2894" s="5"/>
      <c r="N2894" s="12"/>
      <c r="O2894" s="5"/>
      <c r="P2894" s="5"/>
      <c r="Q2894" s="5"/>
      <c r="R2894" s="5"/>
      <c r="T2894" s="5"/>
      <c r="U2894" s="5"/>
      <c r="V2894" s="5"/>
      <c r="W2894" s="5"/>
    </row>
    <row r="2895" spans="1:23" ht="12.5">
      <c r="A2895" s="5"/>
      <c r="B2895" s="5"/>
      <c r="C2895" s="5"/>
      <c r="D2895" s="5"/>
      <c r="E2895" s="5"/>
      <c r="F2895" s="5"/>
      <c r="G2895" s="5"/>
      <c r="H2895" s="5"/>
      <c r="I2895" s="5"/>
      <c r="J2895" s="12"/>
      <c r="K2895" s="11"/>
      <c r="M2895" s="5"/>
      <c r="N2895" s="12"/>
      <c r="O2895" s="5"/>
      <c r="P2895" s="5"/>
      <c r="Q2895" s="5"/>
      <c r="R2895" s="5"/>
      <c r="T2895" s="5"/>
      <c r="U2895" s="5"/>
      <c r="V2895" s="5"/>
      <c r="W2895" s="5"/>
    </row>
    <row r="2896" spans="1:23" ht="12.5">
      <c r="A2896" s="5"/>
      <c r="B2896" s="5"/>
      <c r="C2896" s="5"/>
      <c r="D2896" s="5"/>
      <c r="E2896" s="5"/>
      <c r="F2896" s="5"/>
      <c r="G2896" s="5"/>
      <c r="H2896" s="5"/>
      <c r="I2896" s="5"/>
      <c r="J2896" s="12"/>
      <c r="K2896" s="11"/>
      <c r="M2896" s="5"/>
      <c r="N2896" s="12"/>
      <c r="O2896" s="5"/>
      <c r="P2896" s="5"/>
      <c r="Q2896" s="5"/>
      <c r="R2896" s="5"/>
      <c r="T2896" s="5"/>
      <c r="U2896" s="5"/>
      <c r="V2896" s="5"/>
      <c r="W2896" s="5"/>
    </row>
    <row r="2897" spans="1:23" ht="12.5">
      <c r="A2897" s="5"/>
      <c r="B2897" s="5"/>
      <c r="C2897" s="5"/>
      <c r="D2897" s="5"/>
      <c r="E2897" s="5"/>
      <c r="F2897" s="5"/>
      <c r="G2897" s="5"/>
      <c r="H2897" s="5"/>
      <c r="I2897" s="5"/>
      <c r="J2897" s="12"/>
      <c r="K2897" s="11"/>
      <c r="M2897" s="5"/>
      <c r="N2897" s="12"/>
      <c r="O2897" s="5"/>
      <c r="P2897" s="5"/>
      <c r="Q2897" s="5"/>
      <c r="R2897" s="5"/>
      <c r="T2897" s="5"/>
      <c r="U2897" s="5"/>
      <c r="V2897" s="5"/>
      <c r="W2897" s="5"/>
    </row>
    <row r="2898" spans="1:23" ht="12.5">
      <c r="A2898" s="5"/>
      <c r="B2898" s="5"/>
      <c r="C2898" s="5"/>
      <c r="D2898" s="5"/>
      <c r="E2898" s="5"/>
      <c r="F2898" s="5"/>
      <c r="G2898" s="5"/>
      <c r="H2898" s="5"/>
      <c r="I2898" s="5"/>
      <c r="J2898" s="12"/>
      <c r="K2898" s="11"/>
      <c r="M2898" s="5"/>
      <c r="N2898" s="12"/>
      <c r="O2898" s="5"/>
      <c r="P2898" s="5"/>
      <c r="Q2898" s="5"/>
      <c r="R2898" s="5"/>
      <c r="T2898" s="5"/>
      <c r="U2898" s="5"/>
      <c r="V2898" s="5"/>
      <c r="W2898" s="5"/>
    </row>
    <row r="2899" spans="1:23" ht="12.5">
      <c r="A2899" s="5"/>
      <c r="B2899" s="5"/>
      <c r="C2899" s="5"/>
      <c r="D2899" s="5"/>
      <c r="E2899" s="5"/>
      <c r="F2899" s="5"/>
      <c r="G2899" s="5"/>
      <c r="H2899" s="5"/>
      <c r="I2899" s="5"/>
      <c r="J2899" s="12"/>
      <c r="K2899" s="11"/>
      <c r="M2899" s="5"/>
      <c r="N2899" s="12"/>
      <c r="O2899" s="5"/>
      <c r="P2899" s="5"/>
      <c r="Q2899" s="5"/>
      <c r="R2899" s="5"/>
      <c r="T2899" s="5"/>
      <c r="U2899" s="5"/>
      <c r="V2899" s="5"/>
      <c r="W2899" s="5"/>
    </row>
    <row r="2900" spans="1:23" ht="12.5">
      <c r="A2900" s="5"/>
      <c r="B2900" s="5"/>
      <c r="C2900" s="5"/>
      <c r="D2900" s="5"/>
      <c r="E2900" s="5"/>
      <c r="F2900" s="5"/>
      <c r="G2900" s="5"/>
      <c r="H2900" s="5"/>
      <c r="I2900" s="5"/>
      <c r="J2900" s="12"/>
      <c r="K2900" s="11"/>
      <c r="M2900" s="5"/>
      <c r="N2900" s="12"/>
      <c r="O2900" s="5"/>
      <c r="P2900" s="5"/>
      <c r="Q2900" s="5"/>
      <c r="R2900" s="5"/>
      <c r="T2900" s="5"/>
      <c r="U2900" s="5"/>
      <c r="V2900" s="5"/>
      <c r="W2900" s="5"/>
    </row>
    <row r="2901" spans="1:23" ht="12.5">
      <c r="A2901" s="5"/>
      <c r="B2901" s="5"/>
      <c r="C2901" s="5"/>
      <c r="D2901" s="5"/>
      <c r="E2901" s="5"/>
      <c r="F2901" s="5"/>
      <c r="G2901" s="5"/>
      <c r="H2901" s="5"/>
      <c r="I2901" s="5"/>
      <c r="J2901" s="12"/>
      <c r="K2901" s="11"/>
      <c r="M2901" s="5"/>
      <c r="N2901" s="12"/>
      <c r="O2901" s="5"/>
      <c r="P2901" s="5"/>
      <c r="Q2901" s="5"/>
      <c r="R2901" s="5"/>
      <c r="T2901" s="5"/>
      <c r="U2901" s="5"/>
      <c r="V2901" s="5"/>
      <c r="W2901" s="5"/>
    </row>
    <row r="2902" spans="1:23" ht="12.5">
      <c r="A2902" s="5"/>
      <c r="B2902" s="5"/>
      <c r="C2902" s="5"/>
      <c r="D2902" s="5"/>
      <c r="E2902" s="5"/>
      <c r="F2902" s="5"/>
      <c r="G2902" s="5"/>
      <c r="H2902" s="5"/>
      <c r="I2902" s="5"/>
      <c r="J2902" s="12"/>
      <c r="K2902" s="11"/>
      <c r="M2902" s="5"/>
      <c r="N2902" s="12"/>
      <c r="O2902" s="5"/>
      <c r="P2902" s="5"/>
      <c r="Q2902" s="5"/>
      <c r="R2902" s="5"/>
      <c r="T2902" s="5"/>
      <c r="U2902" s="5"/>
      <c r="V2902" s="5"/>
      <c r="W2902" s="5"/>
    </row>
    <row r="2903" spans="1:23" ht="12.5">
      <c r="A2903" s="5"/>
      <c r="B2903" s="5"/>
      <c r="C2903" s="5"/>
      <c r="D2903" s="5"/>
      <c r="E2903" s="5"/>
      <c r="F2903" s="5"/>
      <c r="G2903" s="5"/>
      <c r="H2903" s="5"/>
      <c r="I2903" s="5"/>
      <c r="J2903" s="12"/>
      <c r="K2903" s="11"/>
      <c r="M2903" s="5"/>
      <c r="N2903" s="12"/>
      <c r="O2903" s="5"/>
      <c r="P2903" s="5"/>
      <c r="Q2903" s="5"/>
      <c r="R2903" s="5"/>
      <c r="T2903" s="5"/>
      <c r="U2903" s="5"/>
      <c r="V2903" s="5"/>
      <c r="W2903" s="5"/>
    </row>
    <row r="2904" spans="1:23" ht="12.5">
      <c r="A2904" s="5"/>
      <c r="B2904" s="5"/>
      <c r="C2904" s="5"/>
      <c r="D2904" s="5"/>
      <c r="E2904" s="5"/>
      <c r="F2904" s="5"/>
      <c r="G2904" s="5"/>
      <c r="H2904" s="5"/>
      <c r="I2904" s="5"/>
      <c r="J2904" s="12"/>
      <c r="K2904" s="11"/>
      <c r="M2904" s="5"/>
      <c r="N2904" s="12"/>
      <c r="O2904" s="5"/>
      <c r="P2904" s="5"/>
      <c r="Q2904" s="5"/>
      <c r="R2904" s="5"/>
      <c r="T2904" s="5"/>
      <c r="U2904" s="5"/>
      <c r="V2904" s="5"/>
      <c r="W2904" s="5"/>
    </row>
    <row r="2905" spans="1:23" ht="12.5">
      <c r="A2905" s="5"/>
      <c r="B2905" s="5"/>
      <c r="C2905" s="5"/>
      <c r="D2905" s="5"/>
      <c r="E2905" s="5"/>
      <c r="F2905" s="5"/>
      <c r="G2905" s="5"/>
      <c r="H2905" s="5"/>
      <c r="I2905" s="5"/>
      <c r="J2905" s="12"/>
      <c r="K2905" s="11"/>
      <c r="M2905" s="5"/>
      <c r="N2905" s="12"/>
      <c r="O2905" s="5"/>
      <c r="P2905" s="5"/>
      <c r="Q2905" s="5"/>
      <c r="R2905" s="5"/>
      <c r="T2905" s="5"/>
      <c r="U2905" s="5"/>
      <c r="V2905" s="5"/>
      <c r="W2905" s="5"/>
    </row>
    <row r="2906" spans="1:23" ht="12.5">
      <c r="A2906" s="5"/>
      <c r="B2906" s="5"/>
      <c r="C2906" s="5"/>
      <c r="D2906" s="5"/>
      <c r="E2906" s="5"/>
      <c r="F2906" s="5"/>
      <c r="G2906" s="5"/>
      <c r="H2906" s="5"/>
      <c r="I2906" s="5"/>
      <c r="J2906" s="12"/>
      <c r="K2906" s="11"/>
      <c r="M2906" s="5"/>
      <c r="N2906" s="12"/>
      <c r="O2906" s="5"/>
      <c r="P2906" s="5"/>
      <c r="Q2906" s="5"/>
      <c r="R2906" s="5"/>
      <c r="T2906" s="5"/>
      <c r="U2906" s="5"/>
      <c r="V2906" s="5"/>
      <c r="W2906" s="5"/>
    </row>
    <row r="2907" spans="1:23" ht="12.5">
      <c r="A2907" s="5"/>
      <c r="B2907" s="5"/>
      <c r="C2907" s="5"/>
      <c r="D2907" s="5"/>
      <c r="E2907" s="5"/>
      <c r="F2907" s="5"/>
      <c r="G2907" s="5"/>
      <c r="H2907" s="5"/>
      <c r="I2907" s="5"/>
      <c r="J2907" s="12"/>
      <c r="K2907" s="11"/>
      <c r="M2907" s="5"/>
      <c r="N2907" s="12"/>
      <c r="O2907" s="5"/>
      <c r="P2907" s="5"/>
      <c r="Q2907" s="5"/>
      <c r="R2907" s="5"/>
      <c r="T2907" s="5"/>
      <c r="U2907" s="5"/>
      <c r="V2907" s="5"/>
      <c r="W2907" s="5"/>
    </row>
    <row r="2908" spans="1:23" ht="12.5">
      <c r="A2908" s="5"/>
      <c r="B2908" s="5"/>
      <c r="C2908" s="5"/>
      <c r="D2908" s="5"/>
      <c r="E2908" s="5"/>
      <c r="F2908" s="5"/>
      <c r="G2908" s="5"/>
      <c r="H2908" s="5"/>
      <c r="I2908" s="5"/>
      <c r="J2908" s="12"/>
      <c r="K2908" s="11"/>
      <c r="M2908" s="5"/>
      <c r="N2908" s="12"/>
      <c r="O2908" s="5"/>
      <c r="P2908" s="5"/>
      <c r="Q2908" s="5"/>
      <c r="R2908" s="5"/>
      <c r="T2908" s="5"/>
      <c r="U2908" s="5"/>
      <c r="V2908" s="5"/>
      <c r="W2908" s="5"/>
    </row>
    <row r="2909" spans="1:23" ht="12.5">
      <c r="A2909" s="5"/>
      <c r="B2909" s="5"/>
      <c r="C2909" s="5"/>
      <c r="D2909" s="5"/>
      <c r="E2909" s="5"/>
      <c r="F2909" s="5"/>
      <c r="G2909" s="5"/>
      <c r="H2909" s="5"/>
      <c r="I2909" s="5"/>
      <c r="J2909" s="12"/>
      <c r="K2909" s="11"/>
      <c r="M2909" s="5"/>
      <c r="N2909" s="12"/>
      <c r="O2909" s="5"/>
      <c r="P2909" s="5"/>
      <c r="Q2909" s="5"/>
      <c r="R2909" s="5"/>
      <c r="T2909" s="5"/>
      <c r="U2909" s="5"/>
      <c r="V2909" s="5"/>
      <c r="W2909" s="5"/>
    </row>
    <row r="2910" spans="1:23" ht="12.5">
      <c r="A2910" s="5"/>
      <c r="B2910" s="5"/>
      <c r="C2910" s="5"/>
      <c r="D2910" s="5"/>
      <c r="E2910" s="5"/>
      <c r="F2910" s="5"/>
      <c r="G2910" s="5"/>
      <c r="H2910" s="5"/>
      <c r="I2910" s="5"/>
      <c r="J2910" s="12"/>
      <c r="K2910" s="11"/>
      <c r="M2910" s="5"/>
      <c r="N2910" s="12"/>
      <c r="O2910" s="5"/>
      <c r="P2910" s="5"/>
      <c r="Q2910" s="5"/>
      <c r="R2910" s="5"/>
      <c r="T2910" s="5"/>
      <c r="U2910" s="5"/>
      <c r="V2910" s="5"/>
      <c r="W2910" s="5"/>
    </row>
    <row r="2911" spans="1:23" ht="12.5">
      <c r="A2911" s="5"/>
      <c r="B2911" s="5"/>
      <c r="C2911" s="5"/>
      <c r="D2911" s="5"/>
      <c r="E2911" s="5"/>
      <c r="F2911" s="5"/>
      <c r="G2911" s="5"/>
      <c r="H2911" s="5"/>
      <c r="I2911" s="5"/>
      <c r="J2911" s="12"/>
      <c r="K2911" s="11"/>
      <c r="M2911" s="5"/>
      <c r="N2911" s="12"/>
      <c r="O2911" s="5"/>
      <c r="P2911" s="5"/>
      <c r="Q2911" s="5"/>
      <c r="R2911" s="5"/>
      <c r="T2911" s="5"/>
      <c r="U2911" s="5"/>
      <c r="V2911" s="5"/>
      <c r="W2911" s="5"/>
    </row>
    <row r="2912" spans="1:23" ht="12.5">
      <c r="A2912" s="5"/>
      <c r="B2912" s="5"/>
      <c r="C2912" s="5"/>
      <c r="D2912" s="5"/>
      <c r="E2912" s="5"/>
      <c r="F2912" s="5"/>
      <c r="G2912" s="5"/>
      <c r="H2912" s="5"/>
      <c r="I2912" s="5"/>
      <c r="J2912" s="12"/>
      <c r="K2912" s="11"/>
      <c r="M2912" s="5"/>
      <c r="N2912" s="12"/>
      <c r="O2912" s="5"/>
      <c r="P2912" s="5"/>
      <c r="Q2912" s="5"/>
      <c r="R2912" s="5"/>
      <c r="T2912" s="5"/>
      <c r="U2912" s="5"/>
      <c r="V2912" s="5"/>
      <c r="W2912" s="5"/>
    </row>
    <row r="2913" spans="1:23" ht="12.5">
      <c r="A2913" s="5"/>
      <c r="B2913" s="5"/>
      <c r="C2913" s="5"/>
      <c r="D2913" s="5"/>
      <c r="E2913" s="5"/>
      <c r="F2913" s="5"/>
      <c r="G2913" s="5"/>
      <c r="H2913" s="5"/>
      <c r="I2913" s="5"/>
      <c r="J2913" s="12"/>
      <c r="K2913" s="11"/>
      <c r="M2913" s="5"/>
      <c r="N2913" s="12"/>
      <c r="O2913" s="5"/>
      <c r="P2913" s="5"/>
      <c r="Q2913" s="5"/>
      <c r="R2913" s="5"/>
      <c r="T2913" s="5"/>
      <c r="U2913" s="5"/>
      <c r="V2913" s="5"/>
      <c r="W2913" s="5"/>
    </row>
    <row r="2914" spans="1:23" ht="12.5">
      <c r="A2914" s="5"/>
      <c r="B2914" s="5"/>
      <c r="C2914" s="5"/>
      <c r="D2914" s="5"/>
      <c r="E2914" s="5"/>
      <c r="F2914" s="5"/>
      <c r="G2914" s="5"/>
      <c r="H2914" s="5"/>
      <c r="I2914" s="5"/>
      <c r="J2914" s="12"/>
      <c r="K2914" s="11"/>
      <c r="M2914" s="5"/>
      <c r="N2914" s="12"/>
      <c r="O2914" s="5"/>
      <c r="P2914" s="5"/>
      <c r="Q2914" s="5"/>
      <c r="R2914" s="5"/>
      <c r="T2914" s="5"/>
      <c r="U2914" s="5"/>
      <c r="V2914" s="5"/>
      <c r="W2914" s="5"/>
    </row>
    <row r="2915" spans="1:23" ht="12.5">
      <c r="A2915" s="5"/>
      <c r="B2915" s="5"/>
      <c r="C2915" s="5"/>
      <c r="D2915" s="5"/>
      <c r="E2915" s="5"/>
      <c r="F2915" s="5"/>
      <c r="G2915" s="5"/>
      <c r="H2915" s="5"/>
      <c r="I2915" s="5"/>
      <c r="J2915" s="12"/>
      <c r="K2915" s="11"/>
      <c r="M2915" s="5"/>
      <c r="N2915" s="12"/>
      <c r="O2915" s="5"/>
      <c r="P2915" s="5"/>
      <c r="Q2915" s="5"/>
      <c r="R2915" s="5"/>
      <c r="T2915" s="5"/>
      <c r="U2915" s="5"/>
      <c r="V2915" s="5"/>
      <c r="W2915" s="5"/>
    </row>
    <row r="2916" spans="1:23" ht="12.5">
      <c r="A2916" s="5"/>
      <c r="B2916" s="5"/>
      <c r="C2916" s="5"/>
      <c r="D2916" s="5"/>
      <c r="E2916" s="5"/>
      <c r="F2916" s="5"/>
      <c r="G2916" s="5"/>
      <c r="H2916" s="5"/>
      <c r="I2916" s="5"/>
      <c r="J2916" s="12"/>
      <c r="K2916" s="11"/>
      <c r="M2916" s="5"/>
      <c r="N2916" s="12"/>
      <c r="O2916" s="5"/>
      <c r="P2916" s="5"/>
      <c r="Q2916" s="5"/>
      <c r="R2916" s="5"/>
      <c r="T2916" s="5"/>
      <c r="U2916" s="5"/>
      <c r="V2916" s="5"/>
      <c r="W2916" s="5"/>
    </row>
    <row r="2917" spans="1:23" ht="12.5">
      <c r="A2917" s="5"/>
      <c r="B2917" s="5"/>
      <c r="C2917" s="5"/>
      <c r="D2917" s="5"/>
      <c r="E2917" s="5"/>
      <c r="F2917" s="5"/>
      <c r="G2917" s="5"/>
      <c r="H2917" s="5"/>
      <c r="I2917" s="5"/>
      <c r="J2917" s="12"/>
      <c r="K2917" s="11"/>
      <c r="M2917" s="5"/>
      <c r="N2917" s="12"/>
      <c r="O2917" s="5"/>
      <c r="P2917" s="5"/>
      <c r="Q2917" s="5"/>
      <c r="R2917" s="5"/>
      <c r="T2917" s="5"/>
      <c r="U2917" s="5"/>
      <c r="V2917" s="5"/>
      <c r="W2917" s="5"/>
    </row>
    <row r="2918" spans="1:23" ht="12.5">
      <c r="A2918" s="5"/>
      <c r="B2918" s="5"/>
      <c r="C2918" s="5"/>
      <c r="D2918" s="5"/>
      <c r="E2918" s="5"/>
      <c r="F2918" s="5"/>
      <c r="G2918" s="5"/>
      <c r="H2918" s="5"/>
      <c r="I2918" s="5"/>
      <c r="J2918" s="12"/>
      <c r="K2918" s="11"/>
      <c r="M2918" s="5"/>
      <c r="N2918" s="12"/>
      <c r="O2918" s="5"/>
      <c r="P2918" s="5"/>
      <c r="Q2918" s="5"/>
      <c r="R2918" s="5"/>
      <c r="T2918" s="5"/>
      <c r="U2918" s="5"/>
      <c r="V2918" s="5"/>
      <c r="W2918" s="5"/>
    </row>
    <row r="2919" spans="1:23" ht="12.5">
      <c r="A2919" s="5"/>
      <c r="B2919" s="5"/>
      <c r="C2919" s="5"/>
      <c r="D2919" s="5"/>
      <c r="E2919" s="5"/>
      <c r="F2919" s="5"/>
      <c r="G2919" s="5"/>
      <c r="H2919" s="5"/>
      <c r="I2919" s="5"/>
      <c r="J2919" s="12"/>
      <c r="K2919" s="11"/>
      <c r="M2919" s="5"/>
      <c r="N2919" s="12"/>
      <c r="O2919" s="5"/>
      <c r="P2919" s="5"/>
      <c r="Q2919" s="5"/>
      <c r="R2919" s="5"/>
      <c r="T2919" s="5"/>
      <c r="U2919" s="5"/>
      <c r="V2919" s="5"/>
      <c r="W2919" s="5"/>
    </row>
    <row r="2920" spans="1:23" ht="12.5">
      <c r="A2920" s="5"/>
      <c r="B2920" s="5"/>
      <c r="C2920" s="5"/>
      <c r="D2920" s="5"/>
      <c r="E2920" s="5"/>
      <c r="F2920" s="5"/>
      <c r="G2920" s="5"/>
      <c r="H2920" s="5"/>
      <c r="I2920" s="5"/>
      <c r="J2920" s="12"/>
      <c r="K2920" s="11"/>
      <c r="M2920" s="5"/>
      <c r="N2920" s="12"/>
      <c r="O2920" s="5"/>
      <c r="P2920" s="5"/>
      <c r="Q2920" s="5"/>
      <c r="R2920" s="5"/>
      <c r="T2920" s="5"/>
      <c r="U2920" s="5"/>
      <c r="V2920" s="5"/>
      <c r="W2920" s="5"/>
    </row>
    <row r="2921" spans="1:23" ht="12.5">
      <c r="A2921" s="5"/>
      <c r="B2921" s="5"/>
      <c r="C2921" s="5"/>
      <c r="D2921" s="5"/>
      <c r="E2921" s="5"/>
      <c r="F2921" s="5"/>
      <c r="G2921" s="5"/>
      <c r="H2921" s="5"/>
      <c r="I2921" s="5"/>
      <c r="J2921" s="12"/>
      <c r="K2921" s="11"/>
      <c r="M2921" s="5"/>
      <c r="N2921" s="12"/>
      <c r="O2921" s="5"/>
      <c r="P2921" s="5"/>
      <c r="Q2921" s="5"/>
      <c r="R2921" s="5"/>
      <c r="T2921" s="5"/>
      <c r="U2921" s="5"/>
      <c r="V2921" s="5"/>
      <c r="W2921" s="5"/>
    </row>
    <row r="2922" spans="1:23" ht="12.5">
      <c r="A2922" s="5"/>
      <c r="B2922" s="5"/>
      <c r="C2922" s="5"/>
      <c r="D2922" s="5"/>
      <c r="E2922" s="5"/>
      <c r="F2922" s="5"/>
      <c r="G2922" s="5"/>
      <c r="H2922" s="5"/>
      <c r="I2922" s="5"/>
      <c r="J2922" s="12"/>
      <c r="K2922" s="11"/>
      <c r="M2922" s="5"/>
      <c r="N2922" s="12"/>
      <c r="O2922" s="5"/>
      <c r="P2922" s="5"/>
      <c r="Q2922" s="5"/>
      <c r="R2922" s="5"/>
      <c r="T2922" s="5"/>
      <c r="U2922" s="5"/>
      <c r="V2922" s="5"/>
      <c r="W2922" s="5"/>
    </row>
    <row r="2923" spans="1:23" ht="12.5">
      <c r="A2923" s="5"/>
      <c r="B2923" s="5"/>
      <c r="C2923" s="5"/>
      <c r="D2923" s="5"/>
      <c r="E2923" s="5"/>
      <c r="F2923" s="5"/>
      <c r="G2923" s="5"/>
      <c r="H2923" s="5"/>
      <c r="I2923" s="5"/>
      <c r="J2923" s="12"/>
      <c r="K2923" s="11"/>
      <c r="M2923" s="5"/>
      <c r="N2923" s="12"/>
      <c r="O2923" s="5"/>
      <c r="P2923" s="5"/>
      <c r="Q2923" s="5"/>
      <c r="R2923" s="5"/>
      <c r="T2923" s="5"/>
      <c r="U2923" s="5"/>
      <c r="V2923" s="5"/>
      <c r="W2923" s="5"/>
    </row>
    <row r="2924" spans="1:23" ht="12.5">
      <c r="A2924" s="5"/>
      <c r="B2924" s="5"/>
      <c r="C2924" s="5"/>
      <c r="D2924" s="5"/>
      <c r="E2924" s="5"/>
      <c r="F2924" s="5"/>
      <c r="G2924" s="5"/>
      <c r="H2924" s="5"/>
      <c r="I2924" s="5"/>
      <c r="J2924" s="12"/>
      <c r="K2924" s="11"/>
      <c r="M2924" s="5"/>
      <c r="N2924" s="12"/>
      <c r="O2924" s="5"/>
      <c r="P2924" s="5"/>
      <c r="Q2924" s="5"/>
      <c r="R2924" s="5"/>
      <c r="T2924" s="5"/>
      <c r="U2924" s="5"/>
      <c r="V2924" s="5"/>
      <c r="W2924" s="5"/>
    </row>
    <row r="2925" spans="1:23" ht="12.5">
      <c r="A2925" s="5"/>
      <c r="B2925" s="5"/>
      <c r="C2925" s="5"/>
      <c r="D2925" s="5"/>
      <c r="E2925" s="5"/>
      <c r="F2925" s="5"/>
      <c r="G2925" s="5"/>
      <c r="H2925" s="5"/>
      <c r="I2925" s="5"/>
      <c r="J2925" s="12"/>
      <c r="K2925" s="11"/>
      <c r="M2925" s="5"/>
      <c r="N2925" s="12"/>
      <c r="O2925" s="5"/>
      <c r="P2925" s="5"/>
      <c r="Q2925" s="5"/>
      <c r="R2925" s="5"/>
      <c r="T2925" s="5"/>
      <c r="U2925" s="5"/>
      <c r="V2925" s="5"/>
      <c r="W2925" s="5"/>
    </row>
    <row r="2926" spans="1:23" ht="12.5">
      <c r="A2926" s="5"/>
      <c r="B2926" s="5"/>
      <c r="C2926" s="5"/>
      <c r="D2926" s="5"/>
      <c r="E2926" s="5"/>
      <c r="F2926" s="5"/>
      <c r="G2926" s="5"/>
      <c r="H2926" s="5"/>
      <c r="I2926" s="5"/>
      <c r="J2926" s="12"/>
      <c r="K2926" s="11"/>
      <c r="M2926" s="5"/>
      <c r="N2926" s="12"/>
      <c r="O2926" s="5"/>
      <c r="P2926" s="5"/>
      <c r="Q2926" s="5"/>
      <c r="R2926" s="5"/>
      <c r="T2926" s="5"/>
      <c r="U2926" s="5"/>
      <c r="V2926" s="5"/>
      <c r="W2926" s="5"/>
    </row>
    <row r="2927" spans="1:23" ht="12.5">
      <c r="A2927" s="5"/>
      <c r="B2927" s="5"/>
      <c r="C2927" s="5"/>
      <c r="D2927" s="5"/>
      <c r="E2927" s="5"/>
      <c r="F2927" s="5"/>
      <c r="G2927" s="5"/>
      <c r="H2927" s="5"/>
      <c r="I2927" s="5"/>
      <c r="J2927" s="12"/>
      <c r="K2927" s="11"/>
      <c r="M2927" s="5"/>
      <c r="N2927" s="12"/>
      <c r="O2927" s="5"/>
      <c r="P2927" s="5"/>
      <c r="Q2927" s="5"/>
      <c r="R2927" s="5"/>
      <c r="T2927" s="5"/>
      <c r="U2927" s="5"/>
      <c r="V2927" s="5"/>
      <c r="W2927" s="5"/>
    </row>
    <row r="2928" spans="1:23" ht="12.5">
      <c r="A2928" s="5"/>
      <c r="B2928" s="5"/>
      <c r="C2928" s="5"/>
      <c r="D2928" s="5"/>
      <c r="E2928" s="5"/>
      <c r="F2928" s="5"/>
      <c r="G2928" s="5"/>
      <c r="H2928" s="5"/>
      <c r="I2928" s="5"/>
      <c r="J2928" s="12"/>
      <c r="K2928" s="11"/>
      <c r="M2928" s="5"/>
      <c r="N2928" s="12"/>
      <c r="O2928" s="5"/>
      <c r="P2928" s="5"/>
      <c r="Q2928" s="5"/>
      <c r="R2928" s="5"/>
      <c r="T2928" s="5"/>
      <c r="U2928" s="5"/>
      <c r="V2928" s="5"/>
      <c r="W2928" s="5"/>
    </row>
    <row r="2929" spans="1:23" ht="12.5">
      <c r="A2929" s="5"/>
      <c r="B2929" s="5"/>
      <c r="C2929" s="5"/>
      <c r="D2929" s="5"/>
      <c r="E2929" s="5"/>
      <c r="F2929" s="5"/>
      <c r="G2929" s="5"/>
      <c r="H2929" s="5"/>
      <c r="I2929" s="5"/>
      <c r="J2929" s="12"/>
      <c r="K2929" s="11"/>
      <c r="M2929" s="5"/>
      <c r="N2929" s="12"/>
      <c r="O2929" s="5"/>
      <c r="P2929" s="5"/>
      <c r="Q2929" s="5"/>
      <c r="R2929" s="5"/>
      <c r="T2929" s="5"/>
      <c r="U2929" s="5"/>
      <c r="V2929" s="5"/>
      <c r="W2929" s="5"/>
    </row>
    <row r="2930" spans="1:23" ht="12.5">
      <c r="A2930" s="5"/>
      <c r="B2930" s="5"/>
      <c r="C2930" s="5"/>
      <c r="D2930" s="5"/>
      <c r="E2930" s="5"/>
      <c r="F2930" s="5"/>
      <c r="G2930" s="5"/>
      <c r="H2930" s="5"/>
      <c r="I2930" s="5"/>
      <c r="J2930" s="12"/>
      <c r="K2930" s="11"/>
      <c r="M2930" s="5"/>
      <c r="N2930" s="12"/>
      <c r="O2930" s="5"/>
      <c r="P2930" s="5"/>
      <c r="Q2930" s="5"/>
      <c r="R2930" s="5"/>
      <c r="T2930" s="5"/>
      <c r="U2930" s="5"/>
      <c r="V2930" s="5"/>
      <c r="W2930" s="5"/>
    </row>
    <row r="2931" spans="1:23" ht="12.5">
      <c r="A2931" s="5"/>
      <c r="B2931" s="5"/>
      <c r="C2931" s="5"/>
      <c r="D2931" s="5"/>
      <c r="E2931" s="5"/>
      <c r="F2931" s="5"/>
      <c r="G2931" s="5"/>
      <c r="H2931" s="5"/>
      <c r="I2931" s="5"/>
      <c r="J2931" s="12"/>
      <c r="K2931" s="11"/>
      <c r="M2931" s="5"/>
      <c r="N2931" s="12"/>
      <c r="O2931" s="5"/>
      <c r="P2931" s="5"/>
      <c r="Q2931" s="5"/>
      <c r="R2931" s="5"/>
      <c r="T2931" s="5"/>
      <c r="U2931" s="5"/>
      <c r="V2931" s="5"/>
      <c r="W2931" s="5"/>
    </row>
    <row r="2932" spans="1:23" ht="12.5">
      <c r="A2932" s="5"/>
      <c r="B2932" s="5"/>
      <c r="C2932" s="5"/>
      <c r="D2932" s="5"/>
      <c r="E2932" s="5"/>
      <c r="F2932" s="5"/>
      <c r="G2932" s="5"/>
      <c r="H2932" s="5"/>
      <c r="I2932" s="5"/>
      <c r="J2932" s="12"/>
      <c r="K2932" s="11"/>
      <c r="M2932" s="5"/>
      <c r="N2932" s="12"/>
      <c r="O2932" s="5"/>
      <c r="P2932" s="5"/>
      <c r="Q2932" s="5"/>
      <c r="R2932" s="5"/>
      <c r="T2932" s="5"/>
      <c r="U2932" s="5"/>
      <c r="V2932" s="5"/>
      <c r="W2932" s="5"/>
    </row>
    <row r="2933" spans="1:23" ht="12.5">
      <c r="A2933" s="5"/>
      <c r="B2933" s="5"/>
      <c r="C2933" s="5"/>
      <c r="D2933" s="5"/>
      <c r="E2933" s="5"/>
      <c r="F2933" s="5"/>
      <c r="G2933" s="5"/>
      <c r="H2933" s="5"/>
      <c r="I2933" s="5"/>
      <c r="J2933" s="12"/>
      <c r="K2933" s="11"/>
      <c r="M2933" s="5"/>
      <c r="N2933" s="12"/>
      <c r="O2933" s="5"/>
      <c r="P2933" s="5"/>
      <c r="Q2933" s="5"/>
      <c r="R2933" s="5"/>
      <c r="T2933" s="5"/>
      <c r="U2933" s="5"/>
      <c r="V2933" s="5"/>
      <c r="W2933" s="5"/>
    </row>
    <row r="2934" spans="1:23" ht="12.5">
      <c r="A2934" s="5"/>
      <c r="B2934" s="5"/>
      <c r="C2934" s="5"/>
      <c r="D2934" s="5"/>
      <c r="E2934" s="5"/>
      <c r="F2934" s="5"/>
      <c r="G2934" s="5"/>
      <c r="H2934" s="5"/>
      <c r="I2934" s="5"/>
      <c r="J2934" s="12"/>
      <c r="K2934" s="11"/>
      <c r="M2934" s="5"/>
      <c r="N2934" s="12"/>
      <c r="O2934" s="5"/>
      <c r="P2934" s="5"/>
      <c r="Q2934" s="5"/>
      <c r="R2934" s="5"/>
      <c r="T2934" s="5"/>
      <c r="U2934" s="5"/>
      <c r="V2934" s="5"/>
      <c r="W2934" s="5"/>
    </row>
    <row r="2935" spans="1:23" ht="12.5">
      <c r="A2935" s="5"/>
      <c r="B2935" s="5"/>
      <c r="C2935" s="5"/>
      <c r="D2935" s="5"/>
      <c r="E2935" s="5"/>
      <c r="F2935" s="5"/>
      <c r="G2935" s="5"/>
      <c r="H2935" s="5"/>
      <c r="I2935" s="5"/>
      <c r="J2935" s="12"/>
      <c r="K2935" s="11"/>
      <c r="M2935" s="5"/>
      <c r="N2935" s="12"/>
      <c r="O2935" s="5"/>
      <c r="P2935" s="5"/>
      <c r="Q2935" s="5"/>
      <c r="R2935" s="5"/>
      <c r="T2935" s="5"/>
      <c r="U2935" s="5"/>
      <c r="V2935" s="5"/>
      <c r="W2935" s="5"/>
    </row>
    <row r="2936" spans="1:23" ht="12.5">
      <c r="A2936" s="5"/>
      <c r="B2936" s="5"/>
      <c r="C2936" s="5"/>
      <c r="D2936" s="5"/>
      <c r="E2936" s="5"/>
      <c r="F2936" s="5"/>
      <c r="G2936" s="5"/>
      <c r="H2936" s="5"/>
      <c r="I2936" s="5"/>
      <c r="J2936" s="12"/>
      <c r="K2936" s="11"/>
      <c r="M2936" s="5"/>
      <c r="N2936" s="12"/>
      <c r="O2936" s="5"/>
      <c r="P2936" s="5"/>
      <c r="Q2936" s="5"/>
      <c r="R2936" s="5"/>
      <c r="T2936" s="5"/>
      <c r="U2936" s="5"/>
      <c r="V2936" s="5"/>
      <c r="W2936" s="5"/>
    </row>
    <row r="2937" spans="1:23" ht="12.5">
      <c r="A2937" s="5"/>
      <c r="B2937" s="5"/>
      <c r="C2937" s="5"/>
      <c r="D2937" s="5"/>
      <c r="E2937" s="5"/>
      <c r="F2937" s="5"/>
      <c r="G2937" s="5"/>
      <c r="H2937" s="5"/>
      <c r="I2937" s="5"/>
      <c r="J2937" s="12"/>
      <c r="K2937" s="11"/>
      <c r="M2937" s="5"/>
      <c r="N2937" s="12"/>
      <c r="O2937" s="5"/>
      <c r="P2937" s="5"/>
      <c r="Q2937" s="5"/>
      <c r="R2937" s="5"/>
      <c r="T2937" s="5"/>
      <c r="U2937" s="5"/>
      <c r="V2937" s="5"/>
      <c r="W2937" s="5"/>
    </row>
    <row r="2938" spans="1:23" ht="12.5">
      <c r="A2938" s="5"/>
      <c r="B2938" s="5"/>
      <c r="C2938" s="5"/>
      <c r="D2938" s="5"/>
      <c r="E2938" s="5"/>
      <c r="F2938" s="5"/>
      <c r="G2938" s="5"/>
      <c r="H2938" s="5"/>
      <c r="I2938" s="5"/>
      <c r="J2938" s="12"/>
      <c r="K2938" s="11"/>
      <c r="M2938" s="5"/>
      <c r="N2938" s="12"/>
      <c r="O2938" s="5"/>
      <c r="P2938" s="5"/>
      <c r="Q2938" s="5"/>
      <c r="R2938" s="5"/>
      <c r="T2938" s="5"/>
      <c r="U2938" s="5"/>
      <c r="V2938" s="5"/>
      <c r="W2938" s="5"/>
    </row>
    <row r="2939" spans="1:23" ht="12.5">
      <c r="A2939" s="5"/>
      <c r="B2939" s="5"/>
      <c r="C2939" s="5"/>
      <c r="D2939" s="5"/>
      <c r="E2939" s="5"/>
      <c r="F2939" s="5"/>
      <c r="G2939" s="5"/>
      <c r="H2939" s="5"/>
      <c r="I2939" s="5"/>
      <c r="J2939" s="12"/>
      <c r="K2939" s="11"/>
      <c r="M2939" s="5"/>
      <c r="N2939" s="12"/>
      <c r="O2939" s="5"/>
      <c r="P2939" s="5"/>
      <c r="Q2939" s="5"/>
      <c r="R2939" s="5"/>
      <c r="T2939" s="5"/>
      <c r="U2939" s="5"/>
      <c r="V2939" s="5"/>
      <c r="W2939" s="5"/>
    </row>
    <row r="2940" spans="1:23" ht="12.5">
      <c r="A2940" s="5"/>
      <c r="B2940" s="5"/>
      <c r="C2940" s="5"/>
      <c r="D2940" s="5"/>
      <c r="E2940" s="5"/>
      <c r="F2940" s="5"/>
      <c r="G2940" s="5"/>
      <c r="H2940" s="5"/>
      <c r="I2940" s="5"/>
      <c r="J2940" s="12"/>
      <c r="K2940" s="11"/>
      <c r="M2940" s="5"/>
      <c r="N2940" s="12"/>
      <c r="O2940" s="5"/>
      <c r="P2940" s="5"/>
      <c r="Q2940" s="5"/>
      <c r="R2940" s="5"/>
      <c r="T2940" s="5"/>
      <c r="U2940" s="5"/>
      <c r="V2940" s="5"/>
      <c r="W2940" s="5"/>
    </row>
    <row r="2941" spans="1:23" ht="12.5">
      <c r="A2941" s="5"/>
      <c r="B2941" s="5"/>
      <c r="C2941" s="5"/>
      <c r="D2941" s="5"/>
      <c r="E2941" s="5"/>
      <c r="F2941" s="5"/>
      <c r="G2941" s="5"/>
      <c r="H2941" s="5"/>
      <c r="I2941" s="5"/>
      <c r="J2941" s="12"/>
      <c r="K2941" s="11"/>
      <c r="M2941" s="5"/>
      <c r="N2941" s="12"/>
      <c r="O2941" s="5"/>
      <c r="P2941" s="5"/>
      <c r="Q2941" s="5"/>
      <c r="R2941" s="5"/>
      <c r="T2941" s="5"/>
      <c r="U2941" s="5"/>
      <c r="V2941" s="5"/>
      <c r="W2941" s="5"/>
    </row>
    <row r="2942" spans="1:23" ht="12.5">
      <c r="A2942" s="5"/>
      <c r="B2942" s="5"/>
      <c r="C2942" s="5"/>
      <c r="D2942" s="5"/>
      <c r="E2942" s="5"/>
      <c r="F2942" s="5"/>
      <c r="G2942" s="5"/>
      <c r="H2942" s="5"/>
      <c r="I2942" s="5"/>
      <c r="J2942" s="12"/>
      <c r="K2942" s="11"/>
      <c r="M2942" s="5"/>
      <c r="N2942" s="12"/>
      <c r="O2942" s="5"/>
      <c r="P2942" s="5"/>
      <c r="Q2942" s="5"/>
      <c r="R2942" s="5"/>
      <c r="T2942" s="5"/>
      <c r="U2942" s="5"/>
      <c r="V2942" s="5"/>
      <c r="W2942" s="5"/>
    </row>
    <row r="2943" spans="1:23" ht="12.5">
      <c r="A2943" s="5"/>
      <c r="B2943" s="5"/>
      <c r="C2943" s="5"/>
      <c r="D2943" s="5"/>
      <c r="E2943" s="5"/>
      <c r="F2943" s="5"/>
      <c r="G2943" s="5"/>
      <c r="H2943" s="5"/>
      <c r="I2943" s="5"/>
      <c r="J2943" s="12"/>
      <c r="K2943" s="11"/>
      <c r="M2943" s="5"/>
      <c r="N2943" s="12"/>
      <c r="O2943" s="5"/>
      <c r="P2943" s="5"/>
      <c r="Q2943" s="5"/>
      <c r="R2943" s="5"/>
      <c r="T2943" s="5"/>
      <c r="U2943" s="5"/>
      <c r="V2943" s="5"/>
      <c r="W2943" s="5"/>
    </row>
    <row r="2944" spans="1:23" ht="12.5">
      <c r="A2944" s="5"/>
      <c r="B2944" s="5"/>
      <c r="C2944" s="5"/>
      <c r="D2944" s="5"/>
      <c r="E2944" s="5"/>
      <c r="F2944" s="5"/>
      <c r="G2944" s="5"/>
      <c r="H2944" s="5"/>
      <c r="I2944" s="5"/>
      <c r="J2944" s="12"/>
      <c r="K2944" s="11"/>
      <c r="M2944" s="5"/>
      <c r="N2944" s="12"/>
      <c r="O2944" s="5"/>
      <c r="P2944" s="5"/>
      <c r="Q2944" s="5"/>
      <c r="R2944" s="5"/>
      <c r="T2944" s="5"/>
      <c r="U2944" s="5"/>
      <c r="V2944" s="5"/>
      <c r="W2944" s="5"/>
    </row>
    <row r="2945" spans="1:23" ht="12.5">
      <c r="A2945" s="5"/>
      <c r="B2945" s="5"/>
      <c r="C2945" s="5"/>
      <c r="D2945" s="5"/>
      <c r="E2945" s="5"/>
      <c r="F2945" s="5"/>
      <c r="G2945" s="5"/>
      <c r="H2945" s="5"/>
      <c r="I2945" s="5"/>
      <c r="J2945" s="12"/>
      <c r="K2945" s="11"/>
      <c r="M2945" s="5"/>
      <c r="N2945" s="12"/>
      <c r="O2945" s="5"/>
      <c r="P2945" s="5"/>
      <c r="Q2945" s="5"/>
      <c r="R2945" s="5"/>
      <c r="T2945" s="5"/>
      <c r="U2945" s="5"/>
      <c r="V2945" s="5"/>
      <c r="W2945" s="5"/>
    </row>
    <row r="2946" spans="1:23" ht="12.5">
      <c r="A2946" s="5"/>
      <c r="B2946" s="5"/>
      <c r="C2946" s="5"/>
      <c r="D2946" s="5"/>
      <c r="E2946" s="5"/>
      <c r="F2946" s="5"/>
      <c r="G2946" s="5"/>
      <c r="H2946" s="5"/>
      <c r="I2946" s="5"/>
      <c r="J2946" s="12"/>
      <c r="K2946" s="11"/>
      <c r="M2946" s="5"/>
      <c r="N2946" s="12"/>
      <c r="O2946" s="5"/>
      <c r="P2946" s="5"/>
      <c r="Q2946" s="5"/>
      <c r="R2946" s="5"/>
      <c r="T2946" s="5"/>
      <c r="U2946" s="5"/>
      <c r="V2946" s="5"/>
      <c r="W2946" s="5"/>
    </row>
    <row r="2947" spans="1:23" ht="12.5">
      <c r="A2947" s="5"/>
      <c r="B2947" s="5"/>
      <c r="C2947" s="5"/>
      <c r="D2947" s="5"/>
      <c r="E2947" s="5"/>
      <c r="F2947" s="5"/>
      <c r="G2947" s="5"/>
      <c r="H2947" s="5"/>
      <c r="I2947" s="5"/>
      <c r="J2947" s="12"/>
      <c r="K2947" s="11"/>
      <c r="M2947" s="5"/>
      <c r="N2947" s="12"/>
      <c r="O2947" s="5"/>
      <c r="P2947" s="5"/>
      <c r="Q2947" s="5"/>
      <c r="R2947" s="5"/>
      <c r="T2947" s="5"/>
      <c r="U2947" s="5"/>
      <c r="V2947" s="5"/>
      <c r="W2947" s="5"/>
    </row>
    <row r="2948" spans="1:23" ht="12.5">
      <c r="A2948" s="5"/>
      <c r="B2948" s="5"/>
      <c r="C2948" s="5"/>
      <c r="D2948" s="5"/>
      <c r="E2948" s="5"/>
      <c r="F2948" s="5"/>
      <c r="G2948" s="5"/>
      <c r="H2948" s="5"/>
      <c r="I2948" s="5"/>
      <c r="J2948" s="12"/>
      <c r="K2948" s="11"/>
      <c r="M2948" s="5"/>
      <c r="N2948" s="12"/>
      <c r="O2948" s="5"/>
      <c r="P2948" s="5"/>
      <c r="Q2948" s="5"/>
      <c r="R2948" s="5"/>
      <c r="T2948" s="5"/>
      <c r="U2948" s="5"/>
      <c r="V2948" s="5"/>
      <c r="W2948" s="5"/>
    </row>
    <row r="2949" spans="1:23" ht="12.5">
      <c r="A2949" s="5"/>
      <c r="B2949" s="5"/>
      <c r="C2949" s="5"/>
      <c r="D2949" s="5"/>
      <c r="E2949" s="5"/>
      <c r="F2949" s="5"/>
      <c r="G2949" s="5"/>
      <c r="H2949" s="5"/>
      <c r="I2949" s="5"/>
      <c r="J2949" s="12"/>
      <c r="K2949" s="11"/>
      <c r="M2949" s="5"/>
      <c r="N2949" s="12"/>
      <c r="O2949" s="5"/>
      <c r="P2949" s="5"/>
      <c r="Q2949" s="5"/>
      <c r="R2949" s="5"/>
      <c r="T2949" s="5"/>
      <c r="U2949" s="5"/>
      <c r="V2949" s="5"/>
      <c r="W2949" s="5"/>
    </row>
    <row r="2950" spans="1:23" ht="12.5">
      <c r="A2950" s="5"/>
      <c r="B2950" s="5"/>
      <c r="C2950" s="5"/>
      <c r="D2950" s="5"/>
      <c r="E2950" s="5"/>
      <c r="F2950" s="5"/>
      <c r="G2950" s="5"/>
      <c r="H2950" s="5"/>
      <c r="I2950" s="5"/>
      <c r="J2950" s="12"/>
      <c r="K2950" s="11"/>
      <c r="M2950" s="5"/>
      <c r="N2950" s="12"/>
      <c r="O2950" s="5"/>
      <c r="P2950" s="5"/>
      <c r="Q2950" s="5"/>
      <c r="R2950" s="5"/>
      <c r="T2950" s="5"/>
      <c r="U2950" s="5"/>
      <c r="V2950" s="5"/>
      <c r="W2950" s="5"/>
    </row>
    <row r="2951" spans="1:23" ht="12.5">
      <c r="A2951" s="5"/>
      <c r="B2951" s="5"/>
      <c r="C2951" s="5"/>
      <c r="D2951" s="5"/>
      <c r="E2951" s="5"/>
      <c r="F2951" s="5"/>
      <c r="G2951" s="5"/>
      <c r="H2951" s="5"/>
      <c r="I2951" s="5"/>
      <c r="J2951" s="12"/>
      <c r="K2951" s="11"/>
      <c r="M2951" s="5"/>
      <c r="N2951" s="12"/>
      <c r="O2951" s="5"/>
      <c r="P2951" s="5"/>
      <c r="Q2951" s="5"/>
      <c r="R2951" s="5"/>
      <c r="T2951" s="5"/>
      <c r="U2951" s="5"/>
      <c r="V2951" s="5"/>
      <c r="W2951" s="5"/>
    </row>
    <row r="2952" spans="1:23" ht="12.5">
      <c r="A2952" s="5"/>
      <c r="B2952" s="5"/>
      <c r="C2952" s="5"/>
      <c r="D2952" s="5"/>
      <c r="E2952" s="5"/>
      <c r="F2952" s="5"/>
      <c r="G2952" s="5"/>
      <c r="H2952" s="5"/>
      <c r="I2952" s="5"/>
      <c r="J2952" s="12"/>
      <c r="K2952" s="11"/>
      <c r="M2952" s="5"/>
      <c r="N2952" s="12"/>
      <c r="O2952" s="5"/>
      <c r="P2952" s="5"/>
      <c r="Q2952" s="5"/>
      <c r="R2952" s="5"/>
      <c r="T2952" s="5"/>
      <c r="U2952" s="5"/>
      <c r="V2952" s="5"/>
      <c r="W2952" s="5"/>
    </row>
    <row r="2953" spans="1:23" ht="12.5">
      <c r="A2953" s="5"/>
      <c r="B2953" s="5"/>
      <c r="C2953" s="5"/>
      <c r="D2953" s="5"/>
      <c r="E2953" s="5"/>
      <c r="F2953" s="5"/>
      <c r="G2953" s="5"/>
      <c r="H2953" s="5"/>
      <c r="I2953" s="5"/>
      <c r="J2953" s="12"/>
      <c r="K2953" s="11"/>
      <c r="M2953" s="5"/>
      <c r="N2953" s="12"/>
      <c r="O2953" s="5"/>
      <c r="P2953" s="5"/>
      <c r="Q2953" s="5"/>
      <c r="R2953" s="5"/>
      <c r="T2953" s="5"/>
      <c r="U2953" s="5"/>
      <c r="V2953" s="5"/>
      <c r="W2953" s="5"/>
    </row>
    <row r="2954" spans="1:23" ht="12.5">
      <c r="A2954" s="5"/>
      <c r="B2954" s="5"/>
      <c r="C2954" s="5"/>
      <c r="D2954" s="5"/>
      <c r="E2954" s="5"/>
      <c r="F2954" s="5"/>
      <c r="G2954" s="5"/>
      <c r="H2954" s="5"/>
      <c r="I2954" s="5"/>
      <c r="J2954" s="12"/>
      <c r="K2954" s="11"/>
      <c r="M2954" s="5"/>
      <c r="N2954" s="12"/>
      <c r="O2954" s="5"/>
      <c r="P2954" s="5"/>
      <c r="Q2954" s="5"/>
      <c r="R2954" s="5"/>
      <c r="T2954" s="5"/>
      <c r="U2954" s="5"/>
      <c r="V2954" s="5"/>
      <c r="W2954" s="5"/>
    </row>
    <row r="2955" spans="1:23" ht="12.5">
      <c r="A2955" s="5"/>
      <c r="B2955" s="5"/>
      <c r="C2955" s="5"/>
      <c r="D2955" s="5"/>
      <c r="E2955" s="5"/>
      <c r="F2955" s="5"/>
      <c r="G2955" s="5"/>
      <c r="H2955" s="5"/>
      <c r="I2955" s="5"/>
      <c r="J2955" s="12"/>
      <c r="K2955" s="11"/>
      <c r="M2955" s="5"/>
      <c r="N2955" s="12"/>
      <c r="O2955" s="5"/>
      <c r="P2955" s="5"/>
      <c r="Q2955" s="5"/>
      <c r="R2955" s="5"/>
      <c r="T2955" s="5"/>
      <c r="U2955" s="5"/>
      <c r="V2955" s="5"/>
      <c r="W2955" s="5"/>
    </row>
    <row r="2956" spans="1:23" ht="12.5">
      <c r="A2956" s="5"/>
      <c r="B2956" s="5"/>
      <c r="C2956" s="5"/>
      <c r="D2956" s="5"/>
      <c r="E2956" s="5"/>
      <c r="F2956" s="5"/>
      <c r="G2956" s="5"/>
      <c r="H2956" s="5"/>
      <c r="I2956" s="5"/>
      <c r="J2956" s="12"/>
      <c r="K2956" s="11"/>
      <c r="M2956" s="5"/>
      <c r="N2956" s="12"/>
      <c r="O2956" s="5"/>
      <c r="P2956" s="5"/>
      <c r="Q2956" s="5"/>
      <c r="R2956" s="5"/>
      <c r="T2956" s="5"/>
      <c r="U2956" s="5"/>
      <c r="V2956" s="5"/>
      <c r="W2956" s="5"/>
    </row>
    <row r="2957" spans="1:23" ht="12.5">
      <c r="A2957" s="5"/>
      <c r="B2957" s="5"/>
      <c r="C2957" s="5"/>
      <c r="D2957" s="5"/>
      <c r="E2957" s="5"/>
      <c r="F2957" s="5"/>
      <c r="G2957" s="5"/>
      <c r="H2957" s="5"/>
      <c r="I2957" s="5"/>
      <c r="J2957" s="12"/>
      <c r="K2957" s="11"/>
      <c r="M2957" s="5"/>
      <c r="N2957" s="12"/>
      <c r="O2957" s="5"/>
      <c r="P2957" s="5"/>
      <c r="Q2957" s="5"/>
      <c r="R2957" s="5"/>
      <c r="T2957" s="5"/>
      <c r="U2957" s="5"/>
      <c r="V2957" s="5"/>
      <c r="W2957" s="5"/>
    </row>
    <row r="2958" spans="1:23" ht="12.5">
      <c r="A2958" s="5"/>
      <c r="B2958" s="5"/>
      <c r="C2958" s="5"/>
      <c r="D2958" s="5"/>
      <c r="E2958" s="5"/>
      <c r="F2958" s="5"/>
      <c r="G2958" s="5"/>
      <c r="H2958" s="5"/>
      <c r="I2958" s="5"/>
      <c r="J2958" s="12"/>
      <c r="K2958" s="11"/>
      <c r="M2958" s="5"/>
      <c r="N2958" s="12"/>
      <c r="O2958" s="5"/>
      <c r="P2958" s="5"/>
      <c r="Q2958" s="5"/>
      <c r="R2958" s="5"/>
      <c r="T2958" s="5"/>
      <c r="U2958" s="5"/>
      <c r="V2958" s="5"/>
      <c r="W2958" s="5"/>
    </row>
    <row r="2959" spans="1:23" ht="12.5">
      <c r="A2959" s="5"/>
      <c r="B2959" s="5"/>
      <c r="C2959" s="5"/>
      <c r="D2959" s="5"/>
      <c r="E2959" s="5"/>
      <c r="F2959" s="5"/>
      <c r="G2959" s="5"/>
      <c r="H2959" s="5"/>
      <c r="I2959" s="5"/>
      <c r="J2959" s="12"/>
      <c r="K2959" s="11"/>
      <c r="M2959" s="5"/>
      <c r="N2959" s="12"/>
      <c r="O2959" s="5"/>
      <c r="P2959" s="5"/>
      <c r="Q2959" s="5"/>
      <c r="R2959" s="5"/>
      <c r="T2959" s="5"/>
      <c r="U2959" s="5"/>
      <c r="V2959" s="5"/>
      <c r="W2959" s="5"/>
    </row>
    <row r="2960" spans="1:23" ht="12.5">
      <c r="A2960" s="5"/>
      <c r="B2960" s="5"/>
      <c r="C2960" s="5"/>
      <c r="D2960" s="5"/>
      <c r="E2960" s="5"/>
      <c r="F2960" s="5"/>
      <c r="G2960" s="5"/>
      <c r="H2960" s="5"/>
      <c r="I2960" s="5"/>
      <c r="J2960" s="12"/>
      <c r="K2960" s="11"/>
      <c r="M2960" s="5"/>
      <c r="N2960" s="12"/>
      <c r="O2960" s="5"/>
      <c r="P2960" s="5"/>
      <c r="Q2960" s="5"/>
      <c r="R2960" s="5"/>
      <c r="T2960" s="5"/>
      <c r="U2960" s="5"/>
      <c r="V2960" s="5"/>
      <c r="W2960" s="5"/>
    </row>
    <row r="2961" spans="1:23" ht="12.5">
      <c r="A2961" s="5"/>
      <c r="B2961" s="5"/>
      <c r="C2961" s="5"/>
      <c r="D2961" s="5"/>
      <c r="E2961" s="5"/>
      <c r="F2961" s="5"/>
      <c r="G2961" s="5"/>
      <c r="H2961" s="5"/>
      <c r="I2961" s="5"/>
      <c r="J2961" s="12"/>
      <c r="K2961" s="11"/>
      <c r="M2961" s="5"/>
      <c r="N2961" s="12"/>
      <c r="O2961" s="5"/>
      <c r="P2961" s="5"/>
      <c r="Q2961" s="5"/>
      <c r="R2961" s="5"/>
      <c r="T2961" s="5"/>
      <c r="U2961" s="5"/>
      <c r="V2961" s="5"/>
      <c r="W2961" s="5"/>
    </row>
    <row r="2962" spans="1:23" ht="12.5">
      <c r="A2962" s="5"/>
      <c r="B2962" s="5"/>
      <c r="C2962" s="5"/>
      <c r="D2962" s="5"/>
      <c r="E2962" s="5"/>
      <c r="F2962" s="5"/>
      <c r="G2962" s="5"/>
      <c r="H2962" s="5"/>
      <c r="I2962" s="5"/>
      <c r="J2962" s="12"/>
      <c r="K2962" s="11"/>
      <c r="M2962" s="5"/>
      <c r="N2962" s="12"/>
      <c r="O2962" s="5"/>
      <c r="P2962" s="5"/>
      <c r="Q2962" s="5"/>
      <c r="R2962" s="5"/>
      <c r="T2962" s="5"/>
      <c r="U2962" s="5"/>
      <c r="V2962" s="5"/>
      <c r="W2962" s="5"/>
    </row>
    <row r="2963" spans="1:23" ht="12.5">
      <c r="A2963" s="5"/>
      <c r="B2963" s="5"/>
      <c r="C2963" s="5"/>
      <c r="D2963" s="5"/>
      <c r="E2963" s="5"/>
      <c r="F2963" s="5"/>
      <c r="G2963" s="5"/>
      <c r="H2963" s="5"/>
      <c r="I2963" s="5"/>
      <c r="J2963" s="12"/>
      <c r="K2963" s="11"/>
      <c r="M2963" s="5"/>
      <c r="N2963" s="12"/>
      <c r="O2963" s="5"/>
      <c r="P2963" s="5"/>
      <c r="Q2963" s="5"/>
      <c r="R2963" s="5"/>
      <c r="T2963" s="5"/>
      <c r="U2963" s="5"/>
      <c r="V2963" s="5"/>
      <c r="W2963" s="5"/>
    </row>
    <row r="2964" spans="1:23" ht="12.5">
      <c r="A2964" s="5"/>
      <c r="B2964" s="5"/>
      <c r="C2964" s="5"/>
      <c r="D2964" s="5"/>
      <c r="E2964" s="5"/>
      <c r="F2964" s="5"/>
      <c r="G2964" s="5"/>
      <c r="H2964" s="5"/>
      <c r="I2964" s="5"/>
      <c r="J2964" s="12"/>
      <c r="K2964" s="11"/>
      <c r="M2964" s="5"/>
      <c r="N2964" s="12"/>
      <c r="O2964" s="5"/>
      <c r="P2964" s="5"/>
      <c r="Q2964" s="5"/>
      <c r="R2964" s="5"/>
      <c r="T2964" s="5"/>
      <c r="U2964" s="5"/>
      <c r="V2964" s="5"/>
      <c r="W2964" s="5"/>
    </row>
    <row r="2965" spans="1:23" ht="12.5">
      <c r="A2965" s="5"/>
      <c r="B2965" s="5"/>
      <c r="C2965" s="5"/>
      <c r="D2965" s="5"/>
      <c r="E2965" s="5"/>
      <c r="F2965" s="5"/>
      <c r="G2965" s="5"/>
      <c r="H2965" s="5"/>
      <c r="I2965" s="5"/>
      <c r="J2965" s="12"/>
      <c r="K2965" s="11"/>
      <c r="M2965" s="5"/>
      <c r="N2965" s="12"/>
      <c r="O2965" s="5"/>
      <c r="P2965" s="5"/>
      <c r="Q2965" s="5"/>
      <c r="R2965" s="5"/>
      <c r="T2965" s="5"/>
      <c r="U2965" s="5"/>
      <c r="V2965" s="5"/>
      <c r="W2965" s="5"/>
    </row>
    <row r="2966" spans="1:23" ht="12.5">
      <c r="A2966" s="5"/>
      <c r="B2966" s="5"/>
      <c r="C2966" s="5"/>
      <c r="D2966" s="5"/>
      <c r="E2966" s="5"/>
      <c r="F2966" s="5"/>
      <c r="G2966" s="5"/>
      <c r="H2966" s="5"/>
      <c r="I2966" s="5"/>
      <c r="J2966" s="12"/>
      <c r="K2966" s="11"/>
      <c r="M2966" s="5"/>
      <c r="N2966" s="12"/>
      <c r="O2966" s="5"/>
      <c r="P2966" s="5"/>
      <c r="Q2966" s="5"/>
      <c r="R2966" s="5"/>
      <c r="T2966" s="5"/>
      <c r="U2966" s="5"/>
      <c r="V2966" s="5"/>
      <c r="W2966" s="5"/>
    </row>
    <row r="2967" spans="1:23" ht="12.5">
      <c r="A2967" s="5"/>
      <c r="B2967" s="5"/>
      <c r="C2967" s="5"/>
      <c r="D2967" s="5"/>
      <c r="E2967" s="5"/>
      <c r="F2967" s="5"/>
      <c r="G2967" s="5"/>
      <c r="H2967" s="5"/>
      <c r="I2967" s="5"/>
      <c r="J2967" s="12"/>
      <c r="K2967" s="11"/>
      <c r="M2967" s="5"/>
      <c r="N2967" s="12"/>
      <c r="O2967" s="5"/>
      <c r="P2967" s="5"/>
      <c r="Q2967" s="5"/>
      <c r="R2967" s="5"/>
      <c r="T2967" s="5"/>
      <c r="U2967" s="5"/>
      <c r="V2967" s="5"/>
      <c r="W2967" s="5"/>
    </row>
    <row r="2968" spans="1:23" ht="12.5">
      <c r="A2968" s="5"/>
      <c r="B2968" s="5"/>
      <c r="C2968" s="5"/>
      <c r="D2968" s="5"/>
      <c r="E2968" s="5"/>
      <c r="F2968" s="5"/>
      <c r="G2968" s="5"/>
      <c r="H2968" s="5"/>
      <c r="I2968" s="5"/>
      <c r="J2968" s="12"/>
      <c r="K2968" s="11"/>
      <c r="M2968" s="5"/>
      <c r="N2968" s="12"/>
      <c r="O2968" s="5"/>
      <c r="P2968" s="5"/>
      <c r="Q2968" s="5"/>
      <c r="R2968" s="5"/>
      <c r="T2968" s="5"/>
      <c r="U2968" s="5"/>
      <c r="V2968" s="5"/>
      <c r="W2968" s="5"/>
    </row>
    <row r="2969" spans="1:23" ht="12.5">
      <c r="A2969" s="5"/>
      <c r="B2969" s="5"/>
      <c r="C2969" s="5"/>
      <c r="D2969" s="5"/>
      <c r="E2969" s="5"/>
      <c r="F2969" s="5"/>
      <c r="G2969" s="5"/>
      <c r="H2969" s="5"/>
      <c r="I2969" s="5"/>
      <c r="J2969" s="12"/>
      <c r="K2969" s="11"/>
      <c r="M2969" s="5"/>
      <c r="N2969" s="12"/>
      <c r="O2969" s="5"/>
      <c r="P2969" s="5"/>
      <c r="Q2969" s="5"/>
      <c r="R2969" s="5"/>
      <c r="T2969" s="5"/>
      <c r="U2969" s="5"/>
      <c r="V2969" s="5"/>
      <c r="W2969" s="5"/>
    </row>
    <row r="2970" spans="1:23" ht="12.5">
      <c r="A2970" s="5"/>
      <c r="B2970" s="5"/>
      <c r="C2970" s="5"/>
      <c r="D2970" s="5"/>
      <c r="E2970" s="5"/>
      <c r="F2970" s="5"/>
      <c r="G2970" s="5"/>
      <c r="H2970" s="5"/>
      <c r="I2970" s="5"/>
      <c r="J2970" s="12"/>
      <c r="K2970" s="11"/>
      <c r="M2970" s="5"/>
      <c r="N2970" s="12"/>
      <c r="O2970" s="5"/>
      <c r="P2970" s="5"/>
      <c r="Q2970" s="5"/>
      <c r="R2970" s="5"/>
      <c r="T2970" s="5"/>
      <c r="U2970" s="5"/>
      <c r="V2970" s="5"/>
      <c r="W2970" s="5"/>
    </row>
    <row r="2971" spans="1:23" ht="12.5">
      <c r="A2971" s="5"/>
      <c r="B2971" s="5"/>
      <c r="C2971" s="5"/>
      <c r="D2971" s="5"/>
      <c r="E2971" s="5"/>
      <c r="F2971" s="5"/>
      <c r="G2971" s="5"/>
      <c r="H2971" s="5"/>
      <c r="I2971" s="5"/>
      <c r="J2971" s="12"/>
      <c r="K2971" s="11"/>
      <c r="M2971" s="5"/>
      <c r="N2971" s="12"/>
      <c r="O2971" s="5"/>
      <c r="P2971" s="5"/>
      <c r="Q2971" s="5"/>
      <c r="R2971" s="5"/>
      <c r="T2971" s="5"/>
      <c r="U2971" s="5"/>
      <c r="V2971" s="5"/>
      <c r="W2971" s="5"/>
    </row>
    <row r="2972" spans="1:23" ht="12.5">
      <c r="A2972" s="5"/>
      <c r="B2972" s="5"/>
      <c r="C2972" s="5"/>
      <c r="D2972" s="5"/>
      <c r="E2972" s="5"/>
      <c r="F2972" s="5"/>
      <c r="G2972" s="5"/>
      <c r="H2972" s="5"/>
      <c r="I2972" s="5"/>
      <c r="J2972" s="12"/>
      <c r="K2972" s="11"/>
      <c r="M2972" s="5"/>
      <c r="N2972" s="12"/>
      <c r="O2972" s="5"/>
      <c r="P2972" s="5"/>
      <c r="Q2972" s="5"/>
      <c r="R2972" s="5"/>
      <c r="T2972" s="5"/>
      <c r="U2972" s="5"/>
      <c r="V2972" s="5"/>
      <c r="W2972" s="5"/>
    </row>
    <row r="2973" spans="1:23" ht="12.5">
      <c r="A2973" s="5"/>
      <c r="B2973" s="5"/>
      <c r="C2973" s="5"/>
      <c r="D2973" s="5"/>
      <c r="E2973" s="5"/>
      <c r="F2973" s="5"/>
      <c r="G2973" s="5"/>
      <c r="H2973" s="5"/>
      <c r="I2973" s="5"/>
      <c r="J2973" s="12"/>
      <c r="K2973" s="11"/>
      <c r="M2973" s="5"/>
      <c r="N2973" s="12"/>
      <c r="O2973" s="5"/>
      <c r="P2973" s="5"/>
      <c r="Q2973" s="5"/>
      <c r="R2973" s="5"/>
      <c r="T2973" s="5"/>
      <c r="U2973" s="5"/>
      <c r="V2973" s="5"/>
      <c r="W2973" s="5"/>
    </row>
    <row r="2974" spans="1:23" ht="12.5">
      <c r="A2974" s="5"/>
      <c r="B2974" s="5"/>
      <c r="C2974" s="5"/>
      <c r="D2974" s="5"/>
      <c r="E2974" s="5"/>
      <c r="F2974" s="5"/>
      <c r="G2974" s="5"/>
      <c r="H2974" s="5"/>
      <c r="I2974" s="5"/>
      <c r="J2974" s="12"/>
      <c r="K2974" s="11"/>
      <c r="M2974" s="5"/>
      <c r="N2974" s="12"/>
      <c r="O2974" s="5"/>
      <c r="P2974" s="5"/>
      <c r="Q2974" s="5"/>
      <c r="R2974" s="5"/>
      <c r="T2974" s="5"/>
      <c r="U2974" s="5"/>
      <c r="V2974" s="5"/>
      <c r="W2974" s="5"/>
    </row>
    <row r="2975" spans="1:23" ht="12.5">
      <c r="A2975" s="5"/>
      <c r="B2975" s="5"/>
      <c r="C2975" s="5"/>
      <c r="D2975" s="5"/>
      <c r="E2975" s="5"/>
      <c r="F2975" s="5"/>
      <c r="G2975" s="5"/>
      <c r="H2975" s="5"/>
      <c r="I2975" s="5"/>
      <c r="J2975" s="12"/>
      <c r="K2975" s="11"/>
      <c r="M2975" s="5"/>
      <c r="N2975" s="12"/>
      <c r="O2975" s="5"/>
      <c r="P2975" s="5"/>
      <c r="Q2975" s="5"/>
      <c r="R2975" s="5"/>
      <c r="T2975" s="5"/>
      <c r="U2975" s="5"/>
      <c r="V2975" s="5"/>
      <c r="W2975" s="5"/>
    </row>
    <row r="2976" spans="1:23" ht="12.5">
      <c r="A2976" s="5"/>
      <c r="B2976" s="5"/>
      <c r="C2976" s="5"/>
      <c r="D2976" s="5"/>
      <c r="E2976" s="5"/>
      <c r="F2976" s="5"/>
      <c r="G2976" s="5"/>
      <c r="H2976" s="5"/>
      <c r="I2976" s="5"/>
      <c r="J2976" s="12"/>
      <c r="K2976" s="11"/>
      <c r="M2976" s="5"/>
      <c r="N2976" s="12"/>
      <c r="O2976" s="5"/>
      <c r="P2976" s="5"/>
      <c r="Q2976" s="5"/>
      <c r="R2976" s="5"/>
      <c r="T2976" s="5"/>
      <c r="U2976" s="5"/>
      <c r="V2976" s="5"/>
      <c r="W2976" s="5"/>
    </row>
    <row r="2977" spans="1:23" ht="12.5">
      <c r="A2977" s="5"/>
      <c r="B2977" s="5"/>
      <c r="C2977" s="5"/>
      <c r="D2977" s="5"/>
      <c r="E2977" s="5"/>
      <c r="F2977" s="5"/>
      <c r="G2977" s="5"/>
      <c r="H2977" s="5"/>
      <c r="I2977" s="5"/>
      <c r="J2977" s="12"/>
      <c r="K2977" s="11"/>
      <c r="M2977" s="5"/>
      <c r="N2977" s="12"/>
      <c r="O2977" s="5"/>
      <c r="P2977" s="5"/>
      <c r="Q2977" s="5"/>
      <c r="R2977" s="5"/>
      <c r="T2977" s="5"/>
      <c r="U2977" s="5"/>
      <c r="V2977" s="5"/>
      <c r="W2977" s="5"/>
    </row>
    <row r="2978" spans="1:23" ht="12.5">
      <c r="A2978" s="5"/>
      <c r="B2978" s="5"/>
      <c r="C2978" s="5"/>
      <c r="D2978" s="5"/>
      <c r="E2978" s="5"/>
      <c r="F2978" s="5"/>
      <c r="G2978" s="5"/>
      <c r="H2978" s="5"/>
      <c r="I2978" s="5"/>
      <c r="J2978" s="12"/>
      <c r="K2978" s="11"/>
      <c r="M2978" s="5"/>
      <c r="N2978" s="12"/>
      <c r="O2978" s="5"/>
      <c r="P2978" s="5"/>
      <c r="Q2978" s="5"/>
      <c r="R2978" s="5"/>
      <c r="T2978" s="5"/>
      <c r="U2978" s="5"/>
      <c r="V2978" s="5"/>
      <c r="W2978" s="5"/>
    </row>
    <row r="2979" spans="1:23" ht="12.5">
      <c r="A2979" s="5"/>
      <c r="B2979" s="5"/>
      <c r="C2979" s="5"/>
      <c r="D2979" s="5"/>
      <c r="E2979" s="5"/>
      <c r="F2979" s="5"/>
      <c r="G2979" s="5"/>
      <c r="H2979" s="5"/>
      <c r="I2979" s="5"/>
      <c r="J2979" s="12"/>
      <c r="K2979" s="11"/>
      <c r="M2979" s="5"/>
      <c r="N2979" s="12"/>
      <c r="O2979" s="5"/>
      <c r="P2979" s="5"/>
      <c r="Q2979" s="5"/>
      <c r="R2979" s="5"/>
      <c r="T2979" s="5"/>
      <c r="U2979" s="5"/>
      <c r="V2979" s="5"/>
      <c r="W2979" s="5"/>
    </row>
    <row r="2980" spans="1:23" ht="12.5">
      <c r="A2980" s="5"/>
      <c r="B2980" s="5"/>
      <c r="C2980" s="5"/>
      <c r="D2980" s="5"/>
      <c r="E2980" s="5"/>
      <c r="F2980" s="5"/>
      <c r="G2980" s="5"/>
      <c r="H2980" s="5"/>
      <c r="I2980" s="5"/>
      <c r="J2980" s="12"/>
      <c r="K2980" s="11"/>
      <c r="M2980" s="5"/>
      <c r="N2980" s="12"/>
      <c r="O2980" s="5"/>
      <c r="P2980" s="5"/>
      <c r="Q2980" s="5"/>
      <c r="R2980" s="5"/>
      <c r="T2980" s="5"/>
      <c r="U2980" s="5"/>
      <c r="V2980" s="5"/>
      <c r="W2980" s="5"/>
    </row>
    <row r="2981" spans="1:23" ht="12.5">
      <c r="A2981" s="5"/>
      <c r="B2981" s="5"/>
      <c r="C2981" s="5"/>
      <c r="D2981" s="5"/>
      <c r="E2981" s="5"/>
      <c r="F2981" s="5"/>
      <c r="G2981" s="5"/>
      <c r="H2981" s="5"/>
      <c r="I2981" s="5"/>
      <c r="J2981" s="12"/>
      <c r="K2981" s="11"/>
      <c r="M2981" s="5"/>
      <c r="N2981" s="12"/>
      <c r="O2981" s="5"/>
      <c r="P2981" s="5"/>
      <c r="Q2981" s="5"/>
      <c r="R2981" s="5"/>
      <c r="T2981" s="5"/>
      <c r="U2981" s="5"/>
      <c r="V2981" s="5"/>
      <c r="W2981" s="5"/>
    </row>
    <row r="2982" spans="1:23" ht="12.5">
      <c r="A2982" s="5"/>
      <c r="B2982" s="5"/>
      <c r="C2982" s="5"/>
      <c r="D2982" s="5"/>
      <c r="E2982" s="5"/>
      <c r="F2982" s="5"/>
      <c r="G2982" s="5"/>
      <c r="H2982" s="5"/>
      <c r="I2982" s="5"/>
      <c r="J2982" s="12"/>
      <c r="K2982" s="11"/>
      <c r="M2982" s="5"/>
      <c r="N2982" s="12"/>
      <c r="O2982" s="5"/>
      <c r="P2982" s="5"/>
      <c r="Q2982" s="5"/>
      <c r="R2982" s="5"/>
      <c r="T2982" s="5"/>
      <c r="U2982" s="5"/>
      <c r="V2982" s="5"/>
      <c r="W2982" s="5"/>
    </row>
    <row r="2983" spans="1:23" ht="12.5">
      <c r="A2983" s="5"/>
      <c r="B2983" s="5"/>
      <c r="C2983" s="5"/>
      <c r="D2983" s="5"/>
      <c r="E2983" s="5"/>
      <c r="F2983" s="5"/>
      <c r="G2983" s="5"/>
      <c r="H2983" s="5"/>
      <c r="I2983" s="5"/>
      <c r="J2983" s="12"/>
      <c r="K2983" s="11"/>
      <c r="M2983" s="5"/>
      <c r="N2983" s="12"/>
      <c r="O2983" s="5"/>
      <c r="P2983" s="5"/>
      <c r="Q2983" s="5"/>
      <c r="R2983" s="5"/>
      <c r="T2983" s="5"/>
      <c r="U2983" s="5"/>
      <c r="V2983" s="5"/>
      <c r="W2983" s="5"/>
    </row>
    <row r="2984" spans="1:23" ht="12.5">
      <c r="A2984" s="5"/>
      <c r="B2984" s="5"/>
      <c r="C2984" s="5"/>
      <c r="D2984" s="5"/>
      <c r="E2984" s="5"/>
      <c r="F2984" s="5"/>
      <c r="G2984" s="5"/>
      <c r="H2984" s="5"/>
      <c r="I2984" s="5"/>
      <c r="J2984" s="12"/>
      <c r="K2984" s="11"/>
      <c r="M2984" s="5"/>
      <c r="N2984" s="12"/>
      <c r="O2984" s="5"/>
      <c r="P2984" s="5"/>
      <c r="Q2984" s="5"/>
      <c r="R2984" s="5"/>
      <c r="T2984" s="5"/>
      <c r="U2984" s="5"/>
      <c r="V2984" s="5"/>
      <c r="W2984" s="5"/>
    </row>
    <row r="2985" spans="1:23" ht="12.5">
      <c r="A2985" s="5"/>
      <c r="B2985" s="5"/>
      <c r="C2985" s="5"/>
      <c r="D2985" s="5"/>
      <c r="E2985" s="5"/>
      <c r="F2985" s="5"/>
      <c r="G2985" s="5"/>
      <c r="H2985" s="5"/>
      <c r="I2985" s="5"/>
      <c r="J2985" s="12"/>
      <c r="K2985" s="11"/>
      <c r="M2985" s="5"/>
      <c r="N2985" s="12"/>
      <c r="O2985" s="5"/>
      <c r="P2985" s="5"/>
      <c r="Q2985" s="5"/>
      <c r="R2985" s="5"/>
      <c r="T2985" s="5"/>
      <c r="U2985" s="5"/>
      <c r="V2985" s="5"/>
      <c r="W2985" s="5"/>
    </row>
    <row r="2986" spans="1:23" ht="12.5">
      <c r="A2986" s="5"/>
      <c r="B2986" s="5"/>
      <c r="C2986" s="5"/>
      <c r="D2986" s="5"/>
      <c r="E2986" s="5"/>
      <c r="F2986" s="5"/>
      <c r="G2986" s="5"/>
      <c r="H2986" s="5"/>
      <c r="I2986" s="5"/>
      <c r="J2986" s="12"/>
      <c r="K2986" s="11"/>
      <c r="M2986" s="5"/>
      <c r="N2986" s="12"/>
      <c r="O2986" s="5"/>
      <c r="P2986" s="5"/>
      <c r="Q2986" s="5"/>
      <c r="R2986" s="5"/>
      <c r="T2986" s="5"/>
      <c r="U2986" s="5"/>
      <c r="V2986" s="5"/>
      <c r="W2986" s="5"/>
    </row>
    <row r="2987" spans="1:23" ht="12.5">
      <c r="A2987" s="5"/>
      <c r="B2987" s="5"/>
      <c r="C2987" s="5"/>
      <c r="D2987" s="5"/>
      <c r="E2987" s="5"/>
      <c r="F2987" s="5"/>
      <c r="G2987" s="5"/>
      <c r="H2987" s="5"/>
      <c r="I2987" s="5"/>
      <c r="J2987" s="12"/>
      <c r="K2987" s="11"/>
      <c r="M2987" s="5"/>
      <c r="N2987" s="12"/>
      <c r="O2987" s="5"/>
      <c r="P2987" s="5"/>
      <c r="Q2987" s="5"/>
      <c r="R2987" s="5"/>
      <c r="T2987" s="5"/>
      <c r="U2987" s="5"/>
      <c r="V2987" s="5"/>
      <c r="W2987" s="5"/>
    </row>
    <row r="2988" spans="1:23" ht="12.5">
      <c r="A2988" s="5"/>
      <c r="B2988" s="5"/>
      <c r="C2988" s="5"/>
      <c r="D2988" s="5"/>
      <c r="E2988" s="5"/>
      <c r="F2988" s="5"/>
      <c r="G2988" s="5"/>
      <c r="H2988" s="5"/>
      <c r="I2988" s="5"/>
      <c r="J2988" s="12"/>
      <c r="K2988" s="11"/>
      <c r="M2988" s="5"/>
      <c r="N2988" s="12"/>
      <c r="O2988" s="5"/>
      <c r="P2988" s="5"/>
      <c r="Q2988" s="5"/>
      <c r="R2988" s="5"/>
      <c r="T2988" s="5"/>
      <c r="U2988" s="5"/>
      <c r="V2988" s="5"/>
      <c r="W2988" s="5"/>
    </row>
    <row r="2989" spans="1:23" ht="12.5">
      <c r="A2989" s="5"/>
      <c r="B2989" s="5"/>
      <c r="C2989" s="5"/>
      <c r="D2989" s="5"/>
      <c r="E2989" s="5"/>
      <c r="F2989" s="5"/>
      <c r="G2989" s="5"/>
      <c r="H2989" s="5"/>
      <c r="I2989" s="5"/>
      <c r="J2989" s="12"/>
      <c r="K2989" s="11"/>
      <c r="M2989" s="5"/>
      <c r="N2989" s="12"/>
      <c r="O2989" s="5"/>
      <c r="P2989" s="5"/>
      <c r="Q2989" s="5"/>
      <c r="R2989" s="5"/>
      <c r="T2989" s="5"/>
      <c r="U2989" s="5"/>
      <c r="V2989" s="5"/>
      <c r="W2989" s="5"/>
    </row>
    <row r="2990" spans="1:23" ht="12.5">
      <c r="A2990" s="5"/>
      <c r="B2990" s="5"/>
      <c r="C2990" s="5"/>
      <c r="D2990" s="5"/>
      <c r="E2990" s="5"/>
      <c r="F2990" s="5"/>
      <c r="G2990" s="5"/>
      <c r="H2990" s="5"/>
      <c r="I2990" s="5"/>
      <c r="J2990" s="12"/>
      <c r="K2990" s="11"/>
      <c r="M2990" s="5"/>
      <c r="N2990" s="12"/>
      <c r="O2990" s="5"/>
      <c r="P2990" s="5"/>
      <c r="Q2990" s="5"/>
      <c r="R2990" s="5"/>
      <c r="T2990" s="5"/>
      <c r="U2990" s="5"/>
      <c r="V2990" s="5"/>
      <c r="W2990" s="5"/>
    </row>
    <row r="2991" spans="1:23" ht="12.5">
      <c r="A2991" s="5"/>
      <c r="B2991" s="5"/>
      <c r="C2991" s="5"/>
      <c r="D2991" s="5"/>
      <c r="E2991" s="5"/>
      <c r="F2991" s="5"/>
      <c r="G2991" s="5"/>
      <c r="H2991" s="5"/>
      <c r="I2991" s="5"/>
      <c r="J2991" s="12"/>
      <c r="K2991" s="11"/>
      <c r="M2991" s="5"/>
      <c r="N2991" s="12"/>
      <c r="O2991" s="5"/>
      <c r="P2991" s="5"/>
      <c r="Q2991" s="5"/>
      <c r="R2991" s="5"/>
      <c r="T2991" s="5"/>
      <c r="U2991" s="5"/>
      <c r="V2991" s="5"/>
      <c r="W2991" s="5"/>
    </row>
    <row r="2992" spans="1:23" ht="12.5">
      <c r="A2992" s="5"/>
      <c r="B2992" s="5"/>
      <c r="C2992" s="5"/>
      <c r="D2992" s="5"/>
      <c r="E2992" s="5"/>
      <c r="F2992" s="5"/>
      <c r="G2992" s="5"/>
      <c r="H2992" s="5"/>
      <c r="I2992" s="5"/>
      <c r="J2992" s="12"/>
      <c r="K2992" s="11"/>
      <c r="M2992" s="5"/>
      <c r="N2992" s="12"/>
      <c r="O2992" s="5"/>
      <c r="P2992" s="5"/>
      <c r="Q2992" s="5"/>
      <c r="R2992" s="5"/>
      <c r="T2992" s="5"/>
      <c r="U2992" s="5"/>
      <c r="V2992" s="5"/>
      <c r="W2992" s="5"/>
    </row>
    <row r="2993" spans="1:23" ht="12.5">
      <c r="A2993" s="5"/>
      <c r="B2993" s="5"/>
      <c r="C2993" s="5"/>
      <c r="D2993" s="5"/>
      <c r="E2993" s="5"/>
      <c r="F2993" s="5"/>
      <c r="G2993" s="5"/>
      <c r="H2993" s="5"/>
      <c r="I2993" s="5"/>
      <c r="J2993" s="12"/>
      <c r="K2993" s="11"/>
      <c r="M2993" s="5"/>
      <c r="N2993" s="12"/>
      <c r="O2993" s="5"/>
      <c r="P2993" s="5"/>
      <c r="Q2993" s="5"/>
      <c r="R2993" s="5"/>
      <c r="T2993" s="5"/>
      <c r="U2993" s="5"/>
      <c r="V2993" s="5"/>
      <c r="W2993" s="5"/>
    </row>
    <row r="2994" spans="1:23" ht="12.5">
      <c r="A2994" s="5"/>
      <c r="B2994" s="5"/>
      <c r="C2994" s="5"/>
      <c r="D2994" s="5"/>
      <c r="E2994" s="5"/>
      <c r="F2994" s="5"/>
      <c r="G2994" s="5"/>
      <c r="H2994" s="5"/>
      <c r="I2994" s="5"/>
      <c r="J2994" s="12"/>
      <c r="K2994" s="11"/>
      <c r="M2994" s="5"/>
      <c r="N2994" s="12"/>
      <c r="O2994" s="5"/>
      <c r="P2994" s="5"/>
      <c r="Q2994" s="5"/>
      <c r="R2994" s="5"/>
      <c r="T2994" s="5"/>
      <c r="U2994" s="5"/>
      <c r="V2994" s="5"/>
      <c r="W2994" s="5"/>
    </row>
    <row r="2995" spans="1:23" ht="12.5">
      <c r="A2995" s="5"/>
      <c r="B2995" s="5"/>
      <c r="C2995" s="5"/>
      <c r="D2995" s="5"/>
      <c r="E2995" s="5"/>
      <c r="F2995" s="5"/>
      <c r="G2995" s="5"/>
      <c r="H2995" s="5"/>
      <c r="I2995" s="5"/>
      <c r="J2995" s="12"/>
      <c r="K2995" s="11"/>
      <c r="M2995" s="5"/>
      <c r="N2995" s="12"/>
      <c r="O2995" s="5"/>
      <c r="P2995" s="5"/>
      <c r="Q2995" s="5"/>
      <c r="R2995" s="5"/>
      <c r="T2995" s="5"/>
      <c r="U2995" s="5"/>
      <c r="V2995" s="5"/>
      <c r="W2995" s="5"/>
    </row>
    <row r="2996" spans="1:23" ht="12.5">
      <c r="A2996" s="5"/>
      <c r="B2996" s="5"/>
      <c r="C2996" s="5"/>
      <c r="D2996" s="5"/>
      <c r="E2996" s="5"/>
      <c r="F2996" s="5"/>
      <c r="G2996" s="5"/>
      <c r="H2996" s="5"/>
      <c r="I2996" s="5"/>
      <c r="J2996" s="12"/>
      <c r="K2996" s="11"/>
      <c r="M2996" s="5"/>
      <c r="N2996" s="12"/>
      <c r="O2996" s="5"/>
      <c r="P2996" s="5"/>
      <c r="Q2996" s="5"/>
      <c r="R2996" s="5"/>
      <c r="T2996" s="5"/>
      <c r="U2996" s="5"/>
      <c r="V2996" s="5"/>
      <c r="W2996" s="5"/>
    </row>
    <row r="2997" spans="1:23" ht="12.5">
      <c r="A2997" s="5"/>
      <c r="B2997" s="5"/>
      <c r="C2997" s="5"/>
      <c r="D2997" s="5"/>
      <c r="E2997" s="5"/>
      <c r="F2997" s="5"/>
      <c r="G2997" s="5"/>
      <c r="H2997" s="5"/>
      <c r="I2997" s="5"/>
      <c r="J2997" s="12"/>
      <c r="K2997" s="11"/>
      <c r="M2997" s="5"/>
      <c r="N2997" s="12"/>
      <c r="O2997" s="5"/>
      <c r="P2997" s="5"/>
      <c r="Q2997" s="5"/>
      <c r="R2997" s="5"/>
      <c r="T2997" s="5"/>
      <c r="U2997" s="5"/>
      <c r="V2997" s="5"/>
      <c r="W2997" s="5"/>
    </row>
    <row r="2998" spans="1:23" ht="12.5">
      <c r="A2998" s="5"/>
      <c r="B2998" s="5"/>
      <c r="C2998" s="5"/>
      <c r="D2998" s="5"/>
      <c r="E2998" s="5"/>
      <c r="F2998" s="5"/>
      <c r="G2998" s="5"/>
      <c r="H2998" s="5"/>
      <c r="I2998" s="5"/>
      <c r="J2998" s="12"/>
      <c r="K2998" s="11"/>
      <c r="M2998" s="5"/>
      <c r="N2998" s="12"/>
      <c r="O2998" s="5"/>
      <c r="P2998" s="5"/>
      <c r="Q2998" s="5"/>
      <c r="R2998" s="5"/>
      <c r="T2998" s="5"/>
      <c r="U2998" s="5"/>
      <c r="V2998" s="5"/>
      <c r="W2998" s="5"/>
    </row>
    <row r="2999" spans="1:23" ht="12.5">
      <c r="A2999" s="5"/>
      <c r="B2999" s="5"/>
      <c r="C2999" s="5"/>
      <c r="D2999" s="5"/>
      <c r="E2999" s="5"/>
      <c r="F2999" s="5"/>
      <c r="G2999" s="5"/>
      <c r="H2999" s="5"/>
      <c r="I2999" s="5"/>
      <c r="J2999" s="12"/>
      <c r="K2999" s="11"/>
      <c r="M2999" s="5"/>
      <c r="N2999" s="12"/>
      <c r="O2999" s="5"/>
      <c r="P2999" s="5"/>
      <c r="Q2999" s="5"/>
      <c r="R2999" s="5"/>
      <c r="T2999" s="5"/>
      <c r="U2999" s="5"/>
      <c r="V2999" s="5"/>
      <c r="W2999" s="5"/>
    </row>
    <row r="3000" spans="1:23" ht="12.5">
      <c r="A3000" s="5"/>
      <c r="B3000" s="5"/>
      <c r="C3000" s="5"/>
      <c r="D3000" s="5"/>
      <c r="E3000" s="5"/>
      <c r="F3000" s="5"/>
      <c r="G3000" s="5"/>
      <c r="H3000" s="5"/>
      <c r="I3000" s="5"/>
      <c r="J3000" s="12"/>
      <c r="K3000" s="11"/>
      <c r="M3000" s="5"/>
      <c r="N3000" s="12"/>
      <c r="O3000" s="5"/>
      <c r="P3000" s="5"/>
      <c r="Q3000" s="5"/>
      <c r="R3000" s="5"/>
      <c r="T3000" s="5"/>
      <c r="U3000" s="5"/>
      <c r="V3000" s="5"/>
      <c r="W3000" s="5"/>
    </row>
    <row r="3001" spans="1:23" ht="12.5">
      <c r="A3001" s="5"/>
      <c r="B3001" s="5"/>
      <c r="C3001" s="5"/>
      <c r="D3001" s="5"/>
      <c r="E3001" s="5"/>
      <c r="F3001" s="5"/>
      <c r="G3001" s="5"/>
      <c r="H3001" s="5"/>
      <c r="I3001" s="5"/>
      <c r="J3001" s="12"/>
      <c r="K3001" s="11"/>
      <c r="M3001" s="5"/>
      <c r="N3001" s="12"/>
      <c r="O3001" s="5"/>
      <c r="P3001" s="5"/>
      <c r="Q3001" s="5"/>
      <c r="R3001" s="5"/>
      <c r="T3001" s="5"/>
      <c r="U3001" s="5"/>
      <c r="V3001" s="5"/>
      <c r="W3001" s="5"/>
    </row>
    <row r="3002" spans="1:23" ht="12.5">
      <c r="A3002" s="5"/>
      <c r="B3002" s="5"/>
      <c r="C3002" s="5"/>
      <c r="D3002" s="5"/>
      <c r="E3002" s="5"/>
      <c r="F3002" s="5"/>
      <c r="G3002" s="5"/>
      <c r="H3002" s="5"/>
      <c r="I3002" s="5"/>
      <c r="J3002" s="12"/>
      <c r="K3002" s="11"/>
      <c r="M3002" s="5"/>
      <c r="N3002" s="12"/>
      <c r="O3002" s="5"/>
      <c r="P3002" s="5"/>
      <c r="Q3002" s="5"/>
      <c r="R3002" s="5"/>
      <c r="T3002" s="5"/>
      <c r="U3002" s="5"/>
      <c r="V3002" s="5"/>
      <c r="W3002" s="5"/>
    </row>
    <row r="3003" spans="1:23" ht="12.5">
      <c r="A3003" s="5"/>
      <c r="B3003" s="5"/>
      <c r="C3003" s="5"/>
      <c r="D3003" s="5"/>
      <c r="E3003" s="5"/>
      <c r="F3003" s="5"/>
      <c r="G3003" s="5"/>
      <c r="H3003" s="5"/>
      <c r="I3003" s="5"/>
      <c r="J3003" s="12"/>
      <c r="K3003" s="11"/>
      <c r="M3003" s="5"/>
      <c r="N3003" s="12"/>
      <c r="O3003" s="5"/>
      <c r="P3003" s="5"/>
      <c r="Q3003" s="5"/>
      <c r="R3003" s="5"/>
      <c r="T3003" s="5"/>
      <c r="U3003" s="5"/>
      <c r="V3003" s="5"/>
      <c r="W3003" s="5"/>
    </row>
    <row r="3004" spans="1:23" ht="12.5">
      <c r="A3004" s="5"/>
      <c r="B3004" s="5"/>
      <c r="C3004" s="5"/>
      <c r="D3004" s="5"/>
      <c r="E3004" s="5"/>
      <c r="F3004" s="5"/>
      <c r="G3004" s="5"/>
      <c r="H3004" s="5"/>
      <c r="I3004" s="5"/>
      <c r="J3004" s="12"/>
      <c r="K3004" s="11"/>
      <c r="M3004" s="5"/>
      <c r="N3004" s="12"/>
      <c r="O3004" s="5"/>
      <c r="P3004" s="5"/>
      <c r="Q3004" s="5"/>
      <c r="R3004" s="5"/>
      <c r="T3004" s="5"/>
      <c r="U3004" s="5"/>
      <c r="V3004" s="5"/>
      <c r="W3004" s="5"/>
    </row>
    <row r="3005" spans="1:23" ht="12.5">
      <c r="A3005" s="5"/>
      <c r="B3005" s="5"/>
      <c r="C3005" s="5"/>
      <c r="D3005" s="5"/>
      <c r="E3005" s="5"/>
      <c r="F3005" s="5"/>
      <c r="G3005" s="5"/>
      <c r="H3005" s="5"/>
      <c r="I3005" s="5"/>
      <c r="J3005" s="12"/>
      <c r="K3005" s="11"/>
      <c r="M3005" s="5"/>
      <c r="N3005" s="12"/>
      <c r="O3005" s="5"/>
      <c r="P3005" s="5"/>
      <c r="Q3005" s="5"/>
      <c r="R3005" s="5"/>
      <c r="T3005" s="5"/>
      <c r="U3005" s="5"/>
      <c r="V3005" s="5"/>
      <c r="W3005" s="5"/>
    </row>
    <row r="3006" spans="1:23" ht="12.5">
      <c r="A3006" s="5"/>
      <c r="B3006" s="5"/>
      <c r="C3006" s="5"/>
      <c r="D3006" s="5"/>
      <c r="E3006" s="5"/>
      <c r="F3006" s="5"/>
      <c r="G3006" s="5"/>
      <c r="H3006" s="5"/>
      <c r="I3006" s="5"/>
      <c r="J3006" s="12"/>
      <c r="K3006" s="11"/>
      <c r="M3006" s="5"/>
      <c r="N3006" s="12"/>
      <c r="O3006" s="5"/>
      <c r="P3006" s="5"/>
      <c r="Q3006" s="5"/>
      <c r="R3006" s="5"/>
      <c r="T3006" s="5"/>
      <c r="U3006" s="5"/>
      <c r="V3006" s="5"/>
      <c r="W3006" s="5"/>
    </row>
    <row r="3007" spans="1:23" ht="12.5">
      <c r="A3007" s="5"/>
      <c r="B3007" s="5"/>
      <c r="C3007" s="5"/>
      <c r="D3007" s="5"/>
      <c r="E3007" s="5"/>
      <c r="F3007" s="5"/>
      <c r="G3007" s="5"/>
      <c r="H3007" s="5"/>
      <c r="I3007" s="5"/>
      <c r="J3007" s="12"/>
      <c r="K3007" s="11"/>
      <c r="M3007" s="5"/>
      <c r="N3007" s="12"/>
      <c r="O3007" s="5"/>
      <c r="P3007" s="5"/>
      <c r="Q3007" s="5"/>
      <c r="R3007" s="5"/>
      <c r="T3007" s="5"/>
      <c r="U3007" s="5"/>
      <c r="V3007" s="5"/>
      <c r="W3007" s="5"/>
    </row>
    <row r="3008" spans="1:23" ht="12.5">
      <c r="A3008" s="5"/>
      <c r="B3008" s="5"/>
      <c r="C3008" s="5"/>
      <c r="D3008" s="5"/>
      <c r="E3008" s="5"/>
      <c r="F3008" s="5"/>
      <c r="G3008" s="5"/>
      <c r="H3008" s="5"/>
      <c r="I3008" s="5"/>
      <c r="J3008" s="12"/>
      <c r="K3008" s="11"/>
      <c r="M3008" s="5"/>
      <c r="N3008" s="12"/>
      <c r="O3008" s="5"/>
      <c r="P3008" s="5"/>
      <c r="Q3008" s="5"/>
      <c r="R3008" s="5"/>
      <c r="T3008" s="5"/>
      <c r="U3008" s="5"/>
      <c r="V3008" s="5"/>
      <c r="W3008" s="5"/>
    </row>
    <row r="3009" spans="1:23" ht="12.5">
      <c r="A3009" s="5"/>
      <c r="B3009" s="5"/>
      <c r="C3009" s="5"/>
      <c r="D3009" s="5"/>
      <c r="E3009" s="5"/>
      <c r="F3009" s="5"/>
      <c r="G3009" s="5"/>
      <c r="H3009" s="5"/>
      <c r="I3009" s="5"/>
      <c r="J3009" s="12"/>
      <c r="K3009" s="11"/>
      <c r="M3009" s="5"/>
      <c r="N3009" s="12"/>
      <c r="O3009" s="5"/>
      <c r="P3009" s="5"/>
      <c r="Q3009" s="5"/>
      <c r="R3009" s="5"/>
      <c r="T3009" s="5"/>
      <c r="U3009" s="5"/>
      <c r="V3009" s="5"/>
      <c r="W3009" s="5"/>
    </row>
    <row r="3010" spans="1:23" ht="12.5">
      <c r="A3010" s="5"/>
      <c r="B3010" s="5"/>
      <c r="C3010" s="5"/>
      <c r="D3010" s="5"/>
      <c r="E3010" s="5"/>
      <c r="F3010" s="5"/>
      <c r="G3010" s="5"/>
      <c r="H3010" s="5"/>
      <c r="I3010" s="5"/>
      <c r="J3010" s="12"/>
      <c r="K3010" s="11"/>
      <c r="M3010" s="5"/>
      <c r="N3010" s="12"/>
      <c r="O3010" s="5"/>
      <c r="P3010" s="5"/>
      <c r="Q3010" s="5"/>
      <c r="R3010" s="5"/>
      <c r="T3010" s="5"/>
      <c r="U3010" s="5"/>
      <c r="V3010" s="5"/>
      <c r="W3010" s="5"/>
    </row>
    <row r="3011" spans="1:23" ht="12.5">
      <c r="A3011" s="5"/>
      <c r="B3011" s="5"/>
      <c r="C3011" s="5"/>
      <c r="D3011" s="5"/>
      <c r="E3011" s="5"/>
      <c r="F3011" s="5"/>
      <c r="G3011" s="5"/>
      <c r="H3011" s="5"/>
      <c r="I3011" s="5"/>
      <c r="J3011" s="12"/>
      <c r="K3011" s="11"/>
      <c r="M3011" s="5"/>
      <c r="N3011" s="12"/>
      <c r="O3011" s="5"/>
      <c r="P3011" s="5"/>
      <c r="Q3011" s="5"/>
      <c r="R3011" s="5"/>
      <c r="T3011" s="5"/>
      <c r="U3011" s="5"/>
      <c r="V3011" s="5"/>
      <c r="W3011" s="5"/>
    </row>
    <row r="3012" spans="1:23" ht="12.5">
      <c r="A3012" s="5"/>
      <c r="B3012" s="5"/>
      <c r="C3012" s="5"/>
      <c r="D3012" s="5"/>
      <c r="E3012" s="5"/>
      <c r="F3012" s="5"/>
      <c r="G3012" s="5"/>
      <c r="H3012" s="5"/>
      <c r="I3012" s="5"/>
      <c r="J3012" s="12"/>
      <c r="K3012" s="11"/>
      <c r="M3012" s="5"/>
      <c r="N3012" s="12"/>
      <c r="O3012" s="5"/>
      <c r="P3012" s="5"/>
      <c r="Q3012" s="5"/>
      <c r="R3012" s="5"/>
      <c r="T3012" s="5"/>
      <c r="U3012" s="5"/>
      <c r="V3012" s="5"/>
      <c r="W3012" s="5"/>
    </row>
    <row r="3013" spans="1:23" ht="12.5">
      <c r="A3013" s="5"/>
      <c r="B3013" s="5"/>
      <c r="C3013" s="5"/>
      <c r="D3013" s="5"/>
      <c r="E3013" s="5"/>
      <c r="F3013" s="5"/>
      <c r="G3013" s="5"/>
      <c r="H3013" s="5"/>
      <c r="I3013" s="5"/>
      <c r="J3013" s="12"/>
      <c r="K3013" s="11"/>
      <c r="M3013" s="5"/>
      <c r="N3013" s="12"/>
      <c r="O3013" s="5"/>
      <c r="P3013" s="5"/>
      <c r="Q3013" s="5"/>
      <c r="R3013" s="5"/>
      <c r="T3013" s="5"/>
      <c r="U3013" s="5"/>
      <c r="V3013" s="5"/>
      <c r="W3013" s="5"/>
    </row>
    <row r="3014" spans="1:23" ht="12.5">
      <c r="A3014" s="5"/>
      <c r="B3014" s="5"/>
      <c r="C3014" s="5"/>
      <c r="D3014" s="5"/>
      <c r="E3014" s="5"/>
      <c r="F3014" s="5"/>
      <c r="G3014" s="5"/>
      <c r="H3014" s="5"/>
      <c r="I3014" s="5"/>
      <c r="J3014" s="12"/>
      <c r="K3014" s="11"/>
      <c r="M3014" s="5"/>
      <c r="N3014" s="12"/>
      <c r="O3014" s="5"/>
      <c r="P3014" s="5"/>
      <c r="Q3014" s="5"/>
      <c r="R3014" s="5"/>
      <c r="T3014" s="5"/>
      <c r="U3014" s="5"/>
      <c r="V3014" s="5"/>
      <c r="W3014" s="5"/>
    </row>
    <row r="3015" spans="1:23" ht="12.5">
      <c r="A3015" s="5"/>
      <c r="B3015" s="5"/>
      <c r="C3015" s="5"/>
      <c r="D3015" s="5"/>
      <c r="E3015" s="5"/>
      <c r="F3015" s="5"/>
      <c r="G3015" s="5"/>
      <c r="H3015" s="5"/>
      <c r="I3015" s="5"/>
      <c r="J3015" s="12"/>
      <c r="K3015" s="11"/>
      <c r="M3015" s="5"/>
      <c r="N3015" s="12"/>
      <c r="O3015" s="5"/>
      <c r="P3015" s="5"/>
      <c r="Q3015" s="5"/>
      <c r="R3015" s="5"/>
      <c r="T3015" s="5"/>
      <c r="U3015" s="5"/>
      <c r="V3015" s="5"/>
      <c r="W3015" s="5"/>
    </row>
    <row r="3016" spans="1:23" ht="12.5">
      <c r="A3016" s="5"/>
      <c r="B3016" s="5"/>
      <c r="C3016" s="5"/>
      <c r="D3016" s="5"/>
      <c r="E3016" s="5"/>
      <c r="F3016" s="5"/>
      <c r="G3016" s="5"/>
      <c r="H3016" s="5"/>
      <c r="I3016" s="5"/>
      <c r="J3016" s="12"/>
      <c r="K3016" s="11"/>
      <c r="M3016" s="5"/>
      <c r="N3016" s="12"/>
      <c r="O3016" s="5"/>
      <c r="P3016" s="5"/>
      <c r="Q3016" s="5"/>
      <c r="R3016" s="5"/>
      <c r="T3016" s="5"/>
      <c r="U3016" s="5"/>
      <c r="V3016" s="5"/>
      <c r="W3016" s="5"/>
    </row>
    <row r="3017" spans="1:23" ht="12.5">
      <c r="A3017" s="5"/>
      <c r="B3017" s="5"/>
      <c r="C3017" s="5"/>
      <c r="D3017" s="5"/>
      <c r="E3017" s="5"/>
      <c r="F3017" s="5"/>
      <c r="G3017" s="5"/>
      <c r="H3017" s="5"/>
      <c r="I3017" s="5"/>
      <c r="J3017" s="12"/>
      <c r="K3017" s="11"/>
      <c r="M3017" s="5"/>
      <c r="N3017" s="12"/>
      <c r="O3017" s="5"/>
      <c r="P3017" s="5"/>
      <c r="Q3017" s="5"/>
      <c r="R3017" s="5"/>
      <c r="T3017" s="5"/>
      <c r="U3017" s="5"/>
      <c r="V3017" s="5"/>
      <c r="W3017" s="5"/>
    </row>
    <row r="3018" spans="1:23" ht="12.5">
      <c r="A3018" s="5"/>
      <c r="B3018" s="5"/>
      <c r="C3018" s="5"/>
      <c r="D3018" s="5"/>
      <c r="E3018" s="5"/>
      <c r="F3018" s="5"/>
      <c r="G3018" s="5"/>
      <c r="H3018" s="5"/>
      <c r="I3018" s="5"/>
      <c r="J3018" s="12"/>
      <c r="K3018" s="11"/>
      <c r="M3018" s="5"/>
      <c r="N3018" s="12"/>
      <c r="O3018" s="5"/>
      <c r="P3018" s="5"/>
      <c r="Q3018" s="5"/>
      <c r="R3018" s="5"/>
      <c r="T3018" s="5"/>
      <c r="U3018" s="5"/>
      <c r="V3018" s="5"/>
      <c r="W3018" s="5"/>
    </row>
    <row r="3019" spans="1:23" ht="12.5">
      <c r="A3019" s="5"/>
      <c r="B3019" s="5"/>
      <c r="C3019" s="5"/>
      <c r="D3019" s="5"/>
      <c r="E3019" s="5"/>
      <c r="F3019" s="5"/>
      <c r="G3019" s="5"/>
      <c r="H3019" s="5"/>
      <c r="I3019" s="5"/>
      <c r="J3019" s="12"/>
      <c r="K3019" s="11"/>
      <c r="M3019" s="5"/>
      <c r="N3019" s="12"/>
      <c r="O3019" s="5"/>
      <c r="P3019" s="5"/>
      <c r="Q3019" s="5"/>
      <c r="R3019" s="5"/>
      <c r="T3019" s="5"/>
      <c r="U3019" s="5"/>
      <c r="V3019" s="5"/>
      <c r="W3019" s="5"/>
    </row>
    <row r="3020" spans="1:23" ht="12.5">
      <c r="A3020" s="5"/>
      <c r="B3020" s="5"/>
      <c r="C3020" s="5"/>
      <c r="D3020" s="5"/>
      <c r="E3020" s="5"/>
      <c r="F3020" s="5"/>
      <c r="G3020" s="5"/>
      <c r="H3020" s="5"/>
      <c r="I3020" s="5"/>
      <c r="J3020" s="12"/>
      <c r="K3020" s="11"/>
      <c r="M3020" s="5"/>
      <c r="N3020" s="12"/>
      <c r="O3020" s="5"/>
      <c r="P3020" s="5"/>
      <c r="Q3020" s="5"/>
      <c r="R3020" s="5"/>
      <c r="T3020" s="5"/>
      <c r="U3020" s="5"/>
      <c r="V3020" s="5"/>
      <c r="W3020" s="5"/>
    </row>
    <row r="3021" spans="1:23" ht="12.5">
      <c r="A3021" s="5"/>
      <c r="B3021" s="5"/>
      <c r="C3021" s="5"/>
      <c r="D3021" s="5"/>
      <c r="E3021" s="5"/>
      <c r="F3021" s="5"/>
      <c r="G3021" s="5"/>
      <c r="H3021" s="5"/>
      <c r="I3021" s="5"/>
      <c r="J3021" s="12"/>
      <c r="K3021" s="11"/>
      <c r="M3021" s="5"/>
      <c r="N3021" s="12"/>
      <c r="O3021" s="5"/>
      <c r="P3021" s="5"/>
      <c r="Q3021" s="5"/>
      <c r="R3021" s="5"/>
      <c r="T3021" s="5"/>
      <c r="U3021" s="5"/>
      <c r="V3021" s="5"/>
      <c r="W3021" s="5"/>
    </row>
    <row r="3022" spans="1:23" ht="12.5">
      <c r="A3022" s="5"/>
      <c r="B3022" s="5"/>
      <c r="C3022" s="5"/>
      <c r="D3022" s="5"/>
      <c r="E3022" s="5"/>
      <c r="F3022" s="5"/>
      <c r="G3022" s="5"/>
      <c r="H3022" s="5"/>
      <c r="I3022" s="5"/>
      <c r="J3022" s="12"/>
      <c r="K3022" s="11"/>
      <c r="M3022" s="5"/>
      <c r="N3022" s="12"/>
      <c r="O3022" s="5"/>
      <c r="P3022" s="5"/>
      <c r="Q3022" s="5"/>
      <c r="R3022" s="5"/>
      <c r="T3022" s="5"/>
      <c r="U3022" s="5"/>
      <c r="V3022" s="5"/>
      <c r="W3022" s="5"/>
    </row>
    <row r="3023" spans="1:23" ht="12.5">
      <c r="A3023" s="5"/>
      <c r="B3023" s="5"/>
      <c r="C3023" s="5"/>
      <c r="D3023" s="5"/>
      <c r="E3023" s="5"/>
      <c r="F3023" s="5"/>
      <c r="G3023" s="5"/>
      <c r="H3023" s="5"/>
      <c r="I3023" s="5"/>
      <c r="J3023" s="12"/>
      <c r="K3023" s="11"/>
      <c r="M3023" s="5"/>
      <c r="N3023" s="12"/>
      <c r="O3023" s="5"/>
      <c r="P3023" s="5"/>
      <c r="Q3023" s="5"/>
      <c r="R3023" s="5"/>
      <c r="T3023" s="5"/>
      <c r="U3023" s="5"/>
      <c r="V3023" s="5"/>
      <c r="W3023" s="5"/>
    </row>
    <row r="3024" spans="1:23" ht="12.5">
      <c r="A3024" s="5"/>
      <c r="B3024" s="5"/>
      <c r="C3024" s="5"/>
      <c r="D3024" s="5"/>
      <c r="E3024" s="5"/>
      <c r="F3024" s="5"/>
      <c r="G3024" s="5"/>
      <c r="H3024" s="5"/>
      <c r="I3024" s="5"/>
      <c r="J3024" s="12"/>
      <c r="K3024" s="11"/>
      <c r="M3024" s="5"/>
      <c r="N3024" s="12"/>
      <c r="O3024" s="5"/>
      <c r="P3024" s="5"/>
      <c r="Q3024" s="5"/>
      <c r="R3024" s="5"/>
      <c r="T3024" s="5"/>
      <c r="U3024" s="5"/>
      <c r="V3024" s="5"/>
      <c r="W3024" s="5"/>
    </row>
    <row r="3025" spans="1:23" ht="12.5">
      <c r="A3025" s="5"/>
      <c r="B3025" s="5"/>
      <c r="C3025" s="5"/>
      <c r="D3025" s="5"/>
      <c r="E3025" s="5"/>
      <c r="F3025" s="5"/>
      <c r="G3025" s="5"/>
      <c r="H3025" s="5"/>
      <c r="I3025" s="5"/>
      <c r="J3025" s="12"/>
      <c r="K3025" s="11"/>
      <c r="M3025" s="5"/>
      <c r="N3025" s="12"/>
      <c r="O3025" s="5"/>
      <c r="P3025" s="5"/>
      <c r="Q3025" s="5"/>
      <c r="R3025" s="5"/>
      <c r="T3025" s="5"/>
      <c r="U3025" s="5"/>
      <c r="V3025" s="5"/>
      <c r="W3025" s="5"/>
    </row>
    <row r="3026" spans="1:23" ht="12.5">
      <c r="A3026" s="5"/>
      <c r="B3026" s="5"/>
      <c r="C3026" s="5"/>
      <c r="D3026" s="5"/>
      <c r="E3026" s="5"/>
      <c r="F3026" s="5"/>
      <c r="G3026" s="5"/>
      <c r="H3026" s="5"/>
      <c r="I3026" s="5"/>
      <c r="J3026" s="12"/>
      <c r="K3026" s="11"/>
      <c r="M3026" s="5"/>
      <c r="N3026" s="12"/>
      <c r="O3026" s="5"/>
      <c r="P3026" s="5"/>
      <c r="Q3026" s="5"/>
      <c r="R3026" s="5"/>
      <c r="T3026" s="5"/>
      <c r="U3026" s="5"/>
      <c r="V3026" s="5"/>
      <c r="W3026" s="5"/>
    </row>
    <row r="3027" spans="1:23" ht="12.5">
      <c r="A3027" s="5"/>
      <c r="B3027" s="5"/>
      <c r="C3027" s="5"/>
      <c r="D3027" s="5"/>
      <c r="E3027" s="5"/>
      <c r="F3027" s="5"/>
      <c r="G3027" s="5"/>
      <c r="H3027" s="5"/>
      <c r="I3027" s="5"/>
      <c r="J3027" s="12"/>
      <c r="K3027" s="11"/>
      <c r="M3027" s="5"/>
      <c r="N3027" s="12"/>
      <c r="O3027" s="5"/>
      <c r="P3027" s="5"/>
      <c r="Q3027" s="5"/>
      <c r="R3027" s="5"/>
      <c r="T3027" s="5"/>
      <c r="U3027" s="5"/>
      <c r="V3027" s="5"/>
      <c r="W3027" s="5"/>
    </row>
    <row r="3028" spans="1:23" ht="12.5">
      <c r="A3028" s="5"/>
      <c r="B3028" s="5"/>
      <c r="C3028" s="5"/>
      <c r="D3028" s="5"/>
      <c r="E3028" s="5"/>
      <c r="F3028" s="5"/>
      <c r="G3028" s="5"/>
      <c r="H3028" s="5"/>
      <c r="I3028" s="5"/>
      <c r="J3028" s="12"/>
      <c r="K3028" s="11"/>
      <c r="M3028" s="5"/>
      <c r="N3028" s="12"/>
      <c r="O3028" s="5"/>
      <c r="P3028" s="5"/>
      <c r="Q3028" s="5"/>
      <c r="R3028" s="5"/>
      <c r="T3028" s="5"/>
      <c r="U3028" s="5"/>
      <c r="V3028" s="5"/>
      <c r="W3028" s="5"/>
    </row>
    <row r="3029" spans="1:23" ht="12.5">
      <c r="A3029" s="5"/>
      <c r="B3029" s="5"/>
      <c r="C3029" s="5"/>
      <c r="D3029" s="5"/>
      <c r="E3029" s="5"/>
      <c r="F3029" s="5"/>
      <c r="G3029" s="5"/>
      <c r="H3029" s="5"/>
      <c r="I3029" s="5"/>
      <c r="J3029" s="12"/>
      <c r="K3029" s="11"/>
      <c r="M3029" s="5"/>
      <c r="N3029" s="12"/>
      <c r="O3029" s="5"/>
      <c r="P3029" s="5"/>
      <c r="Q3029" s="5"/>
      <c r="R3029" s="5"/>
      <c r="T3029" s="5"/>
      <c r="U3029" s="5"/>
      <c r="V3029" s="5"/>
      <c r="W3029" s="5"/>
    </row>
    <row r="3030" spans="1:23" ht="12.5">
      <c r="A3030" s="5"/>
      <c r="B3030" s="5"/>
      <c r="C3030" s="5"/>
      <c r="D3030" s="5"/>
      <c r="E3030" s="5"/>
      <c r="F3030" s="5"/>
      <c r="G3030" s="5"/>
      <c r="H3030" s="5"/>
      <c r="I3030" s="5"/>
      <c r="J3030" s="12"/>
      <c r="K3030" s="11"/>
      <c r="M3030" s="5"/>
      <c r="N3030" s="12"/>
      <c r="O3030" s="5"/>
      <c r="P3030" s="5"/>
      <c r="Q3030" s="5"/>
      <c r="R3030" s="5"/>
      <c r="T3030" s="5"/>
      <c r="U3030" s="5"/>
      <c r="V3030" s="5"/>
      <c r="W3030" s="5"/>
    </row>
    <row r="3031" spans="1:23" ht="12.5">
      <c r="A3031" s="5"/>
      <c r="B3031" s="5"/>
      <c r="C3031" s="5"/>
      <c r="D3031" s="5"/>
      <c r="E3031" s="5"/>
      <c r="F3031" s="5"/>
      <c r="G3031" s="5"/>
      <c r="H3031" s="5"/>
      <c r="I3031" s="5"/>
      <c r="J3031" s="12"/>
      <c r="K3031" s="11"/>
      <c r="M3031" s="5"/>
      <c r="N3031" s="12"/>
      <c r="O3031" s="5"/>
      <c r="P3031" s="5"/>
      <c r="Q3031" s="5"/>
      <c r="R3031" s="5"/>
      <c r="T3031" s="5"/>
      <c r="U3031" s="5"/>
      <c r="V3031" s="5"/>
      <c r="W3031" s="5"/>
    </row>
    <row r="3032" spans="1:23" ht="12.5">
      <c r="A3032" s="5"/>
      <c r="B3032" s="5"/>
      <c r="C3032" s="5"/>
      <c r="D3032" s="5"/>
      <c r="E3032" s="5"/>
      <c r="F3032" s="5"/>
      <c r="G3032" s="5"/>
      <c r="H3032" s="5"/>
      <c r="I3032" s="5"/>
      <c r="J3032" s="12"/>
      <c r="K3032" s="11"/>
      <c r="M3032" s="5"/>
      <c r="N3032" s="12"/>
      <c r="O3032" s="5"/>
      <c r="P3032" s="5"/>
      <c r="Q3032" s="5"/>
      <c r="R3032" s="5"/>
      <c r="T3032" s="5"/>
      <c r="U3032" s="5"/>
      <c r="V3032" s="5"/>
      <c r="W3032" s="5"/>
    </row>
    <row r="3033" spans="1:23" ht="12.5">
      <c r="A3033" s="5"/>
      <c r="B3033" s="5"/>
      <c r="C3033" s="5"/>
      <c r="D3033" s="5"/>
      <c r="E3033" s="5"/>
      <c r="F3033" s="5"/>
      <c r="G3033" s="5"/>
      <c r="H3033" s="5"/>
      <c r="I3033" s="5"/>
      <c r="J3033" s="12"/>
      <c r="K3033" s="11"/>
      <c r="M3033" s="5"/>
      <c r="N3033" s="12"/>
      <c r="O3033" s="5"/>
      <c r="P3033" s="5"/>
      <c r="Q3033" s="5"/>
      <c r="R3033" s="5"/>
      <c r="T3033" s="5"/>
      <c r="U3033" s="5"/>
      <c r="V3033" s="5"/>
      <c r="W3033" s="5"/>
    </row>
    <row r="3034" spans="1:23" ht="12.5">
      <c r="A3034" s="5"/>
      <c r="B3034" s="5"/>
      <c r="C3034" s="5"/>
      <c r="D3034" s="5"/>
      <c r="E3034" s="5"/>
      <c r="F3034" s="5"/>
      <c r="G3034" s="5"/>
      <c r="H3034" s="5"/>
      <c r="I3034" s="5"/>
      <c r="J3034" s="12"/>
      <c r="K3034" s="11"/>
      <c r="M3034" s="5"/>
      <c r="N3034" s="12"/>
      <c r="O3034" s="5"/>
      <c r="P3034" s="5"/>
      <c r="Q3034" s="5"/>
      <c r="R3034" s="5"/>
      <c r="T3034" s="5"/>
      <c r="U3034" s="5"/>
      <c r="V3034" s="5"/>
      <c r="W3034" s="5"/>
    </row>
    <row r="3035" spans="1:23" ht="12.5">
      <c r="A3035" s="5"/>
      <c r="B3035" s="5"/>
      <c r="C3035" s="5"/>
      <c r="D3035" s="5"/>
      <c r="E3035" s="5"/>
      <c r="F3035" s="5"/>
      <c r="G3035" s="5"/>
      <c r="H3035" s="5"/>
      <c r="I3035" s="5"/>
      <c r="J3035" s="12"/>
      <c r="K3035" s="11"/>
      <c r="M3035" s="5"/>
      <c r="N3035" s="12"/>
      <c r="O3035" s="5"/>
      <c r="P3035" s="5"/>
      <c r="Q3035" s="5"/>
      <c r="R3035" s="5"/>
      <c r="T3035" s="5"/>
      <c r="U3035" s="5"/>
      <c r="V3035" s="5"/>
      <c r="W3035" s="5"/>
    </row>
    <row r="3036" spans="1:23" ht="12.5">
      <c r="A3036" s="5"/>
      <c r="B3036" s="5"/>
      <c r="C3036" s="5"/>
      <c r="D3036" s="5"/>
      <c r="E3036" s="5"/>
      <c r="F3036" s="5"/>
      <c r="G3036" s="5"/>
      <c r="H3036" s="5"/>
      <c r="I3036" s="5"/>
      <c r="J3036" s="12"/>
      <c r="K3036" s="11"/>
      <c r="M3036" s="5"/>
      <c r="N3036" s="12"/>
      <c r="O3036" s="5"/>
      <c r="P3036" s="5"/>
      <c r="Q3036" s="5"/>
      <c r="R3036" s="5"/>
      <c r="T3036" s="5"/>
      <c r="U3036" s="5"/>
      <c r="V3036" s="5"/>
      <c r="W3036" s="5"/>
    </row>
    <row r="3037" spans="1:23" ht="12.5">
      <c r="A3037" s="5"/>
      <c r="B3037" s="5"/>
      <c r="C3037" s="5"/>
      <c r="D3037" s="5"/>
      <c r="E3037" s="5"/>
      <c r="F3037" s="5"/>
      <c r="G3037" s="5"/>
      <c r="H3037" s="5"/>
      <c r="I3037" s="5"/>
      <c r="J3037" s="12"/>
      <c r="K3037" s="11"/>
      <c r="M3037" s="5"/>
      <c r="N3037" s="12"/>
      <c r="O3037" s="5"/>
      <c r="P3037" s="5"/>
      <c r="Q3037" s="5"/>
      <c r="R3037" s="5"/>
      <c r="T3037" s="5"/>
      <c r="U3037" s="5"/>
      <c r="V3037" s="5"/>
      <c r="W3037" s="5"/>
    </row>
    <row r="3038" spans="1:23" ht="12.5">
      <c r="A3038" s="5"/>
      <c r="B3038" s="5"/>
      <c r="C3038" s="5"/>
      <c r="D3038" s="5"/>
      <c r="E3038" s="5"/>
      <c r="F3038" s="5"/>
      <c r="G3038" s="5"/>
      <c r="H3038" s="5"/>
      <c r="I3038" s="5"/>
      <c r="J3038" s="12"/>
      <c r="K3038" s="11"/>
      <c r="M3038" s="5"/>
      <c r="N3038" s="12"/>
      <c r="O3038" s="5"/>
      <c r="P3038" s="5"/>
      <c r="Q3038" s="5"/>
      <c r="R3038" s="5"/>
      <c r="T3038" s="5"/>
      <c r="U3038" s="5"/>
      <c r="V3038" s="5"/>
      <c r="W3038" s="5"/>
    </row>
    <row r="3039" spans="1:23" ht="12.5">
      <c r="A3039" s="5"/>
      <c r="B3039" s="5"/>
      <c r="C3039" s="5"/>
      <c r="D3039" s="5"/>
      <c r="E3039" s="5"/>
      <c r="F3039" s="5"/>
      <c r="G3039" s="5"/>
      <c r="H3039" s="5"/>
      <c r="I3039" s="5"/>
      <c r="J3039" s="12"/>
      <c r="K3039" s="11"/>
      <c r="M3039" s="5"/>
      <c r="N3039" s="12"/>
      <c r="O3039" s="5"/>
      <c r="P3039" s="5"/>
      <c r="Q3039" s="5"/>
      <c r="R3039" s="5"/>
      <c r="T3039" s="5"/>
      <c r="U3039" s="5"/>
      <c r="V3039" s="5"/>
      <c r="W3039" s="5"/>
    </row>
    <row r="3040" spans="1:23" ht="12.5">
      <c r="A3040" s="5"/>
      <c r="B3040" s="5"/>
      <c r="C3040" s="5"/>
      <c r="D3040" s="5"/>
      <c r="E3040" s="5"/>
      <c r="F3040" s="5"/>
      <c r="G3040" s="5"/>
      <c r="H3040" s="5"/>
      <c r="I3040" s="5"/>
      <c r="J3040" s="12"/>
      <c r="K3040" s="11"/>
      <c r="M3040" s="5"/>
      <c r="N3040" s="12"/>
      <c r="O3040" s="5"/>
      <c r="P3040" s="5"/>
      <c r="Q3040" s="5"/>
      <c r="R3040" s="5"/>
      <c r="T3040" s="5"/>
      <c r="U3040" s="5"/>
      <c r="V3040" s="5"/>
      <c r="W3040" s="5"/>
    </row>
    <row r="3041" spans="1:23" ht="12.5">
      <c r="A3041" s="5"/>
      <c r="B3041" s="5"/>
      <c r="C3041" s="5"/>
      <c r="D3041" s="5"/>
      <c r="E3041" s="5"/>
      <c r="F3041" s="5"/>
      <c r="G3041" s="5"/>
      <c r="H3041" s="5"/>
      <c r="I3041" s="5"/>
      <c r="J3041" s="12"/>
      <c r="K3041" s="11"/>
      <c r="M3041" s="5"/>
      <c r="N3041" s="12"/>
      <c r="O3041" s="5"/>
      <c r="P3041" s="5"/>
      <c r="Q3041" s="5"/>
      <c r="R3041" s="5"/>
      <c r="T3041" s="5"/>
      <c r="U3041" s="5"/>
      <c r="V3041" s="5"/>
      <c r="W3041" s="5"/>
    </row>
    <row r="3042" spans="1:23" ht="12.5">
      <c r="A3042" s="5"/>
      <c r="B3042" s="5"/>
      <c r="C3042" s="5"/>
      <c r="D3042" s="5"/>
      <c r="E3042" s="5"/>
      <c r="F3042" s="5"/>
      <c r="G3042" s="5"/>
      <c r="H3042" s="5"/>
      <c r="I3042" s="5"/>
      <c r="J3042" s="12"/>
      <c r="K3042" s="11"/>
      <c r="M3042" s="5"/>
      <c r="N3042" s="12"/>
      <c r="O3042" s="5"/>
      <c r="P3042" s="5"/>
      <c r="Q3042" s="5"/>
      <c r="R3042" s="5"/>
      <c r="T3042" s="5"/>
      <c r="U3042" s="5"/>
      <c r="V3042" s="5"/>
      <c r="W3042" s="5"/>
    </row>
    <row r="3043" spans="1:23" ht="12.5">
      <c r="A3043" s="5"/>
      <c r="B3043" s="5"/>
      <c r="C3043" s="5"/>
      <c r="D3043" s="5"/>
      <c r="E3043" s="5"/>
      <c r="F3043" s="5"/>
      <c r="G3043" s="5"/>
      <c r="H3043" s="5"/>
      <c r="I3043" s="5"/>
      <c r="J3043" s="12"/>
      <c r="K3043" s="11"/>
      <c r="M3043" s="5"/>
      <c r="N3043" s="12"/>
      <c r="O3043" s="5"/>
      <c r="P3043" s="5"/>
      <c r="Q3043" s="5"/>
      <c r="R3043" s="5"/>
      <c r="T3043" s="5"/>
      <c r="U3043" s="5"/>
      <c r="V3043" s="5"/>
      <c r="W3043" s="5"/>
    </row>
    <row r="3044" spans="1:23" ht="12.5">
      <c r="A3044" s="5"/>
      <c r="B3044" s="5"/>
      <c r="C3044" s="5"/>
      <c r="D3044" s="5"/>
      <c r="E3044" s="5"/>
      <c r="F3044" s="5"/>
      <c r="G3044" s="5"/>
      <c r="H3044" s="5"/>
      <c r="I3044" s="5"/>
      <c r="J3044" s="12"/>
      <c r="K3044" s="11"/>
      <c r="M3044" s="5"/>
      <c r="N3044" s="12"/>
      <c r="O3044" s="5"/>
      <c r="P3044" s="5"/>
      <c r="Q3044" s="5"/>
      <c r="R3044" s="5"/>
      <c r="T3044" s="5"/>
      <c r="U3044" s="5"/>
      <c r="V3044" s="5"/>
      <c r="W3044" s="5"/>
    </row>
    <row r="3045" spans="1:23" ht="12.5">
      <c r="A3045" s="5"/>
      <c r="B3045" s="5"/>
      <c r="C3045" s="5"/>
      <c r="D3045" s="5"/>
      <c r="E3045" s="5"/>
      <c r="F3045" s="5"/>
      <c r="G3045" s="5"/>
      <c r="H3045" s="5"/>
      <c r="I3045" s="5"/>
      <c r="J3045" s="12"/>
      <c r="K3045" s="11"/>
      <c r="M3045" s="5"/>
      <c r="N3045" s="12"/>
      <c r="O3045" s="5"/>
      <c r="P3045" s="5"/>
      <c r="Q3045" s="5"/>
      <c r="R3045" s="5"/>
      <c r="T3045" s="5"/>
      <c r="U3045" s="5"/>
      <c r="V3045" s="5"/>
      <c r="W3045" s="5"/>
    </row>
    <row r="3046" spans="1:23" ht="12.5">
      <c r="A3046" s="5"/>
      <c r="B3046" s="5"/>
      <c r="C3046" s="5"/>
      <c r="D3046" s="5"/>
      <c r="E3046" s="5"/>
      <c r="F3046" s="5"/>
      <c r="G3046" s="5"/>
      <c r="H3046" s="5"/>
      <c r="I3046" s="5"/>
      <c r="J3046" s="12"/>
      <c r="K3046" s="11"/>
      <c r="M3046" s="5"/>
      <c r="N3046" s="12"/>
      <c r="O3046" s="5"/>
      <c r="P3046" s="5"/>
      <c r="Q3046" s="5"/>
      <c r="R3046" s="5"/>
      <c r="T3046" s="5"/>
      <c r="U3046" s="5"/>
      <c r="V3046" s="5"/>
      <c r="W3046" s="5"/>
    </row>
    <row r="3047" spans="1:23" ht="12.5">
      <c r="A3047" s="5"/>
      <c r="B3047" s="5"/>
      <c r="C3047" s="5"/>
      <c r="D3047" s="5"/>
      <c r="E3047" s="5"/>
      <c r="F3047" s="5"/>
      <c r="G3047" s="5"/>
      <c r="H3047" s="5"/>
      <c r="I3047" s="5"/>
      <c r="J3047" s="12"/>
      <c r="K3047" s="11"/>
      <c r="M3047" s="5"/>
      <c r="N3047" s="12"/>
      <c r="O3047" s="5"/>
      <c r="P3047" s="5"/>
      <c r="Q3047" s="5"/>
      <c r="R3047" s="5"/>
      <c r="T3047" s="5"/>
      <c r="U3047" s="5"/>
      <c r="V3047" s="5"/>
      <c r="W3047" s="5"/>
    </row>
    <row r="3048" spans="1:23" ht="12.5">
      <c r="A3048" s="5"/>
      <c r="B3048" s="5"/>
      <c r="C3048" s="5"/>
      <c r="D3048" s="5"/>
      <c r="E3048" s="5"/>
      <c r="F3048" s="5"/>
      <c r="G3048" s="5"/>
      <c r="H3048" s="5"/>
      <c r="I3048" s="5"/>
      <c r="J3048" s="12"/>
      <c r="K3048" s="11"/>
      <c r="M3048" s="5"/>
      <c r="N3048" s="12"/>
      <c r="O3048" s="5"/>
      <c r="P3048" s="5"/>
      <c r="Q3048" s="5"/>
      <c r="R3048" s="5"/>
      <c r="T3048" s="5"/>
      <c r="U3048" s="5"/>
      <c r="V3048" s="5"/>
      <c r="W3048" s="5"/>
    </row>
    <row r="3049" spans="1:23" ht="12.5">
      <c r="A3049" s="5"/>
      <c r="B3049" s="5"/>
      <c r="C3049" s="5"/>
      <c r="D3049" s="5"/>
      <c r="E3049" s="5"/>
      <c r="F3049" s="5"/>
      <c r="G3049" s="5"/>
      <c r="H3049" s="5"/>
      <c r="I3049" s="5"/>
      <c r="J3049" s="12"/>
      <c r="K3049" s="11"/>
      <c r="M3049" s="5"/>
      <c r="N3049" s="12"/>
      <c r="O3049" s="5"/>
      <c r="P3049" s="5"/>
      <c r="Q3049" s="5"/>
      <c r="R3049" s="5"/>
      <c r="T3049" s="5"/>
      <c r="U3049" s="5"/>
      <c r="V3049" s="5"/>
      <c r="W3049" s="5"/>
    </row>
    <row r="3050" spans="1:23" ht="12.5">
      <c r="A3050" s="5"/>
      <c r="B3050" s="5"/>
      <c r="C3050" s="5"/>
      <c r="D3050" s="5"/>
      <c r="E3050" s="5"/>
      <c r="F3050" s="5"/>
      <c r="G3050" s="5"/>
      <c r="H3050" s="5"/>
      <c r="I3050" s="5"/>
      <c r="J3050" s="12"/>
      <c r="K3050" s="11"/>
      <c r="M3050" s="5"/>
      <c r="N3050" s="12"/>
      <c r="O3050" s="5"/>
      <c r="P3050" s="5"/>
      <c r="Q3050" s="5"/>
      <c r="R3050" s="5"/>
      <c r="T3050" s="5"/>
      <c r="U3050" s="5"/>
      <c r="V3050" s="5"/>
      <c r="W3050" s="5"/>
    </row>
    <row r="3051" spans="1:23" ht="12.5">
      <c r="A3051" s="5"/>
      <c r="B3051" s="5"/>
      <c r="C3051" s="5"/>
      <c r="D3051" s="5"/>
      <c r="E3051" s="5"/>
      <c r="F3051" s="5"/>
      <c r="G3051" s="5"/>
      <c r="H3051" s="5"/>
      <c r="I3051" s="5"/>
      <c r="J3051" s="12"/>
      <c r="K3051" s="11"/>
      <c r="M3051" s="5"/>
      <c r="N3051" s="12"/>
      <c r="O3051" s="5"/>
      <c r="P3051" s="5"/>
      <c r="Q3051" s="5"/>
      <c r="R3051" s="5"/>
      <c r="T3051" s="5"/>
      <c r="U3051" s="5"/>
      <c r="V3051" s="5"/>
      <c r="W3051" s="5"/>
    </row>
    <row r="3052" spans="1:23" ht="12.5">
      <c r="A3052" s="5"/>
      <c r="B3052" s="5"/>
      <c r="C3052" s="5"/>
      <c r="D3052" s="5"/>
      <c r="E3052" s="5"/>
      <c r="F3052" s="5"/>
      <c r="G3052" s="5"/>
      <c r="H3052" s="5"/>
      <c r="I3052" s="5"/>
      <c r="J3052" s="12"/>
      <c r="K3052" s="11"/>
      <c r="M3052" s="5"/>
      <c r="N3052" s="12"/>
      <c r="O3052" s="5"/>
      <c r="P3052" s="5"/>
      <c r="Q3052" s="5"/>
      <c r="R3052" s="5"/>
      <c r="T3052" s="5"/>
      <c r="U3052" s="5"/>
      <c r="V3052" s="5"/>
      <c r="W3052" s="5"/>
    </row>
    <row r="3053" spans="1:23" ht="12.5">
      <c r="A3053" s="5"/>
      <c r="B3053" s="5"/>
      <c r="C3053" s="5"/>
      <c r="D3053" s="5"/>
      <c r="E3053" s="5"/>
      <c r="F3053" s="5"/>
      <c r="G3053" s="5"/>
      <c r="H3053" s="5"/>
      <c r="I3053" s="5"/>
      <c r="J3053" s="12"/>
      <c r="K3053" s="11"/>
      <c r="M3053" s="5"/>
      <c r="N3053" s="12"/>
      <c r="O3053" s="5"/>
      <c r="P3053" s="5"/>
      <c r="Q3053" s="5"/>
      <c r="R3053" s="5"/>
      <c r="T3053" s="5"/>
      <c r="U3053" s="5"/>
      <c r="V3053" s="5"/>
      <c r="W3053" s="5"/>
    </row>
    <row r="3054" spans="1:23" ht="12.5">
      <c r="A3054" s="5"/>
      <c r="B3054" s="5"/>
      <c r="C3054" s="5"/>
      <c r="D3054" s="5"/>
      <c r="E3054" s="5"/>
      <c r="F3054" s="5"/>
      <c r="G3054" s="5"/>
      <c r="H3054" s="5"/>
      <c r="I3054" s="5"/>
      <c r="J3054" s="12"/>
      <c r="K3054" s="11"/>
      <c r="M3054" s="5"/>
      <c r="N3054" s="12"/>
      <c r="O3054" s="5"/>
      <c r="P3054" s="5"/>
      <c r="Q3054" s="5"/>
      <c r="R3054" s="5"/>
      <c r="T3054" s="5"/>
      <c r="U3054" s="5"/>
      <c r="V3054" s="5"/>
      <c r="W3054" s="5"/>
    </row>
    <row r="3055" spans="1:23" ht="12.5">
      <c r="A3055" s="5"/>
      <c r="B3055" s="5"/>
      <c r="C3055" s="5"/>
      <c r="D3055" s="5"/>
      <c r="E3055" s="5"/>
      <c r="F3055" s="5"/>
      <c r="G3055" s="5"/>
      <c r="H3055" s="5"/>
      <c r="I3055" s="5"/>
      <c r="J3055" s="12"/>
      <c r="K3055" s="11"/>
      <c r="M3055" s="5"/>
      <c r="N3055" s="12"/>
      <c r="O3055" s="5"/>
      <c r="P3055" s="5"/>
      <c r="Q3055" s="5"/>
      <c r="R3055" s="5"/>
      <c r="T3055" s="5"/>
      <c r="U3055" s="5"/>
      <c r="V3055" s="5"/>
      <c r="W3055" s="5"/>
    </row>
    <row r="3056" spans="1:23" ht="12.5">
      <c r="A3056" s="5"/>
      <c r="B3056" s="5"/>
      <c r="C3056" s="5"/>
      <c r="D3056" s="5"/>
      <c r="E3056" s="5"/>
      <c r="F3056" s="5"/>
      <c r="G3056" s="5"/>
      <c r="H3056" s="5"/>
      <c r="I3056" s="5"/>
      <c r="J3056" s="12"/>
      <c r="K3056" s="11"/>
      <c r="M3056" s="5"/>
      <c r="N3056" s="12"/>
      <c r="O3056" s="5"/>
      <c r="P3056" s="5"/>
      <c r="Q3056" s="5"/>
      <c r="R3056" s="5"/>
      <c r="T3056" s="5"/>
      <c r="U3056" s="5"/>
      <c r="V3056" s="5"/>
      <c r="W3056" s="5"/>
    </row>
    <row r="3057" spans="1:23" ht="12.5">
      <c r="A3057" s="5"/>
      <c r="B3057" s="5"/>
      <c r="C3057" s="5"/>
      <c r="D3057" s="5"/>
      <c r="E3057" s="5"/>
      <c r="F3057" s="5"/>
      <c r="G3057" s="5"/>
      <c r="H3057" s="5"/>
      <c r="I3057" s="5"/>
      <c r="J3057" s="12"/>
      <c r="K3057" s="11"/>
      <c r="M3057" s="5"/>
      <c r="N3057" s="12"/>
      <c r="O3057" s="5"/>
      <c r="P3057" s="5"/>
      <c r="Q3057" s="5"/>
      <c r="R3057" s="5"/>
      <c r="T3057" s="5"/>
      <c r="U3057" s="5"/>
      <c r="V3057" s="5"/>
      <c r="W3057" s="5"/>
    </row>
    <row r="3058" spans="1:23" ht="12.5">
      <c r="A3058" s="5"/>
      <c r="B3058" s="5"/>
      <c r="C3058" s="5"/>
      <c r="D3058" s="5"/>
      <c r="E3058" s="5"/>
      <c r="F3058" s="5"/>
      <c r="G3058" s="5"/>
      <c r="H3058" s="5"/>
      <c r="I3058" s="5"/>
      <c r="J3058" s="12"/>
      <c r="K3058" s="11"/>
      <c r="M3058" s="5"/>
      <c r="N3058" s="12"/>
      <c r="O3058" s="5"/>
      <c r="P3058" s="5"/>
      <c r="Q3058" s="5"/>
      <c r="R3058" s="5"/>
      <c r="T3058" s="5"/>
      <c r="U3058" s="5"/>
      <c r="V3058" s="5"/>
      <c r="W3058" s="5"/>
    </row>
    <row r="3059" spans="1:23" ht="12.5">
      <c r="A3059" s="5"/>
      <c r="B3059" s="5"/>
      <c r="C3059" s="5"/>
      <c r="D3059" s="5"/>
      <c r="E3059" s="5"/>
      <c r="F3059" s="5"/>
      <c r="G3059" s="5"/>
      <c r="H3059" s="5"/>
      <c r="I3059" s="5"/>
      <c r="J3059" s="12"/>
      <c r="K3059" s="11"/>
      <c r="M3059" s="5"/>
      <c r="N3059" s="12"/>
      <c r="O3059" s="5"/>
      <c r="P3059" s="5"/>
      <c r="Q3059" s="5"/>
      <c r="R3059" s="5"/>
      <c r="T3059" s="5"/>
      <c r="U3059" s="5"/>
      <c r="V3059" s="5"/>
      <c r="W3059" s="5"/>
    </row>
    <row r="3060" spans="1:23" ht="12.5">
      <c r="A3060" s="5"/>
      <c r="B3060" s="5"/>
      <c r="C3060" s="5"/>
      <c r="D3060" s="5"/>
      <c r="E3060" s="5"/>
      <c r="F3060" s="5"/>
      <c r="G3060" s="5"/>
      <c r="H3060" s="5"/>
      <c r="I3060" s="5"/>
      <c r="J3060" s="12"/>
      <c r="K3060" s="11"/>
      <c r="M3060" s="5"/>
      <c r="N3060" s="12"/>
      <c r="O3060" s="5"/>
      <c r="P3060" s="5"/>
      <c r="Q3060" s="5"/>
      <c r="R3060" s="5"/>
      <c r="T3060" s="5"/>
      <c r="U3060" s="5"/>
      <c r="V3060" s="5"/>
      <c r="W3060" s="5"/>
    </row>
    <row r="3061" spans="1:23" ht="12.5">
      <c r="A3061" s="5"/>
      <c r="B3061" s="5"/>
      <c r="C3061" s="5"/>
      <c r="D3061" s="5"/>
      <c r="E3061" s="5"/>
      <c r="F3061" s="5"/>
      <c r="G3061" s="5"/>
      <c r="H3061" s="5"/>
      <c r="I3061" s="5"/>
      <c r="J3061" s="12"/>
      <c r="K3061" s="11"/>
      <c r="M3061" s="5"/>
      <c r="N3061" s="12"/>
      <c r="O3061" s="5"/>
      <c r="P3061" s="5"/>
      <c r="Q3061" s="5"/>
      <c r="R3061" s="5"/>
      <c r="T3061" s="5"/>
      <c r="U3061" s="5"/>
      <c r="V3061" s="5"/>
      <c r="W3061" s="5"/>
    </row>
    <row r="3062" spans="1:23" ht="12.5">
      <c r="A3062" s="5"/>
      <c r="B3062" s="5"/>
      <c r="C3062" s="5"/>
      <c r="D3062" s="5"/>
      <c r="E3062" s="5"/>
      <c r="F3062" s="5"/>
      <c r="G3062" s="5"/>
      <c r="H3062" s="5"/>
      <c r="I3062" s="5"/>
      <c r="J3062" s="12"/>
      <c r="K3062" s="11"/>
      <c r="M3062" s="5"/>
      <c r="N3062" s="12"/>
      <c r="O3062" s="5"/>
      <c r="P3062" s="5"/>
      <c r="Q3062" s="5"/>
      <c r="R3062" s="5"/>
      <c r="T3062" s="5"/>
      <c r="U3062" s="5"/>
      <c r="V3062" s="5"/>
      <c r="W3062" s="5"/>
    </row>
    <row r="3063" spans="1:23" ht="12.5">
      <c r="A3063" s="5"/>
      <c r="B3063" s="5"/>
      <c r="C3063" s="5"/>
      <c r="D3063" s="5"/>
      <c r="E3063" s="5"/>
      <c r="F3063" s="5"/>
      <c r="G3063" s="5"/>
      <c r="H3063" s="5"/>
      <c r="I3063" s="5"/>
      <c r="J3063" s="12"/>
      <c r="K3063" s="11"/>
      <c r="M3063" s="5"/>
      <c r="N3063" s="12"/>
      <c r="O3063" s="5"/>
      <c r="P3063" s="5"/>
      <c r="Q3063" s="5"/>
      <c r="R3063" s="5"/>
      <c r="T3063" s="5"/>
      <c r="U3063" s="5"/>
      <c r="V3063" s="5"/>
      <c r="W3063" s="5"/>
    </row>
    <row r="3064" spans="1:23" ht="12.5">
      <c r="A3064" s="5"/>
      <c r="B3064" s="5"/>
      <c r="C3064" s="5"/>
      <c r="D3064" s="5"/>
      <c r="E3064" s="5"/>
      <c r="F3064" s="5"/>
      <c r="G3064" s="5"/>
      <c r="H3064" s="5"/>
      <c r="I3064" s="5"/>
      <c r="J3064" s="12"/>
      <c r="K3064" s="11"/>
      <c r="M3064" s="5"/>
      <c r="N3064" s="12"/>
      <c r="O3064" s="5"/>
      <c r="P3064" s="5"/>
      <c r="Q3064" s="5"/>
      <c r="R3064" s="5"/>
      <c r="T3064" s="5"/>
      <c r="U3064" s="5"/>
      <c r="V3064" s="5"/>
      <c r="W3064" s="5"/>
    </row>
    <row r="3065" spans="1:23" ht="12.5">
      <c r="A3065" s="5"/>
      <c r="B3065" s="5"/>
      <c r="C3065" s="5"/>
      <c r="D3065" s="5"/>
      <c r="E3065" s="5"/>
      <c r="F3065" s="5"/>
      <c r="G3065" s="5"/>
      <c r="H3065" s="5"/>
      <c r="I3065" s="5"/>
      <c r="J3065" s="12"/>
      <c r="K3065" s="11"/>
      <c r="M3065" s="5"/>
      <c r="N3065" s="12"/>
      <c r="O3065" s="5"/>
      <c r="P3065" s="5"/>
      <c r="Q3065" s="5"/>
      <c r="R3065" s="5"/>
      <c r="T3065" s="5"/>
      <c r="U3065" s="5"/>
      <c r="V3065" s="5"/>
      <c r="W3065" s="5"/>
    </row>
    <row r="3066" spans="1:23" ht="12.5">
      <c r="A3066" s="5"/>
      <c r="B3066" s="5"/>
      <c r="C3066" s="5"/>
      <c r="D3066" s="5"/>
      <c r="E3066" s="5"/>
      <c r="F3066" s="5"/>
      <c r="G3066" s="5"/>
      <c r="H3066" s="5"/>
      <c r="I3066" s="5"/>
      <c r="J3066" s="12"/>
      <c r="K3066" s="11"/>
      <c r="M3066" s="5"/>
      <c r="N3066" s="12"/>
      <c r="O3066" s="5"/>
      <c r="P3066" s="5"/>
      <c r="Q3066" s="5"/>
      <c r="R3066" s="5"/>
      <c r="T3066" s="5"/>
      <c r="U3066" s="5"/>
      <c r="V3066" s="5"/>
      <c r="W3066" s="5"/>
    </row>
    <row r="3067" spans="1:23" ht="12.5">
      <c r="A3067" s="5"/>
      <c r="B3067" s="5"/>
      <c r="C3067" s="5"/>
      <c r="D3067" s="5"/>
      <c r="E3067" s="5"/>
      <c r="F3067" s="5"/>
      <c r="G3067" s="5"/>
      <c r="H3067" s="5"/>
      <c r="I3067" s="5"/>
      <c r="J3067" s="12"/>
      <c r="K3067" s="11"/>
      <c r="M3067" s="5"/>
      <c r="N3067" s="12"/>
      <c r="O3067" s="5"/>
      <c r="P3067" s="5"/>
      <c r="Q3067" s="5"/>
      <c r="R3067" s="5"/>
      <c r="T3067" s="5"/>
      <c r="U3067" s="5"/>
      <c r="V3067" s="5"/>
      <c r="W3067" s="5"/>
    </row>
    <row r="3068" spans="1:23" ht="12.5">
      <c r="A3068" s="5"/>
      <c r="B3068" s="5"/>
      <c r="C3068" s="5"/>
      <c r="D3068" s="5"/>
      <c r="E3068" s="5"/>
      <c r="F3068" s="5"/>
      <c r="G3068" s="5"/>
      <c r="H3068" s="5"/>
      <c r="I3068" s="5"/>
      <c r="J3068" s="12"/>
      <c r="K3068" s="11"/>
      <c r="M3068" s="5"/>
      <c r="N3068" s="12"/>
      <c r="O3068" s="5"/>
      <c r="P3068" s="5"/>
      <c r="Q3068" s="5"/>
      <c r="R3068" s="5"/>
      <c r="T3068" s="5"/>
      <c r="U3068" s="5"/>
      <c r="V3068" s="5"/>
      <c r="W3068" s="5"/>
    </row>
    <row r="3069" spans="1:23" ht="12.5">
      <c r="A3069" s="5"/>
      <c r="B3069" s="5"/>
      <c r="C3069" s="5"/>
      <c r="D3069" s="5"/>
      <c r="E3069" s="5"/>
      <c r="F3069" s="5"/>
      <c r="G3069" s="5"/>
      <c r="H3069" s="5"/>
      <c r="I3069" s="5"/>
      <c r="J3069" s="12"/>
      <c r="K3069" s="11"/>
      <c r="M3069" s="5"/>
      <c r="N3069" s="12"/>
      <c r="O3069" s="5"/>
      <c r="P3069" s="5"/>
      <c r="Q3069" s="5"/>
      <c r="R3069" s="5"/>
      <c r="T3069" s="5"/>
      <c r="U3069" s="5"/>
      <c r="V3069" s="5"/>
      <c r="W3069" s="5"/>
    </row>
    <row r="3070" spans="1:23" ht="12.5">
      <c r="A3070" s="5"/>
      <c r="B3070" s="5"/>
      <c r="C3070" s="5"/>
      <c r="D3070" s="5"/>
      <c r="E3070" s="5"/>
      <c r="F3070" s="5"/>
      <c r="G3070" s="5"/>
      <c r="H3070" s="5"/>
      <c r="I3070" s="5"/>
      <c r="J3070" s="12"/>
      <c r="K3070" s="11"/>
      <c r="M3070" s="5"/>
      <c r="N3070" s="12"/>
      <c r="O3070" s="5"/>
      <c r="P3070" s="5"/>
      <c r="Q3070" s="5"/>
      <c r="R3070" s="5"/>
      <c r="T3070" s="5"/>
      <c r="U3070" s="5"/>
      <c r="V3070" s="5"/>
      <c r="W3070" s="5"/>
    </row>
    <row r="3071" spans="1:23" ht="12.5">
      <c r="A3071" s="5"/>
      <c r="B3071" s="5"/>
      <c r="C3071" s="5"/>
      <c r="D3071" s="5"/>
      <c r="E3071" s="5"/>
      <c r="F3071" s="5"/>
      <c r="G3071" s="5"/>
      <c r="H3071" s="5"/>
      <c r="I3071" s="5"/>
      <c r="J3071" s="12"/>
      <c r="K3071" s="11"/>
      <c r="M3071" s="5"/>
      <c r="N3071" s="12"/>
      <c r="O3071" s="5"/>
      <c r="P3071" s="5"/>
      <c r="Q3071" s="5"/>
      <c r="R3071" s="5"/>
      <c r="T3071" s="5"/>
      <c r="U3071" s="5"/>
      <c r="V3071" s="5"/>
      <c r="W3071" s="5"/>
    </row>
    <row r="3072" spans="1:23" ht="12.5">
      <c r="A3072" s="5"/>
      <c r="B3072" s="5"/>
      <c r="C3072" s="5"/>
      <c r="D3072" s="5"/>
      <c r="E3072" s="5"/>
      <c r="F3072" s="5"/>
      <c r="G3072" s="5"/>
      <c r="H3072" s="5"/>
      <c r="I3072" s="5"/>
      <c r="J3072" s="12"/>
      <c r="K3072" s="11"/>
      <c r="M3072" s="5"/>
      <c r="N3072" s="12"/>
      <c r="O3072" s="5"/>
      <c r="P3072" s="5"/>
      <c r="Q3072" s="5"/>
      <c r="R3072" s="5"/>
      <c r="T3072" s="5"/>
      <c r="U3072" s="5"/>
      <c r="V3072" s="5"/>
      <c r="W3072" s="5"/>
    </row>
    <row r="3073" spans="1:23" ht="12.5">
      <c r="A3073" s="5"/>
      <c r="B3073" s="5"/>
      <c r="C3073" s="5"/>
      <c r="D3073" s="5"/>
      <c r="E3073" s="5"/>
      <c r="F3073" s="5"/>
      <c r="G3073" s="5"/>
      <c r="H3073" s="5"/>
      <c r="I3073" s="5"/>
      <c r="J3073" s="12"/>
      <c r="K3073" s="11"/>
      <c r="M3073" s="5"/>
      <c r="N3073" s="12"/>
      <c r="O3073" s="5"/>
      <c r="P3073" s="5"/>
      <c r="Q3073" s="5"/>
      <c r="R3073" s="5"/>
      <c r="T3073" s="5"/>
      <c r="U3073" s="5"/>
      <c r="V3073" s="5"/>
      <c r="W3073" s="5"/>
    </row>
    <row r="3074" spans="1:23" ht="12.5">
      <c r="A3074" s="5"/>
      <c r="B3074" s="5"/>
      <c r="C3074" s="5"/>
      <c r="D3074" s="5"/>
      <c r="E3074" s="5"/>
      <c r="F3074" s="5"/>
      <c r="G3074" s="5"/>
      <c r="H3074" s="5"/>
      <c r="I3074" s="5"/>
      <c r="J3074" s="12"/>
      <c r="K3074" s="11"/>
      <c r="M3074" s="5"/>
      <c r="N3074" s="12"/>
      <c r="O3074" s="5"/>
      <c r="P3074" s="5"/>
      <c r="Q3074" s="5"/>
      <c r="R3074" s="5"/>
      <c r="T3074" s="5"/>
      <c r="U3074" s="5"/>
      <c r="V3074" s="5"/>
      <c r="W3074" s="5"/>
    </row>
    <row r="3075" spans="1:23" ht="12.5">
      <c r="A3075" s="5"/>
      <c r="B3075" s="5"/>
      <c r="C3075" s="5"/>
      <c r="D3075" s="5"/>
      <c r="E3075" s="5"/>
      <c r="F3075" s="5"/>
      <c r="G3075" s="5"/>
      <c r="H3075" s="5"/>
      <c r="I3075" s="5"/>
      <c r="J3075" s="12"/>
      <c r="K3075" s="11"/>
      <c r="M3075" s="5"/>
      <c r="N3075" s="12"/>
      <c r="O3075" s="5"/>
      <c r="P3075" s="5"/>
      <c r="Q3075" s="5"/>
      <c r="R3075" s="5"/>
      <c r="T3075" s="5"/>
      <c r="U3075" s="5"/>
      <c r="V3075" s="5"/>
      <c r="W3075" s="5"/>
    </row>
    <row r="3076" spans="1:23" ht="12.5">
      <c r="A3076" s="5"/>
      <c r="B3076" s="5"/>
      <c r="C3076" s="5"/>
      <c r="D3076" s="5"/>
      <c r="E3076" s="5"/>
      <c r="F3076" s="5"/>
      <c r="G3076" s="5"/>
      <c r="H3076" s="5"/>
      <c r="I3076" s="5"/>
      <c r="J3076" s="12"/>
      <c r="K3076" s="11"/>
      <c r="M3076" s="5"/>
      <c r="N3076" s="12"/>
      <c r="O3076" s="5"/>
      <c r="P3076" s="5"/>
      <c r="Q3076" s="5"/>
      <c r="R3076" s="5"/>
      <c r="T3076" s="5"/>
      <c r="U3076" s="5"/>
      <c r="V3076" s="5"/>
      <c r="W3076" s="5"/>
    </row>
    <row r="3077" spans="1:23" ht="12.5">
      <c r="A3077" s="5"/>
      <c r="B3077" s="5"/>
      <c r="C3077" s="5"/>
      <c r="D3077" s="5"/>
      <c r="E3077" s="5"/>
      <c r="F3077" s="5"/>
      <c r="G3077" s="5"/>
      <c r="H3077" s="5"/>
      <c r="I3077" s="5"/>
      <c r="J3077" s="12"/>
      <c r="K3077" s="11"/>
      <c r="M3077" s="5"/>
      <c r="N3077" s="12"/>
      <c r="O3077" s="5"/>
      <c r="P3077" s="5"/>
      <c r="Q3077" s="5"/>
      <c r="R3077" s="5"/>
      <c r="T3077" s="5"/>
      <c r="U3077" s="5"/>
      <c r="V3077" s="5"/>
      <c r="W3077" s="5"/>
    </row>
    <row r="3078" spans="1:23" ht="12.5">
      <c r="A3078" s="5"/>
      <c r="B3078" s="5"/>
      <c r="C3078" s="5"/>
      <c r="D3078" s="5"/>
      <c r="E3078" s="5"/>
      <c r="F3078" s="5"/>
      <c r="G3078" s="5"/>
      <c r="H3078" s="5"/>
      <c r="I3078" s="5"/>
      <c r="J3078" s="12"/>
      <c r="K3078" s="11"/>
      <c r="M3078" s="5"/>
      <c r="N3078" s="12"/>
      <c r="O3078" s="5"/>
      <c r="P3078" s="5"/>
      <c r="Q3078" s="5"/>
      <c r="R3078" s="5"/>
      <c r="T3078" s="5"/>
      <c r="U3078" s="5"/>
      <c r="V3078" s="5"/>
      <c r="W3078" s="5"/>
    </row>
    <row r="3079" spans="1:23" ht="12.5">
      <c r="A3079" s="5"/>
      <c r="B3079" s="5"/>
      <c r="C3079" s="5"/>
      <c r="D3079" s="5"/>
      <c r="E3079" s="5"/>
      <c r="F3079" s="5"/>
      <c r="G3079" s="5"/>
      <c r="H3079" s="5"/>
      <c r="I3079" s="5"/>
      <c r="J3079" s="12"/>
      <c r="K3079" s="11"/>
      <c r="M3079" s="5"/>
      <c r="N3079" s="12"/>
      <c r="O3079" s="5"/>
      <c r="P3079" s="5"/>
      <c r="Q3079" s="5"/>
      <c r="R3079" s="5"/>
      <c r="T3079" s="5"/>
      <c r="U3079" s="5"/>
      <c r="V3079" s="5"/>
      <c r="W3079" s="5"/>
    </row>
    <row r="3080" spans="1:23" ht="12.5">
      <c r="A3080" s="5"/>
      <c r="B3080" s="5"/>
      <c r="C3080" s="5"/>
      <c r="D3080" s="5"/>
      <c r="E3080" s="5"/>
      <c r="F3080" s="5"/>
      <c r="G3080" s="5"/>
      <c r="H3080" s="5"/>
      <c r="I3080" s="5"/>
      <c r="J3080" s="12"/>
      <c r="K3080" s="11"/>
      <c r="M3080" s="5"/>
      <c r="N3080" s="12"/>
      <c r="O3080" s="5"/>
      <c r="P3080" s="5"/>
      <c r="Q3080" s="5"/>
      <c r="R3080" s="5"/>
      <c r="T3080" s="5"/>
      <c r="U3080" s="5"/>
      <c r="V3080" s="5"/>
      <c r="W3080" s="5"/>
    </row>
    <row r="3081" spans="1:23" ht="12.5">
      <c r="A3081" s="5"/>
      <c r="B3081" s="5"/>
      <c r="C3081" s="5"/>
      <c r="D3081" s="5"/>
      <c r="E3081" s="5"/>
      <c r="F3081" s="5"/>
      <c r="G3081" s="5"/>
      <c r="H3081" s="5"/>
      <c r="I3081" s="5"/>
      <c r="J3081" s="12"/>
      <c r="K3081" s="11"/>
      <c r="M3081" s="5"/>
      <c r="N3081" s="12"/>
      <c r="O3081" s="5"/>
      <c r="P3081" s="5"/>
      <c r="Q3081" s="5"/>
      <c r="R3081" s="5"/>
      <c r="T3081" s="5"/>
      <c r="U3081" s="5"/>
      <c r="V3081" s="5"/>
      <c r="W3081" s="5"/>
    </row>
    <row r="3082" spans="1:23" ht="12.5">
      <c r="A3082" s="5"/>
      <c r="B3082" s="5"/>
      <c r="C3082" s="5"/>
      <c r="D3082" s="5"/>
      <c r="E3082" s="5"/>
      <c r="F3082" s="5"/>
      <c r="G3082" s="5"/>
      <c r="H3082" s="5"/>
      <c r="I3082" s="5"/>
      <c r="J3082" s="12"/>
      <c r="K3082" s="11"/>
      <c r="M3082" s="5"/>
      <c r="N3082" s="12"/>
      <c r="O3082" s="5"/>
      <c r="P3082" s="5"/>
      <c r="Q3082" s="5"/>
      <c r="R3082" s="5"/>
      <c r="T3082" s="5"/>
      <c r="U3082" s="5"/>
      <c r="V3082" s="5"/>
      <c r="W3082" s="5"/>
    </row>
    <row r="3083" spans="1:23" ht="12.5">
      <c r="A3083" s="5"/>
      <c r="B3083" s="5"/>
      <c r="C3083" s="5"/>
      <c r="D3083" s="5"/>
      <c r="E3083" s="5"/>
      <c r="F3083" s="5"/>
      <c r="G3083" s="5"/>
      <c r="H3083" s="5"/>
      <c r="I3083" s="5"/>
      <c r="J3083" s="12"/>
      <c r="K3083" s="11"/>
      <c r="M3083" s="5"/>
      <c r="N3083" s="12"/>
      <c r="O3083" s="5"/>
      <c r="P3083" s="5"/>
      <c r="Q3083" s="5"/>
      <c r="R3083" s="5"/>
      <c r="T3083" s="5"/>
      <c r="U3083" s="5"/>
      <c r="V3083" s="5"/>
      <c r="W3083" s="5"/>
    </row>
    <row r="3084" spans="1:23" ht="12.5">
      <c r="A3084" s="5"/>
      <c r="B3084" s="5"/>
      <c r="C3084" s="5"/>
      <c r="D3084" s="5"/>
      <c r="E3084" s="5"/>
      <c r="F3084" s="5"/>
      <c r="G3084" s="5"/>
      <c r="H3084" s="5"/>
      <c r="I3084" s="5"/>
      <c r="J3084" s="12"/>
      <c r="K3084" s="11"/>
      <c r="M3084" s="5"/>
      <c r="N3084" s="12"/>
      <c r="O3084" s="5"/>
      <c r="P3084" s="5"/>
      <c r="Q3084" s="5"/>
      <c r="R3084" s="5"/>
      <c r="T3084" s="5"/>
      <c r="U3084" s="5"/>
      <c r="V3084" s="5"/>
      <c r="W3084" s="5"/>
    </row>
    <row r="3085" spans="1:23" ht="12.5">
      <c r="A3085" s="5"/>
      <c r="B3085" s="5"/>
      <c r="C3085" s="5"/>
      <c r="D3085" s="5"/>
      <c r="E3085" s="5"/>
      <c r="F3085" s="5"/>
      <c r="G3085" s="5"/>
      <c r="H3085" s="5"/>
      <c r="I3085" s="5"/>
      <c r="J3085" s="12"/>
      <c r="K3085" s="11"/>
      <c r="M3085" s="5"/>
      <c r="N3085" s="12"/>
      <c r="O3085" s="5"/>
      <c r="P3085" s="5"/>
      <c r="Q3085" s="5"/>
      <c r="R3085" s="5"/>
      <c r="T3085" s="5"/>
      <c r="U3085" s="5"/>
      <c r="V3085" s="5"/>
      <c r="W3085" s="5"/>
    </row>
    <row r="3086" spans="1:23" ht="12.5">
      <c r="A3086" s="5"/>
      <c r="B3086" s="5"/>
      <c r="C3086" s="5"/>
      <c r="D3086" s="5"/>
      <c r="E3086" s="5"/>
      <c r="F3086" s="5"/>
      <c r="G3086" s="5"/>
      <c r="H3086" s="5"/>
      <c r="I3086" s="5"/>
      <c r="J3086" s="12"/>
      <c r="K3086" s="11"/>
      <c r="M3086" s="5"/>
      <c r="N3086" s="12"/>
      <c r="O3086" s="5"/>
      <c r="P3086" s="5"/>
      <c r="Q3086" s="5"/>
      <c r="R3086" s="5"/>
      <c r="T3086" s="5"/>
      <c r="U3086" s="5"/>
      <c r="V3086" s="5"/>
      <c r="W3086" s="5"/>
    </row>
    <row r="3087" spans="1:23" ht="12.5">
      <c r="A3087" s="5"/>
      <c r="B3087" s="5"/>
      <c r="C3087" s="5"/>
      <c r="D3087" s="5"/>
      <c r="E3087" s="5"/>
      <c r="F3087" s="5"/>
      <c r="G3087" s="5"/>
      <c r="H3087" s="5"/>
      <c r="I3087" s="5"/>
      <c r="J3087" s="12"/>
      <c r="K3087" s="11"/>
      <c r="M3087" s="5"/>
      <c r="N3087" s="12"/>
      <c r="O3087" s="5"/>
      <c r="P3087" s="5"/>
      <c r="Q3087" s="5"/>
      <c r="R3087" s="5"/>
      <c r="T3087" s="5"/>
      <c r="U3087" s="5"/>
      <c r="V3087" s="5"/>
      <c r="W3087" s="5"/>
    </row>
    <row r="3088" spans="1:23" ht="12.5">
      <c r="A3088" s="5"/>
      <c r="B3088" s="5"/>
      <c r="C3088" s="5"/>
      <c r="D3088" s="5"/>
      <c r="E3088" s="5"/>
      <c r="F3088" s="5"/>
      <c r="G3088" s="5"/>
      <c r="H3088" s="5"/>
      <c r="I3088" s="5"/>
      <c r="J3088" s="12"/>
      <c r="K3088" s="11"/>
      <c r="M3088" s="5"/>
      <c r="N3088" s="12"/>
      <c r="O3088" s="5"/>
      <c r="P3088" s="5"/>
      <c r="Q3088" s="5"/>
      <c r="R3088" s="5"/>
      <c r="T3088" s="5"/>
      <c r="U3088" s="5"/>
      <c r="V3088" s="5"/>
      <c r="W3088" s="5"/>
    </row>
    <row r="3089" spans="1:23" ht="12.5">
      <c r="A3089" s="5"/>
      <c r="B3089" s="5"/>
      <c r="C3089" s="5"/>
      <c r="D3089" s="5"/>
      <c r="E3089" s="5"/>
      <c r="F3089" s="5"/>
      <c r="G3089" s="5"/>
      <c r="H3089" s="5"/>
      <c r="I3089" s="5"/>
      <c r="J3089" s="12"/>
      <c r="K3089" s="11"/>
      <c r="M3089" s="5"/>
      <c r="N3089" s="12"/>
      <c r="O3089" s="5"/>
      <c r="P3089" s="5"/>
      <c r="Q3089" s="5"/>
      <c r="R3089" s="5"/>
      <c r="T3089" s="5"/>
      <c r="U3089" s="5"/>
      <c r="V3089" s="5"/>
      <c r="W3089" s="5"/>
    </row>
    <row r="3090" spans="1:23" ht="12.5">
      <c r="A3090" s="5"/>
      <c r="B3090" s="5"/>
      <c r="C3090" s="5"/>
      <c r="D3090" s="5"/>
      <c r="E3090" s="5"/>
      <c r="F3090" s="5"/>
      <c r="G3090" s="5"/>
      <c r="H3090" s="5"/>
      <c r="I3090" s="5"/>
      <c r="J3090" s="12"/>
      <c r="K3090" s="11"/>
      <c r="M3090" s="5"/>
      <c r="N3090" s="12"/>
      <c r="O3090" s="5"/>
      <c r="P3090" s="5"/>
      <c r="Q3090" s="5"/>
      <c r="R3090" s="5"/>
      <c r="T3090" s="5"/>
      <c r="U3090" s="5"/>
      <c r="V3090" s="5"/>
      <c r="W3090" s="5"/>
    </row>
    <row r="3091" spans="1:23" ht="12.5">
      <c r="A3091" s="5"/>
      <c r="B3091" s="5"/>
      <c r="C3091" s="5"/>
      <c r="D3091" s="5"/>
      <c r="E3091" s="5"/>
      <c r="F3091" s="5"/>
      <c r="G3091" s="5"/>
      <c r="H3091" s="5"/>
      <c r="I3091" s="5"/>
      <c r="J3091" s="12"/>
      <c r="K3091" s="11"/>
      <c r="M3091" s="5"/>
      <c r="N3091" s="12"/>
      <c r="O3091" s="5"/>
      <c r="P3091" s="5"/>
      <c r="Q3091" s="5"/>
      <c r="R3091" s="5"/>
      <c r="T3091" s="5"/>
      <c r="U3091" s="5"/>
      <c r="V3091" s="5"/>
      <c r="W3091" s="5"/>
    </row>
    <row r="3092" spans="1:23" ht="12.5">
      <c r="A3092" s="5"/>
      <c r="B3092" s="5"/>
      <c r="C3092" s="5"/>
      <c r="D3092" s="5"/>
      <c r="E3092" s="5"/>
      <c r="F3092" s="5"/>
      <c r="G3092" s="5"/>
      <c r="H3092" s="5"/>
      <c r="I3092" s="5"/>
      <c r="J3092" s="12"/>
      <c r="K3092" s="11"/>
      <c r="M3092" s="5"/>
      <c r="N3092" s="12"/>
      <c r="O3092" s="5"/>
      <c r="P3092" s="5"/>
      <c r="Q3092" s="5"/>
      <c r="R3092" s="5"/>
      <c r="T3092" s="5"/>
      <c r="U3092" s="5"/>
      <c r="V3092" s="5"/>
      <c r="W3092" s="5"/>
    </row>
    <row r="3093" spans="1:23" ht="12.5">
      <c r="A3093" s="5"/>
      <c r="B3093" s="5"/>
      <c r="C3093" s="5"/>
      <c r="D3093" s="5"/>
      <c r="E3093" s="5"/>
      <c r="F3093" s="5"/>
      <c r="G3093" s="5"/>
      <c r="H3093" s="5"/>
      <c r="I3093" s="5"/>
      <c r="J3093" s="12"/>
      <c r="K3093" s="11"/>
      <c r="M3093" s="5"/>
      <c r="N3093" s="12"/>
      <c r="O3093" s="5"/>
      <c r="P3093" s="5"/>
      <c r="Q3093" s="5"/>
      <c r="R3093" s="5"/>
      <c r="T3093" s="5"/>
      <c r="U3093" s="5"/>
      <c r="V3093" s="5"/>
      <c r="W3093" s="5"/>
    </row>
    <row r="3094" spans="1:23" ht="12.5">
      <c r="A3094" s="5"/>
      <c r="B3094" s="5"/>
      <c r="C3094" s="5"/>
      <c r="D3094" s="5"/>
      <c r="E3094" s="5"/>
      <c r="F3094" s="5"/>
      <c r="G3094" s="5"/>
      <c r="H3094" s="5"/>
      <c r="I3094" s="5"/>
      <c r="J3094" s="12"/>
      <c r="K3094" s="11"/>
      <c r="M3094" s="5"/>
      <c r="N3094" s="12"/>
      <c r="O3094" s="5"/>
      <c r="P3094" s="5"/>
      <c r="Q3094" s="5"/>
      <c r="R3094" s="5"/>
      <c r="T3094" s="5"/>
      <c r="U3094" s="5"/>
      <c r="V3094" s="5"/>
      <c r="W3094" s="5"/>
    </row>
    <row r="3095" spans="1:23" ht="12.5">
      <c r="A3095" s="5"/>
      <c r="B3095" s="5"/>
      <c r="C3095" s="5"/>
      <c r="D3095" s="5"/>
      <c r="E3095" s="5"/>
      <c r="F3095" s="5"/>
      <c r="G3095" s="5"/>
      <c r="H3095" s="5"/>
      <c r="I3095" s="5"/>
      <c r="J3095" s="12"/>
      <c r="K3095" s="11"/>
      <c r="M3095" s="5"/>
      <c r="N3095" s="12"/>
      <c r="O3095" s="5"/>
      <c r="P3095" s="5"/>
      <c r="Q3095" s="5"/>
      <c r="R3095" s="5"/>
      <c r="T3095" s="5"/>
      <c r="U3095" s="5"/>
      <c r="V3095" s="5"/>
      <c r="W3095" s="5"/>
    </row>
    <row r="3096" spans="1:23" ht="12.5">
      <c r="A3096" s="5"/>
      <c r="B3096" s="5"/>
      <c r="C3096" s="5"/>
      <c r="D3096" s="5"/>
      <c r="E3096" s="5"/>
      <c r="F3096" s="5"/>
      <c r="G3096" s="5"/>
      <c r="H3096" s="5"/>
      <c r="I3096" s="5"/>
      <c r="J3096" s="12"/>
      <c r="K3096" s="11"/>
      <c r="M3096" s="5"/>
      <c r="N3096" s="12"/>
      <c r="O3096" s="5"/>
      <c r="P3096" s="5"/>
      <c r="Q3096" s="5"/>
      <c r="R3096" s="5"/>
      <c r="T3096" s="5"/>
      <c r="U3096" s="5"/>
      <c r="V3096" s="5"/>
      <c r="W3096" s="5"/>
    </row>
    <row r="3097" spans="1:23" ht="12.5">
      <c r="A3097" s="5"/>
      <c r="B3097" s="5"/>
      <c r="C3097" s="5"/>
      <c r="D3097" s="5"/>
      <c r="E3097" s="5"/>
      <c r="F3097" s="5"/>
      <c r="G3097" s="5"/>
      <c r="H3097" s="5"/>
      <c r="I3097" s="5"/>
      <c r="J3097" s="12"/>
      <c r="K3097" s="11"/>
      <c r="M3097" s="5"/>
      <c r="N3097" s="12"/>
      <c r="O3097" s="5"/>
      <c r="P3097" s="5"/>
      <c r="Q3097" s="5"/>
      <c r="R3097" s="5"/>
      <c r="T3097" s="5"/>
      <c r="U3097" s="5"/>
      <c r="V3097" s="5"/>
      <c r="W3097" s="5"/>
    </row>
    <row r="3098" spans="1:23" ht="12.5">
      <c r="A3098" s="5"/>
      <c r="B3098" s="5"/>
      <c r="C3098" s="5"/>
      <c r="D3098" s="5"/>
      <c r="E3098" s="5"/>
      <c r="F3098" s="5"/>
      <c r="G3098" s="5"/>
      <c r="H3098" s="5"/>
      <c r="I3098" s="5"/>
      <c r="J3098" s="12"/>
      <c r="K3098" s="11"/>
      <c r="M3098" s="5"/>
      <c r="N3098" s="12"/>
      <c r="O3098" s="5"/>
      <c r="P3098" s="5"/>
      <c r="Q3098" s="5"/>
      <c r="R3098" s="5"/>
      <c r="T3098" s="5"/>
      <c r="U3098" s="5"/>
      <c r="V3098" s="5"/>
      <c r="W3098" s="5"/>
    </row>
    <row r="3099" spans="1:23" ht="12.5">
      <c r="A3099" s="5"/>
      <c r="B3099" s="5"/>
      <c r="C3099" s="5"/>
      <c r="D3099" s="5"/>
      <c r="E3099" s="5"/>
      <c r="F3099" s="5"/>
      <c r="G3099" s="5"/>
      <c r="H3099" s="5"/>
      <c r="I3099" s="5"/>
      <c r="J3099" s="12"/>
      <c r="K3099" s="11"/>
      <c r="M3099" s="5"/>
      <c r="N3099" s="12"/>
      <c r="O3099" s="5"/>
      <c r="P3099" s="5"/>
      <c r="Q3099" s="5"/>
      <c r="R3099" s="5"/>
      <c r="T3099" s="5"/>
      <c r="U3099" s="5"/>
      <c r="V3099" s="5"/>
      <c r="W3099" s="5"/>
    </row>
    <row r="3100" spans="1:23" ht="12.5">
      <c r="A3100" s="5"/>
      <c r="B3100" s="5"/>
      <c r="C3100" s="5"/>
      <c r="D3100" s="5"/>
      <c r="E3100" s="5"/>
      <c r="F3100" s="5"/>
      <c r="G3100" s="5"/>
      <c r="H3100" s="5"/>
      <c r="I3100" s="5"/>
      <c r="J3100" s="12"/>
      <c r="K3100" s="11"/>
      <c r="M3100" s="5"/>
      <c r="N3100" s="12"/>
      <c r="O3100" s="5"/>
      <c r="P3100" s="5"/>
      <c r="Q3100" s="5"/>
      <c r="R3100" s="5"/>
      <c r="T3100" s="5"/>
      <c r="U3100" s="5"/>
      <c r="V3100" s="5"/>
      <c r="W3100" s="5"/>
    </row>
    <row r="3101" spans="1:23" ht="12.5">
      <c r="A3101" s="5"/>
      <c r="B3101" s="5"/>
      <c r="C3101" s="5"/>
      <c r="D3101" s="5"/>
      <c r="E3101" s="5"/>
      <c r="F3101" s="5"/>
      <c r="G3101" s="5"/>
      <c r="H3101" s="5"/>
      <c r="I3101" s="5"/>
      <c r="J3101" s="12"/>
      <c r="K3101" s="11"/>
      <c r="M3101" s="5"/>
      <c r="N3101" s="12"/>
      <c r="O3101" s="5"/>
      <c r="P3101" s="5"/>
      <c r="Q3101" s="5"/>
      <c r="R3101" s="5"/>
      <c r="T3101" s="5"/>
      <c r="U3101" s="5"/>
      <c r="V3101" s="5"/>
      <c r="W3101" s="5"/>
    </row>
    <row r="3102" spans="1:23" ht="12.5">
      <c r="A3102" s="5"/>
      <c r="B3102" s="5"/>
      <c r="C3102" s="5"/>
      <c r="D3102" s="5"/>
      <c r="E3102" s="5"/>
      <c r="F3102" s="5"/>
      <c r="G3102" s="5"/>
      <c r="H3102" s="5"/>
      <c r="I3102" s="5"/>
      <c r="J3102" s="12"/>
      <c r="K3102" s="11"/>
      <c r="M3102" s="5"/>
      <c r="N3102" s="12"/>
      <c r="O3102" s="5"/>
      <c r="P3102" s="5"/>
      <c r="Q3102" s="5"/>
      <c r="R3102" s="5"/>
      <c r="T3102" s="5"/>
      <c r="U3102" s="5"/>
      <c r="V3102" s="5"/>
      <c r="W3102" s="5"/>
    </row>
    <row r="3103" spans="1:23" ht="12.5">
      <c r="A3103" s="5"/>
      <c r="B3103" s="5"/>
      <c r="C3103" s="5"/>
      <c r="D3103" s="5"/>
      <c r="E3103" s="5"/>
      <c r="F3103" s="5"/>
      <c r="G3103" s="5"/>
      <c r="H3103" s="5"/>
      <c r="I3103" s="5"/>
      <c r="J3103" s="12"/>
      <c r="K3103" s="11"/>
      <c r="M3103" s="5"/>
      <c r="N3103" s="12"/>
      <c r="O3103" s="5"/>
      <c r="P3103" s="5"/>
      <c r="Q3103" s="5"/>
      <c r="R3103" s="5"/>
      <c r="T3103" s="5"/>
      <c r="U3103" s="5"/>
      <c r="V3103" s="5"/>
      <c r="W3103" s="5"/>
    </row>
    <row r="3104" spans="1:23" ht="12.5">
      <c r="A3104" s="5"/>
      <c r="B3104" s="5"/>
      <c r="C3104" s="5"/>
      <c r="D3104" s="5"/>
      <c r="E3104" s="5"/>
      <c r="F3104" s="5"/>
      <c r="G3104" s="5"/>
      <c r="H3104" s="5"/>
      <c r="I3104" s="5"/>
      <c r="J3104" s="12"/>
      <c r="K3104" s="11"/>
      <c r="M3104" s="5"/>
      <c r="N3104" s="12"/>
      <c r="O3104" s="5"/>
      <c r="P3104" s="5"/>
      <c r="Q3104" s="5"/>
      <c r="R3104" s="5"/>
      <c r="T3104" s="5"/>
      <c r="U3104" s="5"/>
      <c r="V3104" s="5"/>
      <c r="W3104" s="5"/>
    </row>
    <row r="3105" spans="1:23" ht="12.5">
      <c r="A3105" s="5"/>
      <c r="B3105" s="5"/>
      <c r="C3105" s="5"/>
      <c r="D3105" s="5"/>
      <c r="E3105" s="5"/>
      <c r="F3105" s="5"/>
      <c r="G3105" s="5"/>
      <c r="H3105" s="5"/>
      <c r="I3105" s="5"/>
      <c r="J3105" s="12"/>
      <c r="K3105" s="11"/>
      <c r="M3105" s="5"/>
      <c r="N3105" s="12"/>
      <c r="O3105" s="5"/>
      <c r="P3105" s="5"/>
      <c r="Q3105" s="5"/>
      <c r="R3105" s="5"/>
      <c r="T3105" s="5"/>
      <c r="U3105" s="5"/>
      <c r="V3105" s="5"/>
      <c r="W3105" s="5"/>
    </row>
    <row r="3106" spans="1:23" ht="12.5">
      <c r="A3106" s="5"/>
      <c r="B3106" s="5"/>
      <c r="C3106" s="5"/>
      <c r="D3106" s="5"/>
      <c r="E3106" s="5"/>
      <c r="F3106" s="5"/>
      <c r="G3106" s="5"/>
      <c r="H3106" s="5"/>
      <c r="I3106" s="5"/>
      <c r="J3106" s="12"/>
      <c r="K3106" s="11"/>
      <c r="M3106" s="5"/>
      <c r="N3106" s="12"/>
      <c r="O3106" s="5"/>
      <c r="P3106" s="5"/>
      <c r="Q3106" s="5"/>
      <c r="R3106" s="5"/>
      <c r="T3106" s="5"/>
      <c r="U3106" s="5"/>
      <c r="V3106" s="5"/>
      <c r="W3106" s="5"/>
    </row>
    <row r="3107" spans="1:23" ht="12.5">
      <c r="A3107" s="5"/>
      <c r="B3107" s="5"/>
      <c r="C3107" s="5"/>
      <c r="D3107" s="5"/>
      <c r="E3107" s="5"/>
      <c r="F3107" s="5"/>
      <c r="G3107" s="5"/>
      <c r="H3107" s="5"/>
      <c r="I3107" s="5"/>
      <c r="J3107" s="12"/>
      <c r="K3107" s="11"/>
      <c r="M3107" s="5"/>
      <c r="N3107" s="12"/>
      <c r="O3107" s="5"/>
      <c r="P3107" s="5"/>
      <c r="Q3107" s="5"/>
      <c r="R3107" s="5"/>
      <c r="T3107" s="5"/>
      <c r="U3107" s="5"/>
      <c r="V3107" s="5"/>
      <c r="W3107" s="5"/>
    </row>
    <row r="3108" spans="1:23" ht="12.5">
      <c r="A3108" s="5"/>
      <c r="B3108" s="5"/>
      <c r="C3108" s="5"/>
      <c r="D3108" s="5"/>
      <c r="E3108" s="5"/>
      <c r="F3108" s="5"/>
      <c r="G3108" s="5"/>
      <c r="H3108" s="5"/>
      <c r="I3108" s="5"/>
      <c r="J3108" s="12"/>
      <c r="K3108" s="11"/>
      <c r="M3108" s="5"/>
      <c r="N3108" s="12"/>
      <c r="O3108" s="5"/>
      <c r="P3108" s="5"/>
      <c r="Q3108" s="5"/>
      <c r="R3108" s="5"/>
      <c r="T3108" s="5"/>
      <c r="U3108" s="5"/>
      <c r="V3108" s="5"/>
      <c r="W3108" s="5"/>
    </row>
    <row r="3109" spans="1:23" ht="12.5">
      <c r="A3109" s="5"/>
      <c r="B3109" s="5"/>
      <c r="C3109" s="5"/>
      <c r="D3109" s="5"/>
      <c r="E3109" s="5"/>
      <c r="F3109" s="5"/>
      <c r="G3109" s="5"/>
      <c r="H3109" s="5"/>
      <c r="I3109" s="5"/>
      <c r="J3109" s="12"/>
      <c r="K3109" s="11"/>
      <c r="M3109" s="5"/>
      <c r="N3109" s="12"/>
      <c r="O3109" s="5"/>
      <c r="P3109" s="5"/>
      <c r="Q3109" s="5"/>
      <c r="R3109" s="5"/>
      <c r="T3109" s="5"/>
      <c r="U3109" s="5"/>
      <c r="V3109" s="5"/>
      <c r="W3109" s="5"/>
    </row>
    <row r="3110" spans="1:23" ht="12.5">
      <c r="A3110" s="5"/>
      <c r="B3110" s="5"/>
      <c r="C3110" s="5"/>
      <c r="D3110" s="5"/>
      <c r="E3110" s="5"/>
      <c r="F3110" s="5"/>
      <c r="G3110" s="5"/>
      <c r="H3110" s="5"/>
      <c r="I3110" s="5"/>
      <c r="J3110" s="12"/>
      <c r="K3110" s="11"/>
      <c r="M3110" s="5"/>
      <c r="N3110" s="12"/>
      <c r="O3110" s="5"/>
      <c r="P3110" s="5"/>
      <c r="Q3110" s="5"/>
      <c r="R3110" s="5"/>
      <c r="T3110" s="5"/>
      <c r="U3110" s="5"/>
      <c r="V3110" s="5"/>
      <c r="W3110" s="5"/>
    </row>
    <row r="3111" spans="1:23" ht="12.5">
      <c r="A3111" s="5"/>
      <c r="B3111" s="5"/>
      <c r="C3111" s="5"/>
      <c r="D3111" s="5"/>
      <c r="E3111" s="5"/>
      <c r="F3111" s="5"/>
      <c r="G3111" s="5"/>
      <c r="H3111" s="5"/>
      <c r="I3111" s="5"/>
      <c r="J3111" s="12"/>
      <c r="K3111" s="11"/>
      <c r="M3111" s="5"/>
      <c r="N3111" s="12"/>
      <c r="O3111" s="5"/>
      <c r="P3111" s="5"/>
      <c r="Q3111" s="5"/>
      <c r="R3111" s="5"/>
      <c r="T3111" s="5"/>
      <c r="U3111" s="5"/>
      <c r="V3111" s="5"/>
      <c r="W3111" s="5"/>
    </row>
    <row r="3112" spans="1:23" ht="12.5">
      <c r="A3112" s="5"/>
      <c r="B3112" s="5"/>
      <c r="C3112" s="5"/>
      <c r="D3112" s="5"/>
      <c r="E3112" s="5"/>
      <c r="F3112" s="5"/>
      <c r="G3112" s="5"/>
      <c r="H3112" s="5"/>
      <c r="I3112" s="5"/>
      <c r="J3112" s="12"/>
      <c r="K3112" s="11"/>
      <c r="M3112" s="5"/>
      <c r="N3112" s="12"/>
      <c r="O3112" s="5"/>
      <c r="P3112" s="5"/>
      <c r="Q3112" s="5"/>
      <c r="R3112" s="5"/>
      <c r="T3112" s="5"/>
      <c r="U3112" s="5"/>
      <c r="V3112" s="5"/>
      <c r="W3112" s="5"/>
    </row>
    <row r="3113" spans="1:23" ht="12.5">
      <c r="A3113" s="5"/>
      <c r="B3113" s="5"/>
      <c r="C3113" s="5"/>
      <c r="D3113" s="5"/>
      <c r="E3113" s="5"/>
      <c r="F3113" s="5"/>
      <c r="G3113" s="5"/>
      <c r="H3113" s="5"/>
      <c r="I3113" s="5"/>
      <c r="J3113" s="12"/>
      <c r="K3113" s="11"/>
      <c r="M3113" s="5"/>
      <c r="N3113" s="12"/>
      <c r="O3113" s="5"/>
      <c r="P3113" s="5"/>
      <c r="Q3113" s="5"/>
      <c r="R3113" s="5"/>
      <c r="T3113" s="5"/>
      <c r="U3113" s="5"/>
      <c r="V3113" s="5"/>
      <c r="W3113" s="5"/>
    </row>
    <row r="3114" spans="1:23" ht="12.5">
      <c r="A3114" s="5"/>
      <c r="B3114" s="5"/>
      <c r="C3114" s="5"/>
      <c r="D3114" s="5"/>
      <c r="E3114" s="5"/>
      <c r="F3114" s="5"/>
      <c r="G3114" s="5"/>
      <c r="H3114" s="5"/>
      <c r="I3114" s="5"/>
      <c r="J3114" s="12"/>
      <c r="K3114" s="11"/>
      <c r="M3114" s="5"/>
      <c r="N3114" s="12"/>
      <c r="O3114" s="5"/>
      <c r="P3114" s="5"/>
      <c r="Q3114" s="5"/>
      <c r="R3114" s="5"/>
      <c r="T3114" s="5"/>
      <c r="U3114" s="5"/>
      <c r="V3114" s="5"/>
      <c r="W3114" s="5"/>
    </row>
    <row r="3115" spans="1:23" ht="12.5">
      <c r="A3115" s="5"/>
      <c r="B3115" s="5"/>
      <c r="C3115" s="5"/>
      <c r="D3115" s="5"/>
      <c r="E3115" s="5"/>
      <c r="F3115" s="5"/>
      <c r="G3115" s="5"/>
      <c r="H3115" s="5"/>
      <c r="I3115" s="5"/>
      <c r="J3115" s="12"/>
      <c r="K3115" s="11"/>
      <c r="M3115" s="5"/>
      <c r="N3115" s="12"/>
      <c r="O3115" s="5"/>
      <c r="P3115" s="5"/>
      <c r="Q3115" s="5"/>
      <c r="R3115" s="5"/>
      <c r="T3115" s="5"/>
      <c r="U3115" s="5"/>
      <c r="V3115" s="5"/>
      <c r="W3115" s="5"/>
    </row>
    <row r="3116" spans="1:23" ht="12.5">
      <c r="A3116" s="5"/>
      <c r="B3116" s="5"/>
      <c r="C3116" s="5"/>
      <c r="D3116" s="5"/>
      <c r="E3116" s="5"/>
      <c r="F3116" s="5"/>
      <c r="G3116" s="5"/>
      <c r="H3116" s="5"/>
      <c r="I3116" s="5"/>
      <c r="J3116" s="12"/>
      <c r="K3116" s="11"/>
      <c r="M3116" s="5"/>
      <c r="N3116" s="12"/>
      <c r="O3116" s="5"/>
      <c r="P3116" s="5"/>
      <c r="Q3116" s="5"/>
      <c r="R3116" s="5"/>
      <c r="T3116" s="5"/>
      <c r="U3116" s="5"/>
      <c r="V3116" s="5"/>
      <c r="W3116" s="5"/>
    </row>
    <row r="3117" spans="1:23" ht="12.5">
      <c r="A3117" s="5"/>
      <c r="B3117" s="5"/>
      <c r="C3117" s="5"/>
      <c r="D3117" s="5"/>
      <c r="E3117" s="5"/>
      <c r="F3117" s="5"/>
      <c r="G3117" s="5"/>
      <c r="H3117" s="5"/>
      <c r="I3117" s="5"/>
      <c r="J3117" s="12"/>
      <c r="K3117" s="11"/>
      <c r="M3117" s="5"/>
      <c r="N3117" s="12"/>
      <c r="O3117" s="5"/>
      <c r="P3117" s="5"/>
      <c r="Q3117" s="5"/>
      <c r="R3117" s="5"/>
      <c r="T3117" s="5"/>
      <c r="U3117" s="5"/>
      <c r="V3117" s="5"/>
      <c r="W3117" s="5"/>
    </row>
    <row r="3118" spans="1:23" ht="12.5">
      <c r="A3118" s="5"/>
      <c r="B3118" s="5"/>
      <c r="C3118" s="5"/>
      <c r="D3118" s="5"/>
      <c r="E3118" s="5"/>
      <c r="F3118" s="5"/>
      <c r="G3118" s="5"/>
      <c r="H3118" s="5"/>
      <c r="I3118" s="5"/>
      <c r="J3118" s="12"/>
      <c r="K3118" s="11"/>
      <c r="M3118" s="5"/>
      <c r="N3118" s="12"/>
      <c r="O3118" s="5"/>
      <c r="P3118" s="5"/>
      <c r="Q3118" s="5"/>
      <c r="R3118" s="5"/>
      <c r="T3118" s="5"/>
      <c r="U3118" s="5"/>
      <c r="V3118" s="5"/>
      <c r="W3118" s="5"/>
    </row>
    <row r="3119" spans="1:23" ht="12.5">
      <c r="A3119" s="5"/>
      <c r="B3119" s="5"/>
      <c r="C3119" s="5"/>
      <c r="D3119" s="5"/>
      <c r="E3119" s="5"/>
      <c r="F3119" s="5"/>
      <c r="G3119" s="5"/>
      <c r="H3119" s="5"/>
      <c r="I3119" s="5"/>
      <c r="J3119" s="12"/>
      <c r="K3119" s="11"/>
      <c r="M3119" s="5"/>
      <c r="N3119" s="12"/>
      <c r="O3119" s="5"/>
      <c r="P3119" s="5"/>
      <c r="Q3119" s="5"/>
      <c r="R3119" s="5"/>
      <c r="T3119" s="5"/>
      <c r="U3119" s="5"/>
      <c r="V3119" s="5"/>
      <c r="W3119" s="5"/>
    </row>
    <row r="3120" spans="1:23" ht="12.5">
      <c r="A3120" s="5"/>
      <c r="B3120" s="5"/>
      <c r="C3120" s="5"/>
      <c r="D3120" s="5"/>
      <c r="E3120" s="5"/>
      <c r="F3120" s="5"/>
      <c r="G3120" s="5"/>
      <c r="H3120" s="5"/>
      <c r="I3120" s="5"/>
      <c r="J3120" s="12"/>
      <c r="K3120" s="11"/>
      <c r="M3120" s="5"/>
      <c r="N3120" s="12"/>
      <c r="O3120" s="5"/>
      <c r="P3120" s="5"/>
      <c r="Q3120" s="5"/>
      <c r="R3120" s="5"/>
      <c r="T3120" s="5"/>
      <c r="U3120" s="5"/>
      <c r="V3120" s="5"/>
      <c r="W3120" s="5"/>
    </row>
    <row r="3121" spans="1:23" ht="12.5">
      <c r="A3121" s="5"/>
      <c r="B3121" s="5"/>
      <c r="C3121" s="5"/>
      <c r="D3121" s="5"/>
      <c r="E3121" s="5"/>
      <c r="F3121" s="5"/>
      <c r="G3121" s="5"/>
      <c r="H3121" s="5"/>
      <c r="I3121" s="5"/>
      <c r="J3121" s="12"/>
      <c r="K3121" s="11"/>
      <c r="M3121" s="5"/>
      <c r="N3121" s="12"/>
      <c r="O3121" s="5"/>
      <c r="P3121" s="5"/>
      <c r="Q3121" s="5"/>
      <c r="R3121" s="5"/>
      <c r="T3121" s="5"/>
      <c r="U3121" s="5"/>
      <c r="V3121" s="5"/>
      <c r="W3121" s="5"/>
    </row>
    <row r="3122" spans="1:23" ht="12.5">
      <c r="A3122" s="5"/>
      <c r="B3122" s="5"/>
      <c r="C3122" s="5"/>
      <c r="D3122" s="5"/>
      <c r="E3122" s="5"/>
      <c r="F3122" s="5"/>
      <c r="G3122" s="5"/>
      <c r="H3122" s="5"/>
      <c r="I3122" s="5"/>
      <c r="J3122" s="12"/>
      <c r="K3122" s="11"/>
      <c r="M3122" s="5"/>
      <c r="N3122" s="12"/>
      <c r="O3122" s="5"/>
      <c r="P3122" s="5"/>
      <c r="Q3122" s="5"/>
      <c r="R3122" s="5"/>
      <c r="T3122" s="5"/>
      <c r="U3122" s="5"/>
      <c r="V3122" s="5"/>
      <c r="W3122" s="5"/>
    </row>
    <row r="3123" spans="1:23" ht="12.5">
      <c r="A3123" s="5"/>
      <c r="B3123" s="5"/>
      <c r="C3123" s="5"/>
      <c r="D3123" s="5"/>
      <c r="E3123" s="5"/>
      <c r="F3123" s="5"/>
      <c r="G3123" s="5"/>
      <c r="H3123" s="5"/>
      <c r="I3123" s="5"/>
      <c r="J3123" s="12"/>
      <c r="K3123" s="11"/>
      <c r="M3123" s="5"/>
      <c r="N3123" s="12"/>
      <c r="O3123" s="5"/>
      <c r="P3123" s="5"/>
      <c r="Q3123" s="5"/>
      <c r="R3123" s="5"/>
      <c r="T3123" s="5"/>
      <c r="U3123" s="5"/>
      <c r="V3123" s="5"/>
      <c r="W3123" s="5"/>
    </row>
    <row r="3124" spans="1:23" ht="12.5">
      <c r="A3124" s="5"/>
      <c r="B3124" s="5"/>
      <c r="C3124" s="5"/>
      <c r="D3124" s="5"/>
      <c r="E3124" s="5"/>
      <c r="F3124" s="5"/>
      <c r="G3124" s="5"/>
      <c r="H3124" s="5"/>
      <c r="I3124" s="5"/>
      <c r="J3124" s="12"/>
      <c r="K3124" s="11"/>
      <c r="M3124" s="5"/>
      <c r="N3124" s="12"/>
      <c r="O3124" s="5"/>
      <c r="P3124" s="5"/>
      <c r="Q3124" s="5"/>
      <c r="R3124" s="5"/>
      <c r="T3124" s="5"/>
      <c r="U3124" s="5"/>
      <c r="V3124" s="5"/>
      <c r="W3124" s="5"/>
    </row>
    <row r="3125" spans="1:23" ht="12.5">
      <c r="A3125" s="5"/>
      <c r="B3125" s="5"/>
      <c r="C3125" s="5"/>
      <c r="D3125" s="5"/>
      <c r="E3125" s="5"/>
      <c r="F3125" s="5"/>
      <c r="G3125" s="5"/>
      <c r="H3125" s="5"/>
      <c r="I3125" s="5"/>
      <c r="J3125" s="12"/>
      <c r="K3125" s="11"/>
      <c r="M3125" s="5"/>
      <c r="N3125" s="12"/>
      <c r="O3125" s="5"/>
      <c r="P3125" s="5"/>
      <c r="Q3125" s="5"/>
      <c r="R3125" s="5"/>
      <c r="T3125" s="5"/>
      <c r="U3125" s="5"/>
      <c r="V3125" s="5"/>
      <c r="W3125" s="5"/>
    </row>
    <row r="3126" spans="1:23" ht="12.5">
      <c r="A3126" s="5"/>
      <c r="B3126" s="5"/>
      <c r="C3126" s="5"/>
      <c r="D3126" s="5"/>
      <c r="E3126" s="5"/>
      <c r="F3126" s="5"/>
      <c r="G3126" s="5"/>
      <c r="H3126" s="5"/>
      <c r="I3126" s="5"/>
      <c r="J3126" s="12"/>
      <c r="K3126" s="11"/>
      <c r="M3126" s="5"/>
      <c r="N3126" s="12"/>
      <c r="O3126" s="5"/>
      <c r="P3126" s="5"/>
      <c r="Q3126" s="5"/>
      <c r="R3126" s="5"/>
      <c r="T3126" s="5"/>
      <c r="U3126" s="5"/>
      <c r="V3126" s="5"/>
      <c r="W3126" s="5"/>
    </row>
    <row r="3127" spans="1:23" ht="12.5">
      <c r="A3127" s="5"/>
      <c r="B3127" s="5"/>
      <c r="C3127" s="5"/>
      <c r="D3127" s="5"/>
      <c r="E3127" s="5"/>
      <c r="F3127" s="5"/>
      <c r="G3127" s="5"/>
      <c r="H3127" s="5"/>
      <c r="I3127" s="5"/>
      <c r="J3127" s="12"/>
      <c r="K3127" s="11"/>
      <c r="M3127" s="5"/>
      <c r="N3127" s="12"/>
      <c r="O3127" s="5"/>
      <c r="P3127" s="5"/>
      <c r="Q3127" s="5"/>
      <c r="R3127" s="5"/>
      <c r="T3127" s="5"/>
      <c r="U3127" s="5"/>
      <c r="V3127" s="5"/>
      <c r="W3127" s="5"/>
    </row>
    <row r="3128" spans="1:23" ht="12.5">
      <c r="A3128" s="5"/>
      <c r="B3128" s="5"/>
      <c r="C3128" s="5"/>
      <c r="D3128" s="5"/>
      <c r="E3128" s="5"/>
      <c r="F3128" s="5"/>
      <c r="G3128" s="5"/>
      <c r="H3128" s="5"/>
      <c r="I3128" s="5"/>
      <c r="J3128" s="12"/>
      <c r="K3128" s="11"/>
      <c r="M3128" s="5"/>
      <c r="N3128" s="12"/>
      <c r="O3128" s="5"/>
      <c r="P3128" s="5"/>
      <c r="Q3128" s="5"/>
      <c r="R3128" s="5"/>
      <c r="T3128" s="5"/>
      <c r="U3128" s="5"/>
      <c r="V3128" s="5"/>
      <c r="W3128" s="5"/>
    </row>
    <row r="3129" spans="1:23" ht="12.5">
      <c r="A3129" s="5"/>
      <c r="B3129" s="5"/>
      <c r="C3129" s="5"/>
      <c r="D3129" s="5"/>
      <c r="E3129" s="5"/>
      <c r="F3129" s="5"/>
      <c r="G3129" s="5"/>
      <c r="H3129" s="5"/>
      <c r="I3129" s="5"/>
      <c r="J3129" s="12"/>
      <c r="K3129" s="11"/>
      <c r="M3129" s="5"/>
      <c r="N3129" s="12"/>
      <c r="O3129" s="5"/>
      <c r="P3129" s="5"/>
      <c r="Q3129" s="5"/>
      <c r="R3129" s="5"/>
      <c r="T3129" s="5"/>
      <c r="U3129" s="5"/>
      <c r="V3129" s="5"/>
      <c r="W3129" s="5"/>
    </row>
    <row r="3130" spans="1:23" ht="12.5">
      <c r="A3130" s="5"/>
      <c r="B3130" s="5"/>
      <c r="C3130" s="5"/>
      <c r="D3130" s="5"/>
      <c r="E3130" s="5"/>
      <c r="F3130" s="5"/>
      <c r="G3130" s="5"/>
      <c r="H3130" s="5"/>
      <c r="I3130" s="5"/>
      <c r="J3130" s="12"/>
      <c r="K3130" s="11"/>
      <c r="M3130" s="5"/>
      <c r="N3130" s="12"/>
      <c r="O3130" s="5"/>
      <c r="P3130" s="5"/>
      <c r="Q3130" s="5"/>
      <c r="R3130" s="5"/>
      <c r="T3130" s="5"/>
      <c r="U3130" s="5"/>
      <c r="V3130" s="5"/>
      <c r="W3130" s="5"/>
    </row>
    <row r="3131" spans="1:23" ht="12.5">
      <c r="A3131" s="5"/>
      <c r="B3131" s="5"/>
      <c r="C3131" s="5"/>
      <c r="D3131" s="5"/>
      <c r="E3131" s="5"/>
      <c r="F3131" s="5"/>
      <c r="G3131" s="5"/>
      <c r="H3131" s="5"/>
      <c r="I3131" s="5"/>
      <c r="J3131" s="12"/>
      <c r="K3131" s="11"/>
      <c r="M3131" s="5"/>
      <c r="N3131" s="12"/>
      <c r="O3131" s="5"/>
      <c r="P3131" s="5"/>
      <c r="Q3131" s="5"/>
      <c r="R3131" s="5"/>
      <c r="T3131" s="5"/>
      <c r="U3131" s="5"/>
      <c r="V3131" s="5"/>
      <c r="W3131" s="5"/>
    </row>
    <row r="3132" spans="1:23" ht="12.5">
      <c r="A3132" s="5"/>
      <c r="B3132" s="5"/>
      <c r="C3132" s="5"/>
      <c r="D3132" s="5"/>
      <c r="E3132" s="5"/>
      <c r="F3132" s="5"/>
      <c r="G3132" s="5"/>
      <c r="H3132" s="5"/>
      <c r="I3132" s="5"/>
      <c r="J3132" s="12"/>
      <c r="K3132" s="11"/>
      <c r="M3132" s="5"/>
      <c r="N3132" s="12"/>
      <c r="O3132" s="5"/>
      <c r="P3132" s="5"/>
      <c r="Q3132" s="5"/>
      <c r="R3132" s="5"/>
      <c r="T3132" s="5"/>
      <c r="U3132" s="5"/>
      <c r="V3132" s="5"/>
      <c r="W3132" s="5"/>
    </row>
    <row r="3133" spans="1:23" ht="12.5">
      <c r="A3133" s="5"/>
      <c r="B3133" s="5"/>
      <c r="C3133" s="5"/>
      <c r="D3133" s="5"/>
      <c r="E3133" s="5"/>
      <c r="F3133" s="5"/>
      <c r="G3133" s="5"/>
      <c r="H3133" s="5"/>
      <c r="I3133" s="5"/>
      <c r="J3133" s="12"/>
      <c r="K3133" s="11"/>
      <c r="M3133" s="5"/>
      <c r="N3133" s="12"/>
      <c r="O3133" s="5"/>
      <c r="P3133" s="5"/>
      <c r="Q3133" s="5"/>
      <c r="R3133" s="5"/>
      <c r="T3133" s="5"/>
      <c r="U3133" s="5"/>
      <c r="V3133" s="5"/>
      <c r="W3133" s="5"/>
    </row>
    <row r="3134" spans="1:23" ht="12.5">
      <c r="A3134" s="5"/>
      <c r="B3134" s="5"/>
      <c r="C3134" s="5"/>
      <c r="D3134" s="5"/>
      <c r="E3134" s="5"/>
      <c r="F3134" s="5"/>
      <c r="G3134" s="5"/>
      <c r="H3134" s="5"/>
      <c r="I3134" s="5"/>
      <c r="J3134" s="12"/>
      <c r="K3134" s="11"/>
      <c r="M3134" s="5"/>
      <c r="N3134" s="12"/>
      <c r="O3134" s="5"/>
      <c r="P3134" s="5"/>
      <c r="Q3134" s="5"/>
      <c r="R3134" s="5"/>
      <c r="T3134" s="5"/>
      <c r="U3134" s="5"/>
      <c r="V3134" s="5"/>
      <c r="W3134" s="5"/>
    </row>
    <row r="3135" spans="1:23" ht="12.5">
      <c r="A3135" s="5"/>
      <c r="B3135" s="5"/>
      <c r="C3135" s="5"/>
      <c r="D3135" s="5"/>
      <c r="E3135" s="5"/>
      <c r="F3135" s="5"/>
      <c r="G3135" s="5"/>
      <c r="H3135" s="5"/>
      <c r="I3135" s="5"/>
      <c r="J3135" s="12"/>
      <c r="K3135" s="11"/>
      <c r="M3135" s="5"/>
      <c r="N3135" s="12"/>
      <c r="O3135" s="5"/>
      <c r="P3135" s="5"/>
      <c r="Q3135" s="5"/>
      <c r="R3135" s="5"/>
      <c r="T3135" s="5"/>
      <c r="U3135" s="5"/>
      <c r="V3135" s="5"/>
      <c r="W3135" s="5"/>
    </row>
    <row r="3136" spans="1:23" ht="12.5">
      <c r="A3136" s="5"/>
      <c r="B3136" s="5"/>
      <c r="C3136" s="5"/>
      <c r="D3136" s="5"/>
      <c r="E3136" s="5"/>
      <c r="F3136" s="5"/>
      <c r="G3136" s="5"/>
      <c r="H3136" s="5"/>
      <c r="I3136" s="5"/>
      <c r="J3136" s="12"/>
      <c r="K3136" s="11"/>
      <c r="M3136" s="5"/>
      <c r="N3136" s="12"/>
      <c r="O3136" s="5"/>
      <c r="P3136" s="5"/>
      <c r="Q3136" s="5"/>
      <c r="R3136" s="5"/>
      <c r="T3136" s="5"/>
      <c r="U3136" s="5"/>
      <c r="V3136" s="5"/>
      <c r="W3136" s="5"/>
    </row>
    <row r="3137" spans="1:23" ht="12.5">
      <c r="A3137" s="5"/>
      <c r="B3137" s="5"/>
      <c r="C3137" s="5"/>
      <c r="D3137" s="5"/>
      <c r="E3137" s="5"/>
      <c r="F3137" s="5"/>
      <c r="G3137" s="5"/>
      <c r="H3137" s="5"/>
      <c r="I3137" s="5"/>
      <c r="J3137" s="12"/>
      <c r="K3137" s="11"/>
      <c r="M3137" s="5"/>
      <c r="N3137" s="12"/>
      <c r="O3137" s="5"/>
      <c r="P3137" s="5"/>
      <c r="Q3137" s="5"/>
      <c r="R3137" s="5"/>
      <c r="T3137" s="5"/>
      <c r="U3137" s="5"/>
      <c r="V3137" s="5"/>
      <c r="W3137" s="5"/>
    </row>
    <row r="3138" spans="1:23" ht="12.5">
      <c r="A3138" s="5"/>
      <c r="B3138" s="5"/>
      <c r="C3138" s="5"/>
      <c r="D3138" s="5"/>
      <c r="E3138" s="5"/>
      <c r="F3138" s="5"/>
      <c r="G3138" s="5"/>
      <c r="H3138" s="5"/>
      <c r="I3138" s="5"/>
      <c r="J3138" s="12"/>
      <c r="K3138" s="11"/>
      <c r="M3138" s="5"/>
      <c r="N3138" s="12"/>
      <c r="O3138" s="5"/>
      <c r="P3138" s="5"/>
      <c r="Q3138" s="5"/>
      <c r="R3138" s="5"/>
      <c r="T3138" s="5"/>
      <c r="U3138" s="5"/>
      <c r="V3138" s="5"/>
      <c r="W3138" s="5"/>
    </row>
    <row r="3139" spans="1:23" ht="12.5">
      <c r="A3139" s="5"/>
      <c r="B3139" s="5"/>
      <c r="C3139" s="5"/>
      <c r="D3139" s="5"/>
      <c r="E3139" s="5"/>
      <c r="F3139" s="5"/>
      <c r="G3139" s="5"/>
      <c r="H3139" s="5"/>
      <c r="I3139" s="5"/>
      <c r="J3139" s="12"/>
      <c r="K3139" s="11"/>
      <c r="M3139" s="5"/>
      <c r="N3139" s="12"/>
      <c r="O3139" s="5"/>
      <c r="P3139" s="5"/>
      <c r="Q3139" s="5"/>
      <c r="R3139" s="5"/>
      <c r="T3139" s="5"/>
      <c r="U3139" s="5"/>
      <c r="V3139" s="5"/>
      <c r="W3139" s="5"/>
    </row>
    <row r="3140" spans="1:23" ht="12.5">
      <c r="A3140" s="5"/>
      <c r="B3140" s="5"/>
      <c r="C3140" s="5"/>
      <c r="D3140" s="5"/>
      <c r="E3140" s="5"/>
      <c r="F3140" s="5"/>
      <c r="G3140" s="5"/>
      <c r="H3140" s="5"/>
      <c r="I3140" s="5"/>
      <c r="J3140" s="12"/>
      <c r="K3140" s="11"/>
      <c r="M3140" s="5"/>
      <c r="N3140" s="12"/>
      <c r="O3140" s="5"/>
      <c r="P3140" s="5"/>
      <c r="Q3140" s="5"/>
      <c r="R3140" s="5"/>
      <c r="T3140" s="5"/>
      <c r="U3140" s="5"/>
      <c r="V3140" s="5"/>
      <c r="W3140" s="5"/>
    </row>
    <row r="3141" spans="1:23" ht="12.5">
      <c r="A3141" s="5"/>
      <c r="B3141" s="5"/>
      <c r="C3141" s="5"/>
      <c r="D3141" s="5"/>
      <c r="E3141" s="5"/>
      <c r="F3141" s="5"/>
      <c r="G3141" s="5"/>
      <c r="H3141" s="5"/>
      <c r="I3141" s="5"/>
      <c r="J3141" s="12"/>
      <c r="K3141" s="11"/>
      <c r="M3141" s="5"/>
      <c r="N3141" s="12"/>
      <c r="O3141" s="5"/>
      <c r="P3141" s="5"/>
      <c r="Q3141" s="5"/>
      <c r="R3141" s="5"/>
      <c r="T3141" s="5"/>
      <c r="U3141" s="5"/>
      <c r="V3141" s="5"/>
      <c r="W3141" s="5"/>
    </row>
    <row r="3142" spans="1:23" ht="12.5">
      <c r="A3142" s="5"/>
      <c r="B3142" s="5"/>
      <c r="C3142" s="5"/>
      <c r="D3142" s="5"/>
      <c r="E3142" s="5"/>
      <c r="F3142" s="5"/>
      <c r="G3142" s="5"/>
      <c r="H3142" s="5"/>
      <c r="I3142" s="5"/>
      <c r="J3142" s="12"/>
      <c r="K3142" s="11"/>
      <c r="M3142" s="5"/>
      <c r="N3142" s="12"/>
      <c r="O3142" s="5"/>
      <c r="P3142" s="5"/>
      <c r="Q3142" s="5"/>
      <c r="R3142" s="5"/>
      <c r="T3142" s="5"/>
      <c r="U3142" s="5"/>
      <c r="V3142" s="5"/>
      <c r="W3142" s="5"/>
    </row>
    <row r="3143" spans="1:23" ht="12.5">
      <c r="A3143" s="5"/>
      <c r="B3143" s="5"/>
      <c r="C3143" s="5"/>
      <c r="D3143" s="5"/>
      <c r="E3143" s="5"/>
      <c r="F3143" s="5"/>
      <c r="G3143" s="5"/>
      <c r="H3143" s="5"/>
      <c r="I3143" s="5"/>
      <c r="J3143" s="12"/>
      <c r="K3143" s="11"/>
      <c r="M3143" s="5"/>
      <c r="N3143" s="12"/>
      <c r="O3143" s="5"/>
      <c r="P3143" s="5"/>
      <c r="Q3143" s="5"/>
      <c r="R3143" s="5"/>
      <c r="T3143" s="5"/>
      <c r="U3143" s="5"/>
      <c r="V3143" s="5"/>
      <c r="W3143" s="5"/>
    </row>
    <row r="3144" spans="1:23" ht="12.5">
      <c r="A3144" s="5"/>
      <c r="B3144" s="5"/>
      <c r="C3144" s="5"/>
      <c r="D3144" s="5"/>
      <c r="E3144" s="5"/>
      <c r="F3144" s="5"/>
      <c r="G3144" s="5"/>
      <c r="H3144" s="5"/>
      <c r="I3144" s="5"/>
      <c r="J3144" s="12"/>
      <c r="K3144" s="11"/>
      <c r="M3144" s="5"/>
      <c r="N3144" s="12"/>
      <c r="O3144" s="5"/>
      <c r="P3144" s="5"/>
      <c r="Q3144" s="5"/>
      <c r="R3144" s="5"/>
      <c r="T3144" s="5"/>
      <c r="U3144" s="5"/>
      <c r="V3144" s="5"/>
      <c r="W3144" s="5"/>
    </row>
    <row r="3145" spans="1:23" ht="12.5">
      <c r="A3145" s="5"/>
      <c r="B3145" s="5"/>
      <c r="C3145" s="5"/>
      <c r="D3145" s="5"/>
      <c r="E3145" s="5"/>
      <c r="F3145" s="5"/>
      <c r="G3145" s="5"/>
      <c r="H3145" s="5"/>
      <c r="I3145" s="5"/>
      <c r="J3145" s="12"/>
      <c r="K3145" s="11"/>
      <c r="M3145" s="5"/>
      <c r="N3145" s="12"/>
      <c r="O3145" s="5"/>
      <c r="P3145" s="5"/>
      <c r="Q3145" s="5"/>
      <c r="R3145" s="5"/>
      <c r="T3145" s="5"/>
      <c r="U3145" s="5"/>
      <c r="V3145" s="5"/>
      <c r="W3145" s="5"/>
    </row>
    <row r="3146" spans="1:23" ht="12.5">
      <c r="A3146" s="5"/>
      <c r="B3146" s="5"/>
      <c r="C3146" s="5"/>
      <c r="D3146" s="5"/>
      <c r="E3146" s="5"/>
      <c r="F3146" s="5"/>
      <c r="G3146" s="5"/>
      <c r="H3146" s="5"/>
      <c r="I3146" s="5"/>
      <c r="J3146" s="12"/>
      <c r="K3146" s="11"/>
      <c r="M3146" s="5"/>
      <c r="N3146" s="12"/>
      <c r="O3146" s="5"/>
      <c r="P3146" s="5"/>
      <c r="Q3146" s="5"/>
      <c r="R3146" s="5"/>
      <c r="T3146" s="5"/>
      <c r="U3146" s="5"/>
      <c r="V3146" s="5"/>
      <c r="W3146" s="5"/>
    </row>
    <row r="3147" spans="1:23" ht="12.5">
      <c r="A3147" s="5"/>
      <c r="B3147" s="5"/>
      <c r="C3147" s="5"/>
      <c r="D3147" s="5"/>
      <c r="E3147" s="5"/>
      <c r="F3147" s="5"/>
      <c r="G3147" s="5"/>
      <c r="H3147" s="5"/>
      <c r="I3147" s="5"/>
      <c r="J3147" s="12"/>
      <c r="K3147" s="11"/>
      <c r="M3147" s="5"/>
      <c r="N3147" s="12"/>
      <c r="O3147" s="5"/>
      <c r="P3147" s="5"/>
      <c r="Q3147" s="5"/>
      <c r="R3147" s="5"/>
      <c r="T3147" s="5"/>
      <c r="U3147" s="5"/>
      <c r="V3147" s="5"/>
      <c r="W3147" s="5"/>
    </row>
    <row r="3148" spans="1:23" ht="12.5">
      <c r="A3148" s="5"/>
      <c r="B3148" s="5"/>
      <c r="C3148" s="5"/>
      <c r="D3148" s="5"/>
      <c r="E3148" s="5"/>
      <c r="F3148" s="5"/>
      <c r="G3148" s="5"/>
      <c r="H3148" s="5"/>
      <c r="I3148" s="5"/>
      <c r="J3148" s="12"/>
      <c r="K3148" s="11"/>
      <c r="M3148" s="5"/>
      <c r="N3148" s="12"/>
      <c r="O3148" s="5"/>
      <c r="P3148" s="5"/>
      <c r="Q3148" s="5"/>
      <c r="R3148" s="5"/>
      <c r="T3148" s="5"/>
      <c r="U3148" s="5"/>
      <c r="V3148" s="5"/>
      <c r="W3148" s="5"/>
    </row>
    <row r="3149" spans="1:23" ht="12.5">
      <c r="A3149" s="5"/>
      <c r="B3149" s="5"/>
      <c r="C3149" s="5"/>
      <c r="D3149" s="5"/>
      <c r="E3149" s="5"/>
      <c r="F3149" s="5"/>
      <c r="G3149" s="5"/>
      <c r="H3149" s="5"/>
      <c r="I3149" s="5"/>
      <c r="J3149" s="12"/>
      <c r="K3149" s="11"/>
      <c r="M3149" s="5"/>
      <c r="N3149" s="12"/>
      <c r="O3149" s="5"/>
      <c r="P3149" s="5"/>
      <c r="Q3149" s="5"/>
      <c r="R3149" s="5"/>
      <c r="T3149" s="5"/>
      <c r="U3149" s="5"/>
      <c r="V3149" s="5"/>
      <c r="W3149" s="5"/>
    </row>
    <row r="3150" spans="1:23" ht="12.5">
      <c r="A3150" s="5"/>
      <c r="B3150" s="5"/>
      <c r="C3150" s="5"/>
      <c r="D3150" s="5"/>
      <c r="E3150" s="5"/>
      <c r="F3150" s="5"/>
      <c r="G3150" s="5"/>
      <c r="H3150" s="5"/>
      <c r="I3150" s="5"/>
      <c r="J3150" s="12"/>
      <c r="K3150" s="11"/>
      <c r="M3150" s="5"/>
      <c r="N3150" s="12"/>
      <c r="O3150" s="5"/>
      <c r="P3150" s="5"/>
      <c r="Q3150" s="5"/>
      <c r="R3150" s="5"/>
      <c r="T3150" s="5"/>
      <c r="U3150" s="5"/>
      <c r="V3150" s="5"/>
      <c r="W3150" s="5"/>
    </row>
    <row r="3151" spans="1:23" ht="12.5">
      <c r="A3151" s="5"/>
      <c r="B3151" s="5"/>
      <c r="C3151" s="5"/>
      <c r="D3151" s="5"/>
      <c r="E3151" s="5"/>
      <c r="F3151" s="5"/>
      <c r="G3151" s="5"/>
      <c r="H3151" s="5"/>
      <c r="I3151" s="5"/>
      <c r="J3151" s="12"/>
      <c r="K3151" s="11"/>
      <c r="M3151" s="5"/>
      <c r="N3151" s="12"/>
      <c r="O3151" s="5"/>
      <c r="P3151" s="5"/>
      <c r="Q3151" s="5"/>
      <c r="R3151" s="5"/>
      <c r="T3151" s="5"/>
      <c r="U3151" s="5"/>
      <c r="V3151" s="5"/>
      <c r="W3151" s="5"/>
    </row>
    <row r="3152" spans="1:23" ht="12.5">
      <c r="A3152" s="5"/>
      <c r="B3152" s="5"/>
      <c r="C3152" s="5"/>
      <c r="D3152" s="5"/>
      <c r="E3152" s="5"/>
      <c r="F3152" s="5"/>
      <c r="G3152" s="5"/>
      <c r="H3152" s="5"/>
      <c r="I3152" s="5"/>
      <c r="J3152" s="12"/>
      <c r="K3152" s="11"/>
      <c r="M3152" s="5"/>
      <c r="N3152" s="12"/>
      <c r="O3152" s="5"/>
      <c r="P3152" s="5"/>
      <c r="Q3152" s="5"/>
      <c r="R3152" s="5"/>
      <c r="T3152" s="5"/>
      <c r="U3152" s="5"/>
      <c r="V3152" s="5"/>
      <c r="W3152" s="5"/>
    </row>
    <row r="3153" spans="1:23" ht="12.5">
      <c r="A3153" s="5"/>
      <c r="B3153" s="5"/>
      <c r="C3153" s="5"/>
      <c r="D3153" s="5"/>
      <c r="E3153" s="5"/>
      <c r="F3153" s="5"/>
      <c r="G3153" s="5"/>
      <c r="H3153" s="5"/>
      <c r="I3153" s="5"/>
      <c r="J3153" s="12"/>
      <c r="K3153" s="11"/>
      <c r="M3153" s="5"/>
      <c r="N3153" s="12"/>
      <c r="O3153" s="5"/>
      <c r="P3153" s="5"/>
      <c r="Q3153" s="5"/>
      <c r="R3153" s="5"/>
      <c r="T3153" s="5"/>
      <c r="U3153" s="5"/>
      <c r="V3153" s="5"/>
      <c r="W3153" s="5"/>
    </row>
    <row r="3154" spans="1:23" ht="12.5">
      <c r="A3154" s="5"/>
      <c r="B3154" s="5"/>
      <c r="C3154" s="5"/>
      <c r="D3154" s="5"/>
      <c r="E3154" s="5"/>
      <c r="F3154" s="5"/>
      <c r="G3154" s="5"/>
      <c r="H3154" s="5"/>
      <c r="I3154" s="5"/>
      <c r="J3154" s="12"/>
      <c r="K3154" s="11"/>
      <c r="M3154" s="5"/>
      <c r="N3154" s="12"/>
      <c r="O3154" s="5"/>
      <c r="P3154" s="5"/>
      <c r="Q3154" s="5"/>
      <c r="R3154" s="5"/>
      <c r="T3154" s="5"/>
      <c r="U3154" s="5"/>
      <c r="V3154" s="5"/>
      <c r="W3154" s="5"/>
    </row>
    <row r="3155" spans="1:23" ht="12.5">
      <c r="A3155" s="5"/>
      <c r="B3155" s="5"/>
      <c r="C3155" s="5"/>
      <c r="D3155" s="5"/>
      <c r="E3155" s="5"/>
      <c r="F3155" s="5"/>
      <c r="G3155" s="5"/>
      <c r="H3155" s="5"/>
      <c r="I3155" s="5"/>
      <c r="J3155" s="12"/>
      <c r="K3155" s="11"/>
      <c r="M3155" s="5"/>
      <c r="N3155" s="12"/>
      <c r="O3155" s="5"/>
      <c r="P3155" s="5"/>
      <c r="Q3155" s="5"/>
      <c r="R3155" s="5"/>
      <c r="T3155" s="5"/>
      <c r="U3155" s="5"/>
      <c r="V3155" s="5"/>
      <c r="W3155" s="5"/>
    </row>
    <row r="3156" spans="1:23" ht="12.5">
      <c r="A3156" s="5"/>
      <c r="B3156" s="5"/>
      <c r="C3156" s="5"/>
      <c r="D3156" s="5"/>
      <c r="E3156" s="5"/>
      <c r="F3156" s="5"/>
      <c r="G3156" s="5"/>
      <c r="H3156" s="5"/>
      <c r="I3156" s="5"/>
      <c r="J3156" s="12"/>
      <c r="K3156" s="11"/>
      <c r="M3156" s="5"/>
      <c r="N3156" s="12"/>
      <c r="O3156" s="5"/>
      <c r="P3156" s="5"/>
      <c r="Q3156" s="5"/>
      <c r="R3156" s="5"/>
      <c r="T3156" s="5"/>
      <c r="U3156" s="5"/>
      <c r="V3156" s="5"/>
      <c r="W3156" s="5"/>
    </row>
    <row r="3157" spans="1:23" ht="12.5">
      <c r="A3157" s="5"/>
      <c r="B3157" s="5"/>
      <c r="C3157" s="5"/>
      <c r="D3157" s="5"/>
      <c r="E3157" s="5"/>
      <c r="F3157" s="5"/>
      <c r="G3157" s="5"/>
      <c r="H3157" s="5"/>
      <c r="I3157" s="5"/>
      <c r="J3157" s="12"/>
      <c r="K3157" s="11"/>
      <c r="M3157" s="5"/>
      <c r="N3157" s="12"/>
      <c r="O3157" s="5"/>
      <c r="P3157" s="5"/>
      <c r="Q3157" s="5"/>
      <c r="R3157" s="5"/>
      <c r="T3157" s="5"/>
      <c r="U3157" s="5"/>
      <c r="V3157" s="5"/>
      <c r="W3157" s="5"/>
    </row>
    <row r="3158" spans="1:23" ht="12.5">
      <c r="A3158" s="5"/>
      <c r="B3158" s="5"/>
      <c r="C3158" s="5"/>
      <c r="D3158" s="5"/>
      <c r="E3158" s="5"/>
      <c r="F3158" s="5"/>
      <c r="G3158" s="5"/>
      <c r="H3158" s="5"/>
      <c r="I3158" s="5"/>
      <c r="J3158" s="12"/>
      <c r="K3158" s="11"/>
      <c r="M3158" s="5"/>
      <c r="N3158" s="12"/>
      <c r="O3158" s="5"/>
      <c r="P3158" s="5"/>
      <c r="Q3158" s="5"/>
      <c r="R3158" s="5"/>
      <c r="T3158" s="5"/>
      <c r="U3158" s="5"/>
      <c r="V3158" s="5"/>
      <c r="W3158" s="5"/>
    </row>
    <row r="3159" spans="1:23" ht="12.5">
      <c r="A3159" s="5"/>
      <c r="B3159" s="5"/>
      <c r="C3159" s="5"/>
      <c r="D3159" s="5"/>
      <c r="E3159" s="5"/>
      <c r="F3159" s="5"/>
      <c r="G3159" s="5"/>
      <c r="H3159" s="5"/>
      <c r="I3159" s="5"/>
      <c r="J3159" s="12"/>
      <c r="K3159" s="11"/>
      <c r="M3159" s="5"/>
      <c r="N3159" s="12"/>
      <c r="O3159" s="5"/>
      <c r="P3159" s="5"/>
      <c r="Q3159" s="5"/>
      <c r="R3159" s="5"/>
      <c r="T3159" s="5"/>
      <c r="U3159" s="5"/>
      <c r="V3159" s="5"/>
      <c r="W3159" s="5"/>
    </row>
    <row r="3160" spans="1:23" ht="12.5">
      <c r="A3160" s="5"/>
      <c r="B3160" s="5"/>
      <c r="C3160" s="5"/>
      <c r="D3160" s="5"/>
      <c r="E3160" s="5"/>
      <c r="F3160" s="5"/>
      <c r="G3160" s="5"/>
      <c r="H3160" s="5"/>
      <c r="I3160" s="5"/>
      <c r="J3160" s="12"/>
      <c r="K3160" s="11"/>
      <c r="M3160" s="5"/>
      <c r="N3160" s="12"/>
      <c r="O3160" s="5"/>
      <c r="P3160" s="5"/>
      <c r="Q3160" s="5"/>
      <c r="R3160" s="5"/>
      <c r="T3160" s="5"/>
      <c r="U3160" s="5"/>
      <c r="V3160" s="5"/>
      <c r="W3160" s="5"/>
    </row>
    <row r="3161" spans="1:23" ht="12.5">
      <c r="A3161" s="5"/>
      <c r="B3161" s="5"/>
      <c r="C3161" s="5"/>
      <c r="D3161" s="5"/>
      <c r="E3161" s="5"/>
      <c r="F3161" s="5"/>
      <c r="G3161" s="5"/>
      <c r="H3161" s="5"/>
      <c r="I3161" s="5"/>
      <c r="J3161" s="12"/>
      <c r="K3161" s="11"/>
      <c r="M3161" s="5"/>
      <c r="N3161" s="12"/>
      <c r="O3161" s="5"/>
      <c r="P3161" s="5"/>
      <c r="Q3161" s="5"/>
      <c r="R3161" s="5"/>
      <c r="T3161" s="5"/>
      <c r="U3161" s="5"/>
      <c r="V3161" s="5"/>
      <c r="W3161" s="5"/>
    </row>
    <row r="3162" spans="1:23" ht="12.5">
      <c r="A3162" s="5"/>
      <c r="B3162" s="5"/>
      <c r="C3162" s="5"/>
      <c r="D3162" s="5"/>
      <c r="E3162" s="5"/>
      <c r="F3162" s="5"/>
      <c r="G3162" s="5"/>
      <c r="H3162" s="5"/>
      <c r="I3162" s="5"/>
      <c r="J3162" s="12"/>
      <c r="K3162" s="11"/>
      <c r="M3162" s="5"/>
      <c r="N3162" s="12"/>
      <c r="O3162" s="5"/>
      <c r="P3162" s="5"/>
      <c r="Q3162" s="5"/>
      <c r="R3162" s="5"/>
      <c r="T3162" s="5"/>
      <c r="U3162" s="5"/>
      <c r="V3162" s="5"/>
      <c r="W3162" s="5"/>
    </row>
    <row r="3163" spans="1:23" ht="12.5">
      <c r="A3163" s="5"/>
      <c r="B3163" s="5"/>
      <c r="C3163" s="5"/>
      <c r="D3163" s="5"/>
      <c r="E3163" s="5"/>
      <c r="F3163" s="5"/>
      <c r="G3163" s="5"/>
      <c r="H3163" s="5"/>
      <c r="I3163" s="5"/>
      <c r="J3163" s="12"/>
      <c r="K3163" s="11"/>
      <c r="M3163" s="5"/>
      <c r="N3163" s="12"/>
      <c r="O3163" s="5"/>
      <c r="P3163" s="5"/>
      <c r="Q3163" s="5"/>
      <c r="R3163" s="5"/>
      <c r="T3163" s="5"/>
      <c r="U3163" s="5"/>
      <c r="V3163" s="5"/>
      <c r="W3163" s="5"/>
    </row>
    <row r="3164" spans="1:23" ht="12.5">
      <c r="A3164" s="5"/>
      <c r="B3164" s="5"/>
      <c r="C3164" s="5"/>
      <c r="D3164" s="5"/>
      <c r="E3164" s="5"/>
      <c r="F3164" s="5"/>
      <c r="G3164" s="5"/>
      <c r="H3164" s="5"/>
      <c r="I3164" s="5"/>
      <c r="J3164" s="12"/>
      <c r="K3164" s="11"/>
      <c r="M3164" s="5"/>
      <c r="N3164" s="12"/>
      <c r="O3164" s="5"/>
      <c r="P3164" s="5"/>
      <c r="Q3164" s="5"/>
      <c r="R3164" s="5"/>
      <c r="T3164" s="5"/>
      <c r="U3164" s="5"/>
      <c r="V3164" s="5"/>
      <c r="W3164" s="5"/>
    </row>
    <row r="3165" spans="1:23" ht="12.5">
      <c r="A3165" s="5"/>
      <c r="B3165" s="5"/>
      <c r="C3165" s="5"/>
      <c r="D3165" s="5"/>
      <c r="E3165" s="5"/>
      <c r="F3165" s="5"/>
      <c r="G3165" s="5"/>
      <c r="H3165" s="5"/>
      <c r="I3165" s="5"/>
      <c r="J3165" s="12"/>
      <c r="K3165" s="11"/>
      <c r="M3165" s="5"/>
      <c r="N3165" s="12"/>
      <c r="O3165" s="5"/>
      <c r="P3165" s="5"/>
      <c r="Q3165" s="5"/>
      <c r="R3165" s="5"/>
      <c r="T3165" s="5"/>
      <c r="U3165" s="5"/>
      <c r="V3165" s="5"/>
      <c r="W3165" s="5"/>
    </row>
    <row r="3166" spans="1:23" ht="12.5">
      <c r="A3166" s="5"/>
      <c r="B3166" s="5"/>
      <c r="C3166" s="5"/>
      <c r="D3166" s="5"/>
      <c r="E3166" s="5"/>
      <c r="F3166" s="5"/>
      <c r="G3166" s="5"/>
      <c r="H3166" s="5"/>
      <c r="I3166" s="5"/>
      <c r="J3166" s="12"/>
      <c r="K3166" s="11"/>
      <c r="M3166" s="5"/>
      <c r="N3166" s="12"/>
      <c r="O3166" s="5"/>
      <c r="P3166" s="5"/>
      <c r="Q3166" s="5"/>
      <c r="R3166" s="5"/>
      <c r="T3166" s="5"/>
      <c r="U3166" s="5"/>
      <c r="V3166" s="5"/>
      <c r="W3166" s="5"/>
    </row>
    <row r="3167" spans="1:23" ht="12.5">
      <c r="A3167" s="5"/>
      <c r="B3167" s="5"/>
      <c r="C3167" s="5"/>
      <c r="D3167" s="5"/>
      <c r="E3167" s="5"/>
      <c r="F3167" s="5"/>
      <c r="G3167" s="5"/>
      <c r="H3167" s="5"/>
      <c r="I3167" s="5"/>
      <c r="J3167" s="12"/>
      <c r="K3167" s="11"/>
      <c r="M3167" s="5"/>
      <c r="N3167" s="12"/>
      <c r="O3167" s="5"/>
      <c r="P3167" s="5"/>
      <c r="Q3167" s="5"/>
      <c r="R3167" s="5"/>
      <c r="T3167" s="5"/>
      <c r="U3167" s="5"/>
      <c r="V3167" s="5"/>
      <c r="W3167" s="5"/>
    </row>
    <row r="3168" spans="1:23" ht="12.5">
      <c r="A3168" s="5"/>
      <c r="B3168" s="5"/>
      <c r="C3168" s="5"/>
      <c r="D3168" s="5"/>
      <c r="E3168" s="5"/>
      <c r="F3168" s="5"/>
      <c r="G3168" s="5"/>
      <c r="H3168" s="5"/>
      <c r="I3168" s="5"/>
      <c r="J3168" s="12"/>
      <c r="K3168" s="11"/>
      <c r="M3168" s="5"/>
      <c r="N3168" s="12"/>
      <c r="O3168" s="5"/>
      <c r="P3168" s="5"/>
      <c r="Q3168" s="5"/>
      <c r="R3168" s="5"/>
      <c r="T3168" s="5"/>
      <c r="U3168" s="5"/>
      <c r="V3168" s="5"/>
      <c r="W3168" s="5"/>
    </row>
    <row r="3169" spans="1:23" ht="12.5">
      <c r="A3169" s="5"/>
      <c r="B3169" s="5"/>
      <c r="C3169" s="5"/>
      <c r="D3169" s="5"/>
      <c r="E3169" s="5"/>
      <c r="F3169" s="5"/>
      <c r="G3169" s="5"/>
      <c r="H3169" s="5"/>
      <c r="I3169" s="5"/>
      <c r="J3169" s="12"/>
      <c r="K3169" s="11"/>
      <c r="M3169" s="5"/>
      <c r="N3169" s="12"/>
      <c r="O3169" s="5"/>
      <c r="P3169" s="5"/>
      <c r="Q3169" s="5"/>
      <c r="R3169" s="5"/>
      <c r="T3169" s="5"/>
      <c r="U3169" s="5"/>
      <c r="V3169" s="5"/>
      <c r="W3169" s="5"/>
    </row>
    <row r="3170" spans="1:23" ht="12.5">
      <c r="A3170" s="5"/>
      <c r="B3170" s="5"/>
      <c r="C3170" s="5"/>
      <c r="D3170" s="5"/>
      <c r="E3170" s="5"/>
      <c r="F3170" s="5"/>
      <c r="G3170" s="5"/>
      <c r="H3170" s="5"/>
      <c r="I3170" s="5"/>
      <c r="J3170" s="12"/>
      <c r="K3170" s="11"/>
      <c r="M3170" s="5"/>
      <c r="N3170" s="12"/>
      <c r="O3170" s="5"/>
      <c r="P3170" s="5"/>
      <c r="Q3170" s="5"/>
      <c r="R3170" s="5"/>
      <c r="T3170" s="5"/>
      <c r="U3170" s="5"/>
      <c r="V3170" s="5"/>
      <c r="W3170" s="5"/>
    </row>
    <row r="3171" spans="1:23" ht="12.5">
      <c r="A3171" s="5"/>
      <c r="B3171" s="5"/>
      <c r="C3171" s="5"/>
      <c r="D3171" s="5"/>
      <c r="E3171" s="5"/>
      <c r="F3171" s="5"/>
      <c r="G3171" s="5"/>
      <c r="H3171" s="5"/>
      <c r="I3171" s="5"/>
      <c r="J3171" s="12"/>
      <c r="K3171" s="11"/>
      <c r="M3171" s="5"/>
      <c r="N3171" s="12"/>
      <c r="O3171" s="5"/>
      <c r="P3171" s="5"/>
      <c r="Q3171" s="5"/>
      <c r="R3171" s="5"/>
      <c r="T3171" s="5"/>
      <c r="U3171" s="5"/>
      <c r="V3171" s="5"/>
      <c r="W3171" s="5"/>
    </row>
    <row r="3172" spans="1:23" ht="12.5">
      <c r="A3172" s="5"/>
      <c r="B3172" s="5"/>
      <c r="C3172" s="5"/>
      <c r="D3172" s="5"/>
      <c r="E3172" s="5"/>
      <c r="F3172" s="5"/>
      <c r="G3172" s="5"/>
      <c r="H3172" s="5"/>
      <c r="I3172" s="5"/>
      <c r="J3172" s="12"/>
      <c r="K3172" s="11"/>
      <c r="M3172" s="5"/>
      <c r="N3172" s="12"/>
      <c r="O3172" s="5"/>
      <c r="P3172" s="5"/>
      <c r="Q3172" s="5"/>
      <c r="R3172" s="5"/>
      <c r="T3172" s="5"/>
      <c r="U3172" s="5"/>
      <c r="V3172" s="5"/>
      <c r="W3172" s="5"/>
    </row>
    <row r="3173" spans="1:23" ht="12.5">
      <c r="A3173" s="5"/>
      <c r="B3173" s="5"/>
      <c r="C3173" s="5"/>
      <c r="D3173" s="5"/>
      <c r="E3173" s="5"/>
      <c r="F3173" s="5"/>
      <c r="G3173" s="5"/>
      <c r="H3173" s="5"/>
      <c r="I3173" s="5"/>
      <c r="J3173" s="12"/>
      <c r="K3173" s="11"/>
      <c r="M3173" s="5"/>
      <c r="N3173" s="12"/>
      <c r="O3173" s="5"/>
      <c r="P3173" s="5"/>
      <c r="Q3173" s="5"/>
      <c r="R3173" s="5"/>
      <c r="T3173" s="5"/>
      <c r="U3173" s="5"/>
      <c r="V3173" s="5"/>
      <c r="W3173" s="5"/>
    </row>
    <row r="3174" spans="1:23" ht="12.5">
      <c r="A3174" s="5"/>
      <c r="B3174" s="5"/>
      <c r="C3174" s="5"/>
      <c r="D3174" s="5"/>
      <c r="E3174" s="5"/>
      <c r="F3174" s="5"/>
      <c r="G3174" s="5"/>
      <c r="H3174" s="5"/>
      <c r="I3174" s="5"/>
      <c r="J3174" s="12"/>
      <c r="K3174" s="11"/>
      <c r="M3174" s="5"/>
      <c r="N3174" s="12"/>
      <c r="O3174" s="5"/>
      <c r="P3174" s="5"/>
      <c r="Q3174" s="5"/>
      <c r="R3174" s="5"/>
      <c r="T3174" s="5"/>
      <c r="U3174" s="5"/>
      <c r="V3174" s="5"/>
      <c r="W3174" s="5"/>
    </row>
    <row r="3175" spans="1:23" ht="12.5">
      <c r="A3175" s="5"/>
      <c r="B3175" s="5"/>
      <c r="C3175" s="5"/>
      <c r="D3175" s="5"/>
      <c r="E3175" s="5"/>
      <c r="F3175" s="5"/>
      <c r="G3175" s="5"/>
      <c r="H3175" s="5"/>
      <c r="I3175" s="5"/>
      <c r="J3175" s="12"/>
      <c r="K3175" s="11"/>
      <c r="M3175" s="5"/>
      <c r="N3175" s="12"/>
      <c r="O3175" s="5"/>
      <c r="P3175" s="5"/>
      <c r="Q3175" s="5"/>
      <c r="R3175" s="5"/>
      <c r="T3175" s="5"/>
      <c r="U3175" s="5"/>
      <c r="V3175" s="5"/>
      <c r="W3175" s="5"/>
    </row>
    <row r="3176" spans="1:23" ht="12.5">
      <c r="A3176" s="5"/>
      <c r="B3176" s="5"/>
      <c r="C3176" s="5"/>
      <c r="D3176" s="5"/>
      <c r="E3176" s="5"/>
      <c r="F3176" s="5"/>
      <c r="G3176" s="5"/>
      <c r="H3176" s="5"/>
      <c r="I3176" s="5"/>
      <c r="J3176" s="12"/>
      <c r="K3176" s="11"/>
      <c r="M3176" s="5"/>
      <c r="N3176" s="12"/>
      <c r="O3176" s="5"/>
      <c r="P3176" s="5"/>
      <c r="Q3176" s="5"/>
      <c r="R3176" s="5"/>
      <c r="T3176" s="5"/>
      <c r="U3176" s="5"/>
      <c r="V3176" s="5"/>
      <c r="W3176" s="5"/>
    </row>
    <row r="3177" spans="1:23" ht="12.5">
      <c r="A3177" s="5"/>
      <c r="B3177" s="5"/>
      <c r="C3177" s="5"/>
      <c r="D3177" s="5"/>
      <c r="E3177" s="5"/>
      <c r="F3177" s="5"/>
      <c r="G3177" s="5"/>
      <c r="H3177" s="5"/>
      <c r="I3177" s="5"/>
      <c r="J3177" s="12"/>
      <c r="K3177" s="11"/>
      <c r="M3177" s="5"/>
      <c r="N3177" s="12"/>
      <c r="O3177" s="5"/>
      <c r="P3177" s="5"/>
      <c r="Q3177" s="5"/>
      <c r="R3177" s="5"/>
      <c r="T3177" s="5"/>
      <c r="U3177" s="5"/>
      <c r="V3177" s="5"/>
      <c r="W3177" s="5"/>
    </row>
    <row r="3178" spans="1:23" ht="12.5">
      <c r="A3178" s="5"/>
      <c r="B3178" s="5"/>
      <c r="C3178" s="5"/>
      <c r="D3178" s="5"/>
      <c r="E3178" s="5"/>
      <c r="F3178" s="5"/>
      <c r="G3178" s="5"/>
      <c r="H3178" s="5"/>
      <c r="I3178" s="5"/>
      <c r="J3178" s="12"/>
      <c r="K3178" s="11"/>
      <c r="M3178" s="5"/>
      <c r="N3178" s="12"/>
      <c r="O3178" s="5"/>
      <c r="P3178" s="5"/>
      <c r="Q3178" s="5"/>
      <c r="R3178" s="5"/>
      <c r="T3178" s="5"/>
      <c r="U3178" s="5"/>
      <c r="V3178" s="5"/>
      <c r="W3178" s="5"/>
    </row>
    <row r="3179" spans="1:23" ht="12.5">
      <c r="A3179" s="5"/>
      <c r="B3179" s="5"/>
      <c r="C3179" s="5"/>
      <c r="D3179" s="5"/>
      <c r="E3179" s="5"/>
      <c r="F3179" s="5"/>
      <c r="G3179" s="5"/>
      <c r="H3179" s="5"/>
      <c r="I3179" s="5"/>
      <c r="J3179" s="12"/>
      <c r="K3179" s="11"/>
      <c r="M3179" s="5"/>
      <c r="N3179" s="12"/>
      <c r="O3179" s="5"/>
      <c r="P3179" s="5"/>
      <c r="Q3179" s="5"/>
      <c r="R3179" s="5"/>
      <c r="T3179" s="5"/>
      <c r="U3179" s="5"/>
      <c r="V3179" s="5"/>
      <c r="W3179" s="5"/>
    </row>
    <row r="3180" spans="1:23" ht="12.5">
      <c r="A3180" s="5"/>
      <c r="B3180" s="5"/>
      <c r="C3180" s="5"/>
      <c r="D3180" s="5"/>
      <c r="E3180" s="5"/>
      <c r="F3180" s="5"/>
      <c r="G3180" s="5"/>
      <c r="H3180" s="5"/>
      <c r="I3180" s="5"/>
      <c r="J3180" s="12"/>
      <c r="K3180" s="11"/>
      <c r="M3180" s="5"/>
      <c r="N3180" s="12"/>
      <c r="O3180" s="5"/>
      <c r="P3180" s="5"/>
      <c r="Q3180" s="5"/>
      <c r="R3180" s="5"/>
      <c r="T3180" s="5"/>
      <c r="U3180" s="5"/>
      <c r="V3180" s="5"/>
      <c r="W3180" s="5"/>
    </row>
    <row r="3181" spans="1:23" ht="12.5">
      <c r="A3181" s="5"/>
      <c r="B3181" s="5"/>
      <c r="C3181" s="5"/>
      <c r="D3181" s="5"/>
      <c r="E3181" s="5"/>
      <c r="F3181" s="5"/>
      <c r="G3181" s="5"/>
      <c r="H3181" s="5"/>
      <c r="I3181" s="5"/>
      <c r="J3181" s="12"/>
      <c r="K3181" s="11"/>
      <c r="M3181" s="5"/>
      <c r="N3181" s="12"/>
      <c r="O3181" s="5"/>
      <c r="P3181" s="5"/>
      <c r="Q3181" s="5"/>
      <c r="R3181" s="5"/>
      <c r="T3181" s="5"/>
      <c r="U3181" s="5"/>
      <c r="V3181" s="5"/>
      <c r="W3181" s="5"/>
    </row>
    <row r="3182" spans="1:23" ht="12.5">
      <c r="A3182" s="5"/>
      <c r="B3182" s="5"/>
      <c r="C3182" s="5"/>
      <c r="D3182" s="5"/>
      <c r="E3182" s="5"/>
      <c r="F3182" s="5"/>
      <c r="G3182" s="5"/>
      <c r="H3182" s="5"/>
      <c r="I3182" s="5"/>
      <c r="J3182" s="12"/>
      <c r="K3182" s="11"/>
      <c r="M3182" s="5"/>
      <c r="N3182" s="12"/>
      <c r="O3182" s="5"/>
      <c r="P3182" s="5"/>
      <c r="Q3182" s="5"/>
      <c r="R3182" s="5"/>
      <c r="T3182" s="5"/>
      <c r="U3182" s="5"/>
      <c r="V3182" s="5"/>
      <c r="W3182" s="5"/>
    </row>
    <row r="3183" spans="1:23" ht="12.5">
      <c r="A3183" s="5"/>
      <c r="B3183" s="5"/>
      <c r="C3183" s="5"/>
      <c r="D3183" s="5"/>
      <c r="E3183" s="5"/>
      <c r="F3183" s="5"/>
      <c r="G3183" s="5"/>
      <c r="H3183" s="5"/>
      <c r="I3183" s="5"/>
      <c r="J3183" s="12"/>
      <c r="K3183" s="11"/>
      <c r="M3183" s="5"/>
      <c r="N3183" s="12"/>
      <c r="O3183" s="5"/>
      <c r="P3183" s="5"/>
      <c r="Q3183" s="5"/>
      <c r="R3183" s="5"/>
      <c r="T3183" s="5"/>
      <c r="U3183" s="5"/>
      <c r="V3183" s="5"/>
      <c r="W3183" s="5"/>
    </row>
    <row r="3184" spans="1:23" ht="12.5">
      <c r="A3184" s="5"/>
      <c r="B3184" s="5"/>
      <c r="C3184" s="5"/>
      <c r="D3184" s="5"/>
      <c r="E3184" s="5"/>
      <c r="F3184" s="5"/>
      <c r="G3184" s="5"/>
      <c r="H3184" s="5"/>
      <c r="I3184" s="5"/>
      <c r="J3184" s="12"/>
      <c r="K3184" s="11"/>
      <c r="M3184" s="5"/>
      <c r="N3184" s="12"/>
      <c r="O3184" s="5"/>
      <c r="P3184" s="5"/>
      <c r="Q3184" s="5"/>
      <c r="R3184" s="5"/>
      <c r="T3184" s="5"/>
      <c r="U3184" s="5"/>
      <c r="V3184" s="5"/>
      <c r="W3184" s="5"/>
    </row>
    <row r="3185" spans="1:23" ht="12.5">
      <c r="A3185" s="5"/>
      <c r="B3185" s="5"/>
      <c r="C3185" s="5"/>
      <c r="D3185" s="5"/>
      <c r="E3185" s="5"/>
      <c r="F3185" s="5"/>
      <c r="G3185" s="5"/>
      <c r="H3185" s="5"/>
      <c r="I3185" s="5"/>
      <c r="J3185" s="12"/>
      <c r="K3185" s="11"/>
      <c r="M3185" s="5"/>
      <c r="N3185" s="12"/>
      <c r="O3185" s="5"/>
      <c r="P3185" s="5"/>
      <c r="Q3185" s="5"/>
      <c r="R3185" s="5"/>
      <c r="T3185" s="5"/>
      <c r="U3185" s="5"/>
      <c r="V3185" s="5"/>
      <c r="W3185" s="5"/>
    </row>
    <row r="3186" spans="1:23" ht="12.5">
      <c r="A3186" s="5"/>
      <c r="B3186" s="5"/>
      <c r="C3186" s="5"/>
      <c r="D3186" s="5"/>
      <c r="E3186" s="5"/>
      <c r="F3186" s="5"/>
      <c r="G3186" s="5"/>
      <c r="H3186" s="5"/>
      <c r="I3186" s="5"/>
      <c r="J3186" s="12"/>
      <c r="K3186" s="11"/>
      <c r="M3186" s="5"/>
      <c r="N3186" s="12"/>
      <c r="O3186" s="5"/>
      <c r="P3186" s="5"/>
      <c r="Q3186" s="5"/>
      <c r="R3186" s="5"/>
      <c r="T3186" s="5"/>
      <c r="U3186" s="5"/>
      <c r="V3186" s="5"/>
      <c r="W3186" s="5"/>
    </row>
    <row r="3187" spans="1:23" ht="12.5">
      <c r="A3187" s="5"/>
      <c r="B3187" s="5"/>
      <c r="C3187" s="5"/>
      <c r="D3187" s="5"/>
      <c r="E3187" s="5"/>
      <c r="F3187" s="5"/>
      <c r="G3187" s="5"/>
      <c r="H3187" s="5"/>
      <c r="I3187" s="5"/>
      <c r="J3187" s="12"/>
      <c r="K3187" s="11"/>
      <c r="M3187" s="5"/>
      <c r="N3187" s="12"/>
      <c r="O3187" s="5"/>
      <c r="P3187" s="5"/>
      <c r="Q3187" s="5"/>
      <c r="R3187" s="5"/>
      <c r="T3187" s="5"/>
      <c r="U3187" s="5"/>
      <c r="V3187" s="5"/>
      <c r="W3187" s="5"/>
    </row>
    <row r="3188" spans="1:23" ht="12.5">
      <c r="A3188" s="5"/>
      <c r="B3188" s="5"/>
      <c r="C3188" s="5"/>
      <c r="D3188" s="5"/>
      <c r="E3188" s="5"/>
      <c r="F3188" s="5"/>
      <c r="G3188" s="5"/>
      <c r="H3188" s="5"/>
      <c r="I3188" s="5"/>
      <c r="J3188" s="12"/>
      <c r="K3188" s="11"/>
      <c r="M3188" s="5"/>
      <c r="N3188" s="12"/>
      <c r="O3188" s="5"/>
      <c r="P3188" s="5"/>
      <c r="Q3188" s="5"/>
      <c r="R3188" s="5"/>
      <c r="T3188" s="5"/>
      <c r="U3188" s="5"/>
      <c r="V3188" s="5"/>
      <c r="W3188" s="5"/>
    </row>
    <row r="3189" spans="1:23" ht="12.5">
      <c r="A3189" s="5"/>
      <c r="B3189" s="5"/>
      <c r="C3189" s="5"/>
      <c r="D3189" s="5"/>
      <c r="E3189" s="5"/>
      <c r="F3189" s="5"/>
      <c r="G3189" s="5"/>
      <c r="H3189" s="5"/>
      <c r="I3189" s="5"/>
      <c r="J3189" s="12"/>
      <c r="K3189" s="11"/>
      <c r="M3189" s="5"/>
      <c r="N3189" s="12"/>
      <c r="O3189" s="5"/>
      <c r="P3189" s="5"/>
      <c r="Q3189" s="5"/>
      <c r="R3189" s="5"/>
      <c r="T3189" s="5"/>
      <c r="U3189" s="5"/>
      <c r="V3189" s="5"/>
      <c r="W3189" s="5"/>
    </row>
    <row r="3190" spans="1:23" ht="12.5">
      <c r="A3190" s="5"/>
      <c r="B3190" s="5"/>
      <c r="C3190" s="5"/>
      <c r="D3190" s="5"/>
      <c r="E3190" s="5"/>
      <c r="F3190" s="5"/>
      <c r="G3190" s="5"/>
      <c r="H3190" s="5"/>
      <c r="I3190" s="5"/>
      <c r="J3190" s="12"/>
      <c r="K3190" s="11"/>
      <c r="M3190" s="5"/>
      <c r="N3190" s="12"/>
      <c r="O3190" s="5"/>
      <c r="P3190" s="5"/>
      <c r="Q3190" s="5"/>
      <c r="R3190" s="5"/>
      <c r="T3190" s="5"/>
      <c r="U3190" s="5"/>
      <c r="V3190" s="5"/>
      <c r="W3190" s="5"/>
    </row>
    <row r="3191" spans="1:23" ht="12.5">
      <c r="A3191" s="5"/>
      <c r="B3191" s="5"/>
      <c r="C3191" s="5"/>
      <c r="D3191" s="5"/>
      <c r="E3191" s="5"/>
      <c r="F3191" s="5"/>
      <c r="G3191" s="5"/>
      <c r="H3191" s="5"/>
      <c r="I3191" s="5"/>
      <c r="J3191" s="12"/>
      <c r="K3191" s="11"/>
      <c r="M3191" s="5"/>
      <c r="N3191" s="12"/>
      <c r="O3191" s="5"/>
      <c r="P3191" s="5"/>
      <c r="Q3191" s="5"/>
      <c r="R3191" s="5"/>
      <c r="T3191" s="5"/>
      <c r="U3191" s="5"/>
      <c r="V3191" s="5"/>
      <c r="W3191" s="5"/>
    </row>
    <row r="3192" spans="1:23" ht="12.5">
      <c r="A3192" s="5"/>
      <c r="B3192" s="5"/>
      <c r="C3192" s="5"/>
      <c r="D3192" s="5"/>
      <c r="E3192" s="5"/>
      <c r="F3192" s="5"/>
      <c r="G3192" s="5"/>
      <c r="H3192" s="5"/>
      <c r="I3192" s="5"/>
      <c r="J3192" s="12"/>
      <c r="K3192" s="11"/>
      <c r="M3192" s="5"/>
      <c r="N3192" s="12"/>
      <c r="O3192" s="5"/>
      <c r="P3192" s="5"/>
      <c r="Q3192" s="5"/>
      <c r="R3192" s="5"/>
      <c r="T3192" s="5"/>
      <c r="U3192" s="5"/>
      <c r="V3192" s="5"/>
      <c r="W3192" s="5"/>
    </row>
    <row r="3193" spans="1:23" ht="12.5">
      <c r="A3193" s="5"/>
      <c r="B3193" s="5"/>
      <c r="C3193" s="5"/>
      <c r="D3193" s="5"/>
      <c r="E3193" s="5"/>
      <c r="F3193" s="5"/>
      <c r="G3193" s="5"/>
      <c r="H3193" s="5"/>
      <c r="I3193" s="5"/>
      <c r="J3193" s="12"/>
      <c r="K3193" s="11"/>
      <c r="M3193" s="5"/>
      <c r="N3193" s="12"/>
      <c r="O3193" s="5"/>
      <c r="P3193" s="5"/>
      <c r="Q3193" s="5"/>
      <c r="R3193" s="5"/>
      <c r="T3193" s="5"/>
      <c r="U3193" s="5"/>
      <c r="V3193" s="5"/>
      <c r="W3193" s="5"/>
    </row>
    <row r="3194" spans="1:23" ht="12.5">
      <c r="A3194" s="5"/>
      <c r="B3194" s="5"/>
      <c r="C3194" s="5"/>
      <c r="D3194" s="5"/>
      <c r="E3194" s="5"/>
      <c r="F3194" s="5"/>
      <c r="G3194" s="5"/>
      <c r="H3194" s="5"/>
      <c r="I3194" s="5"/>
      <c r="J3194" s="12"/>
      <c r="K3194" s="11"/>
      <c r="M3194" s="5"/>
      <c r="N3194" s="12"/>
      <c r="O3194" s="5"/>
      <c r="P3194" s="5"/>
      <c r="Q3194" s="5"/>
      <c r="R3194" s="5"/>
      <c r="T3194" s="5"/>
      <c r="U3194" s="5"/>
      <c r="V3194" s="5"/>
      <c r="W3194" s="5"/>
    </row>
    <row r="3195" spans="1:23" ht="12.5">
      <c r="A3195" s="5"/>
      <c r="B3195" s="5"/>
      <c r="C3195" s="5"/>
      <c r="D3195" s="5"/>
      <c r="E3195" s="5"/>
      <c r="F3195" s="5"/>
      <c r="G3195" s="5"/>
      <c r="H3195" s="5"/>
      <c r="I3195" s="5"/>
      <c r="J3195" s="12"/>
      <c r="K3195" s="11"/>
      <c r="M3195" s="5"/>
      <c r="N3195" s="12"/>
      <c r="O3195" s="5"/>
      <c r="P3195" s="5"/>
      <c r="Q3195" s="5"/>
      <c r="R3195" s="5"/>
      <c r="T3195" s="5"/>
      <c r="U3195" s="5"/>
      <c r="V3195" s="5"/>
      <c r="W3195" s="5"/>
    </row>
    <row r="3196" spans="1:23" ht="12.5">
      <c r="A3196" s="5"/>
      <c r="B3196" s="5"/>
      <c r="C3196" s="5"/>
      <c r="D3196" s="5"/>
      <c r="E3196" s="5"/>
      <c r="F3196" s="5"/>
      <c r="G3196" s="5"/>
      <c r="H3196" s="5"/>
      <c r="I3196" s="5"/>
      <c r="J3196" s="12"/>
      <c r="K3196" s="11"/>
      <c r="M3196" s="5"/>
      <c r="N3196" s="12"/>
      <c r="O3196" s="5"/>
      <c r="P3196" s="5"/>
      <c r="Q3196" s="5"/>
      <c r="R3196" s="5"/>
      <c r="T3196" s="5"/>
      <c r="U3196" s="5"/>
      <c r="V3196" s="5"/>
      <c r="W3196" s="5"/>
    </row>
    <row r="3197" spans="1:23" ht="12.5">
      <c r="A3197" s="5"/>
      <c r="B3197" s="5"/>
      <c r="C3197" s="5"/>
      <c r="D3197" s="5"/>
      <c r="E3197" s="5"/>
      <c r="F3197" s="5"/>
      <c r="G3197" s="5"/>
      <c r="H3197" s="5"/>
      <c r="I3197" s="5"/>
      <c r="J3197" s="12"/>
      <c r="K3197" s="11"/>
      <c r="M3197" s="5"/>
      <c r="N3197" s="12"/>
      <c r="O3197" s="5"/>
      <c r="P3197" s="5"/>
      <c r="Q3197" s="5"/>
      <c r="R3197" s="5"/>
      <c r="T3197" s="5"/>
      <c r="U3197" s="5"/>
      <c r="V3197" s="5"/>
      <c r="W3197" s="5"/>
    </row>
    <row r="3198" spans="1:23" ht="12.5">
      <c r="A3198" s="5"/>
      <c r="B3198" s="5"/>
      <c r="C3198" s="5"/>
      <c r="D3198" s="5"/>
      <c r="E3198" s="5"/>
      <c r="F3198" s="5"/>
      <c r="G3198" s="5"/>
      <c r="H3198" s="5"/>
      <c r="I3198" s="5"/>
      <c r="J3198" s="12"/>
      <c r="K3198" s="11"/>
      <c r="M3198" s="5"/>
      <c r="N3198" s="12"/>
      <c r="O3198" s="5"/>
      <c r="P3198" s="5"/>
      <c r="Q3198" s="5"/>
      <c r="R3198" s="5"/>
      <c r="T3198" s="5"/>
      <c r="U3198" s="5"/>
      <c r="V3198" s="5"/>
      <c r="W3198" s="5"/>
    </row>
    <row r="3199" spans="1:23" ht="12.5">
      <c r="A3199" s="5"/>
      <c r="B3199" s="5"/>
      <c r="C3199" s="5"/>
      <c r="D3199" s="5"/>
      <c r="E3199" s="5"/>
      <c r="F3199" s="5"/>
      <c r="G3199" s="5"/>
      <c r="H3199" s="5"/>
      <c r="I3199" s="5"/>
      <c r="J3199" s="12"/>
      <c r="K3199" s="11"/>
      <c r="M3199" s="5"/>
      <c r="N3199" s="12"/>
      <c r="O3199" s="5"/>
      <c r="P3199" s="5"/>
      <c r="Q3199" s="5"/>
      <c r="R3199" s="5"/>
      <c r="T3199" s="5"/>
      <c r="U3199" s="5"/>
      <c r="V3199" s="5"/>
      <c r="W3199" s="5"/>
    </row>
    <row r="3200" spans="1:23" ht="12.5">
      <c r="A3200" s="5"/>
      <c r="B3200" s="5"/>
      <c r="C3200" s="5"/>
      <c r="D3200" s="5"/>
      <c r="E3200" s="5"/>
      <c r="F3200" s="5"/>
      <c r="G3200" s="5"/>
      <c r="H3200" s="5"/>
      <c r="I3200" s="5"/>
      <c r="J3200" s="12"/>
      <c r="K3200" s="11"/>
      <c r="M3200" s="5"/>
      <c r="N3200" s="12"/>
      <c r="O3200" s="5"/>
      <c r="P3200" s="5"/>
      <c r="Q3200" s="5"/>
      <c r="R3200" s="5"/>
      <c r="T3200" s="5"/>
      <c r="U3200" s="5"/>
      <c r="V3200" s="5"/>
      <c r="W3200" s="5"/>
    </row>
    <row r="3201" spans="1:23" ht="12.5">
      <c r="A3201" s="5"/>
      <c r="B3201" s="5"/>
      <c r="C3201" s="5"/>
      <c r="D3201" s="5"/>
      <c r="E3201" s="5"/>
      <c r="F3201" s="5"/>
      <c r="G3201" s="5"/>
      <c r="H3201" s="5"/>
      <c r="I3201" s="5"/>
      <c r="J3201" s="12"/>
      <c r="K3201" s="11"/>
      <c r="M3201" s="5"/>
      <c r="N3201" s="12"/>
      <c r="O3201" s="5"/>
      <c r="P3201" s="5"/>
      <c r="Q3201" s="5"/>
      <c r="R3201" s="5"/>
      <c r="T3201" s="5"/>
      <c r="U3201" s="5"/>
      <c r="V3201" s="5"/>
      <c r="W3201" s="5"/>
    </row>
    <row r="3202" spans="1:23" ht="12.5">
      <c r="A3202" s="5"/>
      <c r="B3202" s="5"/>
      <c r="C3202" s="5"/>
      <c r="D3202" s="5"/>
      <c r="E3202" s="5"/>
      <c r="F3202" s="5"/>
      <c r="G3202" s="5"/>
      <c r="H3202" s="5"/>
      <c r="I3202" s="5"/>
      <c r="J3202" s="12"/>
      <c r="K3202" s="11"/>
      <c r="M3202" s="5"/>
      <c r="N3202" s="12"/>
      <c r="O3202" s="5"/>
      <c r="P3202" s="5"/>
      <c r="Q3202" s="5"/>
      <c r="R3202" s="5"/>
      <c r="T3202" s="5"/>
      <c r="U3202" s="5"/>
      <c r="V3202" s="5"/>
      <c r="W3202" s="5"/>
    </row>
    <row r="3203" spans="1:23" ht="12.5">
      <c r="A3203" s="5"/>
      <c r="B3203" s="5"/>
      <c r="C3203" s="5"/>
      <c r="D3203" s="5"/>
      <c r="E3203" s="5"/>
      <c r="F3203" s="5"/>
      <c r="G3203" s="5"/>
      <c r="H3203" s="5"/>
      <c r="I3203" s="5"/>
      <c r="J3203" s="12"/>
      <c r="K3203" s="11"/>
      <c r="M3203" s="5"/>
      <c r="N3203" s="12"/>
      <c r="O3203" s="5"/>
      <c r="P3203" s="5"/>
      <c r="Q3203" s="5"/>
      <c r="R3203" s="5"/>
      <c r="T3203" s="5"/>
      <c r="U3203" s="5"/>
      <c r="V3203" s="5"/>
      <c r="W3203" s="5"/>
    </row>
    <row r="3204" spans="1:23" ht="12.5">
      <c r="A3204" s="5"/>
      <c r="B3204" s="5"/>
      <c r="C3204" s="5"/>
      <c r="D3204" s="5"/>
      <c r="E3204" s="5"/>
      <c r="F3204" s="5"/>
      <c r="G3204" s="5"/>
      <c r="H3204" s="5"/>
      <c r="I3204" s="5"/>
      <c r="J3204" s="12"/>
      <c r="K3204" s="11"/>
      <c r="M3204" s="5"/>
      <c r="N3204" s="12"/>
      <c r="O3204" s="5"/>
      <c r="P3204" s="5"/>
      <c r="Q3204" s="5"/>
      <c r="R3204" s="5"/>
      <c r="T3204" s="5"/>
      <c r="U3204" s="5"/>
      <c r="V3204" s="5"/>
      <c r="W3204" s="5"/>
    </row>
    <row r="3205" spans="1:23" ht="12.5">
      <c r="A3205" s="5"/>
      <c r="B3205" s="5"/>
      <c r="C3205" s="5"/>
      <c r="D3205" s="5"/>
      <c r="E3205" s="5"/>
      <c r="F3205" s="5"/>
      <c r="G3205" s="5"/>
      <c r="H3205" s="5"/>
      <c r="I3205" s="5"/>
      <c r="J3205" s="12"/>
      <c r="K3205" s="11"/>
      <c r="M3205" s="5"/>
      <c r="N3205" s="12"/>
      <c r="O3205" s="5"/>
      <c r="P3205" s="5"/>
      <c r="Q3205" s="5"/>
      <c r="R3205" s="5"/>
      <c r="T3205" s="5"/>
      <c r="U3205" s="5"/>
      <c r="V3205" s="5"/>
      <c r="W3205" s="5"/>
    </row>
    <row r="3206" spans="1:23" ht="12.5">
      <c r="A3206" s="5"/>
      <c r="B3206" s="5"/>
      <c r="C3206" s="5"/>
      <c r="D3206" s="5"/>
      <c r="E3206" s="5"/>
      <c r="F3206" s="5"/>
      <c r="G3206" s="5"/>
      <c r="H3206" s="5"/>
      <c r="I3206" s="5"/>
      <c r="J3206" s="12"/>
      <c r="K3206" s="11"/>
      <c r="M3206" s="5"/>
      <c r="N3206" s="12"/>
      <c r="O3206" s="5"/>
      <c r="P3206" s="5"/>
      <c r="Q3206" s="5"/>
      <c r="R3206" s="5"/>
      <c r="T3206" s="5"/>
      <c r="U3206" s="5"/>
      <c r="V3206" s="5"/>
      <c r="W3206" s="5"/>
    </row>
    <row r="3207" spans="1:23" ht="12.5">
      <c r="A3207" s="5"/>
      <c r="B3207" s="5"/>
      <c r="C3207" s="5"/>
      <c r="D3207" s="5"/>
      <c r="E3207" s="5"/>
      <c r="F3207" s="5"/>
      <c r="G3207" s="5"/>
      <c r="H3207" s="5"/>
      <c r="I3207" s="5"/>
      <c r="J3207" s="12"/>
      <c r="K3207" s="11"/>
      <c r="M3207" s="5"/>
      <c r="N3207" s="12"/>
      <c r="O3207" s="5"/>
      <c r="P3207" s="5"/>
      <c r="Q3207" s="5"/>
      <c r="R3207" s="5"/>
      <c r="T3207" s="5"/>
      <c r="U3207" s="5"/>
      <c r="V3207" s="5"/>
      <c r="W3207" s="5"/>
    </row>
    <row r="3208" spans="1:23" ht="12.5">
      <c r="A3208" s="5"/>
      <c r="B3208" s="5"/>
      <c r="C3208" s="5"/>
      <c r="D3208" s="5"/>
      <c r="E3208" s="5"/>
      <c r="F3208" s="5"/>
      <c r="G3208" s="5"/>
      <c r="H3208" s="5"/>
      <c r="I3208" s="5"/>
      <c r="J3208" s="12"/>
      <c r="K3208" s="11"/>
      <c r="M3208" s="5"/>
      <c r="N3208" s="12"/>
      <c r="O3208" s="5"/>
      <c r="P3208" s="5"/>
      <c r="Q3208" s="5"/>
      <c r="R3208" s="5"/>
      <c r="T3208" s="5"/>
      <c r="U3208" s="5"/>
      <c r="V3208" s="5"/>
      <c r="W3208" s="5"/>
    </row>
    <row r="3209" spans="1:23" ht="12.5">
      <c r="A3209" s="5"/>
      <c r="B3209" s="5"/>
      <c r="C3209" s="5"/>
      <c r="D3209" s="5"/>
      <c r="E3209" s="5"/>
      <c r="F3209" s="5"/>
      <c r="G3209" s="5"/>
      <c r="H3209" s="5"/>
      <c r="I3209" s="5"/>
      <c r="J3209" s="12"/>
      <c r="K3209" s="11"/>
      <c r="M3209" s="5"/>
      <c r="N3209" s="12"/>
      <c r="O3209" s="5"/>
      <c r="P3209" s="5"/>
      <c r="Q3209" s="5"/>
      <c r="R3209" s="5"/>
      <c r="T3209" s="5"/>
      <c r="U3209" s="5"/>
      <c r="V3209" s="5"/>
      <c r="W3209" s="5"/>
    </row>
    <row r="3210" spans="1:23" ht="12.5">
      <c r="A3210" s="5"/>
      <c r="B3210" s="5"/>
      <c r="C3210" s="5"/>
      <c r="D3210" s="5"/>
      <c r="E3210" s="5"/>
      <c r="F3210" s="5"/>
      <c r="G3210" s="5"/>
      <c r="H3210" s="5"/>
      <c r="I3210" s="5"/>
      <c r="J3210" s="12"/>
      <c r="K3210" s="11"/>
      <c r="M3210" s="5"/>
      <c r="N3210" s="12"/>
      <c r="O3210" s="5"/>
      <c r="P3210" s="5"/>
      <c r="Q3210" s="5"/>
      <c r="R3210" s="5"/>
      <c r="T3210" s="5"/>
      <c r="U3210" s="5"/>
      <c r="V3210" s="5"/>
      <c r="W3210" s="5"/>
    </row>
    <row r="3211" spans="1:23" ht="12.5">
      <c r="A3211" s="5"/>
      <c r="B3211" s="5"/>
      <c r="C3211" s="5"/>
      <c r="D3211" s="5"/>
      <c r="E3211" s="5"/>
      <c r="F3211" s="5"/>
      <c r="G3211" s="5"/>
      <c r="H3211" s="5"/>
      <c r="I3211" s="5"/>
      <c r="J3211" s="12"/>
      <c r="K3211" s="11"/>
      <c r="M3211" s="5"/>
      <c r="N3211" s="12"/>
      <c r="O3211" s="5"/>
      <c r="P3211" s="5"/>
      <c r="Q3211" s="5"/>
      <c r="R3211" s="5"/>
      <c r="T3211" s="5"/>
      <c r="U3211" s="5"/>
      <c r="V3211" s="5"/>
      <c r="W3211" s="5"/>
    </row>
    <row r="3212" spans="1:23" ht="12.5">
      <c r="A3212" s="5"/>
      <c r="B3212" s="5"/>
      <c r="C3212" s="5"/>
      <c r="D3212" s="5"/>
      <c r="E3212" s="5"/>
      <c r="F3212" s="5"/>
      <c r="G3212" s="5"/>
      <c r="H3212" s="5"/>
      <c r="I3212" s="5"/>
      <c r="J3212" s="12"/>
      <c r="K3212" s="11"/>
      <c r="M3212" s="5"/>
      <c r="N3212" s="12"/>
      <c r="O3212" s="5"/>
      <c r="P3212" s="5"/>
      <c r="Q3212" s="5"/>
      <c r="R3212" s="5"/>
      <c r="T3212" s="5"/>
      <c r="U3212" s="5"/>
      <c r="V3212" s="5"/>
      <c r="W3212" s="5"/>
    </row>
    <row r="3213" spans="1:23" ht="12.5">
      <c r="A3213" s="5"/>
      <c r="B3213" s="5"/>
      <c r="C3213" s="5"/>
      <c r="D3213" s="5"/>
      <c r="E3213" s="5"/>
      <c r="F3213" s="5"/>
      <c r="G3213" s="5"/>
      <c r="H3213" s="5"/>
      <c r="I3213" s="5"/>
      <c r="J3213" s="12"/>
      <c r="K3213" s="11"/>
      <c r="M3213" s="5"/>
      <c r="N3213" s="12"/>
      <c r="O3213" s="5"/>
      <c r="P3213" s="5"/>
      <c r="Q3213" s="5"/>
      <c r="R3213" s="5"/>
      <c r="T3213" s="5"/>
      <c r="U3213" s="5"/>
      <c r="V3213" s="5"/>
      <c r="W3213" s="5"/>
    </row>
    <row r="3214" spans="1:23" ht="12.5">
      <c r="A3214" s="5"/>
      <c r="B3214" s="5"/>
      <c r="C3214" s="5"/>
      <c r="D3214" s="5"/>
      <c r="E3214" s="5"/>
      <c r="F3214" s="5"/>
      <c r="G3214" s="5"/>
      <c r="H3214" s="5"/>
      <c r="I3214" s="5"/>
      <c r="J3214" s="12"/>
      <c r="K3214" s="11"/>
      <c r="M3214" s="5"/>
      <c r="N3214" s="12"/>
      <c r="O3214" s="5"/>
      <c r="P3214" s="5"/>
      <c r="Q3214" s="5"/>
      <c r="R3214" s="5"/>
      <c r="T3214" s="5"/>
      <c r="U3214" s="5"/>
      <c r="V3214" s="5"/>
      <c r="W3214" s="5"/>
    </row>
    <row r="3215" spans="1:23" ht="12.5">
      <c r="A3215" s="5"/>
      <c r="B3215" s="5"/>
      <c r="C3215" s="5"/>
      <c r="D3215" s="5"/>
      <c r="E3215" s="5"/>
      <c r="F3215" s="5"/>
      <c r="G3215" s="5"/>
      <c r="H3215" s="5"/>
      <c r="I3215" s="5"/>
      <c r="J3215" s="12"/>
      <c r="K3215" s="11"/>
      <c r="M3215" s="5"/>
      <c r="N3215" s="12"/>
      <c r="O3215" s="5"/>
      <c r="P3215" s="5"/>
      <c r="Q3215" s="5"/>
      <c r="R3215" s="5"/>
      <c r="T3215" s="5"/>
      <c r="U3215" s="5"/>
      <c r="V3215" s="5"/>
      <c r="W3215" s="5"/>
    </row>
    <row r="3216" spans="1:23" ht="12.5">
      <c r="A3216" s="5"/>
      <c r="B3216" s="5"/>
      <c r="C3216" s="5"/>
      <c r="D3216" s="5"/>
      <c r="E3216" s="5"/>
      <c r="F3216" s="5"/>
      <c r="G3216" s="5"/>
      <c r="H3216" s="5"/>
      <c r="I3216" s="5"/>
      <c r="J3216" s="12"/>
      <c r="K3216" s="11"/>
      <c r="M3216" s="5"/>
      <c r="N3216" s="12"/>
      <c r="O3216" s="5"/>
      <c r="P3216" s="5"/>
      <c r="Q3216" s="5"/>
      <c r="R3216" s="5"/>
      <c r="T3216" s="5"/>
      <c r="U3216" s="5"/>
      <c r="V3216" s="5"/>
      <c r="W3216" s="5"/>
    </row>
    <row r="3217" spans="1:23" ht="12.5">
      <c r="A3217" s="5"/>
      <c r="B3217" s="5"/>
      <c r="C3217" s="5"/>
      <c r="D3217" s="5"/>
      <c r="E3217" s="5"/>
      <c r="F3217" s="5"/>
      <c r="G3217" s="5"/>
      <c r="H3217" s="5"/>
      <c r="I3217" s="5"/>
      <c r="J3217" s="12"/>
      <c r="K3217" s="11"/>
      <c r="M3217" s="5"/>
      <c r="N3217" s="12"/>
      <c r="O3217" s="5"/>
      <c r="P3217" s="5"/>
      <c r="Q3217" s="5"/>
      <c r="R3217" s="5"/>
      <c r="T3217" s="5"/>
      <c r="U3217" s="5"/>
      <c r="V3217" s="5"/>
      <c r="W3217" s="5"/>
    </row>
    <row r="3218" spans="1:23" ht="12.5">
      <c r="A3218" s="5"/>
      <c r="B3218" s="5"/>
      <c r="C3218" s="5"/>
      <c r="D3218" s="5"/>
      <c r="E3218" s="5"/>
      <c r="F3218" s="5"/>
      <c r="G3218" s="5"/>
      <c r="H3218" s="5"/>
      <c r="I3218" s="5"/>
      <c r="J3218" s="12"/>
      <c r="K3218" s="11"/>
      <c r="M3218" s="5"/>
      <c r="N3218" s="12"/>
      <c r="O3218" s="5"/>
      <c r="P3218" s="5"/>
      <c r="Q3218" s="5"/>
      <c r="R3218" s="5"/>
      <c r="T3218" s="5"/>
      <c r="U3218" s="5"/>
      <c r="V3218" s="5"/>
      <c r="W3218" s="5"/>
    </row>
    <row r="3219" spans="1:23" ht="12.5">
      <c r="A3219" s="5"/>
      <c r="B3219" s="5"/>
      <c r="C3219" s="5"/>
      <c r="D3219" s="5"/>
      <c r="E3219" s="5"/>
      <c r="F3219" s="5"/>
      <c r="G3219" s="5"/>
      <c r="H3219" s="5"/>
      <c r="I3219" s="5"/>
      <c r="J3219" s="12"/>
      <c r="K3219" s="11"/>
      <c r="M3219" s="5"/>
      <c r="N3219" s="12"/>
      <c r="O3219" s="5"/>
      <c r="P3219" s="5"/>
      <c r="Q3219" s="5"/>
      <c r="R3219" s="5"/>
      <c r="T3219" s="5"/>
      <c r="U3219" s="5"/>
      <c r="V3219" s="5"/>
      <c r="W3219" s="5"/>
    </row>
    <row r="3220" spans="1:23" ht="12.5">
      <c r="A3220" s="5"/>
      <c r="B3220" s="5"/>
      <c r="C3220" s="5"/>
      <c r="D3220" s="5"/>
      <c r="E3220" s="5"/>
      <c r="F3220" s="5"/>
      <c r="G3220" s="5"/>
      <c r="H3220" s="5"/>
      <c r="I3220" s="5"/>
      <c r="J3220" s="12"/>
      <c r="K3220" s="11"/>
      <c r="M3220" s="5"/>
      <c r="N3220" s="12"/>
      <c r="O3220" s="5"/>
      <c r="P3220" s="5"/>
      <c r="Q3220" s="5"/>
      <c r="R3220" s="5"/>
      <c r="T3220" s="5"/>
      <c r="U3220" s="5"/>
      <c r="V3220" s="5"/>
      <c r="W3220" s="5"/>
    </row>
    <row r="3221" spans="1:23" ht="12.5">
      <c r="A3221" s="5"/>
      <c r="B3221" s="5"/>
      <c r="C3221" s="5"/>
      <c r="D3221" s="5"/>
      <c r="E3221" s="5"/>
      <c r="F3221" s="5"/>
      <c r="G3221" s="5"/>
      <c r="H3221" s="5"/>
      <c r="I3221" s="5"/>
      <c r="J3221" s="12"/>
      <c r="K3221" s="11"/>
      <c r="M3221" s="5"/>
      <c r="N3221" s="12"/>
      <c r="O3221" s="5"/>
      <c r="P3221" s="5"/>
      <c r="Q3221" s="5"/>
      <c r="R3221" s="5"/>
      <c r="T3221" s="5"/>
      <c r="U3221" s="5"/>
      <c r="V3221" s="5"/>
      <c r="W3221" s="5"/>
    </row>
    <row r="3222" spans="1:23" ht="12.5">
      <c r="A3222" s="5"/>
      <c r="B3222" s="5"/>
      <c r="C3222" s="5"/>
      <c r="D3222" s="5"/>
      <c r="E3222" s="5"/>
      <c r="F3222" s="5"/>
      <c r="G3222" s="5"/>
      <c r="H3222" s="5"/>
      <c r="I3222" s="5"/>
      <c r="J3222" s="12"/>
      <c r="K3222" s="11"/>
      <c r="M3222" s="5"/>
      <c r="N3222" s="12"/>
      <c r="O3222" s="5"/>
      <c r="P3222" s="5"/>
      <c r="Q3222" s="5"/>
      <c r="R3222" s="5"/>
      <c r="T3222" s="5"/>
      <c r="U3222" s="5"/>
      <c r="V3222" s="5"/>
      <c r="W3222" s="5"/>
    </row>
    <row r="3223" spans="1:23" ht="12.5">
      <c r="A3223" s="5"/>
      <c r="B3223" s="5"/>
      <c r="C3223" s="5"/>
      <c r="D3223" s="5"/>
      <c r="E3223" s="5"/>
      <c r="F3223" s="5"/>
      <c r="G3223" s="5"/>
      <c r="H3223" s="5"/>
      <c r="I3223" s="5"/>
      <c r="J3223" s="12"/>
      <c r="K3223" s="11"/>
      <c r="M3223" s="5"/>
      <c r="N3223" s="12"/>
      <c r="O3223" s="5"/>
      <c r="P3223" s="5"/>
      <c r="Q3223" s="5"/>
      <c r="R3223" s="5"/>
      <c r="T3223" s="5"/>
      <c r="U3223" s="5"/>
      <c r="V3223" s="5"/>
      <c r="W3223" s="5"/>
    </row>
    <row r="3224" spans="1:23" ht="12.5">
      <c r="A3224" s="5"/>
      <c r="B3224" s="5"/>
      <c r="C3224" s="5"/>
      <c r="D3224" s="5"/>
      <c r="E3224" s="5"/>
      <c r="F3224" s="5"/>
      <c r="G3224" s="5"/>
      <c r="H3224" s="5"/>
      <c r="I3224" s="5"/>
      <c r="J3224" s="12"/>
      <c r="K3224" s="11"/>
      <c r="M3224" s="5"/>
      <c r="N3224" s="12"/>
      <c r="O3224" s="5"/>
      <c r="P3224" s="5"/>
      <c r="Q3224" s="5"/>
      <c r="R3224" s="5"/>
      <c r="T3224" s="5"/>
      <c r="U3224" s="5"/>
      <c r="V3224" s="5"/>
      <c r="W3224" s="5"/>
    </row>
    <row r="3225" spans="1:23" ht="12.5">
      <c r="A3225" s="5"/>
      <c r="B3225" s="5"/>
      <c r="C3225" s="5"/>
      <c r="D3225" s="5"/>
      <c r="E3225" s="5"/>
      <c r="F3225" s="5"/>
      <c r="G3225" s="5"/>
      <c r="H3225" s="5"/>
      <c r="I3225" s="5"/>
      <c r="J3225" s="12"/>
      <c r="K3225" s="11"/>
      <c r="M3225" s="5"/>
      <c r="N3225" s="12"/>
      <c r="O3225" s="5"/>
      <c r="P3225" s="5"/>
      <c r="Q3225" s="5"/>
      <c r="R3225" s="5"/>
      <c r="T3225" s="5"/>
      <c r="U3225" s="5"/>
      <c r="V3225" s="5"/>
      <c r="W3225" s="5"/>
    </row>
    <row r="3226" spans="1:23" ht="12.5">
      <c r="A3226" s="5"/>
      <c r="B3226" s="5"/>
      <c r="C3226" s="5"/>
      <c r="D3226" s="5"/>
      <c r="E3226" s="5"/>
      <c r="F3226" s="5"/>
      <c r="G3226" s="5"/>
      <c r="H3226" s="5"/>
      <c r="I3226" s="5"/>
      <c r="J3226" s="12"/>
      <c r="K3226" s="11"/>
      <c r="M3226" s="5"/>
      <c r="N3226" s="12"/>
      <c r="O3226" s="5"/>
      <c r="P3226" s="5"/>
      <c r="Q3226" s="5"/>
      <c r="R3226" s="5"/>
      <c r="T3226" s="5"/>
      <c r="U3226" s="5"/>
      <c r="V3226" s="5"/>
      <c r="W3226" s="5"/>
    </row>
    <row r="3227" spans="1:23" ht="12.5">
      <c r="A3227" s="5"/>
      <c r="B3227" s="5"/>
      <c r="C3227" s="5"/>
      <c r="D3227" s="5"/>
      <c r="E3227" s="5"/>
      <c r="F3227" s="5"/>
      <c r="G3227" s="5"/>
      <c r="H3227" s="5"/>
      <c r="I3227" s="5"/>
      <c r="J3227" s="12"/>
      <c r="K3227" s="11"/>
      <c r="M3227" s="5"/>
      <c r="N3227" s="12"/>
      <c r="O3227" s="5"/>
      <c r="P3227" s="5"/>
      <c r="Q3227" s="5"/>
      <c r="R3227" s="5"/>
      <c r="T3227" s="5"/>
      <c r="U3227" s="5"/>
      <c r="V3227" s="5"/>
      <c r="W3227" s="5"/>
    </row>
    <row r="3228" spans="1:23" ht="12.5">
      <c r="A3228" s="5"/>
      <c r="B3228" s="5"/>
      <c r="C3228" s="5"/>
      <c r="D3228" s="5"/>
      <c r="E3228" s="5"/>
      <c r="F3228" s="5"/>
      <c r="G3228" s="5"/>
      <c r="H3228" s="5"/>
      <c r="I3228" s="5"/>
      <c r="J3228" s="12"/>
      <c r="K3228" s="11"/>
      <c r="M3228" s="5"/>
      <c r="N3228" s="12"/>
      <c r="O3228" s="5"/>
      <c r="P3228" s="5"/>
      <c r="Q3228" s="5"/>
      <c r="R3228" s="5"/>
      <c r="T3228" s="5"/>
      <c r="U3228" s="5"/>
      <c r="V3228" s="5"/>
      <c r="W3228" s="5"/>
    </row>
    <row r="3229" spans="1:23" ht="12.5">
      <c r="A3229" s="5"/>
      <c r="B3229" s="5"/>
      <c r="C3229" s="5"/>
      <c r="D3229" s="5"/>
      <c r="E3229" s="5"/>
      <c r="F3229" s="5"/>
      <c r="G3229" s="5"/>
      <c r="H3229" s="5"/>
      <c r="I3229" s="5"/>
      <c r="J3229" s="12"/>
      <c r="K3229" s="11"/>
      <c r="M3229" s="5"/>
      <c r="N3229" s="12"/>
      <c r="O3229" s="5"/>
      <c r="P3229" s="5"/>
      <c r="Q3229" s="5"/>
      <c r="R3229" s="5"/>
      <c r="T3229" s="5"/>
      <c r="U3229" s="5"/>
      <c r="V3229" s="5"/>
      <c r="W3229" s="5"/>
    </row>
    <row r="3230" spans="1:23" ht="12.5">
      <c r="A3230" s="5"/>
      <c r="B3230" s="5"/>
      <c r="C3230" s="5"/>
      <c r="D3230" s="5"/>
      <c r="E3230" s="5"/>
      <c r="F3230" s="5"/>
      <c r="G3230" s="5"/>
      <c r="H3230" s="5"/>
      <c r="I3230" s="5"/>
      <c r="J3230" s="12"/>
      <c r="K3230" s="11"/>
      <c r="M3230" s="5"/>
      <c r="N3230" s="12"/>
      <c r="O3230" s="5"/>
      <c r="P3230" s="5"/>
      <c r="Q3230" s="5"/>
      <c r="R3230" s="5"/>
      <c r="T3230" s="5"/>
      <c r="U3230" s="5"/>
      <c r="V3230" s="5"/>
      <c r="W3230" s="5"/>
    </row>
    <row r="3231" spans="1:23" ht="12.5">
      <c r="A3231" s="5"/>
      <c r="B3231" s="5"/>
      <c r="C3231" s="5"/>
      <c r="D3231" s="5"/>
      <c r="E3231" s="5"/>
      <c r="F3231" s="5"/>
      <c r="G3231" s="5"/>
      <c r="H3231" s="5"/>
      <c r="I3231" s="5"/>
      <c r="J3231" s="12"/>
      <c r="K3231" s="11"/>
      <c r="M3231" s="5"/>
      <c r="N3231" s="12"/>
      <c r="O3231" s="5"/>
      <c r="P3231" s="5"/>
      <c r="Q3231" s="5"/>
      <c r="R3231" s="5"/>
      <c r="T3231" s="5"/>
      <c r="U3231" s="5"/>
      <c r="V3231" s="5"/>
      <c r="W3231" s="5"/>
    </row>
    <row r="3232" spans="1:23" ht="12.5">
      <c r="A3232" s="5"/>
      <c r="B3232" s="5"/>
      <c r="C3232" s="5"/>
      <c r="D3232" s="5"/>
      <c r="E3232" s="5"/>
      <c r="F3232" s="5"/>
      <c r="G3232" s="5"/>
      <c r="H3232" s="5"/>
      <c r="I3232" s="5"/>
      <c r="J3232" s="12"/>
      <c r="K3232" s="11"/>
      <c r="M3232" s="5"/>
      <c r="N3232" s="12"/>
      <c r="O3232" s="5"/>
      <c r="P3232" s="5"/>
      <c r="Q3232" s="5"/>
      <c r="R3232" s="5"/>
      <c r="T3232" s="5"/>
      <c r="U3232" s="5"/>
      <c r="V3232" s="5"/>
      <c r="W3232" s="5"/>
    </row>
    <row r="3233" spans="1:23" ht="12.5">
      <c r="A3233" s="5"/>
      <c r="B3233" s="5"/>
      <c r="C3233" s="5"/>
      <c r="D3233" s="5"/>
      <c r="E3233" s="5"/>
      <c r="F3233" s="5"/>
      <c r="G3233" s="5"/>
      <c r="H3233" s="5"/>
      <c r="I3233" s="5"/>
      <c r="J3233" s="12"/>
      <c r="K3233" s="11"/>
      <c r="M3233" s="5"/>
      <c r="N3233" s="12"/>
      <c r="O3233" s="5"/>
      <c r="P3233" s="5"/>
      <c r="Q3233" s="5"/>
      <c r="R3233" s="5"/>
      <c r="T3233" s="5"/>
      <c r="U3233" s="5"/>
      <c r="V3233" s="5"/>
      <c r="W3233" s="5"/>
    </row>
    <row r="3234" spans="1:23" ht="12.5">
      <c r="A3234" s="5"/>
      <c r="B3234" s="5"/>
      <c r="C3234" s="5"/>
      <c r="D3234" s="5"/>
      <c r="E3234" s="5"/>
      <c r="F3234" s="5"/>
      <c r="G3234" s="5"/>
      <c r="H3234" s="5"/>
      <c r="I3234" s="5"/>
      <c r="J3234" s="12"/>
      <c r="K3234" s="11"/>
      <c r="M3234" s="5"/>
      <c r="N3234" s="12"/>
      <c r="O3234" s="5"/>
      <c r="P3234" s="5"/>
      <c r="Q3234" s="5"/>
      <c r="R3234" s="5"/>
      <c r="T3234" s="5"/>
      <c r="U3234" s="5"/>
      <c r="V3234" s="5"/>
      <c r="W3234" s="5"/>
    </row>
    <row r="3235" spans="1:23" ht="12.5">
      <c r="A3235" s="5"/>
      <c r="B3235" s="5"/>
      <c r="C3235" s="5"/>
      <c r="D3235" s="5"/>
      <c r="E3235" s="5"/>
      <c r="F3235" s="5"/>
      <c r="G3235" s="5"/>
      <c r="H3235" s="5"/>
      <c r="I3235" s="5"/>
      <c r="J3235" s="12"/>
      <c r="K3235" s="11"/>
      <c r="M3235" s="5"/>
      <c r="N3235" s="12"/>
      <c r="O3235" s="5"/>
      <c r="P3235" s="5"/>
      <c r="Q3235" s="5"/>
      <c r="R3235" s="5"/>
      <c r="T3235" s="5"/>
      <c r="U3235" s="5"/>
      <c r="V3235" s="5"/>
      <c r="W3235" s="5"/>
    </row>
    <row r="3236" spans="1:23" ht="12.5">
      <c r="A3236" s="5"/>
      <c r="B3236" s="5"/>
      <c r="C3236" s="5"/>
      <c r="D3236" s="5"/>
      <c r="E3236" s="5"/>
      <c r="F3236" s="5"/>
      <c r="G3236" s="5"/>
      <c r="H3236" s="5"/>
      <c r="I3236" s="5"/>
      <c r="J3236" s="12"/>
      <c r="K3236" s="11"/>
      <c r="M3236" s="5"/>
      <c r="N3236" s="12"/>
      <c r="O3236" s="5"/>
      <c r="P3236" s="5"/>
      <c r="Q3236" s="5"/>
      <c r="R3236" s="5"/>
      <c r="T3236" s="5"/>
      <c r="U3236" s="5"/>
      <c r="V3236" s="5"/>
      <c r="W3236" s="5"/>
    </row>
    <row r="3237" spans="1:23" ht="12.5">
      <c r="A3237" s="5"/>
      <c r="B3237" s="5"/>
      <c r="C3237" s="5"/>
      <c r="D3237" s="5"/>
      <c r="E3237" s="5"/>
      <c r="F3237" s="5"/>
      <c r="G3237" s="5"/>
      <c r="H3237" s="5"/>
      <c r="I3237" s="5"/>
      <c r="J3237" s="12"/>
      <c r="K3237" s="11"/>
      <c r="M3237" s="5"/>
      <c r="N3237" s="12"/>
      <c r="O3237" s="5"/>
      <c r="P3237" s="5"/>
      <c r="Q3237" s="5"/>
      <c r="R3237" s="5"/>
      <c r="T3237" s="5"/>
      <c r="U3237" s="5"/>
      <c r="V3237" s="5"/>
      <c r="W3237" s="5"/>
    </row>
    <row r="3238" spans="1:23" ht="12.5">
      <c r="A3238" s="5"/>
      <c r="B3238" s="5"/>
      <c r="C3238" s="5"/>
      <c r="D3238" s="5"/>
      <c r="E3238" s="5"/>
      <c r="F3238" s="5"/>
      <c r="G3238" s="5"/>
      <c r="H3238" s="5"/>
      <c r="I3238" s="5"/>
      <c r="J3238" s="12"/>
      <c r="K3238" s="11"/>
      <c r="M3238" s="5"/>
      <c r="N3238" s="12"/>
      <c r="O3238" s="5"/>
      <c r="P3238" s="5"/>
      <c r="Q3238" s="5"/>
      <c r="R3238" s="5"/>
      <c r="T3238" s="5"/>
      <c r="U3238" s="5"/>
      <c r="V3238" s="5"/>
      <c r="W3238" s="5"/>
    </row>
    <row r="3239" spans="1:23" ht="12.5">
      <c r="A3239" s="5"/>
      <c r="B3239" s="5"/>
      <c r="C3239" s="5"/>
      <c r="D3239" s="5"/>
      <c r="E3239" s="5"/>
      <c r="F3239" s="5"/>
      <c r="G3239" s="5"/>
      <c r="H3239" s="5"/>
      <c r="I3239" s="5"/>
      <c r="J3239" s="12"/>
      <c r="K3239" s="11"/>
      <c r="M3239" s="5"/>
      <c r="N3239" s="12"/>
      <c r="O3239" s="5"/>
      <c r="P3239" s="5"/>
      <c r="Q3239" s="5"/>
      <c r="R3239" s="5"/>
      <c r="T3239" s="5"/>
      <c r="U3239" s="5"/>
      <c r="V3239" s="5"/>
      <c r="W3239" s="5"/>
    </row>
    <row r="3240" spans="1:23" ht="12.5">
      <c r="A3240" s="5"/>
      <c r="B3240" s="5"/>
      <c r="C3240" s="5"/>
      <c r="D3240" s="5"/>
      <c r="E3240" s="5"/>
      <c r="F3240" s="5"/>
      <c r="G3240" s="5"/>
      <c r="H3240" s="5"/>
      <c r="I3240" s="5"/>
      <c r="J3240" s="12"/>
      <c r="K3240" s="11"/>
      <c r="M3240" s="5"/>
      <c r="N3240" s="12"/>
      <c r="O3240" s="5"/>
      <c r="P3240" s="5"/>
      <c r="Q3240" s="5"/>
      <c r="R3240" s="5"/>
      <c r="T3240" s="5"/>
      <c r="U3240" s="5"/>
      <c r="V3240" s="5"/>
      <c r="W3240" s="5"/>
    </row>
    <row r="3241" spans="1:23" ht="12.5">
      <c r="A3241" s="5"/>
      <c r="B3241" s="5"/>
      <c r="C3241" s="5"/>
      <c r="D3241" s="5"/>
      <c r="E3241" s="5"/>
      <c r="F3241" s="5"/>
      <c r="G3241" s="5"/>
      <c r="H3241" s="5"/>
      <c r="I3241" s="5"/>
      <c r="J3241" s="12"/>
      <c r="K3241" s="11"/>
      <c r="M3241" s="5"/>
      <c r="N3241" s="12"/>
      <c r="O3241" s="5"/>
      <c r="P3241" s="5"/>
      <c r="Q3241" s="5"/>
      <c r="R3241" s="5"/>
      <c r="T3241" s="5"/>
      <c r="U3241" s="5"/>
      <c r="V3241" s="5"/>
      <c r="W3241" s="5"/>
    </row>
    <row r="3242" spans="1:23" ht="12.5">
      <c r="A3242" s="5"/>
      <c r="B3242" s="5"/>
      <c r="C3242" s="5"/>
      <c r="D3242" s="5"/>
      <c r="E3242" s="5"/>
      <c r="F3242" s="5"/>
      <c r="G3242" s="5"/>
      <c r="H3242" s="5"/>
      <c r="I3242" s="5"/>
      <c r="J3242" s="12"/>
      <c r="K3242" s="11"/>
      <c r="M3242" s="5"/>
      <c r="N3242" s="12"/>
      <c r="O3242" s="5"/>
      <c r="P3242" s="5"/>
      <c r="Q3242" s="5"/>
      <c r="R3242" s="5"/>
      <c r="T3242" s="5"/>
      <c r="U3242" s="5"/>
      <c r="V3242" s="5"/>
      <c r="W3242" s="5"/>
    </row>
    <row r="3243" spans="1:23" ht="12.5">
      <c r="A3243" s="5"/>
      <c r="B3243" s="5"/>
      <c r="C3243" s="5"/>
      <c r="D3243" s="5"/>
      <c r="E3243" s="5"/>
      <c r="F3243" s="5"/>
      <c r="G3243" s="5"/>
      <c r="H3243" s="5"/>
      <c r="I3243" s="5"/>
      <c r="J3243" s="12"/>
      <c r="K3243" s="11"/>
      <c r="M3243" s="5"/>
      <c r="N3243" s="12"/>
      <c r="O3243" s="5"/>
      <c r="P3243" s="5"/>
      <c r="Q3243" s="5"/>
      <c r="R3243" s="5"/>
      <c r="T3243" s="5"/>
      <c r="U3243" s="5"/>
      <c r="V3243" s="5"/>
      <c r="W3243" s="5"/>
    </row>
    <row r="3244" spans="1:23" ht="12.5">
      <c r="A3244" s="5"/>
      <c r="B3244" s="5"/>
      <c r="C3244" s="5"/>
      <c r="D3244" s="5"/>
      <c r="E3244" s="5"/>
      <c r="F3244" s="5"/>
      <c r="G3244" s="5"/>
      <c r="H3244" s="5"/>
      <c r="I3244" s="5"/>
      <c r="J3244" s="12"/>
      <c r="K3244" s="11"/>
      <c r="M3244" s="5"/>
      <c r="N3244" s="12"/>
      <c r="O3244" s="5"/>
      <c r="P3244" s="5"/>
      <c r="Q3244" s="5"/>
      <c r="R3244" s="5"/>
      <c r="T3244" s="5"/>
      <c r="U3244" s="5"/>
      <c r="V3244" s="5"/>
      <c r="W3244" s="5"/>
    </row>
    <row r="3245" spans="1:23" ht="12.5">
      <c r="A3245" s="5"/>
      <c r="B3245" s="5"/>
      <c r="C3245" s="5"/>
      <c r="D3245" s="5"/>
      <c r="E3245" s="5"/>
      <c r="F3245" s="5"/>
      <c r="G3245" s="5"/>
      <c r="H3245" s="5"/>
      <c r="I3245" s="5"/>
      <c r="J3245" s="12"/>
      <c r="K3245" s="11"/>
      <c r="M3245" s="5"/>
      <c r="N3245" s="12"/>
      <c r="O3245" s="5"/>
      <c r="P3245" s="5"/>
      <c r="Q3245" s="5"/>
      <c r="R3245" s="5"/>
      <c r="T3245" s="5"/>
      <c r="U3245" s="5"/>
      <c r="V3245" s="5"/>
      <c r="W3245" s="5"/>
    </row>
    <row r="3246" spans="1:23" ht="12.5">
      <c r="A3246" s="5"/>
      <c r="B3246" s="5"/>
      <c r="C3246" s="5"/>
      <c r="D3246" s="5"/>
      <c r="E3246" s="5"/>
      <c r="F3246" s="5"/>
      <c r="G3246" s="5"/>
      <c r="H3246" s="5"/>
      <c r="I3246" s="5"/>
      <c r="J3246" s="12"/>
      <c r="K3246" s="11"/>
      <c r="M3246" s="5"/>
      <c r="N3246" s="12"/>
      <c r="O3246" s="5"/>
      <c r="P3246" s="5"/>
      <c r="Q3246" s="5"/>
      <c r="R3246" s="5"/>
      <c r="T3246" s="5"/>
      <c r="U3246" s="5"/>
      <c r="V3246" s="5"/>
      <c r="W3246" s="5"/>
    </row>
    <row r="3247" spans="1:23" ht="12.5">
      <c r="A3247" s="5"/>
      <c r="B3247" s="5"/>
      <c r="C3247" s="5"/>
      <c r="D3247" s="5"/>
      <c r="E3247" s="5"/>
      <c r="F3247" s="5"/>
      <c r="G3247" s="5"/>
      <c r="H3247" s="5"/>
      <c r="I3247" s="5"/>
      <c r="J3247" s="12"/>
      <c r="K3247" s="11"/>
      <c r="M3247" s="5"/>
      <c r="N3247" s="12"/>
      <c r="O3247" s="5"/>
      <c r="P3247" s="5"/>
      <c r="Q3247" s="5"/>
      <c r="R3247" s="5"/>
      <c r="T3247" s="5"/>
      <c r="U3247" s="5"/>
      <c r="V3247" s="5"/>
      <c r="W3247" s="5"/>
    </row>
    <row r="3248" spans="1:23" ht="12.5">
      <c r="A3248" s="5"/>
      <c r="B3248" s="5"/>
      <c r="C3248" s="5"/>
      <c r="D3248" s="5"/>
      <c r="E3248" s="5"/>
      <c r="F3248" s="5"/>
      <c r="G3248" s="5"/>
      <c r="H3248" s="5"/>
      <c r="I3248" s="5"/>
      <c r="J3248" s="12"/>
      <c r="K3248" s="11"/>
      <c r="M3248" s="5"/>
      <c r="N3248" s="12"/>
      <c r="O3248" s="5"/>
      <c r="P3248" s="5"/>
      <c r="Q3248" s="5"/>
      <c r="R3248" s="5"/>
      <c r="T3248" s="5"/>
      <c r="U3248" s="5"/>
      <c r="V3248" s="5"/>
      <c r="W3248" s="5"/>
    </row>
    <row r="3249" spans="1:23" ht="12.5">
      <c r="A3249" s="5"/>
      <c r="B3249" s="5"/>
      <c r="C3249" s="5"/>
      <c r="D3249" s="5"/>
      <c r="E3249" s="5"/>
      <c r="F3249" s="5"/>
      <c r="G3249" s="5"/>
      <c r="H3249" s="5"/>
      <c r="I3249" s="5"/>
      <c r="J3249" s="12"/>
      <c r="K3249" s="11"/>
      <c r="M3249" s="5"/>
      <c r="N3249" s="12"/>
      <c r="O3249" s="5"/>
      <c r="P3249" s="5"/>
      <c r="Q3249" s="5"/>
      <c r="R3249" s="5"/>
      <c r="T3249" s="5"/>
      <c r="U3249" s="5"/>
      <c r="V3249" s="5"/>
      <c r="W3249" s="5"/>
    </row>
    <row r="3250" spans="1:23" ht="12.5">
      <c r="A3250" s="5"/>
      <c r="B3250" s="5"/>
      <c r="C3250" s="5"/>
      <c r="D3250" s="5"/>
      <c r="E3250" s="5"/>
      <c r="F3250" s="5"/>
      <c r="G3250" s="5"/>
      <c r="H3250" s="5"/>
      <c r="I3250" s="5"/>
      <c r="J3250" s="12"/>
      <c r="K3250" s="11"/>
      <c r="M3250" s="5"/>
      <c r="N3250" s="12"/>
      <c r="O3250" s="5"/>
      <c r="P3250" s="5"/>
      <c r="Q3250" s="5"/>
      <c r="R3250" s="5"/>
      <c r="T3250" s="5"/>
      <c r="U3250" s="5"/>
      <c r="V3250" s="5"/>
      <c r="W3250" s="5"/>
    </row>
    <row r="3251" spans="1:23" ht="12.5">
      <c r="A3251" s="5"/>
      <c r="B3251" s="5"/>
      <c r="C3251" s="5"/>
      <c r="D3251" s="5"/>
      <c r="E3251" s="5"/>
      <c r="F3251" s="5"/>
      <c r="G3251" s="5"/>
      <c r="H3251" s="5"/>
      <c r="I3251" s="5"/>
      <c r="J3251" s="12"/>
      <c r="K3251" s="11"/>
      <c r="M3251" s="5"/>
      <c r="N3251" s="12"/>
      <c r="O3251" s="5"/>
      <c r="P3251" s="5"/>
      <c r="Q3251" s="5"/>
      <c r="R3251" s="5"/>
      <c r="T3251" s="5"/>
      <c r="U3251" s="5"/>
      <c r="V3251" s="5"/>
      <c r="W3251" s="5"/>
    </row>
    <row r="3252" spans="1:23" ht="12.5">
      <c r="A3252" s="5"/>
      <c r="B3252" s="5"/>
      <c r="C3252" s="5"/>
      <c r="D3252" s="5"/>
      <c r="E3252" s="5"/>
      <c r="F3252" s="5"/>
      <c r="G3252" s="5"/>
      <c r="H3252" s="5"/>
      <c r="I3252" s="5"/>
      <c r="J3252" s="12"/>
      <c r="K3252" s="11"/>
      <c r="M3252" s="5"/>
      <c r="N3252" s="12"/>
      <c r="O3252" s="5"/>
      <c r="P3252" s="5"/>
      <c r="Q3252" s="5"/>
      <c r="R3252" s="5"/>
      <c r="T3252" s="5"/>
      <c r="U3252" s="5"/>
      <c r="V3252" s="5"/>
      <c r="W3252" s="5"/>
    </row>
    <row r="3253" spans="1:23" ht="12.5">
      <c r="A3253" s="5"/>
      <c r="B3253" s="5"/>
      <c r="C3253" s="5"/>
      <c r="D3253" s="5"/>
      <c r="E3253" s="5"/>
      <c r="F3253" s="5"/>
      <c r="G3253" s="5"/>
      <c r="H3253" s="5"/>
      <c r="I3253" s="5"/>
      <c r="J3253" s="12"/>
      <c r="K3253" s="11"/>
      <c r="M3253" s="5"/>
      <c r="N3253" s="12"/>
      <c r="O3253" s="5"/>
      <c r="P3253" s="5"/>
      <c r="Q3253" s="5"/>
      <c r="R3253" s="5"/>
      <c r="T3253" s="5"/>
      <c r="U3253" s="5"/>
      <c r="V3253" s="5"/>
      <c r="W3253" s="5"/>
    </row>
    <row r="3254" spans="1:23" ht="12.5">
      <c r="A3254" s="5"/>
      <c r="B3254" s="5"/>
      <c r="C3254" s="5"/>
      <c r="D3254" s="5"/>
      <c r="E3254" s="5"/>
      <c r="F3254" s="5"/>
      <c r="G3254" s="5"/>
      <c r="H3254" s="5"/>
      <c r="I3254" s="5"/>
      <c r="J3254" s="12"/>
      <c r="K3254" s="11"/>
      <c r="M3254" s="5"/>
      <c r="N3254" s="12"/>
      <c r="O3254" s="5"/>
      <c r="P3254" s="5"/>
      <c r="Q3254" s="5"/>
      <c r="R3254" s="5"/>
      <c r="T3254" s="5"/>
      <c r="U3254" s="5"/>
      <c r="V3254" s="5"/>
      <c r="W3254" s="5"/>
    </row>
    <row r="3255" spans="1:23" ht="12.5">
      <c r="A3255" s="5"/>
      <c r="B3255" s="5"/>
      <c r="C3255" s="5"/>
      <c r="D3255" s="5"/>
      <c r="E3255" s="5"/>
      <c r="F3255" s="5"/>
      <c r="G3255" s="5"/>
      <c r="H3255" s="5"/>
      <c r="I3255" s="5"/>
      <c r="J3255" s="12"/>
      <c r="K3255" s="11"/>
      <c r="M3255" s="5"/>
      <c r="N3255" s="12"/>
      <c r="O3255" s="5"/>
      <c r="P3255" s="5"/>
      <c r="Q3255" s="5"/>
      <c r="R3255" s="5"/>
      <c r="T3255" s="5"/>
      <c r="U3255" s="5"/>
      <c r="V3255" s="5"/>
      <c r="W3255" s="5"/>
    </row>
    <row r="3256" spans="1:23" ht="12.5">
      <c r="A3256" s="5"/>
      <c r="B3256" s="5"/>
      <c r="C3256" s="5"/>
      <c r="D3256" s="5"/>
      <c r="E3256" s="5"/>
      <c r="F3256" s="5"/>
      <c r="G3256" s="5"/>
      <c r="H3256" s="5"/>
      <c r="I3256" s="5"/>
      <c r="J3256" s="12"/>
      <c r="K3256" s="11"/>
      <c r="M3256" s="5"/>
      <c r="N3256" s="12"/>
      <c r="O3256" s="5"/>
      <c r="P3256" s="5"/>
      <c r="Q3256" s="5"/>
      <c r="R3256" s="5"/>
      <c r="T3256" s="5"/>
      <c r="U3256" s="5"/>
      <c r="V3256" s="5"/>
      <c r="W3256" s="5"/>
    </row>
    <row r="3257" spans="1:23" ht="12.5">
      <c r="A3257" s="5"/>
      <c r="B3257" s="5"/>
      <c r="C3257" s="5"/>
      <c r="D3257" s="5"/>
      <c r="E3257" s="5"/>
      <c r="F3257" s="5"/>
      <c r="G3257" s="5"/>
      <c r="H3257" s="5"/>
      <c r="I3257" s="5"/>
      <c r="J3257" s="12"/>
      <c r="K3257" s="11"/>
      <c r="M3257" s="5"/>
      <c r="N3257" s="12"/>
      <c r="O3257" s="5"/>
      <c r="P3257" s="5"/>
      <c r="Q3257" s="5"/>
      <c r="R3257" s="5"/>
      <c r="T3257" s="5"/>
      <c r="U3257" s="5"/>
      <c r="V3257" s="5"/>
      <c r="W3257" s="5"/>
    </row>
    <row r="3258" spans="1:23" ht="12.5">
      <c r="A3258" s="5"/>
      <c r="B3258" s="5"/>
      <c r="C3258" s="5"/>
      <c r="D3258" s="5"/>
      <c r="E3258" s="5"/>
      <c r="F3258" s="5"/>
      <c r="G3258" s="5"/>
      <c r="H3258" s="5"/>
      <c r="I3258" s="5"/>
      <c r="J3258" s="12"/>
      <c r="K3258" s="11"/>
      <c r="M3258" s="5"/>
      <c r="N3258" s="12"/>
      <c r="O3258" s="5"/>
      <c r="P3258" s="5"/>
      <c r="Q3258" s="5"/>
      <c r="R3258" s="5"/>
      <c r="T3258" s="5"/>
      <c r="U3258" s="5"/>
      <c r="V3258" s="5"/>
      <c r="W3258" s="5"/>
    </row>
    <row r="3259" spans="1:23" ht="12.5">
      <c r="A3259" s="5"/>
      <c r="B3259" s="5"/>
      <c r="C3259" s="5"/>
      <c r="D3259" s="5"/>
      <c r="E3259" s="5"/>
      <c r="F3259" s="5"/>
      <c r="G3259" s="5"/>
      <c r="H3259" s="5"/>
      <c r="I3259" s="5"/>
      <c r="J3259" s="12"/>
      <c r="K3259" s="11"/>
      <c r="M3259" s="5"/>
      <c r="N3259" s="12"/>
      <c r="O3259" s="5"/>
      <c r="P3259" s="5"/>
      <c r="Q3259" s="5"/>
      <c r="R3259" s="5"/>
      <c r="T3259" s="5"/>
      <c r="U3259" s="5"/>
      <c r="V3259" s="5"/>
      <c r="W3259" s="5"/>
    </row>
    <row r="3260" spans="1:23" ht="12.5">
      <c r="A3260" s="5"/>
      <c r="B3260" s="5"/>
      <c r="C3260" s="5"/>
      <c r="D3260" s="5"/>
      <c r="E3260" s="5"/>
      <c r="F3260" s="5"/>
      <c r="G3260" s="5"/>
      <c r="H3260" s="5"/>
      <c r="I3260" s="5"/>
      <c r="J3260" s="12"/>
      <c r="K3260" s="11"/>
      <c r="M3260" s="5"/>
      <c r="N3260" s="12"/>
      <c r="O3260" s="5"/>
      <c r="P3260" s="5"/>
      <c r="Q3260" s="5"/>
      <c r="R3260" s="5"/>
      <c r="T3260" s="5"/>
      <c r="U3260" s="5"/>
      <c r="V3260" s="5"/>
      <c r="W3260" s="5"/>
    </row>
    <row r="3261" spans="1:23" ht="12.5">
      <c r="A3261" s="5"/>
      <c r="B3261" s="5"/>
      <c r="C3261" s="5"/>
      <c r="D3261" s="5"/>
      <c r="E3261" s="5"/>
      <c r="F3261" s="5"/>
      <c r="G3261" s="5"/>
      <c r="H3261" s="5"/>
      <c r="I3261" s="5"/>
      <c r="J3261" s="12"/>
      <c r="K3261" s="11"/>
      <c r="M3261" s="5"/>
      <c r="N3261" s="12"/>
      <c r="O3261" s="5"/>
      <c r="P3261" s="5"/>
      <c r="Q3261" s="5"/>
      <c r="R3261" s="5"/>
      <c r="T3261" s="5"/>
      <c r="U3261" s="5"/>
      <c r="V3261" s="5"/>
      <c r="W3261" s="5"/>
    </row>
    <row r="3262" spans="1:23" ht="12.5">
      <c r="A3262" s="5"/>
      <c r="B3262" s="5"/>
      <c r="C3262" s="5"/>
      <c r="D3262" s="5"/>
      <c r="E3262" s="5"/>
      <c r="F3262" s="5"/>
      <c r="G3262" s="5"/>
      <c r="H3262" s="5"/>
      <c r="I3262" s="5"/>
      <c r="J3262" s="12"/>
      <c r="K3262" s="11"/>
      <c r="M3262" s="5"/>
      <c r="N3262" s="12"/>
      <c r="O3262" s="5"/>
      <c r="P3262" s="5"/>
      <c r="Q3262" s="5"/>
      <c r="R3262" s="5"/>
      <c r="T3262" s="5"/>
      <c r="U3262" s="5"/>
      <c r="V3262" s="5"/>
      <c r="W3262" s="5"/>
    </row>
    <row r="3263" spans="1:23" ht="12.5">
      <c r="A3263" s="5"/>
      <c r="B3263" s="5"/>
      <c r="C3263" s="5"/>
      <c r="D3263" s="5"/>
      <c r="E3263" s="5"/>
      <c r="F3263" s="5"/>
      <c r="G3263" s="5"/>
      <c r="H3263" s="5"/>
      <c r="I3263" s="5"/>
      <c r="J3263" s="12"/>
      <c r="K3263" s="11"/>
      <c r="M3263" s="5"/>
      <c r="N3263" s="12"/>
      <c r="O3263" s="5"/>
      <c r="P3263" s="5"/>
      <c r="Q3263" s="5"/>
      <c r="R3263" s="5"/>
      <c r="T3263" s="5"/>
      <c r="U3263" s="5"/>
      <c r="V3263" s="5"/>
      <c r="W3263" s="5"/>
    </row>
    <row r="3264" spans="1:23" ht="12.5">
      <c r="A3264" s="5"/>
      <c r="B3264" s="5"/>
      <c r="C3264" s="5"/>
      <c r="D3264" s="5"/>
      <c r="E3264" s="5"/>
      <c r="F3264" s="5"/>
      <c r="G3264" s="5"/>
      <c r="H3264" s="5"/>
      <c r="I3264" s="5"/>
      <c r="J3264" s="12"/>
      <c r="K3264" s="11"/>
      <c r="M3264" s="5"/>
      <c r="N3264" s="12"/>
      <c r="O3264" s="5"/>
      <c r="P3264" s="5"/>
      <c r="Q3264" s="5"/>
      <c r="R3264" s="5"/>
      <c r="T3264" s="5"/>
      <c r="U3264" s="5"/>
      <c r="V3264" s="5"/>
      <c r="W3264" s="5"/>
    </row>
    <row r="3265" spans="1:23" ht="12.5">
      <c r="A3265" s="5"/>
      <c r="B3265" s="5"/>
      <c r="C3265" s="5"/>
      <c r="D3265" s="5"/>
      <c r="E3265" s="5"/>
      <c r="F3265" s="5"/>
      <c r="G3265" s="5"/>
      <c r="H3265" s="5"/>
      <c r="I3265" s="5"/>
      <c r="J3265" s="12"/>
      <c r="K3265" s="11"/>
      <c r="M3265" s="5"/>
      <c r="N3265" s="12"/>
      <c r="O3265" s="5"/>
      <c r="P3265" s="5"/>
      <c r="Q3265" s="5"/>
      <c r="R3265" s="5"/>
      <c r="T3265" s="5"/>
      <c r="U3265" s="5"/>
      <c r="V3265" s="5"/>
      <c r="W3265" s="5"/>
    </row>
    <row r="3266" spans="1:23" ht="12.5">
      <c r="A3266" s="5"/>
      <c r="B3266" s="5"/>
      <c r="C3266" s="5"/>
      <c r="D3266" s="5"/>
      <c r="E3266" s="5"/>
      <c r="F3266" s="5"/>
      <c r="G3266" s="5"/>
      <c r="H3266" s="5"/>
      <c r="I3266" s="5"/>
      <c r="J3266" s="12"/>
      <c r="K3266" s="11"/>
      <c r="M3266" s="5"/>
      <c r="N3266" s="12"/>
      <c r="O3266" s="5"/>
      <c r="P3266" s="5"/>
      <c r="Q3266" s="5"/>
      <c r="R3266" s="5"/>
      <c r="T3266" s="5"/>
      <c r="U3266" s="5"/>
      <c r="V3266" s="5"/>
      <c r="W3266" s="5"/>
    </row>
    <row r="3267" spans="1:23" ht="12.5">
      <c r="A3267" s="5"/>
      <c r="B3267" s="5"/>
      <c r="C3267" s="5"/>
      <c r="D3267" s="5"/>
      <c r="E3267" s="5"/>
      <c r="F3267" s="5"/>
      <c r="G3267" s="5"/>
      <c r="H3267" s="5"/>
      <c r="I3267" s="5"/>
      <c r="J3267" s="12"/>
      <c r="K3267" s="11"/>
      <c r="M3267" s="5"/>
      <c r="N3267" s="12"/>
      <c r="O3267" s="5"/>
      <c r="P3267" s="5"/>
      <c r="Q3267" s="5"/>
      <c r="R3267" s="5"/>
      <c r="T3267" s="5"/>
      <c r="U3267" s="5"/>
      <c r="V3267" s="5"/>
      <c r="W3267" s="5"/>
    </row>
    <row r="3268" spans="1:23" ht="12.5">
      <c r="A3268" s="5"/>
      <c r="B3268" s="5"/>
      <c r="C3268" s="5"/>
      <c r="D3268" s="5"/>
      <c r="E3268" s="5"/>
      <c r="F3268" s="5"/>
      <c r="G3268" s="5"/>
      <c r="H3268" s="5"/>
      <c r="I3268" s="5"/>
      <c r="J3268" s="12"/>
      <c r="K3268" s="11"/>
      <c r="M3268" s="5"/>
      <c r="N3268" s="12"/>
      <c r="O3268" s="5"/>
      <c r="P3268" s="5"/>
      <c r="Q3268" s="5"/>
      <c r="R3268" s="5"/>
      <c r="T3268" s="5"/>
      <c r="U3268" s="5"/>
      <c r="V3268" s="5"/>
      <c r="W3268" s="5"/>
    </row>
    <row r="3269" spans="1:23" ht="12.5">
      <c r="A3269" s="5"/>
      <c r="B3269" s="5"/>
      <c r="C3269" s="5"/>
      <c r="D3269" s="5"/>
      <c r="E3269" s="5"/>
      <c r="F3269" s="5"/>
      <c r="G3269" s="5"/>
      <c r="H3269" s="5"/>
      <c r="I3269" s="5"/>
      <c r="J3269" s="12"/>
      <c r="K3269" s="11"/>
      <c r="M3269" s="5"/>
      <c r="N3269" s="12"/>
      <c r="O3269" s="5"/>
      <c r="P3269" s="5"/>
      <c r="Q3269" s="5"/>
      <c r="R3269" s="5"/>
      <c r="T3269" s="5"/>
      <c r="U3269" s="5"/>
      <c r="V3269" s="5"/>
      <c r="W3269" s="5"/>
    </row>
    <row r="3270" spans="1:23" ht="12.5">
      <c r="A3270" s="5"/>
      <c r="B3270" s="5"/>
      <c r="C3270" s="5"/>
      <c r="D3270" s="5"/>
      <c r="E3270" s="5"/>
      <c r="F3270" s="5"/>
      <c r="G3270" s="5"/>
      <c r="H3270" s="5"/>
      <c r="I3270" s="5"/>
      <c r="J3270" s="12"/>
      <c r="K3270" s="11"/>
      <c r="M3270" s="5"/>
      <c r="N3270" s="12"/>
      <c r="O3270" s="5"/>
      <c r="P3270" s="5"/>
      <c r="Q3270" s="5"/>
      <c r="R3270" s="5"/>
      <c r="T3270" s="5"/>
      <c r="U3270" s="5"/>
      <c r="V3270" s="5"/>
      <c r="W3270" s="5"/>
    </row>
    <row r="3271" spans="1:23" ht="12.5">
      <c r="A3271" s="5"/>
      <c r="B3271" s="5"/>
      <c r="C3271" s="5"/>
      <c r="D3271" s="5"/>
      <c r="E3271" s="5"/>
      <c r="F3271" s="5"/>
      <c r="G3271" s="5"/>
      <c r="H3271" s="5"/>
      <c r="I3271" s="5"/>
      <c r="J3271" s="12"/>
      <c r="K3271" s="11"/>
      <c r="M3271" s="5"/>
      <c r="N3271" s="12"/>
      <c r="O3271" s="5"/>
      <c r="P3271" s="5"/>
      <c r="Q3271" s="5"/>
      <c r="R3271" s="5"/>
      <c r="T3271" s="5"/>
      <c r="U3271" s="5"/>
      <c r="V3271" s="5"/>
      <c r="W3271" s="5"/>
    </row>
    <row r="3272" spans="1:23" ht="12.5">
      <c r="A3272" s="5"/>
      <c r="B3272" s="5"/>
      <c r="C3272" s="5"/>
      <c r="D3272" s="5"/>
      <c r="E3272" s="5"/>
      <c r="F3272" s="5"/>
      <c r="G3272" s="5"/>
      <c r="H3272" s="5"/>
      <c r="I3272" s="5"/>
      <c r="J3272" s="12"/>
      <c r="K3272" s="11"/>
      <c r="M3272" s="5"/>
      <c r="N3272" s="12"/>
      <c r="O3272" s="5"/>
      <c r="P3272" s="5"/>
      <c r="Q3272" s="5"/>
      <c r="R3272" s="5"/>
      <c r="T3272" s="5"/>
      <c r="U3272" s="5"/>
      <c r="V3272" s="5"/>
      <c r="W3272" s="5"/>
    </row>
    <row r="3273" spans="1:23" ht="12.5">
      <c r="A3273" s="5"/>
      <c r="B3273" s="5"/>
      <c r="C3273" s="5"/>
      <c r="D3273" s="5"/>
      <c r="E3273" s="5"/>
      <c r="F3273" s="5"/>
      <c r="G3273" s="5"/>
      <c r="H3273" s="5"/>
      <c r="I3273" s="5"/>
      <c r="J3273" s="12"/>
      <c r="K3273" s="11"/>
      <c r="M3273" s="5"/>
      <c r="N3273" s="12"/>
      <c r="O3273" s="5"/>
      <c r="P3273" s="5"/>
      <c r="Q3273" s="5"/>
      <c r="R3273" s="5"/>
      <c r="T3273" s="5"/>
      <c r="U3273" s="5"/>
      <c r="V3273" s="5"/>
      <c r="W3273" s="5"/>
    </row>
    <row r="3274" spans="1:23" ht="12.5">
      <c r="A3274" s="5"/>
      <c r="B3274" s="5"/>
      <c r="C3274" s="5"/>
      <c r="D3274" s="5"/>
      <c r="E3274" s="5"/>
      <c r="F3274" s="5"/>
      <c r="G3274" s="5"/>
      <c r="H3274" s="5"/>
      <c r="I3274" s="5"/>
      <c r="J3274" s="12"/>
      <c r="K3274" s="11"/>
      <c r="M3274" s="5"/>
      <c r="N3274" s="12"/>
      <c r="O3274" s="5"/>
      <c r="P3274" s="5"/>
      <c r="Q3274" s="5"/>
      <c r="R3274" s="5"/>
      <c r="T3274" s="5"/>
      <c r="U3274" s="5"/>
      <c r="V3274" s="5"/>
      <c r="W3274" s="5"/>
    </row>
    <row r="3275" spans="1:23" ht="12.5">
      <c r="A3275" s="5"/>
      <c r="B3275" s="5"/>
      <c r="C3275" s="5"/>
      <c r="D3275" s="5"/>
      <c r="E3275" s="5"/>
      <c r="F3275" s="5"/>
      <c r="G3275" s="5"/>
      <c r="H3275" s="5"/>
      <c r="I3275" s="5"/>
      <c r="J3275" s="12"/>
      <c r="K3275" s="11"/>
      <c r="M3275" s="5"/>
      <c r="N3275" s="12"/>
      <c r="O3275" s="5"/>
      <c r="P3275" s="5"/>
      <c r="Q3275" s="5"/>
      <c r="R3275" s="5"/>
      <c r="T3275" s="5"/>
      <c r="U3275" s="5"/>
      <c r="V3275" s="5"/>
      <c r="W3275" s="5"/>
    </row>
    <row r="3276" spans="1:23" ht="12.5">
      <c r="A3276" s="5"/>
      <c r="B3276" s="5"/>
      <c r="C3276" s="5"/>
      <c r="D3276" s="5"/>
      <c r="E3276" s="5"/>
      <c r="F3276" s="5"/>
      <c r="G3276" s="5"/>
      <c r="H3276" s="5"/>
      <c r="I3276" s="5"/>
      <c r="J3276" s="12"/>
      <c r="K3276" s="11"/>
      <c r="M3276" s="5"/>
      <c r="N3276" s="12"/>
      <c r="O3276" s="5"/>
      <c r="P3276" s="5"/>
      <c r="Q3276" s="5"/>
      <c r="R3276" s="5"/>
      <c r="T3276" s="5"/>
      <c r="U3276" s="5"/>
      <c r="V3276" s="5"/>
      <c r="W3276" s="5"/>
    </row>
    <row r="3277" spans="1:23" ht="12.5">
      <c r="A3277" s="5"/>
      <c r="B3277" s="5"/>
      <c r="C3277" s="5"/>
      <c r="D3277" s="5"/>
      <c r="E3277" s="5"/>
      <c r="F3277" s="5"/>
      <c r="G3277" s="5"/>
      <c r="H3277" s="5"/>
      <c r="I3277" s="5"/>
      <c r="J3277" s="12"/>
      <c r="K3277" s="11"/>
      <c r="M3277" s="5"/>
      <c r="N3277" s="12"/>
      <c r="O3277" s="5"/>
      <c r="P3277" s="5"/>
      <c r="Q3277" s="5"/>
      <c r="R3277" s="5"/>
      <c r="T3277" s="5"/>
      <c r="U3277" s="5"/>
      <c r="V3277" s="5"/>
      <c r="W3277" s="5"/>
    </row>
    <row r="3278" spans="1:23" ht="12.5">
      <c r="A3278" s="5"/>
      <c r="B3278" s="5"/>
      <c r="C3278" s="5"/>
      <c r="D3278" s="5"/>
      <c r="E3278" s="5"/>
      <c r="F3278" s="5"/>
      <c r="G3278" s="5"/>
      <c r="H3278" s="5"/>
      <c r="I3278" s="5"/>
      <c r="J3278" s="12"/>
      <c r="K3278" s="11"/>
      <c r="M3278" s="5"/>
      <c r="N3278" s="12"/>
      <c r="O3278" s="5"/>
      <c r="P3278" s="5"/>
      <c r="Q3278" s="5"/>
      <c r="R3278" s="5"/>
      <c r="T3278" s="5"/>
      <c r="U3278" s="5"/>
      <c r="V3278" s="5"/>
      <c r="W3278" s="5"/>
    </row>
    <row r="3279" spans="1:23" ht="12.5">
      <c r="A3279" s="5"/>
      <c r="B3279" s="5"/>
      <c r="C3279" s="5"/>
      <c r="D3279" s="5"/>
      <c r="E3279" s="5"/>
      <c r="F3279" s="5"/>
      <c r="G3279" s="5"/>
      <c r="H3279" s="5"/>
      <c r="I3279" s="5"/>
      <c r="J3279" s="12"/>
      <c r="K3279" s="11"/>
      <c r="M3279" s="5"/>
      <c r="N3279" s="12"/>
      <c r="O3279" s="5"/>
      <c r="P3279" s="5"/>
      <c r="Q3279" s="5"/>
      <c r="R3279" s="5"/>
      <c r="T3279" s="5"/>
      <c r="U3279" s="5"/>
      <c r="V3279" s="5"/>
      <c r="W3279" s="5"/>
    </row>
    <row r="3280" spans="1:23" ht="12.5">
      <c r="A3280" s="5"/>
      <c r="B3280" s="5"/>
      <c r="C3280" s="5"/>
      <c r="D3280" s="5"/>
      <c r="E3280" s="5"/>
      <c r="F3280" s="5"/>
      <c r="G3280" s="5"/>
      <c r="H3280" s="5"/>
      <c r="I3280" s="5"/>
      <c r="J3280" s="12"/>
      <c r="K3280" s="11"/>
      <c r="M3280" s="5"/>
      <c r="N3280" s="12"/>
      <c r="O3280" s="5"/>
      <c r="P3280" s="5"/>
      <c r="Q3280" s="5"/>
      <c r="R3280" s="5"/>
      <c r="T3280" s="5"/>
      <c r="U3280" s="5"/>
      <c r="V3280" s="5"/>
      <c r="W3280" s="5"/>
    </row>
    <row r="3281" spans="1:23" ht="12.5">
      <c r="A3281" s="5"/>
      <c r="B3281" s="5"/>
      <c r="C3281" s="5"/>
      <c r="D3281" s="5"/>
      <c r="E3281" s="5"/>
      <c r="F3281" s="5"/>
      <c r="G3281" s="5"/>
      <c r="H3281" s="5"/>
      <c r="I3281" s="5"/>
      <c r="J3281" s="12"/>
      <c r="K3281" s="11"/>
      <c r="M3281" s="5"/>
      <c r="N3281" s="12"/>
      <c r="O3281" s="5"/>
      <c r="P3281" s="5"/>
      <c r="Q3281" s="5"/>
      <c r="R3281" s="5"/>
      <c r="T3281" s="5"/>
      <c r="U3281" s="5"/>
      <c r="V3281" s="5"/>
      <c r="W3281" s="5"/>
    </row>
    <row r="3282" spans="1:23" ht="12.5">
      <c r="A3282" s="5"/>
      <c r="B3282" s="5"/>
      <c r="C3282" s="5"/>
      <c r="D3282" s="5"/>
      <c r="E3282" s="5"/>
      <c r="F3282" s="5"/>
      <c r="G3282" s="5"/>
      <c r="H3282" s="5"/>
      <c r="I3282" s="5"/>
      <c r="J3282" s="12"/>
      <c r="K3282" s="11"/>
      <c r="M3282" s="5"/>
      <c r="N3282" s="12"/>
      <c r="O3282" s="5"/>
      <c r="P3282" s="5"/>
      <c r="Q3282" s="5"/>
      <c r="R3282" s="5"/>
      <c r="T3282" s="5"/>
      <c r="U3282" s="5"/>
      <c r="V3282" s="5"/>
      <c r="W3282" s="5"/>
    </row>
    <row r="3283" spans="1:23" ht="12.5">
      <c r="A3283" s="5"/>
      <c r="B3283" s="5"/>
      <c r="C3283" s="5"/>
      <c r="D3283" s="5"/>
      <c r="E3283" s="5"/>
      <c r="F3283" s="5"/>
      <c r="G3283" s="5"/>
      <c r="H3283" s="5"/>
      <c r="I3283" s="5"/>
      <c r="J3283" s="12"/>
      <c r="K3283" s="11"/>
      <c r="M3283" s="5"/>
      <c r="N3283" s="12"/>
      <c r="O3283" s="5"/>
      <c r="P3283" s="5"/>
      <c r="Q3283" s="5"/>
      <c r="R3283" s="5"/>
      <c r="T3283" s="5"/>
      <c r="U3283" s="5"/>
      <c r="V3283" s="5"/>
      <c r="W3283" s="5"/>
    </row>
    <row r="3284" spans="1:23" ht="12.5">
      <c r="A3284" s="5"/>
      <c r="B3284" s="5"/>
      <c r="C3284" s="5"/>
      <c r="D3284" s="5"/>
      <c r="E3284" s="5"/>
      <c r="F3284" s="5"/>
      <c r="G3284" s="5"/>
      <c r="H3284" s="5"/>
      <c r="I3284" s="5"/>
      <c r="J3284" s="12"/>
      <c r="K3284" s="11"/>
      <c r="M3284" s="5"/>
      <c r="N3284" s="12"/>
      <c r="O3284" s="5"/>
      <c r="P3284" s="5"/>
      <c r="Q3284" s="5"/>
      <c r="R3284" s="5"/>
      <c r="T3284" s="5"/>
      <c r="U3284" s="5"/>
      <c r="V3284" s="5"/>
      <c r="W3284" s="5"/>
    </row>
    <row r="3285" spans="1:23" ht="12.5">
      <c r="A3285" s="5"/>
      <c r="B3285" s="5"/>
      <c r="C3285" s="5"/>
      <c r="D3285" s="5"/>
      <c r="E3285" s="5"/>
      <c r="F3285" s="5"/>
      <c r="G3285" s="5"/>
      <c r="H3285" s="5"/>
      <c r="I3285" s="5"/>
      <c r="J3285" s="12"/>
      <c r="K3285" s="11"/>
      <c r="M3285" s="5"/>
      <c r="N3285" s="12"/>
      <c r="O3285" s="5"/>
      <c r="P3285" s="5"/>
      <c r="Q3285" s="5"/>
      <c r="R3285" s="5"/>
      <c r="T3285" s="5"/>
      <c r="U3285" s="5"/>
      <c r="V3285" s="5"/>
      <c r="W3285" s="5"/>
    </row>
    <row r="3286" spans="1:23" ht="12.5">
      <c r="A3286" s="5"/>
      <c r="B3286" s="5"/>
      <c r="C3286" s="5"/>
      <c r="D3286" s="5"/>
      <c r="E3286" s="5"/>
      <c r="F3286" s="5"/>
      <c r="G3286" s="5"/>
      <c r="H3286" s="5"/>
      <c r="I3286" s="5"/>
      <c r="J3286" s="12"/>
      <c r="K3286" s="11"/>
      <c r="M3286" s="5"/>
      <c r="N3286" s="12"/>
      <c r="O3286" s="5"/>
      <c r="P3286" s="5"/>
      <c r="Q3286" s="5"/>
      <c r="R3286" s="5"/>
      <c r="T3286" s="5"/>
      <c r="U3286" s="5"/>
      <c r="V3286" s="5"/>
      <c r="W3286" s="5"/>
    </row>
    <row r="3287" spans="1:23" ht="12.5">
      <c r="A3287" s="5"/>
      <c r="B3287" s="5"/>
      <c r="C3287" s="5"/>
      <c r="D3287" s="5"/>
      <c r="E3287" s="5"/>
      <c r="F3287" s="5"/>
      <c r="G3287" s="5"/>
      <c r="H3287" s="5"/>
      <c r="I3287" s="5"/>
      <c r="J3287" s="12"/>
      <c r="K3287" s="11"/>
      <c r="M3287" s="5"/>
      <c r="N3287" s="12"/>
      <c r="O3287" s="5"/>
      <c r="P3287" s="5"/>
      <c r="Q3287" s="5"/>
      <c r="R3287" s="5"/>
      <c r="T3287" s="5"/>
      <c r="U3287" s="5"/>
      <c r="V3287" s="5"/>
      <c r="W3287" s="5"/>
    </row>
    <row r="3288" spans="1:23" ht="12.5">
      <c r="A3288" s="5"/>
      <c r="B3288" s="5"/>
      <c r="C3288" s="5"/>
      <c r="D3288" s="5"/>
      <c r="E3288" s="5"/>
      <c r="F3288" s="5"/>
      <c r="G3288" s="5"/>
      <c r="H3288" s="5"/>
      <c r="I3288" s="5"/>
      <c r="J3288" s="12"/>
      <c r="K3288" s="11"/>
      <c r="M3288" s="5"/>
      <c r="N3288" s="12"/>
      <c r="O3288" s="5"/>
      <c r="P3288" s="5"/>
      <c r="Q3288" s="5"/>
      <c r="R3288" s="5"/>
      <c r="T3288" s="5"/>
      <c r="U3288" s="5"/>
      <c r="V3288" s="5"/>
      <c r="W3288" s="5"/>
    </row>
    <row r="3289" spans="1:23" ht="12.5">
      <c r="A3289" s="5"/>
      <c r="B3289" s="5"/>
      <c r="C3289" s="5"/>
      <c r="D3289" s="5"/>
      <c r="E3289" s="5"/>
      <c r="F3289" s="5"/>
      <c r="G3289" s="5"/>
      <c r="H3289" s="5"/>
      <c r="I3289" s="5"/>
      <c r="J3289" s="12"/>
      <c r="K3289" s="11"/>
      <c r="M3289" s="5"/>
      <c r="N3289" s="12"/>
      <c r="O3289" s="5"/>
      <c r="P3289" s="5"/>
      <c r="Q3289" s="5"/>
      <c r="R3289" s="5"/>
      <c r="T3289" s="5"/>
      <c r="U3289" s="5"/>
      <c r="V3289" s="5"/>
      <c r="W3289" s="5"/>
    </row>
    <row r="3290" spans="1:23" ht="12.5">
      <c r="A3290" s="5"/>
      <c r="B3290" s="5"/>
      <c r="C3290" s="5"/>
      <c r="D3290" s="5"/>
      <c r="E3290" s="5"/>
      <c r="F3290" s="5"/>
      <c r="G3290" s="5"/>
      <c r="H3290" s="5"/>
      <c r="I3290" s="5"/>
      <c r="J3290" s="12"/>
      <c r="K3290" s="11"/>
      <c r="M3290" s="5"/>
      <c r="N3290" s="12"/>
      <c r="O3290" s="5"/>
      <c r="P3290" s="5"/>
      <c r="Q3290" s="5"/>
      <c r="R3290" s="5"/>
      <c r="T3290" s="5"/>
      <c r="U3290" s="5"/>
      <c r="V3290" s="5"/>
      <c r="W3290" s="5"/>
    </row>
    <row r="3291" spans="1:23" ht="12.5">
      <c r="A3291" s="5"/>
      <c r="B3291" s="5"/>
      <c r="C3291" s="5"/>
      <c r="D3291" s="5"/>
      <c r="E3291" s="5"/>
      <c r="F3291" s="5"/>
      <c r="G3291" s="5"/>
      <c r="H3291" s="5"/>
      <c r="I3291" s="5"/>
      <c r="J3291" s="12"/>
      <c r="K3291" s="11"/>
      <c r="M3291" s="5"/>
      <c r="N3291" s="12"/>
      <c r="O3291" s="5"/>
      <c r="P3291" s="5"/>
      <c r="Q3291" s="5"/>
      <c r="R3291" s="5"/>
      <c r="T3291" s="5"/>
      <c r="U3291" s="5"/>
      <c r="V3291" s="5"/>
      <c r="W3291" s="5"/>
    </row>
    <row r="3292" spans="1:23" ht="12.5">
      <c r="A3292" s="5"/>
      <c r="B3292" s="5"/>
      <c r="C3292" s="5"/>
      <c r="D3292" s="5"/>
      <c r="E3292" s="5"/>
      <c r="F3292" s="5"/>
      <c r="G3292" s="5"/>
      <c r="H3292" s="5"/>
      <c r="I3292" s="5"/>
      <c r="J3292" s="12"/>
      <c r="K3292" s="11"/>
      <c r="M3292" s="5"/>
      <c r="N3292" s="12"/>
      <c r="O3292" s="5"/>
      <c r="P3292" s="5"/>
      <c r="Q3292" s="5"/>
      <c r="R3292" s="5"/>
      <c r="T3292" s="5"/>
      <c r="U3292" s="5"/>
      <c r="V3292" s="5"/>
      <c r="W3292" s="5"/>
    </row>
    <row r="3293" spans="1:23" ht="12.5">
      <c r="A3293" s="5"/>
      <c r="B3293" s="5"/>
      <c r="C3293" s="5"/>
      <c r="D3293" s="5"/>
      <c r="E3293" s="5"/>
      <c r="F3293" s="5"/>
      <c r="G3293" s="5"/>
      <c r="H3293" s="5"/>
      <c r="I3293" s="5"/>
      <c r="J3293" s="12"/>
      <c r="K3293" s="11"/>
      <c r="M3293" s="5"/>
      <c r="N3293" s="12"/>
      <c r="O3293" s="5"/>
      <c r="P3293" s="5"/>
      <c r="Q3293" s="5"/>
      <c r="R3293" s="5"/>
      <c r="T3293" s="5"/>
      <c r="U3293" s="5"/>
      <c r="V3293" s="5"/>
      <c r="W3293" s="5"/>
    </row>
    <row r="3294" spans="1:23" ht="12.5">
      <c r="A3294" s="5"/>
      <c r="B3294" s="5"/>
      <c r="C3294" s="5"/>
      <c r="D3294" s="5"/>
      <c r="E3294" s="5"/>
      <c r="F3294" s="5"/>
      <c r="G3294" s="5"/>
      <c r="H3294" s="5"/>
      <c r="I3294" s="5"/>
      <c r="J3294" s="12"/>
      <c r="K3294" s="11"/>
      <c r="M3294" s="5"/>
      <c r="N3294" s="12"/>
      <c r="O3294" s="5"/>
      <c r="P3294" s="5"/>
      <c r="Q3294" s="5"/>
      <c r="R3294" s="5"/>
      <c r="T3294" s="5"/>
      <c r="U3294" s="5"/>
      <c r="V3294" s="5"/>
      <c r="W3294" s="5"/>
    </row>
    <row r="3295" spans="1:23" ht="12.5">
      <c r="A3295" s="5"/>
      <c r="B3295" s="5"/>
      <c r="C3295" s="5"/>
      <c r="D3295" s="5"/>
      <c r="E3295" s="5"/>
      <c r="F3295" s="5"/>
      <c r="G3295" s="5"/>
      <c r="H3295" s="5"/>
      <c r="I3295" s="5"/>
      <c r="J3295" s="12"/>
      <c r="K3295" s="11"/>
      <c r="M3295" s="5"/>
      <c r="N3295" s="12"/>
      <c r="O3295" s="5"/>
      <c r="P3295" s="5"/>
      <c r="Q3295" s="5"/>
      <c r="R3295" s="5"/>
      <c r="T3295" s="5"/>
      <c r="U3295" s="5"/>
      <c r="V3295" s="5"/>
      <c r="W3295" s="5"/>
    </row>
    <row r="3296" spans="1:23" ht="12.5">
      <c r="A3296" s="5"/>
      <c r="B3296" s="5"/>
      <c r="C3296" s="5"/>
      <c r="D3296" s="5"/>
      <c r="E3296" s="5"/>
      <c r="F3296" s="5"/>
      <c r="G3296" s="5"/>
      <c r="H3296" s="5"/>
      <c r="I3296" s="5"/>
      <c r="J3296" s="12"/>
      <c r="K3296" s="11"/>
      <c r="M3296" s="5"/>
      <c r="N3296" s="12"/>
      <c r="O3296" s="5"/>
      <c r="P3296" s="5"/>
      <c r="Q3296" s="5"/>
      <c r="R3296" s="5"/>
      <c r="T3296" s="5"/>
      <c r="U3296" s="5"/>
      <c r="V3296" s="5"/>
      <c r="W3296" s="5"/>
    </row>
    <row r="3297" spans="1:23" ht="12.5">
      <c r="A3297" s="5"/>
      <c r="B3297" s="5"/>
      <c r="C3297" s="5"/>
      <c r="D3297" s="5"/>
      <c r="E3297" s="5"/>
      <c r="F3297" s="5"/>
      <c r="G3297" s="5"/>
      <c r="H3297" s="5"/>
      <c r="I3297" s="5"/>
      <c r="J3297" s="12"/>
      <c r="K3297" s="11"/>
      <c r="M3297" s="5"/>
      <c r="N3297" s="12"/>
      <c r="O3297" s="5"/>
      <c r="P3297" s="5"/>
      <c r="Q3297" s="5"/>
      <c r="R3297" s="5"/>
      <c r="T3297" s="5"/>
      <c r="U3297" s="5"/>
      <c r="V3297" s="5"/>
      <c r="W3297" s="5"/>
    </row>
    <row r="3298" spans="1:23" ht="12.5">
      <c r="A3298" s="5"/>
      <c r="B3298" s="5"/>
      <c r="C3298" s="5"/>
      <c r="D3298" s="5"/>
      <c r="E3298" s="5"/>
      <c r="F3298" s="5"/>
      <c r="G3298" s="5"/>
      <c r="H3298" s="5"/>
      <c r="I3298" s="5"/>
      <c r="J3298" s="12"/>
      <c r="K3298" s="11"/>
      <c r="M3298" s="5"/>
      <c r="N3298" s="12"/>
      <c r="O3298" s="5"/>
      <c r="P3298" s="5"/>
      <c r="Q3298" s="5"/>
      <c r="R3298" s="5"/>
      <c r="T3298" s="5"/>
      <c r="U3298" s="5"/>
      <c r="V3298" s="5"/>
      <c r="W3298" s="5"/>
    </row>
    <row r="3299" spans="1:23" ht="12.5">
      <c r="A3299" s="5"/>
      <c r="B3299" s="5"/>
      <c r="C3299" s="5"/>
      <c r="D3299" s="5"/>
      <c r="E3299" s="5"/>
      <c r="F3299" s="5"/>
      <c r="G3299" s="5"/>
      <c r="H3299" s="5"/>
      <c r="I3299" s="5"/>
      <c r="J3299" s="12"/>
      <c r="K3299" s="11"/>
      <c r="M3299" s="5"/>
      <c r="N3299" s="12"/>
      <c r="O3299" s="5"/>
      <c r="P3299" s="5"/>
      <c r="Q3299" s="5"/>
      <c r="R3299" s="5"/>
      <c r="T3299" s="5"/>
      <c r="U3299" s="5"/>
      <c r="V3299" s="5"/>
      <c r="W3299" s="5"/>
    </row>
    <row r="3300" spans="1:23" ht="12.5">
      <c r="A3300" s="5"/>
      <c r="B3300" s="5"/>
      <c r="C3300" s="5"/>
      <c r="D3300" s="5"/>
      <c r="E3300" s="5"/>
      <c r="F3300" s="5"/>
      <c r="G3300" s="5"/>
      <c r="H3300" s="5"/>
      <c r="I3300" s="5"/>
      <c r="J3300" s="12"/>
      <c r="K3300" s="11"/>
      <c r="M3300" s="5"/>
      <c r="N3300" s="12"/>
      <c r="O3300" s="5"/>
      <c r="P3300" s="5"/>
      <c r="Q3300" s="5"/>
      <c r="R3300" s="5"/>
      <c r="T3300" s="5"/>
      <c r="U3300" s="5"/>
      <c r="V3300" s="5"/>
      <c r="W3300" s="5"/>
    </row>
    <row r="3301" spans="1:23" ht="12.5">
      <c r="A3301" s="5"/>
      <c r="B3301" s="5"/>
      <c r="C3301" s="5"/>
      <c r="D3301" s="5"/>
      <c r="E3301" s="5"/>
      <c r="F3301" s="5"/>
      <c r="G3301" s="5"/>
      <c r="H3301" s="5"/>
      <c r="I3301" s="5"/>
      <c r="J3301" s="12"/>
      <c r="K3301" s="11"/>
      <c r="M3301" s="5"/>
      <c r="N3301" s="12"/>
      <c r="O3301" s="5"/>
      <c r="P3301" s="5"/>
      <c r="Q3301" s="5"/>
      <c r="R3301" s="5"/>
      <c r="T3301" s="5"/>
      <c r="U3301" s="5"/>
      <c r="V3301" s="5"/>
      <c r="W3301" s="5"/>
    </row>
    <row r="3302" spans="1:23" ht="12.5">
      <c r="A3302" s="5"/>
      <c r="B3302" s="5"/>
      <c r="C3302" s="5"/>
      <c r="D3302" s="5"/>
      <c r="E3302" s="5"/>
      <c r="F3302" s="5"/>
      <c r="G3302" s="5"/>
      <c r="H3302" s="5"/>
      <c r="I3302" s="5"/>
      <c r="J3302" s="12"/>
      <c r="K3302" s="11"/>
      <c r="M3302" s="5"/>
      <c r="N3302" s="12"/>
      <c r="O3302" s="5"/>
      <c r="P3302" s="5"/>
      <c r="Q3302" s="5"/>
      <c r="R3302" s="5"/>
      <c r="T3302" s="5"/>
      <c r="U3302" s="5"/>
      <c r="V3302" s="5"/>
      <c r="W3302" s="5"/>
    </row>
    <row r="3303" spans="1:23" ht="12.5">
      <c r="A3303" s="5"/>
      <c r="B3303" s="5"/>
      <c r="C3303" s="5"/>
      <c r="D3303" s="5"/>
      <c r="E3303" s="5"/>
      <c r="F3303" s="5"/>
      <c r="G3303" s="5"/>
      <c r="H3303" s="5"/>
      <c r="I3303" s="5"/>
      <c r="J3303" s="12"/>
      <c r="K3303" s="11"/>
      <c r="M3303" s="5"/>
      <c r="N3303" s="12"/>
      <c r="O3303" s="5"/>
      <c r="P3303" s="5"/>
      <c r="Q3303" s="5"/>
      <c r="R3303" s="5"/>
      <c r="T3303" s="5"/>
      <c r="U3303" s="5"/>
      <c r="V3303" s="5"/>
      <c r="W3303" s="5"/>
    </row>
    <row r="3304" spans="1:23" ht="12.5">
      <c r="A3304" s="5"/>
      <c r="B3304" s="5"/>
      <c r="C3304" s="5"/>
      <c r="D3304" s="5"/>
      <c r="E3304" s="5"/>
      <c r="F3304" s="5"/>
      <c r="G3304" s="5"/>
      <c r="H3304" s="5"/>
      <c r="I3304" s="5"/>
      <c r="J3304" s="12"/>
      <c r="K3304" s="11"/>
      <c r="M3304" s="5"/>
      <c r="N3304" s="12"/>
      <c r="O3304" s="5"/>
      <c r="P3304" s="5"/>
      <c r="Q3304" s="5"/>
      <c r="R3304" s="5"/>
      <c r="T3304" s="5"/>
      <c r="U3304" s="5"/>
      <c r="V3304" s="5"/>
      <c r="W3304" s="5"/>
    </row>
    <row r="3305" spans="1:23" ht="12.5">
      <c r="A3305" s="5"/>
      <c r="B3305" s="5"/>
      <c r="C3305" s="5"/>
      <c r="D3305" s="5"/>
      <c r="E3305" s="5"/>
      <c r="F3305" s="5"/>
      <c r="G3305" s="5"/>
      <c r="H3305" s="5"/>
      <c r="I3305" s="5"/>
      <c r="J3305" s="12"/>
      <c r="K3305" s="11"/>
      <c r="M3305" s="5"/>
      <c r="N3305" s="12"/>
      <c r="O3305" s="5"/>
      <c r="P3305" s="5"/>
      <c r="Q3305" s="5"/>
      <c r="R3305" s="5"/>
      <c r="T3305" s="5"/>
      <c r="U3305" s="5"/>
      <c r="V3305" s="5"/>
      <c r="W3305" s="5"/>
    </row>
    <row r="3306" spans="1:23" ht="12.5">
      <c r="A3306" s="5"/>
      <c r="B3306" s="5"/>
      <c r="C3306" s="5"/>
      <c r="D3306" s="5"/>
      <c r="E3306" s="5"/>
      <c r="F3306" s="5"/>
      <c r="G3306" s="5"/>
      <c r="H3306" s="5"/>
      <c r="I3306" s="5"/>
      <c r="J3306" s="12"/>
      <c r="K3306" s="11"/>
      <c r="M3306" s="5"/>
      <c r="N3306" s="12"/>
      <c r="O3306" s="5"/>
      <c r="P3306" s="5"/>
      <c r="Q3306" s="5"/>
      <c r="R3306" s="5"/>
      <c r="T3306" s="5"/>
      <c r="U3306" s="5"/>
      <c r="V3306" s="5"/>
      <c r="W3306" s="5"/>
    </row>
    <row r="3307" spans="1:23" ht="12.5">
      <c r="A3307" s="5"/>
      <c r="B3307" s="5"/>
      <c r="C3307" s="5"/>
      <c r="D3307" s="5"/>
      <c r="E3307" s="5"/>
      <c r="F3307" s="5"/>
      <c r="G3307" s="5"/>
      <c r="H3307" s="5"/>
      <c r="I3307" s="5"/>
      <c r="J3307" s="12"/>
      <c r="K3307" s="11"/>
      <c r="M3307" s="5"/>
      <c r="N3307" s="12"/>
      <c r="O3307" s="5"/>
      <c r="P3307" s="5"/>
      <c r="Q3307" s="5"/>
      <c r="R3307" s="5"/>
      <c r="T3307" s="5"/>
      <c r="U3307" s="5"/>
      <c r="V3307" s="5"/>
      <c r="W3307" s="5"/>
    </row>
    <row r="3308" spans="1:23" ht="12.5">
      <c r="A3308" s="5"/>
      <c r="B3308" s="5"/>
      <c r="C3308" s="5"/>
      <c r="D3308" s="5"/>
      <c r="E3308" s="5"/>
      <c r="F3308" s="5"/>
      <c r="G3308" s="5"/>
      <c r="H3308" s="5"/>
      <c r="I3308" s="5"/>
      <c r="J3308" s="12"/>
      <c r="K3308" s="11"/>
      <c r="M3308" s="5"/>
      <c r="N3308" s="12"/>
      <c r="O3308" s="5"/>
      <c r="P3308" s="5"/>
      <c r="Q3308" s="5"/>
      <c r="R3308" s="5"/>
      <c r="T3308" s="5"/>
      <c r="U3308" s="5"/>
      <c r="V3308" s="5"/>
      <c r="W3308" s="5"/>
    </row>
    <row r="3309" spans="1:23" ht="12.5">
      <c r="A3309" s="5"/>
      <c r="B3309" s="5"/>
      <c r="C3309" s="5"/>
      <c r="D3309" s="5"/>
      <c r="E3309" s="5"/>
      <c r="F3309" s="5"/>
      <c r="G3309" s="5"/>
      <c r="H3309" s="5"/>
      <c r="I3309" s="5"/>
      <c r="J3309" s="12"/>
      <c r="K3309" s="11"/>
      <c r="M3309" s="5"/>
      <c r="N3309" s="12"/>
      <c r="O3309" s="5"/>
      <c r="P3309" s="5"/>
      <c r="Q3309" s="5"/>
      <c r="R3309" s="5"/>
      <c r="T3309" s="5"/>
      <c r="U3309" s="5"/>
      <c r="V3309" s="5"/>
      <c r="W3309" s="5"/>
    </row>
    <row r="3310" spans="1:23" ht="12.5">
      <c r="A3310" s="5"/>
      <c r="B3310" s="5"/>
      <c r="C3310" s="5"/>
      <c r="D3310" s="5"/>
      <c r="E3310" s="5"/>
      <c r="F3310" s="5"/>
      <c r="G3310" s="5"/>
      <c r="H3310" s="5"/>
      <c r="I3310" s="5"/>
      <c r="J3310" s="12"/>
      <c r="K3310" s="11"/>
      <c r="M3310" s="5"/>
      <c r="N3310" s="12"/>
      <c r="O3310" s="5"/>
      <c r="P3310" s="5"/>
      <c r="Q3310" s="5"/>
      <c r="R3310" s="5"/>
      <c r="T3310" s="5"/>
      <c r="U3310" s="5"/>
      <c r="V3310" s="5"/>
      <c r="W3310" s="5"/>
    </row>
    <row r="3311" spans="1:23" ht="12.5">
      <c r="A3311" s="5"/>
      <c r="B3311" s="5"/>
      <c r="C3311" s="5"/>
      <c r="D3311" s="5"/>
      <c r="E3311" s="5"/>
      <c r="F3311" s="5"/>
      <c r="G3311" s="5"/>
      <c r="H3311" s="5"/>
      <c r="I3311" s="5"/>
      <c r="J3311" s="12"/>
      <c r="K3311" s="11"/>
      <c r="M3311" s="5"/>
      <c r="N3311" s="12"/>
      <c r="O3311" s="5"/>
      <c r="P3311" s="5"/>
      <c r="Q3311" s="5"/>
      <c r="R3311" s="5"/>
      <c r="T3311" s="5"/>
      <c r="U3311" s="5"/>
      <c r="V3311" s="5"/>
      <c r="W3311" s="5"/>
    </row>
    <row r="3312" spans="1:23" ht="12.5">
      <c r="A3312" s="5"/>
      <c r="B3312" s="5"/>
      <c r="C3312" s="5"/>
      <c r="D3312" s="5"/>
      <c r="E3312" s="5"/>
      <c r="F3312" s="5"/>
      <c r="G3312" s="5"/>
      <c r="H3312" s="5"/>
      <c r="I3312" s="5"/>
      <c r="J3312" s="12"/>
      <c r="K3312" s="11"/>
      <c r="M3312" s="5"/>
      <c r="N3312" s="12"/>
      <c r="O3312" s="5"/>
      <c r="P3312" s="5"/>
      <c r="Q3312" s="5"/>
      <c r="R3312" s="5"/>
      <c r="T3312" s="5"/>
      <c r="U3312" s="5"/>
      <c r="V3312" s="5"/>
      <c r="W3312" s="5"/>
    </row>
    <row r="3313" spans="1:23" ht="12.5">
      <c r="A3313" s="5"/>
      <c r="B3313" s="5"/>
      <c r="C3313" s="5"/>
      <c r="D3313" s="5"/>
      <c r="E3313" s="5"/>
      <c r="F3313" s="5"/>
      <c r="G3313" s="5"/>
      <c r="H3313" s="5"/>
      <c r="I3313" s="5"/>
      <c r="J3313" s="12"/>
      <c r="K3313" s="11"/>
      <c r="M3313" s="5"/>
      <c r="N3313" s="12"/>
      <c r="O3313" s="5"/>
      <c r="P3313" s="5"/>
      <c r="Q3313" s="5"/>
      <c r="R3313" s="5"/>
      <c r="T3313" s="5"/>
      <c r="U3313" s="5"/>
      <c r="V3313" s="5"/>
      <c r="W3313" s="5"/>
    </row>
    <row r="3314" spans="1:23" ht="12.5">
      <c r="A3314" s="5"/>
      <c r="B3314" s="5"/>
      <c r="C3314" s="5"/>
      <c r="D3314" s="5"/>
      <c r="E3314" s="5"/>
      <c r="F3314" s="5"/>
      <c r="G3314" s="5"/>
      <c r="H3314" s="5"/>
      <c r="I3314" s="5"/>
      <c r="J3314" s="12"/>
      <c r="K3314" s="11"/>
      <c r="M3314" s="5"/>
      <c r="N3314" s="12"/>
      <c r="O3314" s="5"/>
      <c r="P3314" s="5"/>
      <c r="Q3314" s="5"/>
      <c r="R3314" s="5"/>
      <c r="T3314" s="5"/>
      <c r="U3314" s="5"/>
      <c r="V3314" s="5"/>
      <c r="W3314" s="5"/>
    </row>
    <row r="3315" spans="1:23" ht="12.5">
      <c r="A3315" s="5"/>
      <c r="B3315" s="5"/>
      <c r="C3315" s="5"/>
      <c r="D3315" s="5"/>
      <c r="E3315" s="5"/>
      <c r="F3315" s="5"/>
      <c r="G3315" s="5"/>
      <c r="H3315" s="5"/>
      <c r="I3315" s="5"/>
      <c r="J3315" s="12"/>
      <c r="K3315" s="11"/>
      <c r="M3315" s="5"/>
      <c r="N3315" s="12"/>
      <c r="O3315" s="5"/>
      <c r="P3315" s="5"/>
      <c r="Q3315" s="5"/>
      <c r="R3315" s="5"/>
      <c r="T3315" s="5"/>
      <c r="U3315" s="5"/>
      <c r="V3315" s="5"/>
      <c r="W3315" s="5"/>
    </row>
    <row r="3316" spans="1:23" ht="12.5">
      <c r="A3316" s="5"/>
      <c r="B3316" s="5"/>
      <c r="C3316" s="5"/>
      <c r="D3316" s="5"/>
      <c r="E3316" s="5"/>
      <c r="F3316" s="5"/>
      <c r="G3316" s="5"/>
      <c r="H3316" s="5"/>
      <c r="I3316" s="5"/>
      <c r="J3316" s="12"/>
      <c r="K3316" s="11"/>
      <c r="M3316" s="5"/>
      <c r="N3316" s="12"/>
      <c r="O3316" s="5"/>
      <c r="P3316" s="5"/>
      <c r="Q3316" s="5"/>
      <c r="R3316" s="5"/>
      <c r="T3316" s="5"/>
      <c r="U3316" s="5"/>
      <c r="V3316" s="5"/>
      <c r="W3316" s="5"/>
    </row>
    <row r="3317" spans="1:23" ht="12.5">
      <c r="A3317" s="5"/>
      <c r="B3317" s="5"/>
      <c r="C3317" s="5"/>
      <c r="D3317" s="5"/>
      <c r="E3317" s="5"/>
      <c r="F3317" s="5"/>
      <c r="G3317" s="5"/>
      <c r="H3317" s="5"/>
      <c r="I3317" s="5"/>
      <c r="J3317" s="12"/>
      <c r="K3317" s="11"/>
      <c r="M3317" s="5"/>
      <c r="N3317" s="12"/>
      <c r="O3317" s="5"/>
      <c r="P3317" s="5"/>
      <c r="Q3317" s="5"/>
      <c r="R3317" s="5"/>
      <c r="T3317" s="5"/>
      <c r="U3317" s="5"/>
      <c r="V3317" s="5"/>
      <c r="W3317" s="5"/>
    </row>
    <row r="3318" spans="1:23" ht="12.5">
      <c r="A3318" s="5"/>
      <c r="B3318" s="5"/>
      <c r="C3318" s="5"/>
      <c r="D3318" s="5"/>
      <c r="E3318" s="5"/>
      <c r="F3318" s="5"/>
      <c r="G3318" s="5"/>
      <c r="H3318" s="5"/>
      <c r="I3318" s="5"/>
      <c r="J3318" s="12"/>
      <c r="K3318" s="11"/>
      <c r="M3318" s="5"/>
      <c r="N3318" s="12"/>
      <c r="O3318" s="5"/>
      <c r="P3318" s="5"/>
      <c r="Q3318" s="5"/>
      <c r="R3318" s="5"/>
      <c r="T3318" s="5"/>
      <c r="U3318" s="5"/>
      <c r="V3318" s="5"/>
      <c r="W3318" s="5"/>
    </row>
    <row r="3319" spans="1:23" ht="12.5">
      <c r="A3319" s="5"/>
      <c r="B3319" s="5"/>
      <c r="C3319" s="5"/>
      <c r="D3319" s="5"/>
      <c r="E3319" s="5"/>
      <c r="F3319" s="5"/>
      <c r="G3319" s="5"/>
      <c r="H3319" s="5"/>
      <c r="I3319" s="5"/>
      <c r="J3319" s="12"/>
      <c r="K3319" s="11"/>
      <c r="M3319" s="5"/>
      <c r="N3319" s="12"/>
      <c r="O3319" s="5"/>
      <c r="P3319" s="5"/>
      <c r="Q3319" s="5"/>
      <c r="R3319" s="5"/>
      <c r="T3319" s="5"/>
      <c r="U3319" s="5"/>
      <c r="V3319" s="5"/>
      <c r="W3319" s="5"/>
    </row>
    <row r="3320" spans="1:23" ht="12.5">
      <c r="A3320" s="5"/>
      <c r="B3320" s="5"/>
      <c r="C3320" s="5"/>
      <c r="D3320" s="5"/>
      <c r="E3320" s="5"/>
      <c r="F3320" s="5"/>
      <c r="G3320" s="5"/>
      <c r="H3320" s="5"/>
      <c r="I3320" s="5"/>
      <c r="J3320" s="12"/>
      <c r="K3320" s="11"/>
      <c r="M3320" s="5"/>
      <c r="N3320" s="12"/>
      <c r="O3320" s="5"/>
      <c r="P3320" s="5"/>
      <c r="Q3320" s="5"/>
      <c r="R3320" s="5"/>
      <c r="T3320" s="5"/>
      <c r="U3320" s="5"/>
      <c r="V3320" s="5"/>
      <c r="W3320" s="5"/>
    </row>
    <row r="3321" spans="1:23" ht="12.5">
      <c r="A3321" s="5"/>
      <c r="B3321" s="5"/>
      <c r="C3321" s="5"/>
      <c r="D3321" s="5"/>
      <c r="E3321" s="5"/>
      <c r="F3321" s="5"/>
      <c r="G3321" s="5"/>
      <c r="H3321" s="5"/>
      <c r="I3321" s="5"/>
      <c r="J3321" s="12"/>
      <c r="K3321" s="11"/>
      <c r="M3321" s="5"/>
      <c r="N3321" s="12"/>
      <c r="O3321" s="5"/>
      <c r="P3321" s="5"/>
      <c r="Q3321" s="5"/>
      <c r="R3321" s="5"/>
      <c r="T3321" s="5"/>
      <c r="U3321" s="5"/>
      <c r="V3321" s="5"/>
      <c r="W3321" s="5"/>
    </row>
    <row r="3322" spans="1:23" ht="12.5">
      <c r="A3322" s="5"/>
      <c r="B3322" s="5"/>
      <c r="C3322" s="5"/>
      <c r="D3322" s="5"/>
      <c r="E3322" s="5"/>
      <c r="F3322" s="5"/>
      <c r="G3322" s="5"/>
      <c r="H3322" s="5"/>
      <c r="I3322" s="5"/>
      <c r="J3322" s="12"/>
      <c r="K3322" s="11"/>
      <c r="M3322" s="5"/>
      <c r="N3322" s="12"/>
      <c r="O3322" s="5"/>
      <c r="P3322" s="5"/>
      <c r="Q3322" s="5"/>
      <c r="R3322" s="5"/>
      <c r="T3322" s="5"/>
      <c r="U3322" s="5"/>
      <c r="V3322" s="5"/>
      <c r="W3322" s="5"/>
    </row>
    <row r="3323" spans="1:23" ht="12.5">
      <c r="A3323" s="5"/>
      <c r="B3323" s="5"/>
      <c r="C3323" s="5"/>
      <c r="D3323" s="5"/>
      <c r="E3323" s="5"/>
      <c r="F3323" s="5"/>
      <c r="G3323" s="5"/>
      <c r="H3323" s="5"/>
      <c r="I3323" s="5"/>
      <c r="J3323" s="12"/>
      <c r="K3323" s="11"/>
      <c r="M3323" s="5"/>
      <c r="N3323" s="12"/>
      <c r="O3323" s="5"/>
      <c r="P3323" s="5"/>
      <c r="Q3323" s="5"/>
      <c r="R3323" s="5"/>
      <c r="T3323" s="5"/>
      <c r="U3323" s="5"/>
      <c r="V3323" s="5"/>
      <c r="W3323" s="5"/>
    </row>
    <row r="3324" spans="1:23" ht="12.5">
      <c r="A3324" s="5"/>
      <c r="B3324" s="5"/>
      <c r="C3324" s="5"/>
      <c r="D3324" s="5"/>
      <c r="E3324" s="5"/>
      <c r="F3324" s="5"/>
      <c r="G3324" s="5"/>
      <c r="H3324" s="5"/>
      <c r="I3324" s="5"/>
      <c r="J3324" s="12"/>
      <c r="K3324" s="11"/>
      <c r="M3324" s="5"/>
      <c r="N3324" s="12"/>
      <c r="O3324" s="5"/>
      <c r="P3324" s="5"/>
      <c r="Q3324" s="5"/>
      <c r="R3324" s="5"/>
      <c r="T3324" s="5"/>
      <c r="U3324" s="5"/>
      <c r="V3324" s="5"/>
      <c r="W3324" s="5"/>
    </row>
    <row r="3325" spans="1:23" ht="12.5">
      <c r="A3325" s="5"/>
      <c r="B3325" s="5"/>
      <c r="C3325" s="5"/>
      <c r="D3325" s="5"/>
      <c r="E3325" s="5"/>
      <c r="F3325" s="5"/>
      <c r="G3325" s="5"/>
      <c r="H3325" s="5"/>
      <c r="I3325" s="5"/>
      <c r="J3325" s="12"/>
      <c r="K3325" s="11"/>
      <c r="M3325" s="5"/>
      <c r="N3325" s="12"/>
      <c r="O3325" s="5"/>
      <c r="P3325" s="5"/>
      <c r="Q3325" s="5"/>
      <c r="R3325" s="5"/>
      <c r="T3325" s="5"/>
      <c r="U3325" s="5"/>
      <c r="V3325" s="5"/>
      <c r="W3325" s="5"/>
    </row>
    <row r="3326" spans="1:23" ht="12.5">
      <c r="A3326" s="5"/>
      <c r="B3326" s="5"/>
      <c r="C3326" s="5"/>
      <c r="D3326" s="5"/>
      <c r="E3326" s="5"/>
      <c r="F3326" s="5"/>
      <c r="G3326" s="5"/>
      <c r="H3326" s="5"/>
      <c r="I3326" s="5"/>
      <c r="J3326" s="12"/>
      <c r="K3326" s="11"/>
      <c r="M3326" s="5"/>
      <c r="N3326" s="12"/>
      <c r="O3326" s="5"/>
      <c r="P3326" s="5"/>
      <c r="Q3326" s="5"/>
      <c r="R3326" s="5"/>
      <c r="T3326" s="5"/>
      <c r="U3326" s="5"/>
      <c r="V3326" s="5"/>
      <c r="W3326" s="5"/>
    </row>
    <row r="3327" spans="1:23" ht="12.5">
      <c r="A3327" s="5"/>
      <c r="B3327" s="5"/>
      <c r="C3327" s="5"/>
      <c r="D3327" s="5"/>
      <c r="E3327" s="5"/>
      <c r="F3327" s="5"/>
      <c r="G3327" s="5"/>
      <c r="H3327" s="5"/>
      <c r="I3327" s="5"/>
      <c r="J3327" s="12"/>
      <c r="K3327" s="11"/>
      <c r="M3327" s="5"/>
      <c r="N3327" s="12"/>
      <c r="O3327" s="5"/>
      <c r="P3327" s="5"/>
      <c r="Q3327" s="5"/>
      <c r="R3327" s="5"/>
      <c r="T3327" s="5"/>
      <c r="U3327" s="5"/>
      <c r="V3327" s="5"/>
      <c r="W3327" s="5"/>
    </row>
    <row r="3328" spans="1:23" ht="12.5">
      <c r="A3328" s="5"/>
      <c r="B3328" s="5"/>
      <c r="C3328" s="5"/>
      <c r="D3328" s="5"/>
      <c r="E3328" s="5"/>
      <c r="F3328" s="5"/>
      <c r="G3328" s="5"/>
      <c r="H3328" s="5"/>
      <c r="I3328" s="5"/>
      <c r="J3328" s="12"/>
      <c r="K3328" s="11"/>
      <c r="M3328" s="5"/>
      <c r="N3328" s="12"/>
      <c r="O3328" s="5"/>
      <c r="P3328" s="5"/>
      <c r="Q3328" s="5"/>
      <c r="R3328" s="5"/>
      <c r="T3328" s="5"/>
      <c r="U3328" s="5"/>
      <c r="V3328" s="5"/>
      <c r="W3328" s="5"/>
    </row>
    <row r="3329" spans="1:23" ht="12.5">
      <c r="A3329" s="5"/>
      <c r="B3329" s="5"/>
      <c r="C3329" s="5"/>
      <c r="D3329" s="5"/>
      <c r="E3329" s="5"/>
      <c r="F3329" s="5"/>
      <c r="G3329" s="5"/>
      <c r="H3329" s="5"/>
      <c r="I3329" s="5"/>
      <c r="J3329" s="12"/>
      <c r="K3329" s="11"/>
      <c r="M3329" s="5"/>
      <c r="N3329" s="12"/>
      <c r="O3329" s="5"/>
      <c r="P3329" s="5"/>
      <c r="Q3329" s="5"/>
      <c r="R3329" s="5"/>
      <c r="T3329" s="5"/>
      <c r="U3329" s="5"/>
      <c r="V3329" s="5"/>
      <c r="W3329" s="5"/>
    </row>
    <row r="3330" spans="1:23" ht="12.5">
      <c r="A3330" s="5"/>
      <c r="B3330" s="5"/>
      <c r="C3330" s="5"/>
      <c r="D3330" s="5"/>
      <c r="E3330" s="5"/>
      <c r="F3330" s="5"/>
      <c r="G3330" s="5"/>
      <c r="H3330" s="5"/>
      <c r="I3330" s="5"/>
      <c r="J3330" s="12"/>
      <c r="K3330" s="11"/>
      <c r="M3330" s="5"/>
      <c r="N3330" s="12"/>
      <c r="O3330" s="5"/>
      <c r="P3330" s="5"/>
      <c r="Q3330" s="5"/>
      <c r="R3330" s="5"/>
      <c r="T3330" s="5"/>
      <c r="U3330" s="5"/>
      <c r="V3330" s="5"/>
      <c r="W3330" s="5"/>
    </row>
    <row r="3331" spans="1:23" ht="12.5">
      <c r="A3331" s="5"/>
      <c r="B3331" s="5"/>
      <c r="C3331" s="5"/>
      <c r="D3331" s="5"/>
      <c r="E3331" s="5"/>
      <c r="F3331" s="5"/>
      <c r="G3331" s="5"/>
      <c r="H3331" s="5"/>
      <c r="I3331" s="5"/>
      <c r="J3331" s="12"/>
      <c r="K3331" s="11"/>
      <c r="M3331" s="5"/>
      <c r="N3331" s="12"/>
      <c r="O3331" s="5"/>
      <c r="P3331" s="5"/>
      <c r="Q3331" s="5"/>
      <c r="R3331" s="5"/>
      <c r="T3331" s="5"/>
      <c r="U3331" s="5"/>
      <c r="V3331" s="5"/>
      <c r="W3331" s="5"/>
    </row>
    <row r="3332" spans="1:23" ht="12.5">
      <c r="A3332" s="5"/>
      <c r="B3332" s="5"/>
      <c r="C3332" s="5"/>
      <c r="D3332" s="5"/>
      <c r="E3332" s="5"/>
      <c r="F3332" s="5"/>
      <c r="G3332" s="5"/>
      <c r="H3332" s="5"/>
      <c r="I3332" s="5"/>
      <c r="J3332" s="12"/>
      <c r="K3332" s="11"/>
      <c r="M3332" s="5"/>
      <c r="N3332" s="12"/>
      <c r="O3332" s="5"/>
      <c r="P3332" s="5"/>
      <c r="Q3332" s="5"/>
      <c r="R3332" s="5"/>
      <c r="T3332" s="5"/>
      <c r="U3332" s="5"/>
      <c r="V3332" s="5"/>
      <c r="W3332" s="5"/>
    </row>
    <row r="3333" spans="1:23" ht="12.5">
      <c r="A3333" s="5"/>
      <c r="B3333" s="5"/>
      <c r="C3333" s="5"/>
      <c r="D3333" s="5"/>
      <c r="E3333" s="5"/>
      <c r="F3333" s="5"/>
      <c r="G3333" s="5"/>
      <c r="H3333" s="5"/>
      <c r="I3333" s="5"/>
      <c r="J3333" s="12"/>
      <c r="K3333" s="11"/>
      <c r="M3333" s="5"/>
      <c r="N3333" s="12"/>
      <c r="O3333" s="5"/>
      <c r="P3333" s="5"/>
      <c r="Q3333" s="5"/>
      <c r="R3333" s="5"/>
      <c r="T3333" s="5"/>
      <c r="U3333" s="5"/>
      <c r="V3333" s="5"/>
      <c r="W3333" s="5"/>
    </row>
    <row r="3334" spans="1:23" ht="12.5">
      <c r="A3334" s="5"/>
      <c r="B3334" s="5"/>
      <c r="C3334" s="5"/>
      <c r="D3334" s="5"/>
      <c r="E3334" s="5"/>
      <c r="F3334" s="5"/>
      <c r="G3334" s="5"/>
      <c r="H3334" s="5"/>
      <c r="I3334" s="5"/>
      <c r="J3334" s="12"/>
      <c r="K3334" s="11"/>
      <c r="M3334" s="5"/>
      <c r="N3334" s="12"/>
      <c r="O3334" s="5"/>
      <c r="P3334" s="5"/>
      <c r="Q3334" s="5"/>
      <c r="R3334" s="5"/>
      <c r="T3334" s="5"/>
      <c r="U3334" s="5"/>
      <c r="V3334" s="5"/>
      <c r="W3334" s="5"/>
    </row>
    <row r="3335" spans="1:23" ht="12.5">
      <c r="A3335" s="5"/>
      <c r="B3335" s="5"/>
      <c r="C3335" s="5"/>
      <c r="D3335" s="5"/>
      <c r="E3335" s="5"/>
      <c r="F3335" s="5"/>
      <c r="G3335" s="5"/>
      <c r="H3335" s="5"/>
      <c r="I3335" s="5"/>
      <c r="J3335" s="12"/>
      <c r="K3335" s="11"/>
      <c r="M3335" s="5"/>
      <c r="N3335" s="12"/>
      <c r="O3335" s="5"/>
      <c r="P3335" s="5"/>
      <c r="Q3335" s="5"/>
      <c r="R3335" s="5"/>
      <c r="T3335" s="5"/>
      <c r="U3335" s="5"/>
      <c r="V3335" s="5"/>
      <c r="W3335" s="5"/>
    </row>
    <row r="3336" spans="1:23" ht="12.5">
      <c r="A3336" s="5"/>
      <c r="B3336" s="5"/>
      <c r="C3336" s="5"/>
      <c r="D3336" s="5"/>
      <c r="E3336" s="5"/>
      <c r="F3336" s="5"/>
      <c r="G3336" s="5"/>
      <c r="H3336" s="5"/>
      <c r="I3336" s="5"/>
      <c r="J3336" s="12"/>
      <c r="K3336" s="11"/>
      <c r="M3336" s="5"/>
      <c r="N3336" s="12"/>
      <c r="O3336" s="5"/>
      <c r="P3336" s="5"/>
      <c r="Q3336" s="5"/>
      <c r="R3336" s="5"/>
      <c r="T3336" s="5"/>
      <c r="U3336" s="5"/>
      <c r="V3336" s="5"/>
      <c r="W3336" s="5"/>
    </row>
    <row r="3337" spans="1:23" ht="12.5">
      <c r="A3337" s="5"/>
      <c r="B3337" s="5"/>
      <c r="C3337" s="5"/>
      <c r="D3337" s="5"/>
      <c r="E3337" s="5"/>
      <c r="F3337" s="5"/>
      <c r="G3337" s="5"/>
      <c r="H3337" s="5"/>
      <c r="I3337" s="5"/>
      <c r="J3337" s="12"/>
      <c r="K3337" s="11"/>
      <c r="M3337" s="5"/>
      <c r="N3337" s="12"/>
      <c r="O3337" s="5"/>
      <c r="P3337" s="5"/>
      <c r="Q3337" s="5"/>
      <c r="R3337" s="5"/>
      <c r="T3337" s="5"/>
      <c r="U3337" s="5"/>
      <c r="V3337" s="5"/>
      <c r="W3337" s="5"/>
    </row>
    <row r="3338" spans="1:23" ht="12.5">
      <c r="A3338" s="5"/>
      <c r="B3338" s="5"/>
      <c r="C3338" s="5"/>
      <c r="D3338" s="5"/>
      <c r="E3338" s="5"/>
      <c r="F3338" s="5"/>
      <c r="G3338" s="5"/>
      <c r="H3338" s="5"/>
      <c r="I3338" s="5"/>
      <c r="J3338" s="12"/>
      <c r="K3338" s="11"/>
      <c r="M3338" s="5"/>
      <c r="N3338" s="12"/>
      <c r="O3338" s="5"/>
      <c r="P3338" s="5"/>
      <c r="Q3338" s="5"/>
      <c r="R3338" s="5"/>
      <c r="T3338" s="5"/>
      <c r="U3338" s="5"/>
      <c r="V3338" s="5"/>
      <c r="W3338" s="5"/>
    </row>
    <row r="3339" spans="1:23" ht="12.5">
      <c r="A3339" s="5"/>
      <c r="B3339" s="5"/>
      <c r="C3339" s="5"/>
      <c r="D3339" s="5"/>
      <c r="E3339" s="5"/>
      <c r="F3339" s="5"/>
      <c r="G3339" s="5"/>
      <c r="H3339" s="5"/>
      <c r="I3339" s="5"/>
      <c r="J3339" s="12"/>
      <c r="K3339" s="11"/>
      <c r="M3339" s="5"/>
      <c r="N3339" s="12"/>
      <c r="O3339" s="5"/>
      <c r="P3339" s="5"/>
      <c r="Q3339" s="5"/>
      <c r="R3339" s="5"/>
      <c r="T3339" s="5"/>
      <c r="U3339" s="5"/>
      <c r="V3339" s="5"/>
      <c r="W3339" s="5"/>
    </row>
    <row r="3340" spans="1:23" ht="12.5">
      <c r="A3340" s="5"/>
      <c r="B3340" s="5"/>
      <c r="C3340" s="5"/>
      <c r="D3340" s="5"/>
      <c r="E3340" s="5"/>
      <c r="F3340" s="5"/>
      <c r="G3340" s="5"/>
      <c r="H3340" s="5"/>
      <c r="I3340" s="5"/>
      <c r="J3340" s="12"/>
      <c r="K3340" s="11"/>
      <c r="M3340" s="5"/>
      <c r="N3340" s="12"/>
      <c r="O3340" s="5"/>
      <c r="P3340" s="5"/>
      <c r="Q3340" s="5"/>
      <c r="R3340" s="5"/>
      <c r="T3340" s="5"/>
      <c r="U3340" s="5"/>
      <c r="V3340" s="5"/>
      <c r="W3340" s="5"/>
    </row>
    <row r="3341" spans="1:23" ht="12.5">
      <c r="A3341" s="5"/>
      <c r="B3341" s="5"/>
      <c r="C3341" s="5"/>
      <c r="D3341" s="5"/>
      <c r="E3341" s="5"/>
      <c r="F3341" s="5"/>
      <c r="G3341" s="5"/>
      <c r="H3341" s="5"/>
      <c r="I3341" s="5"/>
      <c r="J3341" s="12"/>
      <c r="K3341" s="11"/>
      <c r="M3341" s="5"/>
      <c r="N3341" s="12"/>
      <c r="O3341" s="5"/>
      <c r="P3341" s="5"/>
      <c r="Q3341" s="5"/>
      <c r="R3341" s="5"/>
      <c r="T3341" s="5"/>
      <c r="U3341" s="5"/>
      <c r="V3341" s="5"/>
      <c r="W3341" s="5"/>
    </row>
    <row r="3342" spans="1:23" ht="12.5">
      <c r="A3342" s="5"/>
      <c r="B3342" s="5"/>
      <c r="C3342" s="5"/>
      <c r="D3342" s="5"/>
      <c r="E3342" s="5"/>
      <c r="F3342" s="5"/>
      <c r="G3342" s="5"/>
      <c r="H3342" s="5"/>
      <c r="I3342" s="5"/>
      <c r="J3342" s="12"/>
      <c r="K3342" s="11"/>
      <c r="M3342" s="5"/>
      <c r="N3342" s="12"/>
      <c r="O3342" s="5"/>
      <c r="P3342" s="5"/>
      <c r="Q3342" s="5"/>
      <c r="R3342" s="5"/>
      <c r="T3342" s="5"/>
      <c r="U3342" s="5"/>
      <c r="V3342" s="5"/>
      <c r="W3342" s="5"/>
    </row>
    <row r="3343" spans="1:23" ht="12.5">
      <c r="A3343" s="5"/>
      <c r="B3343" s="5"/>
      <c r="C3343" s="5"/>
      <c r="D3343" s="5"/>
      <c r="E3343" s="5"/>
      <c r="F3343" s="5"/>
      <c r="G3343" s="5"/>
      <c r="H3343" s="5"/>
      <c r="I3343" s="5"/>
      <c r="J3343" s="12"/>
      <c r="K3343" s="11"/>
      <c r="M3343" s="5"/>
      <c r="N3343" s="12"/>
      <c r="O3343" s="5"/>
      <c r="P3343" s="5"/>
      <c r="Q3343" s="5"/>
      <c r="R3343" s="5"/>
      <c r="T3343" s="5"/>
      <c r="U3343" s="5"/>
      <c r="V3343" s="5"/>
      <c r="W3343" s="5"/>
    </row>
    <row r="3344" spans="1:23" ht="12.5">
      <c r="A3344" s="5"/>
      <c r="B3344" s="5"/>
      <c r="C3344" s="5"/>
      <c r="D3344" s="5"/>
      <c r="E3344" s="5"/>
      <c r="F3344" s="5"/>
      <c r="G3344" s="5"/>
      <c r="H3344" s="5"/>
      <c r="I3344" s="5"/>
      <c r="J3344" s="12"/>
      <c r="K3344" s="11"/>
      <c r="M3344" s="5"/>
      <c r="N3344" s="12"/>
      <c r="O3344" s="5"/>
      <c r="P3344" s="5"/>
      <c r="Q3344" s="5"/>
      <c r="R3344" s="5"/>
      <c r="T3344" s="5"/>
      <c r="U3344" s="5"/>
      <c r="V3344" s="5"/>
      <c r="W3344" s="5"/>
    </row>
    <row r="3345" spans="1:23" ht="12.5">
      <c r="A3345" s="5"/>
      <c r="B3345" s="5"/>
      <c r="C3345" s="5"/>
      <c r="D3345" s="5"/>
      <c r="E3345" s="5"/>
      <c r="F3345" s="5"/>
      <c r="G3345" s="5"/>
      <c r="H3345" s="5"/>
      <c r="I3345" s="5"/>
      <c r="J3345" s="12"/>
      <c r="K3345" s="11"/>
      <c r="M3345" s="5"/>
      <c r="N3345" s="12"/>
      <c r="O3345" s="5"/>
      <c r="P3345" s="5"/>
      <c r="Q3345" s="5"/>
      <c r="R3345" s="5"/>
      <c r="T3345" s="5"/>
      <c r="U3345" s="5"/>
      <c r="V3345" s="5"/>
      <c r="W3345" s="5"/>
    </row>
    <row r="3346" spans="1:23" ht="12.5">
      <c r="A3346" s="5"/>
      <c r="B3346" s="5"/>
      <c r="C3346" s="5"/>
      <c r="D3346" s="5"/>
      <c r="E3346" s="5"/>
      <c r="F3346" s="5"/>
      <c r="G3346" s="5"/>
      <c r="H3346" s="5"/>
      <c r="I3346" s="5"/>
      <c r="J3346" s="12"/>
      <c r="K3346" s="11"/>
      <c r="M3346" s="5"/>
      <c r="N3346" s="12"/>
      <c r="O3346" s="5"/>
      <c r="P3346" s="5"/>
      <c r="Q3346" s="5"/>
      <c r="R3346" s="5"/>
      <c r="T3346" s="5"/>
      <c r="U3346" s="5"/>
      <c r="V3346" s="5"/>
      <c r="W3346" s="5"/>
    </row>
    <row r="3347" spans="1:23" ht="12.5">
      <c r="A3347" s="5"/>
      <c r="B3347" s="5"/>
      <c r="C3347" s="5"/>
      <c r="D3347" s="5"/>
      <c r="E3347" s="5"/>
      <c r="F3347" s="5"/>
      <c r="G3347" s="5"/>
      <c r="H3347" s="5"/>
      <c r="I3347" s="5"/>
      <c r="J3347" s="12"/>
      <c r="K3347" s="11"/>
      <c r="M3347" s="5"/>
      <c r="N3347" s="12"/>
      <c r="O3347" s="5"/>
      <c r="P3347" s="5"/>
      <c r="Q3347" s="5"/>
      <c r="R3347" s="5"/>
      <c r="T3347" s="5"/>
      <c r="U3347" s="5"/>
      <c r="V3347" s="5"/>
      <c r="W3347" s="5"/>
    </row>
    <row r="3348" spans="1:23" ht="12.5">
      <c r="A3348" s="5"/>
      <c r="B3348" s="5"/>
      <c r="C3348" s="5"/>
      <c r="D3348" s="5"/>
      <c r="E3348" s="5"/>
      <c r="F3348" s="5"/>
      <c r="G3348" s="5"/>
      <c r="H3348" s="5"/>
      <c r="I3348" s="5"/>
      <c r="J3348" s="12"/>
      <c r="K3348" s="11"/>
      <c r="M3348" s="5"/>
      <c r="N3348" s="12"/>
      <c r="O3348" s="5"/>
      <c r="P3348" s="5"/>
      <c r="Q3348" s="5"/>
      <c r="R3348" s="5"/>
      <c r="T3348" s="5"/>
      <c r="U3348" s="5"/>
      <c r="V3348" s="5"/>
      <c r="W3348" s="5"/>
    </row>
    <row r="3349" spans="1:23" ht="12.5">
      <c r="A3349" s="5"/>
      <c r="B3349" s="5"/>
      <c r="C3349" s="5"/>
      <c r="D3349" s="5"/>
      <c r="E3349" s="5"/>
      <c r="F3349" s="5"/>
      <c r="G3349" s="5"/>
      <c r="H3349" s="5"/>
      <c r="I3349" s="5"/>
      <c r="J3349" s="12"/>
      <c r="K3349" s="11"/>
      <c r="M3349" s="5"/>
      <c r="N3349" s="12"/>
      <c r="O3349" s="5"/>
      <c r="P3349" s="5"/>
      <c r="Q3349" s="5"/>
      <c r="R3349" s="5"/>
      <c r="T3349" s="5"/>
      <c r="U3349" s="5"/>
      <c r="V3349" s="5"/>
      <c r="W3349" s="5"/>
    </row>
    <row r="3350" spans="1:23" ht="12.5">
      <c r="A3350" s="5"/>
      <c r="B3350" s="5"/>
      <c r="C3350" s="5"/>
      <c r="D3350" s="5"/>
      <c r="E3350" s="5"/>
      <c r="F3350" s="5"/>
      <c r="G3350" s="5"/>
      <c r="H3350" s="5"/>
      <c r="I3350" s="5"/>
      <c r="J3350" s="12"/>
      <c r="K3350" s="11"/>
      <c r="M3350" s="5"/>
      <c r="N3350" s="12"/>
      <c r="O3350" s="5"/>
      <c r="P3350" s="5"/>
      <c r="Q3350" s="5"/>
      <c r="R3350" s="5"/>
      <c r="T3350" s="5"/>
      <c r="U3350" s="5"/>
      <c r="V3350" s="5"/>
      <c r="W3350" s="5"/>
    </row>
    <row r="3351" spans="1:23" ht="12.5">
      <c r="A3351" s="5"/>
      <c r="B3351" s="5"/>
      <c r="C3351" s="5"/>
      <c r="D3351" s="5"/>
      <c r="E3351" s="5"/>
      <c r="F3351" s="5"/>
      <c r="G3351" s="5"/>
      <c r="H3351" s="5"/>
      <c r="I3351" s="5"/>
      <c r="J3351" s="12"/>
      <c r="K3351" s="11"/>
      <c r="M3351" s="5"/>
      <c r="N3351" s="12"/>
      <c r="O3351" s="5"/>
      <c r="P3351" s="5"/>
      <c r="Q3351" s="5"/>
      <c r="R3351" s="5"/>
      <c r="T3351" s="5"/>
      <c r="U3351" s="5"/>
      <c r="V3351" s="5"/>
      <c r="W3351" s="5"/>
    </row>
    <row r="3352" spans="1:23" ht="12.5">
      <c r="A3352" s="5"/>
      <c r="B3352" s="5"/>
      <c r="C3352" s="5"/>
      <c r="D3352" s="5"/>
      <c r="E3352" s="5"/>
      <c r="F3352" s="5"/>
      <c r="G3352" s="5"/>
      <c r="H3352" s="5"/>
      <c r="I3352" s="5"/>
      <c r="J3352" s="12"/>
      <c r="K3352" s="11"/>
      <c r="M3352" s="5"/>
      <c r="N3352" s="12"/>
      <c r="O3352" s="5"/>
      <c r="P3352" s="5"/>
      <c r="Q3352" s="5"/>
      <c r="R3352" s="5"/>
      <c r="T3352" s="5"/>
      <c r="U3352" s="5"/>
      <c r="V3352" s="5"/>
      <c r="W3352" s="5"/>
    </row>
    <row r="3353" spans="1:23" ht="12.5">
      <c r="A3353" s="5"/>
      <c r="B3353" s="5"/>
      <c r="C3353" s="5"/>
      <c r="D3353" s="5"/>
      <c r="E3353" s="5"/>
      <c r="F3353" s="5"/>
      <c r="G3353" s="5"/>
      <c r="H3353" s="5"/>
      <c r="I3353" s="5"/>
      <c r="J3353" s="12"/>
      <c r="K3353" s="11"/>
      <c r="M3353" s="5"/>
      <c r="N3353" s="12"/>
      <c r="O3353" s="5"/>
      <c r="P3353" s="5"/>
      <c r="Q3353" s="5"/>
      <c r="R3353" s="5"/>
      <c r="T3353" s="5"/>
      <c r="U3353" s="5"/>
      <c r="V3353" s="5"/>
      <c r="W3353" s="5"/>
    </row>
    <row r="3354" spans="1:23" ht="12.5">
      <c r="A3354" s="5"/>
      <c r="B3354" s="5"/>
      <c r="C3354" s="5"/>
      <c r="D3354" s="5"/>
      <c r="E3354" s="5"/>
      <c r="F3354" s="5"/>
      <c r="G3354" s="5"/>
      <c r="H3354" s="5"/>
      <c r="I3354" s="5"/>
      <c r="J3354" s="12"/>
      <c r="K3354" s="11"/>
      <c r="M3354" s="5"/>
      <c r="N3354" s="12"/>
      <c r="O3354" s="5"/>
      <c r="P3354" s="5"/>
      <c r="Q3354" s="5"/>
      <c r="R3354" s="5"/>
      <c r="T3354" s="5"/>
      <c r="U3354" s="5"/>
      <c r="V3354" s="5"/>
      <c r="W3354" s="5"/>
    </row>
    <row r="3355" spans="1:23" ht="12.5">
      <c r="A3355" s="5"/>
      <c r="B3355" s="5"/>
      <c r="C3355" s="5"/>
      <c r="D3355" s="5"/>
      <c r="E3355" s="5"/>
      <c r="F3355" s="5"/>
      <c r="G3355" s="5"/>
      <c r="H3355" s="5"/>
      <c r="I3355" s="5"/>
      <c r="J3355" s="12"/>
      <c r="K3355" s="11"/>
      <c r="M3355" s="5"/>
      <c r="N3355" s="12"/>
      <c r="O3355" s="5"/>
      <c r="P3355" s="5"/>
      <c r="Q3355" s="5"/>
      <c r="R3355" s="5"/>
      <c r="T3355" s="5"/>
      <c r="U3355" s="5"/>
      <c r="V3355" s="5"/>
      <c r="W3355" s="5"/>
    </row>
    <row r="3356" spans="1:23" ht="12.5">
      <c r="A3356" s="5"/>
      <c r="B3356" s="5"/>
      <c r="C3356" s="5"/>
      <c r="D3356" s="5"/>
      <c r="E3356" s="5"/>
      <c r="F3356" s="5"/>
      <c r="G3356" s="5"/>
      <c r="H3356" s="5"/>
      <c r="I3356" s="5"/>
      <c r="J3356" s="12"/>
      <c r="K3356" s="11"/>
      <c r="M3356" s="5"/>
      <c r="N3356" s="12"/>
      <c r="O3356" s="5"/>
      <c r="P3356" s="5"/>
      <c r="Q3356" s="5"/>
      <c r="R3356" s="5"/>
      <c r="T3356" s="5"/>
      <c r="U3356" s="5"/>
      <c r="V3356" s="5"/>
      <c r="W3356" s="5"/>
    </row>
    <row r="3357" spans="1:23" ht="12.5">
      <c r="A3357" s="5"/>
      <c r="B3357" s="5"/>
      <c r="C3357" s="5"/>
      <c r="D3357" s="5"/>
      <c r="E3357" s="5"/>
      <c r="F3357" s="5"/>
      <c r="G3357" s="5"/>
      <c r="H3357" s="5"/>
      <c r="I3357" s="5"/>
      <c r="J3357" s="12"/>
      <c r="K3357" s="11"/>
      <c r="M3357" s="5"/>
      <c r="N3357" s="12"/>
      <c r="O3357" s="5"/>
      <c r="P3357" s="5"/>
      <c r="Q3357" s="5"/>
      <c r="R3357" s="5"/>
      <c r="T3357" s="5"/>
      <c r="U3357" s="5"/>
      <c r="V3357" s="5"/>
      <c r="W3357" s="5"/>
    </row>
    <row r="3358" spans="1:23" ht="12.5">
      <c r="A3358" s="5"/>
      <c r="B3358" s="5"/>
      <c r="C3358" s="5"/>
      <c r="D3358" s="5"/>
      <c r="E3358" s="5"/>
      <c r="F3358" s="5"/>
      <c r="G3358" s="5"/>
      <c r="H3358" s="5"/>
      <c r="I3358" s="5"/>
      <c r="J3358" s="12"/>
      <c r="K3358" s="11"/>
      <c r="M3358" s="5"/>
      <c r="N3358" s="12"/>
      <c r="O3358" s="5"/>
      <c r="P3358" s="5"/>
      <c r="Q3358" s="5"/>
      <c r="R3358" s="5"/>
      <c r="T3358" s="5"/>
      <c r="U3358" s="5"/>
      <c r="V3358" s="5"/>
      <c r="W3358" s="5"/>
    </row>
    <row r="3359" spans="1:23" ht="12.5">
      <c r="A3359" s="5"/>
      <c r="B3359" s="5"/>
      <c r="C3359" s="5"/>
      <c r="D3359" s="5"/>
      <c r="E3359" s="5"/>
      <c r="F3359" s="5"/>
      <c r="G3359" s="5"/>
      <c r="H3359" s="5"/>
      <c r="I3359" s="5"/>
      <c r="J3359" s="12"/>
      <c r="K3359" s="11"/>
      <c r="M3359" s="5"/>
      <c r="N3359" s="12"/>
      <c r="O3359" s="5"/>
      <c r="P3359" s="5"/>
      <c r="Q3359" s="5"/>
      <c r="R3359" s="5"/>
      <c r="T3359" s="5"/>
      <c r="U3359" s="5"/>
      <c r="V3359" s="5"/>
      <c r="W3359" s="5"/>
    </row>
    <row r="3360" spans="1:23" ht="12.5">
      <c r="A3360" s="5"/>
      <c r="B3360" s="5"/>
      <c r="C3360" s="5"/>
      <c r="D3360" s="5"/>
      <c r="E3360" s="5"/>
      <c r="F3360" s="5"/>
      <c r="G3360" s="5"/>
      <c r="H3360" s="5"/>
      <c r="I3360" s="5"/>
      <c r="J3360" s="12"/>
      <c r="K3360" s="11"/>
      <c r="M3360" s="5"/>
      <c r="N3360" s="12"/>
      <c r="O3360" s="5"/>
      <c r="P3360" s="5"/>
      <c r="Q3360" s="5"/>
      <c r="R3360" s="5"/>
      <c r="T3360" s="5"/>
      <c r="U3360" s="5"/>
      <c r="V3360" s="5"/>
      <c r="W3360" s="5"/>
    </row>
    <row r="3361" spans="1:23" ht="12.5">
      <c r="A3361" s="5"/>
      <c r="B3361" s="5"/>
      <c r="C3361" s="5"/>
      <c r="D3361" s="5"/>
      <c r="E3361" s="5"/>
      <c r="F3361" s="5"/>
      <c r="G3361" s="5"/>
      <c r="H3361" s="5"/>
      <c r="I3361" s="5"/>
      <c r="J3361" s="12"/>
      <c r="K3361" s="11"/>
      <c r="M3361" s="5"/>
      <c r="N3361" s="12"/>
      <c r="O3361" s="5"/>
      <c r="P3361" s="5"/>
      <c r="Q3361" s="5"/>
      <c r="R3361" s="5"/>
      <c r="T3361" s="5"/>
      <c r="U3361" s="5"/>
      <c r="V3361" s="5"/>
      <c r="W3361" s="5"/>
    </row>
    <row r="3362" spans="1:23" ht="12.5">
      <c r="A3362" s="5"/>
      <c r="B3362" s="5"/>
      <c r="C3362" s="5"/>
      <c r="D3362" s="5"/>
      <c r="E3362" s="5"/>
      <c r="F3362" s="5"/>
      <c r="G3362" s="5"/>
      <c r="H3362" s="5"/>
      <c r="I3362" s="5"/>
      <c r="J3362" s="12"/>
      <c r="K3362" s="11"/>
      <c r="M3362" s="5"/>
      <c r="N3362" s="12"/>
      <c r="O3362" s="5"/>
      <c r="P3362" s="5"/>
      <c r="Q3362" s="5"/>
      <c r="R3362" s="5"/>
      <c r="T3362" s="5"/>
      <c r="U3362" s="5"/>
      <c r="V3362" s="5"/>
      <c r="W3362" s="5"/>
    </row>
    <row r="3363" spans="1:23" ht="12.5">
      <c r="A3363" s="5"/>
      <c r="B3363" s="5"/>
      <c r="C3363" s="5"/>
      <c r="D3363" s="5"/>
      <c r="E3363" s="5"/>
      <c r="F3363" s="5"/>
      <c r="G3363" s="5"/>
      <c r="H3363" s="5"/>
      <c r="I3363" s="5"/>
      <c r="J3363" s="12"/>
      <c r="K3363" s="11"/>
      <c r="M3363" s="5"/>
      <c r="N3363" s="12"/>
      <c r="O3363" s="5"/>
      <c r="P3363" s="5"/>
      <c r="Q3363" s="5"/>
      <c r="R3363" s="5"/>
      <c r="T3363" s="5"/>
      <c r="U3363" s="5"/>
      <c r="V3363" s="5"/>
      <c r="W3363" s="5"/>
    </row>
    <row r="3364" spans="1:23" ht="12.5">
      <c r="A3364" s="5"/>
      <c r="B3364" s="5"/>
      <c r="C3364" s="5"/>
      <c r="D3364" s="5"/>
      <c r="E3364" s="5"/>
      <c r="F3364" s="5"/>
      <c r="G3364" s="5"/>
      <c r="H3364" s="5"/>
      <c r="I3364" s="5"/>
      <c r="J3364" s="12"/>
      <c r="K3364" s="11"/>
      <c r="M3364" s="5"/>
      <c r="N3364" s="12"/>
      <c r="O3364" s="5"/>
      <c r="P3364" s="5"/>
      <c r="Q3364" s="5"/>
      <c r="R3364" s="5"/>
      <c r="T3364" s="5"/>
      <c r="U3364" s="5"/>
      <c r="V3364" s="5"/>
      <c r="W3364" s="5"/>
    </row>
    <row r="3365" spans="1:23" ht="12.5">
      <c r="A3365" s="5"/>
      <c r="B3365" s="5"/>
      <c r="C3365" s="5"/>
      <c r="D3365" s="5"/>
      <c r="E3365" s="5"/>
      <c r="F3365" s="5"/>
      <c r="G3365" s="5"/>
      <c r="H3365" s="5"/>
      <c r="I3365" s="5"/>
      <c r="J3365" s="12"/>
      <c r="K3365" s="11"/>
      <c r="M3365" s="5"/>
      <c r="N3365" s="12"/>
      <c r="O3365" s="5"/>
      <c r="P3365" s="5"/>
      <c r="Q3365" s="5"/>
      <c r="R3365" s="5"/>
      <c r="T3365" s="5"/>
      <c r="U3365" s="5"/>
      <c r="V3365" s="5"/>
      <c r="W3365" s="5"/>
    </row>
    <row r="3366" spans="1:23" ht="12.5">
      <c r="A3366" s="5"/>
      <c r="B3366" s="5"/>
      <c r="C3366" s="5"/>
      <c r="D3366" s="5"/>
      <c r="E3366" s="5"/>
      <c r="F3366" s="5"/>
      <c r="G3366" s="5"/>
      <c r="H3366" s="5"/>
      <c r="I3366" s="5"/>
      <c r="J3366" s="12"/>
      <c r="K3366" s="11"/>
      <c r="M3366" s="5"/>
      <c r="N3366" s="12"/>
      <c r="O3366" s="5"/>
      <c r="P3366" s="5"/>
      <c r="Q3366" s="5"/>
      <c r="R3366" s="5"/>
      <c r="T3366" s="5"/>
      <c r="U3366" s="5"/>
      <c r="V3366" s="5"/>
      <c r="W3366" s="5"/>
    </row>
    <row r="3367" spans="1:23" ht="12.5">
      <c r="A3367" s="5"/>
      <c r="B3367" s="5"/>
      <c r="C3367" s="5"/>
      <c r="D3367" s="5"/>
      <c r="E3367" s="5"/>
      <c r="F3367" s="5"/>
      <c r="G3367" s="5"/>
      <c r="H3367" s="5"/>
      <c r="I3367" s="5"/>
      <c r="J3367" s="12"/>
      <c r="K3367" s="11"/>
      <c r="M3367" s="5"/>
      <c r="N3367" s="12"/>
      <c r="O3367" s="5"/>
      <c r="P3367" s="5"/>
      <c r="Q3367" s="5"/>
      <c r="R3367" s="5"/>
      <c r="T3367" s="5"/>
      <c r="U3367" s="5"/>
      <c r="V3367" s="5"/>
      <c r="W3367" s="5"/>
    </row>
    <row r="3368" spans="1:23" ht="12.5">
      <c r="A3368" s="5"/>
      <c r="B3368" s="5"/>
      <c r="C3368" s="5"/>
      <c r="D3368" s="5"/>
      <c r="E3368" s="5"/>
      <c r="F3368" s="5"/>
      <c r="G3368" s="5"/>
      <c r="H3368" s="5"/>
      <c r="I3368" s="5"/>
      <c r="J3368" s="12"/>
      <c r="K3368" s="11"/>
      <c r="M3368" s="5"/>
      <c r="N3368" s="12"/>
      <c r="O3368" s="5"/>
      <c r="P3368" s="5"/>
      <c r="Q3368" s="5"/>
      <c r="R3368" s="5"/>
      <c r="T3368" s="5"/>
      <c r="U3368" s="5"/>
      <c r="V3368" s="5"/>
      <c r="W3368" s="5"/>
    </row>
    <row r="3369" spans="1:23" ht="12.5">
      <c r="A3369" s="5"/>
      <c r="B3369" s="5"/>
      <c r="C3369" s="5"/>
      <c r="D3369" s="5"/>
      <c r="E3369" s="5"/>
      <c r="F3369" s="5"/>
      <c r="G3369" s="5"/>
      <c r="H3369" s="5"/>
      <c r="I3369" s="5"/>
      <c r="J3369" s="12"/>
      <c r="K3369" s="11"/>
      <c r="M3369" s="5"/>
      <c r="N3369" s="12"/>
      <c r="O3369" s="5"/>
      <c r="P3369" s="5"/>
      <c r="Q3369" s="5"/>
      <c r="R3369" s="5"/>
      <c r="T3369" s="5"/>
      <c r="U3369" s="5"/>
      <c r="V3369" s="5"/>
      <c r="W3369" s="5"/>
    </row>
    <row r="3370" spans="1:23" ht="12.5">
      <c r="A3370" s="5"/>
      <c r="B3370" s="5"/>
      <c r="C3370" s="5"/>
      <c r="D3370" s="5"/>
      <c r="E3370" s="5"/>
      <c r="F3370" s="5"/>
      <c r="G3370" s="5"/>
      <c r="H3370" s="5"/>
      <c r="I3370" s="5"/>
      <c r="J3370" s="12"/>
      <c r="K3370" s="11"/>
      <c r="M3370" s="5"/>
      <c r="N3370" s="12"/>
      <c r="O3370" s="5"/>
      <c r="P3370" s="5"/>
      <c r="Q3370" s="5"/>
      <c r="R3370" s="5"/>
      <c r="T3370" s="5"/>
      <c r="U3370" s="5"/>
      <c r="V3370" s="5"/>
      <c r="W3370" s="5"/>
    </row>
    <row r="3371" spans="1:23" ht="12.5">
      <c r="A3371" s="5"/>
      <c r="B3371" s="5"/>
      <c r="C3371" s="5"/>
      <c r="D3371" s="5"/>
      <c r="E3371" s="5"/>
      <c r="F3371" s="5"/>
      <c r="G3371" s="5"/>
      <c r="H3371" s="5"/>
      <c r="I3371" s="5"/>
      <c r="J3371" s="12"/>
      <c r="K3371" s="11"/>
      <c r="M3371" s="5"/>
      <c r="N3371" s="12"/>
      <c r="O3371" s="5"/>
      <c r="P3371" s="5"/>
      <c r="Q3371" s="5"/>
      <c r="R3371" s="5"/>
      <c r="T3371" s="5"/>
      <c r="U3371" s="5"/>
      <c r="V3371" s="5"/>
      <c r="W3371" s="5"/>
    </row>
    <row r="3372" spans="1:23" ht="12.5">
      <c r="A3372" s="5"/>
      <c r="B3372" s="5"/>
      <c r="C3372" s="5"/>
      <c r="D3372" s="5"/>
      <c r="E3372" s="5"/>
      <c r="F3372" s="5"/>
      <c r="G3372" s="5"/>
      <c r="H3372" s="5"/>
      <c r="I3372" s="5"/>
      <c r="J3372" s="12"/>
      <c r="K3372" s="11"/>
      <c r="M3372" s="5"/>
      <c r="N3372" s="12"/>
      <c r="O3372" s="5"/>
      <c r="P3372" s="5"/>
      <c r="Q3372" s="5"/>
      <c r="R3372" s="5"/>
      <c r="T3372" s="5"/>
      <c r="U3372" s="5"/>
      <c r="V3372" s="5"/>
      <c r="W3372" s="5"/>
    </row>
    <row r="3373" spans="1:23" ht="12.5">
      <c r="A3373" s="5"/>
      <c r="B3373" s="5"/>
      <c r="C3373" s="5"/>
      <c r="D3373" s="5"/>
      <c r="E3373" s="5"/>
      <c r="F3373" s="5"/>
      <c r="G3373" s="5"/>
      <c r="H3373" s="5"/>
      <c r="I3373" s="5"/>
      <c r="J3373" s="12"/>
      <c r="K3373" s="11"/>
      <c r="M3373" s="5"/>
      <c r="N3373" s="12"/>
      <c r="O3373" s="5"/>
      <c r="P3373" s="5"/>
      <c r="Q3373" s="5"/>
      <c r="R3373" s="5"/>
      <c r="T3373" s="5"/>
      <c r="U3373" s="5"/>
      <c r="V3373" s="5"/>
      <c r="W3373" s="5"/>
    </row>
    <row r="3374" spans="1:23" ht="12.5">
      <c r="A3374" s="5"/>
      <c r="B3374" s="5"/>
      <c r="C3374" s="5"/>
      <c r="D3374" s="5"/>
      <c r="E3374" s="5"/>
      <c r="F3374" s="5"/>
      <c r="G3374" s="5"/>
      <c r="H3374" s="5"/>
      <c r="I3374" s="5"/>
      <c r="J3374" s="12"/>
      <c r="K3374" s="11"/>
      <c r="M3374" s="5"/>
      <c r="N3374" s="12"/>
      <c r="O3374" s="5"/>
      <c r="P3374" s="5"/>
      <c r="Q3374" s="5"/>
      <c r="R3374" s="5"/>
      <c r="T3374" s="5"/>
      <c r="U3374" s="5"/>
      <c r="V3374" s="5"/>
      <c r="W3374" s="5"/>
    </row>
    <row r="3375" spans="1:23" ht="12.5">
      <c r="A3375" s="5"/>
      <c r="B3375" s="5"/>
      <c r="C3375" s="5"/>
      <c r="D3375" s="5"/>
      <c r="E3375" s="5"/>
      <c r="F3375" s="5"/>
      <c r="G3375" s="5"/>
      <c r="H3375" s="5"/>
      <c r="I3375" s="5"/>
      <c r="J3375" s="12"/>
      <c r="K3375" s="11"/>
      <c r="M3375" s="5"/>
      <c r="N3375" s="12"/>
      <c r="O3375" s="5"/>
      <c r="P3375" s="5"/>
      <c r="Q3375" s="5"/>
      <c r="R3375" s="5"/>
      <c r="T3375" s="5"/>
      <c r="U3375" s="5"/>
      <c r="V3375" s="5"/>
      <c r="W3375" s="5"/>
    </row>
    <row r="3376" spans="1:23" ht="12.5">
      <c r="A3376" s="5"/>
      <c r="B3376" s="5"/>
      <c r="C3376" s="5"/>
      <c r="D3376" s="5"/>
      <c r="E3376" s="5"/>
      <c r="F3376" s="5"/>
      <c r="G3376" s="5"/>
      <c r="H3376" s="5"/>
      <c r="I3376" s="5"/>
      <c r="J3376" s="12"/>
      <c r="K3376" s="11"/>
      <c r="M3376" s="5"/>
      <c r="N3376" s="12"/>
      <c r="O3376" s="5"/>
      <c r="P3376" s="5"/>
      <c r="Q3376" s="5"/>
      <c r="R3376" s="5"/>
      <c r="T3376" s="5"/>
      <c r="U3376" s="5"/>
      <c r="V3376" s="5"/>
      <c r="W3376" s="5"/>
    </row>
    <row r="3377" spans="1:23" ht="12.5">
      <c r="A3377" s="5"/>
      <c r="B3377" s="5"/>
      <c r="C3377" s="5"/>
      <c r="D3377" s="5"/>
      <c r="E3377" s="5"/>
      <c r="F3377" s="5"/>
      <c r="G3377" s="5"/>
      <c r="H3377" s="5"/>
      <c r="I3377" s="5"/>
      <c r="J3377" s="12"/>
      <c r="K3377" s="11"/>
      <c r="M3377" s="5"/>
      <c r="N3377" s="12"/>
      <c r="O3377" s="5"/>
      <c r="P3377" s="5"/>
      <c r="Q3377" s="5"/>
      <c r="R3377" s="5"/>
      <c r="T3377" s="5"/>
      <c r="U3377" s="5"/>
      <c r="V3377" s="5"/>
      <c r="W3377" s="5"/>
    </row>
    <row r="3378" spans="1:23" ht="12.5">
      <c r="A3378" s="5"/>
      <c r="B3378" s="5"/>
      <c r="C3378" s="5"/>
      <c r="D3378" s="5"/>
      <c r="E3378" s="5"/>
      <c r="F3378" s="5"/>
      <c r="G3378" s="5"/>
      <c r="H3378" s="5"/>
      <c r="I3378" s="5"/>
      <c r="J3378" s="12"/>
      <c r="K3378" s="11"/>
      <c r="M3378" s="5"/>
      <c r="N3378" s="12"/>
      <c r="O3378" s="5"/>
      <c r="P3378" s="5"/>
      <c r="Q3378" s="5"/>
      <c r="R3378" s="5"/>
      <c r="T3378" s="5"/>
      <c r="U3378" s="5"/>
      <c r="V3378" s="5"/>
      <c r="W3378" s="5"/>
    </row>
    <row r="3379" spans="1:23" ht="12.5">
      <c r="A3379" s="5"/>
      <c r="B3379" s="5"/>
      <c r="C3379" s="5"/>
      <c r="D3379" s="5"/>
      <c r="E3379" s="5"/>
      <c r="F3379" s="5"/>
      <c r="G3379" s="5"/>
      <c r="H3379" s="5"/>
      <c r="I3379" s="5"/>
      <c r="J3379" s="12"/>
      <c r="K3379" s="11"/>
      <c r="M3379" s="5"/>
      <c r="N3379" s="12"/>
      <c r="O3379" s="5"/>
      <c r="P3379" s="5"/>
      <c r="Q3379" s="5"/>
      <c r="R3379" s="5"/>
      <c r="T3379" s="5"/>
      <c r="U3379" s="5"/>
      <c r="V3379" s="5"/>
      <c r="W3379" s="5"/>
    </row>
    <row r="3380" spans="1:23" ht="12.5">
      <c r="A3380" s="5"/>
      <c r="B3380" s="5"/>
      <c r="C3380" s="5"/>
      <c r="D3380" s="5"/>
      <c r="E3380" s="5"/>
      <c r="F3380" s="5"/>
      <c r="G3380" s="5"/>
      <c r="H3380" s="5"/>
      <c r="I3380" s="5"/>
      <c r="J3380" s="12"/>
      <c r="K3380" s="11"/>
      <c r="M3380" s="5"/>
      <c r="N3380" s="12"/>
      <c r="O3380" s="5"/>
      <c r="P3380" s="5"/>
      <c r="Q3380" s="5"/>
      <c r="R3380" s="5"/>
      <c r="T3380" s="5"/>
      <c r="U3380" s="5"/>
      <c r="V3380" s="5"/>
      <c r="W3380" s="5"/>
    </row>
    <row r="3381" spans="1:23" ht="12.5">
      <c r="A3381" s="5"/>
      <c r="B3381" s="5"/>
      <c r="C3381" s="5"/>
      <c r="D3381" s="5"/>
      <c r="E3381" s="5"/>
      <c r="F3381" s="5"/>
      <c r="G3381" s="5"/>
      <c r="H3381" s="5"/>
      <c r="I3381" s="5"/>
      <c r="J3381" s="12"/>
      <c r="K3381" s="11"/>
      <c r="M3381" s="5"/>
      <c r="N3381" s="12"/>
      <c r="O3381" s="5"/>
      <c r="P3381" s="5"/>
      <c r="Q3381" s="5"/>
      <c r="R3381" s="5"/>
      <c r="T3381" s="5"/>
      <c r="U3381" s="5"/>
      <c r="V3381" s="5"/>
      <c r="W3381" s="5"/>
    </row>
    <row r="3382" spans="1:23" ht="12.5">
      <c r="A3382" s="5"/>
      <c r="B3382" s="5"/>
      <c r="C3382" s="5"/>
      <c r="D3382" s="5"/>
      <c r="E3382" s="5"/>
      <c r="F3382" s="5"/>
      <c r="G3382" s="5"/>
      <c r="H3382" s="5"/>
      <c r="I3382" s="5"/>
      <c r="J3382" s="12"/>
      <c r="K3382" s="11"/>
      <c r="M3382" s="5"/>
      <c r="N3382" s="12"/>
      <c r="O3382" s="5"/>
      <c r="P3382" s="5"/>
      <c r="Q3382" s="5"/>
      <c r="R3382" s="5"/>
      <c r="T3382" s="5"/>
      <c r="U3382" s="5"/>
      <c r="V3382" s="5"/>
      <c r="W3382" s="5"/>
    </row>
    <row r="3383" spans="1:23" ht="12.5">
      <c r="A3383" s="5"/>
      <c r="B3383" s="5"/>
      <c r="C3383" s="5"/>
      <c r="D3383" s="5"/>
      <c r="E3383" s="5"/>
      <c r="F3383" s="5"/>
      <c r="G3383" s="5"/>
      <c r="H3383" s="5"/>
      <c r="I3383" s="5"/>
      <c r="J3383" s="12"/>
      <c r="K3383" s="11"/>
      <c r="M3383" s="5"/>
      <c r="N3383" s="12"/>
      <c r="O3383" s="5"/>
      <c r="P3383" s="5"/>
      <c r="Q3383" s="5"/>
      <c r="R3383" s="5"/>
      <c r="T3383" s="5"/>
      <c r="U3383" s="5"/>
      <c r="V3383" s="5"/>
      <c r="W3383" s="5"/>
    </row>
    <row r="3384" spans="1:23" ht="12.5">
      <c r="A3384" s="5"/>
      <c r="B3384" s="5"/>
      <c r="C3384" s="5"/>
      <c r="D3384" s="5"/>
      <c r="E3384" s="5"/>
      <c r="F3384" s="5"/>
      <c r="G3384" s="5"/>
      <c r="H3384" s="5"/>
      <c r="I3384" s="5"/>
      <c r="J3384" s="12"/>
      <c r="K3384" s="11"/>
      <c r="M3384" s="5"/>
      <c r="N3384" s="12"/>
      <c r="O3384" s="5"/>
      <c r="P3384" s="5"/>
      <c r="Q3384" s="5"/>
      <c r="R3384" s="5"/>
      <c r="T3384" s="5"/>
      <c r="U3384" s="5"/>
      <c r="V3384" s="5"/>
      <c r="W3384" s="5"/>
    </row>
    <row r="3385" spans="1:23" ht="12.5">
      <c r="A3385" s="5"/>
      <c r="B3385" s="5"/>
      <c r="C3385" s="5"/>
      <c r="D3385" s="5"/>
      <c r="E3385" s="5"/>
      <c r="F3385" s="5"/>
      <c r="G3385" s="5"/>
      <c r="H3385" s="5"/>
      <c r="I3385" s="5"/>
      <c r="J3385" s="12"/>
      <c r="K3385" s="11"/>
      <c r="M3385" s="5"/>
      <c r="N3385" s="12"/>
      <c r="O3385" s="5"/>
      <c r="P3385" s="5"/>
      <c r="Q3385" s="5"/>
      <c r="R3385" s="5"/>
      <c r="T3385" s="5"/>
      <c r="U3385" s="5"/>
      <c r="V3385" s="5"/>
      <c r="W3385" s="5"/>
    </row>
    <row r="3386" spans="1:23" ht="12.5">
      <c r="A3386" s="5"/>
      <c r="B3386" s="5"/>
      <c r="C3386" s="5"/>
      <c r="D3386" s="5"/>
      <c r="E3386" s="5"/>
      <c r="F3386" s="5"/>
      <c r="G3386" s="5"/>
      <c r="H3386" s="5"/>
      <c r="I3386" s="5"/>
      <c r="J3386" s="12"/>
      <c r="K3386" s="11"/>
      <c r="M3386" s="5"/>
      <c r="N3386" s="12"/>
      <c r="O3386" s="5"/>
      <c r="P3386" s="5"/>
      <c r="Q3386" s="5"/>
      <c r="R3386" s="5"/>
      <c r="T3386" s="5"/>
      <c r="U3386" s="5"/>
      <c r="V3386" s="5"/>
      <c r="W3386" s="5"/>
    </row>
    <row r="3387" spans="1:23" ht="12.5">
      <c r="A3387" s="5"/>
      <c r="B3387" s="5"/>
      <c r="C3387" s="5"/>
      <c r="D3387" s="5"/>
      <c r="E3387" s="5"/>
      <c r="F3387" s="5"/>
      <c r="G3387" s="5"/>
      <c r="H3387" s="5"/>
      <c r="I3387" s="5"/>
      <c r="J3387" s="12"/>
      <c r="K3387" s="11"/>
      <c r="M3387" s="5"/>
      <c r="N3387" s="12"/>
      <c r="O3387" s="5"/>
      <c r="P3387" s="5"/>
      <c r="Q3387" s="5"/>
      <c r="R3387" s="5"/>
      <c r="T3387" s="5"/>
      <c r="U3387" s="5"/>
      <c r="V3387" s="5"/>
      <c r="W3387" s="5"/>
    </row>
    <row r="3388" spans="1:23" ht="12.5">
      <c r="A3388" s="5"/>
      <c r="B3388" s="5"/>
      <c r="C3388" s="5"/>
      <c r="D3388" s="5"/>
      <c r="E3388" s="5"/>
      <c r="F3388" s="5"/>
      <c r="G3388" s="5"/>
      <c r="H3388" s="5"/>
      <c r="I3388" s="5"/>
      <c r="J3388" s="12"/>
      <c r="K3388" s="11"/>
      <c r="M3388" s="5"/>
      <c r="N3388" s="12"/>
      <c r="O3388" s="5"/>
      <c r="P3388" s="5"/>
      <c r="Q3388" s="5"/>
      <c r="R3388" s="5"/>
      <c r="T3388" s="5"/>
      <c r="U3388" s="5"/>
      <c r="V3388" s="5"/>
      <c r="W3388" s="5"/>
    </row>
    <row r="3389" spans="1:23" ht="12.5">
      <c r="A3389" s="5"/>
      <c r="B3389" s="5"/>
      <c r="C3389" s="5"/>
      <c r="D3389" s="5"/>
      <c r="E3389" s="5"/>
      <c r="F3389" s="5"/>
      <c r="G3389" s="5"/>
      <c r="H3389" s="5"/>
      <c r="I3389" s="5"/>
      <c r="J3389" s="12"/>
      <c r="K3389" s="11"/>
      <c r="M3389" s="5"/>
      <c r="N3389" s="12"/>
      <c r="O3389" s="5"/>
      <c r="P3389" s="5"/>
      <c r="Q3389" s="5"/>
      <c r="R3389" s="5"/>
      <c r="T3389" s="5"/>
      <c r="U3389" s="5"/>
      <c r="V3389" s="5"/>
      <c r="W3389" s="5"/>
    </row>
    <row r="3390" spans="1:23" ht="12.5">
      <c r="A3390" s="5"/>
      <c r="B3390" s="5"/>
      <c r="C3390" s="5"/>
      <c r="D3390" s="5"/>
      <c r="E3390" s="5"/>
      <c r="F3390" s="5"/>
      <c r="G3390" s="5"/>
      <c r="H3390" s="5"/>
      <c r="I3390" s="5"/>
      <c r="J3390" s="12"/>
      <c r="K3390" s="11"/>
      <c r="M3390" s="5"/>
      <c r="N3390" s="12"/>
      <c r="O3390" s="5"/>
      <c r="P3390" s="5"/>
      <c r="Q3390" s="5"/>
      <c r="R3390" s="5"/>
      <c r="T3390" s="5"/>
      <c r="U3390" s="5"/>
      <c r="V3390" s="5"/>
      <c r="W3390" s="5"/>
    </row>
    <row r="3391" spans="1:23" ht="12.5">
      <c r="A3391" s="5"/>
      <c r="B3391" s="5"/>
      <c r="C3391" s="5"/>
      <c r="D3391" s="5"/>
      <c r="E3391" s="5"/>
      <c r="F3391" s="5"/>
      <c r="G3391" s="5"/>
      <c r="H3391" s="5"/>
      <c r="I3391" s="5"/>
      <c r="J3391" s="12"/>
      <c r="K3391" s="11"/>
      <c r="M3391" s="5"/>
      <c r="N3391" s="12"/>
      <c r="O3391" s="5"/>
      <c r="P3391" s="5"/>
      <c r="Q3391" s="5"/>
      <c r="R3391" s="5"/>
      <c r="T3391" s="5"/>
      <c r="U3391" s="5"/>
      <c r="V3391" s="5"/>
      <c r="W3391" s="5"/>
    </row>
    <row r="3392" spans="1:23" ht="12.5">
      <c r="A3392" s="5"/>
      <c r="B3392" s="5"/>
      <c r="C3392" s="5"/>
      <c r="D3392" s="5"/>
      <c r="E3392" s="5"/>
      <c r="F3392" s="5"/>
      <c r="G3392" s="5"/>
      <c r="H3392" s="5"/>
      <c r="I3392" s="5"/>
      <c r="J3392" s="12"/>
      <c r="K3392" s="11"/>
      <c r="M3392" s="5"/>
      <c r="N3392" s="12"/>
      <c r="O3392" s="5"/>
      <c r="P3392" s="5"/>
      <c r="Q3392" s="5"/>
      <c r="R3392" s="5"/>
      <c r="T3392" s="5"/>
      <c r="U3392" s="5"/>
      <c r="V3392" s="5"/>
      <c r="W3392" s="5"/>
    </row>
    <row r="3393" spans="1:23" ht="12.5">
      <c r="A3393" s="5"/>
      <c r="B3393" s="5"/>
      <c r="C3393" s="5"/>
      <c r="D3393" s="5"/>
      <c r="E3393" s="5"/>
      <c r="F3393" s="5"/>
      <c r="G3393" s="5"/>
      <c r="H3393" s="5"/>
      <c r="I3393" s="5"/>
      <c r="J3393" s="12"/>
      <c r="K3393" s="11"/>
      <c r="M3393" s="5"/>
      <c r="N3393" s="12"/>
      <c r="O3393" s="5"/>
      <c r="P3393" s="5"/>
      <c r="Q3393" s="5"/>
      <c r="R3393" s="5"/>
      <c r="T3393" s="5"/>
      <c r="U3393" s="5"/>
      <c r="V3393" s="5"/>
      <c r="W3393" s="5"/>
    </row>
    <row r="3394" spans="1:23" ht="12.5">
      <c r="A3394" s="5"/>
      <c r="B3394" s="5"/>
      <c r="C3394" s="5"/>
      <c r="D3394" s="5"/>
      <c r="E3394" s="5"/>
      <c r="F3394" s="5"/>
      <c r="G3394" s="5"/>
      <c r="H3394" s="5"/>
      <c r="I3394" s="5"/>
      <c r="J3394" s="12"/>
      <c r="K3394" s="11"/>
      <c r="M3394" s="5"/>
      <c r="N3394" s="12"/>
      <c r="O3394" s="5"/>
      <c r="P3394" s="5"/>
      <c r="Q3394" s="5"/>
      <c r="R3394" s="5"/>
      <c r="T3394" s="5"/>
      <c r="U3394" s="5"/>
      <c r="V3394" s="5"/>
      <c r="W3394" s="5"/>
    </row>
    <row r="3395" spans="1:23" ht="12.5">
      <c r="A3395" s="5"/>
      <c r="B3395" s="5"/>
      <c r="C3395" s="5"/>
      <c r="D3395" s="5"/>
      <c r="E3395" s="5"/>
      <c r="F3395" s="5"/>
      <c r="G3395" s="5"/>
      <c r="H3395" s="5"/>
      <c r="I3395" s="5"/>
      <c r="J3395" s="12"/>
      <c r="K3395" s="11"/>
      <c r="M3395" s="5"/>
      <c r="N3395" s="12"/>
      <c r="O3395" s="5"/>
      <c r="P3395" s="5"/>
      <c r="Q3395" s="5"/>
      <c r="R3395" s="5"/>
      <c r="T3395" s="5"/>
      <c r="U3395" s="5"/>
      <c r="V3395" s="5"/>
      <c r="W3395" s="5"/>
    </row>
    <row r="3396" spans="1:23" ht="12.5">
      <c r="A3396" s="5"/>
      <c r="B3396" s="5"/>
      <c r="C3396" s="5"/>
      <c r="D3396" s="5"/>
      <c r="E3396" s="5"/>
      <c r="F3396" s="5"/>
      <c r="G3396" s="5"/>
      <c r="H3396" s="5"/>
      <c r="I3396" s="5"/>
      <c r="J3396" s="12"/>
      <c r="K3396" s="11"/>
      <c r="M3396" s="5"/>
      <c r="N3396" s="12"/>
      <c r="O3396" s="5"/>
      <c r="P3396" s="5"/>
      <c r="Q3396" s="5"/>
      <c r="R3396" s="5"/>
      <c r="T3396" s="5"/>
      <c r="U3396" s="5"/>
      <c r="V3396" s="5"/>
      <c r="W3396" s="5"/>
    </row>
    <row r="3397" spans="1:23" ht="12.5">
      <c r="A3397" s="5"/>
      <c r="B3397" s="5"/>
      <c r="C3397" s="5"/>
      <c r="D3397" s="5"/>
      <c r="E3397" s="5"/>
      <c r="F3397" s="5"/>
      <c r="G3397" s="5"/>
      <c r="H3397" s="5"/>
      <c r="I3397" s="5"/>
      <c r="J3397" s="12"/>
      <c r="K3397" s="11"/>
      <c r="M3397" s="5"/>
      <c r="N3397" s="12"/>
      <c r="O3397" s="5"/>
      <c r="P3397" s="5"/>
      <c r="Q3397" s="5"/>
      <c r="R3397" s="5"/>
      <c r="T3397" s="5"/>
      <c r="U3397" s="5"/>
      <c r="V3397" s="5"/>
      <c r="W3397" s="5"/>
    </row>
    <row r="3398" spans="1:23" ht="12.5">
      <c r="A3398" s="5"/>
      <c r="B3398" s="5"/>
      <c r="C3398" s="5"/>
      <c r="D3398" s="5"/>
      <c r="E3398" s="5"/>
      <c r="F3398" s="5"/>
      <c r="G3398" s="5"/>
      <c r="H3398" s="5"/>
      <c r="I3398" s="5"/>
      <c r="J3398" s="12"/>
      <c r="K3398" s="11"/>
      <c r="M3398" s="5"/>
      <c r="N3398" s="12"/>
      <c r="O3398" s="5"/>
      <c r="P3398" s="5"/>
      <c r="Q3398" s="5"/>
      <c r="R3398" s="5"/>
      <c r="T3398" s="5"/>
      <c r="U3398" s="5"/>
      <c r="V3398" s="5"/>
      <c r="W3398" s="5"/>
    </row>
    <row r="3399" spans="1:23" ht="12.5">
      <c r="A3399" s="5"/>
      <c r="B3399" s="5"/>
      <c r="C3399" s="5"/>
      <c r="D3399" s="5"/>
      <c r="E3399" s="5"/>
      <c r="F3399" s="5"/>
      <c r="G3399" s="5"/>
      <c r="H3399" s="5"/>
      <c r="I3399" s="5"/>
      <c r="J3399" s="12"/>
      <c r="K3399" s="11"/>
      <c r="M3399" s="5"/>
      <c r="N3399" s="12"/>
      <c r="O3399" s="5"/>
      <c r="P3399" s="5"/>
      <c r="Q3399" s="5"/>
      <c r="R3399" s="5"/>
      <c r="T3399" s="5"/>
      <c r="U3399" s="5"/>
      <c r="V3399" s="5"/>
      <c r="W3399" s="5"/>
    </row>
    <row r="3400" spans="1:23" ht="12.5">
      <c r="A3400" s="5"/>
      <c r="B3400" s="5"/>
      <c r="C3400" s="5"/>
      <c r="D3400" s="5"/>
      <c r="E3400" s="5"/>
      <c r="F3400" s="5"/>
      <c r="G3400" s="5"/>
      <c r="H3400" s="5"/>
      <c r="I3400" s="5"/>
      <c r="J3400" s="12"/>
      <c r="K3400" s="11"/>
      <c r="M3400" s="5"/>
      <c r="N3400" s="12"/>
      <c r="O3400" s="5"/>
      <c r="P3400" s="5"/>
      <c r="Q3400" s="5"/>
      <c r="R3400" s="5"/>
      <c r="T3400" s="5"/>
      <c r="U3400" s="5"/>
      <c r="V3400" s="5"/>
      <c r="W3400" s="5"/>
    </row>
    <row r="3401" spans="1:23" ht="12.5">
      <c r="A3401" s="5"/>
      <c r="B3401" s="5"/>
      <c r="C3401" s="5"/>
      <c r="D3401" s="5"/>
      <c r="E3401" s="5"/>
      <c r="F3401" s="5"/>
      <c r="G3401" s="5"/>
      <c r="H3401" s="5"/>
      <c r="I3401" s="5"/>
      <c r="J3401" s="12"/>
      <c r="K3401" s="11"/>
      <c r="M3401" s="5"/>
      <c r="N3401" s="12"/>
      <c r="O3401" s="5"/>
      <c r="P3401" s="5"/>
      <c r="Q3401" s="5"/>
      <c r="R3401" s="5"/>
      <c r="T3401" s="5"/>
      <c r="U3401" s="5"/>
      <c r="V3401" s="5"/>
      <c r="W3401" s="5"/>
    </row>
    <row r="3402" spans="1:23" ht="12.5">
      <c r="A3402" s="5"/>
      <c r="B3402" s="5"/>
      <c r="C3402" s="5"/>
      <c r="D3402" s="5"/>
      <c r="E3402" s="5"/>
      <c r="F3402" s="5"/>
      <c r="G3402" s="5"/>
      <c r="H3402" s="5"/>
      <c r="I3402" s="5"/>
      <c r="J3402" s="12"/>
      <c r="K3402" s="11"/>
      <c r="M3402" s="5"/>
      <c r="N3402" s="12"/>
      <c r="O3402" s="5"/>
      <c r="P3402" s="5"/>
      <c r="Q3402" s="5"/>
      <c r="R3402" s="5"/>
      <c r="T3402" s="5"/>
      <c r="U3402" s="5"/>
      <c r="V3402" s="5"/>
      <c r="W3402" s="5"/>
    </row>
  </sheetData>
  <autoFilter ref="A1:W29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S1852"/>
  <sheetViews>
    <sheetView workbookViewId="0">
      <pane ySplit="1" topLeftCell="A2" activePane="bottomLeft" state="frozen"/>
      <selection pane="bottomLeft" activeCell="B3" sqref="B3"/>
    </sheetView>
  </sheetViews>
  <sheetFormatPr baseColWidth="10" defaultColWidth="12.6328125" defaultRowHeight="15.75" customHeight="1"/>
  <cols>
    <col min="2" max="3" width="23.08984375" customWidth="1"/>
    <col min="4" max="4" width="32.6328125" customWidth="1"/>
    <col min="5" max="5" width="24.453125" customWidth="1"/>
    <col min="6" max="6" width="14.90625" customWidth="1"/>
    <col min="7" max="8" width="15" customWidth="1"/>
    <col min="9" max="9" width="24" customWidth="1"/>
    <col min="10" max="12" width="19.7265625" customWidth="1"/>
    <col min="13" max="13" width="23.26953125" customWidth="1"/>
    <col min="14" max="14" width="17.6328125" customWidth="1"/>
  </cols>
  <sheetData>
    <row r="1" spans="1:19" ht="13">
      <c r="A1" s="5" t="s">
        <v>14555</v>
      </c>
      <c r="B1" s="5" t="s">
        <v>14556</v>
      </c>
      <c r="C1" s="5" t="s">
        <v>7</v>
      </c>
      <c r="D1" s="5" t="s">
        <v>16</v>
      </c>
      <c r="E1" s="5" t="s">
        <v>20634</v>
      </c>
      <c r="F1" s="5" t="s">
        <v>10</v>
      </c>
      <c r="G1" s="5" t="s">
        <v>9</v>
      </c>
      <c r="H1" s="5" t="s">
        <v>20635</v>
      </c>
      <c r="I1" s="5" t="s">
        <v>20636</v>
      </c>
      <c r="J1" s="5" t="s">
        <v>20637</v>
      </c>
      <c r="K1" s="5" t="s">
        <v>20638</v>
      </c>
      <c r="L1" s="5" t="s">
        <v>20639</v>
      </c>
      <c r="M1" s="5" t="s">
        <v>20640</v>
      </c>
      <c r="N1" s="5" t="s">
        <v>20641</v>
      </c>
      <c r="O1" s="5" t="s">
        <v>27</v>
      </c>
      <c r="P1" s="5" t="s">
        <v>14568</v>
      </c>
      <c r="Q1" s="3" t="s">
        <v>20642</v>
      </c>
      <c r="R1" s="30" t="s">
        <v>20643</v>
      </c>
      <c r="S1" s="30" t="s">
        <v>20644</v>
      </c>
    </row>
    <row r="2" spans="1:19" ht="12.5">
      <c r="A2" s="10" t="s">
        <v>20645</v>
      </c>
      <c r="B2" s="5" t="s">
        <v>12577</v>
      </c>
      <c r="C2" s="5">
        <v>573003346799</v>
      </c>
      <c r="D2" s="5" t="s">
        <v>12728</v>
      </c>
      <c r="E2" s="5" t="s">
        <v>12657</v>
      </c>
      <c r="F2" s="5" t="s">
        <v>12657</v>
      </c>
      <c r="G2" s="5" t="s">
        <v>12577</v>
      </c>
      <c r="H2" s="10" t="s">
        <v>20646</v>
      </c>
      <c r="K2" s="9">
        <v>46089.687349537038</v>
      </c>
      <c r="L2" s="5" t="s">
        <v>6139</v>
      </c>
      <c r="M2" s="10" t="s">
        <v>20647</v>
      </c>
      <c r="N2" s="10" t="s">
        <v>20648</v>
      </c>
      <c r="R2" s="9">
        <v>46076.613401516202</v>
      </c>
      <c r="S2" s="9">
        <v>46076.645005312501</v>
      </c>
    </row>
    <row r="3" spans="1:19" ht="12.5">
      <c r="A3" s="10" t="s">
        <v>20649</v>
      </c>
      <c r="B3" s="5" t="s">
        <v>11397</v>
      </c>
      <c r="C3" s="5">
        <v>573205423436</v>
      </c>
      <c r="D3" s="5" t="s">
        <v>14200</v>
      </c>
      <c r="E3" s="5" t="s">
        <v>14199</v>
      </c>
      <c r="F3" s="5" t="s">
        <v>307</v>
      </c>
      <c r="G3" s="5" t="s">
        <v>14198</v>
      </c>
      <c r="H3" s="10" t="s">
        <v>20650</v>
      </c>
      <c r="I3" s="5" t="s">
        <v>20651</v>
      </c>
      <c r="K3" s="23">
        <v>46089.669351851851</v>
      </c>
      <c r="L3" s="5" t="s">
        <v>20652</v>
      </c>
      <c r="M3" s="10" t="s">
        <v>20653</v>
      </c>
      <c r="N3" s="10" t="s">
        <v>20654</v>
      </c>
      <c r="P3" s="5" t="s">
        <v>14618</v>
      </c>
      <c r="R3" s="9">
        <v>46076.613169155091</v>
      </c>
      <c r="S3" s="9">
        <v>46076.627014872684</v>
      </c>
    </row>
    <row r="4" spans="1:19" ht="12.5">
      <c r="A4" s="10" t="s">
        <v>20655</v>
      </c>
      <c r="B4" s="5" t="s">
        <v>14116</v>
      </c>
      <c r="C4" s="5">
        <v>573006498138</v>
      </c>
      <c r="D4" s="5" t="s">
        <v>12406</v>
      </c>
      <c r="E4" s="5" t="s">
        <v>14137</v>
      </c>
      <c r="F4" s="5" t="s">
        <v>73</v>
      </c>
      <c r="G4" s="5" t="s">
        <v>1136</v>
      </c>
      <c r="H4" s="10" t="s">
        <v>20656</v>
      </c>
      <c r="I4" s="5" t="s">
        <v>20657</v>
      </c>
      <c r="K4" s="9">
        <v>46089.699930555558</v>
      </c>
      <c r="L4" s="5" t="s">
        <v>17416</v>
      </c>
      <c r="M4" s="10" t="s">
        <v>20658</v>
      </c>
      <c r="N4" s="10" t="s">
        <v>20659</v>
      </c>
      <c r="P4" s="5" t="s">
        <v>14593</v>
      </c>
      <c r="R4" s="9">
        <v>46074.448897511575</v>
      </c>
      <c r="S4" s="9">
        <v>46074.450322349541</v>
      </c>
    </row>
    <row r="5" spans="1:19" ht="12.5">
      <c r="A5" s="10" t="s">
        <v>20660</v>
      </c>
      <c r="B5" s="5" t="s">
        <v>14142</v>
      </c>
      <c r="C5" s="5">
        <v>573148167126</v>
      </c>
      <c r="D5" s="5" t="s">
        <v>13483</v>
      </c>
      <c r="E5" s="5" t="s">
        <v>14144</v>
      </c>
      <c r="F5" s="5" t="s">
        <v>11628</v>
      </c>
      <c r="G5" s="5" t="s">
        <v>20661</v>
      </c>
      <c r="H5" s="10" t="s">
        <v>20662</v>
      </c>
      <c r="K5" s="9">
        <v>46089.672592592593</v>
      </c>
      <c r="L5" s="5" t="s">
        <v>6139</v>
      </c>
      <c r="M5" s="10" t="s">
        <v>20663</v>
      </c>
      <c r="N5" s="10" t="s">
        <v>20664</v>
      </c>
      <c r="R5" s="9">
        <v>46074.460424247685</v>
      </c>
      <c r="S5" s="9">
        <v>46076.455888460652</v>
      </c>
    </row>
    <row r="6" spans="1:19" ht="12.5">
      <c r="A6" s="10" t="s">
        <v>20665</v>
      </c>
      <c r="B6" s="5" t="s">
        <v>12577</v>
      </c>
      <c r="C6" s="5">
        <v>573003346799</v>
      </c>
      <c r="D6" s="5" t="s">
        <v>14154</v>
      </c>
      <c r="E6" s="5" t="s">
        <v>14153</v>
      </c>
      <c r="F6" s="5" t="s">
        <v>124</v>
      </c>
      <c r="G6" s="5" t="s">
        <v>14152</v>
      </c>
      <c r="H6" s="10" t="s">
        <v>20666</v>
      </c>
      <c r="I6" s="5" t="s">
        <v>20667</v>
      </c>
      <c r="K6" s="9">
        <v>46089.671805555554</v>
      </c>
      <c r="L6" s="5" t="s">
        <v>17416</v>
      </c>
      <c r="M6" s="10" t="s">
        <v>20668</v>
      </c>
      <c r="N6" s="10" t="s">
        <v>20648</v>
      </c>
      <c r="P6" s="5" t="s">
        <v>14775</v>
      </c>
      <c r="R6" s="9">
        <v>46076.612960578699</v>
      </c>
      <c r="S6" s="9">
        <v>46076.622567523147</v>
      </c>
    </row>
    <row r="7" spans="1:19" ht="12.5">
      <c r="A7" s="10" t="s">
        <v>20669</v>
      </c>
      <c r="B7" s="5" t="s">
        <v>14185</v>
      </c>
      <c r="C7" s="5">
        <v>573126314688</v>
      </c>
      <c r="D7" s="5" t="s">
        <v>14186</v>
      </c>
      <c r="E7" s="5" t="s">
        <v>12657</v>
      </c>
      <c r="F7" s="5" t="s">
        <v>12657</v>
      </c>
      <c r="G7" s="5" t="s">
        <v>14185</v>
      </c>
      <c r="H7" s="10" t="s">
        <v>20670</v>
      </c>
      <c r="K7" s="9">
        <v>46089.678356481483</v>
      </c>
      <c r="L7" s="5" t="s">
        <v>6139</v>
      </c>
      <c r="M7" s="10" t="s">
        <v>20671</v>
      </c>
      <c r="N7" s="10" t="s">
        <v>20648</v>
      </c>
      <c r="R7" s="9">
        <v>46076.527667291666</v>
      </c>
      <c r="S7" s="9">
        <v>46076.58329613426</v>
      </c>
    </row>
    <row r="8" spans="1:19" ht="12.5">
      <c r="A8" s="10" t="s">
        <v>20672</v>
      </c>
      <c r="B8" s="5" t="s">
        <v>14166</v>
      </c>
      <c r="C8" s="5">
        <v>573117169931</v>
      </c>
      <c r="D8" s="5" t="s">
        <v>14168</v>
      </c>
      <c r="E8" s="5" t="s">
        <v>14167</v>
      </c>
      <c r="F8" s="5" t="s">
        <v>103</v>
      </c>
      <c r="G8" s="5" t="s">
        <v>14062</v>
      </c>
      <c r="H8" s="10" t="s">
        <v>20363</v>
      </c>
      <c r="K8" s="23">
        <v>46089.650821759256</v>
      </c>
      <c r="L8" s="5" t="s">
        <v>20652</v>
      </c>
      <c r="M8" s="10" t="s">
        <v>20673</v>
      </c>
      <c r="N8" s="10" t="s">
        <v>20659</v>
      </c>
      <c r="P8" s="5" t="s">
        <v>14593</v>
      </c>
      <c r="R8" s="9"/>
      <c r="S8" s="9"/>
    </row>
    <row r="9" spans="1:19" ht="12.5">
      <c r="A9" s="10" t="s">
        <v>20674</v>
      </c>
      <c r="B9" s="5" t="s">
        <v>14147</v>
      </c>
      <c r="C9" s="5">
        <v>573044408100</v>
      </c>
      <c r="D9" s="5" t="s">
        <v>12406</v>
      </c>
      <c r="E9" s="5" t="s">
        <v>14149</v>
      </c>
      <c r="F9" s="5" t="s">
        <v>73</v>
      </c>
      <c r="G9" s="5" t="s">
        <v>20675</v>
      </c>
      <c r="H9" s="10" t="s">
        <v>20676</v>
      </c>
      <c r="I9" s="5" t="s">
        <v>20657</v>
      </c>
      <c r="K9" s="9">
        <v>46089.683159722219</v>
      </c>
      <c r="L9" s="5" t="s">
        <v>17416</v>
      </c>
      <c r="M9" s="10" t="s">
        <v>20677</v>
      </c>
      <c r="N9" s="10" t="s">
        <v>20659</v>
      </c>
      <c r="P9" s="5" t="s">
        <v>14593</v>
      </c>
      <c r="R9" s="9">
        <v>46089.71666121528</v>
      </c>
      <c r="S9" s="9">
        <v>46089.717943263888</v>
      </c>
    </row>
    <row r="10" spans="1:19" ht="12.5">
      <c r="A10" s="10" t="s">
        <v>20678</v>
      </c>
      <c r="B10" s="5" t="s">
        <v>14080</v>
      </c>
      <c r="C10" s="5">
        <v>573015889880</v>
      </c>
      <c r="D10" s="5" t="s">
        <v>13838</v>
      </c>
      <c r="E10" s="5" t="s">
        <v>12657</v>
      </c>
      <c r="F10" s="5" t="s">
        <v>12657</v>
      </c>
      <c r="G10" s="5" t="s">
        <v>14080</v>
      </c>
      <c r="H10" s="10" t="s">
        <v>20679</v>
      </c>
      <c r="K10" s="23">
        <v>46089.616215277776</v>
      </c>
      <c r="L10" s="5" t="s">
        <v>6139</v>
      </c>
      <c r="M10" s="10" t="s">
        <v>20680</v>
      </c>
      <c r="N10" s="10" t="s">
        <v>20681</v>
      </c>
      <c r="R10" s="9"/>
      <c r="S10" s="9"/>
    </row>
    <row r="11" spans="1:19" ht="12.5">
      <c r="A11" s="10" t="s">
        <v>20682</v>
      </c>
      <c r="B11" s="5" t="s">
        <v>14170</v>
      </c>
      <c r="C11" s="5">
        <v>573155928344</v>
      </c>
      <c r="D11" s="5" t="s">
        <v>12406</v>
      </c>
      <c r="E11" s="5" t="s">
        <v>14172</v>
      </c>
      <c r="F11" s="5" t="s">
        <v>103</v>
      </c>
      <c r="G11" s="5" t="s">
        <v>20683</v>
      </c>
      <c r="I11" s="5" t="s">
        <v>20657</v>
      </c>
      <c r="K11" s="9">
        <v>46089.678599537037</v>
      </c>
      <c r="L11" s="5" t="s">
        <v>17416</v>
      </c>
      <c r="M11" s="10" t="s">
        <v>20684</v>
      </c>
      <c r="N11" s="10" t="s">
        <v>20681</v>
      </c>
      <c r="P11" s="5" t="s">
        <v>14593</v>
      </c>
      <c r="R11" s="9">
        <v>46089.715748217597</v>
      </c>
      <c r="S11" s="9">
        <v>46076.526356817129</v>
      </c>
    </row>
    <row r="12" spans="1:19" ht="12.5">
      <c r="A12" s="10" t="s">
        <v>20685</v>
      </c>
      <c r="B12" s="5" t="s">
        <v>14121</v>
      </c>
      <c r="C12" s="5">
        <v>3004612667</v>
      </c>
      <c r="D12" s="5" t="s">
        <v>12728</v>
      </c>
      <c r="E12" s="5" t="s">
        <v>14158</v>
      </c>
      <c r="F12" s="5" t="s">
        <v>103</v>
      </c>
      <c r="G12" s="5" t="s">
        <v>20686</v>
      </c>
      <c r="H12" s="10" t="s">
        <v>20687</v>
      </c>
      <c r="I12" s="5" t="s">
        <v>20688</v>
      </c>
      <c r="K12" s="23">
        <v>46089.650185185186</v>
      </c>
      <c r="L12" s="5" t="s">
        <v>20652</v>
      </c>
      <c r="M12" s="10" t="s">
        <v>20689</v>
      </c>
      <c r="N12" s="10" t="s">
        <v>20664</v>
      </c>
      <c r="P12" s="5" t="s">
        <v>14593</v>
      </c>
      <c r="R12" s="9"/>
      <c r="S12" s="9"/>
    </row>
    <row r="13" spans="1:19" ht="12.5">
      <c r="A13" s="10" t="s">
        <v>20690</v>
      </c>
      <c r="B13" s="5" t="s">
        <v>14126</v>
      </c>
      <c r="C13" s="5">
        <v>34644380068</v>
      </c>
      <c r="D13" s="5" t="s">
        <v>14129</v>
      </c>
      <c r="E13" s="5" t="s">
        <v>14128</v>
      </c>
      <c r="F13" s="5" t="s">
        <v>448</v>
      </c>
      <c r="G13" s="5" t="s">
        <v>14127</v>
      </c>
      <c r="H13" s="10" t="s">
        <v>20691</v>
      </c>
      <c r="I13" s="5" t="s">
        <v>3962</v>
      </c>
      <c r="K13" s="9">
        <v>46089.673078703701</v>
      </c>
      <c r="L13" s="5" t="s">
        <v>17416</v>
      </c>
      <c r="M13" s="10" t="s">
        <v>20692</v>
      </c>
      <c r="N13" s="10" t="s">
        <v>20693</v>
      </c>
      <c r="P13" s="5" t="s">
        <v>14580</v>
      </c>
      <c r="R13" s="9"/>
      <c r="S13" s="9"/>
    </row>
    <row r="14" spans="1:19" ht="12.5">
      <c r="A14" s="10" t="s">
        <v>20694</v>
      </c>
      <c r="B14" s="5" t="s">
        <v>14132</v>
      </c>
      <c r="C14" s="5">
        <v>573007524271</v>
      </c>
      <c r="D14" s="5" t="s">
        <v>13212</v>
      </c>
      <c r="E14" s="5" t="s">
        <v>14134</v>
      </c>
      <c r="F14" s="5" t="s">
        <v>161</v>
      </c>
      <c r="G14" s="5" t="s">
        <v>14133</v>
      </c>
      <c r="H14" s="10" t="s">
        <v>20695</v>
      </c>
      <c r="I14" s="5" t="s">
        <v>20667</v>
      </c>
      <c r="K14" s="23">
        <v>46089.659814814811</v>
      </c>
      <c r="L14" s="5" t="s">
        <v>17416</v>
      </c>
      <c r="M14" s="10" t="s">
        <v>20696</v>
      </c>
      <c r="N14" s="10" t="s">
        <v>20697</v>
      </c>
      <c r="P14" s="5" t="s">
        <v>14593</v>
      </c>
      <c r="R14" s="9">
        <v>46076.574456018519</v>
      </c>
      <c r="S14" s="9">
        <v>46076.574456018519</v>
      </c>
    </row>
    <row r="15" spans="1:19" ht="12.5">
      <c r="A15" s="10" t="s">
        <v>20698</v>
      </c>
      <c r="B15" s="5" t="s">
        <v>14121</v>
      </c>
      <c r="C15" s="5">
        <v>30043004612667</v>
      </c>
      <c r="D15" s="5" t="s">
        <v>12728</v>
      </c>
      <c r="E15" s="5" t="s">
        <v>14123</v>
      </c>
      <c r="F15" s="5" t="s">
        <v>103</v>
      </c>
      <c r="G15" s="5" t="s">
        <v>20699</v>
      </c>
      <c r="H15" s="10" t="s">
        <v>20700</v>
      </c>
      <c r="I15" s="5" t="s">
        <v>20688</v>
      </c>
      <c r="K15" s="23">
        <v>46089.618391203701</v>
      </c>
      <c r="L15" s="5" t="s">
        <v>20652</v>
      </c>
      <c r="M15" s="10" t="s">
        <v>20701</v>
      </c>
      <c r="N15" s="10" t="s">
        <v>20664</v>
      </c>
      <c r="P15" s="5" t="s">
        <v>14593</v>
      </c>
      <c r="R15" s="9">
        <v>46076.574537037035</v>
      </c>
      <c r="S15" s="9">
        <v>46076.574537037035</v>
      </c>
    </row>
    <row r="16" spans="1:19" ht="12.5">
      <c r="A16" s="10" t="s">
        <v>20702</v>
      </c>
      <c r="B16" s="5" t="s">
        <v>13885</v>
      </c>
      <c r="C16" s="5">
        <v>573013894849</v>
      </c>
      <c r="D16" s="5" t="s">
        <v>12673</v>
      </c>
      <c r="E16" s="5" t="s">
        <v>13886</v>
      </c>
      <c r="F16" s="5" t="s">
        <v>63</v>
      </c>
      <c r="G16" s="5" t="s">
        <v>20703</v>
      </c>
      <c r="H16" s="10" t="s">
        <v>20704</v>
      </c>
      <c r="I16" s="5" t="s">
        <v>20688</v>
      </c>
      <c r="K16" s="23">
        <v>46089.653587962966</v>
      </c>
      <c r="L16" s="5" t="s">
        <v>20652</v>
      </c>
      <c r="M16" s="10" t="s">
        <v>20705</v>
      </c>
      <c r="N16" s="10" t="s">
        <v>20659</v>
      </c>
      <c r="P16" s="5" t="s">
        <v>14598</v>
      </c>
      <c r="R16" s="9">
        <v>46078.381724537037</v>
      </c>
      <c r="S16" s="9">
        <v>46078.381724537037</v>
      </c>
    </row>
    <row r="17" spans="1:19" ht="12.5">
      <c r="A17" s="10" t="s">
        <v>20706</v>
      </c>
      <c r="B17" s="5" t="s">
        <v>14111</v>
      </c>
      <c r="C17" s="5">
        <v>573008446022</v>
      </c>
      <c r="D17" s="5" t="s">
        <v>12406</v>
      </c>
      <c r="E17" s="5" t="s">
        <v>14113</v>
      </c>
      <c r="F17" s="5" t="s">
        <v>146</v>
      </c>
      <c r="G17" s="5" t="s">
        <v>14112</v>
      </c>
      <c r="H17" s="10" t="s">
        <v>20707</v>
      </c>
      <c r="K17" s="23">
        <v>46089.630474537036</v>
      </c>
      <c r="L17" s="5" t="s">
        <v>6139</v>
      </c>
      <c r="M17" s="10" t="s">
        <v>20708</v>
      </c>
      <c r="N17" s="10" t="s">
        <v>20664</v>
      </c>
      <c r="P17" s="5" t="s">
        <v>14618</v>
      </c>
      <c r="R17" s="9">
        <v>46076.607476851852</v>
      </c>
      <c r="S17" s="9">
        <v>46076.607476851852</v>
      </c>
    </row>
    <row r="18" spans="1:19" ht="12.5">
      <c r="A18" s="10" t="s">
        <v>20709</v>
      </c>
      <c r="B18" s="5" t="s">
        <v>14106</v>
      </c>
      <c r="C18" s="5">
        <v>573208395916</v>
      </c>
      <c r="D18" s="5" t="s">
        <v>13138</v>
      </c>
      <c r="E18" s="5" t="s">
        <v>14108</v>
      </c>
      <c r="F18" s="5" t="s">
        <v>73</v>
      </c>
      <c r="G18" s="5" t="s">
        <v>14107</v>
      </c>
      <c r="H18" s="10" t="s">
        <v>20710</v>
      </c>
      <c r="I18" s="5" t="s">
        <v>20657</v>
      </c>
      <c r="K18" s="23">
        <v>46089.614722222221</v>
      </c>
      <c r="L18" s="5" t="s">
        <v>17416</v>
      </c>
      <c r="M18" s="10" t="s">
        <v>20711</v>
      </c>
      <c r="N18" s="10" t="s">
        <v>20697</v>
      </c>
      <c r="P18" s="5" t="s">
        <v>14593</v>
      </c>
      <c r="R18" s="9">
        <v>46076.640231481484</v>
      </c>
      <c r="S18" s="9">
        <v>46076.640231481484</v>
      </c>
    </row>
    <row r="19" spans="1:19" ht="12.5">
      <c r="A19" s="10" t="s">
        <v>20712</v>
      </c>
      <c r="B19" s="5" t="s">
        <v>14101</v>
      </c>
      <c r="C19" s="5">
        <v>573009477121</v>
      </c>
      <c r="D19" s="5" t="s">
        <v>12496</v>
      </c>
      <c r="E19" s="5" t="s">
        <v>14103</v>
      </c>
      <c r="F19" s="5" t="s">
        <v>154</v>
      </c>
      <c r="G19" s="5" t="s">
        <v>14102</v>
      </c>
      <c r="H19" s="10" t="s">
        <v>20713</v>
      </c>
      <c r="I19" s="5" t="s">
        <v>3962</v>
      </c>
      <c r="K19" s="23">
        <v>46089.586215277777</v>
      </c>
      <c r="L19" s="5" t="s">
        <v>17416</v>
      </c>
      <c r="M19" s="10" t="s">
        <v>20714</v>
      </c>
      <c r="N19" s="10" t="s">
        <v>20659</v>
      </c>
      <c r="P19" s="5" t="s">
        <v>14593</v>
      </c>
      <c r="R19" s="9">
        <v>46076.653923611113</v>
      </c>
      <c r="S19" s="9">
        <v>46076.653923611113</v>
      </c>
    </row>
    <row r="20" spans="1:19" ht="12.5">
      <c r="A20" s="10" t="s">
        <v>20715</v>
      </c>
      <c r="B20" s="5" t="s">
        <v>13979</v>
      </c>
      <c r="C20" s="5">
        <v>573188709938</v>
      </c>
      <c r="D20" s="5" t="s">
        <v>13138</v>
      </c>
      <c r="E20" s="5" t="s">
        <v>13981</v>
      </c>
      <c r="F20" s="5" t="s">
        <v>307</v>
      </c>
      <c r="G20" s="5" t="s">
        <v>20716</v>
      </c>
      <c r="H20" s="10" t="s">
        <v>20717</v>
      </c>
      <c r="I20" s="5" t="s">
        <v>20657</v>
      </c>
      <c r="K20" s="23">
        <v>46089.606793981482</v>
      </c>
      <c r="L20" s="5" t="s">
        <v>17416</v>
      </c>
      <c r="M20" s="10" t="s">
        <v>20718</v>
      </c>
      <c r="N20" s="10" t="s">
        <v>20664</v>
      </c>
      <c r="P20" s="5" t="s">
        <v>14618</v>
      </c>
      <c r="R20" s="9">
        <v>46076.686249999999</v>
      </c>
      <c r="S20" s="9">
        <v>46076.686249999999</v>
      </c>
    </row>
    <row r="21" spans="1:19" ht="12.5">
      <c r="A21" s="10" t="s">
        <v>20719</v>
      </c>
      <c r="B21" s="5" t="s">
        <v>13802</v>
      </c>
      <c r="C21" s="5">
        <v>573052325427</v>
      </c>
      <c r="D21" s="5" t="s">
        <v>13803</v>
      </c>
      <c r="E21" s="5" t="s">
        <v>12657</v>
      </c>
      <c r="F21" s="5" t="s">
        <v>12657</v>
      </c>
      <c r="G21" s="5" t="s">
        <v>13802</v>
      </c>
      <c r="H21" s="10" t="s">
        <v>20720</v>
      </c>
      <c r="K21" s="23">
        <v>46089.585995370369</v>
      </c>
      <c r="L21" s="5" t="s">
        <v>6139</v>
      </c>
      <c r="M21" s="10" t="s">
        <v>20721</v>
      </c>
      <c r="N21" s="10" t="s">
        <v>20722</v>
      </c>
      <c r="R21" s="9">
        <v>46076.75885416667</v>
      </c>
      <c r="S21" s="9">
        <v>46076.75885416667</v>
      </c>
    </row>
    <row r="22" spans="1:19" ht="12.5">
      <c r="A22" s="10" t="s">
        <v>20723</v>
      </c>
      <c r="B22" s="5" t="s">
        <v>14096</v>
      </c>
      <c r="C22" s="5">
        <v>573152727192</v>
      </c>
      <c r="D22" s="5" t="s">
        <v>12406</v>
      </c>
      <c r="E22" s="5" t="s">
        <v>14098</v>
      </c>
      <c r="F22" s="5" t="s">
        <v>73</v>
      </c>
      <c r="G22" s="5" t="s">
        <v>14097</v>
      </c>
      <c r="H22" s="10" t="s">
        <v>20724</v>
      </c>
      <c r="I22" s="5" t="s">
        <v>20657</v>
      </c>
      <c r="K22" s="23">
        <v>46089.662812499999</v>
      </c>
      <c r="L22" s="5" t="s">
        <v>17416</v>
      </c>
      <c r="M22" s="10" t="s">
        <v>20725</v>
      </c>
      <c r="N22" s="10" t="s">
        <v>20697</v>
      </c>
      <c r="P22" s="5" t="s">
        <v>14593</v>
      </c>
      <c r="R22" s="9">
        <v>46077.359340277777</v>
      </c>
      <c r="S22" s="9">
        <v>46077.359340277777</v>
      </c>
    </row>
    <row r="23" spans="1:19" ht="12.5">
      <c r="A23" s="10" t="s">
        <v>20726</v>
      </c>
      <c r="B23" s="5" t="s">
        <v>14093</v>
      </c>
      <c r="C23" s="5" t="s">
        <v>14094</v>
      </c>
      <c r="D23" s="5" t="s">
        <v>14095</v>
      </c>
      <c r="E23" s="5" t="s">
        <v>12657</v>
      </c>
      <c r="F23" s="5" t="s">
        <v>12657</v>
      </c>
      <c r="G23" s="5" t="s">
        <v>14093</v>
      </c>
      <c r="H23" s="10" t="s">
        <v>20727</v>
      </c>
      <c r="K23" s="9">
        <v>46089.672731481478</v>
      </c>
      <c r="L23" s="5" t="s">
        <v>6139</v>
      </c>
      <c r="M23" s="10" t="s">
        <v>20728</v>
      </c>
      <c r="N23" s="10" t="s">
        <v>20729</v>
      </c>
      <c r="R23" s="9">
        <v>46077.480081018519</v>
      </c>
      <c r="S23" s="9">
        <v>46077.480081018519</v>
      </c>
    </row>
    <row r="24" spans="1:19" ht="12.5">
      <c r="A24" s="10" t="s">
        <v>20730</v>
      </c>
      <c r="B24" s="5" t="s">
        <v>13998</v>
      </c>
      <c r="C24" s="5">
        <v>573105585460</v>
      </c>
      <c r="D24" s="5" t="s">
        <v>13807</v>
      </c>
      <c r="E24" s="5" t="s">
        <v>14000</v>
      </c>
      <c r="F24" s="5" t="s">
        <v>307</v>
      </c>
      <c r="G24" s="5" t="s">
        <v>13999</v>
      </c>
      <c r="H24" s="10" t="s">
        <v>20731</v>
      </c>
      <c r="I24" s="5" t="s">
        <v>20688</v>
      </c>
      <c r="K24" s="23">
        <v>46089.624930555554</v>
      </c>
      <c r="L24" s="5" t="s">
        <v>20652</v>
      </c>
      <c r="M24" s="10" t="s">
        <v>20732</v>
      </c>
      <c r="N24" s="10" t="s">
        <v>20659</v>
      </c>
      <c r="P24" s="5" t="s">
        <v>14618</v>
      </c>
      <c r="R24" s="9">
        <v>46077.385694444441</v>
      </c>
      <c r="S24" s="9">
        <v>46077.385694444441</v>
      </c>
    </row>
    <row r="25" spans="1:19" ht="12.5">
      <c r="A25" s="10" t="s">
        <v>20733</v>
      </c>
      <c r="B25" s="5" t="s">
        <v>14087</v>
      </c>
      <c r="C25" s="5">
        <v>573005273265</v>
      </c>
      <c r="D25" s="5" t="s">
        <v>14090</v>
      </c>
      <c r="E25" s="5" t="s">
        <v>14089</v>
      </c>
      <c r="F25" s="5" t="s">
        <v>964</v>
      </c>
      <c r="G25" s="5" t="s">
        <v>14088</v>
      </c>
      <c r="H25" s="10" t="s">
        <v>20734</v>
      </c>
      <c r="I25" s="5" t="s">
        <v>20657</v>
      </c>
      <c r="K25" s="23">
        <v>46089.595335648148</v>
      </c>
      <c r="L25" s="5" t="s">
        <v>17416</v>
      </c>
      <c r="M25" s="10" t="s">
        <v>20735</v>
      </c>
      <c r="N25" s="10" t="s">
        <v>20697</v>
      </c>
      <c r="P25" s="5" t="s">
        <v>14618</v>
      </c>
      <c r="R25" s="9">
        <v>46077.405289351853</v>
      </c>
      <c r="S25" s="9">
        <v>46077.405289351853</v>
      </c>
    </row>
    <row r="26" spans="1:19" ht="12.5">
      <c r="A26" s="10" t="s">
        <v>20736</v>
      </c>
      <c r="B26" s="5" t="s">
        <v>14062</v>
      </c>
      <c r="C26" s="5">
        <v>573004400740</v>
      </c>
      <c r="D26" s="5" t="s">
        <v>12406</v>
      </c>
      <c r="E26" s="5" t="s">
        <v>14064</v>
      </c>
      <c r="F26" s="5" t="s">
        <v>307</v>
      </c>
      <c r="G26" s="5" t="s">
        <v>20364</v>
      </c>
      <c r="H26" s="10" t="s">
        <v>20363</v>
      </c>
      <c r="I26" s="5" t="s">
        <v>20688</v>
      </c>
      <c r="K26" s="23">
        <v>46089.617037037038</v>
      </c>
      <c r="L26" s="5" t="s">
        <v>20652</v>
      </c>
      <c r="M26" s="10" t="s">
        <v>20737</v>
      </c>
      <c r="N26" s="10" t="s">
        <v>20697</v>
      </c>
      <c r="P26" s="5" t="s">
        <v>14618</v>
      </c>
      <c r="R26" s="9">
        <v>46077.438854166663</v>
      </c>
      <c r="S26" s="9">
        <v>46077.438854166663</v>
      </c>
    </row>
    <row r="27" spans="1:19" ht="12.5">
      <c r="A27" s="10" t="s">
        <v>20738</v>
      </c>
      <c r="B27" s="5" t="s">
        <v>14074</v>
      </c>
      <c r="C27" s="5">
        <v>573154447302</v>
      </c>
      <c r="D27" s="5" t="s">
        <v>14077</v>
      </c>
      <c r="E27" s="5" t="s">
        <v>14076</v>
      </c>
      <c r="F27" s="5" t="s">
        <v>964</v>
      </c>
      <c r="G27" s="5" t="s">
        <v>14075</v>
      </c>
      <c r="H27" s="10" t="s">
        <v>20739</v>
      </c>
      <c r="I27" s="5" t="s">
        <v>20657</v>
      </c>
      <c r="K27" s="23">
        <v>46089.623483796298</v>
      </c>
      <c r="L27" s="5" t="s">
        <v>17416</v>
      </c>
      <c r="M27" s="10" t="s">
        <v>20740</v>
      </c>
      <c r="N27" s="10" t="s">
        <v>20729</v>
      </c>
      <c r="P27" s="5" t="s">
        <v>14618</v>
      </c>
      <c r="R27" s="9">
        <v>46077.483113425929</v>
      </c>
      <c r="S27" s="9">
        <v>46077.483113425929</v>
      </c>
    </row>
    <row r="28" spans="1:19" ht="12.5">
      <c r="A28" s="10" t="s">
        <v>20741</v>
      </c>
      <c r="B28" s="5" t="s">
        <v>14045</v>
      </c>
      <c r="C28" s="5">
        <v>3107063615</v>
      </c>
      <c r="D28" s="5" t="s">
        <v>12728</v>
      </c>
      <c r="E28" s="5" t="s">
        <v>14047</v>
      </c>
      <c r="F28" s="5" t="s">
        <v>154</v>
      </c>
      <c r="G28" s="5" t="s">
        <v>14046</v>
      </c>
      <c r="H28" s="10" t="s">
        <v>20742</v>
      </c>
      <c r="I28" s="5" t="s">
        <v>20667</v>
      </c>
      <c r="K28" s="9">
        <v>46089.703738425924</v>
      </c>
      <c r="L28" s="5" t="s">
        <v>17416</v>
      </c>
      <c r="M28" s="5" t="s">
        <v>20743</v>
      </c>
      <c r="N28" s="10" t="s">
        <v>20697</v>
      </c>
      <c r="P28" s="5" t="s">
        <v>14593</v>
      </c>
      <c r="R28" s="9">
        <v>46077.51699074074</v>
      </c>
      <c r="S28" s="9">
        <v>46077.51699074074</v>
      </c>
    </row>
    <row r="29" spans="1:19" ht="12.5">
      <c r="A29" s="10" t="s">
        <v>20744</v>
      </c>
      <c r="B29" s="5" t="s">
        <v>14011</v>
      </c>
      <c r="C29" s="5">
        <v>573116629388</v>
      </c>
      <c r="D29" s="5" t="s">
        <v>13789</v>
      </c>
      <c r="E29" s="5" t="s">
        <v>14013</v>
      </c>
      <c r="F29" s="5" t="s">
        <v>193</v>
      </c>
      <c r="G29" s="5" t="s">
        <v>20353</v>
      </c>
      <c r="H29" s="10" t="s">
        <v>20745</v>
      </c>
      <c r="I29" s="5" t="s">
        <v>3962</v>
      </c>
      <c r="K29" s="23">
        <v>46089.630185185182</v>
      </c>
      <c r="L29" s="5" t="s">
        <v>17416</v>
      </c>
      <c r="M29" s="10" t="s">
        <v>20746</v>
      </c>
      <c r="N29" s="10" t="s">
        <v>20729</v>
      </c>
      <c r="P29" s="5" t="s">
        <v>14580</v>
      </c>
      <c r="R29" s="9">
        <v>46077.617314814815</v>
      </c>
      <c r="S29" s="9">
        <v>46077.617314814815</v>
      </c>
    </row>
    <row r="30" spans="1:19" ht="12.5">
      <c r="A30" s="10" t="s">
        <v>20747</v>
      </c>
      <c r="B30" s="5" t="s">
        <v>13989</v>
      </c>
      <c r="C30" s="5">
        <v>573052429073</v>
      </c>
      <c r="D30" s="5" t="s">
        <v>12496</v>
      </c>
      <c r="E30" s="5" t="s">
        <v>13991</v>
      </c>
      <c r="F30" s="5" t="s">
        <v>124</v>
      </c>
      <c r="G30" s="5" t="s">
        <v>20748</v>
      </c>
      <c r="H30" s="10" t="s">
        <v>20749</v>
      </c>
      <c r="I30" s="5" t="s">
        <v>20750</v>
      </c>
      <c r="K30" s="23">
        <v>46089.640694444446</v>
      </c>
      <c r="L30" s="5" t="s">
        <v>17416</v>
      </c>
      <c r="M30" s="10" t="s">
        <v>20751</v>
      </c>
      <c r="N30" s="10" t="s">
        <v>20664</v>
      </c>
      <c r="P30" s="5" t="s">
        <v>14775</v>
      </c>
      <c r="R30" s="9">
        <v>46077.620868055557</v>
      </c>
      <c r="S30" s="9">
        <v>46077.620868055557</v>
      </c>
    </row>
    <row r="31" spans="1:19" ht="12.5">
      <c r="A31" s="10" t="s">
        <v>20752</v>
      </c>
      <c r="B31" s="5" t="s">
        <v>14034</v>
      </c>
      <c r="C31" s="5">
        <v>573043117743</v>
      </c>
      <c r="D31" s="5" t="s">
        <v>12522</v>
      </c>
      <c r="E31" s="5" t="s">
        <v>14035</v>
      </c>
      <c r="F31" s="5" t="s">
        <v>63</v>
      </c>
      <c r="G31" s="5" t="s">
        <v>14034</v>
      </c>
      <c r="H31" s="10" t="s">
        <v>20753</v>
      </c>
      <c r="I31" s="5" t="s">
        <v>20688</v>
      </c>
      <c r="K31" s="23">
        <v>46089.615671296298</v>
      </c>
      <c r="L31" s="5" t="s">
        <v>20652</v>
      </c>
      <c r="M31" s="10" t="s">
        <v>20754</v>
      </c>
      <c r="N31" s="10" t="s">
        <v>20697</v>
      </c>
      <c r="P31" s="5" t="s">
        <v>14598</v>
      </c>
      <c r="R31" s="9">
        <v>46077.620949074073</v>
      </c>
      <c r="S31" s="9">
        <v>46077.620949074073</v>
      </c>
    </row>
    <row r="32" spans="1:19" ht="12.5">
      <c r="A32" s="10" t="s">
        <v>20755</v>
      </c>
      <c r="B32" s="5" t="s">
        <v>14082</v>
      </c>
      <c r="C32" s="5">
        <v>573150491518</v>
      </c>
      <c r="D32" s="5" t="s">
        <v>12406</v>
      </c>
      <c r="E32" s="5" t="s">
        <v>12657</v>
      </c>
      <c r="F32" s="5" t="s">
        <v>12657</v>
      </c>
      <c r="G32" s="5" t="s">
        <v>14083</v>
      </c>
      <c r="H32" s="10" t="s">
        <v>20756</v>
      </c>
      <c r="K32" s="23">
        <v>46089.574699074074</v>
      </c>
      <c r="L32" s="5" t="s">
        <v>6139</v>
      </c>
      <c r="M32" s="10" t="s">
        <v>20757</v>
      </c>
      <c r="N32" s="10" t="s">
        <v>20758</v>
      </c>
      <c r="R32" s="9">
        <v>46077.642905092594</v>
      </c>
      <c r="S32" s="9">
        <v>46077.642905092594</v>
      </c>
    </row>
    <row r="33" spans="1:19" ht="12.5">
      <c r="A33" s="10" t="s">
        <v>20759</v>
      </c>
      <c r="B33" s="5" t="s">
        <v>14017</v>
      </c>
      <c r="C33" s="5">
        <v>573015245531</v>
      </c>
      <c r="D33" s="5" t="s">
        <v>14020</v>
      </c>
      <c r="E33" s="5" t="s">
        <v>14019</v>
      </c>
      <c r="F33" s="5" t="s">
        <v>73</v>
      </c>
      <c r="G33" s="5" t="s">
        <v>14018</v>
      </c>
      <c r="H33" s="10" t="s">
        <v>20760</v>
      </c>
      <c r="I33" s="5" t="s">
        <v>20688</v>
      </c>
      <c r="K33" s="23">
        <v>46089.660555555558</v>
      </c>
      <c r="L33" s="5" t="s">
        <v>20652</v>
      </c>
      <c r="M33" s="10" t="s">
        <v>20761</v>
      </c>
      <c r="N33" s="10" t="s">
        <v>20762</v>
      </c>
      <c r="P33" s="5" t="s">
        <v>14593</v>
      </c>
      <c r="R33" s="9">
        <v>46077.655775462961</v>
      </c>
      <c r="S33" s="9">
        <v>46077.655775462961</v>
      </c>
    </row>
    <row r="34" spans="1:19" ht="12.5">
      <c r="A34" s="10" t="s">
        <v>20763</v>
      </c>
      <c r="B34" s="5" t="s">
        <v>14058</v>
      </c>
      <c r="C34" s="5">
        <v>573244514045</v>
      </c>
      <c r="D34" s="5" t="s">
        <v>12423</v>
      </c>
      <c r="E34" s="5" t="s">
        <v>14059</v>
      </c>
      <c r="F34" s="5" t="s">
        <v>1647</v>
      </c>
      <c r="G34" s="5" t="s">
        <v>1321</v>
      </c>
      <c r="I34" s="5" t="s">
        <v>20750</v>
      </c>
      <c r="K34" s="23">
        <v>46089.619270833333</v>
      </c>
      <c r="L34" s="5" t="s">
        <v>20652</v>
      </c>
      <c r="M34" s="10" t="s">
        <v>20764</v>
      </c>
      <c r="N34" s="10" t="s">
        <v>20762</v>
      </c>
      <c r="P34" s="5" t="s">
        <v>14580</v>
      </c>
      <c r="R34" s="9">
        <v>46077.670520833337</v>
      </c>
      <c r="S34" s="9">
        <v>46077.670520833337</v>
      </c>
    </row>
    <row r="35" spans="1:19" ht="12.5">
      <c r="A35" s="10" t="s">
        <v>20765</v>
      </c>
      <c r="B35" s="10" t="s">
        <v>20766</v>
      </c>
      <c r="C35" s="5">
        <v>573246899919</v>
      </c>
      <c r="D35" s="5" t="s">
        <v>12406</v>
      </c>
      <c r="E35" s="5" t="s">
        <v>14029</v>
      </c>
      <c r="F35" s="5" t="s">
        <v>307</v>
      </c>
      <c r="G35" s="5" t="s">
        <v>14028</v>
      </c>
      <c r="H35" s="10" t="s">
        <v>20337</v>
      </c>
      <c r="I35" s="5" t="s">
        <v>3962</v>
      </c>
      <c r="K35" s="23">
        <v>46089.602534722224</v>
      </c>
      <c r="L35" s="5" t="s">
        <v>17416</v>
      </c>
      <c r="M35" s="10" t="s">
        <v>20767</v>
      </c>
      <c r="N35" s="10" t="s">
        <v>20722</v>
      </c>
      <c r="P35" s="5" t="s">
        <v>14618</v>
      </c>
      <c r="R35" s="9">
        <v>46077.682002314818</v>
      </c>
      <c r="S35" s="9">
        <v>46077.682002314818</v>
      </c>
    </row>
    <row r="36" spans="1:19" ht="12.5">
      <c r="A36" s="10" t="s">
        <v>20768</v>
      </c>
      <c r="B36" s="5" t="s">
        <v>14050</v>
      </c>
      <c r="C36" s="5">
        <v>573028023810</v>
      </c>
      <c r="D36" s="5" t="s">
        <v>12728</v>
      </c>
      <c r="E36" s="5" t="s">
        <v>14053</v>
      </c>
      <c r="F36" s="5" t="s">
        <v>14052</v>
      </c>
      <c r="G36" s="5" t="s">
        <v>20334</v>
      </c>
      <c r="H36" s="10" t="s">
        <v>20333</v>
      </c>
      <c r="I36" s="5" t="s">
        <v>20750</v>
      </c>
      <c r="K36" s="23">
        <v>46089.569328703707</v>
      </c>
      <c r="L36" s="5" t="s">
        <v>17416</v>
      </c>
      <c r="M36" s="10" t="s">
        <v>20769</v>
      </c>
      <c r="N36" s="10" t="s">
        <v>20729</v>
      </c>
      <c r="P36" s="5" t="s">
        <v>14580</v>
      </c>
      <c r="R36" s="9">
        <v>46077.730729166666</v>
      </c>
      <c r="S36" s="9">
        <v>46077.730729166666</v>
      </c>
    </row>
    <row r="37" spans="1:19" ht="12.5">
      <c r="A37" s="10" t="s">
        <v>20770</v>
      </c>
      <c r="B37" s="5" t="s">
        <v>14022</v>
      </c>
      <c r="C37" s="5">
        <v>573013506011</v>
      </c>
      <c r="D37" s="5" t="s">
        <v>13079</v>
      </c>
      <c r="E37" s="5" t="s">
        <v>14024</v>
      </c>
      <c r="F37" s="5" t="s">
        <v>892</v>
      </c>
      <c r="G37" s="5" t="s">
        <v>20771</v>
      </c>
      <c r="H37" s="10" t="s">
        <v>20323</v>
      </c>
      <c r="I37" s="5" t="s">
        <v>20688</v>
      </c>
      <c r="K37" s="23">
        <v>46089.59814814815</v>
      </c>
      <c r="L37" s="5" t="s">
        <v>17416</v>
      </c>
      <c r="M37" s="10" t="s">
        <v>20772</v>
      </c>
      <c r="N37" s="10" t="s">
        <v>20762</v>
      </c>
      <c r="P37" s="5" t="s">
        <v>14593</v>
      </c>
      <c r="R37" s="9">
        <v>46077.731446759259</v>
      </c>
      <c r="S37" s="9">
        <v>46077.731446759259</v>
      </c>
    </row>
    <row r="38" spans="1:19" ht="12.5">
      <c r="A38" s="10" t="s">
        <v>20773</v>
      </c>
      <c r="B38" s="5" t="s">
        <v>14022</v>
      </c>
      <c r="C38" s="5">
        <v>573013506011</v>
      </c>
      <c r="D38" s="5" t="s">
        <v>12484</v>
      </c>
      <c r="E38" s="5" t="s">
        <v>14024</v>
      </c>
      <c r="F38" s="5" t="s">
        <v>892</v>
      </c>
      <c r="G38" s="5" t="s">
        <v>20324</v>
      </c>
      <c r="H38" s="10" t="s">
        <v>20323</v>
      </c>
      <c r="I38" s="5" t="s">
        <v>20688</v>
      </c>
      <c r="K38" s="23">
        <v>46089.598819444444</v>
      </c>
      <c r="L38" s="5" t="s">
        <v>17416</v>
      </c>
      <c r="M38" s="10" t="s">
        <v>20774</v>
      </c>
      <c r="N38" s="10" t="s">
        <v>20762</v>
      </c>
      <c r="P38" s="5" t="s">
        <v>14593</v>
      </c>
      <c r="R38" s="9">
        <v>46077.734270833331</v>
      </c>
      <c r="S38" s="9">
        <v>46077.734270833331</v>
      </c>
    </row>
    <row r="39" spans="1:19" ht="12.5">
      <c r="A39" s="10" t="s">
        <v>20775</v>
      </c>
      <c r="B39" s="5" t="s">
        <v>13932</v>
      </c>
      <c r="C39" s="5">
        <v>573114239021</v>
      </c>
      <c r="D39" s="5" t="s">
        <v>13907</v>
      </c>
      <c r="E39" s="5" t="s">
        <v>13934</v>
      </c>
      <c r="F39" s="5" t="s">
        <v>1815</v>
      </c>
      <c r="G39" s="5" t="s">
        <v>13932</v>
      </c>
      <c r="H39" s="10" t="s">
        <v>20320</v>
      </c>
      <c r="K39" s="23">
        <v>46089.535324074073</v>
      </c>
      <c r="L39" s="5" t="s">
        <v>6139</v>
      </c>
      <c r="M39" s="10" t="s">
        <v>20776</v>
      </c>
      <c r="N39" s="10" t="s">
        <v>20729</v>
      </c>
      <c r="P39" s="5" t="s">
        <v>14580</v>
      </c>
      <c r="R39" s="9">
        <v>46077.734652777777</v>
      </c>
      <c r="S39" s="9">
        <v>46077.734652777777</v>
      </c>
    </row>
    <row r="40" spans="1:19" ht="12.5">
      <c r="A40" s="10" t="s">
        <v>20777</v>
      </c>
      <c r="B40" s="5" t="s">
        <v>13817</v>
      </c>
      <c r="C40" s="5">
        <v>573243585945</v>
      </c>
      <c r="D40" s="5" t="s">
        <v>12484</v>
      </c>
      <c r="E40" s="5" t="s">
        <v>13819</v>
      </c>
      <c r="F40" s="5" t="s">
        <v>1057</v>
      </c>
      <c r="G40" s="5" t="s">
        <v>13818</v>
      </c>
      <c r="H40" s="10" t="s">
        <v>20778</v>
      </c>
      <c r="I40" s="5" t="s">
        <v>3962</v>
      </c>
      <c r="K40" s="23">
        <v>46089.590613425928</v>
      </c>
      <c r="L40" s="5" t="s">
        <v>17416</v>
      </c>
      <c r="M40" s="10" t="s">
        <v>20779</v>
      </c>
      <c r="N40" s="10" t="s">
        <v>20762</v>
      </c>
      <c r="P40" s="5" t="s">
        <v>14580</v>
      </c>
      <c r="R40" s="9">
        <v>46077.734861111108</v>
      </c>
      <c r="S40" s="9">
        <v>46077.734861111108</v>
      </c>
    </row>
    <row r="41" spans="1:19" ht="12.5">
      <c r="A41" s="10" t="s">
        <v>20780</v>
      </c>
      <c r="B41" s="5" t="s">
        <v>13308</v>
      </c>
      <c r="C41" s="5">
        <v>573128297775</v>
      </c>
      <c r="D41" s="5" t="s">
        <v>13138</v>
      </c>
      <c r="E41" s="5" t="s">
        <v>14038</v>
      </c>
      <c r="F41" s="5" t="s">
        <v>420</v>
      </c>
      <c r="G41" s="5" t="s">
        <v>20315</v>
      </c>
      <c r="H41" s="10" t="s">
        <v>20781</v>
      </c>
      <c r="I41" s="5" t="s">
        <v>20667</v>
      </c>
      <c r="K41" s="23">
        <v>46089.628252314818</v>
      </c>
      <c r="L41" s="5" t="s">
        <v>17416</v>
      </c>
      <c r="M41" s="10" t="s">
        <v>20782</v>
      </c>
      <c r="N41" s="10" t="s">
        <v>20762</v>
      </c>
      <c r="P41" s="5" t="s">
        <v>14580</v>
      </c>
      <c r="R41" s="9">
        <v>46077.753831018519</v>
      </c>
      <c r="S41" s="9">
        <v>46077.753831018519</v>
      </c>
    </row>
    <row r="42" spans="1:19" ht="12.5">
      <c r="A42" s="10" t="s">
        <v>20783</v>
      </c>
      <c r="B42" s="5" t="s">
        <v>13952</v>
      </c>
      <c r="C42" s="5">
        <v>573204208147</v>
      </c>
      <c r="D42" s="5" t="s">
        <v>12423</v>
      </c>
      <c r="E42" s="5" t="s">
        <v>13954</v>
      </c>
      <c r="F42" s="5" t="s">
        <v>975</v>
      </c>
      <c r="G42" s="5" t="s">
        <v>20784</v>
      </c>
      <c r="H42" s="10" t="s">
        <v>20785</v>
      </c>
      <c r="I42" s="5" t="s">
        <v>3962</v>
      </c>
      <c r="K42" s="23">
        <v>46089.603888888887</v>
      </c>
      <c r="L42" s="5" t="s">
        <v>17416</v>
      </c>
      <c r="M42" s="10" t="s">
        <v>20786</v>
      </c>
      <c r="N42" s="10" t="s">
        <v>20762</v>
      </c>
      <c r="P42" s="5" t="s">
        <v>14593</v>
      </c>
      <c r="R42" s="9">
        <v>46078.39770833333</v>
      </c>
      <c r="S42" s="9">
        <v>46078.39770833333</v>
      </c>
    </row>
    <row r="43" spans="1:19" ht="12.5">
      <c r="A43" s="10" t="s">
        <v>20787</v>
      </c>
      <c r="B43" s="5" t="s">
        <v>13942</v>
      </c>
      <c r="C43" s="5">
        <v>573016147069</v>
      </c>
      <c r="D43" s="5" t="s">
        <v>12522</v>
      </c>
      <c r="E43" s="5" t="s">
        <v>13944</v>
      </c>
      <c r="F43" s="5" t="s">
        <v>103</v>
      </c>
      <c r="G43" s="5" t="s">
        <v>13943</v>
      </c>
      <c r="H43" s="10" t="s">
        <v>20788</v>
      </c>
      <c r="I43" s="5" t="s">
        <v>20667</v>
      </c>
      <c r="K43" s="23">
        <v>46089.619120370371</v>
      </c>
      <c r="L43" s="5" t="s">
        <v>17416</v>
      </c>
      <c r="M43" s="10" t="s">
        <v>20789</v>
      </c>
      <c r="N43" s="10" t="s">
        <v>20762</v>
      </c>
      <c r="P43" s="5" t="s">
        <v>14593</v>
      </c>
      <c r="R43" s="9">
        <v>46078.404178240744</v>
      </c>
      <c r="S43" s="9">
        <v>46078.404178240744</v>
      </c>
    </row>
    <row r="44" spans="1:19" ht="12.5">
      <c r="A44" s="10" t="s">
        <v>20790</v>
      </c>
      <c r="B44" s="5" t="s">
        <v>13984</v>
      </c>
      <c r="C44" s="5">
        <v>84383137308438</v>
      </c>
      <c r="D44" s="5" t="s">
        <v>13217</v>
      </c>
      <c r="E44" s="5" t="s">
        <v>13986</v>
      </c>
      <c r="F44" s="5" t="s">
        <v>1921</v>
      </c>
      <c r="G44" s="5" t="s">
        <v>13985</v>
      </c>
      <c r="H44" s="10" t="s">
        <v>20791</v>
      </c>
      <c r="I44" s="5" t="s">
        <v>20667</v>
      </c>
      <c r="K44" s="23">
        <v>46089.532280092593</v>
      </c>
      <c r="L44" s="5" t="s">
        <v>17416</v>
      </c>
      <c r="M44" s="10" t="s">
        <v>20792</v>
      </c>
      <c r="N44" s="10" t="s">
        <v>20762</v>
      </c>
      <c r="P44" s="5" t="s">
        <v>14580</v>
      </c>
      <c r="R44" s="9">
        <v>46078.404270833336</v>
      </c>
      <c r="S44" s="9">
        <v>46078.404270833336</v>
      </c>
    </row>
    <row r="45" spans="1:19" ht="12.5">
      <c r="A45" s="10" t="s">
        <v>20793</v>
      </c>
      <c r="B45" s="5" t="s">
        <v>10764</v>
      </c>
      <c r="C45" s="5">
        <v>57321524086969</v>
      </c>
      <c r="D45" s="5" t="s">
        <v>12728</v>
      </c>
      <c r="E45" s="5" t="s">
        <v>12657</v>
      </c>
      <c r="F45" s="5" t="s">
        <v>12657</v>
      </c>
      <c r="G45" s="5" t="s">
        <v>10764</v>
      </c>
      <c r="H45" s="10" t="s">
        <v>20794</v>
      </c>
      <c r="K45" s="23">
        <v>46089.568935185183</v>
      </c>
      <c r="L45" s="5" t="s">
        <v>6139</v>
      </c>
      <c r="M45" s="10" t="s">
        <v>20795</v>
      </c>
      <c r="N45" s="10" t="s">
        <v>20758</v>
      </c>
      <c r="R45" s="9">
        <v>46078.431851851848</v>
      </c>
      <c r="S45" s="9">
        <v>46078.431851851848</v>
      </c>
    </row>
    <row r="46" spans="1:19" ht="12.5">
      <c r="A46" s="10" t="s">
        <v>20796</v>
      </c>
      <c r="B46" s="5" t="s">
        <v>13857</v>
      </c>
      <c r="C46" s="5">
        <v>34620769481</v>
      </c>
      <c r="D46" s="5" t="s">
        <v>13860</v>
      </c>
      <c r="E46" s="5" t="s">
        <v>13859</v>
      </c>
      <c r="F46" s="5" t="s">
        <v>87</v>
      </c>
      <c r="G46" s="5" t="s">
        <v>13858</v>
      </c>
      <c r="H46" s="10" t="s">
        <v>20797</v>
      </c>
      <c r="I46" s="5" t="s">
        <v>20667</v>
      </c>
      <c r="K46" s="23">
        <v>46089.570671296293</v>
      </c>
      <c r="L46" s="5" t="s">
        <v>17416</v>
      </c>
      <c r="M46" s="10" t="s">
        <v>20798</v>
      </c>
      <c r="N46" s="10" t="s">
        <v>20762</v>
      </c>
      <c r="P46" s="5" t="s">
        <v>14580</v>
      </c>
      <c r="R46" s="9">
        <v>46078.435104166667</v>
      </c>
      <c r="S46" s="9">
        <v>46078.435104166667</v>
      </c>
    </row>
    <row r="47" spans="1:19" ht="12.5">
      <c r="A47" s="10" t="s">
        <v>20799</v>
      </c>
      <c r="B47" s="5" t="s">
        <v>13924</v>
      </c>
      <c r="C47" s="5">
        <v>573017997710</v>
      </c>
      <c r="D47" s="5" t="s">
        <v>13838</v>
      </c>
      <c r="E47" s="5" t="s">
        <v>13926</v>
      </c>
      <c r="F47" s="5" t="s">
        <v>73</v>
      </c>
      <c r="G47" s="5" t="s">
        <v>20800</v>
      </c>
      <c r="H47" s="10" t="s">
        <v>20801</v>
      </c>
      <c r="I47" s="5" t="s">
        <v>20688</v>
      </c>
      <c r="K47" s="23">
        <v>46089.635891203703</v>
      </c>
      <c r="L47" s="5" t="s">
        <v>20652</v>
      </c>
      <c r="M47" s="10" t="s">
        <v>20802</v>
      </c>
      <c r="N47" s="10" t="s">
        <v>20722</v>
      </c>
      <c r="P47" s="5" t="s">
        <v>14593</v>
      </c>
      <c r="R47" s="9">
        <v>46078.464282407411</v>
      </c>
      <c r="S47" s="9">
        <v>46078.464282407411</v>
      </c>
    </row>
    <row r="48" spans="1:19" ht="12.5">
      <c r="A48" s="10" t="s">
        <v>20803</v>
      </c>
      <c r="B48" s="5" t="s">
        <v>14026</v>
      </c>
      <c r="C48" s="5">
        <v>573186228967</v>
      </c>
      <c r="D48" s="5" t="s">
        <v>14027</v>
      </c>
      <c r="E48" s="5" t="s">
        <v>12657</v>
      </c>
      <c r="F48" s="5" t="s">
        <v>12657</v>
      </c>
      <c r="G48" s="5" t="s">
        <v>14026</v>
      </c>
      <c r="H48" s="10" t="s">
        <v>20804</v>
      </c>
      <c r="K48" s="23">
        <v>46089.633287037039</v>
      </c>
      <c r="L48" s="5" t="s">
        <v>6139</v>
      </c>
      <c r="M48" s="10" t="s">
        <v>20805</v>
      </c>
      <c r="N48" s="10" t="s">
        <v>20806</v>
      </c>
      <c r="R48" s="9">
        <v>46078.464432870373</v>
      </c>
      <c r="S48" s="9">
        <v>46078.464432870373</v>
      </c>
    </row>
    <row r="49" spans="1:19" ht="12.5">
      <c r="A49" s="10" t="s">
        <v>20807</v>
      </c>
      <c r="B49" s="5" t="s">
        <v>13948</v>
      </c>
      <c r="C49" s="5">
        <v>573006489514</v>
      </c>
      <c r="D49" s="5" t="s">
        <v>12406</v>
      </c>
      <c r="E49" s="5" t="s">
        <v>13950</v>
      </c>
      <c r="F49" s="5" t="s">
        <v>1317</v>
      </c>
      <c r="G49" s="5" t="s">
        <v>13949</v>
      </c>
      <c r="H49" s="10" t="s">
        <v>20284</v>
      </c>
      <c r="I49" s="5" t="s">
        <v>3962</v>
      </c>
      <c r="K49" s="23">
        <v>46089.574421296296</v>
      </c>
      <c r="L49" s="5" t="s">
        <v>17416</v>
      </c>
      <c r="M49" s="10" t="s">
        <v>20808</v>
      </c>
      <c r="N49" s="10" t="s">
        <v>20758</v>
      </c>
      <c r="P49" s="5" t="s">
        <v>15349</v>
      </c>
      <c r="R49" s="9">
        <v>46078.493726851855</v>
      </c>
      <c r="S49" s="9">
        <v>46078.493726851855</v>
      </c>
    </row>
    <row r="50" spans="1:19" ht="12.5">
      <c r="A50" s="10" t="s">
        <v>20809</v>
      </c>
      <c r="B50" s="5" t="s">
        <v>13894</v>
      </c>
      <c r="C50" s="5">
        <v>573173579313</v>
      </c>
      <c r="D50" s="5" t="s">
        <v>12423</v>
      </c>
      <c r="E50" s="5" t="s">
        <v>13896</v>
      </c>
      <c r="F50" s="5" t="s">
        <v>265</v>
      </c>
      <c r="G50" s="5" t="s">
        <v>13895</v>
      </c>
      <c r="H50" s="10" t="s">
        <v>20810</v>
      </c>
      <c r="I50" s="5" t="s">
        <v>20750</v>
      </c>
      <c r="K50" s="23">
        <v>46089.563460648147</v>
      </c>
      <c r="L50" s="5" t="s">
        <v>17416</v>
      </c>
      <c r="M50" s="5" t="s">
        <v>20811</v>
      </c>
      <c r="N50" s="10" t="s">
        <v>20681</v>
      </c>
      <c r="P50" s="5" t="s">
        <v>14691</v>
      </c>
      <c r="R50" s="9">
        <v>46078.496493055558</v>
      </c>
      <c r="S50" s="9">
        <v>46078.496493055558</v>
      </c>
    </row>
    <row r="51" spans="1:19" ht="12.5">
      <c r="A51" s="10" t="s">
        <v>20812</v>
      </c>
      <c r="B51" s="5" t="s">
        <v>13963</v>
      </c>
      <c r="C51" s="5">
        <v>573022812819</v>
      </c>
      <c r="D51" s="5" t="s">
        <v>12423</v>
      </c>
      <c r="E51" s="5" t="s">
        <v>13965</v>
      </c>
      <c r="F51" s="5" t="s">
        <v>249</v>
      </c>
      <c r="G51" s="5" t="s">
        <v>13964</v>
      </c>
      <c r="H51" s="10" t="s">
        <v>20813</v>
      </c>
      <c r="I51" s="5" t="s">
        <v>20688</v>
      </c>
      <c r="K51" s="23">
        <v>46089.595381944448</v>
      </c>
      <c r="L51" s="5" t="s">
        <v>17416</v>
      </c>
      <c r="M51" s="10" t="s">
        <v>20814</v>
      </c>
      <c r="N51" s="10" t="s">
        <v>20815</v>
      </c>
      <c r="P51" s="5" t="s">
        <v>14593</v>
      </c>
      <c r="R51" s="9">
        <v>46078.500428240739</v>
      </c>
      <c r="S51" s="9">
        <v>46078.500428240739</v>
      </c>
    </row>
    <row r="52" spans="1:19" ht="12.5">
      <c r="A52" s="10" t="s">
        <v>20816</v>
      </c>
      <c r="B52" s="5" t="s">
        <v>13972</v>
      </c>
      <c r="C52" s="5">
        <v>573004214517</v>
      </c>
      <c r="D52" s="5" t="s">
        <v>13074</v>
      </c>
      <c r="E52" s="5" t="s">
        <v>13974</v>
      </c>
      <c r="F52" s="5" t="s">
        <v>103</v>
      </c>
      <c r="G52" s="5" t="s">
        <v>13973</v>
      </c>
      <c r="H52" s="10" t="s">
        <v>20267</v>
      </c>
      <c r="I52" s="5" t="s">
        <v>20688</v>
      </c>
      <c r="K52" s="23">
        <v>46089.500671296293</v>
      </c>
      <c r="L52" s="5" t="s">
        <v>17416</v>
      </c>
      <c r="M52" s="10" t="s">
        <v>20817</v>
      </c>
      <c r="N52" s="10" t="s">
        <v>20722</v>
      </c>
      <c r="P52" s="5" t="s">
        <v>14593</v>
      </c>
      <c r="R52" s="9">
        <v>46078.582754629628</v>
      </c>
      <c r="S52" s="9">
        <v>46078.582754629628</v>
      </c>
    </row>
    <row r="53" spans="1:19" ht="12.5">
      <c r="A53" s="10" t="s">
        <v>20818</v>
      </c>
      <c r="B53" s="5" t="s">
        <v>13937</v>
      </c>
      <c r="C53" s="5">
        <v>57320940951551</v>
      </c>
      <c r="D53" s="5" t="s">
        <v>13807</v>
      </c>
      <c r="E53" s="5" t="s">
        <v>12657</v>
      </c>
      <c r="F53" s="5" t="s">
        <v>12657</v>
      </c>
      <c r="G53" s="5" t="s">
        <v>13937</v>
      </c>
      <c r="H53" s="10" t="s">
        <v>20819</v>
      </c>
      <c r="K53" s="23">
        <v>46089.568414351852</v>
      </c>
      <c r="L53" s="5" t="s">
        <v>6139</v>
      </c>
      <c r="M53" s="10" t="s">
        <v>20820</v>
      </c>
      <c r="N53" s="10" t="s">
        <v>20821</v>
      </c>
      <c r="R53" s="9">
        <v>46078.582824074074</v>
      </c>
      <c r="S53" s="9">
        <v>46078.582824074074</v>
      </c>
    </row>
    <row r="54" spans="1:19" ht="12.5">
      <c r="A54" s="10" t="s">
        <v>20822</v>
      </c>
      <c r="B54" s="5" t="s">
        <v>13969</v>
      </c>
      <c r="C54" s="5">
        <v>573003322666</v>
      </c>
      <c r="D54" s="5" t="s">
        <v>13978</v>
      </c>
      <c r="E54" s="5" t="s">
        <v>12657</v>
      </c>
      <c r="F54" s="5" t="s">
        <v>12657</v>
      </c>
      <c r="G54" s="5" t="s">
        <v>13969</v>
      </c>
      <c r="H54" s="10" t="s">
        <v>20823</v>
      </c>
      <c r="K54" s="23">
        <v>46089.448483796295</v>
      </c>
      <c r="L54" s="5" t="s">
        <v>6139</v>
      </c>
      <c r="M54" s="10" t="s">
        <v>20824</v>
      </c>
      <c r="N54" s="10" t="s">
        <v>20681</v>
      </c>
      <c r="R54" s="9">
        <v>46078.582905092589</v>
      </c>
      <c r="S54" s="9">
        <v>46078.582905092589</v>
      </c>
    </row>
    <row r="55" spans="1:19" ht="12.5">
      <c r="A55" s="10" t="s">
        <v>20825</v>
      </c>
      <c r="B55" s="5" t="s">
        <v>13913</v>
      </c>
      <c r="C55" s="5">
        <v>573127035334</v>
      </c>
      <c r="D55" s="5" t="s">
        <v>13138</v>
      </c>
      <c r="E55" s="5" t="s">
        <v>13915</v>
      </c>
      <c r="F55" s="5" t="s">
        <v>448</v>
      </c>
      <c r="G55" s="5" t="s">
        <v>20826</v>
      </c>
      <c r="H55" s="10" t="s">
        <v>20827</v>
      </c>
      <c r="I55" s="5" t="s">
        <v>20750</v>
      </c>
      <c r="K55" s="23">
        <v>46089.525972222225</v>
      </c>
      <c r="L55" s="5" t="s">
        <v>17416</v>
      </c>
      <c r="M55" s="10" t="s">
        <v>20828</v>
      </c>
      <c r="N55" s="10" t="s">
        <v>20729</v>
      </c>
      <c r="P55" s="5" t="s">
        <v>14580</v>
      </c>
      <c r="R55" s="9">
        <v>46078.600659722222</v>
      </c>
      <c r="S55" s="9">
        <v>46078.600659722222</v>
      </c>
    </row>
    <row r="56" spans="1:19" ht="12.5">
      <c r="A56" s="10" t="s">
        <v>20829</v>
      </c>
      <c r="B56" s="5" t="s">
        <v>13976</v>
      </c>
      <c r="C56" s="5">
        <v>573502817351</v>
      </c>
      <c r="D56" s="5" t="s">
        <v>12484</v>
      </c>
      <c r="E56" s="5" t="s">
        <v>12657</v>
      </c>
      <c r="F56" s="5" t="s">
        <v>12657</v>
      </c>
      <c r="G56" s="5" t="s">
        <v>13976</v>
      </c>
      <c r="H56" s="10" t="s">
        <v>20255</v>
      </c>
      <c r="K56" s="23">
        <v>46089.449050925927</v>
      </c>
      <c r="L56" s="5" t="s">
        <v>6139</v>
      </c>
      <c r="M56" s="10" t="s">
        <v>20830</v>
      </c>
      <c r="N56" s="10" t="s">
        <v>20681</v>
      </c>
      <c r="R56" s="9">
        <v>46078.620763888888</v>
      </c>
      <c r="S56" s="9">
        <v>46078.620763888888</v>
      </c>
    </row>
    <row r="57" spans="1:19" ht="12.5">
      <c r="A57" s="10" t="s">
        <v>20831</v>
      </c>
      <c r="B57" s="5" t="s">
        <v>13957</v>
      </c>
      <c r="C57" s="5">
        <v>573005873865</v>
      </c>
      <c r="D57" s="5" t="s">
        <v>12406</v>
      </c>
      <c r="E57" s="5" t="s">
        <v>13959</v>
      </c>
      <c r="F57" s="5" t="s">
        <v>1647</v>
      </c>
      <c r="G57" s="5" t="s">
        <v>13958</v>
      </c>
      <c r="H57" s="10" t="s">
        <v>20832</v>
      </c>
      <c r="I57" s="5" t="s">
        <v>20667</v>
      </c>
      <c r="K57" s="23">
        <v>46089.517071759263</v>
      </c>
      <c r="L57" s="5" t="s">
        <v>17416</v>
      </c>
      <c r="M57" s="10" t="s">
        <v>20833</v>
      </c>
      <c r="N57" s="10" t="s">
        <v>20722</v>
      </c>
      <c r="P57" s="5" t="s">
        <v>14580</v>
      </c>
      <c r="R57" s="9">
        <v>46078.6481712963</v>
      </c>
      <c r="S57" s="9">
        <v>46078.6481712963</v>
      </c>
    </row>
    <row r="58" spans="1:19" ht="12.5">
      <c r="A58" s="10" t="s">
        <v>20834</v>
      </c>
      <c r="B58" s="5" t="s">
        <v>13909</v>
      </c>
      <c r="C58" s="5">
        <v>573046167890</v>
      </c>
      <c r="D58" s="5" t="s">
        <v>20249</v>
      </c>
      <c r="E58" s="5" t="s">
        <v>13911</v>
      </c>
      <c r="F58" s="5" t="s">
        <v>892</v>
      </c>
      <c r="G58" s="5" t="s">
        <v>13910</v>
      </c>
      <c r="H58" s="10" t="s">
        <v>20835</v>
      </c>
      <c r="I58" s="5" t="s">
        <v>20688</v>
      </c>
      <c r="K58" s="23">
        <v>46089.600138888891</v>
      </c>
      <c r="L58" s="5" t="s">
        <v>17416</v>
      </c>
      <c r="M58" s="10" t="s">
        <v>20836</v>
      </c>
      <c r="N58" s="10" t="s">
        <v>20762</v>
      </c>
      <c r="P58" s="5" t="s">
        <v>14593</v>
      </c>
      <c r="R58" s="9">
        <v>46078.657048611109</v>
      </c>
      <c r="S58" s="9">
        <v>46078.657048611109</v>
      </c>
    </row>
    <row r="59" spans="1:19" ht="12.5">
      <c r="A59" s="10" t="s">
        <v>20837</v>
      </c>
      <c r="B59" s="5" t="s">
        <v>13918</v>
      </c>
      <c r="C59" s="5">
        <v>573014139346</v>
      </c>
      <c r="D59" s="5" t="s">
        <v>13921</v>
      </c>
      <c r="E59" s="5" t="s">
        <v>13920</v>
      </c>
      <c r="F59" s="5" t="s">
        <v>87</v>
      </c>
      <c r="G59" s="5" t="s">
        <v>13919</v>
      </c>
      <c r="H59" s="10" t="s">
        <v>20838</v>
      </c>
      <c r="I59" s="5" t="s">
        <v>20688</v>
      </c>
      <c r="K59" s="9">
        <v>46089.674351851849</v>
      </c>
      <c r="L59" s="5" t="s">
        <v>17416</v>
      </c>
      <c r="M59" s="10" t="s">
        <v>20839</v>
      </c>
      <c r="N59" s="10" t="s">
        <v>20722</v>
      </c>
      <c r="P59" s="5" t="s">
        <v>14580</v>
      </c>
      <c r="R59" s="9">
        <v>46078.657187500001</v>
      </c>
      <c r="S59" s="9">
        <v>46078.657187500001</v>
      </c>
    </row>
    <row r="60" spans="1:19" ht="12.5">
      <c r="A60" s="10" t="s">
        <v>20840</v>
      </c>
      <c r="B60" s="5" t="s">
        <v>13940</v>
      </c>
      <c r="C60" s="5">
        <v>573015934541</v>
      </c>
      <c r="D60" s="5" t="s">
        <v>12423</v>
      </c>
      <c r="E60" s="5" t="s">
        <v>13962</v>
      </c>
      <c r="F60" s="5" t="s">
        <v>1497</v>
      </c>
      <c r="G60" s="5" t="s">
        <v>20232</v>
      </c>
      <c r="H60" s="10" t="s">
        <v>20841</v>
      </c>
      <c r="I60" s="5" t="s">
        <v>20688</v>
      </c>
      <c r="K60" s="23">
        <v>46089.596828703703</v>
      </c>
      <c r="L60" s="5" t="s">
        <v>17416</v>
      </c>
      <c r="M60" s="10" t="s">
        <v>20842</v>
      </c>
      <c r="N60" s="10" t="s">
        <v>20758</v>
      </c>
      <c r="P60" s="5" t="s">
        <v>14593</v>
      </c>
      <c r="R60" s="9">
        <v>46078.673483796294</v>
      </c>
      <c r="S60" s="9">
        <v>46078.673483796294</v>
      </c>
    </row>
    <row r="61" spans="1:19" ht="12.5">
      <c r="A61" s="10" t="s">
        <v>20843</v>
      </c>
      <c r="B61" s="5" t="s">
        <v>13904</v>
      </c>
      <c r="C61" s="5">
        <v>573004826083</v>
      </c>
      <c r="D61" s="5" t="s">
        <v>13907</v>
      </c>
      <c r="E61" s="5" t="s">
        <v>13906</v>
      </c>
      <c r="F61" s="5" t="s">
        <v>351</v>
      </c>
      <c r="G61" s="5" t="s">
        <v>13905</v>
      </c>
      <c r="H61" s="10" t="s">
        <v>20844</v>
      </c>
      <c r="I61" s="5" t="s">
        <v>20750</v>
      </c>
      <c r="K61" s="23">
        <v>46089.617974537039</v>
      </c>
      <c r="L61" s="5" t="s">
        <v>20652</v>
      </c>
      <c r="M61" s="10" t="s">
        <v>20845</v>
      </c>
      <c r="N61" s="10" t="s">
        <v>20722</v>
      </c>
      <c r="P61" s="5" t="s">
        <v>14580</v>
      </c>
      <c r="R61" s="9">
        <v>46078.726180555554</v>
      </c>
      <c r="S61" s="9">
        <v>46078.726180555554</v>
      </c>
    </row>
    <row r="62" spans="1:19" ht="12.5">
      <c r="A62" s="10" t="s">
        <v>20846</v>
      </c>
      <c r="B62" s="5" t="s">
        <v>13879</v>
      </c>
      <c r="C62" s="5">
        <v>573045849541</v>
      </c>
      <c r="D62" s="5" t="s">
        <v>12406</v>
      </c>
      <c r="E62" s="5" t="s">
        <v>13881</v>
      </c>
      <c r="F62" s="5" t="s">
        <v>124</v>
      </c>
      <c r="G62" s="5" t="s">
        <v>20223</v>
      </c>
      <c r="H62" s="10" t="s">
        <v>20847</v>
      </c>
      <c r="I62" s="5" t="s">
        <v>20667</v>
      </c>
      <c r="K62" s="23">
        <v>46089.583391203705</v>
      </c>
      <c r="L62" s="5" t="s">
        <v>17416</v>
      </c>
      <c r="M62" s="10" t="s">
        <v>20848</v>
      </c>
      <c r="N62" s="10" t="s">
        <v>20681</v>
      </c>
      <c r="P62" s="5" t="s">
        <v>14775</v>
      </c>
      <c r="R62" s="9">
        <v>46078.872754629629</v>
      </c>
      <c r="S62" s="9">
        <v>46078.872754629629</v>
      </c>
    </row>
    <row r="63" spans="1:19" ht="12.5">
      <c r="A63" s="10" t="s">
        <v>20849</v>
      </c>
      <c r="B63" s="5" t="s">
        <v>13874</v>
      </c>
      <c r="C63" s="5">
        <v>573003591462</v>
      </c>
      <c r="D63" s="5" t="s">
        <v>12423</v>
      </c>
      <c r="E63" s="5" t="s">
        <v>13876</v>
      </c>
      <c r="F63" s="5" t="s">
        <v>892</v>
      </c>
      <c r="G63" s="5" t="s">
        <v>20850</v>
      </c>
      <c r="H63" s="10" t="s">
        <v>20851</v>
      </c>
      <c r="I63" s="5" t="s">
        <v>20688</v>
      </c>
      <c r="K63" s="23">
        <v>46089.597245370373</v>
      </c>
      <c r="L63" s="5" t="s">
        <v>17416</v>
      </c>
      <c r="M63" s="10" t="s">
        <v>20852</v>
      </c>
      <c r="N63" s="10" t="s">
        <v>20681</v>
      </c>
      <c r="P63" s="5" t="s">
        <v>14593</v>
      </c>
      <c r="R63" s="9">
        <v>46078.873611111114</v>
      </c>
      <c r="S63" s="9">
        <v>46078.873611111114</v>
      </c>
    </row>
    <row r="64" spans="1:19" ht="12.5">
      <c r="A64" s="10" t="s">
        <v>20853</v>
      </c>
      <c r="B64" s="5" t="s">
        <v>13846</v>
      </c>
      <c r="C64" s="5">
        <v>573006358140</v>
      </c>
      <c r="D64" s="5" t="s">
        <v>12496</v>
      </c>
      <c r="E64" s="5" t="s">
        <v>13848</v>
      </c>
      <c r="F64" s="5" t="s">
        <v>4171</v>
      </c>
      <c r="G64" s="5" t="s">
        <v>20211</v>
      </c>
      <c r="H64" s="10" t="s">
        <v>20854</v>
      </c>
      <c r="I64" s="5" t="s">
        <v>20667</v>
      </c>
      <c r="K64" s="23">
        <v>46089.643090277779</v>
      </c>
      <c r="L64" s="5" t="s">
        <v>17416</v>
      </c>
      <c r="M64" s="10" t="s">
        <v>20855</v>
      </c>
      <c r="N64" s="10" t="s">
        <v>20762</v>
      </c>
      <c r="P64" s="5" t="s">
        <v>14618</v>
      </c>
      <c r="R64" s="9">
        <v>46079.359212962961</v>
      </c>
      <c r="S64" s="9">
        <v>46079.359212962961</v>
      </c>
    </row>
    <row r="65" spans="1:19" ht="12.5">
      <c r="A65" s="10" t="s">
        <v>20856</v>
      </c>
      <c r="B65" s="5" t="s">
        <v>13929</v>
      </c>
      <c r="C65" s="5">
        <v>57003176637</v>
      </c>
      <c r="D65" s="5" t="s">
        <v>13931</v>
      </c>
      <c r="E65" s="5" t="s">
        <v>13930</v>
      </c>
      <c r="F65" s="5" t="s">
        <v>110</v>
      </c>
      <c r="G65" s="5" t="s">
        <v>492</v>
      </c>
      <c r="I65" s="5" t="s">
        <v>20688</v>
      </c>
      <c r="K65" s="23">
        <v>46089.591365740744</v>
      </c>
      <c r="L65" s="5" t="s">
        <v>17416</v>
      </c>
      <c r="M65" s="10" t="s">
        <v>20857</v>
      </c>
      <c r="N65" s="10" t="s">
        <v>20762</v>
      </c>
      <c r="P65" s="5" t="s">
        <v>14593</v>
      </c>
      <c r="R65" s="9">
        <v>46079.362476851849</v>
      </c>
      <c r="S65" s="9">
        <v>46079.362476851849</v>
      </c>
    </row>
    <row r="66" spans="1:19" ht="12.5">
      <c r="A66" s="10" t="s">
        <v>20858</v>
      </c>
      <c r="B66" s="5" t="s">
        <v>13822</v>
      </c>
      <c r="C66" s="5">
        <v>573057683063</v>
      </c>
      <c r="D66" s="5" t="s">
        <v>12496</v>
      </c>
      <c r="E66" s="5" t="s">
        <v>13824</v>
      </c>
      <c r="F66" s="5" t="s">
        <v>598</v>
      </c>
      <c r="G66" s="5" t="s">
        <v>3509</v>
      </c>
      <c r="H66" s="10" t="s">
        <v>20859</v>
      </c>
      <c r="K66" s="23">
        <v>46089.544374999998</v>
      </c>
      <c r="L66" s="5" t="s">
        <v>6139</v>
      </c>
      <c r="M66" s="10" t="s">
        <v>20860</v>
      </c>
      <c r="N66" s="10" t="s">
        <v>20762</v>
      </c>
      <c r="P66" s="5" t="s">
        <v>14593</v>
      </c>
      <c r="R66" s="9">
        <v>46079.3906712963</v>
      </c>
      <c r="S66" s="9">
        <v>46079.3906712963</v>
      </c>
    </row>
    <row r="67" spans="1:19" ht="12.5">
      <c r="A67" s="10" t="s">
        <v>20861</v>
      </c>
      <c r="B67" s="5" t="s">
        <v>13841</v>
      </c>
      <c r="C67" s="5">
        <v>573106894979</v>
      </c>
      <c r="D67" s="5" t="s">
        <v>12406</v>
      </c>
      <c r="E67" s="5" t="s">
        <v>13843</v>
      </c>
      <c r="F67" s="5" t="s">
        <v>964</v>
      </c>
      <c r="G67" s="5" t="s">
        <v>13842</v>
      </c>
      <c r="H67" s="10" t="s">
        <v>20862</v>
      </c>
      <c r="I67" s="5" t="s">
        <v>20667</v>
      </c>
      <c r="K67" s="23">
        <v>46089.538969907408</v>
      </c>
      <c r="L67" s="5" t="s">
        <v>17416</v>
      </c>
      <c r="M67" s="10" t="s">
        <v>20863</v>
      </c>
      <c r="N67" s="10" t="s">
        <v>20722</v>
      </c>
      <c r="P67" s="5" t="s">
        <v>14618</v>
      </c>
      <c r="R67" s="9">
        <v>46079.390902777777</v>
      </c>
      <c r="S67" s="9">
        <v>46079.390902777777</v>
      </c>
    </row>
    <row r="68" spans="1:19" ht="12.5">
      <c r="A68" s="10" t="s">
        <v>20864</v>
      </c>
      <c r="B68" s="5" t="s">
        <v>13826</v>
      </c>
      <c r="C68" s="5">
        <v>573023902381</v>
      </c>
      <c r="D68" s="5" t="s">
        <v>12728</v>
      </c>
      <c r="E68" s="5" t="s">
        <v>12657</v>
      </c>
      <c r="F68" s="5" t="s">
        <v>12657</v>
      </c>
      <c r="G68" s="5" t="s">
        <v>13826</v>
      </c>
      <c r="H68" s="10" t="s">
        <v>20196</v>
      </c>
      <c r="K68" s="23">
        <v>46089.466446759259</v>
      </c>
      <c r="L68" s="5" t="s">
        <v>6139</v>
      </c>
      <c r="M68" s="10" t="s">
        <v>20865</v>
      </c>
      <c r="N68" s="10" t="s">
        <v>20722</v>
      </c>
      <c r="R68" s="9">
        <v>46079.407523148147</v>
      </c>
      <c r="S68" s="9">
        <v>46079.407523148147</v>
      </c>
    </row>
    <row r="69" spans="1:19" ht="12.5">
      <c r="A69" s="10" t="s">
        <v>20866</v>
      </c>
      <c r="B69" s="5" t="s">
        <v>13850</v>
      </c>
      <c r="C69" s="5">
        <v>573234632212</v>
      </c>
      <c r="D69" s="5" t="s">
        <v>13853</v>
      </c>
      <c r="E69" s="5" t="s">
        <v>13852</v>
      </c>
      <c r="F69" s="5" t="s">
        <v>110</v>
      </c>
      <c r="G69" s="5" t="s">
        <v>13851</v>
      </c>
      <c r="H69" s="10" t="s">
        <v>20867</v>
      </c>
      <c r="K69" s="23">
        <v>46089.504444444443</v>
      </c>
      <c r="L69" s="5" t="s">
        <v>6139</v>
      </c>
      <c r="M69" s="10" t="s">
        <v>20868</v>
      </c>
      <c r="N69" s="10" t="s">
        <v>20869</v>
      </c>
      <c r="P69" s="5" t="s">
        <v>14593</v>
      </c>
      <c r="R69" s="9">
        <v>46079.410312499997</v>
      </c>
      <c r="S69" s="9">
        <v>46079.410312499997</v>
      </c>
    </row>
    <row r="70" spans="1:19" ht="12.5">
      <c r="A70" s="10" t="s">
        <v>20870</v>
      </c>
      <c r="B70" s="5" t="s">
        <v>13835</v>
      </c>
      <c r="C70" s="5">
        <v>573122768847</v>
      </c>
      <c r="D70" s="5" t="s">
        <v>13838</v>
      </c>
      <c r="E70" s="5" t="s">
        <v>13837</v>
      </c>
      <c r="F70" s="5" t="s">
        <v>9925</v>
      </c>
      <c r="G70" s="5" t="s">
        <v>20871</v>
      </c>
      <c r="H70" s="10" t="s">
        <v>20872</v>
      </c>
      <c r="K70" s="23">
        <v>46089.486956018518</v>
      </c>
      <c r="L70" s="5" t="s">
        <v>6139</v>
      </c>
      <c r="M70" s="10" t="s">
        <v>20873</v>
      </c>
      <c r="N70" s="10" t="s">
        <v>20762</v>
      </c>
      <c r="P70" s="5" t="s">
        <v>14618</v>
      </c>
      <c r="R70" s="9">
        <v>46079.423217592594</v>
      </c>
      <c r="S70" s="9">
        <v>46079.423217592594</v>
      </c>
    </row>
    <row r="71" spans="1:19" ht="12.5">
      <c r="A71" s="10" t="s">
        <v>20874</v>
      </c>
      <c r="B71" s="5" t="s">
        <v>13809</v>
      </c>
      <c r="C71" s="5">
        <v>573114301416</v>
      </c>
      <c r="D71" s="5" t="s">
        <v>12406</v>
      </c>
      <c r="E71" s="5" t="s">
        <v>13811</v>
      </c>
      <c r="F71" s="5" t="s">
        <v>185</v>
      </c>
      <c r="G71" s="5" t="s">
        <v>13810</v>
      </c>
      <c r="I71" s="5" t="s">
        <v>20688</v>
      </c>
      <c r="K71" s="23">
        <v>46089.532812500001</v>
      </c>
      <c r="L71" s="5" t="s">
        <v>17416</v>
      </c>
      <c r="M71" s="10" t="s">
        <v>20875</v>
      </c>
      <c r="N71" s="10" t="s">
        <v>20758</v>
      </c>
      <c r="P71" s="5" t="s">
        <v>14580</v>
      </c>
      <c r="R71" s="9">
        <v>46079.424050925925</v>
      </c>
      <c r="S71" s="9">
        <v>46079.424050925925</v>
      </c>
    </row>
    <row r="72" spans="1:19" ht="12.5">
      <c r="A72" s="10" t="s">
        <v>20876</v>
      </c>
      <c r="B72" s="5" t="s">
        <v>13156</v>
      </c>
      <c r="C72" s="5">
        <v>573112118759</v>
      </c>
      <c r="D72" s="5" t="s">
        <v>12406</v>
      </c>
      <c r="E72" s="5" t="s">
        <v>13158</v>
      </c>
      <c r="F72" s="5" t="s">
        <v>103</v>
      </c>
      <c r="G72" s="5" t="s">
        <v>13157</v>
      </c>
      <c r="I72" s="5" t="s">
        <v>20750</v>
      </c>
      <c r="K72" s="23">
        <v>46089.533101851855</v>
      </c>
      <c r="L72" s="5" t="s">
        <v>17416</v>
      </c>
      <c r="M72" s="10" t="s">
        <v>20877</v>
      </c>
      <c r="N72" s="10" t="s">
        <v>20758</v>
      </c>
      <c r="P72" s="5" t="s">
        <v>14593</v>
      </c>
      <c r="R72" s="9">
        <v>46079.424988425926</v>
      </c>
      <c r="S72" s="9">
        <v>46079.424988425926</v>
      </c>
    </row>
    <row r="73" spans="1:19" ht="12.5">
      <c r="A73" s="10" t="s">
        <v>20878</v>
      </c>
      <c r="B73" s="5" t="s">
        <v>13804</v>
      </c>
      <c r="C73" s="5">
        <v>573116677797</v>
      </c>
      <c r="D73" s="5" t="s">
        <v>13807</v>
      </c>
      <c r="E73" s="5" t="s">
        <v>13806</v>
      </c>
      <c r="F73" s="5" t="s">
        <v>73</v>
      </c>
      <c r="G73" s="5" t="s">
        <v>20879</v>
      </c>
      <c r="H73" s="10" t="s">
        <v>20880</v>
      </c>
      <c r="I73" s="5" t="s">
        <v>20688</v>
      </c>
      <c r="K73" s="23">
        <v>46089.519108796296</v>
      </c>
      <c r="L73" s="5" t="s">
        <v>17416</v>
      </c>
      <c r="M73" s="10" t="s">
        <v>20881</v>
      </c>
      <c r="N73" s="10" t="s">
        <v>20722</v>
      </c>
      <c r="P73" s="5" t="s">
        <v>14593</v>
      </c>
      <c r="R73" s="9">
        <v>46079.485960648148</v>
      </c>
      <c r="S73" s="9">
        <v>46079.485960648148</v>
      </c>
    </row>
    <row r="74" spans="1:19" ht="12.5">
      <c r="A74" s="10" t="s">
        <v>20882</v>
      </c>
      <c r="B74" s="5" t="s">
        <v>13796</v>
      </c>
      <c r="C74" s="5">
        <v>573052578032</v>
      </c>
      <c r="D74" s="5" t="s">
        <v>13799</v>
      </c>
      <c r="E74" s="5" t="s">
        <v>13798</v>
      </c>
      <c r="F74" s="5" t="s">
        <v>9925</v>
      </c>
      <c r="G74" s="5" t="s">
        <v>13797</v>
      </c>
      <c r="H74" s="10" t="s">
        <v>20174</v>
      </c>
      <c r="K74" s="23">
        <v>46089.442337962966</v>
      </c>
      <c r="L74" s="5" t="s">
        <v>6139</v>
      </c>
      <c r="M74" s="10" t="s">
        <v>20883</v>
      </c>
      <c r="N74" s="10" t="s">
        <v>20884</v>
      </c>
      <c r="P74" s="5" t="s">
        <v>14618</v>
      </c>
      <c r="R74" s="9">
        <v>46079.491469907407</v>
      </c>
      <c r="S74" s="9">
        <v>46079.491469907407</v>
      </c>
    </row>
    <row r="75" spans="1:19" ht="12.5">
      <c r="A75" s="10" t="s">
        <v>20885</v>
      </c>
      <c r="B75" s="5" t="s">
        <v>12629</v>
      </c>
      <c r="C75" s="5">
        <v>573112024333</v>
      </c>
      <c r="D75" s="5" t="s">
        <v>12924</v>
      </c>
      <c r="E75" s="5" t="s">
        <v>13793</v>
      </c>
      <c r="F75" s="5" t="s">
        <v>7476</v>
      </c>
      <c r="G75" s="5" t="s">
        <v>20886</v>
      </c>
      <c r="H75" s="10" t="s">
        <v>20887</v>
      </c>
      <c r="I75" s="5" t="s">
        <v>20688</v>
      </c>
      <c r="K75" s="23">
        <v>46089.594583333332</v>
      </c>
      <c r="L75" s="5" t="s">
        <v>17416</v>
      </c>
      <c r="M75" s="5" t="s">
        <v>20888</v>
      </c>
      <c r="N75" s="10" t="s">
        <v>20758</v>
      </c>
      <c r="P75" s="5" t="s">
        <v>15349</v>
      </c>
      <c r="R75" s="9">
        <v>46079.493148148147</v>
      </c>
      <c r="S75" s="9">
        <v>46079.493148148147</v>
      </c>
    </row>
    <row r="76" spans="1:19" ht="12.5">
      <c r="A76" s="10" t="s">
        <v>20889</v>
      </c>
      <c r="B76" s="5" t="s">
        <v>13783</v>
      </c>
      <c r="C76" s="5">
        <v>573042441999</v>
      </c>
      <c r="D76" s="5" t="s">
        <v>12423</v>
      </c>
      <c r="E76" s="5" t="s">
        <v>13785</v>
      </c>
      <c r="F76" s="5" t="s">
        <v>103</v>
      </c>
      <c r="G76" s="5" t="s">
        <v>20164</v>
      </c>
      <c r="H76" s="10" t="s">
        <v>20163</v>
      </c>
      <c r="I76" s="5" t="s">
        <v>20688</v>
      </c>
      <c r="K76" s="23">
        <v>46089.516238425924</v>
      </c>
      <c r="L76" s="5" t="s">
        <v>17416</v>
      </c>
      <c r="M76" s="10" t="s">
        <v>20890</v>
      </c>
      <c r="N76" s="10" t="s">
        <v>20891</v>
      </c>
      <c r="P76" s="5" t="s">
        <v>14593</v>
      </c>
      <c r="R76" s="9">
        <v>46079.493217592593</v>
      </c>
      <c r="S76" s="9">
        <v>46079.493217592593</v>
      </c>
    </row>
    <row r="77" spans="1:19" ht="12.5">
      <c r="A77" s="10" t="s">
        <v>20892</v>
      </c>
      <c r="B77" s="5" t="s">
        <v>13770</v>
      </c>
      <c r="C77" s="5">
        <v>573206470322</v>
      </c>
      <c r="D77" s="5" t="s">
        <v>12406</v>
      </c>
      <c r="E77" s="5" t="s">
        <v>13772</v>
      </c>
      <c r="F77" s="5" t="s">
        <v>7476</v>
      </c>
      <c r="G77" s="5" t="s">
        <v>20893</v>
      </c>
      <c r="H77" s="10" t="s">
        <v>20894</v>
      </c>
      <c r="I77" s="5" t="s">
        <v>20688</v>
      </c>
      <c r="K77" s="23">
        <v>46089.44740740741</v>
      </c>
      <c r="L77" s="5" t="s">
        <v>17416</v>
      </c>
      <c r="M77" s="10" t="s">
        <v>20895</v>
      </c>
      <c r="N77" s="10" t="s">
        <v>20891</v>
      </c>
      <c r="P77" s="5" t="s">
        <v>15349</v>
      </c>
      <c r="R77" s="9">
        <v>46079.503460648149</v>
      </c>
      <c r="S77" s="9">
        <v>46079.503460648149</v>
      </c>
    </row>
    <row r="78" spans="1:19" ht="12.5">
      <c r="A78" s="10" t="s">
        <v>20896</v>
      </c>
      <c r="B78" s="5" t="s">
        <v>13765</v>
      </c>
      <c r="C78" s="5">
        <v>573017717218</v>
      </c>
      <c r="D78" s="5" t="s">
        <v>12406</v>
      </c>
      <c r="E78" s="5" t="s">
        <v>13767</v>
      </c>
      <c r="F78" s="5" t="s">
        <v>1317</v>
      </c>
      <c r="G78" s="5" t="s">
        <v>13766</v>
      </c>
      <c r="H78" s="10" t="s">
        <v>20897</v>
      </c>
      <c r="I78" s="5" t="s">
        <v>20688</v>
      </c>
      <c r="K78" s="23">
        <v>46089.447013888886</v>
      </c>
      <c r="L78" s="5" t="s">
        <v>17416</v>
      </c>
      <c r="M78" s="10" t="s">
        <v>20898</v>
      </c>
      <c r="N78" s="10" t="s">
        <v>20891</v>
      </c>
      <c r="P78" s="5" t="s">
        <v>15349</v>
      </c>
      <c r="R78" s="9">
        <v>46079.519375000003</v>
      </c>
      <c r="S78" s="9">
        <v>46079.519375000003</v>
      </c>
    </row>
    <row r="79" spans="1:19" ht="12.5">
      <c r="A79" s="10" t="s">
        <v>20899</v>
      </c>
      <c r="B79" s="5" t="s">
        <v>13752</v>
      </c>
      <c r="C79" s="5">
        <v>573013882003</v>
      </c>
      <c r="D79" s="5" t="s">
        <v>12437</v>
      </c>
      <c r="E79" s="5" t="s">
        <v>13754</v>
      </c>
      <c r="F79" s="5" t="s">
        <v>54</v>
      </c>
      <c r="G79" s="5" t="s">
        <v>20148</v>
      </c>
      <c r="H79" s="10" t="s">
        <v>20900</v>
      </c>
      <c r="K79" s="23">
        <v>46089.632951388892</v>
      </c>
      <c r="L79" s="5" t="s">
        <v>6139</v>
      </c>
      <c r="M79" s="10" t="s">
        <v>20901</v>
      </c>
      <c r="N79" s="10" t="s">
        <v>20891</v>
      </c>
      <c r="P79" s="5" t="s">
        <v>14580</v>
      </c>
      <c r="R79" s="9">
        <v>46079.521226851852</v>
      </c>
      <c r="S79" s="9">
        <v>46079.521226851852</v>
      </c>
    </row>
    <row r="80" spans="1:19" ht="12.5">
      <c r="A80" s="10" t="s">
        <v>20902</v>
      </c>
      <c r="B80" s="5" t="s">
        <v>13748</v>
      </c>
      <c r="C80" s="5">
        <v>573187321627</v>
      </c>
      <c r="D80" s="5" t="s">
        <v>12406</v>
      </c>
      <c r="E80" s="5" t="s">
        <v>13750</v>
      </c>
      <c r="F80" s="5" t="s">
        <v>886</v>
      </c>
      <c r="G80" s="5" t="s">
        <v>20138</v>
      </c>
      <c r="H80" s="10" t="s">
        <v>20903</v>
      </c>
      <c r="K80" s="23">
        <v>46089.446539351855</v>
      </c>
      <c r="L80" s="5" t="s">
        <v>6139</v>
      </c>
      <c r="M80" s="10" t="s">
        <v>20904</v>
      </c>
      <c r="N80" s="10" t="s">
        <v>20891</v>
      </c>
      <c r="P80" s="5" t="s">
        <v>14618</v>
      </c>
      <c r="R80" s="9">
        <v>46079.52138888889</v>
      </c>
      <c r="S80" s="9">
        <v>46079.52138888889</v>
      </c>
    </row>
    <row r="81" spans="1:19" ht="12.5">
      <c r="A81" s="10" t="s">
        <v>20905</v>
      </c>
      <c r="B81" s="5" t="s">
        <v>13692</v>
      </c>
      <c r="C81" s="5">
        <v>573217755180</v>
      </c>
      <c r="D81" s="5" t="s">
        <v>13695</v>
      </c>
      <c r="E81" s="5" t="s">
        <v>13694</v>
      </c>
      <c r="F81" s="5" t="s">
        <v>185</v>
      </c>
      <c r="G81" s="5" t="s">
        <v>13693</v>
      </c>
      <c r="H81" s="10" t="s">
        <v>20906</v>
      </c>
      <c r="K81" s="23">
        <v>46089.632604166669</v>
      </c>
      <c r="L81" s="5" t="s">
        <v>6139</v>
      </c>
      <c r="M81" s="10" t="s">
        <v>20907</v>
      </c>
      <c r="N81" s="10" t="s">
        <v>20908</v>
      </c>
      <c r="P81" s="5" t="s">
        <v>14580</v>
      </c>
      <c r="R81" s="9">
        <v>46079.534722222219</v>
      </c>
      <c r="S81" s="9">
        <v>46079.534722222219</v>
      </c>
    </row>
    <row r="82" spans="1:19" ht="12.5">
      <c r="A82" s="10" t="s">
        <v>20909</v>
      </c>
      <c r="B82" s="5" t="s">
        <v>13756</v>
      </c>
      <c r="C82" s="5">
        <v>573164708911</v>
      </c>
      <c r="D82" s="5" t="s">
        <v>13758</v>
      </c>
      <c r="E82" s="5" t="s">
        <v>13757</v>
      </c>
      <c r="F82" s="5" t="s">
        <v>110</v>
      </c>
      <c r="G82" s="5" t="s">
        <v>13756</v>
      </c>
      <c r="H82" s="10" t="s">
        <v>20910</v>
      </c>
      <c r="K82" s="23">
        <v>46088.873252314814</v>
      </c>
      <c r="L82" s="5" t="s">
        <v>6139</v>
      </c>
      <c r="M82" s="10" t="s">
        <v>20911</v>
      </c>
      <c r="N82" s="10" t="s">
        <v>20681</v>
      </c>
      <c r="P82" s="5" t="s">
        <v>14593</v>
      </c>
      <c r="R82" s="9">
        <v>46079.557673611111</v>
      </c>
      <c r="S82" s="9">
        <v>46079.557673611111</v>
      </c>
    </row>
    <row r="83" spans="1:19" ht="12.5">
      <c r="A83" s="10" t="s">
        <v>20912</v>
      </c>
      <c r="B83" s="5" t="s">
        <v>7555</v>
      </c>
      <c r="C83" s="5">
        <v>13059988217</v>
      </c>
      <c r="D83" s="5" t="s">
        <v>12484</v>
      </c>
      <c r="E83" s="5" t="s">
        <v>13675</v>
      </c>
      <c r="F83" s="5" t="s">
        <v>307</v>
      </c>
      <c r="G83" s="5" t="s">
        <v>13674</v>
      </c>
      <c r="H83" s="10" t="s">
        <v>20913</v>
      </c>
      <c r="I83" s="5" t="s">
        <v>20688</v>
      </c>
      <c r="K83" s="23">
        <v>46089.588842592595</v>
      </c>
      <c r="L83" s="5" t="s">
        <v>17416</v>
      </c>
      <c r="M83" s="10" t="s">
        <v>20914</v>
      </c>
      <c r="N83" s="10" t="s">
        <v>20891</v>
      </c>
      <c r="P83" s="5" t="s">
        <v>14618</v>
      </c>
      <c r="R83" s="9">
        <v>46079.590138888889</v>
      </c>
      <c r="S83" s="9">
        <v>46079.590138888889</v>
      </c>
    </row>
    <row r="84" spans="1:19" ht="12.5">
      <c r="A84" s="10" t="s">
        <v>20915</v>
      </c>
      <c r="B84" s="5" t="s">
        <v>13738</v>
      </c>
      <c r="C84" s="5">
        <v>573004304422</v>
      </c>
      <c r="D84" s="5" t="s">
        <v>13741</v>
      </c>
      <c r="E84" s="5" t="s">
        <v>13740</v>
      </c>
      <c r="F84" s="5" t="s">
        <v>63</v>
      </c>
      <c r="G84" s="5" t="s">
        <v>13739</v>
      </c>
      <c r="I84" s="5" t="s">
        <v>20688</v>
      </c>
      <c r="K84" s="23">
        <v>46089.596250000002</v>
      </c>
      <c r="L84" s="5" t="s">
        <v>17416</v>
      </c>
      <c r="M84" s="10" t="s">
        <v>20916</v>
      </c>
      <c r="N84" s="10" t="s">
        <v>20917</v>
      </c>
      <c r="P84" s="5" t="s">
        <v>14598</v>
      </c>
      <c r="R84" s="9">
        <v>46079.598425925928</v>
      </c>
      <c r="S84" s="9">
        <v>46079.598425925928</v>
      </c>
    </row>
    <row r="85" spans="1:19" ht="12.5">
      <c r="A85" s="10" t="s">
        <v>20918</v>
      </c>
      <c r="B85" s="5" t="s">
        <v>13743</v>
      </c>
      <c r="C85" s="5">
        <v>573114121833</v>
      </c>
      <c r="D85" s="5" t="s">
        <v>13074</v>
      </c>
      <c r="E85" s="5" t="s">
        <v>13745</v>
      </c>
      <c r="F85" s="5" t="s">
        <v>4558</v>
      </c>
      <c r="G85" s="5" t="s">
        <v>13744</v>
      </c>
      <c r="H85" s="10" t="s">
        <v>20919</v>
      </c>
      <c r="I85" s="5" t="s">
        <v>20688</v>
      </c>
      <c r="K85" s="23">
        <v>46089.484293981484</v>
      </c>
      <c r="L85" s="5" t="s">
        <v>17416</v>
      </c>
      <c r="M85" s="10" t="s">
        <v>20920</v>
      </c>
      <c r="N85" s="10" t="s">
        <v>20758</v>
      </c>
      <c r="P85" s="5" t="s">
        <v>14593</v>
      </c>
      <c r="R85" s="9">
        <v>46079.610601851855</v>
      </c>
      <c r="S85" s="9">
        <v>46079.610601851855</v>
      </c>
    </row>
    <row r="86" spans="1:19" ht="12.5">
      <c r="A86" s="10" t="s">
        <v>20921</v>
      </c>
      <c r="B86" s="5" t="s">
        <v>13605</v>
      </c>
      <c r="C86" s="5">
        <v>573243585945</v>
      </c>
      <c r="D86" s="5" t="s">
        <v>13608</v>
      </c>
      <c r="E86" s="5" t="s">
        <v>13607</v>
      </c>
      <c r="F86" s="5" t="s">
        <v>9925</v>
      </c>
      <c r="G86" s="5" t="s">
        <v>20922</v>
      </c>
      <c r="H86" s="10" t="s">
        <v>20318</v>
      </c>
      <c r="K86" s="23">
        <v>46089.496249999997</v>
      </c>
      <c r="L86" s="5" t="s">
        <v>20652</v>
      </c>
      <c r="M86" s="10" t="s">
        <v>20923</v>
      </c>
      <c r="N86" s="10" t="s">
        <v>20821</v>
      </c>
      <c r="P86" s="5" t="s">
        <v>14618</v>
      </c>
      <c r="R86" s="9">
        <v>46079.631331018521</v>
      </c>
      <c r="S86" s="9">
        <v>46079.631331018521</v>
      </c>
    </row>
    <row r="87" spans="1:19" ht="12.5">
      <c r="A87" s="10" t="s">
        <v>20924</v>
      </c>
      <c r="B87" s="5" t="s">
        <v>13663</v>
      </c>
      <c r="C87" s="5">
        <v>573138831564</v>
      </c>
      <c r="D87" s="5" t="s">
        <v>13483</v>
      </c>
      <c r="E87" s="5" t="s">
        <v>13665</v>
      </c>
      <c r="F87" s="5" t="s">
        <v>124</v>
      </c>
      <c r="G87" s="5" t="s">
        <v>13664</v>
      </c>
      <c r="H87" s="10" t="s">
        <v>20925</v>
      </c>
      <c r="K87" s="23">
        <v>46089.569965277777</v>
      </c>
      <c r="L87" s="5" t="s">
        <v>6139</v>
      </c>
      <c r="M87" s="10" t="s">
        <v>20926</v>
      </c>
      <c r="N87" s="10" t="s">
        <v>20891</v>
      </c>
      <c r="P87" s="5" t="s">
        <v>14775</v>
      </c>
      <c r="R87" s="9">
        <v>46079.654548611114</v>
      </c>
      <c r="S87" s="9">
        <v>46079.654548611114</v>
      </c>
    </row>
    <row r="88" spans="1:19" ht="12.5">
      <c r="A88" s="10" t="s">
        <v>20927</v>
      </c>
      <c r="B88" s="5" t="s">
        <v>13722</v>
      </c>
      <c r="C88" s="5">
        <v>573008366418</v>
      </c>
      <c r="D88" s="5" t="s">
        <v>13725</v>
      </c>
      <c r="E88" s="5" t="s">
        <v>13724</v>
      </c>
      <c r="F88" s="5" t="s">
        <v>103</v>
      </c>
      <c r="G88" s="5" t="s">
        <v>13723</v>
      </c>
      <c r="H88" s="10" t="s">
        <v>20928</v>
      </c>
      <c r="I88" s="5" t="s">
        <v>20688</v>
      </c>
      <c r="K88" s="23">
        <v>46089.589780092596</v>
      </c>
      <c r="L88" s="5" t="s">
        <v>17416</v>
      </c>
      <c r="M88" s="10" t="s">
        <v>20929</v>
      </c>
      <c r="N88" s="10" t="s">
        <v>20891</v>
      </c>
      <c r="P88" s="5" t="s">
        <v>14593</v>
      </c>
      <c r="R88" s="9">
        <v>46079.667916666665</v>
      </c>
      <c r="S88" s="9">
        <v>46079.667916666665</v>
      </c>
    </row>
    <row r="89" spans="1:19" ht="12.5">
      <c r="A89" s="10" t="s">
        <v>20930</v>
      </c>
      <c r="B89" s="5" t="s">
        <v>13717</v>
      </c>
      <c r="C89" s="5">
        <v>573106364062</v>
      </c>
      <c r="D89" s="5" t="s">
        <v>12406</v>
      </c>
      <c r="E89" s="5" t="s">
        <v>13719</v>
      </c>
      <c r="F89" s="5" t="s">
        <v>103</v>
      </c>
      <c r="G89" s="5" t="s">
        <v>20108</v>
      </c>
      <c r="H89" s="10" t="s">
        <v>20931</v>
      </c>
      <c r="I89" s="5" t="s">
        <v>20688</v>
      </c>
      <c r="K89" s="23">
        <v>46089.447800925926</v>
      </c>
      <c r="L89" s="5" t="s">
        <v>17416</v>
      </c>
      <c r="M89" s="10" t="s">
        <v>20932</v>
      </c>
      <c r="N89" s="10" t="s">
        <v>20821</v>
      </c>
      <c r="P89" s="5" t="s">
        <v>14593</v>
      </c>
      <c r="R89" s="9">
        <v>46079.667939814812</v>
      </c>
      <c r="S89" s="9">
        <v>46079.667939814812</v>
      </c>
    </row>
    <row r="90" spans="1:19" ht="12.5">
      <c r="A90" s="10" t="s">
        <v>20933</v>
      </c>
      <c r="B90" s="5" t="s">
        <v>13651</v>
      </c>
      <c r="C90" s="5">
        <v>573052988140</v>
      </c>
      <c r="D90" s="5" t="s">
        <v>13654</v>
      </c>
      <c r="E90" s="5" t="s">
        <v>13653</v>
      </c>
      <c r="F90" s="5" t="s">
        <v>146</v>
      </c>
      <c r="G90" s="5" t="s">
        <v>13652</v>
      </c>
      <c r="H90" s="10" t="s">
        <v>20934</v>
      </c>
      <c r="K90" s="23">
        <v>46088.793877314813</v>
      </c>
      <c r="L90" s="5" t="s">
        <v>6139</v>
      </c>
      <c r="M90" s="10" t="s">
        <v>20935</v>
      </c>
      <c r="N90" s="10" t="s">
        <v>20821</v>
      </c>
      <c r="P90" s="5" t="s">
        <v>14618</v>
      </c>
      <c r="R90" s="9">
        <v>46079.66815972222</v>
      </c>
      <c r="S90" s="9">
        <v>46079.66815972222</v>
      </c>
    </row>
    <row r="91" spans="1:19" ht="12.5">
      <c r="A91" s="10" t="s">
        <v>20936</v>
      </c>
      <c r="B91" s="5" t="s">
        <v>13727</v>
      </c>
      <c r="C91" s="5">
        <v>5719543974714</v>
      </c>
      <c r="D91" s="5" t="s">
        <v>12496</v>
      </c>
      <c r="E91" s="5" t="s">
        <v>13728</v>
      </c>
      <c r="F91" s="5" t="s">
        <v>103</v>
      </c>
      <c r="G91" s="5" t="s">
        <v>13727</v>
      </c>
      <c r="I91" s="5" t="s">
        <v>3962</v>
      </c>
      <c r="K91" s="23">
        <v>46088.798194444447</v>
      </c>
      <c r="L91" s="5" t="s">
        <v>17416</v>
      </c>
      <c r="M91" s="10" t="s">
        <v>20937</v>
      </c>
      <c r="N91" s="10" t="s">
        <v>20938</v>
      </c>
      <c r="P91" s="5" t="s">
        <v>14593</v>
      </c>
      <c r="R91" s="9">
        <v>46079.677685185183</v>
      </c>
      <c r="S91" s="9">
        <v>46079.677685185183</v>
      </c>
    </row>
    <row r="92" spans="1:19" ht="12.5">
      <c r="A92" s="10" t="s">
        <v>20939</v>
      </c>
      <c r="B92" s="5" t="s">
        <v>13712</v>
      </c>
      <c r="C92" s="5">
        <v>573014686030</v>
      </c>
      <c r="D92" s="5" t="s">
        <v>12406</v>
      </c>
      <c r="E92" s="5" t="s">
        <v>12657</v>
      </c>
      <c r="F92" s="5" t="s">
        <v>12657</v>
      </c>
      <c r="G92" s="5" t="s">
        <v>13712</v>
      </c>
      <c r="H92" s="10" t="s">
        <v>20089</v>
      </c>
      <c r="K92" s="23">
        <v>46088.782766203702</v>
      </c>
      <c r="L92" s="5" t="s">
        <v>6139</v>
      </c>
      <c r="M92" s="10" t="s">
        <v>20940</v>
      </c>
      <c r="N92" s="10" t="s">
        <v>20938</v>
      </c>
      <c r="R92" s="9">
        <v>46079.678402777776</v>
      </c>
      <c r="S92" s="9">
        <v>46079.678402777776</v>
      </c>
    </row>
    <row r="93" spans="1:19" ht="12.5">
      <c r="A93" s="10" t="s">
        <v>20941</v>
      </c>
      <c r="B93" s="5" t="s">
        <v>13613</v>
      </c>
      <c r="C93" s="5">
        <v>573156670982</v>
      </c>
      <c r="D93" s="5" t="s">
        <v>13074</v>
      </c>
      <c r="E93" s="5" t="s">
        <v>13615</v>
      </c>
      <c r="F93" s="5" t="s">
        <v>63</v>
      </c>
      <c r="G93" s="5" t="s">
        <v>20942</v>
      </c>
      <c r="H93" s="10" t="s">
        <v>20943</v>
      </c>
      <c r="I93" s="5" t="s">
        <v>20651</v>
      </c>
      <c r="K93" s="9">
        <v>46089.709976851853</v>
      </c>
      <c r="L93" s="5" t="s">
        <v>6139</v>
      </c>
      <c r="M93" s="10" t="s">
        <v>20944</v>
      </c>
      <c r="N93" s="10" t="s">
        <v>20821</v>
      </c>
      <c r="P93" s="5" t="s">
        <v>14598</v>
      </c>
      <c r="R93" s="9">
        <v>46079.687326388892</v>
      </c>
      <c r="S93" s="9">
        <v>46079.687326388892</v>
      </c>
    </row>
    <row r="94" spans="1:19" ht="12.5">
      <c r="A94" s="10" t="s">
        <v>20945</v>
      </c>
      <c r="B94" s="5" t="s">
        <v>11653</v>
      </c>
      <c r="C94" s="5">
        <v>573005293740</v>
      </c>
      <c r="D94" s="5" t="s">
        <v>12844</v>
      </c>
      <c r="E94" s="5" t="s">
        <v>13705</v>
      </c>
      <c r="F94" s="5" t="s">
        <v>73</v>
      </c>
      <c r="G94" s="5" t="s">
        <v>13704</v>
      </c>
      <c r="H94" s="10" t="s">
        <v>20946</v>
      </c>
      <c r="K94" s="23">
        <v>46088.789120370369</v>
      </c>
      <c r="L94" s="5" t="s">
        <v>6139</v>
      </c>
      <c r="M94" s="10" t="s">
        <v>20947</v>
      </c>
      <c r="N94" s="10" t="s">
        <v>20938</v>
      </c>
      <c r="P94" s="5" t="s">
        <v>14593</v>
      </c>
      <c r="R94" s="9">
        <v>46079.715868055559</v>
      </c>
      <c r="S94" s="9">
        <v>46079.715868055559</v>
      </c>
    </row>
    <row r="95" spans="1:19" ht="12.5">
      <c r="A95" s="10" t="s">
        <v>20948</v>
      </c>
      <c r="B95" s="5" t="s">
        <v>13567</v>
      </c>
      <c r="C95" s="5">
        <v>573008588209</v>
      </c>
      <c r="D95" s="5" t="s">
        <v>12496</v>
      </c>
      <c r="E95" s="5" t="s">
        <v>13569</v>
      </c>
      <c r="F95" s="5" t="s">
        <v>448</v>
      </c>
      <c r="G95" s="5" t="s">
        <v>13568</v>
      </c>
      <c r="H95" s="10" t="s">
        <v>20949</v>
      </c>
      <c r="I95" s="5" t="s">
        <v>20667</v>
      </c>
      <c r="K95" s="23">
        <v>46089.586770833332</v>
      </c>
      <c r="L95" s="5" t="s">
        <v>17416</v>
      </c>
      <c r="M95" s="10" t="s">
        <v>20950</v>
      </c>
      <c r="N95" s="10" t="s">
        <v>20917</v>
      </c>
      <c r="P95" s="5" t="s">
        <v>14580</v>
      </c>
      <c r="R95" s="9">
        <v>46079.715995370374</v>
      </c>
      <c r="S95" s="9">
        <v>46079.715995370374</v>
      </c>
    </row>
    <row r="96" spans="1:19" ht="12.5">
      <c r="A96" s="10" t="s">
        <v>20951</v>
      </c>
      <c r="B96" s="5" t="s">
        <v>13612</v>
      </c>
      <c r="C96" s="5">
        <v>573003858601</v>
      </c>
      <c r="D96" s="5" t="s">
        <v>20075</v>
      </c>
      <c r="E96" s="5" t="s">
        <v>13700</v>
      </c>
      <c r="G96" s="5" t="s">
        <v>13699</v>
      </c>
      <c r="K96" s="23">
        <v>46088.916435185187</v>
      </c>
      <c r="L96" s="5" t="s">
        <v>6139</v>
      </c>
      <c r="M96" s="10" t="s">
        <v>20952</v>
      </c>
      <c r="N96" s="10" t="s">
        <v>20938</v>
      </c>
      <c r="R96" s="9">
        <v>46079.75922453704</v>
      </c>
      <c r="S96" s="9">
        <v>46079.75922453704</v>
      </c>
    </row>
    <row r="97" spans="1:19" ht="12.5">
      <c r="A97" s="10" t="s">
        <v>20953</v>
      </c>
      <c r="B97" s="5" t="s">
        <v>13645</v>
      </c>
      <c r="C97" s="5">
        <v>573233315915</v>
      </c>
      <c r="D97" s="5" t="s">
        <v>13648</v>
      </c>
      <c r="E97" s="5" t="s">
        <v>13647</v>
      </c>
      <c r="F97" s="5" t="s">
        <v>11267</v>
      </c>
      <c r="G97" s="5" t="s">
        <v>20073</v>
      </c>
      <c r="H97" s="10" t="s">
        <v>20954</v>
      </c>
      <c r="K97" s="23">
        <v>46089.369803240741</v>
      </c>
      <c r="L97" s="5" t="s">
        <v>6139</v>
      </c>
      <c r="M97" s="10" t="s">
        <v>20955</v>
      </c>
      <c r="N97" s="10" t="s">
        <v>20938</v>
      </c>
      <c r="P97" s="5" t="s">
        <v>14691</v>
      </c>
      <c r="R97" s="9">
        <v>46080.326921296299</v>
      </c>
      <c r="S97" s="9">
        <v>46080.326921296299</v>
      </c>
    </row>
    <row r="98" spans="1:19" ht="12.5">
      <c r="A98" s="10" t="s">
        <v>20956</v>
      </c>
      <c r="B98" s="5" t="s">
        <v>13612</v>
      </c>
      <c r="C98" s="5">
        <v>573003858601</v>
      </c>
      <c r="D98" s="5" t="s">
        <v>13672</v>
      </c>
      <c r="E98" s="5" t="s">
        <v>13671</v>
      </c>
      <c r="G98" s="5" t="s">
        <v>13670</v>
      </c>
      <c r="K98" s="23">
        <v>46088.88480324074</v>
      </c>
      <c r="L98" s="5" t="s">
        <v>6139</v>
      </c>
      <c r="M98" s="10" t="s">
        <v>20957</v>
      </c>
      <c r="N98" s="10" t="s">
        <v>20938</v>
      </c>
      <c r="R98" s="9">
        <v>46080.438530092593</v>
      </c>
      <c r="S98" s="9">
        <v>46080.438530092593</v>
      </c>
    </row>
    <row r="99" spans="1:19" ht="12.5">
      <c r="A99" s="10" t="s">
        <v>20958</v>
      </c>
      <c r="B99" s="5" t="s">
        <v>13679</v>
      </c>
      <c r="C99" s="5">
        <v>573183309978</v>
      </c>
      <c r="D99" s="5" t="s">
        <v>12423</v>
      </c>
      <c r="E99" s="5" t="s">
        <v>13681</v>
      </c>
      <c r="F99" s="5" t="s">
        <v>1317</v>
      </c>
      <c r="G99" s="5" t="s">
        <v>13680</v>
      </c>
      <c r="H99" s="10" t="s">
        <v>20959</v>
      </c>
      <c r="K99" s="23">
        <v>46089.342523148145</v>
      </c>
      <c r="L99" s="5" t="s">
        <v>6139</v>
      </c>
      <c r="M99" s="10" t="s">
        <v>20960</v>
      </c>
      <c r="N99" s="10" t="s">
        <v>20961</v>
      </c>
      <c r="P99" s="5" t="s">
        <v>15349</v>
      </c>
      <c r="R99" s="9">
        <v>46080.407557870371</v>
      </c>
      <c r="S99" s="9">
        <v>46080.407557870371</v>
      </c>
    </row>
    <row r="100" spans="1:19" ht="12.5">
      <c r="A100" s="10" t="s">
        <v>20962</v>
      </c>
      <c r="B100" s="5" t="s">
        <v>13626</v>
      </c>
      <c r="C100" s="5">
        <v>573186000036</v>
      </c>
      <c r="D100" s="5" t="s">
        <v>12701</v>
      </c>
      <c r="E100" s="5" t="s">
        <v>13628</v>
      </c>
      <c r="F100" s="5" t="s">
        <v>73</v>
      </c>
      <c r="G100" s="5" t="s">
        <v>20963</v>
      </c>
      <c r="H100" s="10" t="s">
        <v>20964</v>
      </c>
      <c r="K100" s="23">
        <v>46089.403287037036</v>
      </c>
      <c r="L100" s="5" t="s">
        <v>6139</v>
      </c>
      <c r="M100" s="10" t="s">
        <v>20965</v>
      </c>
      <c r="N100" s="10" t="s">
        <v>20869</v>
      </c>
      <c r="P100" s="5" t="s">
        <v>14593</v>
      </c>
      <c r="R100" s="9">
        <v>46080.407962962963</v>
      </c>
      <c r="S100" s="9">
        <v>46080.407962962963</v>
      </c>
    </row>
    <row r="101" spans="1:19" ht="12.5">
      <c r="A101" s="10" t="s">
        <v>20966</v>
      </c>
      <c r="B101" s="5" t="s">
        <v>13657</v>
      </c>
      <c r="C101" s="5">
        <v>573007835381</v>
      </c>
      <c r="D101" s="5" t="s">
        <v>42</v>
      </c>
      <c r="E101" s="5" t="s">
        <v>12657</v>
      </c>
      <c r="F101" s="5" t="s">
        <v>12657</v>
      </c>
      <c r="G101" s="5" t="s">
        <v>13657</v>
      </c>
      <c r="H101" s="10" t="s">
        <v>20967</v>
      </c>
      <c r="K101" s="23">
        <v>46088.717465277776</v>
      </c>
      <c r="L101" s="5" t="s">
        <v>6139</v>
      </c>
      <c r="M101" s="10" t="s">
        <v>20968</v>
      </c>
      <c r="N101" s="10" t="s">
        <v>20969</v>
      </c>
      <c r="R101" s="9">
        <v>46080.408576388887</v>
      </c>
      <c r="S101" s="9">
        <v>46080.408576388887</v>
      </c>
    </row>
    <row r="102" spans="1:19" ht="12.5">
      <c r="A102" s="10" t="s">
        <v>20970</v>
      </c>
      <c r="B102" s="5" t="s">
        <v>13618</v>
      </c>
      <c r="C102" s="5">
        <v>573125118337</v>
      </c>
      <c r="D102" s="5" t="s">
        <v>12406</v>
      </c>
      <c r="E102" s="5" t="s">
        <v>13619</v>
      </c>
      <c r="F102" s="5" t="s">
        <v>146</v>
      </c>
      <c r="G102" s="5" t="s">
        <v>4952</v>
      </c>
      <c r="H102" s="10" t="s">
        <v>20971</v>
      </c>
      <c r="I102" s="5" t="s">
        <v>20688</v>
      </c>
      <c r="K102" s="23">
        <v>46089.448194444441</v>
      </c>
      <c r="L102" s="5" t="s">
        <v>17416</v>
      </c>
      <c r="M102" s="10" t="s">
        <v>20972</v>
      </c>
      <c r="N102" s="10" t="s">
        <v>20869</v>
      </c>
      <c r="P102" s="5" t="s">
        <v>14618</v>
      </c>
      <c r="R102" s="9">
        <v>46080.408993055556</v>
      </c>
      <c r="S102" s="9">
        <v>46080.408993055556</v>
      </c>
    </row>
    <row r="103" spans="1:19" ht="12.5">
      <c r="A103" s="10" t="s">
        <v>20973</v>
      </c>
      <c r="B103" s="5" t="s">
        <v>9432</v>
      </c>
      <c r="C103" s="5">
        <v>573016856910</v>
      </c>
      <c r="D103" s="5" t="s">
        <v>12406</v>
      </c>
      <c r="E103" s="5" t="s">
        <v>12657</v>
      </c>
      <c r="F103" s="5" t="s">
        <v>12657</v>
      </c>
      <c r="G103" s="5" t="s">
        <v>9432</v>
      </c>
      <c r="H103" s="10" t="s">
        <v>15673</v>
      </c>
      <c r="K103" s="23">
        <v>46088.793958333335</v>
      </c>
      <c r="L103" s="5" t="s">
        <v>6139</v>
      </c>
      <c r="M103" s="10" t="s">
        <v>20974</v>
      </c>
      <c r="N103" s="10" t="s">
        <v>20975</v>
      </c>
      <c r="R103" s="9">
        <v>46080.438645833332</v>
      </c>
      <c r="S103" s="9">
        <v>46080.438645833332</v>
      </c>
    </row>
    <row r="104" spans="1:19" ht="12.5">
      <c r="A104" s="10" t="s">
        <v>20976</v>
      </c>
      <c r="B104" s="5" t="s">
        <v>13585</v>
      </c>
      <c r="C104" s="5">
        <v>573004918707</v>
      </c>
      <c r="D104" s="5" t="s">
        <v>13336</v>
      </c>
      <c r="E104" s="5" t="s">
        <v>13587</v>
      </c>
      <c r="F104" s="5" t="s">
        <v>63</v>
      </c>
      <c r="G104" s="5" t="s">
        <v>13585</v>
      </c>
      <c r="H104" s="10" t="s">
        <v>20977</v>
      </c>
      <c r="I104" s="5" t="s">
        <v>20688</v>
      </c>
      <c r="K104" s="23">
        <v>46088.728032407409</v>
      </c>
      <c r="L104" s="5" t="s">
        <v>17416</v>
      </c>
      <c r="M104" s="10" t="s">
        <v>20978</v>
      </c>
      <c r="N104" s="10" t="s">
        <v>20979</v>
      </c>
      <c r="P104" s="5" t="s">
        <v>14598</v>
      </c>
      <c r="R104" s="9">
        <v>46080.438946759263</v>
      </c>
      <c r="S104" s="9">
        <v>46080.438946759263</v>
      </c>
    </row>
    <row r="105" spans="1:19" ht="12.5">
      <c r="A105" s="10" t="s">
        <v>20980</v>
      </c>
      <c r="B105" s="5" t="s">
        <v>13612</v>
      </c>
      <c r="C105" s="5">
        <v>573003858601</v>
      </c>
      <c r="D105" s="5" t="s">
        <v>42</v>
      </c>
      <c r="E105" s="5" t="s">
        <v>12657</v>
      </c>
      <c r="F105" s="5" t="s">
        <v>12657</v>
      </c>
      <c r="G105" s="5" t="s">
        <v>13612</v>
      </c>
      <c r="H105" s="10" t="s">
        <v>20035</v>
      </c>
      <c r="K105" s="23">
        <v>46088.735671296294</v>
      </c>
      <c r="L105" s="5" t="s">
        <v>6139</v>
      </c>
      <c r="M105" s="10" t="s">
        <v>20981</v>
      </c>
      <c r="N105" s="10" t="s">
        <v>20969</v>
      </c>
      <c r="R105" s="9">
        <v>46080.44939814815</v>
      </c>
      <c r="S105" s="9">
        <v>46080.44939814815</v>
      </c>
    </row>
    <row r="106" spans="1:19" ht="12.5">
      <c r="A106" s="10" t="s">
        <v>20982</v>
      </c>
      <c r="B106" s="5" t="s">
        <v>13383</v>
      </c>
      <c r="C106" s="5">
        <v>573108339033</v>
      </c>
      <c r="D106" s="5" t="s">
        <v>12406</v>
      </c>
      <c r="E106" s="5" t="s">
        <v>13385</v>
      </c>
      <c r="F106" s="5" t="s">
        <v>249</v>
      </c>
      <c r="G106" s="5" t="s">
        <v>15061</v>
      </c>
      <c r="H106" s="10" t="s">
        <v>20983</v>
      </c>
      <c r="I106" s="5" t="s">
        <v>20688</v>
      </c>
      <c r="K106" s="23">
        <v>46088.835902777777</v>
      </c>
      <c r="L106" s="5" t="s">
        <v>17416</v>
      </c>
      <c r="M106" s="10" t="s">
        <v>20984</v>
      </c>
      <c r="N106" s="10" t="s">
        <v>20869</v>
      </c>
      <c r="P106" s="5" t="s">
        <v>14593</v>
      </c>
      <c r="R106" s="9">
        <v>46080.450462962966</v>
      </c>
      <c r="S106" s="9">
        <v>46080.450462962966</v>
      </c>
    </row>
    <row r="107" spans="1:19" ht="12.5">
      <c r="A107" s="10" t="s">
        <v>20985</v>
      </c>
      <c r="B107" s="5" t="s">
        <v>12968</v>
      </c>
      <c r="C107" s="5">
        <v>573504438774</v>
      </c>
      <c r="D107" s="5" t="s">
        <v>42</v>
      </c>
      <c r="E107" s="5" t="s">
        <v>13602</v>
      </c>
      <c r="F107" s="5" t="s">
        <v>726</v>
      </c>
      <c r="G107" s="5" t="s">
        <v>20028</v>
      </c>
      <c r="H107" s="10" t="s">
        <v>20602</v>
      </c>
      <c r="I107" s="5" t="s">
        <v>20688</v>
      </c>
      <c r="K107" s="23">
        <v>46088.757094907407</v>
      </c>
      <c r="L107" s="5" t="s">
        <v>17416</v>
      </c>
      <c r="M107" s="10" t="s">
        <v>20986</v>
      </c>
      <c r="N107" s="10" t="s">
        <v>20938</v>
      </c>
      <c r="P107" s="5" t="s">
        <v>14618</v>
      </c>
      <c r="R107" s="9">
        <v>46080.463472222225</v>
      </c>
      <c r="S107" s="9">
        <v>46080.463472222225</v>
      </c>
    </row>
    <row r="108" spans="1:19" ht="12.5">
      <c r="A108" s="10" t="s">
        <v>20987</v>
      </c>
      <c r="B108" s="5" t="s">
        <v>13557</v>
      </c>
      <c r="C108" s="5">
        <v>573145549122</v>
      </c>
      <c r="D108" s="5" t="s">
        <v>13138</v>
      </c>
      <c r="E108" s="5" t="s">
        <v>12657</v>
      </c>
      <c r="F108" s="5" t="s">
        <v>12657</v>
      </c>
      <c r="G108" s="5" t="s">
        <v>13557</v>
      </c>
      <c r="H108" s="10" t="s">
        <v>20026</v>
      </c>
      <c r="K108" s="23">
        <v>46088.768043981479</v>
      </c>
      <c r="L108" s="5" t="s">
        <v>6139</v>
      </c>
      <c r="M108" s="10" t="s">
        <v>20988</v>
      </c>
      <c r="N108" s="10" t="s">
        <v>20681</v>
      </c>
      <c r="R108" s="9">
        <v>46080.493518518517</v>
      </c>
      <c r="S108" s="9">
        <v>46080.493518518517</v>
      </c>
    </row>
    <row r="109" spans="1:19" ht="12.5">
      <c r="A109" s="10" t="s">
        <v>20989</v>
      </c>
      <c r="B109" s="5" t="s">
        <v>13591</v>
      </c>
      <c r="C109" s="5">
        <v>573015883041</v>
      </c>
      <c r="D109" s="5" t="s">
        <v>12724</v>
      </c>
      <c r="E109" s="5" t="s">
        <v>13593</v>
      </c>
      <c r="F109" s="5" t="s">
        <v>193</v>
      </c>
      <c r="G109" s="5" t="s">
        <v>13592</v>
      </c>
      <c r="H109" s="10" t="s">
        <v>20990</v>
      </c>
      <c r="K109" s="23">
        <v>46088.734953703701</v>
      </c>
      <c r="L109" s="5" t="s">
        <v>6139</v>
      </c>
      <c r="M109" s="10" t="s">
        <v>20991</v>
      </c>
      <c r="N109" s="10" t="s">
        <v>20917</v>
      </c>
      <c r="P109" s="5" t="s">
        <v>14580</v>
      </c>
      <c r="R109" s="9">
        <v>46080.498935185184</v>
      </c>
      <c r="S109" s="9">
        <v>46080.498935185184</v>
      </c>
    </row>
    <row r="110" spans="1:19" ht="12.5">
      <c r="A110" s="10" t="s">
        <v>20992</v>
      </c>
      <c r="B110" s="5" t="s">
        <v>13511</v>
      </c>
      <c r="C110" s="5">
        <v>573183494738</v>
      </c>
      <c r="D110" s="5" t="s">
        <v>12406</v>
      </c>
      <c r="E110" s="5" t="s">
        <v>13513</v>
      </c>
      <c r="F110" s="5" t="s">
        <v>11267</v>
      </c>
      <c r="G110" s="5" t="s">
        <v>20993</v>
      </c>
      <c r="H110" s="10" t="s">
        <v>20994</v>
      </c>
      <c r="K110" s="23">
        <v>46088.761423611111</v>
      </c>
      <c r="L110" s="5" t="s">
        <v>6139</v>
      </c>
      <c r="M110" s="10" t="s">
        <v>20995</v>
      </c>
      <c r="N110" s="10" t="s">
        <v>20681</v>
      </c>
      <c r="P110" s="5" t="s">
        <v>14691</v>
      </c>
      <c r="R110" s="9">
        <v>46080.505798611113</v>
      </c>
      <c r="S110" s="9">
        <v>46080.505798611113</v>
      </c>
    </row>
    <row r="111" spans="1:19" ht="12.5">
      <c r="A111" s="10" t="s">
        <v>20996</v>
      </c>
      <c r="B111" s="5" t="s">
        <v>13480</v>
      </c>
      <c r="C111" s="5">
        <v>573002201240</v>
      </c>
      <c r="D111" s="5" t="s">
        <v>13483</v>
      </c>
      <c r="E111" s="5" t="s">
        <v>13482</v>
      </c>
      <c r="F111" s="5" t="s">
        <v>73</v>
      </c>
      <c r="G111" s="5" t="s">
        <v>13481</v>
      </c>
      <c r="H111" s="10" t="s">
        <v>20997</v>
      </c>
      <c r="I111" s="5" t="s">
        <v>20688</v>
      </c>
      <c r="K111" s="23">
        <v>46088.716956018521</v>
      </c>
      <c r="L111" s="5" t="s">
        <v>17416</v>
      </c>
      <c r="M111" s="10" t="s">
        <v>20998</v>
      </c>
      <c r="N111" s="10" t="s">
        <v>20975</v>
      </c>
      <c r="P111" s="5" t="s">
        <v>14593</v>
      </c>
      <c r="R111" s="9">
        <v>46080.505810185183</v>
      </c>
      <c r="S111" s="9">
        <v>46080.505810185183</v>
      </c>
    </row>
    <row r="112" spans="1:19" ht="12.5">
      <c r="A112" s="10" t="s">
        <v>20999</v>
      </c>
      <c r="B112" s="5" t="s">
        <v>13551</v>
      </c>
      <c r="C112" s="5">
        <v>573124484094</v>
      </c>
      <c r="D112" s="5" t="s">
        <v>13554</v>
      </c>
      <c r="E112" s="5" t="s">
        <v>13553</v>
      </c>
      <c r="F112" s="5" t="s">
        <v>7476</v>
      </c>
      <c r="G112" s="5" t="s">
        <v>21000</v>
      </c>
      <c r="H112" s="10" t="s">
        <v>21001</v>
      </c>
      <c r="K112" s="23">
        <v>46088.861296296294</v>
      </c>
      <c r="L112" s="5" t="s">
        <v>6139</v>
      </c>
      <c r="M112" s="10" t="s">
        <v>21002</v>
      </c>
      <c r="N112" s="10" t="s">
        <v>20975</v>
      </c>
      <c r="P112" s="5" t="s">
        <v>15349</v>
      </c>
      <c r="R112" s="9">
        <v>46080.516319444447</v>
      </c>
      <c r="S112" s="9">
        <v>46080.516319444447</v>
      </c>
    </row>
    <row r="113" spans="1:19" ht="12.5">
      <c r="A113" s="10" t="s">
        <v>21003</v>
      </c>
      <c r="B113" s="5" t="s">
        <v>13560</v>
      </c>
      <c r="C113" s="5">
        <v>17863815004</v>
      </c>
      <c r="D113" s="5" t="s">
        <v>13563</v>
      </c>
      <c r="E113" s="5" t="s">
        <v>13562</v>
      </c>
      <c r="F113" s="5" t="s">
        <v>265</v>
      </c>
      <c r="G113" s="5" t="s">
        <v>13561</v>
      </c>
      <c r="H113" s="10" t="s">
        <v>21004</v>
      </c>
      <c r="I113" s="5" t="s">
        <v>21005</v>
      </c>
      <c r="K113" s="23">
        <v>46088.830567129633</v>
      </c>
      <c r="L113" s="5" t="s">
        <v>20652</v>
      </c>
      <c r="M113" s="10" t="s">
        <v>21006</v>
      </c>
      <c r="N113" s="10" t="s">
        <v>20917</v>
      </c>
      <c r="P113" s="5" t="s">
        <v>14691</v>
      </c>
      <c r="R113" s="9">
        <v>46080.539155092592</v>
      </c>
      <c r="S113" s="9">
        <v>46080.539155092592</v>
      </c>
    </row>
    <row r="114" spans="1:19" ht="12.5">
      <c r="A114" s="10" t="s">
        <v>21007</v>
      </c>
      <c r="B114" s="5" t="s">
        <v>13533</v>
      </c>
      <c r="C114" s="5">
        <v>573126606039</v>
      </c>
      <c r="D114" s="5" t="s">
        <v>12924</v>
      </c>
      <c r="E114" s="5" t="s">
        <v>13535</v>
      </c>
      <c r="F114" s="5" t="s">
        <v>103</v>
      </c>
      <c r="G114" s="5" t="s">
        <v>13534</v>
      </c>
      <c r="H114" s="10" t="s">
        <v>21008</v>
      </c>
      <c r="I114" s="5" t="s">
        <v>20688</v>
      </c>
      <c r="K114" s="23">
        <v>46088.809583333335</v>
      </c>
      <c r="L114" s="5" t="s">
        <v>17416</v>
      </c>
      <c r="M114" s="10" t="s">
        <v>21009</v>
      </c>
      <c r="N114" s="10" t="s">
        <v>20917</v>
      </c>
      <c r="P114" s="5" t="s">
        <v>14593</v>
      </c>
      <c r="R114" s="9">
        <v>46080.540150462963</v>
      </c>
      <c r="S114" s="9">
        <v>46080.540150462963</v>
      </c>
    </row>
    <row r="115" spans="1:19" ht="12.5">
      <c r="A115" s="10" t="s">
        <v>21010</v>
      </c>
      <c r="B115" s="5" t="s">
        <v>13544</v>
      </c>
      <c r="C115" s="5">
        <v>573016673824</v>
      </c>
      <c r="D115" s="5" t="s">
        <v>13547</v>
      </c>
      <c r="E115" s="5" t="s">
        <v>13546</v>
      </c>
      <c r="F115" s="5" t="s">
        <v>146</v>
      </c>
      <c r="G115" s="5" t="s">
        <v>13545</v>
      </c>
      <c r="H115" s="10" t="s">
        <v>21011</v>
      </c>
      <c r="K115" s="23">
        <v>46088.765057870369</v>
      </c>
      <c r="L115" s="5" t="s">
        <v>6139</v>
      </c>
      <c r="M115" s="10" t="s">
        <v>21012</v>
      </c>
      <c r="N115" s="10" t="s">
        <v>21013</v>
      </c>
      <c r="P115" s="5" t="s">
        <v>14618</v>
      </c>
      <c r="R115" s="9">
        <v>46080.584965277776</v>
      </c>
      <c r="S115" s="9">
        <v>46080.584965277776</v>
      </c>
    </row>
    <row r="116" spans="1:19" ht="12.5">
      <c r="A116" s="10" t="s">
        <v>21014</v>
      </c>
      <c r="B116" s="5" t="s">
        <v>13487</v>
      </c>
      <c r="C116" s="5">
        <v>573016323295</v>
      </c>
      <c r="D116" s="5" t="s">
        <v>12814</v>
      </c>
      <c r="E116" s="5" t="s">
        <v>13489</v>
      </c>
      <c r="F116" s="5" t="s">
        <v>265</v>
      </c>
      <c r="G116" s="5" t="s">
        <v>20003</v>
      </c>
      <c r="H116" s="10" t="s">
        <v>21015</v>
      </c>
      <c r="I116" s="5" t="s">
        <v>3962</v>
      </c>
      <c r="K116" s="23">
        <v>46088.691331018519</v>
      </c>
      <c r="L116" s="5" t="s">
        <v>17416</v>
      </c>
      <c r="M116" s="10" t="s">
        <v>21016</v>
      </c>
      <c r="N116" s="10" t="s">
        <v>21017</v>
      </c>
      <c r="P116" s="5" t="s">
        <v>14691</v>
      </c>
      <c r="R116" s="9">
        <v>46080.585057870368</v>
      </c>
      <c r="S116" s="9">
        <v>46080.585057870368</v>
      </c>
    </row>
    <row r="117" spans="1:19" ht="12.5">
      <c r="A117" s="10" t="s">
        <v>21018</v>
      </c>
      <c r="B117" s="5" t="s">
        <v>13520</v>
      </c>
      <c r="C117" s="5">
        <v>573118234583</v>
      </c>
      <c r="D117" s="5" t="s">
        <v>42</v>
      </c>
      <c r="E117" s="5" t="s">
        <v>12657</v>
      </c>
      <c r="F117" s="5" t="s">
        <v>12657</v>
      </c>
      <c r="G117" s="5" t="s">
        <v>13520</v>
      </c>
      <c r="H117" s="10" t="s">
        <v>17425</v>
      </c>
      <c r="K117" s="23">
        <v>46088.73940972222</v>
      </c>
      <c r="L117" s="5" t="s">
        <v>6139</v>
      </c>
      <c r="M117" s="10" t="s">
        <v>21019</v>
      </c>
      <c r="N117" s="10" t="s">
        <v>21017</v>
      </c>
      <c r="R117" s="9">
        <v>46080.612164351849</v>
      </c>
      <c r="S117" s="9">
        <v>46080.612164351849</v>
      </c>
    </row>
    <row r="118" spans="1:19" ht="12.5">
      <c r="A118" s="10" t="s">
        <v>21020</v>
      </c>
      <c r="B118" s="5" t="s">
        <v>12481</v>
      </c>
      <c r="C118" s="5">
        <v>573174391102</v>
      </c>
      <c r="D118" s="5" t="s">
        <v>12701</v>
      </c>
      <c r="E118" s="5" t="s">
        <v>13525</v>
      </c>
      <c r="F118" s="5" t="s">
        <v>79</v>
      </c>
      <c r="G118" s="5" t="s">
        <v>21021</v>
      </c>
      <c r="H118" s="10" t="s">
        <v>21022</v>
      </c>
      <c r="K118" s="23">
        <v>46088.818310185183</v>
      </c>
      <c r="L118" s="5" t="s">
        <v>6139</v>
      </c>
      <c r="M118" s="10" t="s">
        <v>21023</v>
      </c>
      <c r="N118" s="10" t="s">
        <v>20917</v>
      </c>
      <c r="P118" s="5" t="s">
        <v>14593</v>
      </c>
      <c r="R118" s="9">
        <v>46080.612268518518</v>
      </c>
      <c r="S118" s="9">
        <v>46080.612268518518</v>
      </c>
    </row>
    <row r="119" spans="1:19" ht="12.5">
      <c r="A119" s="10" t="s">
        <v>21024</v>
      </c>
      <c r="B119" s="5" t="s">
        <v>13516</v>
      </c>
      <c r="C119" s="5">
        <v>573008822165</v>
      </c>
      <c r="D119" s="5" t="s">
        <v>13483</v>
      </c>
      <c r="E119" s="5" t="s">
        <v>13518</v>
      </c>
      <c r="F119" s="5" t="s">
        <v>249</v>
      </c>
      <c r="G119" s="5" t="s">
        <v>13517</v>
      </c>
      <c r="H119" s="10" t="s">
        <v>21025</v>
      </c>
      <c r="I119" s="5" t="s">
        <v>20688</v>
      </c>
      <c r="K119" s="23">
        <v>46088.70616898148</v>
      </c>
      <c r="L119" s="5" t="s">
        <v>17416</v>
      </c>
      <c r="M119" s="10" t="s">
        <v>21026</v>
      </c>
      <c r="N119" s="10" t="s">
        <v>21027</v>
      </c>
      <c r="P119" s="5" t="s">
        <v>14593</v>
      </c>
      <c r="R119" s="9">
        <v>46081.39947916667</v>
      </c>
      <c r="S119" s="9">
        <v>46081.39947916667</v>
      </c>
    </row>
    <row r="120" spans="1:19" ht="12.5">
      <c r="A120" s="10" t="s">
        <v>21028</v>
      </c>
      <c r="B120" s="5" t="s">
        <v>13469</v>
      </c>
      <c r="C120" s="5">
        <v>573112969038</v>
      </c>
      <c r="D120" s="5" t="s">
        <v>13472</v>
      </c>
      <c r="E120" s="5" t="s">
        <v>13471</v>
      </c>
      <c r="F120" s="5" t="s">
        <v>79</v>
      </c>
      <c r="G120" s="5" t="s">
        <v>19983</v>
      </c>
      <c r="H120" s="10" t="s">
        <v>19981</v>
      </c>
      <c r="I120" s="5" t="s">
        <v>20688</v>
      </c>
      <c r="K120" s="23">
        <v>46088.833993055552</v>
      </c>
      <c r="L120" s="5" t="s">
        <v>17416</v>
      </c>
      <c r="M120" s="10" t="s">
        <v>21029</v>
      </c>
      <c r="N120" s="10" t="s">
        <v>20975</v>
      </c>
      <c r="P120" s="5" t="s">
        <v>14593</v>
      </c>
      <c r="R120" s="9">
        <v>46080.633634259262</v>
      </c>
      <c r="S120" s="9">
        <v>46080.633634259262</v>
      </c>
    </row>
    <row r="121" spans="1:19" ht="12.5">
      <c r="A121" s="10" t="s">
        <v>21030</v>
      </c>
      <c r="B121" s="5" t="s">
        <v>13528</v>
      </c>
      <c r="C121" s="5">
        <v>573106831128</v>
      </c>
      <c r="D121" s="5" t="s">
        <v>13531</v>
      </c>
      <c r="E121" s="5" t="s">
        <v>13530</v>
      </c>
      <c r="F121" s="5" t="s">
        <v>185</v>
      </c>
      <c r="G121" s="5" t="s">
        <v>13529</v>
      </c>
      <c r="I121" s="5" t="s">
        <v>20667</v>
      </c>
      <c r="K121" s="23">
        <v>46089.372650462959</v>
      </c>
      <c r="L121" s="5" t="s">
        <v>20652</v>
      </c>
      <c r="M121" s="10" t="s">
        <v>21031</v>
      </c>
      <c r="N121" s="10" t="s">
        <v>21013</v>
      </c>
      <c r="P121" s="5" t="s">
        <v>14580</v>
      </c>
      <c r="R121" s="9">
        <v>46080.633935185186</v>
      </c>
      <c r="S121" s="9">
        <v>46080.633935185186</v>
      </c>
    </row>
    <row r="122" spans="1:19" ht="12.5">
      <c r="A122" s="10" t="s">
        <v>21032</v>
      </c>
      <c r="B122" s="5" t="s">
        <v>13491</v>
      </c>
      <c r="C122" s="5">
        <v>53383245895338</v>
      </c>
      <c r="D122" s="5" t="s">
        <v>12844</v>
      </c>
      <c r="E122" s="5" t="s">
        <v>13493</v>
      </c>
      <c r="F122" s="5" t="s">
        <v>6692</v>
      </c>
      <c r="G122" s="5" t="s">
        <v>13492</v>
      </c>
      <c r="H122" s="10" t="s">
        <v>21033</v>
      </c>
      <c r="K122" s="23">
        <v>46088.794340277775</v>
      </c>
      <c r="L122" s="5" t="s">
        <v>6139</v>
      </c>
      <c r="M122" s="10" t="s">
        <v>21034</v>
      </c>
      <c r="N122" s="10" t="s">
        <v>20681</v>
      </c>
      <c r="P122" s="5" t="s">
        <v>14580</v>
      </c>
      <c r="R122" s="9">
        <v>46080.633993055555</v>
      </c>
      <c r="S122" s="9">
        <v>46080.633993055555</v>
      </c>
    </row>
    <row r="123" spans="1:19" ht="12.5">
      <c r="A123" s="10" t="s">
        <v>21035</v>
      </c>
      <c r="B123" s="5" t="s">
        <v>13496</v>
      </c>
      <c r="C123" s="5">
        <v>573012771247</v>
      </c>
      <c r="D123" s="5" t="s">
        <v>12673</v>
      </c>
      <c r="E123" s="5" t="s">
        <v>13498</v>
      </c>
      <c r="F123" s="5" t="s">
        <v>249</v>
      </c>
      <c r="G123" s="5" t="s">
        <v>19967</v>
      </c>
      <c r="H123" s="10" t="s">
        <v>15962</v>
      </c>
      <c r="I123" s="5" t="s">
        <v>20688</v>
      </c>
      <c r="K123" s="23">
        <v>46089.397222222222</v>
      </c>
      <c r="L123" s="5" t="s">
        <v>17416</v>
      </c>
      <c r="M123" s="10" t="s">
        <v>21036</v>
      </c>
      <c r="N123" s="10" t="s">
        <v>20681</v>
      </c>
      <c r="P123" s="5" t="s">
        <v>14593</v>
      </c>
      <c r="R123" s="9">
        <v>46080.63417824074</v>
      </c>
      <c r="S123" s="9">
        <v>46080.63417824074</v>
      </c>
    </row>
    <row r="124" spans="1:19" ht="12.5">
      <c r="A124" s="10" t="s">
        <v>21037</v>
      </c>
      <c r="B124" s="5" t="s">
        <v>13218</v>
      </c>
      <c r="C124" s="5">
        <v>573012136288</v>
      </c>
      <c r="D124" s="5" t="s">
        <v>12406</v>
      </c>
      <c r="E124" s="5" t="s">
        <v>12657</v>
      </c>
      <c r="F124" s="5" t="s">
        <v>12657</v>
      </c>
      <c r="G124" s="5" t="s">
        <v>13218</v>
      </c>
      <c r="H124" s="10" t="s">
        <v>19963</v>
      </c>
      <c r="K124" s="23">
        <v>46088.637291666666</v>
      </c>
      <c r="L124" s="5" t="s">
        <v>6139</v>
      </c>
      <c r="M124" s="10" t="s">
        <v>21038</v>
      </c>
      <c r="N124" s="10" t="s">
        <v>21039</v>
      </c>
      <c r="R124" s="9">
        <v>46080.656180555554</v>
      </c>
      <c r="S124" s="9">
        <v>46080.656180555554</v>
      </c>
    </row>
    <row r="125" spans="1:19" ht="12.5">
      <c r="A125" s="10" t="s">
        <v>21040</v>
      </c>
      <c r="B125" s="5" t="s">
        <v>13508</v>
      </c>
      <c r="C125" s="5">
        <v>573015488453</v>
      </c>
      <c r="D125" s="5" t="s">
        <v>12423</v>
      </c>
      <c r="E125" s="5" t="s">
        <v>12657</v>
      </c>
      <c r="F125" s="5" t="s">
        <v>12657</v>
      </c>
      <c r="G125" s="5" t="s">
        <v>13509</v>
      </c>
      <c r="H125" s="10" t="s">
        <v>21041</v>
      </c>
      <c r="K125" s="23">
        <v>46088.614872685182</v>
      </c>
      <c r="L125" s="5" t="s">
        <v>6139</v>
      </c>
      <c r="M125" s="10" t="s">
        <v>21042</v>
      </c>
      <c r="N125" s="10" t="s">
        <v>21043</v>
      </c>
      <c r="R125" s="9">
        <v>46080.692118055558</v>
      </c>
      <c r="S125" s="9">
        <v>46080.692118055558</v>
      </c>
    </row>
    <row r="126" spans="1:19" ht="12.5">
      <c r="A126" s="10" t="s">
        <v>21044</v>
      </c>
      <c r="B126" s="5" t="s">
        <v>13475</v>
      </c>
      <c r="C126" s="5">
        <v>573174870896</v>
      </c>
      <c r="D126" s="5" t="s">
        <v>12437</v>
      </c>
      <c r="E126" s="5" t="s">
        <v>13477</v>
      </c>
      <c r="F126" s="5" t="s">
        <v>124</v>
      </c>
      <c r="G126" s="5" t="s">
        <v>21045</v>
      </c>
      <c r="H126" s="10" t="s">
        <v>21046</v>
      </c>
      <c r="K126" s="23">
        <v>46088.685023148151</v>
      </c>
      <c r="L126" s="5" t="s">
        <v>6139</v>
      </c>
      <c r="M126" s="10" t="s">
        <v>21047</v>
      </c>
      <c r="N126" s="10" t="s">
        <v>20681</v>
      </c>
      <c r="P126" s="5" t="s">
        <v>14775</v>
      </c>
      <c r="R126" s="9">
        <v>46080.727152777778</v>
      </c>
      <c r="S126" s="9">
        <v>46080.727152777778</v>
      </c>
    </row>
    <row r="127" spans="1:19" ht="12.5">
      <c r="A127" s="10" t="s">
        <v>21048</v>
      </c>
      <c r="B127" s="5" t="s">
        <v>13411</v>
      </c>
      <c r="C127" s="5">
        <v>573004501900</v>
      </c>
      <c r="D127" s="5" t="s">
        <v>12522</v>
      </c>
      <c r="E127" s="5" t="s">
        <v>13413</v>
      </c>
      <c r="F127" s="5" t="s">
        <v>307</v>
      </c>
      <c r="G127" s="5" t="s">
        <v>13412</v>
      </c>
      <c r="H127" s="10" t="s">
        <v>21049</v>
      </c>
      <c r="K127" s="23">
        <v>46089.497106481482</v>
      </c>
      <c r="L127" s="5" t="s">
        <v>6139</v>
      </c>
      <c r="M127" s="10" t="s">
        <v>21050</v>
      </c>
      <c r="N127" s="10" t="s">
        <v>20681</v>
      </c>
      <c r="P127" s="5" t="s">
        <v>14618</v>
      </c>
      <c r="R127" s="9">
        <v>46080.72729166667</v>
      </c>
      <c r="S127" s="9">
        <v>46080.72729166667</v>
      </c>
    </row>
    <row r="128" spans="1:19" ht="12.5">
      <c r="A128" s="10" t="s">
        <v>21051</v>
      </c>
      <c r="B128" s="5" t="s">
        <v>13459</v>
      </c>
      <c r="C128" s="5">
        <v>3144885016</v>
      </c>
      <c r="D128" s="5" t="s">
        <v>12423</v>
      </c>
      <c r="E128" s="5" t="s">
        <v>13461</v>
      </c>
      <c r="F128" s="5" t="s">
        <v>9002</v>
      </c>
      <c r="G128" s="5" t="s">
        <v>19955</v>
      </c>
      <c r="H128" s="10" t="s">
        <v>21052</v>
      </c>
      <c r="K128" s="23">
        <v>46088.860393518517</v>
      </c>
      <c r="L128" s="5" t="s">
        <v>6139</v>
      </c>
      <c r="M128" s="10" t="s">
        <v>21053</v>
      </c>
      <c r="N128" s="10" t="s">
        <v>20975</v>
      </c>
      <c r="P128" s="5" t="s">
        <v>14775</v>
      </c>
      <c r="R128" s="9">
        <v>46080.741863425923</v>
      </c>
      <c r="S128" s="9">
        <v>46080.741863425923</v>
      </c>
    </row>
    <row r="129" spans="1:19" ht="12.5">
      <c r="A129" s="10" t="s">
        <v>21054</v>
      </c>
      <c r="B129" s="5" t="s">
        <v>12073</v>
      </c>
      <c r="C129" s="5">
        <v>573166212722</v>
      </c>
      <c r="D129" s="5" t="s">
        <v>13483</v>
      </c>
      <c r="E129" s="5" t="s">
        <v>12657</v>
      </c>
      <c r="F129" s="5" t="s">
        <v>12657</v>
      </c>
      <c r="G129" s="5" t="s">
        <v>12073</v>
      </c>
      <c r="H129" s="10" t="s">
        <v>19128</v>
      </c>
      <c r="K129" s="23">
        <v>46088.617881944447</v>
      </c>
      <c r="L129" s="5" t="s">
        <v>6139</v>
      </c>
      <c r="M129" s="10" t="s">
        <v>21055</v>
      </c>
      <c r="N129" s="10" t="s">
        <v>20969</v>
      </c>
      <c r="R129" s="9">
        <v>46080.785254629627</v>
      </c>
      <c r="S129" s="9">
        <v>46080.785254629627</v>
      </c>
    </row>
    <row r="130" spans="1:19" ht="12.5">
      <c r="A130" s="10" t="s">
        <v>21056</v>
      </c>
      <c r="B130" s="5" t="s">
        <v>13318</v>
      </c>
      <c r="C130" s="5">
        <v>573023514914</v>
      </c>
      <c r="D130" s="5" t="s">
        <v>12496</v>
      </c>
      <c r="E130" s="5" t="s">
        <v>13320</v>
      </c>
      <c r="F130" s="5" t="s">
        <v>630</v>
      </c>
      <c r="G130" s="5" t="s">
        <v>21057</v>
      </c>
      <c r="H130" s="10" t="s">
        <v>21058</v>
      </c>
      <c r="K130" s="23">
        <v>46088.606030092589</v>
      </c>
      <c r="L130" s="5" t="s">
        <v>6139</v>
      </c>
      <c r="M130" s="10" t="s">
        <v>21059</v>
      </c>
      <c r="N130" s="10" t="s">
        <v>21043</v>
      </c>
      <c r="P130" s="5" t="s">
        <v>14580</v>
      </c>
      <c r="R130" s="9">
        <v>46080.785416666666</v>
      </c>
      <c r="S130" s="9">
        <v>46080.785416666666</v>
      </c>
    </row>
    <row r="131" spans="1:19" ht="12.5">
      <c r="A131" s="10" t="s">
        <v>21060</v>
      </c>
      <c r="B131" s="5" t="s">
        <v>13165</v>
      </c>
      <c r="C131" s="5">
        <v>573115904808</v>
      </c>
      <c r="D131" s="5" t="s">
        <v>12496</v>
      </c>
      <c r="E131" s="5" t="s">
        <v>13167</v>
      </c>
      <c r="F131" s="5" t="s">
        <v>265</v>
      </c>
      <c r="G131" s="5" t="s">
        <v>21061</v>
      </c>
      <c r="H131" s="10" t="s">
        <v>21062</v>
      </c>
      <c r="I131" s="5" t="s">
        <v>21063</v>
      </c>
      <c r="K131" s="23">
        <v>46088.648252314815</v>
      </c>
      <c r="L131" s="5" t="s">
        <v>17416</v>
      </c>
      <c r="M131" s="10" t="s">
        <v>21064</v>
      </c>
      <c r="N131" s="10" t="s">
        <v>21065</v>
      </c>
      <c r="P131" s="5" t="s">
        <v>14691</v>
      </c>
      <c r="R131" s="9">
        <v>46080.786087962966</v>
      </c>
      <c r="S131" s="9">
        <v>46080.786087962966</v>
      </c>
    </row>
    <row r="132" spans="1:19" ht="12.5">
      <c r="A132" s="10" t="s">
        <v>21066</v>
      </c>
      <c r="B132" s="5" t="s">
        <v>13436</v>
      </c>
      <c r="C132" s="5">
        <v>573008035220</v>
      </c>
      <c r="D132" s="5" t="s">
        <v>12496</v>
      </c>
      <c r="E132" s="5" t="s">
        <v>13438</v>
      </c>
      <c r="F132" s="5" t="s">
        <v>63</v>
      </c>
      <c r="G132" s="5" t="s">
        <v>21067</v>
      </c>
      <c r="H132" s="10" t="s">
        <v>21068</v>
      </c>
      <c r="K132" s="23">
        <v>46089.632199074076</v>
      </c>
      <c r="L132" s="5" t="s">
        <v>6139</v>
      </c>
      <c r="M132" s="10" t="s">
        <v>21069</v>
      </c>
      <c r="N132" s="10" t="s">
        <v>20681</v>
      </c>
      <c r="P132" s="5" t="s">
        <v>14598</v>
      </c>
      <c r="R132" s="9">
        <v>46080.786828703705</v>
      </c>
      <c r="S132" s="9">
        <v>46080.786828703705</v>
      </c>
    </row>
    <row r="133" spans="1:19" ht="12.5">
      <c r="A133" s="10" t="s">
        <v>21070</v>
      </c>
      <c r="B133" s="5" t="s">
        <v>13444</v>
      </c>
      <c r="C133" s="5">
        <v>573013550351</v>
      </c>
      <c r="D133" s="5" t="s">
        <v>13447</v>
      </c>
      <c r="E133" s="5" t="s">
        <v>13446</v>
      </c>
      <c r="F133" s="5" t="s">
        <v>11267</v>
      </c>
      <c r="G133" s="5" t="s">
        <v>13445</v>
      </c>
      <c r="H133" s="10" t="s">
        <v>21071</v>
      </c>
      <c r="K133" s="23">
        <v>46088.842303240737</v>
      </c>
      <c r="L133" s="5" t="s">
        <v>6139</v>
      </c>
      <c r="M133" s="10" t="s">
        <v>21072</v>
      </c>
      <c r="N133" s="10" t="s">
        <v>20975</v>
      </c>
      <c r="P133" s="5" t="s">
        <v>14691</v>
      </c>
      <c r="R133" s="9">
        <v>46080.787037037036</v>
      </c>
      <c r="S133" s="9">
        <v>46080.787037037036</v>
      </c>
    </row>
    <row r="134" spans="1:19" ht="12.5">
      <c r="A134" s="10" t="s">
        <v>21073</v>
      </c>
      <c r="B134" s="5" t="s">
        <v>8636</v>
      </c>
      <c r="C134" s="5">
        <v>573008641212</v>
      </c>
      <c r="D134" s="5" t="s">
        <v>12701</v>
      </c>
      <c r="E134" s="5" t="s">
        <v>13433</v>
      </c>
      <c r="F134" s="5" t="s">
        <v>193</v>
      </c>
      <c r="G134" s="5" t="s">
        <v>21074</v>
      </c>
      <c r="H134" s="10" t="s">
        <v>19927</v>
      </c>
      <c r="K134" s="23">
        <v>46088.807060185187</v>
      </c>
      <c r="L134" s="5" t="s">
        <v>6139</v>
      </c>
      <c r="M134" s="10" t="s">
        <v>21075</v>
      </c>
      <c r="N134" s="10" t="s">
        <v>20975</v>
      </c>
      <c r="P134" s="5" t="s">
        <v>14580</v>
      </c>
      <c r="R134" s="9">
        <v>46080.787129629629</v>
      </c>
      <c r="S134" s="9">
        <v>46080.787129629629</v>
      </c>
    </row>
    <row r="135" spans="1:19" ht="12.5">
      <c r="A135" s="10" t="s">
        <v>21076</v>
      </c>
      <c r="B135" s="5" t="s">
        <v>8636</v>
      </c>
      <c r="C135" s="5">
        <v>573008641212</v>
      </c>
      <c r="D135" s="5" t="s">
        <v>13428</v>
      </c>
      <c r="E135" s="5" t="s">
        <v>13427</v>
      </c>
      <c r="F135" s="5" t="s">
        <v>307</v>
      </c>
      <c r="G135" s="5" t="s">
        <v>21077</v>
      </c>
      <c r="H135" s="10" t="s">
        <v>21078</v>
      </c>
      <c r="K135" s="23">
        <v>46088.707175925927</v>
      </c>
      <c r="L135" s="5" t="s">
        <v>6139</v>
      </c>
      <c r="M135" s="10" t="s">
        <v>21079</v>
      </c>
      <c r="N135" s="10" t="s">
        <v>20975</v>
      </c>
      <c r="P135" s="5" t="s">
        <v>14618</v>
      </c>
      <c r="R135" s="9">
        <v>46080.78869212963</v>
      </c>
      <c r="S135" s="9">
        <v>46080.78869212963</v>
      </c>
    </row>
    <row r="136" spans="1:19" ht="12.5">
      <c r="A136" s="10" t="s">
        <v>21080</v>
      </c>
      <c r="B136" s="5" t="s">
        <v>8636</v>
      </c>
      <c r="C136" s="5">
        <v>573008641212</v>
      </c>
      <c r="D136" s="5" t="s">
        <v>13424</v>
      </c>
      <c r="E136" s="5" t="s">
        <v>13423</v>
      </c>
      <c r="F136" s="5" t="s">
        <v>2509</v>
      </c>
      <c r="G136" s="5" t="s">
        <v>13422</v>
      </c>
      <c r="H136" s="10" t="s">
        <v>21081</v>
      </c>
      <c r="K136" s="23">
        <v>46089.337199074071</v>
      </c>
      <c r="L136" s="5" t="s">
        <v>6139</v>
      </c>
      <c r="M136" s="10" t="s">
        <v>21082</v>
      </c>
      <c r="N136" s="10" t="s">
        <v>20975</v>
      </c>
      <c r="P136" s="5" t="s">
        <v>16770</v>
      </c>
      <c r="R136" s="9">
        <v>46081.379641203705</v>
      </c>
      <c r="S136" s="9">
        <v>46081.379641203705</v>
      </c>
    </row>
    <row r="137" spans="1:19" ht="12.5">
      <c r="A137" s="10" t="s">
        <v>21083</v>
      </c>
      <c r="B137" s="5" t="s">
        <v>13440</v>
      </c>
      <c r="C137" s="5">
        <v>573155605686</v>
      </c>
      <c r="D137" s="5" t="s">
        <v>42</v>
      </c>
      <c r="E137" s="5" t="s">
        <v>12657</v>
      </c>
      <c r="F137" s="5" t="s">
        <v>12657</v>
      </c>
      <c r="G137" s="5" t="s">
        <v>13440</v>
      </c>
      <c r="H137" s="10" t="s">
        <v>19924</v>
      </c>
      <c r="K137" s="23">
        <v>46088.606817129628</v>
      </c>
      <c r="L137" s="5" t="s">
        <v>6139</v>
      </c>
      <c r="M137" s="10" t="s">
        <v>21084</v>
      </c>
      <c r="N137" s="10" t="s">
        <v>20979</v>
      </c>
      <c r="R137" s="9">
        <v>46081.399282407408</v>
      </c>
      <c r="S137" s="9">
        <v>46081.399282407408</v>
      </c>
    </row>
    <row r="138" spans="1:19" ht="12.5">
      <c r="A138" s="10" t="s">
        <v>21085</v>
      </c>
      <c r="B138" s="5" t="s">
        <v>13266</v>
      </c>
      <c r="C138" s="5">
        <v>573028631428</v>
      </c>
      <c r="D138" s="5" t="s">
        <v>12724</v>
      </c>
      <c r="E138" s="5" t="s">
        <v>13268</v>
      </c>
      <c r="F138" s="5" t="s">
        <v>73</v>
      </c>
      <c r="G138" s="5" t="s">
        <v>21086</v>
      </c>
      <c r="H138" s="10" t="s">
        <v>21087</v>
      </c>
      <c r="I138" s="5" t="s">
        <v>20688</v>
      </c>
      <c r="K138" s="23">
        <v>46088.674490740741</v>
      </c>
      <c r="L138" s="5" t="s">
        <v>17416</v>
      </c>
      <c r="M138" s="10" t="s">
        <v>21088</v>
      </c>
      <c r="N138" s="10" t="s">
        <v>20975</v>
      </c>
      <c r="P138" s="5" t="s">
        <v>14593</v>
      </c>
      <c r="R138" s="9">
        <v>46081.413773148146</v>
      </c>
      <c r="S138" s="9">
        <v>46081.413773148146</v>
      </c>
    </row>
    <row r="139" spans="1:19" ht="12.5">
      <c r="A139" s="10" t="s">
        <v>21089</v>
      </c>
      <c r="B139" s="5" t="s">
        <v>13360</v>
      </c>
      <c r="C139" s="5">
        <v>573016746741</v>
      </c>
      <c r="D139" s="5" t="s">
        <v>12484</v>
      </c>
      <c r="E139" s="5" t="s">
        <v>13362</v>
      </c>
      <c r="F139" s="5" t="s">
        <v>1272</v>
      </c>
      <c r="G139" s="5" t="s">
        <v>13361</v>
      </c>
      <c r="H139" s="10" t="s">
        <v>21090</v>
      </c>
      <c r="I139" s="5" t="s">
        <v>20688</v>
      </c>
      <c r="K139" s="23">
        <v>46088.639872685184</v>
      </c>
      <c r="L139" s="5" t="s">
        <v>17416</v>
      </c>
      <c r="M139" s="10" t="s">
        <v>21091</v>
      </c>
      <c r="N139" s="10" t="s">
        <v>20969</v>
      </c>
      <c r="P139" s="5" t="s">
        <v>14593</v>
      </c>
      <c r="R139" s="9">
        <v>46081.44494212963</v>
      </c>
      <c r="S139" s="9">
        <v>46081.44494212963</v>
      </c>
    </row>
    <row r="140" spans="1:19" ht="12.5">
      <c r="A140" s="10" t="s">
        <v>21092</v>
      </c>
      <c r="B140" s="5" t="s">
        <v>13392</v>
      </c>
      <c r="C140" s="5">
        <v>573144908649</v>
      </c>
      <c r="D140" s="5" t="s">
        <v>12651</v>
      </c>
      <c r="E140" s="5" t="s">
        <v>13395</v>
      </c>
      <c r="F140" s="5" t="s">
        <v>13394</v>
      </c>
      <c r="G140" s="5" t="s">
        <v>13393</v>
      </c>
      <c r="H140" s="10" t="s">
        <v>21093</v>
      </c>
      <c r="K140" s="23">
        <v>46088.613125000003</v>
      </c>
      <c r="L140" s="5" t="s">
        <v>6139</v>
      </c>
      <c r="M140" s="10" t="s">
        <v>21094</v>
      </c>
      <c r="N140" s="10" t="s">
        <v>20681</v>
      </c>
      <c r="P140" s="5" t="s">
        <v>14691</v>
      </c>
      <c r="R140" s="9">
        <v>46081.445081018515</v>
      </c>
      <c r="S140" s="9">
        <v>46081.445081018515</v>
      </c>
    </row>
    <row r="141" spans="1:19" ht="12.5">
      <c r="A141" s="10" t="s">
        <v>21095</v>
      </c>
      <c r="B141" s="5" t="s">
        <v>13404</v>
      </c>
      <c r="C141" s="5">
        <v>573160525021</v>
      </c>
      <c r="D141" s="5" t="s">
        <v>13407</v>
      </c>
      <c r="E141" s="5" t="s">
        <v>13406</v>
      </c>
      <c r="F141" s="5" t="s">
        <v>265</v>
      </c>
      <c r="G141" s="5" t="s">
        <v>13405</v>
      </c>
      <c r="H141" s="10" t="s">
        <v>21096</v>
      </c>
      <c r="I141" s="5" t="s">
        <v>21005</v>
      </c>
      <c r="K141" s="23">
        <v>46088.856099537035</v>
      </c>
      <c r="L141" s="5" t="s">
        <v>20652</v>
      </c>
      <c r="M141" s="10" t="s">
        <v>21097</v>
      </c>
      <c r="N141" s="10" t="s">
        <v>20975</v>
      </c>
      <c r="P141" s="5" t="s">
        <v>14691</v>
      </c>
      <c r="R141" s="9">
        <v>46081.447106481479</v>
      </c>
      <c r="S141" s="9">
        <v>46081.447106481479</v>
      </c>
    </row>
    <row r="142" spans="1:19" ht="12.5">
      <c r="A142" s="10" t="s">
        <v>21098</v>
      </c>
      <c r="B142" s="5" t="s">
        <v>2940</v>
      </c>
      <c r="C142" s="5">
        <v>573158063644</v>
      </c>
      <c r="D142" s="5" t="s">
        <v>42</v>
      </c>
      <c r="E142" s="5" t="s">
        <v>12657</v>
      </c>
      <c r="F142" s="5" t="s">
        <v>12657</v>
      </c>
      <c r="G142" s="5" t="s">
        <v>2940</v>
      </c>
      <c r="H142" s="10" t="s">
        <v>19910</v>
      </c>
      <c r="K142" s="23">
        <v>46088.735497685186</v>
      </c>
      <c r="L142" s="5" t="s">
        <v>6139</v>
      </c>
      <c r="M142" s="10" t="s">
        <v>21099</v>
      </c>
      <c r="N142" s="10" t="s">
        <v>20969</v>
      </c>
      <c r="R142" s="9">
        <v>46081.466365740744</v>
      </c>
      <c r="S142" s="9">
        <v>46081.466365740744</v>
      </c>
    </row>
    <row r="143" spans="1:19" ht="12.5">
      <c r="A143" s="10" t="s">
        <v>21100</v>
      </c>
      <c r="B143" s="5" t="s">
        <v>13400</v>
      </c>
      <c r="C143" s="5">
        <v>573044617821</v>
      </c>
      <c r="D143" s="5" t="s">
        <v>12423</v>
      </c>
      <c r="E143" s="5" t="s">
        <v>13402</v>
      </c>
      <c r="F143" s="5" t="s">
        <v>9925</v>
      </c>
      <c r="G143" s="5" t="s">
        <v>13400</v>
      </c>
      <c r="H143" s="10" t="s">
        <v>19901</v>
      </c>
      <c r="I143" s="5" t="s">
        <v>3962</v>
      </c>
      <c r="K143" s="23">
        <v>46088.596446759257</v>
      </c>
      <c r="L143" s="5" t="s">
        <v>17416</v>
      </c>
      <c r="M143" s="10" t="s">
        <v>21101</v>
      </c>
      <c r="N143" s="10" t="s">
        <v>21102</v>
      </c>
      <c r="P143" s="5" t="s">
        <v>14618</v>
      </c>
      <c r="R143" s="9">
        <v>46081.513495370367</v>
      </c>
      <c r="S143" s="9">
        <v>46081.513495370367</v>
      </c>
    </row>
    <row r="144" spans="1:19" ht="12.5">
      <c r="A144" s="10" t="s">
        <v>21103</v>
      </c>
      <c r="B144" s="5" t="s">
        <v>13398</v>
      </c>
      <c r="C144" s="5">
        <v>573002050746</v>
      </c>
      <c r="D144" s="5" t="s">
        <v>12406</v>
      </c>
      <c r="E144" s="5" t="s">
        <v>12657</v>
      </c>
      <c r="F144" s="5" t="s">
        <v>12657</v>
      </c>
      <c r="G144" s="5" t="s">
        <v>13399</v>
      </c>
      <c r="H144" s="10" t="s">
        <v>19898</v>
      </c>
      <c r="K144" s="23">
        <v>46088.579363425924</v>
      </c>
      <c r="L144" s="5" t="s">
        <v>6139</v>
      </c>
      <c r="M144" s="10" t="s">
        <v>21104</v>
      </c>
      <c r="N144" s="10" t="s">
        <v>20969</v>
      </c>
      <c r="R144" s="9">
        <v>46081.515277777777</v>
      </c>
      <c r="S144" s="9">
        <v>46081.515277777777</v>
      </c>
    </row>
    <row r="145" spans="1:19" ht="12.5">
      <c r="A145" s="10" t="s">
        <v>21105</v>
      </c>
      <c r="B145" s="5" t="s">
        <v>13365</v>
      </c>
      <c r="C145" s="5">
        <v>34616790085</v>
      </c>
      <c r="D145" s="5" t="s">
        <v>12844</v>
      </c>
      <c r="E145" s="5" t="s">
        <v>13367</v>
      </c>
      <c r="F145" s="5" t="s">
        <v>9925</v>
      </c>
      <c r="G145" s="5" t="s">
        <v>13366</v>
      </c>
      <c r="H145" s="10" t="s">
        <v>21106</v>
      </c>
      <c r="I145" s="5" t="s">
        <v>3962</v>
      </c>
      <c r="K145" s="23">
        <v>46088.57640046296</v>
      </c>
      <c r="L145" s="5" t="s">
        <v>17416</v>
      </c>
      <c r="M145" s="10" t="s">
        <v>21107</v>
      </c>
      <c r="N145" s="10" t="s">
        <v>21108</v>
      </c>
      <c r="P145" s="5" t="s">
        <v>14618</v>
      </c>
      <c r="R145" s="9">
        <v>46081.545671296299</v>
      </c>
      <c r="S145" s="9">
        <v>46081.545671296299</v>
      </c>
    </row>
    <row r="146" spans="1:19" ht="12.5">
      <c r="A146" s="10" t="s">
        <v>21109</v>
      </c>
      <c r="B146" s="5" t="s">
        <v>13370</v>
      </c>
      <c r="C146" s="5">
        <v>573145358206</v>
      </c>
      <c r="D146" s="5" t="s">
        <v>13373</v>
      </c>
      <c r="E146" s="5" t="s">
        <v>13372</v>
      </c>
      <c r="F146" s="5" t="s">
        <v>5574</v>
      </c>
      <c r="G146" s="5" t="s">
        <v>21110</v>
      </c>
      <c r="H146" s="10" t="s">
        <v>21111</v>
      </c>
      <c r="K146" s="23">
        <v>46088.775405092594</v>
      </c>
      <c r="L146" s="5" t="s">
        <v>6139</v>
      </c>
      <c r="M146" s="10" t="s">
        <v>21112</v>
      </c>
      <c r="N146" s="10" t="s">
        <v>20969</v>
      </c>
      <c r="P146" s="5" t="s">
        <v>14593</v>
      </c>
      <c r="R146" s="9">
        <v>46081.553043981483</v>
      </c>
      <c r="S146" s="9">
        <v>46081.553043981483</v>
      </c>
    </row>
    <row r="147" spans="1:19" ht="12.5">
      <c r="A147" s="10" t="s">
        <v>21113</v>
      </c>
      <c r="B147" s="5" t="s">
        <v>13350</v>
      </c>
      <c r="C147" s="5">
        <v>573012043812</v>
      </c>
      <c r="D147" s="5" t="s">
        <v>13352</v>
      </c>
      <c r="E147" s="5" t="s">
        <v>13351</v>
      </c>
      <c r="F147" s="5" t="s">
        <v>2880</v>
      </c>
      <c r="G147" s="5" t="s">
        <v>1038</v>
      </c>
      <c r="H147" s="10" t="s">
        <v>19890</v>
      </c>
      <c r="I147" s="5" t="s">
        <v>20750</v>
      </c>
      <c r="K147" s="23">
        <v>46088.829444444447</v>
      </c>
      <c r="L147" s="5" t="s">
        <v>20652</v>
      </c>
      <c r="M147" s="10" t="s">
        <v>21114</v>
      </c>
      <c r="N147" s="10" t="s">
        <v>20722</v>
      </c>
      <c r="P147" s="5" t="s">
        <v>14691</v>
      </c>
      <c r="R147" s="9">
        <v>46081.600555555553</v>
      </c>
      <c r="S147" s="9">
        <v>46081.600555555553</v>
      </c>
    </row>
    <row r="148" spans="1:19" ht="12.5">
      <c r="A148" s="10" t="s">
        <v>21115</v>
      </c>
      <c r="B148" s="5" t="s">
        <v>12942</v>
      </c>
      <c r="C148" s="5">
        <v>573022781926</v>
      </c>
      <c r="D148" s="5" t="s">
        <v>12423</v>
      </c>
      <c r="E148" s="5" t="s">
        <v>13347</v>
      </c>
      <c r="F148" s="5" t="s">
        <v>1815</v>
      </c>
      <c r="G148" s="5" t="s">
        <v>13346</v>
      </c>
      <c r="H148" s="10" t="s">
        <v>21116</v>
      </c>
      <c r="I148" s="5" t="s">
        <v>20688</v>
      </c>
      <c r="K148" s="23">
        <v>46088.572430555556</v>
      </c>
      <c r="L148" s="5" t="s">
        <v>17416</v>
      </c>
      <c r="M148" s="10" t="s">
        <v>21117</v>
      </c>
      <c r="N148" s="10" t="s">
        <v>21118</v>
      </c>
      <c r="P148" s="5" t="s">
        <v>14580</v>
      </c>
      <c r="R148" s="9">
        <v>46081.601099537038</v>
      </c>
      <c r="S148" s="9">
        <v>46081.601099537038</v>
      </c>
    </row>
    <row r="149" spans="1:19" ht="12.5">
      <c r="A149" s="10" t="s">
        <v>21119</v>
      </c>
      <c r="B149" s="5" t="s">
        <v>13340</v>
      </c>
      <c r="C149" s="5">
        <v>12012323440</v>
      </c>
      <c r="D149" s="5" t="s">
        <v>12724</v>
      </c>
      <c r="E149" s="5" t="s">
        <v>13342</v>
      </c>
      <c r="F149" s="5" t="s">
        <v>103</v>
      </c>
      <c r="G149" s="5" t="s">
        <v>19886</v>
      </c>
      <c r="H149" s="10" t="s">
        <v>21120</v>
      </c>
      <c r="I149" s="5" t="s">
        <v>3962</v>
      </c>
      <c r="K149" s="23">
        <v>46088.56454861111</v>
      </c>
      <c r="L149" s="5" t="s">
        <v>17416</v>
      </c>
      <c r="M149" s="10" t="s">
        <v>21121</v>
      </c>
      <c r="N149" s="10" t="s">
        <v>21118</v>
      </c>
      <c r="P149" s="5" t="s">
        <v>14593</v>
      </c>
      <c r="R149" s="9">
        <v>46081.602685185186</v>
      </c>
      <c r="S149" s="9">
        <v>46081.602685185186</v>
      </c>
    </row>
    <row r="150" spans="1:19" ht="12.5">
      <c r="A150" s="10" t="s">
        <v>21122</v>
      </c>
      <c r="B150" s="5" t="s">
        <v>13355</v>
      </c>
      <c r="C150" s="5">
        <v>573106105271</v>
      </c>
      <c r="D150" s="5" t="s">
        <v>19879</v>
      </c>
      <c r="E150" s="5" t="s">
        <v>12657</v>
      </c>
      <c r="F150" s="5" t="s">
        <v>12657</v>
      </c>
      <c r="G150" s="5" t="s">
        <v>13355</v>
      </c>
      <c r="H150" s="10" t="s">
        <v>21123</v>
      </c>
      <c r="K150" s="23">
        <v>46088.510115740741</v>
      </c>
      <c r="L150" s="5" t="s">
        <v>6139</v>
      </c>
      <c r="M150" s="10" t="s">
        <v>21124</v>
      </c>
      <c r="N150" s="10" t="s">
        <v>20969</v>
      </c>
      <c r="R150" s="9">
        <v>46081.617210648146</v>
      </c>
      <c r="S150" s="9">
        <v>46081.617210648146</v>
      </c>
    </row>
    <row r="151" spans="1:19" ht="12.5">
      <c r="A151" s="10" t="s">
        <v>21125</v>
      </c>
      <c r="B151" s="5" t="s">
        <v>13315</v>
      </c>
      <c r="C151" s="5">
        <v>573008182932</v>
      </c>
      <c r="D151" s="5" t="s">
        <v>12423</v>
      </c>
      <c r="E151" s="5" t="s">
        <v>13317</v>
      </c>
      <c r="F151" s="5" t="s">
        <v>63</v>
      </c>
      <c r="G151" s="5" t="s">
        <v>13316</v>
      </c>
      <c r="H151" s="10" t="s">
        <v>21126</v>
      </c>
      <c r="K151" s="23">
        <v>46088.572280092594</v>
      </c>
      <c r="L151" s="5" t="s">
        <v>17416</v>
      </c>
      <c r="M151" s="10" t="s">
        <v>21127</v>
      </c>
      <c r="N151" s="10" t="s">
        <v>21118</v>
      </c>
      <c r="P151" s="5" t="s">
        <v>14598</v>
      </c>
      <c r="R151" s="9">
        <v>46081.632939814815</v>
      </c>
      <c r="S151" s="9">
        <v>46081.632939814815</v>
      </c>
    </row>
    <row r="152" spans="1:19" ht="12.5">
      <c r="A152" s="10" t="s">
        <v>21128</v>
      </c>
      <c r="B152" s="5" t="s">
        <v>13332</v>
      </c>
      <c r="C152" s="5">
        <v>573014243732</v>
      </c>
      <c r="D152" s="5" t="s">
        <v>12724</v>
      </c>
      <c r="E152" s="5" t="s">
        <v>12657</v>
      </c>
      <c r="F152" s="5" t="s">
        <v>12657</v>
      </c>
      <c r="G152" s="5" t="s">
        <v>13332</v>
      </c>
      <c r="H152" s="10" t="s">
        <v>21129</v>
      </c>
      <c r="K152" s="23">
        <v>46088.586585648147</v>
      </c>
      <c r="L152" s="5" t="s">
        <v>6139</v>
      </c>
      <c r="M152" s="10" t="s">
        <v>21130</v>
      </c>
      <c r="N152" s="10" t="s">
        <v>21043</v>
      </c>
      <c r="R152" s="9">
        <v>46081.64947916667</v>
      </c>
      <c r="S152" s="9">
        <v>46081.64947916667</v>
      </c>
    </row>
    <row r="153" spans="1:19" ht="12.5">
      <c r="A153" s="10" t="s">
        <v>21131</v>
      </c>
      <c r="B153" s="5" t="s">
        <v>13308</v>
      </c>
      <c r="C153" s="5">
        <v>573017245671</v>
      </c>
      <c r="D153" s="5" t="s">
        <v>12406</v>
      </c>
      <c r="E153" s="5" t="s">
        <v>12657</v>
      </c>
      <c r="F153" s="5" t="s">
        <v>12657</v>
      </c>
      <c r="G153" s="5" t="s">
        <v>13308</v>
      </c>
      <c r="H153" s="10" t="s">
        <v>20187</v>
      </c>
      <c r="K153" s="23">
        <v>46088.504201388889</v>
      </c>
      <c r="L153" s="5" t="s">
        <v>6139</v>
      </c>
      <c r="M153" s="10" t="s">
        <v>21132</v>
      </c>
      <c r="N153" s="10" t="s">
        <v>21133</v>
      </c>
      <c r="R153" s="9">
        <v>46081.663356481484</v>
      </c>
      <c r="S153" s="9">
        <v>46081.663356481484</v>
      </c>
    </row>
    <row r="154" spans="1:19" ht="12.5">
      <c r="A154" s="10" t="s">
        <v>21134</v>
      </c>
      <c r="B154" s="5" t="s">
        <v>13344</v>
      </c>
      <c r="C154" s="5">
        <v>573013643099</v>
      </c>
      <c r="D154" s="5" t="s">
        <v>12406</v>
      </c>
      <c r="E154" s="5" t="s">
        <v>12657</v>
      </c>
      <c r="F154" s="5" t="s">
        <v>12657</v>
      </c>
      <c r="G154" s="5" t="s">
        <v>13344</v>
      </c>
      <c r="H154" s="10" t="s">
        <v>21135</v>
      </c>
      <c r="K154" s="23">
        <v>46088.522013888891</v>
      </c>
      <c r="L154" s="5" t="s">
        <v>6139</v>
      </c>
      <c r="M154" s="10" t="s">
        <v>21136</v>
      </c>
      <c r="N154" s="10" t="s">
        <v>20969</v>
      </c>
      <c r="R154" s="9">
        <v>46081.673622685186</v>
      </c>
      <c r="S154" s="9">
        <v>46081.673622685186</v>
      </c>
    </row>
    <row r="155" spans="1:19" ht="12.5">
      <c r="A155" s="10" t="s">
        <v>21137</v>
      </c>
      <c r="B155" s="5" t="s">
        <v>13338</v>
      </c>
      <c r="C155" s="5">
        <v>573135975191</v>
      </c>
      <c r="D155" s="5" t="s">
        <v>12496</v>
      </c>
      <c r="E155" s="5" t="s">
        <v>12657</v>
      </c>
      <c r="F155" s="5" t="s">
        <v>12657</v>
      </c>
      <c r="G155" s="5" t="s">
        <v>13338</v>
      </c>
      <c r="H155" s="10" t="s">
        <v>19862</v>
      </c>
      <c r="K155" s="23">
        <v>46088.519467592596</v>
      </c>
      <c r="L155" s="5" t="s">
        <v>6139</v>
      </c>
      <c r="M155" s="10" t="s">
        <v>21138</v>
      </c>
      <c r="N155" s="10" t="s">
        <v>20969</v>
      </c>
      <c r="R155" s="9">
        <v>46081.673842592594</v>
      </c>
      <c r="S155" s="9">
        <v>46081.673842592594</v>
      </c>
    </row>
    <row r="156" spans="1:19" ht="12.5">
      <c r="A156" s="10" t="s">
        <v>21139</v>
      </c>
      <c r="B156" s="5" t="s">
        <v>13335</v>
      </c>
      <c r="C156" s="5">
        <v>573006804129</v>
      </c>
      <c r="D156" s="5" t="s">
        <v>13336</v>
      </c>
      <c r="E156" s="5" t="s">
        <v>12657</v>
      </c>
      <c r="F156" s="5" t="s">
        <v>12657</v>
      </c>
      <c r="G156" s="5" t="s">
        <v>13335</v>
      </c>
      <c r="H156" s="10" t="s">
        <v>21140</v>
      </c>
      <c r="K156" s="23">
        <v>46088.519849537035</v>
      </c>
      <c r="L156" s="5" t="s">
        <v>6139</v>
      </c>
      <c r="M156" s="10" t="s">
        <v>21141</v>
      </c>
      <c r="N156" s="10" t="s">
        <v>20969</v>
      </c>
      <c r="R156" s="9">
        <v>46081.70108796296</v>
      </c>
      <c r="S156" s="9">
        <v>46081.70108796296</v>
      </c>
    </row>
    <row r="157" spans="1:19" ht="12.5">
      <c r="A157" s="10" t="s">
        <v>21142</v>
      </c>
      <c r="B157" s="5" t="s">
        <v>13310</v>
      </c>
      <c r="C157" s="5">
        <v>573503746735</v>
      </c>
      <c r="D157" s="5" t="s">
        <v>42</v>
      </c>
      <c r="E157" s="5" t="s">
        <v>10161</v>
      </c>
      <c r="F157" s="5" t="s">
        <v>73</v>
      </c>
      <c r="G157" s="5" t="s">
        <v>21143</v>
      </c>
      <c r="H157" s="10" t="s">
        <v>18160</v>
      </c>
      <c r="K157" s="23">
        <v>46088.840104166666</v>
      </c>
      <c r="L157" s="5" t="s">
        <v>6139</v>
      </c>
      <c r="M157" s="10" t="s">
        <v>21144</v>
      </c>
      <c r="N157" s="10" t="s">
        <v>20681</v>
      </c>
      <c r="P157" s="5" t="s">
        <v>14593</v>
      </c>
      <c r="R157" s="9">
        <v>46081.701180555552</v>
      </c>
      <c r="S157" s="9">
        <v>46081.701180555552</v>
      </c>
    </row>
    <row r="158" spans="1:19" ht="12.5">
      <c r="A158" s="10" t="s">
        <v>21145</v>
      </c>
      <c r="B158" s="5" t="s">
        <v>13282</v>
      </c>
      <c r="C158" s="5">
        <v>573028649234</v>
      </c>
      <c r="D158" s="5" t="s">
        <v>13283</v>
      </c>
      <c r="E158" s="5" t="s">
        <v>12657</v>
      </c>
      <c r="F158" s="5" t="s">
        <v>12657</v>
      </c>
      <c r="G158" s="5" t="s">
        <v>13282</v>
      </c>
      <c r="H158" s="10" t="s">
        <v>21146</v>
      </c>
      <c r="K158" s="23">
        <v>46088.632384259261</v>
      </c>
      <c r="L158" s="5" t="s">
        <v>6139</v>
      </c>
      <c r="M158" s="10" t="s">
        <v>21147</v>
      </c>
      <c r="N158" s="10" t="s">
        <v>20969</v>
      </c>
      <c r="R158" s="9">
        <v>46083.678935185184</v>
      </c>
      <c r="S158" s="9">
        <v>46083.678935185184</v>
      </c>
    </row>
    <row r="159" spans="1:19" ht="12.5">
      <c r="A159" s="10" t="s">
        <v>21148</v>
      </c>
      <c r="B159" s="5" t="s">
        <v>2678</v>
      </c>
      <c r="C159" s="5">
        <v>573012527757</v>
      </c>
      <c r="D159" s="5" t="s">
        <v>42</v>
      </c>
      <c r="E159" s="5" t="s">
        <v>12657</v>
      </c>
      <c r="F159" s="5" t="s">
        <v>12657</v>
      </c>
      <c r="G159" s="5" t="s">
        <v>2678</v>
      </c>
      <c r="H159" s="10" t="s">
        <v>19169</v>
      </c>
      <c r="K159" s="23">
        <v>46088.507361111115</v>
      </c>
      <c r="L159" s="5" t="s">
        <v>6139</v>
      </c>
      <c r="M159" s="10" t="s">
        <v>21149</v>
      </c>
      <c r="N159" s="10" t="s">
        <v>20969</v>
      </c>
      <c r="R159" s="9">
        <v>46083.679293981484</v>
      </c>
      <c r="S159" s="9">
        <v>46083.679293981484</v>
      </c>
    </row>
    <row r="160" spans="1:19" ht="12.5">
      <c r="A160" s="10" t="s">
        <v>21150</v>
      </c>
      <c r="B160" s="5" t="s">
        <v>13298</v>
      </c>
      <c r="C160" s="5">
        <v>573157877568</v>
      </c>
      <c r="D160" s="5" t="s">
        <v>12406</v>
      </c>
      <c r="E160" s="5" t="s">
        <v>13300</v>
      </c>
      <c r="F160" s="5" t="s">
        <v>265</v>
      </c>
      <c r="G160" s="5" t="s">
        <v>21151</v>
      </c>
      <c r="H160" s="10" t="s">
        <v>21152</v>
      </c>
      <c r="I160" s="5" t="s">
        <v>21005</v>
      </c>
      <c r="K160" s="23">
        <v>46088.484317129631</v>
      </c>
      <c r="L160" s="5" t="s">
        <v>17416</v>
      </c>
      <c r="M160" s="10" t="s">
        <v>21153</v>
      </c>
      <c r="N160" s="10" t="s">
        <v>20908</v>
      </c>
      <c r="P160" s="5" t="s">
        <v>14691</v>
      </c>
      <c r="R160" s="9">
        <v>46083.679467592592</v>
      </c>
      <c r="S160" s="9">
        <v>46083.679467592592</v>
      </c>
    </row>
    <row r="161" spans="1:19" ht="12.5">
      <c r="A161" s="10" t="s">
        <v>21154</v>
      </c>
      <c r="B161" s="5" t="s">
        <v>13293</v>
      </c>
      <c r="C161" s="5">
        <v>573173649429</v>
      </c>
      <c r="D161" s="5" t="s">
        <v>12817</v>
      </c>
      <c r="E161" s="5" t="s">
        <v>13295</v>
      </c>
      <c r="F161" s="5" t="s">
        <v>249</v>
      </c>
      <c r="G161" s="5" t="s">
        <v>19848</v>
      </c>
      <c r="H161" s="10" t="s">
        <v>21155</v>
      </c>
      <c r="I161" s="5" t="s">
        <v>20688</v>
      </c>
      <c r="K161" s="23">
        <v>46088.667916666665</v>
      </c>
      <c r="L161" s="5" t="s">
        <v>17416</v>
      </c>
      <c r="M161" s="10" t="s">
        <v>21156</v>
      </c>
      <c r="N161" s="10" t="s">
        <v>20975</v>
      </c>
      <c r="P161" s="5" t="s">
        <v>14593</v>
      </c>
      <c r="R161" s="9">
        <v>46083.679652777777</v>
      </c>
      <c r="S161" s="9">
        <v>46083.679652777777</v>
      </c>
    </row>
    <row r="162" spans="1:19" ht="12.5">
      <c r="A162" s="10" t="s">
        <v>21157</v>
      </c>
      <c r="B162" s="5" t="s">
        <v>13304</v>
      </c>
      <c r="C162" s="5">
        <v>573246813327</v>
      </c>
      <c r="D162" s="5" t="s">
        <v>13307</v>
      </c>
      <c r="E162" s="5" t="s">
        <v>13306</v>
      </c>
      <c r="F162" s="5" t="s">
        <v>73</v>
      </c>
      <c r="G162" s="5" t="s">
        <v>13305</v>
      </c>
      <c r="I162" s="5"/>
      <c r="K162" s="23">
        <v>46089.633553240739</v>
      </c>
      <c r="L162" s="5" t="s">
        <v>6139</v>
      </c>
      <c r="M162" s="10" t="s">
        <v>21158</v>
      </c>
      <c r="N162" s="10" t="s">
        <v>20891</v>
      </c>
      <c r="P162" s="5" t="s">
        <v>14593</v>
      </c>
      <c r="R162" s="9">
        <v>46083.680162037039</v>
      </c>
      <c r="S162" s="9">
        <v>46083.680162037039</v>
      </c>
    </row>
    <row r="163" spans="1:19" ht="12.5">
      <c r="A163" s="10" t="s">
        <v>21159</v>
      </c>
      <c r="B163" s="5" t="s">
        <v>13287</v>
      </c>
      <c r="C163" s="5">
        <v>573246866740</v>
      </c>
      <c r="D163" s="5" t="s">
        <v>12423</v>
      </c>
      <c r="E163" s="5" t="s">
        <v>19840</v>
      </c>
      <c r="F163" s="5" t="s">
        <v>13289</v>
      </c>
      <c r="G163" s="5" t="s">
        <v>13288</v>
      </c>
      <c r="H163" s="10" t="s">
        <v>21160</v>
      </c>
      <c r="K163" s="23">
        <v>46088.777777777781</v>
      </c>
      <c r="L163" s="5" t="s">
        <v>6139</v>
      </c>
      <c r="M163" s="10" t="s">
        <v>21161</v>
      </c>
      <c r="N163" s="10" t="s">
        <v>20975</v>
      </c>
      <c r="P163" s="5" t="s">
        <v>14691</v>
      </c>
      <c r="R163" s="9">
        <v>46083.68041666667</v>
      </c>
      <c r="S163" s="9">
        <v>46083.68041666667</v>
      </c>
    </row>
    <row r="164" spans="1:19" ht="12.5">
      <c r="A164" s="10" t="s">
        <v>21162</v>
      </c>
      <c r="B164" s="5" t="s">
        <v>2178</v>
      </c>
      <c r="C164" s="5">
        <v>573015669546</v>
      </c>
      <c r="D164" s="5" t="s">
        <v>13286</v>
      </c>
      <c r="E164" s="5" t="s">
        <v>12657</v>
      </c>
      <c r="F164" s="5" t="s">
        <v>12657</v>
      </c>
      <c r="G164" s="5" t="s">
        <v>2178</v>
      </c>
      <c r="H164" s="10" t="s">
        <v>21163</v>
      </c>
      <c r="I164" s="5" t="s">
        <v>20688</v>
      </c>
      <c r="K164" s="23">
        <v>46088.509236111109</v>
      </c>
      <c r="L164" s="5" t="s">
        <v>17416</v>
      </c>
      <c r="M164" s="10" t="s">
        <v>21164</v>
      </c>
      <c r="N164" s="10" t="s">
        <v>21165</v>
      </c>
      <c r="R164" s="9">
        <v>46083.680775462963</v>
      </c>
      <c r="S164" s="9">
        <v>46083.680775462963</v>
      </c>
    </row>
    <row r="165" spans="1:19" ht="12.5">
      <c r="A165" s="10" t="s">
        <v>21166</v>
      </c>
      <c r="B165" s="5" t="s">
        <v>13161</v>
      </c>
      <c r="C165" s="5">
        <v>573244485611</v>
      </c>
      <c r="D165" s="5" t="s">
        <v>12724</v>
      </c>
      <c r="E165" s="5" t="s">
        <v>19833</v>
      </c>
      <c r="F165" s="5" t="s">
        <v>249</v>
      </c>
      <c r="G165" s="5" t="s">
        <v>13162</v>
      </c>
      <c r="H165" s="10" t="s">
        <v>21167</v>
      </c>
      <c r="K165" s="23">
        <v>46088.482407407406</v>
      </c>
      <c r="L165" s="5" t="s">
        <v>6139</v>
      </c>
      <c r="M165" s="10" t="s">
        <v>21168</v>
      </c>
      <c r="N165" s="10" t="s">
        <v>21133</v>
      </c>
      <c r="P165" s="5" t="s">
        <v>14593</v>
      </c>
      <c r="R165" s="9">
        <v>46083.681018518517</v>
      </c>
      <c r="S165" s="9">
        <v>46083.681018518517</v>
      </c>
    </row>
    <row r="166" spans="1:19" ht="12.5">
      <c r="A166" s="10" t="s">
        <v>21169</v>
      </c>
      <c r="B166" s="5" t="s">
        <v>13277</v>
      </c>
      <c r="C166" s="5">
        <v>573001284881</v>
      </c>
      <c r="D166" s="5" t="s">
        <v>12437</v>
      </c>
      <c r="E166" s="5" t="s">
        <v>13279</v>
      </c>
      <c r="F166" s="5" t="s">
        <v>249</v>
      </c>
      <c r="G166" s="5" t="s">
        <v>13383</v>
      </c>
      <c r="H166" s="10" t="s">
        <v>20983</v>
      </c>
      <c r="I166" s="5" t="s">
        <v>20688</v>
      </c>
      <c r="K166" s="23">
        <v>46088.682916666665</v>
      </c>
      <c r="L166" s="5" t="s">
        <v>17416</v>
      </c>
      <c r="M166" s="10" t="s">
        <v>21170</v>
      </c>
      <c r="N166" s="10" t="s">
        <v>20917</v>
      </c>
      <c r="P166" s="5" t="s">
        <v>14593</v>
      </c>
      <c r="R166" s="9">
        <v>46083.681192129632</v>
      </c>
      <c r="S166" s="9">
        <v>46083.681192129632</v>
      </c>
    </row>
    <row r="167" spans="1:19" ht="12.5">
      <c r="A167" s="10" t="s">
        <v>21171</v>
      </c>
      <c r="B167" s="5" t="s">
        <v>13244</v>
      </c>
      <c r="C167" s="5">
        <v>3152628627</v>
      </c>
      <c r="D167" s="5" t="s">
        <v>12496</v>
      </c>
      <c r="E167" s="5" t="s">
        <v>13246</v>
      </c>
      <c r="F167" s="5" t="s">
        <v>146</v>
      </c>
      <c r="G167" s="5" t="s">
        <v>13245</v>
      </c>
      <c r="H167" s="10" t="s">
        <v>21172</v>
      </c>
      <c r="K167" s="23">
        <v>46088.860717592594</v>
      </c>
      <c r="L167" s="5" t="s">
        <v>6139</v>
      </c>
      <c r="M167" s="10" t="s">
        <v>21173</v>
      </c>
      <c r="N167" s="10" t="s">
        <v>20975</v>
      </c>
      <c r="P167" s="5" t="s">
        <v>14618</v>
      </c>
      <c r="R167" s="9">
        <v>46083.681469907409</v>
      </c>
      <c r="S167" s="9">
        <v>46083.681469907409</v>
      </c>
    </row>
    <row r="168" spans="1:19" ht="12.5">
      <c r="A168" s="10" t="s">
        <v>21174</v>
      </c>
      <c r="B168" s="5" t="s">
        <v>13256</v>
      </c>
      <c r="C168" s="5">
        <v>573106812364</v>
      </c>
      <c r="D168" s="5" t="s">
        <v>12844</v>
      </c>
      <c r="E168" s="5" t="s">
        <v>13258</v>
      </c>
      <c r="F168" s="5" t="s">
        <v>9925</v>
      </c>
      <c r="G168" s="5" t="s">
        <v>13257</v>
      </c>
      <c r="H168" s="10" t="s">
        <v>21175</v>
      </c>
      <c r="K168" s="23">
        <v>46089.433888888889</v>
      </c>
      <c r="L168" s="5" t="s">
        <v>6139</v>
      </c>
      <c r="M168" s="10" t="s">
        <v>21176</v>
      </c>
      <c r="N168" s="10" t="s">
        <v>20821</v>
      </c>
      <c r="P168" s="5" t="s">
        <v>14618</v>
      </c>
      <c r="R168" s="9">
        <v>46083.681631944448</v>
      </c>
      <c r="S168" s="9">
        <v>46083.681631944448</v>
      </c>
    </row>
    <row r="169" spans="1:19" ht="12.5">
      <c r="A169" s="10" t="s">
        <v>21177</v>
      </c>
      <c r="B169" s="5" t="s">
        <v>13261</v>
      </c>
      <c r="C169" s="5">
        <v>573246847878</v>
      </c>
      <c r="D169" s="5" t="s">
        <v>12724</v>
      </c>
      <c r="E169" s="5" t="s">
        <v>13263</v>
      </c>
      <c r="F169" s="5" t="s">
        <v>185</v>
      </c>
      <c r="G169" s="5" t="s">
        <v>21178</v>
      </c>
      <c r="H169" s="10" t="s">
        <v>21179</v>
      </c>
      <c r="K169" s="23">
        <v>46088.67596064815</v>
      </c>
      <c r="L169" s="5" t="s">
        <v>6139</v>
      </c>
      <c r="M169" s="10" t="s">
        <v>21180</v>
      </c>
      <c r="N169" s="10" t="s">
        <v>20975</v>
      </c>
      <c r="P169" s="5" t="s">
        <v>14580</v>
      </c>
      <c r="R169" s="9">
        <v>46083.68178240741</v>
      </c>
      <c r="S169" s="9">
        <v>46083.68178240741</v>
      </c>
    </row>
    <row r="170" spans="1:19" ht="12.5">
      <c r="A170" s="10" t="s">
        <v>21181</v>
      </c>
      <c r="B170" s="5" t="s">
        <v>13252</v>
      </c>
      <c r="C170" s="5">
        <v>573137587141</v>
      </c>
      <c r="D170" s="5" t="s">
        <v>13255</v>
      </c>
      <c r="E170" s="5" t="s">
        <v>13254</v>
      </c>
      <c r="F170" s="5" t="s">
        <v>73</v>
      </c>
      <c r="G170" s="5" t="s">
        <v>19820</v>
      </c>
      <c r="H170" s="10" t="s">
        <v>21182</v>
      </c>
      <c r="K170" s="23">
        <v>46088.738344907404</v>
      </c>
      <c r="L170" s="5" t="s">
        <v>6139</v>
      </c>
      <c r="M170" s="10" t="s">
        <v>21183</v>
      </c>
      <c r="N170" s="10" t="s">
        <v>20681</v>
      </c>
      <c r="P170" s="5" t="s">
        <v>14593</v>
      </c>
      <c r="R170" s="9">
        <v>46083.681875000002</v>
      </c>
      <c r="S170" s="9">
        <v>46083.681875000002</v>
      </c>
    </row>
    <row r="171" spans="1:19" ht="12.5">
      <c r="A171" s="10" t="s">
        <v>21184</v>
      </c>
      <c r="B171" s="5" t="s">
        <v>13239</v>
      </c>
      <c r="C171" s="5">
        <v>573106198726</v>
      </c>
      <c r="D171" s="5" t="s">
        <v>12423</v>
      </c>
      <c r="E171" s="5" t="s">
        <v>13241</v>
      </c>
      <c r="F171" s="5" t="s">
        <v>7476</v>
      </c>
      <c r="G171" s="5" t="s">
        <v>13240</v>
      </c>
      <c r="H171" s="10" t="s">
        <v>19815</v>
      </c>
      <c r="I171" s="5" t="s">
        <v>20688</v>
      </c>
      <c r="K171" s="23">
        <v>46088.483888888892</v>
      </c>
      <c r="L171" s="5" t="s">
        <v>17416</v>
      </c>
      <c r="M171" s="10" t="s">
        <v>21185</v>
      </c>
      <c r="N171" s="10" t="s">
        <v>21186</v>
      </c>
      <c r="P171" s="5" t="s">
        <v>15349</v>
      </c>
      <c r="R171" s="9">
        <v>46083.682037037041</v>
      </c>
      <c r="S171" s="9">
        <v>46083.682037037041</v>
      </c>
    </row>
    <row r="172" spans="1:19" ht="12.5">
      <c r="A172" s="10" t="s">
        <v>21187</v>
      </c>
      <c r="B172" s="5" t="s">
        <v>13249</v>
      </c>
      <c r="C172" s="5">
        <v>573008003842</v>
      </c>
      <c r="D172" s="5" t="s">
        <v>13217</v>
      </c>
      <c r="E172" s="5" t="s">
        <v>13250</v>
      </c>
      <c r="F172" s="5" t="s">
        <v>5574</v>
      </c>
      <c r="G172" s="5" t="s">
        <v>13249</v>
      </c>
      <c r="H172" s="10" t="s">
        <v>21188</v>
      </c>
      <c r="K172" s="23">
        <v>46089.403993055559</v>
      </c>
      <c r="L172" s="5" t="s">
        <v>6139</v>
      </c>
      <c r="M172" s="10" t="s">
        <v>21189</v>
      </c>
      <c r="N172" s="10" t="s">
        <v>20681</v>
      </c>
      <c r="P172" s="5" t="s">
        <v>14593</v>
      </c>
      <c r="R172" s="9">
        <v>46083.682314814818</v>
      </c>
      <c r="S172" s="9">
        <v>46083.682314814818</v>
      </c>
    </row>
    <row r="173" spans="1:19" ht="12.5">
      <c r="A173" s="10" t="s">
        <v>21190</v>
      </c>
      <c r="B173" s="5" t="s">
        <v>13224</v>
      </c>
      <c r="C173" s="5">
        <v>573022309690</v>
      </c>
      <c r="D173" s="5" t="s">
        <v>12817</v>
      </c>
      <c r="E173" s="5" t="s">
        <v>12657</v>
      </c>
      <c r="F173" s="5" t="s">
        <v>12657</v>
      </c>
      <c r="G173" s="5" t="s">
        <v>13224</v>
      </c>
      <c r="H173" s="10" t="s">
        <v>21191</v>
      </c>
      <c r="K173" s="23">
        <v>46088.450509259259</v>
      </c>
      <c r="L173" s="5" t="s">
        <v>6139</v>
      </c>
      <c r="M173" s="10" t="s">
        <v>21192</v>
      </c>
      <c r="N173" s="10" t="s">
        <v>21186</v>
      </c>
      <c r="R173" s="9">
        <v>46083.682800925926</v>
      </c>
      <c r="S173" s="9">
        <v>46083.682800925926</v>
      </c>
    </row>
    <row r="174" spans="1:19" ht="12.5">
      <c r="A174" s="10" t="s">
        <v>21193</v>
      </c>
      <c r="B174" s="5" t="s">
        <v>2150</v>
      </c>
      <c r="C174" s="5">
        <v>573012394343</v>
      </c>
      <c r="D174" s="5" t="s">
        <v>42</v>
      </c>
      <c r="E174" s="5" t="s">
        <v>12657</v>
      </c>
      <c r="F174" s="5" t="s">
        <v>12657</v>
      </c>
      <c r="G174" s="5" t="s">
        <v>2150</v>
      </c>
      <c r="H174" s="10" t="s">
        <v>21194</v>
      </c>
      <c r="K174" s="23">
        <v>46088.451793981483</v>
      </c>
      <c r="L174" s="5" t="s">
        <v>6139</v>
      </c>
      <c r="M174" s="10" t="s">
        <v>21195</v>
      </c>
      <c r="N174" s="10" t="s">
        <v>20969</v>
      </c>
      <c r="R174" s="9">
        <v>46083.683078703703</v>
      </c>
      <c r="S174" s="9">
        <v>46083.683078703703</v>
      </c>
    </row>
    <row r="175" spans="1:19" ht="12.5">
      <c r="A175" s="10" t="s">
        <v>21196</v>
      </c>
      <c r="B175" s="5" t="s">
        <v>13243</v>
      </c>
      <c r="C175" s="5">
        <v>573000000001</v>
      </c>
      <c r="D175" s="5" t="s">
        <v>42</v>
      </c>
      <c r="E175" s="5" t="s">
        <v>12657</v>
      </c>
      <c r="F175" s="5" t="s">
        <v>12657</v>
      </c>
      <c r="G175" s="5" t="s">
        <v>13243</v>
      </c>
      <c r="H175" s="10" t="s">
        <v>21197</v>
      </c>
      <c r="K175" s="23">
        <v>46088.433749999997</v>
      </c>
      <c r="L175" s="5" t="s">
        <v>6139</v>
      </c>
      <c r="M175" s="10" t="s">
        <v>21198</v>
      </c>
      <c r="N175" s="10" t="s">
        <v>20969</v>
      </c>
      <c r="R175" s="9">
        <v>46083.683310185188</v>
      </c>
      <c r="S175" s="9">
        <v>46083.683310185188</v>
      </c>
    </row>
    <row r="176" spans="1:19" ht="12.5">
      <c r="A176" s="10" t="s">
        <v>21199</v>
      </c>
      <c r="B176" s="5" t="s">
        <v>13218</v>
      </c>
      <c r="C176" s="5">
        <v>573012136288</v>
      </c>
      <c r="D176" s="5" t="s">
        <v>12844</v>
      </c>
      <c r="E176" s="5" t="s">
        <v>13220</v>
      </c>
      <c r="F176" s="5" t="s">
        <v>73</v>
      </c>
      <c r="G176" s="5" t="s">
        <v>21200</v>
      </c>
      <c r="H176" s="10" t="s">
        <v>19963</v>
      </c>
      <c r="I176" s="5"/>
      <c r="K176" s="23">
        <v>46089.441990740743</v>
      </c>
      <c r="L176" s="5" t="s">
        <v>6139</v>
      </c>
      <c r="M176" s="10" t="s">
        <v>21201</v>
      </c>
      <c r="N176" s="10" t="s">
        <v>21202</v>
      </c>
      <c r="P176" s="5" t="s">
        <v>14593</v>
      </c>
      <c r="R176" s="9">
        <v>46083.68378472222</v>
      </c>
      <c r="S176" s="9">
        <v>46083.68378472222</v>
      </c>
    </row>
    <row r="177" spans="1:19" ht="12.5">
      <c r="A177" s="10" t="s">
        <v>21203</v>
      </c>
      <c r="B177" s="5" t="s">
        <v>13230</v>
      </c>
      <c r="C177" s="5">
        <v>573219727131</v>
      </c>
      <c r="D177" s="5" t="s">
        <v>12817</v>
      </c>
      <c r="E177" s="5" t="s">
        <v>13232</v>
      </c>
      <c r="F177" s="5" t="s">
        <v>307</v>
      </c>
      <c r="G177" s="5" t="s">
        <v>13231</v>
      </c>
      <c r="H177" s="10" t="s">
        <v>21204</v>
      </c>
      <c r="I177" s="5" t="s">
        <v>20688</v>
      </c>
      <c r="K177" s="23">
        <v>46088.764513888891</v>
      </c>
      <c r="L177" s="5" t="s">
        <v>17416</v>
      </c>
      <c r="M177" s="10" t="s">
        <v>21205</v>
      </c>
      <c r="N177" s="10" t="s">
        <v>20869</v>
      </c>
      <c r="P177" s="5" t="s">
        <v>14618</v>
      </c>
      <c r="R177" s="9">
        <v>46083.684050925927</v>
      </c>
      <c r="S177" s="9">
        <v>46083.684050925927</v>
      </c>
    </row>
    <row r="178" spans="1:19" ht="12.5">
      <c r="A178" s="10" t="s">
        <v>21206</v>
      </c>
      <c r="B178" s="5" t="s">
        <v>13209</v>
      </c>
      <c r="C178" s="5">
        <v>573042914618</v>
      </c>
      <c r="D178" s="5" t="s">
        <v>13212</v>
      </c>
      <c r="E178" s="5" t="s">
        <v>13211</v>
      </c>
      <c r="F178" s="5" t="s">
        <v>249</v>
      </c>
      <c r="G178" s="5" t="s">
        <v>19799</v>
      </c>
      <c r="H178" s="10" t="s">
        <v>19797</v>
      </c>
      <c r="I178" s="5" t="s">
        <v>3962</v>
      </c>
      <c r="K178" s="23">
        <v>46088.441354166665</v>
      </c>
      <c r="L178" s="5" t="s">
        <v>17416</v>
      </c>
      <c r="M178" s="10" t="s">
        <v>21207</v>
      </c>
      <c r="N178" s="10" t="s">
        <v>20969</v>
      </c>
      <c r="P178" s="5" t="s">
        <v>14593</v>
      </c>
      <c r="R178" s="9">
        <v>46083.685069444444</v>
      </c>
      <c r="S178" s="9">
        <v>46083.685069444444</v>
      </c>
    </row>
    <row r="179" spans="1:19" ht="12.5">
      <c r="A179" s="10" t="s">
        <v>21208</v>
      </c>
      <c r="B179" s="5" t="s">
        <v>13225</v>
      </c>
      <c r="C179" s="5">
        <v>573243475368</v>
      </c>
      <c r="D179" s="5" t="s">
        <v>12724</v>
      </c>
      <c r="E179" s="5" t="s">
        <v>13227</v>
      </c>
      <c r="F179" s="5" t="s">
        <v>7476</v>
      </c>
      <c r="G179" s="5" t="s">
        <v>13226</v>
      </c>
      <c r="H179" s="10" t="s">
        <v>21209</v>
      </c>
      <c r="I179" s="5" t="s">
        <v>3962</v>
      </c>
      <c r="K179" s="23">
        <v>46088.450520833336</v>
      </c>
      <c r="L179" s="5" t="s">
        <v>17416</v>
      </c>
      <c r="M179" s="10" t="s">
        <v>21210</v>
      </c>
      <c r="N179" s="10" t="s">
        <v>20969</v>
      </c>
      <c r="P179" s="5" t="s">
        <v>15349</v>
      </c>
      <c r="R179" s="9">
        <v>46083.68513888889</v>
      </c>
      <c r="S179" s="9">
        <v>46083.68513888889</v>
      </c>
    </row>
    <row r="180" spans="1:19" ht="12.5">
      <c r="A180" s="10" t="s">
        <v>21211</v>
      </c>
      <c r="B180" s="5" t="s">
        <v>19791</v>
      </c>
      <c r="C180" s="5">
        <v>573136214673</v>
      </c>
      <c r="D180" s="5" t="s">
        <v>6874</v>
      </c>
      <c r="E180" s="5" t="s">
        <v>13236</v>
      </c>
      <c r="F180" s="5" t="s">
        <v>265</v>
      </c>
      <c r="G180" s="5" t="s">
        <v>13235</v>
      </c>
      <c r="H180" s="10" t="s">
        <v>21212</v>
      </c>
      <c r="I180" s="5" t="s">
        <v>21005</v>
      </c>
      <c r="K180" s="23">
        <v>46088.454641203702</v>
      </c>
      <c r="L180" s="5" t="s">
        <v>17416</v>
      </c>
      <c r="M180" s="10" t="s">
        <v>21213</v>
      </c>
      <c r="N180" s="10" t="s">
        <v>20969</v>
      </c>
      <c r="P180" s="5" t="s">
        <v>14691</v>
      </c>
      <c r="R180" s="9">
        <v>46083.685659722221</v>
      </c>
      <c r="S180" s="9">
        <v>46083.685659722221</v>
      </c>
    </row>
    <row r="181" spans="1:19" ht="12.5">
      <c r="A181" s="10" t="s">
        <v>21214</v>
      </c>
      <c r="B181" s="5" t="s">
        <v>13199</v>
      </c>
      <c r="C181" s="5">
        <v>13478145898</v>
      </c>
      <c r="D181" s="5" t="s">
        <v>12423</v>
      </c>
      <c r="E181" s="5" t="s">
        <v>13205</v>
      </c>
      <c r="F181" s="5" t="s">
        <v>73</v>
      </c>
      <c r="G181" s="5" t="s">
        <v>13204</v>
      </c>
      <c r="H181" s="10" t="s">
        <v>21215</v>
      </c>
      <c r="I181" s="5" t="s">
        <v>3962</v>
      </c>
      <c r="K181" s="23">
        <v>46088.755347222221</v>
      </c>
      <c r="L181" s="5" t="s">
        <v>17416</v>
      </c>
      <c r="M181" s="10" t="s">
        <v>21216</v>
      </c>
      <c r="N181" s="10" t="s">
        <v>20938</v>
      </c>
      <c r="P181" s="5" t="s">
        <v>14593</v>
      </c>
      <c r="R181" s="9">
        <v>46083.685844907406</v>
      </c>
      <c r="S181" s="9">
        <v>46083.685844907406</v>
      </c>
    </row>
    <row r="182" spans="1:19" ht="12.5">
      <c r="A182" s="10" t="s">
        <v>21217</v>
      </c>
      <c r="B182" s="5" t="s">
        <v>13243</v>
      </c>
      <c r="C182" s="5">
        <v>573000000001</v>
      </c>
      <c r="D182" s="5" t="s">
        <v>42</v>
      </c>
      <c r="E182" s="5" t="s">
        <v>12657</v>
      </c>
      <c r="F182" s="5" t="s">
        <v>12657</v>
      </c>
      <c r="G182" s="5" t="s">
        <v>13243</v>
      </c>
      <c r="H182" s="10" t="s">
        <v>21197</v>
      </c>
      <c r="I182" s="5" t="s">
        <v>20688</v>
      </c>
      <c r="K182" s="23">
        <v>46088.40016203704</v>
      </c>
      <c r="L182" s="5" t="s">
        <v>17416</v>
      </c>
      <c r="M182" s="10" t="s">
        <v>21218</v>
      </c>
      <c r="N182" s="10" t="s">
        <v>20969</v>
      </c>
      <c r="R182" s="9">
        <v>46083.685995370368</v>
      </c>
      <c r="S182" s="9">
        <v>46083.685995370368</v>
      </c>
    </row>
    <row r="183" spans="1:19" ht="12.5">
      <c r="A183" s="10" t="s">
        <v>21219</v>
      </c>
      <c r="B183" s="5" t="s">
        <v>13216</v>
      </c>
      <c r="C183" s="5">
        <v>573146413791</v>
      </c>
      <c r="D183" s="5" t="s">
        <v>13217</v>
      </c>
      <c r="E183" s="5" t="s">
        <v>12657</v>
      </c>
      <c r="F183" s="5" t="s">
        <v>12657</v>
      </c>
      <c r="G183" s="5" t="s">
        <v>13216</v>
      </c>
      <c r="H183" s="10" t="s">
        <v>21220</v>
      </c>
      <c r="K183" s="23">
        <v>46088.735381944447</v>
      </c>
      <c r="L183" s="5" t="s">
        <v>6139</v>
      </c>
      <c r="M183" s="10" t="s">
        <v>21221</v>
      </c>
      <c r="N183" s="10" t="s">
        <v>20969</v>
      </c>
      <c r="R183" s="9">
        <v>46083.686145833337</v>
      </c>
      <c r="S183" s="9">
        <v>46083.686145833337</v>
      </c>
    </row>
    <row r="184" spans="1:19" ht="12.5">
      <c r="A184" s="10" t="s">
        <v>21222</v>
      </c>
      <c r="B184" s="5" t="s">
        <v>13194</v>
      </c>
      <c r="C184" s="5">
        <v>573233115245</v>
      </c>
      <c r="D184" s="5" t="s">
        <v>12522</v>
      </c>
      <c r="E184" s="5" t="s">
        <v>13196</v>
      </c>
      <c r="F184" s="5" t="s">
        <v>4558</v>
      </c>
      <c r="G184" s="5" t="s">
        <v>13195</v>
      </c>
      <c r="H184" s="10" t="s">
        <v>21223</v>
      </c>
      <c r="I184" s="5" t="s">
        <v>20688</v>
      </c>
      <c r="K184" s="23">
        <v>46088.486527777779</v>
      </c>
      <c r="L184" s="5" t="s">
        <v>17416</v>
      </c>
      <c r="M184" s="10" t="s">
        <v>21224</v>
      </c>
      <c r="N184" s="10" t="s">
        <v>20969</v>
      </c>
      <c r="P184" s="5" t="s">
        <v>14593</v>
      </c>
      <c r="R184" s="9">
        <v>46083.746481481481</v>
      </c>
      <c r="S184" s="9">
        <v>46083.746481481481</v>
      </c>
    </row>
    <row r="185" spans="1:19" ht="12.5">
      <c r="A185" s="10" t="s">
        <v>21225</v>
      </c>
      <c r="B185" s="5" t="s">
        <v>13189</v>
      </c>
      <c r="C185" s="5">
        <v>30463046426864</v>
      </c>
      <c r="D185" s="5" t="s">
        <v>13190</v>
      </c>
      <c r="E185" s="5" t="s">
        <v>12657</v>
      </c>
      <c r="F185" s="5" t="s">
        <v>12657</v>
      </c>
      <c r="G185" s="5" t="s">
        <v>13189</v>
      </c>
      <c r="H185" s="10" t="s">
        <v>21226</v>
      </c>
      <c r="K185" s="23">
        <v>46088.462476851855</v>
      </c>
      <c r="L185" s="5" t="s">
        <v>6139</v>
      </c>
      <c r="M185" s="10" t="s">
        <v>21227</v>
      </c>
      <c r="N185" s="10" t="s">
        <v>21202</v>
      </c>
      <c r="R185" s="9">
        <v>46084.451273148145</v>
      </c>
      <c r="S185" s="9">
        <v>46084.451273148145</v>
      </c>
    </row>
    <row r="186" spans="1:19" ht="12.5">
      <c r="A186" s="10" t="s">
        <v>21228</v>
      </c>
      <c r="B186" s="5" t="s">
        <v>13179</v>
      </c>
      <c r="C186" s="5">
        <v>573008290573</v>
      </c>
      <c r="D186" s="5" t="s">
        <v>12423</v>
      </c>
      <c r="E186" s="5" t="s">
        <v>13181</v>
      </c>
      <c r="F186" s="5" t="s">
        <v>265</v>
      </c>
      <c r="G186" s="5" t="s">
        <v>13180</v>
      </c>
      <c r="H186" s="10" t="s">
        <v>21229</v>
      </c>
      <c r="I186" s="5" t="s">
        <v>21005</v>
      </c>
      <c r="K186" s="23">
        <v>46088.437418981484</v>
      </c>
      <c r="L186" s="5" t="s">
        <v>17416</v>
      </c>
      <c r="M186" s="10" t="s">
        <v>21230</v>
      </c>
      <c r="N186" s="10" t="s">
        <v>21231</v>
      </c>
      <c r="P186" s="5" t="s">
        <v>14691</v>
      </c>
      <c r="R186" s="9">
        <v>46084.451898148145</v>
      </c>
      <c r="S186" s="9">
        <v>46084.451898148145</v>
      </c>
    </row>
    <row r="187" spans="1:19" ht="12.5">
      <c r="A187" s="10" t="s">
        <v>21232</v>
      </c>
      <c r="B187" s="5" t="s">
        <v>13184</v>
      </c>
      <c r="C187" s="5">
        <v>573017838768</v>
      </c>
      <c r="D187" s="5" t="s">
        <v>42</v>
      </c>
      <c r="E187" s="5" t="s">
        <v>13186</v>
      </c>
      <c r="F187" s="5" t="s">
        <v>6905</v>
      </c>
      <c r="G187" s="5" t="s">
        <v>13185</v>
      </c>
      <c r="H187" s="10" t="s">
        <v>21233</v>
      </c>
      <c r="I187" s="5" t="s">
        <v>20688</v>
      </c>
      <c r="K187" s="23">
        <v>46088.442002314812</v>
      </c>
      <c r="L187" s="5" t="s">
        <v>17416</v>
      </c>
      <c r="M187" s="10" t="s">
        <v>21234</v>
      </c>
      <c r="N187" s="10" t="s">
        <v>21165</v>
      </c>
      <c r="P187" s="5" t="s">
        <v>14598</v>
      </c>
      <c r="R187" s="9">
        <v>46084.45208333333</v>
      </c>
      <c r="S187" s="9">
        <v>46084.45208333333</v>
      </c>
    </row>
    <row r="188" spans="1:19" ht="12.5">
      <c r="A188" s="10" t="s">
        <v>21235</v>
      </c>
      <c r="B188" s="5" t="s">
        <v>1781</v>
      </c>
      <c r="C188" s="5">
        <v>573205425252</v>
      </c>
      <c r="D188" s="5" t="s">
        <v>7733</v>
      </c>
      <c r="E188" s="5" t="s">
        <v>13192</v>
      </c>
      <c r="F188" s="5" t="s">
        <v>110</v>
      </c>
      <c r="G188" s="5" t="s">
        <v>13191</v>
      </c>
      <c r="H188" s="10" t="s">
        <v>21236</v>
      </c>
      <c r="I188" s="5" t="s">
        <v>3962</v>
      </c>
      <c r="K188" s="23">
        <v>46088.430393518516</v>
      </c>
      <c r="L188" s="5" t="s">
        <v>17416</v>
      </c>
      <c r="M188" s="10" t="s">
        <v>21237</v>
      </c>
      <c r="N188" s="10" t="s">
        <v>21231</v>
      </c>
      <c r="P188" s="5" t="s">
        <v>14593</v>
      </c>
      <c r="R188" s="9">
        <v>46084.452569444446</v>
      </c>
      <c r="S188" s="9">
        <v>46084.452569444446</v>
      </c>
    </row>
    <row r="189" spans="1:19" ht="12.5">
      <c r="A189" s="10" t="s">
        <v>21238</v>
      </c>
      <c r="B189" s="5" t="s">
        <v>13177</v>
      </c>
      <c r="C189" s="5">
        <v>573122624285</v>
      </c>
      <c r="D189" s="5" t="s">
        <v>12728</v>
      </c>
      <c r="E189" s="5" t="s">
        <v>12657</v>
      </c>
      <c r="F189" s="5" t="s">
        <v>12657</v>
      </c>
      <c r="G189" s="5" t="s">
        <v>13177</v>
      </c>
      <c r="H189" s="10" t="s">
        <v>21239</v>
      </c>
      <c r="K189" s="23">
        <v>46088.735266203701</v>
      </c>
      <c r="L189" s="5" t="s">
        <v>6139</v>
      </c>
      <c r="M189" s="10" t="s">
        <v>21240</v>
      </c>
      <c r="N189" s="10" t="s">
        <v>20969</v>
      </c>
      <c r="R189" s="9">
        <v>46086.509247685186</v>
      </c>
      <c r="S189" s="9">
        <v>46086.509247685186</v>
      </c>
    </row>
    <row r="190" spans="1:19" ht="12.5">
      <c r="A190" s="10" t="s">
        <v>21241</v>
      </c>
      <c r="B190" s="5" t="s">
        <v>12841</v>
      </c>
      <c r="C190" s="5">
        <v>573004619452</v>
      </c>
      <c r="D190" s="5" t="s">
        <v>12844</v>
      </c>
      <c r="E190" s="5" t="s">
        <v>12843</v>
      </c>
      <c r="F190" s="5" t="s">
        <v>63</v>
      </c>
      <c r="G190" s="5" t="s">
        <v>12842</v>
      </c>
      <c r="H190" s="10" t="s">
        <v>21242</v>
      </c>
      <c r="K190" s="23">
        <v>46088.632071759261</v>
      </c>
      <c r="L190" s="5" t="s">
        <v>6139</v>
      </c>
      <c r="M190" s="10" t="s">
        <v>21243</v>
      </c>
      <c r="N190" s="10" t="s">
        <v>20681</v>
      </c>
      <c r="P190" s="5" t="s">
        <v>14598</v>
      </c>
      <c r="R190" s="9">
        <v>46086.510752314818</v>
      </c>
      <c r="S190" s="9">
        <v>46086.510752314818</v>
      </c>
    </row>
    <row r="191" spans="1:19" ht="12.5">
      <c r="A191" s="10" t="s">
        <v>21244</v>
      </c>
      <c r="B191" s="5" t="s">
        <v>13174</v>
      </c>
      <c r="C191" s="5">
        <v>573148903107</v>
      </c>
      <c r="D191" s="5" t="s">
        <v>42</v>
      </c>
      <c r="E191" s="5" t="s">
        <v>13176</v>
      </c>
      <c r="F191" s="5" t="s">
        <v>73</v>
      </c>
      <c r="G191" s="5" t="s">
        <v>13175</v>
      </c>
      <c r="H191" s="10" t="s">
        <v>18802</v>
      </c>
      <c r="I191" s="5" t="s">
        <v>20688</v>
      </c>
      <c r="K191" s="23">
        <v>46088.427337962959</v>
      </c>
      <c r="L191" s="5" t="s">
        <v>17416</v>
      </c>
      <c r="M191" s="10" t="s">
        <v>21245</v>
      </c>
      <c r="N191" s="10" t="s">
        <v>20969</v>
      </c>
      <c r="P191" s="5" t="s">
        <v>14593</v>
      </c>
      <c r="R191" s="9">
        <v>46086.633425925924</v>
      </c>
      <c r="S191" s="9">
        <v>46086.633425925924</v>
      </c>
    </row>
    <row r="192" spans="1:19" ht="12.5">
      <c r="A192" s="10" t="s">
        <v>21246</v>
      </c>
      <c r="B192" s="5" t="s">
        <v>13170</v>
      </c>
      <c r="C192" s="5">
        <v>573016202060</v>
      </c>
      <c r="D192" s="5" t="s">
        <v>12437</v>
      </c>
      <c r="E192" s="5" t="s">
        <v>13171</v>
      </c>
      <c r="F192" s="5" t="s">
        <v>1047</v>
      </c>
      <c r="G192" s="5" t="s">
        <v>5641</v>
      </c>
      <c r="H192" s="10" t="s">
        <v>21247</v>
      </c>
      <c r="I192" s="5" t="s">
        <v>3962</v>
      </c>
      <c r="K192" s="23">
        <v>46088.368715277778</v>
      </c>
      <c r="L192" s="5" t="s">
        <v>17416</v>
      </c>
      <c r="M192" s="10" t="s">
        <v>21248</v>
      </c>
      <c r="N192" s="10" t="s">
        <v>21165</v>
      </c>
      <c r="P192" s="5" t="s">
        <v>14580</v>
      </c>
      <c r="R192" s="9">
        <v>46087.611574074072</v>
      </c>
      <c r="S192" s="9">
        <v>46087.611574074072</v>
      </c>
    </row>
    <row r="193" spans="1:19" ht="12.5">
      <c r="A193" s="10" t="s">
        <v>21249</v>
      </c>
      <c r="B193" s="5" t="s">
        <v>13149</v>
      </c>
      <c r="C193" s="5">
        <v>573145354876</v>
      </c>
      <c r="D193" s="5" t="s">
        <v>12701</v>
      </c>
      <c r="E193" s="5" t="s">
        <v>13151</v>
      </c>
      <c r="F193" s="5" t="s">
        <v>73</v>
      </c>
      <c r="G193" s="5" t="s">
        <v>13150</v>
      </c>
      <c r="H193" s="10" t="s">
        <v>21250</v>
      </c>
      <c r="I193" s="5" t="s">
        <v>20688</v>
      </c>
      <c r="K193" s="23">
        <v>46088.346296296295</v>
      </c>
      <c r="L193" s="5" t="s">
        <v>17416</v>
      </c>
      <c r="M193" s="10" t="s">
        <v>21251</v>
      </c>
      <c r="N193" s="10" t="s">
        <v>21252</v>
      </c>
      <c r="P193" s="5" t="s">
        <v>14593</v>
      </c>
      <c r="R193" s="9">
        <v>46087.611631944441</v>
      </c>
      <c r="S193" s="9">
        <v>46087.611631944441</v>
      </c>
    </row>
    <row r="194" spans="1:19" ht="12.5">
      <c r="A194" s="10" t="s">
        <v>21253</v>
      </c>
      <c r="B194" s="5" t="s">
        <v>13124</v>
      </c>
      <c r="C194" s="5">
        <v>573016971375</v>
      </c>
      <c r="D194" s="5" t="s">
        <v>13127</v>
      </c>
      <c r="E194" s="5" t="s">
        <v>13126</v>
      </c>
      <c r="F194" s="5" t="s">
        <v>63</v>
      </c>
      <c r="G194" s="5" t="s">
        <v>13124</v>
      </c>
      <c r="H194" s="10" t="s">
        <v>21254</v>
      </c>
      <c r="I194" s="5" t="s">
        <v>20688</v>
      </c>
      <c r="K194" s="23">
        <v>46088.733078703706</v>
      </c>
      <c r="L194" s="5" t="s">
        <v>17416</v>
      </c>
      <c r="M194" s="10" t="s">
        <v>21255</v>
      </c>
      <c r="N194" s="10" t="s">
        <v>20938</v>
      </c>
      <c r="P194" s="5" t="s">
        <v>14598</v>
      </c>
      <c r="R194" s="9">
        <v>46087.611770833333</v>
      </c>
      <c r="S194" s="9">
        <v>46087.611770833333</v>
      </c>
    </row>
    <row r="195" spans="1:19" ht="12.5">
      <c r="A195" s="10" t="s">
        <v>21256</v>
      </c>
      <c r="B195" s="5" t="s">
        <v>13140</v>
      </c>
      <c r="C195" s="5">
        <v>393491661611</v>
      </c>
      <c r="D195" s="5" t="s">
        <v>347</v>
      </c>
      <c r="E195" s="5" t="s">
        <v>19756</v>
      </c>
      <c r="F195" s="5" t="s">
        <v>154</v>
      </c>
      <c r="G195" s="5" t="s">
        <v>13141</v>
      </c>
      <c r="H195" s="10" t="s">
        <v>21257</v>
      </c>
      <c r="K195" s="23">
        <v>46088.634282407409</v>
      </c>
      <c r="L195" s="5" t="s">
        <v>6139</v>
      </c>
      <c r="M195" s="10" t="s">
        <v>21258</v>
      </c>
      <c r="N195" s="10" t="s">
        <v>20938</v>
      </c>
      <c r="P195" s="5" t="s">
        <v>14593</v>
      </c>
      <c r="R195" s="9">
        <v>46087.611817129633</v>
      </c>
      <c r="S195" s="9">
        <v>46087.611817129633</v>
      </c>
    </row>
    <row r="196" spans="1:19" ht="12.5">
      <c r="A196" s="10" t="s">
        <v>21259</v>
      </c>
      <c r="B196" s="5" t="s">
        <v>13135</v>
      </c>
      <c r="C196" s="5">
        <v>573214518065</v>
      </c>
      <c r="D196" s="5" t="s">
        <v>13138</v>
      </c>
      <c r="E196" s="5" t="s">
        <v>13137</v>
      </c>
      <c r="F196" s="5" t="s">
        <v>73</v>
      </c>
      <c r="G196" s="5" t="s">
        <v>13136</v>
      </c>
      <c r="H196" s="10" t="s">
        <v>21260</v>
      </c>
      <c r="I196" s="5" t="s">
        <v>20688</v>
      </c>
      <c r="K196" s="23">
        <v>46088.370324074072</v>
      </c>
      <c r="L196" s="5" t="s">
        <v>17416</v>
      </c>
      <c r="M196" s="10" t="s">
        <v>21261</v>
      </c>
      <c r="N196" s="10" t="s">
        <v>21252</v>
      </c>
      <c r="P196" s="5" t="s">
        <v>14593</v>
      </c>
      <c r="R196" s="9">
        <v>46087.611932870372</v>
      </c>
      <c r="S196" s="9">
        <v>46087.611932870372</v>
      </c>
    </row>
    <row r="197" spans="1:19" ht="12.5">
      <c r="A197" s="10" t="s">
        <v>21262</v>
      </c>
      <c r="B197" s="5" t="s">
        <v>13092</v>
      </c>
      <c r="C197" s="5">
        <v>573007518986</v>
      </c>
      <c r="D197" s="5" t="s">
        <v>1610</v>
      </c>
      <c r="E197" s="5" t="s">
        <v>13094</v>
      </c>
      <c r="F197" s="5" t="s">
        <v>3874</v>
      </c>
      <c r="G197" s="5" t="s">
        <v>21263</v>
      </c>
      <c r="H197" s="10" t="s">
        <v>21264</v>
      </c>
      <c r="I197" s="5" t="s">
        <v>21005</v>
      </c>
      <c r="K197" s="23">
        <v>46088.40525462963</v>
      </c>
      <c r="L197" s="5" t="s">
        <v>17416</v>
      </c>
      <c r="M197" s="10" t="s">
        <v>21265</v>
      </c>
      <c r="N197" s="10" t="s">
        <v>21266</v>
      </c>
      <c r="P197" s="5" t="s">
        <v>14580</v>
      </c>
      <c r="R197" s="9">
        <v>46087.612002314818</v>
      </c>
      <c r="S197" s="9">
        <v>46087.612002314818</v>
      </c>
    </row>
    <row r="198" spans="1:19" ht="12.5">
      <c r="A198" s="10" t="s">
        <v>21267</v>
      </c>
      <c r="B198" s="5" t="s">
        <v>13112</v>
      </c>
      <c r="C198" s="5">
        <v>573013651988</v>
      </c>
      <c r="D198" s="5" t="s">
        <v>13115</v>
      </c>
      <c r="E198" s="5" t="s">
        <v>13114</v>
      </c>
      <c r="F198" s="5" t="s">
        <v>9925</v>
      </c>
      <c r="G198" s="5" t="s">
        <v>13113</v>
      </c>
      <c r="H198" s="10" t="s">
        <v>19748</v>
      </c>
      <c r="K198" s="23">
        <v>46089.397905092592</v>
      </c>
      <c r="L198" s="5" t="s">
        <v>6139</v>
      </c>
      <c r="M198" s="10" t="s">
        <v>21268</v>
      </c>
      <c r="N198" s="10" t="s">
        <v>20917</v>
      </c>
      <c r="P198" s="5" t="s">
        <v>14618</v>
      </c>
      <c r="R198" s="9">
        <v>46087.612951388888</v>
      </c>
      <c r="S198" s="9">
        <v>46087.612951388888</v>
      </c>
    </row>
    <row r="199" spans="1:19" ht="12.5">
      <c r="A199" s="10" t="s">
        <v>21269</v>
      </c>
      <c r="B199" s="5" t="s">
        <v>13098</v>
      </c>
      <c r="C199" s="5">
        <v>573013601956</v>
      </c>
      <c r="D199" s="5" t="s">
        <v>12406</v>
      </c>
      <c r="E199" s="5" t="s">
        <v>13132</v>
      </c>
      <c r="F199" s="5" t="s">
        <v>726</v>
      </c>
      <c r="G199" s="5" t="s">
        <v>13131</v>
      </c>
      <c r="K199" s="23">
        <v>46088.762256944443</v>
      </c>
      <c r="L199" s="5" t="s">
        <v>6139</v>
      </c>
      <c r="M199" s="10" t="s">
        <v>21270</v>
      </c>
      <c r="N199" s="10" t="s">
        <v>20975</v>
      </c>
      <c r="P199" s="5" t="s">
        <v>14618</v>
      </c>
      <c r="R199" s="9">
        <v>46087.613125000003</v>
      </c>
      <c r="S199" s="9">
        <v>46087.613125000003</v>
      </c>
    </row>
    <row r="200" spans="1:19" ht="12.5">
      <c r="A200" s="10" t="s">
        <v>21271</v>
      </c>
      <c r="B200" s="5" t="s">
        <v>13098</v>
      </c>
      <c r="C200" s="5">
        <v>573013601956</v>
      </c>
      <c r="D200" s="5" t="s">
        <v>13101</v>
      </c>
      <c r="E200" s="5" t="s">
        <v>13100</v>
      </c>
      <c r="F200" s="5" t="s">
        <v>63</v>
      </c>
      <c r="G200" s="5" t="s">
        <v>19742</v>
      </c>
      <c r="H200" s="10" t="s">
        <v>19740</v>
      </c>
      <c r="K200" s="23">
        <v>46088.753946759258</v>
      </c>
      <c r="L200" s="5" t="s">
        <v>6139</v>
      </c>
      <c r="M200" s="10" t="s">
        <v>21272</v>
      </c>
      <c r="N200" s="10" t="s">
        <v>20975</v>
      </c>
      <c r="P200" s="5" t="s">
        <v>14598</v>
      </c>
      <c r="R200" s="9">
        <v>46087.613206018519</v>
      </c>
      <c r="S200" s="9">
        <v>46087.613206018519</v>
      </c>
    </row>
    <row r="201" spans="1:19" ht="12.5">
      <c r="A201" s="10" t="s">
        <v>21273</v>
      </c>
      <c r="B201" s="5" t="s">
        <v>13119</v>
      </c>
      <c r="C201" s="5">
        <v>573150533465</v>
      </c>
      <c r="D201" s="5" t="s">
        <v>12406</v>
      </c>
      <c r="E201" s="5" t="s">
        <v>13121</v>
      </c>
      <c r="F201" s="5" t="s">
        <v>110</v>
      </c>
      <c r="G201" s="5" t="s">
        <v>13120</v>
      </c>
      <c r="K201" s="23">
        <v>46088.762256944443</v>
      </c>
      <c r="L201" s="5" t="s">
        <v>6139</v>
      </c>
      <c r="M201" s="10" t="s">
        <v>21270</v>
      </c>
      <c r="N201" s="10" t="s">
        <v>20975</v>
      </c>
      <c r="P201" s="5" t="s">
        <v>14593</v>
      </c>
      <c r="R201" s="9">
        <v>46087.613287037035</v>
      </c>
      <c r="S201" s="9">
        <v>46087.613287037035</v>
      </c>
    </row>
    <row r="202" spans="1:19" ht="12.5">
      <c r="A202" s="10" t="s">
        <v>21274</v>
      </c>
      <c r="B202" s="5" t="s">
        <v>13106</v>
      </c>
      <c r="C202" s="5">
        <v>573008374218</v>
      </c>
      <c r="D202" s="5" t="s">
        <v>12701</v>
      </c>
      <c r="E202" s="5" t="s">
        <v>13108</v>
      </c>
      <c r="F202" s="5" t="s">
        <v>79</v>
      </c>
      <c r="G202" s="5" t="s">
        <v>21275</v>
      </c>
      <c r="H202" s="10" t="s">
        <v>21276</v>
      </c>
      <c r="I202" s="5" t="s">
        <v>20688</v>
      </c>
      <c r="K202" s="23">
        <v>46088.369143518517</v>
      </c>
      <c r="L202" s="5" t="s">
        <v>17416</v>
      </c>
      <c r="M202" s="10" t="s">
        <v>21277</v>
      </c>
      <c r="N202" s="10" t="s">
        <v>21165</v>
      </c>
      <c r="P202" s="5" t="s">
        <v>14593</v>
      </c>
      <c r="R202" s="9">
        <v>46087.613761574074</v>
      </c>
      <c r="S202" s="9">
        <v>46087.613761574074</v>
      </c>
    </row>
    <row r="203" spans="1:19" ht="12.5">
      <c r="A203" s="10" t="s">
        <v>21278</v>
      </c>
      <c r="B203" s="5" t="s">
        <v>6561</v>
      </c>
      <c r="C203" s="5">
        <v>573103633466</v>
      </c>
      <c r="D203" s="5" t="s">
        <v>42</v>
      </c>
      <c r="E203" s="5" t="s">
        <v>12657</v>
      </c>
      <c r="F203" s="5" t="s">
        <v>12657</v>
      </c>
      <c r="G203" s="5" t="s">
        <v>6561</v>
      </c>
      <c r="H203" s="10" t="s">
        <v>21279</v>
      </c>
      <c r="I203" s="5" t="s">
        <v>3962</v>
      </c>
      <c r="K203" s="23">
        <v>46088.323912037034</v>
      </c>
      <c r="L203" s="5" t="s">
        <v>20652</v>
      </c>
      <c r="M203" s="10" t="s">
        <v>21280</v>
      </c>
      <c r="N203" s="10" t="s">
        <v>21281</v>
      </c>
      <c r="R203" s="9">
        <v>46087.614178240743</v>
      </c>
      <c r="S203" s="9">
        <v>46087.614178240743</v>
      </c>
    </row>
    <row r="204" spans="1:19" ht="12.5">
      <c r="A204" s="10" t="s">
        <v>21282</v>
      </c>
      <c r="B204" s="5" t="s">
        <v>7963</v>
      </c>
      <c r="C204" s="5">
        <v>573000000002</v>
      </c>
      <c r="D204" s="5" t="s">
        <v>42</v>
      </c>
      <c r="E204" s="5" t="s">
        <v>12657</v>
      </c>
      <c r="F204" s="5" t="s">
        <v>12657</v>
      </c>
      <c r="G204" s="5" t="s">
        <v>7963</v>
      </c>
      <c r="H204" s="10" t="s">
        <v>20473</v>
      </c>
      <c r="I204" s="5" t="s">
        <v>20688</v>
      </c>
      <c r="K204" s="23">
        <v>46088.323877314811</v>
      </c>
      <c r="L204" s="5" t="s">
        <v>17416</v>
      </c>
      <c r="M204" s="10" t="s">
        <v>21283</v>
      </c>
      <c r="N204" s="10" t="s">
        <v>21281</v>
      </c>
      <c r="R204" s="9">
        <v>46087.657881944448</v>
      </c>
      <c r="S204" s="9">
        <v>46087.657881944448</v>
      </c>
    </row>
    <row r="205" spans="1:19" ht="12.5">
      <c r="A205" s="10" t="s">
        <v>21284</v>
      </c>
      <c r="B205" s="5" t="s">
        <v>12959</v>
      </c>
      <c r="C205" s="5">
        <v>573103998104</v>
      </c>
      <c r="D205" s="5" t="s">
        <v>12496</v>
      </c>
      <c r="E205" s="5" t="s">
        <v>12961</v>
      </c>
      <c r="F205" s="5" t="s">
        <v>146</v>
      </c>
      <c r="G205" s="5" t="s">
        <v>12960</v>
      </c>
      <c r="H205" s="10" t="s">
        <v>21285</v>
      </c>
      <c r="I205" s="5" t="s">
        <v>20688</v>
      </c>
      <c r="K205" s="23">
        <v>46088.349212962959</v>
      </c>
      <c r="L205" s="5" t="s">
        <v>17416</v>
      </c>
      <c r="M205" s="10" t="s">
        <v>21286</v>
      </c>
      <c r="N205" s="10" t="s">
        <v>21266</v>
      </c>
      <c r="P205" s="5" t="s">
        <v>14618</v>
      </c>
      <c r="R205" s="9">
        <v>46087.660381944443</v>
      </c>
      <c r="S205" s="9">
        <v>46087.660381944443</v>
      </c>
    </row>
    <row r="206" spans="1:19" ht="12.5">
      <c r="A206" s="10" t="s">
        <v>21287</v>
      </c>
      <c r="B206" s="5" t="s">
        <v>13027</v>
      </c>
      <c r="C206" s="5">
        <v>573017098224</v>
      </c>
      <c r="D206" s="5" t="s">
        <v>12496</v>
      </c>
      <c r="E206" s="5" t="s">
        <v>13029</v>
      </c>
      <c r="F206" s="5" t="s">
        <v>73</v>
      </c>
      <c r="G206" s="5" t="s">
        <v>13028</v>
      </c>
      <c r="H206" s="10" t="s">
        <v>21288</v>
      </c>
      <c r="K206" s="23">
        <v>46088.860983796294</v>
      </c>
      <c r="L206" s="5" t="s">
        <v>6139</v>
      </c>
      <c r="M206" s="10" t="s">
        <v>21289</v>
      </c>
      <c r="N206" s="10" t="s">
        <v>21013</v>
      </c>
      <c r="P206" s="5" t="s">
        <v>14593</v>
      </c>
      <c r="R206" s="9">
        <v>46087.660428240742</v>
      </c>
      <c r="S206" s="9">
        <v>46087.660428240742</v>
      </c>
    </row>
    <row r="207" spans="1:19" ht="12.5">
      <c r="A207" s="10" t="s">
        <v>21290</v>
      </c>
      <c r="B207" s="5" t="s">
        <v>13091</v>
      </c>
      <c r="C207" s="5">
        <v>573003004016</v>
      </c>
      <c r="D207" s="5" t="s">
        <v>734</v>
      </c>
      <c r="E207" s="5" t="s">
        <v>12657</v>
      </c>
      <c r="F207" s="5" t="s">
        <v>12657</v>
      </c>
      <c r="G207" s="5" t="s">
        <v>13091</v>
      </c>
      <c r="H207" s="10" t="s">
        <v>21291</v>
      </c>
      <c r="K207" s="23">
        <v>46088.323842592596</v>
      </c>
      <c r="L207" s="5" t="s">
        <v>6139</v>
      </c>
      <c r="M207" s="10" t="s">
        <v>21292</v>
      </c>
      <c r="N207" s="10" t="s">
        <v>21281</v>
      </c>
      <c r="R207" s="9">
        <v>46087.660474537035</v>
      </c>
      <c r="S207" s="9">
        <v>46087.660474537035</v>
      </c>
    </row>
    <row r="208" spans="1:19" ht="12.5">
      <c r="A208" s="10" t="s">
        <v>21293</v>
      </c>
      <c r="B208" s="5" t="s">
        <v>13066</v>
      </c>
      <c r="C208" s="5">
        <v>573105015903</v>
      </c>
      <c r="D208" s="5" t="s">
        <v>13067</v>
      </c>
      <c r="E208" s="5" t="s">
        <v>12657</v>
      </c>
      <c r="F208" s="5" t="s">
        <v>12657</v>
      </c>
      <c r="G208" s="5" t="s">
        <v>13066</v>
      </c>
      <c r="H208" s="10" t="s">
        <v>19721</v>
      </c>
      <c r="K208" s="23">
        <v>46088.861585648148</v>
      </c>
      <c r="L208" s="5" t="s">
        <v>6139</v>
      </c>
      <c r="M208" s="10" t="s">
        <v>21294</v>
      </c>
      <c r="N208" s="10" t="s">
        <v>20938</v>
      </c>
      <c r="R208" s="9">
        <v>46087.660578703704</v>
      </c>
      <c r="S208" s="9">
        <v>46087.660578703704</v>
      </c>
    </row>
    <row r="209" spans="1:19" ht="12.5">
      <c r="A209" s="10" t="s">
        <v>21295</v>
      </c>
      <c r="B209" s="5" t="s">
        <v>13085</v>
      </c>
      <c r="C209" s="5">
        <v>573204842833</v>
      </c>
      <c r="D209" s="5" t="s">
        <v>12496</v>
      </c>
      <c r="E209" s="5" t="s">
        <v>13087</v>
      </c>
      <c r="F209" s="5" t="s">
        <v>12657</v>
      </c>
      <c r="G209" s="5" t="s">
        <v>13086</v>
      </c>
      <c r="H209" s="10" t="s">
        <v>21296</v>
      </c>
      <c r="K209" s="23">
        <v>46088.32408564815</v>
      </c>
      <c r="L209" s="5" t="s">
        <v>6139</v>
      </c>
      <c r="M209" s="10" t="s">
        <v>21297</v>
      </c>
      <c r="N209" s="10" t="s">
        <v>21298</v>
      </c>
      <c r="R209" s="9">
        <v>46087.660624999997</v>
      </c>
      <c r="S209" s="9">
        <v>46087.660624999997</v>
      </c>
    </row>
    <row r="210" spans="1:19" ht="12.5">
      <c r="A210" s="10" t="s">
        <v>21299</v>
      </c>
      <c r="B210" s="5" t="s">
        <v>13071</v>
      </c>
      <c r="C210" s="5">
        <v>573011113091</v>
      </c>
      <c r="D210" s="5" t="s">
        <v>13074</v>
      </c>
      <c r="E210" s="5" t="s">
        <v>13073</v>
      </c>
      <c r="F210" s="5" t="s">
        <v>2865</v>
      </c>
      <c r="G210" s="5" t="s">
        <v>21300</v>
      </c>
      <c r="H210" s="10" t="s">
        <v>21301</v>
      </c>
      <c r="K210" s="23">
        <v>46087.734305555554</v>
      </c>
      <c r="L210" s="5" t="s">
        <v>6139</v>
      </c>
      <c r="M210" s="10" t="s">
        <v>21302</v>
      </c>
      <c r="N210" s="10" t="s">
        <v>21303</v>
      </c>
      <c r="P210" s="5" t="s">
        <v>14775</v>
      </c>
      <c r="R210" s="9">
        <v>46087.66064814815</v>
      </c>
      <c r="S210" s="9">
        <v>46087.66064814815</v>
      </c>
    </row>
    <row r="211" spans="1:19" ht="12.5">
      <c r="A211" s="10" t="s">
        <v>21304</v>
      </c>
      <c r="B211" s="5" t="s">
        <v>13047</v>
      </c>
      <c r="C211" s="5">
        <v>573104605906</v>
      </c>
      <c r="D211" s="5" t="s">
        <v>13079</v>
      </c>
      <c r="E211" s="5" t="s">
        <v>13078</v>
      </c>
      <c r="F211" s="5" t="s">
        <v>249</v>
      </c>
      <c r="G211" s="5" t="s">
        <v>13077</v>
      </c>
      <c r="H211" s="10" t="s">
        <v>21305</v>
      </c>
      <c r="K211" s="23">
        <v>46087.770196759258</v>
      </c>
      <c r="L211" s="5" t="s">
        <v>6139</v>
      </c>
      <c r="M211" s="10" t="s">
        <v>21306</v>
      </c>
      <c r="N211" s="10" t="s">
        <v>21298</v>
      </c>
      <c r="P211" s="5" t="s">
        <v>14593</v>
      </c>
      <c r="R211" s="9">
        <v>46087.66070601852</v>
      </c>
      <c r="S211" s="9">
        <v>46087.66070601852</v>
      </c>
    </row>
    <row r="212" spans="1:19" ht="12.5">
      <c r="A212" s="10" t="s">
        <v>21307</v>
      </c>
      <c r="B212" s="5" t="s">
        <v>13083</v>
      </c>
      <c r="C212" s="5">
        <v>573213651301</v>
      </c>
      <c r="D212" s="5" t="s">
        <v>12496</v>
      </c>
      <c r="E212" s="5" t="s">
        <v>12657</v>
      </c>
      <c r="F212" s="5" t="s">
        <v>12657</v>
      </c>
      <c r="G212" s="5" t="s">
        <v>13083</v>
      </c>
      <c r="H212" s="10" t="s">
        <v>19712</v>
      </c>
      <c r="K212" s="23">
        <v>46087.708449074074</v>
      </c>
      <c r="L212" s="5" t="s">
        <v>6139</v>
      </c>
      <c r="M212" s="10" t="s">
        <v>21308</v>
      </c>
      <c r="N212" s="10" t="s">
        <v>21281</v>
      </c>
      <c r="R212" s="9">
        <v>46087.660740740743</v>
      </c>
      <c r="S212" s="9">
        <v>46087.660740740743</v>
      </c>
    </row>
    <row r="213" spans="1:19" ht="12.5">
      <c r="A213" s="10" t="s">
        <v>21309</v>
      </c>
      <c r="B213" s="5" t="s">
        <v>13060</v>
      </c>
      <c r="C213" s="5">
        <v>573234582934</v>
      </c>
      <c r="D213" s="5" t="s">
        <v>13063</v>
      </c>
      <c r="E213" s="5" t="s">
        <v>13062</v>
      </c>
      <c r="F213" s="5" t="s">
        <v>63</v>
      </c>
      <c r="G213" s="5" t="s">
        <v>21310</v>
      </c>
      <c r="H213" s="10" t="s">
        <v>21311</v>
      </c>
      <c r="I213" s="5" t="s">
        <v>20688</v>
      </c>
      <c r="K213" s="23">
        <v>46088.389537037037</v>
      </c>
      <c r="L213" s="5" t="s">
        <v>17416</v>
      </c>
      <c r="M213" s="10" t="s">
        <v>21312</v>
      </c>
      <c r="N213" s="10" t="s">
        <v>21165</v>
      </c>
      <c r="P213" s="5" t="s">
        <v>14598</v>
      </c>
      <c r="R213" s="9">
        <v>46087.660775462966</v>
      </c>
      <c r="S213" s="9">
        <v>46087.660775462966</v>
      </c>
    </row>
    <row r="214" spans="1:19" ht="12.5">
      <c r="A214" s="10" t="s">
        <v>21313</v>
      </c>
      <c r="B214" s="5" t="s">
        <v>13020</v>
      </c>
      <c r="C214" s="5">
        <v>573145210521</v>
      </c>
      <c r="D214" s="5" t="s">
        <v>13021</v>
      </c>
      <c r="E214" s="5" t="s">
        <v>12657</v>
      </c>
      <c r="F214" s="5" t="s">
        <v>12657</v>
      </c>
      <c r="G214" s="5" t="s">
        <v>13020</v>
      </c>
      <c r="H214" s="10" t="s">
        <v>21314</v>
      </c>
      <c r="K214" s="23">
        <v>46087.676446759258</v>
      </c>
      <c r="L214" s="5" t="s">
        <v>6139</v>
      </c>
      <c r="M214" s="10" t="s">
        <v>21315</v>
      </c>
      <c r="N214" s="10" t="s">
        <v>21281</v>
      </c>
      <c r="R214" s="9">
        <v>46087.660810185182</v>
      </c>
      <c r="S214" s="9">
        <v>46087.660810185182</v>
      </c>
    </row>
    <row r="215" spans="1:19" ht="12.5">
      <c r="A215" s="10" t="s">
        <v>21316</v>
      </c>
      <c r="B215" s="5" t="s">
        <v>13047</v>
      </c>
      <c r="C215" s="5">
        <v>573104605906</v>
      </c>
      <c r="D215" s="5" t="s">
        <v>12724</v>
      </c>
      <c r="E215" s="5" t="s">
        <v>13049</v>
      </c>
      <c r="F215" s="5" t="s">
        <v>249</v>
      </c>
      <c r="G215" s="5" t="s">
        <v>13048</v>
      </c>
      <c r="H215" s="10" t="s">
        <v>21317</v>
      </c>
      <c r="K215" s="23">
        <v>46088.324050925927</v>
      </c>
      <c r="L215" s="5" t="s">
        <v>6139</v>
      </c>
      <c r="M215" s="10" t="s">
        <v>21318</v>
      </c>
      <c r="N215" s="10" t="s">
        <v>21319</v>
      </c>
      <c r="P215" s="5" t="s">
        <v>14593</v>
      </c>
      <c r="R215" s="9">
        <v>46087.660879629628</v>
      </c>
      <c r="S215" s="9">
        <v>46087.660879629628</v>
      </c>
    </row>
    <row r="216" spans="1:19" ht="12.5">
      <c r="A216" s="10" t="s">
        <v>21320</v>
      </c>
      <c r="B216" s="5" t="s">
        <v>13053</v>
      </c>
      <c r="C216" s="5">
        <v>575513373519</v>
      </c>
      <c r="D216" s="5" t="s">
        <v>13056</v>
      </c>
      <c r="E216" s="5" t="s">
        <v>13055</v>
      </c>
      <c r="F216" s="5" t="s">
        <v>73</v>
      </c>
      <c r="G216" s="5" t="s">
        <v>21321</v>
      </c>
      <c r="H216" s="10" t="s">
        <v>21322</v>
      </c>
      <c r="K216" s="23">
        <v>46088.579826388886</v>
      </c>
      <c r="L216" s="5" t="s">
        <v>6139</v>
      </c>
      <c r="M216" s="10" t="s">
        <v>21323</v>
      </c>
      <c r="N216" s="10" t="s">
        <v>21013</v>
      </c>
      <c r="P216" s="5" t="s">
        <v>14593</v>
      </c>
      <c r="R216" s="9">
        <v>46087.660914351851</v>
      </c>
      <c r="S216" s="9">
        <v>46087.660914351851</v>
      </c>
    </row>
    <row r="217" spans="1:19" ht="12.5">
      <c r="A217" s="10" t="s">
        <v>21324</v>
      </c>
      <c r="B217" s="5" t="s">
        <v>6179</v>
      </c>
      <c r="C217" s="5">
        <v>578717222</v>
      </c>
      <c r="D217" s="5" t="s">
        <v>42</v>
      </c>
      <c r="E217" s="5" t="s">
        <v>12657</v>
      </c>
      <c r="F217" s="5" t="s">
        <v>12657</v>
      </c>
      <c r="G217" s="5" t="s">
        <v>6179</v>
      </c>
      <c r="H217" s="10" t="s">
        <v>21325</v>
      </c>
      <c r="K217" s="23">
        <v>46087.66915509259</v>
      </c>
      <c r="L217" s="5" t="s">
        <v>6139</v>
      </c>
      <c r="M217" s="10" t="s">
        <v>21326</v>
      </c>
      <c r="N217" s="10" t="s">
        <v>21281</v>
      </c>
      <c r="R217" s="9">
        <v>46087.660949074074</v>
      </c>
      <c r="S217" s="9">
        <v>46087.660949074074</v>
      </c>
    </row>
    <row r="218" spans="1:19" ht="12.5">
      <c r="A218" s="10" t="s">
        <v>21327</v>
      </c>
      <c r="B218" s="5" t="s">
        <v>13016</v>
      </c>
      <c r="C218" s="5">
        <v>573004817146</v>
      </c>
      <c r="D218" s="5" t="s">
        <v>42</v>
      </c>
      <c r="E218" s="5" t="s">
        <v>12657</v>
      </c>
      <c r="F218" s="5" t="s">
        <v>12657</v>
      </c>
      <c r="G218" s="5" t="s">
        <v>13016</v>
      </c>
      <c r="H218" s="10" t="s">
        <v>21328</v>
      </c>
      <c r="K218" s="23">
        <v>46087.693831018521</v>
      </c>
      <c r="L218" s="5" t="s">
        <v>6139</v>
      </c>
      <c r="M218" s="10" t="s">
        <v>21329</v>
      </c>
      <c r="N218" s="10" t="s">
        <v>21298</v>
      </c>
      <c r="R218" s="9">
        <v>46087.66101851852</v>
      </c>
      <c r="S218" s="9">
        <v>46087.66101851852</v>
      </c>
    </row>
    <row r="219" spans="1:19" ht="12.5">
      <c r="A219" s="10" t="s">
        <v>21330</v>
      </c>
      <c r="B219" s="5" t="s">
        <v>13042</v>
      </c>
      <c r="C219" s="5">
        <v>573043284707</v>
      </c>
      <c r="D219" s="5" t="s">
        <v>42</v>
      </c>
      <c r="E219" s="5" t="s">
        <v>13044</v>
      </c>
      <c r="F219" s="5" t="s">
        <v>5574</v>
      </c>
      <c r="G219" s="5" t="s">
        <v>13043</v>
      </c>
      <c r="I219" s="5" t="s">
        <v>20688</v>
      </c>
      <c r="K219" s="23">
        <v>46088.452291666668</v>
      </c>
      <c r="L219" s="5" t="s">
        <v>17416</v>
      </c>
      <c r="M219" s="10" t="s">
        <v>21331</v>
      </c>
      <c r="N219" s="10" t="s">
        <v>20969</v>
      </c>
      <c r="P219" s="5" t="s">
        <v>14593</v>
      </c>
      <c r="R219" s="9">
        <v>46087.661053240743</v>
      </c>
      <c r="S219" s="9">
        <v>46087.661053240743</v>
      </c>
    </row>
    <row r="220" spans="1:19" ht="12.5">
      <c r="A220" s="10" t="s">
        <v>21332</v>
      </c>
      <c r="B220" s="5" t="s">
        <v>13037</v>
      </c>
      <c r="C220" s="5">
        <v>3217215223</v>
      </c>
      <c r="D220" s="5" t="s">
        <v>12844</v>
      </c>
      <c r="E220" s="5" t="s">
        <v>13039</v>
      </c>
      <c r="F220" s="5" t="s">
        <v>63</v>
      </c>
      <c r="G220" s="5" t="s">
        <v>20116</v>
      </c>
      <c r="H220" s="10" t="s">
        <v>21333</v>
      </c>
      <c r="K220" s="23">
        <v>46088.776956018519</v>
      </c>
      <c r="L220" s="5" t="s">
        <v>6139</v>
      </c>
      <c r="M220" s="10" t="s">
        <v>21334</v>
      </c>
      <c r="N220" s="10" t="s">
        <v>20938</v>
      </c>
      <c r="P220" s="5" t="s">
        <v>14598</v>
      </c>
      <c r="R220" s="9">
        <v>46087.661087962966</v>
      </c>
      <c r="S220" s="9">
        <v>46087.661087962966</v>
      </c>
    </row>
    <row r="221" spans="1:19" ht="12.5">
      <c r="A221" s="10" t="s">
        <v>21335</v>
      </c>
      <c r="B221" s="5" t="s">
        <v>13023</v>
      </c>
      <c r="C221" s="5">
        <v>573123093770</v>
      </c>
      <c r="D221" s="5" t="s">
        <v>12522</v>
      </c>
      <c r="E221" s="5" t="s">
        <v>13025</v>
      </c>
      <c r="F221" s="5" t="s">
        <v>6194</v>
      </c>
      <c r="G221" s="5" t="s">
        <v>21336</v>
      </c>
      <c r="H221" s="10" t="s">
        <v>21337</v>
      </c>
      <c r="K221" s="23">
        <v>46088.708564814813</v>
      </c>
      <c r="L221" s="5" t="s">
        <v>6139</v>
      </c>
      <c r="M221" s="10" t="s">
        <v>21338</v>
      </c>
      <c r="N221" s="10" t="s">
        <v>20938</v>
      </c>
      <c r="P221" s="5" t="s">
        <v>14580</v>
      </c>
      <c r="R221" s="9">
        <v>46087.661122685182</v>
      </c>
      <c r="S221" s="9">
        <v>46087.661122685182</v>
      </c>
    </row>
    <row r="222" spans="1:19" ht="12.5">
      <c r="A222" s="10" t="s">
        <v>21339</v>
      </c>
      <c r="B222" s="5" t="s">
        <v>13032</v>
      </c>
      <c r="C222" s="5">
        <v>573006015502</v>
      </c>
      <c r="D222" s="5" t="s">
        <v>458</v>
      </c>
      <c r="E222" s="5" t="s">
        <v>13034</v>
      </c>
      <c r="F222" s="5" t="s">
        <v>110</v>
      </c>
      <c r="G222" s="5" t="s">
        <v>13033</v>
      </c>
      <c r="H222" s="10" t="s">
        <v>21340</v>
      </c>
      <c r="K222" s="23">
        <v>46087.664803240739</v>
      </c>
      <c r="L222" s="5" t="s">
        <v>6139</v>
      </c>
      <c r="M222" s="10" t="s">
        <v>21341</v>
      </c>
      <c r="N222" s="10" t="s">
        <v>21281</v>
      </c>
      <c r="P222" s="5" t="s">
        <v>14593</v>
      </c>
      <c r="R222" s="9">
        <v>46087.661157407405</v>
      </c>
      <c r="S222" s="9">
        <v>46087.661157407405</v>
      </c>
    </row>
    <row r="223" spans="1:19" ht="12.5">
      <c r="A223" s="10" t="s">
        <v>21342</v>
      </c>
      <c r="B223" s="5" t="s">
        <v>12986</v>
      </c>
      <c r="C223" s="5">
        <v>573007310148</v>
      </c>
      <c r="D223" s="5" t="s">
        <v>12406</v>
      </c>
      <c r="E223" s="5" t="s">
        <v>12987</v>
      </c>
      <c r="F223" s="5" t="s">
        <v>124</v>
      </c>
      <c r="G223" s="5" t="s">
        <v>4238</v>
      </c>
      <c r="H223" s="10" t="s">
        <v>21343</v>
      </c>
      <c r="K223" s="23">
        <v>46088.797800925924</v>
      </c>
      <c r="L223" s="5" t="s">
        <v>6139</v>
      </c>
      <c r="M223" s="10" t="s">
        <v>21344</v>
      </c>
      <c r="N223" s="10" t="s">
        <v>20681</v>
      </c>
      <c r="P223" s="5" t="s">
        <v>14775</v>
      </c>
      <c r="R223" s="9">
        <v>46087.661192129628</v>
      </c>
      <c r="S223" s="9">
        <v>46087.661192129628</v>
      </c>
    </row>
    <row r="224" spans="1:19" ht="12.5">
      <c r="A224" s="10" t="s">
        <v>21345</v>
      </c>
      <c r="B224" s="5" t="s">
        <v>13001</v>
      </c>
      <c r="C224" s="5">
        <v>573227688428</v>
      </c>
      <c r="D224" s="5" t="s">
        <v>13004</v>
      </c>
      <c r="E224" s="5" t="s">
        <v>13003</v>
      </c>
      <c r="F224" s="5" t="s">
        <v>9925</v>
      </c>
      <c r="G224" s="5" t="s">
        <v>19682</v>
      </c>
      <c r="H224" s="10" t="s">
        <v>21346</v>
      </c>
      <c r="K224" s="23">
        <v>46089.377893518518</v>
      </c>
      <c r="L224" s="5" t="s">
        <v>6139</v>
      </c>
      <c r="M224" s="10" t="s">
        <v>21347</v>
      </c>
      <c r="N224" s="10" t="s">
        <v>20917</v>
      </c>
      <c r="P224" s="5" t="s">
        <v>14618</v>
      </c>
      <c r="R224" s="9">
        <v>46087.661238425928</v>
      </c>
      <c r="S224" s="9">
        <v>46087.661238425928</v>
      </c>
    </row>
    <row r="225" spans="1:19" ht="12.5">
      <c r="A225" s="10" t="s">
        <v>21348</v>
      </c>
      <c r="B225" s="5" t="s">
        <v>12976</v>
      </c>
      <c r="C225" s="5">
        <v>573017850018</v>
      </c>
      <c r="D225" s="5" t="s">
        <v>50</v>
      </c>
      <c r="E225" s="5" t="s">
        <v>12978</v>
      </c>
      <c r="F225" s="5" t="s">
        <v>161</v>
      </c>
      <c r="G225" s="5" t="s">
        <v>12977</v>
      </c>
      <c r="H225" s="10" t="s">
        <v>21349</v>
      </c>
      <c r="K225" s="23">
        <v>46087.664942129632</v>
      </c>
      <c r="L225" s="5" t="s">
        <v>6139</v>
      </c>
      <c r="M225" s="10" t="s">
        <v>21350</v>
      </c>
      <c r="N225" s="10" t="s">
        <v>21281</v>
      </c>
      <c r="P225" s="5" t="s">
        <v>14593</v>
      </c>
      <c r="R225" s="9">
        <v>46087.661273148151</v>
      </c>
      <c r="S225" s="9">
        <v>46087.661273148151</v>
      </c>
    </row>
    <row r="226" spans="1:19" ht="12.5">
      <c r="A226" s="10" t="s">
        <v>21351</v>
      </c>
      <c r="B226" s="5" t="s">
        <v>12995</v>
      </c>
      <c r="C226" s="5">
        <v>87143182618714</v>
      </c>
      <c r="D226" s="5" t="s">
        <v>12701</v>
      </c>
      <c r="E226" s="5" t="s">
        <v>12997</v>
      </c>
      <c r="F226" s="5" t="s">
        <v>5574</v>
      </c>
      <c r="G226" s="5" t="s">
        <v>12996</v>
      </c>
      <c r="H226" s="10" t="s">
        <v>21352</v>
      </c>
      <c r="K226" s="23">
        <v>46087.664421296293</v>
      </c>
      <c r="L226" s="5" t="s">
        <v>6139</v>
      </c>
      <c r="M226" s="10" t="s">
        <v>21353</v>
      </c>
      <c r="N226" s="10" t="s">
        <v>21354</v>
      </c>
      <c r="P226" s="5" t="s">
        <v>14593</v>
      </c>
      <c r="R226" s="9">
        <v>46087.661319444444</v>
      </c>
      <c r="S226" s="9">
        <v>46087.661319444444</v>
      </c>
    </row>
    <row r="227" spans="1:19" ht="12.5">
      <c r="A227" s="10" t="s">
        <v>21355</v>
      </c>
      <c r="B227" s="5" t="s">
        <v>12990</v>
      </c>
      <c r="C227" s="5">
        <v>573122516532</v>
      </c>
      <c r="D227" s="5" t="s">
        <v>375</v>
      </c>
      <c r="E227" s="5" t="s">
        <v>12992</v>
      </c>
      <c r="F227" s="5" t="s">
        <v>464</v>
      </c>
      <c r="G227" s="5" t="s">
        <v>12991</v>
      </c>
      <c r="H227" s="10" t="s">
        <v>21356</v>
      </c>
      <c r="K227" s="23">
        <v>46088.370034722226</v>
      </c>
      <c r="L227" s="5" t="s">
        <v>6139</v>
      </c>
      <c r="M227" s="10" t="s">
        <v>21357</v>
      </c>
      <c r="N227" s="10" t="s">
        <v>21358</v>
      </c>
      <c r="P227" s="5" t="s">
        <v>14580</v>
      </c>
      <c r="R227" s="9">
        <v>46087.66134259259</v>
      </c>
      <c r="S227" s="9">
        <v>46087.66134259259</v>
      </c>
    </row>
    <row r="228" spans="1:19" ht="12.5">
      <c r="A228" s="10" t="s">
        <v>21359</v>
      </c>
      <c r="B228" s="5" t="s">
        <v>12971</v>
      </c>
      <c r="C228" s="5">
        <v>573127773997</v>
      </c>
      <c r="D228" s="5" t="s">
        <v>375</v>
      </c>
      <c r="E228" s="5" t="s">
        <v>12973</v>
      </c>
      <c r="F228" s="5" t="s">
        <v>146</v>
      </c>
      <c r="G228" s="5" t="s">
        <v>21360</v>
      </c>
      <c r="H228" s="10" t="s">
        <v>21361</v>
      </c>
      <c r="K228" s="23">
        <v>46088.709143518521</v>
      </c>
      <c r="L228" s="5" t="s">
        <v>6139</v>
      </c>
      <c r="M228" s="10" t="s">
        <v>21362</v>
      </c>
      <c r="N228" s="10" t="s">
        <v>20917</v>
      </c>
      <c r="P228" s="5" t="s">
        <v>14618</v>
      </c>
      <c r="R228" s="9">
        <v>46087.661377314813</v>
      </c>
      <c r="S228" s="9">
        <v>46087.661377314813</v>
      </c>
    </row>
    <row r="229" spans="1:19" ht="12.5">
      <c r="A229" s="10" t="s">
        <v>21363</v>
      </c>
      <c r="B229" s="5" t="s">
        <v>12954</v>
      </c>
      <c r="C229" s="5">
        <v>573144870628</v>
      </c>
      <c r="D229" s="5" t="s">
        <v>12844</v>
      </c>
      <c r="E229" s="5" t="s">
        <v>12956</v>
      </c>
      <c r="F229" s="5" t="s">
        <v>249</v>
      </c>
      <c r="G229" s="5" t="s">
        <v>12955</v>
      </c>
      <c r="H229" s="10" t="s">
        <v>21364</v>
      </c>
      <c r="K229" s="23">
        <v>46088.767453703702</v>
      </c>
      <c r="L229" s="5" t="s">
        <v>6139</v>
      </c>
      <c r="M229" s="10" t="s">
        <v>21365</v>
      </c>
      <c r="N229" s="10" t="s">
        <v>20975</v>
      </c>
      <c r="P229" s="5" t="s">
        <v>14593</v>
      </c>
      <c r="R229" s="9">
        <v>46087.661412037036</v>
      </c>
      <c r="S229" s="9">
        <v>46087.661412037036</v>
      </c>
    </row>
    <row r="230" spans="1:19" ht="12.5">
      <c r="A230" s="10" t="s">
        <v>21366</v>
      </c>
      <c r="B230" s="5" t="s">
        <v>12964</v>
      </c>
      <c r="C230" s="5">
        <v>573108757090</v>
      </c>
      <c r="D230" s="5" t="s">
        <v>12496</v>
      </c>
      <c r="E230" s="5" t="s">
        <v>12965</v>
      </c>
      <c r="F230" s="5" t="s">
        <v>154</v>
      </c>
      <c r="G230" s="5" t="s">
        <v>1736</v>
      </c>
      <c r="H230" s="10" t="s">
        <v>19667</v>
      </c>
      <c r="K230" s="23">
        <v>46088.37</v>
      </c>
      <c r="L230" s="5" t="s">
        <v>6139</v>
      </c>
      <c r="M230" s="10" t="s">
        <v>21367</v>
      </c>
      <c r="N230" s="10" t="s">
        <v>21281</v>
      </c>
      <c r="P230" s="5" t="s">
        <v>14593</v>
      </c>
      <c r="R230" s="9">
        <v>46087.661446759259</v>
      </c>
      <c r="S230" s="9">
        <v>46087.661446759259</v>
      </c>
    </row>
    <row r="231" spans="1:19" ht="12.5">
      <c r="A231" s="10" t="s">
        <v>21368</v>
      </c>
      <c r="B231" s="5" t="s">
        <v>12948</v>
      </c>
      <c r="C231" s="5">
        <v>573124483050</v>
      </c>
      <c r="D231" s="5" t="s">
        <v>12951</v>
      </c>
      <c r="E231" s="5" t="s">
        <v>12950</v>
      </c>
      <c r="F231" s="5" t="s">
        <v>79</v>
      </c>
      <c r="G231" s="5" t="s">
        <v>12949</v>
      </c>
      <c r="H231" s="10" t="s">
        <v>21369</v>
      </c>
      <c r="I231" s="5" t="s">
        <v>20688</v>
      </c>
      <c r="K231" s="23">
        <v>46087.733263888891</v>
      </c>
      <c r="L231" s="5" t="s">
        <v>17416</v>
      </c>
      <c r="M231" s="10" t="s">
        <v>21370</v>
      </c>
      <c r="N231" s="10" t="s">
        <v>21266</v>
      </c>
      <c r="P231" s="5" t="s">
        <v>14593</v>
      </c>
      <c r="R231" s="9">
        <v>46087.661481481482</v>
      </c>
      <c r="S231" s="9">
        <v>46087.661481481482</v>
      </c>
    </row>
    <row r="232" spans="1:19" ht="12.5">
      <c r="A232" s="10" t="s">
        <v>21371</v>
      </c>
      <c r="B232" s="5" t="s">
        <v>3526</v>
      </c>
      <c r="C232" s="5">
        <v>573174289182</v>
      </c>
      <c r="D232" s="5" t="s">
        <v>42</v>
      </c>
      <c r="E232" s="5" t="s">
        <v>12657</v>
      </c>
      <c r="F232" s="5" t="s">
        <v>12657</v>
      </c>
      <c r="G232" s="5" t="s">
        <v>3526</v>
      </c>
      <c r="H232" s="10" t="s">
        <v>16976</v>
      </c>
      <c r="K232" s="23">
        <v>46088.369942129626</v>
      </c>
      <c r="L232" s="5" t="s">
        <v>6139</v>
      </c>
      <c r="M232" s="10" t="s">
        <v>21372</v>
      </c>
      <c r="N232" s="10" t="s">
        <v>21281</v>
      </c>
      <c r="R232" s="9">
        <v>46087.661516203705</v>
      </c>
      <c r="S232" s="9">
        <v>46087.661516203705</v>
      </c>
    </row>
    <row r="233" spans="1:19" ht="12.5">
      <c r="A233" s="10" t="s">
        <v>21373</v>
      </c>
      <c r="B233" s="5" t="s">
        <v>7782</v>
      </c>
      <c r="C233" s="5">
        <v>15617974204</v>
      </c>
      <c r="D233" s="5" t="s">
        <v>12924</v>
      </c>
      <c r="E233" s="5" t="s">
        <v>12923</v>
      </c>
      <c r="F233" s="5" t="s">
        <v>161</v>
      </c>
      <c r="G233" s="5" t="s">
        <v>12922</v>
      </c>
      <c r="H233" s="10" t="s">
        <v>21374</v>
      </c>
      <c r="K233" s="23">
        <v>46088.662754629629</v>
      </c>
      <c r="L233" s="5" t="s">
        <v>6139</v>
      </c>
      <c r="M233" s="10" t="s">
        <v>21375</v>
      </c>
      <c r="N233" s="10" t="s">
        <v>21266</v>
      </c>
      <c r="P233" s="5" t="s">
        <v>14593</v>
      </c>
      <c r="R233" s="9">
        <v>46087.661550925928</v>
      </c>
      <c r="S233" s="9">
        <v>46087.661550925928</v>
      </c>
    </row>
    <row r="234" spans="1:19" ht="12.5">
      <c r="A234" s="10" t="s">
        <v>21376</v>
      </c>
      <c r="B234" s="5" t="s">
        <v>12942</v>
      </c>
      <c r="C234" s="5">
        <v>573228985611</v>
      </c>
      <c r="D234" s="5" t="s">
        <v>12496</v>
      </c>
      <c r="E234" s="5" t="s">
        <v>12944</v>
      </c>
      <c r="F234" s="5" t="s">
        <v>5574</v>
      </c>
      <c r="G234" s="5" t="s">
        <v>21377</v>
      </c>
      <c r="H234" s="10" t="s">
        <v>21378</v>
      </c>
      <c r="I234" s="5" t="s">
        <v>20688</v>
      </c>
      <c r="K234" s="23">
        <v>46088.360543981478</v>
      </c>
      <c r="L234" s="5" t="s">
        <v>17416</v>
      </c>
      <c r="M234" s="10" t="s">
        <v>21379</v>
      </c>
      <c r="N234" s="10" t="s">
        <v>21165</v>
      </c>
      <c r="P234" s="5" t="s">
        <v>14593</v>
      </c>
      <c r="R234" s="9">
        <v>46087.661574074074</v>
      </c>
      <c r="S234" s="9">
        <v>46087.661574074074</v>
      </c>
    </row>
    <row r="235" spans="1:19" ht="12.5">
      <c r="A235" s="10" t="s">
        <v>21380</v>
      </c>
      <c r="B235" s="5" t="s">
        <v>12930</v>
      </c>
      <c r="C235" s="5">
        <v>573014595296</v>
      </c>
      <c r="D235" s="5" t="s">
        <v>210</v>
      </c>
      <c r="E235" s="5" t="s">
        <v>12657</v>
      </c>
      <c r="F235" s="5" t="s">
        <v>12657</v>
      </c>
      <c r="G235" s="5" t="s">
        <v>12930</v>
      </c>
      <c r="H235" s="10" t="s">
        <v>19645</v>
      </c>
      <c r="K235" s="23">
        <v>46087.664363425924</v>
      </c>
      <c r="L235" s="5" t="s">
        <v>6139</v>
      </c>
      <c r="M235" s="10" t="s">
        <v>21381</v>
      </c>
      <c r="N235" s="10" t="s">
        <v>21382</v>
      </c>
      <c r="R235" s="9">
        <v>46087.661631944444</v>
      </c>
      <c r="S235" s="9">
        <v>46087.661631944444</v>
      </c>
    </row>
    <row r="236" spans="1:19" ht="12.5">
      <c r="A236" s="10" t="s">
        <v>21383</v>
      </c>
      <c r="B236" s="5" t="s">
        <v>2894</v>
      </c>
      <c r="C236" s="5">
        <v>573007729657</v>
      </c>
      <c r="D236" s="5" t="s">
        <v>12406</v>
      </c>
      <c r="E236" s="5" t="s">
        <v>12906</v>
      </c>
      <c r="F236" s="5" t="s">
        <v>8750</v>
      </c>
      <c r="G236" s="5" t="s">
        <v>12905</v>
      </c>
      <c r="H236" s="10" t="s">
        <v>21384</v>
      </c>
      <c r="K236" s="23">
        <v>46087.613761574074</v>
      </c>
      <c r="L236" s="5" t="s">
        <v>6139</v>
      </c>
      <c r="M236" s="10" t="s">
        <v>21385</v>
      </c>
      <c r="N236" s="10" t="s">
        <v>21382</v>
      </c>
      <c r="R236" s="9">
        <v>46087.661666666667</v>
      </c>
      <c r="S236" s="9">
        <v>46087.661666666667</v>
      </c>
    </row>
    <row r="237" spans="1:19" ht="12.5">
      <c r="A237" s="10" t="s">
        <v>21386</v>
      </c>
      <c r="B237" s="5" t="s">
        <v>12937</v>
      </c>
      <c r="C237" s="5">
        <v>573123522976</v>
      </c>
      <c r="D237" s="5" t="s">
        <v>12940</v>
      </c>
      <c r="E237" s="5" t="s">
        <v>12939</v>
      </c>
      <c r="F237" s="5" t="s">
        <v>249</v>
      </c>
      <c r="G237" s="5" t="s">
        <v>21387</v>
      </c>
      <c r="H237" s="10" t="s">
        <v>21388</v>
      </c>
      <c r="K237" s="23">
        <v>46088.369837962964</v>
      </c>
      <c r="L237" s="5" t="s">
        <v>6139</v>
      </c>
      <c r="M237" s="10" t="s">
        <v>21389</v>
      </c>
      <c r="N237" s="10" t="s">
        <v>21390</v>
      </c>
      <c r="P237" s="5" t="s">
        <v>14593</v>
      </c>
      <c r="R237" s="9">
        <v>46087.661759259259</v>
      </c>
      <c r="S237" s="9">
        <v>46087.661759259259</v>
      </c>
    </row>
    <row r="238" spans="1:19" ht="12.5">
      <c r="A238" s="10" t="s">
        <v>21391</v>
      </c>
      <c r="B238" s="5" t="s">
        <v>12878</v>
      </c>
      <c r="C238" s="5">
        <v>573004274762</v>
      </c>
      <c r="D238" s="5" t="s">
        <v>12879</v>
      </c>
      <c r="E238" s="5" t="s">
        <v>12657</v>
      </c>
      <c r="F238" s="5" t="s">
        <v>12657</v>
      </c>
      <c r="G238" s="5" t="s">
        <v>12878</v>
      </c>
      <c r="H238" s="10" t="s">
        <v>21392</v>
      </c>
      <c r="K238" s="23">
        <v>46087.733761574076</v>
      </c>
      <c r="L238" s="5" t="s">
        <v>6139</v>
      </c>
      <c r="M238" s="10" t="s">
        <v>21393</v>
      </c>
      <c r="N238" s="10" t="s">
        <v>21252</v>
      </c>
      <c r="R238" s="9">
        <v>46087.661805555559</v>
      </c>
      <c r="S238" s="9">
        <v>46087.661805555559</v>
      </c>
    </row>
    <row r="239" spans="1:19" ht="12.5">
      <c r="A239" s="10" t="s">
        <v>21394</v>
      </c>
      <c r="B239" s="5" t="s">
        <v>12933</v>
      </c>
      <c r="C239" s="5">
        <v>573046494553</v>
      </c>
      <c r="D239" s="5" t="s">
        <v>12437</v>
      </c>
      <c r="E239" s="5" t="s">
        <v>12934</v>
      </c>
      <c r="F239" s="5" t="s">
        <v>185</v>
      </c>
      <c r="G239" s="5" t="s">
        <v>15645</v>
      </c>
      <c r="H239" s="10" t="s">
        <v>21395</v>
      </c>
      <c r="I239" s="5" t="s">
        <v>20688</v>
      </c>
      <c r="K239" s="23">
        <v>46088.683437500003</v>
      </c>
      <c r="L239" s="5" t="s">
        <v>17416</v>
      </c>
      <c r="M239" s="10" t="s">
        <v>21396</v>
      </c>
      <c r="N239" s="10" t="s">
        <v>20975</v>
      </c>
      <c r="P239" s="5" t="s">
        <v>14580</v>
      </c>
      <c r="R239" s="9">
        <v>46087.661828703705</v>
      </c>
      <c r="S239" s="9">
        <v>46087.661828703705</v>
      </c>
    </row>
    <row r="240" spans="1:19" ht="12.5">
      <c r="A240" s="10" t="s">
        <v>21397</v>
      </c>
      <c r="B240" s="5" t="s">
        <v>12917</v>
      </c>
      <c r="C240" s="5">
        <v>573004848680</v>
      </c>
      <c r="D240" s="5" t="s">
        <v>42</v>
      </c>
      <c r="E240" s="5" t="s">
        <v>12919</v>
      </c>
      <c r="F240" s="5" t="s">
        <v>2381</v>
      </c>
      <c r="G240" s="5" t="s">
        <v>21398</v>
      </c>
      <c r="H240" s="10" t="s">
        <v>15521</v>
      </c>
      <c r="K240" s="23">
        <v>46087.6643287037</v>
      </c>
      <c r="L240" s="5" t="s">
        <v>6139</v>
      </c>
      <c r="M240" s="10" t="s">
        <v>21399</v>
      </c>
      <c r="N240" s="10" t="s">
        <v>21400</v>
      </c>
      <c r="P240" s="5" t="s">
        <v>14593</v>
      </c>
      <c r="R240" s="9">
        <v>46087.661874999998</v>
      </c>
      <c r="S240" s="9">
        <v>46087.661874999998</v>
      </c>
    </row>
    <row r="241" spans="1:19" ht="12.5">
      <c r="A241" s="10" t="s">
        <v>21401</v>
      </c>
      <c r="B241" s="5" t="s">
        <v>7204</v>
      </c>
      <c r="C241" s="5">
        <v>573008183491</v>
      </c>
      <c r="D241" s="5" t="s">
        <v>42</v>
      </c>
      <c r="E241" s="5" t="s">
        <v>12657</v>
      </c>
      <c r="F241" s="5" t="s">
        <v>12657</v>
      </c>
      <c r="G241" s="5" t="s">
        <v>7204</v>
      </c>
      <c r="H241" s="10" t="s">
        <v>18651</v>
      </c>
      <c r="K241" s="23">
        <v>46087.664618055554</v>
      </c>
      <c r="L241" s="5" t="s">
        <v>6139</v>
      </c>
      <c r="M241" s="10" t="s">
        <v>21402</v>
      </c>
      <c r="N241" s="10" t="s">
        <v>21403</v>
      </c>
      <c r="R241" s="9">
        <v>46087.661921296298</v>
      </c>
      <c r="S241" s="9">
        <v>46087.661921296298</v>
      </c>
    </row>
    <row r="242" spans="1:19" ht="12.5">
      <c r="A242" s="10" t="s">
        <v>21404</v>
      </c>
      <c r="B242" s="5" t="s">
        <v>11666</v>
      </c>
      <c r="C242" s="5">
        <v>573204022852</v>
      </c>
      <c r="D242" s="5" t="s">
        <v>12496</v>
      </c>
      <c r="E242" s="5" t="s">
        <v>12913</v>
      </c>
      <c r="F242" s="5" t="s">
        <v>11267</v>
      </c>
      <c r="G242" s="5" t="s">
        <v>12912</v>
      </c>
      <c r="H242" s="10" t="s">
        <v>21405</v>
      </c>
      <c r="K242" s="23">
        <v>46088.369351851848</v>
      </c>
      <c r="L242" s="5" t="s">
        <v>6139</v>
      </c>
      <c r="M242" s="10" t="s">
        <v>21406</v>
      </c>
      <c r="N242" s="10" t="s">
        <v>21252</v>
      </c>
      <c r="P242" s="5" t="s">
        <v>14691</v>
      </c>
      <c r="R242" s="9">
        <v>46087.661956018521</v>
      </c>
      <c r="S242" s="9">
        <v>46087.661956018521</v>
      </c>
    </row>
    <row r="243" spans="1:19" ht="12.5">
      <c r="A243" s="10" t="s">
        <v>21407</v>
      </c>
      <c r="B243" s="5" t="s">
        <v>12896</v>
      </c>
      <c r="C243" s="5">
        <v>573045384624</v>
      </c>
      <c r="D243" s="5" t="s">
        <v>12496</v>
      </c>
      <c r="E243" s="5" t="s">
        <v>12898</v>
      </c>
      <c r="F243" s="5" t="s">
        <v>124</v>
      </c>
      <c r="G243" s="5" t="s">
        <v>12897</v>
      </c>
      <c r="H243" s="10" t="s">
        <v>21408</v>
      </c>
      <c r="K243" s="23">
        <v>46088.373715277776</v>
      </c>
      <c r="L243" s="5" t="s">
        <v>6139</v>
      </c>
      <c r="M243" s="10" t="s">
        <v>21409</v>
      </c>
      <c r="N243" s="10" t="s">
        <v>21281</v>
      </c>
      <c r="P243" s="5" t="s">
        <v>14775</v>
      </c>
      <c r="R243" s="9">
        <v>46087.661990740744</v>
      </c>
      <c r="S243" s="9">
        <v>46087.661990740744</v>
      </c>
    </row>
    <row r="244" spans="1:19" ht="12.5">
      <c r="A244" s="10" t="s">
        <v>21410</v>
      </c>
      <c r="B244" s="5" t="s">
        <v>12908</v>
      </c>
      <c r="C244" s="5">
        <v>5715196141332</v>
      </c>
      <c r="D244" s="5" t="s">
        <v>12437</v>
      </c>
      <c r="E244" s="5" t="s">
        <v>12910</v>
      </c>
      <c r="F244" s="5" t="s">
        <v>154</v>
      </c>
      <c r="G244" s="5" t="s">
        <v>12909</v>
      </c>
      <c r="H244" s="10" t="s">
        <v>21411</v>
      </c>
      <c r="K244" s="23">
        <v>46087.664270833331</v>
      </c>
      <c r="L244" s="5" t="s">
        <v>6139</v>
      </c>
      <c r="M244" s="10" t="s">
        <v>21412</v>
      </c>
      <c r="N244" s="10" t="s">
        <v>21281</v>
      </c>
      <c r="P244" s="5" t="s">
        <v>14593</v>
      </c>
      <c r="R244" s="9">
        <v>46087.662037037036</v>
      </c>
      <c r="S244" s="9">
        <v>46087.662037037036</v>
      </c>
    </row>
    <row r="245" spans="1:19" ht="12.5">
      <c r="A245" s="10" t="s">
        <v>21413</v>
      </c>
      <c r="B245" s="5" t="s">
        <v>12874</v>
      </c>
      <c r="C245" s="5">
        <v>573013290337</v>
      </c>
      <c r="D245" s="5" t="s">
        <v>12875</v>
      </c>
      <c r="E245" s="5" t="s">
        <v>12657</v>
      </c>
      <c r="F245" s="5" t="s">
        <v>12657</v>
      </c>
      <c r="G245" s="5" t="s">
        <v>12874</v>
      </c>
      <c r="H245" s="10" t="s">
        <v>21414</v>
      </c>
      <c r="K245" s="23">
        <v>46088.351064814815</v>
      </c>
      <c r="L245" s="5" t="s">
        <v>6139</v>
      </c>
      <c r="M245" s="10" t="s">
        <v>21415</v>
      </c>
      <c r="N245" s="10" t="s">
        <v>21416</v>
      </c>
      <c r="R245" s="9">
        <v>46087.66207175926</v>
      </c>
      <c r="S245" s="9">
        <v>46087.66207175926</v>
      </c>
    </row>
    <row r="246" spans="1:19" ht="12.5">
      <c r="A246" s="10" t="s">
        <v>21417</v>
      </c>
      <c r="B246" s="5" t="s">
        <v>12885</v>
      </c>
      <c r="C246" s="5">
        <v>573168301636</v>
      </c>
      <c r="D246" s="5" t="s">
        <v>12423</v>
      </c>
      <c r="E246" s="5" t="s">
        <v>12903</v>
      </c>
      <c r="F246" s="5" t="s">
        <v>103</v>
      </c>
      <c r="G246" s="5" t="s">
        <v>12902</v>
      </c>
      <c r="H246" s="10" t="s">
        <v>21418</v>
      </c>
      <c r="I246" s="5" t="s">
        <v>20688</v>
      </c>
      <c r="K246" s="23">
        <v>46088.783125000002</v>
      </c>
      <c r="L246" s="5" t="s">
        <v>17416</v>
      </c>
      <c r="M246" s="10" t="s">
        <v>21419</v>
      </c>
      <c r="N246" s="10" t="s">
        <v>20975</v>
      </c>
      <c r="P246" s="5" t="s">
        <v>14593</v>
      </c>
      <c r="R246" s="9">
        <v>46087.662106481483</v>
      </c>
      <c r="S246" s="9">
        <v>46087.662106481483</v>
      </c>
    </row>
    <row r="247" spans="1:19" ht="12.5">
      <c r="A247" s="10" t="s">
        <v>21420</v>
      </c>
      <c r="B247" s="5" t="s">
        <v>12885</v>
      </c>
      <c r="C247" s="5">
        <v>573168301636</v>
      </c>
      <c r="D247" s="5" t="s">
        <v>12844</v>
      </c>
      <c r="E247" s="5" t="s">
        <v>12893</v>
      </c>
      <c r="F247" s="5" t="s">
        <v>161</v>
      </c>
      <c r="G247" s="5" t="s">
        <v>4876</v>
      </c>
      <c r="H247" s="10" t="s">
        <v>21421</v>
      </c>
      <c r="I247" s="5" t="s">
        <v>20688</v>
      </c>
      <c r="K247" s="23">
        <v>46088.632337962961</v>
      </c>
      <c r="L247" s="5" t="s">
        <v>17416</v>
      </c>
      <c r="M247" s="10" t="s">
        <v>21422</v>
      </c>
      <c r="N247" s="10" t="s">
        <v>20975</v>
      </c>
      <c r="P247" s="5" t="s">
        <v>14593</v>
      </c>
      <c r="R247" s="9">
        <v>46087.662152777775</v>
      </c>
      <c r="S247" s="9">
        <v>46087.662152777775</v>
      </c>
    </row>
    <row r="248" spans="1:19" ht="12.5">
      <c r="A248" s="10" t="s">
        <v>21423</v>
      </c>
      <c r="B248" s="5" t="s">
        <v>12885</v>
      </c>
      <c r="C248" s="5">
        <v>573168301636</v>
      </c>
      <c r="D248" s="5" t="s">
        <v>12888</v>
      </c>
      <c r="E248" s="5" t="s">
        <v>12887</v>
      </c>
      <c r="F248" s="5" t="s">
        <v>185</v>
      </c>
      <c r="G248" s="5" t="s">
        <v>21424</v>
      </c>
      <c r="H248" s="10" t="s">
        <v>21425</v>
      </c>
      <c r="K248" s="23">
        <v>46088.687256944446</v>
      </c>
      <c r="L248" s="5" t="s">
        <v>6139</v>
      </c>
      <c r="M248" s="10" t="s">
        <v>21426</v>
      </c>
      <c r="N248" s="10" t="s">
        <v>20975</v>
      </c>
      <c r="P248" s="5" t="s">
        <v>14580</v>
      </c>
      <c r="R248" s="9">
        <v>46087.662187499998</v>
      </c>
      <c r="S248" s="9">
        <v>46087.662187499998</v>
      </c>
    </row>
    <row r="249" spans="1:19" ht="12.5">
      <c r="A249" s="10" t="s">
        <v>21427</v>
      </c>
      <c r="B249" s="5" t="s">
        <v>12882</v>
      </c>
      <c r="C249" s="5">
        <v>573014831358</v>
      </c>
      <c r="D249" s="5" t="s">
        <v>42</v>
      </c>
      <c r="E249" s="5" t="s">
        <v>12883</v>
      </c>
      <c r="F249" s="5" t="s">
        <v>73</v>
      </c>
      <c r="G249" s="5" t="s">
        <v>12882</v>
      </c>
      <c r="H249" s="10" t="s">
        <v>21428</v>
      </c>
      <c r="K249" s="23">
        <v>46087.613287037035</v>
      </c>
      <c r="L249" s="5" t="s">
        <v>6139</v>
      </c>
      <c r="M249" s="10" t="s">
        <v>21429</v>
      </c>
      <c r="N249" s="10" t="s">
        <v>21403</v>
      </c>
      <c r="P249" s="5" t="s">
        <v>14593</v>
      </c>
      <c r="R249" s="9">
        <v>46087.662233796298</v>
      </c>
      <c r="S249" s="9">
        <v>46087.662233796298</v>
      </c>
    </row>
    <row r="250" spans="1:19" ht="12.5">
      <c r="A250" s="10" t="s">
        <v>21430</v>
      </c>
      <c r="B250" s="5" t="s">
        <v>12852</v>
      </c>
      <c r="C250" s="5">
        <v>573002045156</v>
      </c>
      <c r="D250" s="5" t="s">
        <v>12855</v>
      </c>
      <c r="E250" s="5" t="s">
        <v>12854</v>
      </c>
      <c r="F250" s="5" t="s">
        <v>265</v>
      </c>
      <c r="G250" s="5" t="s">
        <v>12853</v>
      </c>
      <c r="H250" s="10" t="s">
        <v>21431</v>
      </c>
      <c r="I250" s="5" t="s">
        <v>20750</v>
      </c>
      <c r="K250" s="23">
        <v>46088.68041666667</v>
      </c>
      <c r="L250" s="5" t="s">
        <v>20652</v>
      </c>
      <c r="M250" s="10" t="s">
        <v>21432</v>
      </c>
      <c r="N250" s="10" t="s">
        <v>20938</v>
      </c>
      <c r="P250" s="5" t="s">
        <v>14691</v>
      </c>
      <c r="R250" s="9">
        <v>46087.662280092591</v>
      </c>
      <c r="S250" s="9">
        <v>46087.662280092591</v>
      </c>
    </row>
    <row r="251" spans="1:19" ht="12.5">
      <c r="A251" s="10" t="s">
        <v>21433</v>
      </c>
      <c r="B251" s="5" t="s">
        <v>12826</v>
      </c>
      <c r="C251" s="5">
        <v>573192220437</v>
      </c>
      <c r="D251" s="5" t="s">
        <v>12406</v>
      </c>
      <c r="E251" s="5" t="s">
        <v>12828</v>
      </c>
      <c r="F251" s="5" t="s">
        <v>12827</v>
      </c>
      <c r="G251" s="5" t="s">
        <v>1323</v>
      </c>
      <c r="H251" s="10" t="s">
        <v>21434</v>
      </c>
      <c r="K251" s="23">
        <v>46088.793958333335</v>
      </c>
      <c r="L251" s="5" t="s">
        <v>6139</v>
      </c>
      <c r="M251" s="10" t="s">
        <v>20974</v>
      </c>
      <c r="N251" s="10" t="s">
        <v>21013</v>
      </c>
      <c r="P251" s="5" t="s">
        <v>14598</v>
      </c>
      <c r="R251" s="9">
        <v>46087.662314814814</v>
      </c>
      <c r="S251" s="9">
        <v>46087.662314814814</v>
      </c>
    </row>
    <row r="252" spans="1:19" ht="12.5">
      <c r="A252" s="10" t="s">
        <v>21435</v>
      </c>
      <c r="B252" s="5" t="s">
        <v>12867</v>
      </c>
      <c r="C252" s="5">
        <v>573173317836</v>
      </c>
      <c r="D252" s="5" t="s">
        <v>12651</v>
      </c>
      <c r="E252" s="5" t="s">
        <v>12869</v>
      </c>
      <c r="F252" s="5" t="s">
        <v>5574</v>
      </c>
      <c r="G252" s="5" t="s">
        <v>12868</v>
      </c>
      <c r="H252" s="10" t="s">
        <v>21436</v>
      </c>
      <c r="K252" s="23">
        <v>46087.614178240743</v>
      </c>
      <c r="L252" s="5" t="s">
        <v>6139</v>
      </c>
      <c r="M252" s="10" t="s">
        <v>21437</v>
      </c>
      <c r="N252" s="10" t="s">
        <v>21438</v>
      </c>
      <c r="P252" s="5" t="s">
        <v>14593</v>
      </c>
      <c r="R252" s="9">
        <v>46087.662361111114</v>
      </c>
      <c r="S252" s="9">
        <v>46087.662361111114</v>
      </c>
    </row>
    <row r="253" spans="1:19" ht="12.5">
      <c r="A253" s="10" t="s">
        <v>21439</v>
      </c>
      <c r="B253" s="5" t="s">
        <v>1156</v>
      </c>
      <c r="C253" s="5">
        <v>573116881567</v>
      </c>
      <c r="D253" s="5" t="s">
        <v>42</v>
      </c>
      <c r="E253" s="5" t="s">
        <v>12872</v>
      </c>
      <c r="F253" s="5" t="s">
        <v>161</v>
      </c>
      <c r="G253" s="5" t="s">
        <v>1156</v>
      </c>
      <c r="H253" s="10" t="s">
        <v>18482</v>
      </c>
      <c r="K253" s="23">
        <v>46088.369745370372</v>
      </c>
      <c r="L253" s="5" t="s">
        <v>6139</v>
      </c>
      <c r="M253" s="10" t="s">
        <v>21440</v>
      </c>
      <c r="N253" s="10" t="s">
        <v>21441</v>
      </c>
      <c r="P253" s="5" t="s">
        <v>14593</v>
      </c>
      <c r="R253" s="9">
        <v>46087.662418981483</v>
      </c>
      <c r="S253" s="9">
        <v>46087.662418981483</v>
      </c>
    </row>
    <row r="254" spans="1:19" ht="12.5">
      <c r="A254" s="10" t="s">
        <v>21442</v>
      </c>
      <c r="B254" s="5" t="s">
        <v>12863</v>
      </c>
      <c r="C254" s="5">
        <v>573157214282</v>
      </c>
      <c r="D254" s="5" t="s">
        <v>12793</v>
      </c>
      <c r="E254" s="5" t="s">
        <v>12864</v>
      </c>
      <c r="F254" s="5" t="s">
        <v>4558</v>
      </c>
      <c r="G254" s="5" t="s">
        <v>4557</v>
      </c>
      <c r="H254" s="10" t="s">
        <v>21443</v>
      </c>
      <c r="K254" s="23">
        <v>46087.664224537039</v>
      </c>
      <c r="L254" s="5" t="s">
        <v>6139</v>
      </c>
      <c r="M254" s="10" t="s">
        <v>21444</v>
      </c>
      <c r="N254" s="10" t="s">
        <v>21445</v>
      </c>
      <c r="P254" s="5" t="s">
        <v>14593</v>
      </c>
      <c r="R254" s="9">
        <v>46087.662453703706</v>
      </c>
      <c r="S254" s="9">
        <v>46087.662453703706</v>
      </c>
    </row>
    <row r="255" spans="1:19" ht="12.5">
      <c r="A255" s="10" t="s">
        <v>21446</v>
      </c>
      <c r="B255" s="5" t="s">
        <v>12847</v>
      </c>
      <c r="C255" s="5">
        <v>573017246593</v>
      </c>
      <c r="D255" s="5" t="s">
        <v>12496</v>
      </c>
      <c r="E255" s="5" t="s">
        <v>12849</v>
      </c>
      <c r="F255" s="5" t="s">
        <v>249</v>
      </c>
      <c r="G255" s="5" t="s">
        <v>12848</v>
      </c>
      <c r="H255" s="10" t="s">
        <v>21447</v>
      </c>
      <c r="K255" s="23">
        <v>46087.613206018519</v>
      </c>
      <c r="L255" s="5" t="s">
        <v>6139</v>
      </c>
      <c r="M255" s="10" t="s">
        <v>21448</v>
      </c>
      <c r="N255" s="10" t="s">
        <v>21438</v>
      </c>
      <c r="P255" s="5" t="s">
        <v>14593</v>
      </c>
      <c r="R255" s="9">
        <v>46087.662488425929</v>
      </c>
      <c r="S255" s="9">
        <v>46087.662488425929</v>
      </c>
    </row>
    <row r="256" spans="1:19" ht="12.5">
      <c r="A256" s="10" t="s">
        <v>21449</v>
      </c>
      <c r="B256" s="5" t="s">
        <v>5007</v>
      </c>
      <c r="C256" s="5">
        <v>573229447327</v>
      </c>
      <c r="D256" s="5" t="s">
        <v>42</v>
      </c>
      <c r="E256" s="5" t="s">
        <v>12657</v>
      </c>
      <c r="F256" s="5" t="s">
        <v>12657</v>
      </c>
      <c r="G256" s="5" t="s">
        <v>5007</v>
      </c>
      <c r="H256" s="10" t="s">
        <v>21450</v>
      </c>
      <c r="K256" s="23">
        <v>46088.369699074072</v>
      </c>
      <c r="L256" s="5" t="s">
        <v>6139</v>
      </c>
      <c r="M256" s="10" t="s">
        <v>21451</v>
      </c>
      <c r="N256" s="10" t="s">
        <v>21281</v>
      </c>
      <c r="R256" s="9">
        <v>46087.662523148145</v>
      </c>
      <c r="S256" s="9">
        <v>46087.662523148145</v>
      </c>
    </row>
    <row r="257" spans="1:19" ht="12.5">
      <c r="A257" s="10" t="s">
        <v>21452</v>
      </c>
      <c r="B257" s="5" t="s">
        <v>12858</v>
      </c>
      <c r="C257" s="5">
        <v>573014499819</v>
      </c>
      <c r="D257" s="5" t="s">
        <v>322</v>
      </c>
      <c r="E257" s="5" t="s">
        <v>12860</v>
      </c>
      <c r="F257" s="5" t="s">
        <v>1921</v>
      </c>
      <c r="G257" s="5" t="s">
        <v>21453</v>
      </c>
      <c r="H257" s="10" t="s">
        <v>21454</v>
      </c>
      <c r="K257" s="23">
        <v>46088.369652777779</v>
      </c>
      <c r="L257" s="5" t="s">
        <v>6139</v>
      </c>
      <c r="M257" s="10" t="s">
        <v>21455</v>
      </c>
      <c r="N257" s="10" t="s">
        <v>21438</v>
      </c>
      <c r="P257" s="5" t="s">
        <v>14580</v>
      </c>
      <c r="R257" s="9">
        <v>46087.662557870368</v>
      </c>
      <c r="S257" s="9">
        <v>46087.662557870368</v>
      </c>
    </row>
    <row r="258" spans="1:19" ht="12.5">
      <c r="A258" s="10" t="s">
        <v>21456</v>
      </c>
      <c r="B258" s="5" t="s">
        <v>4906</v>
      </c>
      <c r="C258" s="5">
        <v>573183607759</v>
      </c>
      <c r="D258" s="5" t="s">
        <v>42</v>
      </c>
      <c r="E258" s="5" t="s">
        <v>12657</v>
      </c>
      <c r="F258" s="5" t="s">
        <v>12657</v>
      </c>
      <c r="G258" s="5" t="s">
        <v>4906</v>
      </c>
      <c r="H258" s="10" t="s">
        <v>14701</v>
      </c>
      <c r="K258" s="23">
        <v>46087.664178240739</v>
      </c>
      <c r="L258" s="5" t="s">
        <v>6139</v>
      </c>
      <c r="M258" s="10" t="s">
        <v>21457</v>
      </c>
      <c r="N258" s="10" t="s">
        <v>21281</v>
      </c>
      <c r="R258" s="9">
        <v>46087.662592592591</v>
      </c>
      <c r="S258" s="9">
        <v>46087.662592592591</v>
      </c>
    </row>
    <row r="259" spans="1:19" ht="12.5">
      <c r="A259" s="10" t="s">
        <v>21458</v>
      </c>
      <c r="B259" s="5" t="s">
        <v>12831</v>
      </c>
      <c r="C259" s="5">
        <v>573103232252</v>
      </c>
      <c r="D259" s="5" t="s">
        <v>12834</v>
      </c>
      <c r="E259" s="5" t="s">
        <v>12833</v>
      </c>
      <c r="F259" s="5" t="s">
        <v>185</v>
      </c>
      <c r="G259" s="5" t="s">
        <v>1969</v>
      </c>
      <c r="H259" s="10" t="s">
        <v>19589</v>
      </c>
      <c r="K259" s="23">
        <v>46088.441250000003</v>
      </c>
      <c r="L259" s="5" t="s">
        <v>6139</v>
      </c>
      <c r="M259" s="10" t="s">
        <v>21459</v>
      </c>
      <c r="N259" s="10" t="s">
        <v>20938</v>
      </c>
      <c r="P259" s="5" t="s">
        <v>14580</v>
      </c>
      <c r="R259" s="9">
        <v>46087.662685185183</v>
      </c>
      <c r="S259" s="9">
        <v>46087.662685185183</v>
      </c>
    </row>
    <row r="260" spans="1:19" ht="12.5">
      <c r="A260" s="10" t="s">
        <v>21460</v>
      </c>
      <c r="B260" s="5" t="s">
        <v>12836</v>
      </c>
      <c r="C260" s="5">
        <v>573006169903</v>
      </c>
      <c r="D260" s="5" t="s">
        <v>458</v>
      </c>
      <c r="E260" s="5" t="s">
        <v>12838</v>
      </c>
      <c r="F260" s="5" t="s">
        <v>73</v>
      </c>
      <c r="G260" s="5" t="s">
        <v>12837</v>
      </c>
      <c r="H260" s="10" t="s">
        <v>21461</v>
      </c>
      <c r="K260" s="23">
        <v>46087.613125000003</v>
      </c>
      <c r="L260" s="5" t="s">
        <v>6139</v>
      </c>
      <c r="M260" s="10" t="s">
        <v>21462</v>
      </c>
      <c r="N260" s="10" t="s">
        <v>21463</v>
      </c>
      <c r="P260" s="5" t="s">
        <v>14593</v>
      </c>
      <c r="R260" s="9">
        <v>46087.662708333337</v>
      </c>
      <c r="S260" s="9">
        <v>46087.662708333337</v>
      </c>
    </row>
    <row r="261" spans="1:19" ht="12.5">
      <c r="A261" s="10" t="s">
        <v>21464</v>
      </c>
      <c r="B261" s="5" t="s">
        <v>12822</v>
      </c>
      <c r="C261" s="5">
        <v>573188044510</v>
      </c>
      <c r="D261" s="5" t="s">
        <v>42</v>
      </c>
      <c r="E261" s="5" t="s">
        <v>12824</v>
      </c>
      <c r="F261" s="5" t="s">
        <v>154</v>
      </c>
      <c r="G261" s="5" t="s">
        <v>12823</v>
      </c>
      <c r="H261" s="10" t="s">
        <v>21465</v>
      </c>
      <c r="K261" s="23">
        <v>46088.369618055556</v>
      </c>
      <c r="L261" s="5" t="s">
        <v>6139</v>
      </c>
      <c r="M261" s="10" t="s">
        <v>21466</v>
      </c>
      <c r="N261" s="10" t="s">
        <v>21438</v>
      </c>
      <c r="P261" s="5" t="s">
        <v>14593</v>
      </c>
      <c r="R261" s="9">
        <v>46087.663043981483</v>
      </c>
      <c r="S261" s="9">
        <v>46087.663043981483</v>
      </c>
    </row>
    <row r="262" spans="1:19" ht="12.5">
      <c r="A262" s="10" t="s">
        <v>21467</v>
      </c>
      <c r="B262" s="5" t="s">
        <v>5734</v>
      </c>
      <c r="C262" s="5">
        <v>573153543653</v>
      </c>
      <c r="D262" s="5" t="s">
        <v>42</v>
      </c>
      <c r="E262" s="5" t="s">
        <v>12657</v>
      </c>
      <c r="F262" s="5" t="s">
        <v>12657</v>
      </c>
      <c r="G262" s="5" t="s">
        <v>5734</v>
      </c>
      <c r="H262" s="10" t="s">
        <v>19745</v>
      </c>
      <c r="K262" s="23">
        <v>46087.663449074076</v>
      </c>
      <c r="L262" s="5" t="s">
        <v>6139</v>
      </c>
      <c r="M262" s="10" t="s">
        <v>21468</v>
      </c>
      <c r="N262" s="10" t="s">
        <v>21469</v>
      </c>
      <c r="R262" s="9">
        <v>46087.66306712963</v>
      </c>
      <c r="S262" s="9">
        <v>46087.66306712963</v>
      </c>
    </row>
    <row r="263" spans="1:19" ht="12.5">
      <c r="A263" s="10" t="s">
        <v>21470</v>
      </c>
      <c r="B263" s="5" t="s">
        <v>2894</v>
      </c>
      <c r="C263" s="5">
        <v>573007729657</v>
      </c>
      <c r="D263" s="5" t="s">
        <v>12793</v>
      </c>
      <c r="E263" s="5" t="s">
        <v>12792</v>
      </c>
      <c r="F263" s="5" t="s">
        <v>185</v>
      </c>
      <c r="G263" s="5" t="s">
        <v>12791</v>
      </c>
      <c r="H263" s="10" t="s">
        <v>21471</v>
      </c>
      <c r="K263" s="23">
        <v>46088.36954861111</v>
      </c>
      <c r="L263" s="5" t="s">
        <v>6139</v>
      </c>
      <c r="M263" s="10" t="s">
        <v>21472</v>
      </c>
      <c r="N263" s="10" t="s">
        <v>21463</v>
      </c>
      <c r="P263" s="5" t="s">
        <v>14580</v>
      </c>
      <c r="R263" s="9">
        <v>46087.663124999999</v>
      </c>
      <c r="S263" s="9">
        <v>46087.663124999999</v>
      </c>
    </row>
    <row r="264" spans="1:19" ht="12.5">
      <c r="A264" s="10" t="s">
        <v>21473</v>
      </c>
      <c r="B264" s="5" t="s">
        <v>12811</v>
      </c>
      <c r="C264" s="5">
        <v>573202773972</v>
      </c>
      <c r="D264" s="5" t="s">
        <v>12814</v>
      </c>
      <c r="E264" s="5" t="s">
        <v>12813</v>
      </c>
      <c r="F264" s="5" t="s">
        <v>154</v>
      </c>
      <c r="G264" s="5" t="s">
        <v>12812</v>
      </c>
      <c r="H264" s="10" t="s">
        <v>21474</v>
      </c>
      <c r="K264" s="23">
        <v>46087.662708333337</v>
      </c>
      <c r="L264" s="5" t="s">
        <v>6139</v>
      </c>
      <c r="M264" s="10" t="s">
        <v>21475</v>
      </c>
      <c r="N264" s="10" t="s">
        <v>21476</v>
      </c>
      <c r="P264" s="5" t="s">
        <v>14593</v>
      </c>
      <c r="R264" s="9">
        <v>46087.663171296299</v>
      </c>
      <c r="S264" s="9">
        <v>46087.663171296299</v>
      </c>
    </row>
    <row r="265" spans="1:19" ht="12.5">
      <c r="A265" s="10" t="s">
        <v>21477</v>
      </c>
      <c r="B265" s="5" t="s">
        <v>12820</v>
      </c>
      <c r="C265" s="5">
        <v>573003794304</v>
      </c>
      <c r="D265" s="5" t="s">
        <v>42</v>
      </c>
      <c r="E265" s="5" t="s">
        <v>12657</v>
      </c>
      <c r="F265" s="5" t="s">
        <v>12657</v>
      </c>
      <c r="G265" s="5" t="s">
        <v>12820</v>
      </c>
      <c r="H265" s="10" t="s">
        <v>21478</v>
      </c>
      <c r="K265" s="23">
        <v>46087.663391203707</v>
      </c>
      <c r="L265" s="5" t="s">
        <v>6139</v>
      </c>
      <c r="M265" s="10" t="s">
        <v>21479</v>
      </c>
      <c r="N265" s="10" t="s">
        <v>21480</v>
      </c>
      <c r="R265" s="9">
        <v>46087.663217592592</v>
      </c>
      <c r="S265" s="9">
        <v>46087.663217592592</v>
      </c>
    </row>
    <row r="266" spans="1:19" ht="12.5">
      <c r="A266" s="10" t="s">
        <v>21481</v>
      </c>
      <c r="B266" s="5" t="s">
        <v>12800</v>
      </c>
      <c r="C266" s="5">
        <v>5731165334</v>
      </c>
      <c r="D266" s="5" t="s">
        <v>12522</v>
      </c>
      <c r="E266" s="5" t="s">
        <v>12802</v>
      </c>
      <c r="F266" s="5" t="s">
        <v>307</v>
      </c>
      <c r="G266" s="5" t="s">
        <v>19569</v>
      </c>
      <c r="H266" s="10" t="s">
        <v>21482</v>
      </c>
      <c r="K266" s="23">
        <v>46088.735173611109</v>
      </c>
      <c r="L266" s="5" t="s">
        <v>6139</v>
      </c>
      <c r="M266" s="10" t="s">
        <v>21483</v>
      </c>
      <c r="N266" s="10" t="s">
        <v>21266</v>
      </c>
      <c r="P266" s="5" t="s">
        <v>14618</v>
      </c>
      <c r="R266" s="9">
        <v>46087.663298611114</v>
      </c>
      <c r="S266" s="9">
        <v>46087.663298611114</v>
      </c>
    </row>
    <row r="267" spans="1:19" ht="12.5">
      <c r="A267" s="10" t="s">
        <v>21484</v>
      </c>
      <c r="B267" s="5" t="s">
        <v>12808</v>
      </c>
      <c r="C267" s="5">
        <v>573206407364</v>
      </c>
      <c r="D267" s="5" t="s">
        <v>42</v>
      </c>
      <c r="E267" s="5" t="s">
        <v>19565</v>
      </c>
      <c r="G267" s="5" t="s">
        <v>12809</v>
      </c>
      <c r="K267" s="23">
        <v>46087.664143518516</v>
      </c>
      <c r="L267" s="5" t="s">
        <v>6139</v>
      </c>
      <c r="M267" s="10" t="s">
        <v>21485</v>
      </c>
      <c r="N267" s="10" t="s">
        <v>21445</v>
      </c>
      <c r="R267" s="9">
        <v>46087.663344907407</v>
      </c>
      <c r="S267" s="9">
        <v>46087.663344907407</v>
      </c>
    </row>
    <row r="268" spans="1:19" ht="12.5">
      <c r="A268" s="10" t="s">
        <v>21486</v>
      </c>
      <c r="B268" s="5" t="s">
        <v>12805</v>
      </c>
      <c r="C268" s="5">
        <v>573013512007</v>
      </c>
      <c r="D268" s="5" t="s">
        <v>42</v>
      </c>
      <c r="E268" s="5" t="s">
        <v>12806</v>
      </c>
      <c r="F268" s="5" t="s">
        <v>1317</v>
      </c>
      <c r="G268" s="5" t="s">
        <v>12805</v>
      </c>
      <c r="H268" s="10" t="s">
        <v>19562</v>
      </c>
      <c r="K268" s="23">
        <v>46087.663344907407</v>
      </c>
      <c r="L268" s="5" t="s">
        <v>6139</v>
      </c>
      <c r="M268" s="10" t="s">
        <v>21487</v>
      </c>
      <c r="N268" s="10" t="s">
        <v>21480</v>
      </c>
      <c r="P268" s="5" t="s">
        <v>15349</v>
      </c>
      <c r="R268" s="9">
        <v>46087.663391203707</v>
      </c>
      <c r="S268" s="9">
        <v>46087.663391203707</v>
      </c>
    </row>
    <row r="269" spans="1:19" ht="12.5">
      <c r="A269" s="10" t="s">
        <v>21488</v>
      </c>
      <c r="B269" s="5" t="s">
        <v>12787</v>
      </c>
      <c r="C269" s="5">
        <v>573012563710</v>
      </c>
      <c r="D269" s="5" t="s">
        <v>918</v>
      </c>
      <c r="E269" s="5" t="s">
        <v>12789</v>
      </c>
      <c r="F269" s="5" t="s">
        <v>563</v>
      </c>
      <c r="G269" s="5" t="s">
        <v>12788</v>
      </c>
      <c r="H269" s="10" t="s">
        <v>21489</v>
      </c>
      <c r="K269" s="23">
        <v>46087.662685185183</v>
      </c>
      <c r="L269" s="5" t="s">
        <v>6139</v>
      </c>
      <c r="M269" s="10" t="s">
        <v>21490</v>
      </c>
      <c r="N269" s="10" t="s">
        <v>21491</v>
      </c>
      <c r="P269" s="5" t="s">
        <v>14775</v>
      </c>
      <c r="R269" s="9">
        <v>46087.663449074076</v>
      </c>
      <c r="S269" s="9">
        <v>46087.663449074076</v>
      </c>
    </row>
    <row r="270" spans="1:19" ht="12.5">
      <c r="A270" s="10" t="s">
        <v>21492</v>
      </c>
      <c r="B270" s="5" t="s">
        <v>12796</v>
      </c>
      <c r="C270" s="5">
        <v>573153995975</v>
      </c>
      <c r="D270" s="5" t="s">
        <v>375</v>
      </c>
      <c r="E270" s="5" t="s">
        <v>12798</v>
      </c>
      <c r="F270" s="5" t="s">
        <v>73</v>
      </c>
      <c r="G270" s="5" t="s">
        <v>21493</v>
      </c>
      <c r="H270" s="10" t="s">
        <v>21494</v>
      </c>
      <c r="K270" s="23">
        <v>46087.662592592591</v>
      </c>
      <c r="L270" s="5" t="s">
        <v>6139</v>
      </c>
      <c r="M270" s="10" t="s">
        <v>21495</v>
      </c>
      <c r="N270" s="10" t="s">
        <v>21491</v>
      </c>
      <c r="P270" s="5" t="s">
        <v>14593</v>
      </c>
      <c r="R270" s="9">
        <v>46087.664479166669</v>
      </c>
      <c r="S270" s="9">
        <v>46087.664479166669</v>
      </c>
    </row>
    <row r="271" spans="1:19" ht="12.5">
      <c r="A271" s="10" t="s">
        <v>21496</v>
      </c>
      <c r="B271" s="5" t="s">
        <v>12783</v>
      </c>
      <c r="C271" s="5">
        <v>573125657807</v>
      </c>
      <c r="D271" s="5" t="s">
        <v>12522</v>
      </c>
      <c r="E271" s="5" t="s">
        <v>12657</v>
      </c>
      <c r="F271" s="5" t="s">
        <v>12657</v>
      </c>
      <c r="G271" s="5" t="s">
        <v>12783</v>
      </c>
      <c r="H271" s="10" t="s">
        <v>21497</v>
      </c>
      <c r="K271" s="23">
        <v>46088.369513888887</v>
      </c>
      <c r="L271" s="5" t="s">
        <v>6139</v>
      </c>
      <c r="M271" s="10" t="s">
        <v>21498</v>
      </c>
      <c r="N271" s="10" t="s">
        <v>21445</v>
      </c>
      <c r="R271" s="9">
        <v>46087.664050925923</v>
      </c>
      <c r="S271" s="9">
        <v>46087.664050925923</v>
      </c>
    </row>
    <row r="272" spans="1:19" ht="12.5">
      <c r="A272" s="10" t="s">
        <v>21499</v>
      </c>
      <c r="B272" s="5" t="s">
        <v>12778</v>
      </c>
      <c r="C272" s="5">
        <v>573205174458</v>
      </c>
      <c r="D272" s="5" t="s">
        <v>12423</v>
      </c>
      <c r="E272" s="5" t="s">
        <v>12779</v>
      </c>
      <c r="F272" s="5" t="s">
        <v>249</v>
      </c>
      <c r="G272" s="5" t="s">
        <v>12778</v>
      </c>
      <c r="H272" s="10" t="s">
        <v>19553</v>
      </c>
      <c r="K272" s="23">
        <v>46088.780358796299</v>
      </c>
      <c r="L272" s="5" t="s">
        <v>6139</v>
      </c>
      <c r="M272" s="10" t="s">
        <v>21500</v>
      </c>
      <c r="N272" s="10" t="s">
        <v>20975</v>
      </c>
      <c r="P272" s="5" t="s">
        <v>14593</v>
      </c>
      <c r="R272" s="9">
        <v>46087.664097222223</v>
      </c>
      <c r="S272" s="9">
        <v>46087.664097222223</v>
      </c>
    </row>
    <row r="273" spans="1:19" ht="12.5">
      <c r="A273" s="10" t="s">
        <v>21501</v>
      </c>
      <c r="B273" s="5" t="s">
        <v>12774</v>
      </c>
      <c r="C273" s="5">
        <v>573209535750</v>
      </c>
      <c r="D273" s="5" t="s">
        <v>12423</v>
      </c>
      <c r="E273" s="5" t="s">
        <v>12775</v>
      </c>
      <c r="F273" s="5" t="s">
        <v>168</v>
      </c>
      <c r="G273" s="5" t="s">
        <v>270</v>
      </c>
      <c r="H273" s="10" t="s">
        <v>19547</v>
      </c>
      <c r="K273" s="23">
        <v>46088.373657407406</v>
      </c>
      <c r="L273" s="5" t="s">
        <v>6139</v>
      </c>
      <c r="M273" s="10" t="s">
        <v>21502</v>
      </c>
      <c r="N273" s="10" t="s">
        <v>21463</v>
      </c>
      <c r="P273" s="5" t="s">
        <v>14580</v>
      </c>
      <c r="R273" s="9">
        <v>46087.664143518516</v>
      </c>
      <c r="S273" s="9">
        <v>46087.664143518516</v>
      </c>
    </row>
    <row r="274" spans="1:19" ht="12.5">
      <c r="A274" s="10" t="s">
        <v>21503</v>
      </c>
      <c r="B274" s="5" t="s">
        <v>12769</v>
      </c>
      <c r="C274" s="5">
        <v>573104459063</v>
      </c>
      <c r="D274" s="5" t="s">
        <v>12484</v>
      </c>
      <c r="E274" s="5" t="s">
        <v>12771</v>
      </c>
      <c r="F274" s="5" t="s">
        <v>1057</v>
      </c>
      <c r="G274" s="5" t="s">
        <v>19544</v>
      </c>
      <c r="H274" s="10" t="s">
        <v>19543</v>
      </c>
      <c r="K274" s="23">
        <v>46087.662557870368</v>
      </c>
      <c r="L274" s="5" t="s">
        <v>6139</v>
      </c>
      <c r="M274" s="10" t="s">
        <v>21504</v>
      </c>
      <c r="N274" s="10" t="s">
        <v>21505</v>
      </c>
      <c r="P274" s="5" t="s">
        <v>14580</v>
      </c>
      <c r="R274" s="9">
        <v>46087.664178240739</v>
      </c>
      <c r="S274" s="9">
        <v>46087.664178240739</v>
      </c>
    </row>
    <row r="275" spans="1:19" ht="12.5">
      <c r="A275" s="10" t="s">
        <v>21506</v>
      </c>
      <c r="B275" s="5" t="s">
        <v>12758</v>
      </c>
      <c r="C275" s="5">
        <v>573005984919</v>
      </c>
      <c r="D275" s="5" t="s">
        <v>12761</v>
      </c>
      <c r="E275" s="5" t="s">
        <v>12760</v>
      </c>
      <c r="F275" s="5" t="s">
        <v>886</v>
      </c>
      <c r="G275" s="5" t="s">
        <v>21507</v>
      </c>
      <c r="H275" s="10" t="s">
        <v>21508</v>
      </c>
      <c r="K275" s="23">
        <v>46087.662523148145</v>
      </c>
      <c r="L275" s="5" t="s">
        <v>6139</v>
      </c>
      <c r="M275" s="10" t="s">
        <v>21509</v>
      </c>
      <c r="N275" s="10" t="s">
        <v>21505</v>
      </c>
      <c r="P275" s="5" t="s">
        <v>14618</v>
      </c>
      <c r="R275" s="9">
        <v>46087.664224537039</v>
      </c>
      <c r="S275" s="9">
        <v>46087.664224537039</v>
      </c>
    </row>
    <row r="276" spans="1:19" ht="12.5">
      <c r="A276" s="10" t="s">
        <v>21510</v>
      </c>
      <c r="B276" s="5" t="s">
        <v>12765</v>
      </c>
      <c r="C276" s="5">
        <v>573006476723</v>
      </c>
      <c r="D276" s="5" t="s">
        <v>375</v>
      </c>
      <c r="E276" s="10" t="s">
        <v>3330</v>
      </c>
      <c r="F276" s="5" t="s">
        <v>110</v>
      </c>
      <c r="G276" s="5" t="s">
        <v>12766</v>
      </c>
      <c r="H276" s="10" t="s">
        <v>21511</v>
      </c>
      <c r="K276" s="23">
        <v>46087.611932870372</v>
      </c>
      <c r="L276" s="5" t="s">
        <v>6139</v>
      </c>
      <c r="M276" s="10" t="s">
        <v>21512</v>
      </c>
      <c r="N276" s="10" t="s">
        <v>21513</v>
      </c>
      <c r="P276" s="5" t="s">
        <v>14593</v>
      </c>
      <c r="R276" s="9">
        <v>46087.664270833331</v>
      </c>
      <c r="S276" s="9">
        <v>46087.664270833331</v>
      </c>
    </row>
    <row r="277" spans="1:19" ht="12.5">
      <c r="A277" s="10" t="s">
        <v>21514</v>
      </c>
      <c r="B277" s="5" t="s">
        <v>12748</v>
      </c>
      <c r="C277" s="5">
        <v>573147013180</v>
      </c>
      <c r="D277" s="5" t="s">
        <v>12437</v>
      </c>
      <c r="E277" s="5" t="s">
        <v>12750</v>
      </c>
      <c r="F277" s="5" t="s">
        <v>3874</v>
      </c>
      <c r="G277" s="5" t="s">
        <v>12749</v>
      </c>
      <c r="H277" s="10" t="s">
        <v>21515</v>
      </c>
      <c r="K277" s="23">
        <v>46088.610381944447</v>
      </c>
      <c r="L277" s="5" t="s">
        <v>6139</v>
      </c>
      <c r="M277" s="10" t="s">
        <v>21516</v>
      </c>
      <c r="N277" s="10" t="s">
        <v>20938</v>
      </c>
      <c r="P277" s="5" t="s">
        <v>14580</v>
      </c>
      <c r="R277" s="9">
        <v>46087.6643287037</v>
      </c>
      <c r="S277" s="9">
        <v>46087.6643287037</v>
      </c>
    </row>
    <row r="278" spans="1:19" ht="12.5">
      <c r="A278" s="10" t="s">
        <v>21517</v>
      </c>
      <c r="B278" s="5" t="s">
        <v>9739</v>
      </c>
      <c r="C278" s="5">
        <v>573013529652</v>
      </c>
      <c r="D278" s="5" t="s">
        <v>19534</v>
      </c>
      <c r="E278" s="5" t="s">
        <v>12657</v>
      </c>
      <c r="F278" s="5" t="s">
        <v>12657</v>
      </c>
      <c r="G278" s="5" t="s">
        <v>9739</v>
      </c>
      <c r="H278" s="10" t="s">
        <v>17437</v>
      </c>
      <c r="K278" s="23">
        <v>46087.662488425929</v>
      </c>
      <c r="L278" s="5" t="s">
        <v>6139</v>
      </c>
      <c r="M278" s="10" t="s">
        <v>21518</v>
      </c>
      <c r="N278" s="10" t="s">
        <v>21480</v>
      </c>
      <c r="R278" s="9">
        <v>46087.664363425924</v>
      </c>
      <c r="S278" s="9">
        <v>46087.664363425924</v>
      </c>
    </row>
    <row r="279" spans="1:19" ht="12.5">
      <c r="A279" s="10" t="s">
        <v>21519</v>
      </c>
      <c r="B279" s="5" t="s">
        <v>12734</v>
      </c>
      <c r="C279" s="5">
        <v>573052476428</v>
      </c>
      <c r="D279" s="5" t="s">
        <v>649</v>
      </c>
      <c r="E279" s="5" t="s">
        <v>12736</v>
      </c>
      <c r="F279" s="5" t="s">
        <v>63</v>
      </c>
      <c r="G279" s="5" t="s">
        <v>12735</v>
      </c>
      <c r="H279" s="10" t="s">
        <v>21520</v>
      </c>
      <c r="K279" s="23">
        <v>46087.662453703706</v>
      </c>
      <c r="L279" s="5" t="s">
        <v>6139</v>
      </c>
      <c r="M279" s="10" t="s">
        <v>21521</v>
      </c>
      <c r="N279" s="10" t="s">
        <v>21522</v>
      </c>
      <c r="P279" s="5" t="s">
        <v>14598</v>
      </c>
      <c r="R279" s="9">
        <v>46087.664421296293</v>
      </c>
      <c r="S279" s="9">
        <v>46087.664421296293</v>
      </c>
    </row>
    <row r="280" spans="1:19" ht="12.5">
      <c r="A280" s="10" t="s">
        <v>21523</v>
      </c>
      <c r="B280" s="5" t="s">
        <v>12123</v>
      </c>
      <c r="C280" s="5">
        <v>573175494728</v>
      </c>
      <c r="D280" s="5" t="s">
        <v>1085</v>
      </c>
      <c r="E280" s="5" t="s">
        <v>12657</v>
      </c>
      <c r="F280" s="5" t="s">
        <v>12657</v>
      </c>
      <c r="G280" s="5" t="s">
        <v>12745</v>
      </c>
      <c r="H280" s="10" t="s">
        <v>21524</v>
      </c>
      <c r="K280" s="23">
        <v>46088.369467592594</v>
      </c>
      <c r="L280" s="5" t="s">
        <v>6139</v>
      </c>
      <c r="M280" s="10" t="s">
        <v>21525</v>
      </c>
      <c r="N280" s="10" t="s">
        <v>21463</v>
      </c>
      <c r="R280" s="9">
        <v>46087.664618055554</v>
      </c>
      <c r="S280" s="9">
        <v>46087.664618055554</v>
      </c>
    </row>
    <row r="281" spans="1:19" ht="12.5">
      <c r="A281" s="10" t="s">
        <v>21526</v>
      </c>
      <c r="B281" s="5" t="s">
        <v>3524</v>
      </c>
      <c r="C281" s="5">
        <v>573103603142</v>
      </c>
      <c r="D281" s="5" t="s">
        <v>12744</v>
      </c>
      <c r="E281" s="5" t="s">
        <v>12657</v>
      </c>
      <c r="F281" s="5" t="s">
        <v>12657</v>
      </c>
      <c r="G281" s="5" t="s">
        <v>3524</v>
      </c>
      <c r="H281" s="10" t="s">
        <v>17603</v>
      </c>
      <c r="K281" s="23">
        <v>46089.451990740738</v>
      </c>
      <c r="L281" s="5" t="s">
        <v>6139</v>
      </c>
      <c r="M281" s="10" t="s">
        <v>21527</v>
      </c>
      <c r="N281" s="10" t="s">
        <v>20681</v>
      </c>
      <c r="R281" s="9">
        <v>46087.693831018521</v>
      </c>
      <c r="S281" s="9">
        <v>46087.693831018521</v>
      </c>
    </row>
    <row r="282" spans="1:19" ht="12.5">
      <c r="A282" s="10" t="s">
        <v>21528</v>
      </c>
      <c r="B282" s="5" t="s">
        <v>12740</v>
      </c>
      <c r="C282" s="5">
        <v>573112119748</v>
      </c>
      <c r="D282" s="5" t="s">
        <v>361</v>
      </c>
      <c r="E282" s="5" t="s">
        <v>12742</v>
      </c>
      <c r="F282" s="5" t="s">
        <v>110</v>
      </c>
      <c r="G282" s="5" t="s">
        <v>19526</v>
      </c>
      <c r="H282" s="10" t="s">
        <v>19525</v>
      </c>
      <c r="K282" s="23">
        <v>46086.633425925924</v>
      </c>
      <c r="L282" s="5" t="s">
        <v>6139</v>
      </c>
      <c r="M282" s="10" t="s">
        <v>21529</v>
      </c>
      <c r="N282" s="10" t="s">
        <v>21505</v>
      </c>
      <c r="P282" s="5" t="s">
        <v>14593</v>
      </c>
      <c r="R282" s="9">
        <v>46087.664803240739</v>
      </c>
      <c r="S282" s="9">
        <v>46087.664803240739</v>
      </c>
    </row>
    <row r="283" spans="1:19" ht="12.5">
      <c r="A283" s="10" t="s">
        <v>21530</v>
      </c>
      <c r="B283" s="5" t="s">
        <v>12721</v>
      </c>
      <c r="C283" s="5">
        <v>573104411771</v>
      </c>
      <c r="D283" s="5" t="s">
        <v>12724</v>
      </c>
      <c r="E283" s="5" t="s">
        <v>12723</v>
      </c>
      <c r="F283" s="5" t="s">
        <v>5574</v>
      </c>
      <c r="G283" s="5" t="s">
        <v>21531</v>
      </c>
      <c r="H283" s="10" t="s">
        <v>21532</v>
      </c>
      <c r="I283" s="5" t="s">
        <v>20688</v>
      </c>
      <c r="K283" s="23">
        <v>46088.662569444445</v>
      </c>
      <c r="L283" s="5" t="s">
        <v>17416</v>
      </c>
      <c r="M283" s="10" t="s">
        <v>21533</v>
      </c>
      <c r="N283" s="10" t="s">
        <v>20938</v>
      </c>
      <c r="P283" s="5" t="s">
        <v>14593</v>
      </c>
      <c r="R283" s="9">
        <v>46087.664942129632</v>
      </c>
      <c r="S283" s="9">
        <v>46087.664942129632</v>
      </c>
    </row>
    <row r="284" spans="1:19" ht="12.5">
      <c r="A284" s="10" t="s">
        <v>21534</v>
      </c>
      <c r="B284" s="5" t="s">
        <v>12731</v>
      </c>
      <c r="C284" s="5">
        <v>573156540065</v>
      </c>
      <c r="D284" s="5" t="s">
        <v>12423</v>
      </c>
      <c r="E284" s="5" t="s">
        <v>12732</v>
      </c>
      <c r="F284" s="5" t="s">
        <v>185</v>
      </c>
      <c r="G284" s="5" t="s">
        <v>10564</v>
      </c>
      <c r="H284" s="10" t="s">
        <v>18374</v>
      </c>
      <c r="K284" s="23">
        <v>46087.612002314818</v>
      </c>
      <c r="L284" s="5" t="s">
        <v>6139</v>
      </c>
      <c r="M284" s="10" t="s">
        <v>21535</v>
      </c>
      <c r="N284" s="10" t="s">
        <v>21536</v>
      </c>
      <c r="P284" s="5" t="s">
        <v>14580</v>
      </c>
      <c r="R284" s="9">
        <v>46087.66915509259</v>
      </c>
      <c r="S284" s="9">
        <v>46087.66915509259</v>
      </c>
    </row>
    <row r="285" spans="1:19" ht="12.5">
      <c r="A285" s="10" t="s">
        <v>21537</v>
      </c>
      <c r="B285" s="5" t="s">
        <v>12727</v>
      </c>
      <c r="C285" s="5">
        <v>573107936885</v>
      </c>
      <c r="D285" s="5" t="s">
        <v>12728</v>
      </c>
      <c r="E285" s="5" t="s">
        <v>12657</v>
      </c>
      <c r="F285" s="5" t="s">
        <v>12657</v>
      </c>
      <c r="G285" s="5" t="s">
        <v>12727</v>
      </c>
      <c r="H285" s="10" t="s">
        <v>21538</v>
      </c>
      <c r="K285" s="23">
        <v>46087.662418981483</v>
      </c>
      <c r="L285" s="5" t="s">
        <v>6139</v>
      </c>
      <c r="M285" s="10" t="s">
        <v>21539</v>
      </c>
      <c r="N285" s="10" t="s">
        <v>21536</v>
      </c>
      <c r="R285" s="9">
        <v>46087.676446759258</v>
      </c>
      <c r="S285" s="9">
        <v>46087.676446759258</v>
      </c>
    </row>
    <row r="286" spans="1:19" ht="12.5">
      <c r="A286" s="10" t="s">
        <v>21540</v>
      </c>
      <c r="B286" s="5" t="s">
        <v>12694</v>
      </c>
      <c r="C286" s="5">
        <v>573004727883</v>
      </c>
      <c r="D286" s="5" t="s">
        <v>576</v>
      </c>
      <c r="E286" s="5" t="s">
        <v>12657</v>
      </c>
      <c r="F286" s="5" t="s">
        <v>12657</v>
      </c>
      <c r="G286" s="5" t="s">
        <v>12694</v>
      </c>
      <c r="H286" s="10" t="s">
        <v>21541</v>
      </c>
      <c r="K286" s="23">
        <v>46087.662361111114</v>
      </c>
      <c r="L286" s="5" t="s">
        <v>6139</v>
      </c>
      <c r="M286" s="10" t="s">
        <v>21542</v>
      </c>
      <c r="N286" s="10" t="s">
        <v>21543</v>
      </c>
      <c r="R286" s="9">
        <v>46087.708449074074</v>
      </c>
      <c r="S286" s="9">
        <v>46087.708449074074</v>
      </c>
    </row>
    <row r="287" spans="1:19" ht="12.5">
      <c r="A287" s="10" t="s">
        <v>21544</v>
      </c>
      <c r="B287" s="5" t="s">
        <v>12718</v>
      </c>
      <c r="C287" s="5">
        <v>573014785425</v>
      </c>
      <c r="D287" s="5" t="s">
        <v>12719</v>
      </c>
      <c r="E287" s="5" t="s">
        <v>12657</v>
      </c>
      <c r="F287" s="5" t="s">
        <v>12657</v>
      </c>
      <c r="G287" s="5" t="s">
        <v>12718</v>
      </c>
      <c r="H287" s="10" t="s">
        <v>19995</v>
      </c>
      <c r="K287" s="23">
        <v>46086.510752314818</v>
      </c>
      <c r="L287" s="5" t="s">
        <v>6139</v>
      </c>
      <c r="M287" s="10" t="s">
        <v>21545</v>
      </c>
      <c r="N287" s="10" t="s">
        <v>21252</v>
      </c>
      <c r="R287" s="9">
        <v>46087.733263888891</v>
      </c>
      <c r="S287" s="9">
        <v>46087.733263888891</v>
      </c>
    </row>
    <row r="288" spans="1:19" ht="12.5">
      <c r="A288" s="10" t="s">
        <v>21546</v>
      </c>
      <c r="B288" s="5" t="s">
        <v>12708</v>
      </c>
      <c r="C288" s="5">
        <v>573054873630</v>
      </c>
      <c r="D288" s="5" t="s">
        <v>375</v>
      </c>
      <c r="E288" s="5" t="s">
        <v>12710</v>
      </c>
      <c r="F288" s="5" t="s">
        <v>7476</v>
      </c>
      <c r="G288" s="5" t="s">
        <v>19512</v>
      </c>
      <c r="H288" s="10" t="s">
        <v>21547</v>
      </c>
      <c r="K288" s="23">
        <v>46087.662314814814</v>
      </c>
      <c r="L288" s="5" t="s">
        <v>6139</v>
      </c>
      <c r="M288" s="10" t="s">
        <v>21548</v>
      </c>
      <c r="N288" s="10" t="s">
        <v>21549</v>
      </c>
      <c r="P288" s="5" t="s">
        <v>15349</v>
      </c>
      <c r="R288" s="9">
        <v>46087.733761574076</v>
      </c>
      <c r="S288" s="9">
        <v>46087.733761574076</v>
      </c>
    </row>
    <row r="289" spans="1:19" ht="12.5">
      <c r="A289" s="10" t="s">
        <v>21550</v>
      </c>
      <c r="B289" s="5" t="s">
        <v>12689</v>
      </c>
      <c r="C289" s="5">
        <v>30753015587628</v>
      </c>
      <c r="D289" s="5" t="s">
        <v>866</v>
      </c>
      <c r="E289" s="5" t="s">
        <v>12691</v>
      </c>
      <c r="F289" s="5" t="s">
        <v>185</v>
      </c>
      <c r="G289" s="5" t="s">
        <v>12690</v>
      </c>
      <c r="H289" s="10" t="s">
        <v>21551</v>
      </c>
      <c r="K289" s="23">
        <v>46087.611817129633</v>
      </c>
      <c r="L289" s="5" t="s">
        <v>6139</v>
      </c>
      <c r="M289" s="10" t="s">
        <v>21552</v>
      </c>
      <c r="N289" s="10" t="s">
        <v>21549</v>
      </c>
      <c r="P289" s="5" t="s">
        <v>14580</v>
      </c>
      <c r="R289" s="9">
        <v>46087.734305555554</v>
      </c>
      <c r="S289" s="9">
        <v>46087.734305555554</v>
      </c>
    </row>
    <row r="290" spans="1:19" ht="12.5">
      <c r="A290" s="10" t="s">
        <v>21553</v>
      </c>
      <c r="B290" s="5" t="s">
        <v>12713</v>
      </c>
      <c r="C290" s="5">
        <v>573023279441</v>
      </c>
      <c r="D290" s="5" t="s">
        <v>42</v>
      </c>
      <c r="E290" s="5" t="s">
        <v>12715</v>
      </c>
      <c r="F290" s="5" t="s">
        <v>185</v>
      </c>
      <c r="G290" s="5" t="s">
        <v>12714</v>
      </c>
      <c r="H290" s="10" t="s">
        <v>21554</v>
      </c>
      <c r="K290" s="23">
        <v>46087.662280092591</v>
      </c>
      <c r="L290" s="5" t="s">
        <v>6139</v>
      </c>
      <c r="M290" s="10" t="s">
        <v>21555</v>
      </c>
      <c r="N290" s="10" t="s">
        <v>21469</v>
      </c>
      <c r="P290" s="5" t="s">
        <v>14580</v>
      </c>
      <c r="R290" s="9">
        <v>46087.753611111111</v>
      </c>
      <c r="S290" s="9">
        <v>46087.753611111111</v>
      </c>
    </row>
    <row r="291" spans="1:19" ht="12.5">
      <c r="A291" s="10" t="s">
        <v>21556</v>
      </c>
      <c r="B291" s="5" t="s">
        <v>12706</v>
      </c>
      <c r="C291" s="5">
        <v>573157014056</v>
      </c>
      <c r="D291" s="5" t="s">
        <v>42</v>
      </c>
      <c r="E291" s="5" t="s">
        <v>12707</v>
      </c>
      <c r="G291" s="5" t="s">
        <v>12706</v>
      </c>
      <c r="K291" s="23">
        <v>46087.662233796298</v>
      </c>
      <c r="L291" s="5" t="s">
        <v>6139</v>
      </c>
      <c r="M291" s="10" t="s">
        <v>21557</v>
      </c>
      <c r="N291" s="10" t="s">
        <v>21469</v>
      </c>
      <c r="R291" s="9">
        <v>46087.753993055558</v>
      </c>
      <c r="S291" s="9">
        <v>46087.753993055558</v>
      </c>
    </row>
    <row r="292" spans="1:19" ht="12.5">
      <c r="A292" s="10" t="s">
        <v>21558</v>
      </c>
      <c r="B292" s="5" t="s">
        <v>12697</v>
      </c>
      <c r="C292" s="5">
        <v>573013955650</v>
      </c>
      <c r="D292" s="5" t="s">
        <v>12701</v>
      </c>
      <c r="E292" s="5" t="s">
        <v>12700</v>
      </c>
      <c r="F292" s="5" t="s">
        <v>12699</v>
      </c>
      <c r="G292" s="5" t="s">
        <v>19502</v>
      </c>
      <c r="H292" s="10" t="s">
        <v>21559</v>
      </c>
      <c r="K292" s="23">
        <v>46087.662187499998</v>
      </c>
      <c r="L292" s="5" t="s">
        <v>6139</v>
      </c>
      <c r="M292" s="10" t="s">
        <v>21560</v>
      </c>
      <c r="N292" s="10" t="s">
        <v>21469</v>
      </c>
      <c r="P292" s="5" t="s">
        <v>14580</v>
      </c>
      <c r="R292" s="9">
        <v>46087.770196759258</v>
      </c>
      <c r="S292" s="9">
        <v>46087.770196759258</v>
      </c>
    </row>
    <row r="293" spans="1:19" ht="12.5">
      <c r="A293" s="10" t="s">
        <v>21561</v>
      </c>
      <c r="B293" s="5" t="s">
        <v>12704</v>
      </c>
      <c r="C293" s="5">
        <v>77273122717727</v>
      </c>
      <c r="D293" s="5" t="s">
        <v>874</v>
      </c>
      <c r="E293" s="5" t="s">
        <v>12705</v>
      </c>
      <c r="F293" s="5" t="s">
        <v>1815</v>
      </c>
      <c r="G293" s="5" t="s">
        <v>11617</v>
      </c>
      <c r="H293" s="10" t="s">
        <v>21562</v>
      </c>
      <c r="K293" s="23">
        <v>46087.662152777775</v>
      </c>
      <c r="L293" s="5" t="s">
        <v>6139</v>
      </c>
      <c r="M293" s="10" t="s">
        <v>21563</v>
      </c>
      <c r="N293" s="10" t="s">
        <v>21469</v>
      </c>
      <c r="P293" s="5" t="s">
        <v>14580</v>
      </c>
      <c r="R293" s="9">
        <v>46088.319108796299</v>
      </c>
      <c r="S293" s="9">
        <v>46088.319108796299</v>
      </c>
    </row>
    <row r="294" spans="1:19" ht="12.5">
      <c r="A294" s="10" t="s">
        <v>21564</v>
      </c>
      <c r="B294" s="5" t="s">
        <v>12695</v>
      </c>
      <c r="C294" s="5">
        <v>573013112313</v>
      </c>
      <c r="D294" s="5" t="s">
        <v>12423</v>
      </c>
      <c r="E294" s="5" t="s">
        <v>12657</v>
      </c>
      <c r="F294" s="5" t="s">
        <v>12657</v>
      </c>
      <c r="G294" s="5" t="s">
        <v>12695</v>
      </c>
      <c r="H294" s="10" t="s">
        <v>21565</v>
      </c>
      <c r="K294" s="23">
        <v>46087.662106481483</v>
      </c>
      <c r="L294" s="5" t="s">
        <v>6139</v>
      </c>
      <c r="M294" s="10" t="s">
        <v>21566</v>
      </c>
      <c r="N294" s="10" t="s">
        <v>21567</v>
      </c>
      <c r="R294" s="9">
        <v>46088.321886574071</v>
      </c>
      <c r="S294" s="9">
        <v>46088.321886574071</v>
      </c>
    </row>
    <row r="295" spans="1:19" ht="12.5">
      <c r="A295" s="10" t="s">
        <v>21568</v>
      </c>
      <c r="B295" s="5" t="s">
        <v>2901</v>
      </c>
      <c r="C295" s="5">
        <v>573215509226</v>
      </c>
      <c r="D295" s="5" t="s">
        <v>2556</v>
      </c>
      <c r="E295" s="5" t="s">
        <v>12688</v>
      </c>
      <c r="G295" s="5" t="s">
        <v>12687</v>
      </c>
      <c r="K295" s="23">
        <v>46087.611770833333</v>
      </c>
      <c r="L295" s="5" t="s">
        <v>6139</v>
      </c>
      <c r="M295" s="10" t="s">
        <v>21569</v>
      </c>
      <c r="N295" s="10" t="s">
        <v>21567</v>
      </c>
      <c r="R295" s="9">
        <v>46088.322222222225</v>
      </c>
      <c r="S295" s="9">
        <v>46088.322222222225</v>
      </c>
    </row>
    <row r="296" spans="1:19" ht="12.5">
      <c r="A296" s="10" t="s">
        <v>21570</v>
      </c>
      <c r="B296" s="5" t="s">
        <v>12671</v>
      </c>
      <c r="C296" s="5">
        <v>573015503066</v>
      </c>
      <c r="D296" s="5" t="s">
        <v>12673</v>
      </c>
      <c r="E296" s="5" t="s">
        <v>12672</v>
      </c>
      <c r="F296" s="5" t="s">
        <v>73</v>
      </c>
      <c r="G296" s="5" t="s">
        <v>2665</v>
      </c>
      <c r="H296" s="10" t="s">
        <v>21571</v>
      </c>
      <c r="K296" s="23">
        <v>46087.664097222223</v>
      </c>
      <c r="L296" s="5" t="s">
        <v>6139</v>
      </c>
      <c r="M296" s="10" t="s">
        <v>21572</v>
      </c>
      <c r="N296" s="10" t="s">
        <v>21463</v>
      </c>
      <c r="P296" s="5" t="s">
        <v>14593</v>
      </c>
      <c r="R296" s="9">
        <v>46088.322488425925</v>
      </c>
      <c r="S296" s="9">
        <v>46088.322488425925</v>
      </c>
    </row>
    <row r="297" spans="1:19" ht="12.5">
      <c r="A297" s="10" t="s">
        <v>21573</v>
      </c>
      <c r="B297" s="5" t="s">
        <v>12665</v>
      </c>
      <c r="C297" s="5">
        <v>573160420106</v>
      </c>
      <c r="D297" s="5" t="s">
        <v>12668</v>
      </c>
      <c r="E297" s="5" t="s">
        <v>12667</v>
      </c>
      <c r="F297" s="5" t="s">
        <v>185</v>
      </c>
      <c r="G297" s="5" t="s">
        <v>21574</v>
      </c>
      <c r="H297" s="10" t="s">
        <v>21575</v>
      </c>
      <c r="K297" s="23">
        <v>46087.66207175926</v>
      </c>
      <c r="L297" s="5" t="s">
        <v>6139</v>
      </c>
      <c r="M297" s="10" t="s">
        <v>21576</v>
      </c>
      <c r="N297" s="10" t="s">
        <v>21469</v>
      </c>
      <c r="P297" s="5" t="s">
        <v>14580</v>
      </c>
      <c r="R297" s="9">
        <v>46088.323842592596</v>
      </c>
      <c r="S297" s="9">
        <v>46088.323842592596</v>
      </c>
    </row>
    <row r="298" spans="1:19" ht="12.5">
      <c r="A298" s="10" t="s">
        <v>21577</v>
      </c>
      <c r="B298" s="5" t="s">
        <v>12641</v>
      </c>
      <c r="C298" s="5">
        <v>573143468896</v>
      </c>
      <c r="D298" s="5" t="s">
        <v>12644</v>
      </c>
      <c r="E298" s="5" t="s">
        <v>12643</v>
      </c>
      <c r="F298" s="5" t="s">
        <v>937</v>
      </c>
      <c r="G298" s="5" t="s">
        <v>12642</v>
      </c>
      <c r="H298" s="10" t="s">
        <v>21578</v>
      </c>
      <c r="K298" s="23">
        <v>46088.662662037037</v>
      </c>
      <c r="L298" s="5" t="s">
        <v>6139</v>
      </c>
      <c r="M298" s="10" t="s">
        <v>21579</v>
      </c>
      <c r="N298" s="10" t="s">
        <v>20975</v>
      </c>
      <c r="R298" s="9">
        <v>46088.323877314811</v>
      </c>
      <c r="S298" s="9">
        <v>46088.323877314811</v>
      </c>
    </row>
    <row r="299" spans="1:19" ht="12.5">
      <c r="A299" s="10" t="s">
        <v>21580</v>
      </c>
      <c r="B299" s="5" t="s">
        <v>12679</v>
      </c>
      <c r="C299" s="5">
        <v>573225236847</v>
      </c>
      <c r="D299" s="5" t="s">
        <v>12423</v>
      </c>
      <c r="E299" s="5" t="s">
        <v>12681</v>
      </c>
      <c r="F299" s="5" t="s">
        <v>110</v>
      </c>
      <c r="G299" s="5" t="s">
        <v>12680</v>
      </c>
      <c r="H299" s="10" t="s">
        <v>21581</v>
      </c>
      <c r="K299" s="23">
        <v>46087.663298611114</v>
      </c>
      <c r="L299" s="5" t="s">
        <v>6139</v>
      </c>
      <c r="M299" s="10" t="s">
        <v>21582</v>
      </c>
      <c r="N299" s="10" t="s">
        <v>21567</v>
      </c>
      <c r="P299" s="5" t="s">
        <v>14593</v>
      </c>
      <c r="R299" s="9">
        <v>46088.323912037034</v>
      </c>
      <c r="S299" s="9">
        <v>46088.323912037034</v>
      </c>
    </row>
    <row r="300" spans="1:19" ht="12.5">
      <c r="A300" s="10" t="s">
        <v>21583</v>
      </c>
      <c r="B300" s="5" t="s">
        <v>12676</v>
      </c>
      <c r="C300" s="5">
        <v>573175019534</v>
      </c>
      <c r="D300" s="5" t="s">
        <v>12406</v>
      </c>
      <c r="E300" s="5" t="s">
        <v>12657</v>
      </c>
      <c r="F300" s="5" t="s">
        <v>12657</v>
      </c>
      <c r="G300" s="5" t="s">
        <v>12676</v>
      </c>
      <c r="H300" s="10" t="s">
        <v>21584</v>
      </c>
      <c r="K300" s="23">
        <v>46087.663217592592</v>
      </c>
      <c r="L300" s="5" t="s">
        <v>6139</v>
      </c>
      <c r="M300" s="10" t="s">
        <v>21585</v>
      </c>
      <c r="N300" s="10" t="s">
        <v>21469</v>
      </c>
      <c r="R300" s="9">
        <v>46088.324050925927</v>
      </c>
      <c r="S300" s="9">
        <v>46088.324050925927</v>
      </c>
    </row>
    <row r="301" spans="1:19" ht="12.5">
      <c r="A301" s="10" t="s">
        <v>21586</v>
      </c>
      <c r="B301" s="5" t="s">
        <v>4302</v>
      </c>
      <c r="C301" s="5">
        <v>573502184252</v>
      </c>
      <c r="D301" s="5" t="s">
        <v>12664</v>
      </c>
      <c r="E301" s="5" t="s">
        <v>12657</v>
      </c>
      <c r="F301" s="5" t="s">
        <v>12657</v>
      </c>
      <c r="G301" s="5" t="s">
        <v>4302</v>
      </c>
      <c r="H301" s="10" t="s">
        <v>21587</v>
      </c>
      <c r="K301" s="23">
        <v>46087.611631944441</v>
      </c>
      <c r="L301" s="5" t="s">
        <v>6139</v>
      </c>
      <c r="M301" s="10" t="s">
        <v>21588</v>
      </c>
      <c r="N301" s="10" t="s">
        <v>21589</v>
      </c>
      <c r="R301" s="9">
        <v>46088.32408564815</v>
      </c>
      <c r="S301" s="9">
        <v>46088.32408564815</v>
      </c>
    </row>
    <row r="302" spans="1:19" ht="12.5">
      <c r="A302" s="10" t="s">
        <v>21590</v>
      </c>
      <c r="B302" s="5" t="s">
        <v>12636</v>
      </c>
      <c r="C302" s="5">
        <v>573150646495</v>
      </c>
      <c r="D302" s="5" t="s">
        <v>2120</v>
      </c>
      <c r="E302" s="5" t="s">
        <v>12638</v>
      </c>
      <c r="G302" s="5" t="s">
        <v>21591</v>
      </c>
      <c r="H302" s="10" t="s">
        <v>21592</v>
      </c>
      <c r="I302" s="5" t="s">
        <v>20688</v>
      </c>
      <c r="K302" s="23">
        <v>46087.753611111111</v>
      </c>
      <c r="L302" s="5" t="s">
        <v>17416</v>
      </c>
      <c r="M302" s="10" t="s">
        <v>21593</v>
      </c>
      <c r="N302" s="10" t="s">
        <v>21252</v>
      </c>
      <c r="R302" s="9">
        <v>46088.337465277778</v>
      </c>
      <c r="S302" s="9">
        <v>46088.337465277778</v>
      </c>
    </row>
    <row r="303" spans="1:19" ht="12.5">
      <c r="A303" s="10" t="s">
        <v>21594</v>
      </c>
      <c r="B303" s="5" t="s">
        <v>7441</v>
      </c>
      <c r="C303" s="5">
        <v>573024694357</v>
      </c>
      <c r="D303" s="5" t="s">
        <v>42</v>
      </c>
      <c r="E303" s="5" t="s">
        <v>12657</v>
      </c>
      <c r="F303" s="5" t="s">
        <v>12657</v>
      </c>
      <c r="G303" s="5" t="s">
        <v>7441</v>
      </c>
      <c r="H303" s="10" t="s">
        <v>21595</v>
      </c>
      <c r="K303" s="23">
        <v>46087.662037037036</v>
      </c>
      <c r="L303" s="5" t="s">
        <v>6139</v>
      </c>
      <c r="M303" s="10" t="s">
        <v>21596</v>
      </c>
      <c r="N303" s="10" t="s">
        <v>21469</v>
      </c>
      <c r="R303" s="9">
        <v>46088.346296296295</v>
      </c>
      <c r="S303" s="9">
        <v>46088.346296296295</v>
      </c>
    </row>
    <row r="304" spans="1:19" ht="12.5">
      <c r="A304" s="10" t="s">
        <v>21597</v>
      </c>
      <c r="B304" s="5" t="s">
        <v>12656</v>
      </c>
      <c r="C304" s="5">
        <v>573012354673</v>
      </c>
      <c r="D304" s="5" t="s">
        <v>42</v>
      </c>
      <c r="E304" s="5" t="s">
        <v>12657</v>
      </c>
      <c r="F304" s="5" t="s">
        <v>12657</v>
      </c>
      <c r="G304" s="5" t="s">
        <v>12656</v>
      </c>
      <c r="H304" s="10" t="s">
        <v>21598</v>
      </c>
      <c r="K304" s="23">
        <v>46087.661990740744</v>
      </c>
      <c r="L304" s="5" t="s">
        <v>6139</v>
      </c>
      <c r="M304" s="10" t="s">
        <v>21599</v>
      </c>
      <c r="N304" s="10" t="s">
        <v>21600</v>
      </c>
      <c r="R304" s="9">
        <v>46088.349166666667</v>
      </c>
      <c r="S304" s="9">
        <v>46088.349166666667</v>
      </c>
    </row>
    <row r="305" spans="1:19" ht="12.5">
      <c r="A305" s="10" t="s">
        <v>21601</v>
      </c>
      <c r="B305" s="5" t="s">
        <v>12658</v>
      </c>
      <c r="C305" s="5">
        <v>573002145559</v>
      </c>
      <c r="D305" s="5" t="s">
        <v>42</v>
      </c>
      <c r="E305" s="5" t="s">
        <v>12657</v>
      </c>
      <c r="F305" s="5" t="s">
        <v>12657</v>
      </c>
      <c r="G305" s="5" t="s">
        <v>12658</v>
      </c>
      <c r="H305" s="10" t="s">
        <v>19459</v>
      </c>
      <c r="K305" s="23">
        <v>46087.661956018521</v>
      </c>
      <c r="L305" s="5" t="s">
        <v>6139</v>
      </c>
      <c r="M305" s="10" t="s">
        <v>21602</v>
      </c>
      <c r="N305" s="10" t="s">
        <v>21600</v>
      </c>
      <c r="R305" s="9">
        <v>46088.349212962959</v>
      </c>
      <c r="S305" s="9">
        <v>46088.349212962959</v>
      </c>
    </row>
    <row r="306" spans="1:19" ht="12.5">
      <c r="A306" s="10" t="s">
        <v>21603</v>
      </c>
      <c r="B306" s="5" t="s">
        <v>12654</v>
      </c>
      <c r="C306" s="5">
        <v>573003242193</v>
      </c>
      <c r="D306" s="5" t="s">
        <v>435</v>
      </c>
      <c r="E306" s="5" t="s">
        <v>12655</v>
      </c>
      <c r="F306" s="5" t="s">
        <v>185</v>
      </c>
      <c r="G306" s="5" t="s">
        <v>12654</v>
      </c>
      <c r="K306" s="23">
        <v>46087.663171296299</v>
      </c>
      <c r="L306" s="5" t="s">
        <v>6139</v>
      </c>
      <c r="M306" s="10" t="s">
        <v>21604</v>
      </c>
      <c r="N306" s="10" t="s">
        <v>21605</v>
      </c>
      <c r="P306" s="5" t="s">
        <v>14580</v>
      </c>
      <c r="R306" s="9">
        <v>46088.351064814815</v>
      </c>
      <c r="S306" s="9">
        <v>46088.351064814815</v>
      </c>
    </row>
    <row r="307" spans="1:19" ht="12.5">
      <c r="A307" s="10" t="s">
        <v>21606</v>
      </c>
      <c r="B307" s="5" t="s">
        <v>12648</v>
      </c>
      <c r="C307" s="5">
        <v>573013640035</v>
      </c>
      <c r="D307" s="5" t="s">
        <v>12651</v>
      </c>
      <c r="E307" s="5" t="s">
        <v>12650</v>
      </c>
      <c r="F307" s="5" t="s">
        <v>161</v>
      </c>
      <c r="G307" s="5" t="s">
        <v>19454</v>
      </c>
      <c r="H307" s="10" t="s">
        <v>19453</v>
      </c>
      <c r="I307" s="5" t="s">
        <v>20688</v>
      </c>
      <c r="K307" s="23">
        <v>46088.319108796299</v>
      </c>
      <c r="L307" s="5" t="s">
        <v>17416</v>
      </c>
      <c r="M307" s="10" t="s">
        <v>21607</v>
      </c>
      <c r="N307" s="10" t="s">
        <v>21266</v>
      </c>
      <c r="P307" s="5" t="s">
        <v>14593</v>
      </c>
      <c r="R307" s="9">
        <v>46088.360543981478</v>
      </c>
      <c r="S307" s="9">
        <v>46088.360543981478</v>
      </c>
    </row>
    <row r="308" spans="1:19" ht="12.5">
      <c r="A308" s="10" t="s">
        <v>21608</v>
      </c>
      <c r="B308" s="5" t="s">
        <v>12611</v>
      </c>
      <c r="C308" s="5">
        <v>573014232454</v>
      </c>
      <c r="D308" s="5" t="s">
        <v>375</v>
      </c>
      <c r="E308" s="5" t="s">
        <v>12066</v>
      </c>
      <c r="F308" s="5" t="s">
        <v>7476</v>
      </c>
      <c r="G308" s="5" t="s">
        <v>12611</v>
      </c>
      <c r="H308" s="10" t="s">
        <v>21609</v>
      </c>
      <c r="I308" s="5" t="s">
        <v>20688</v>
      </c>
      <c r="K308" s="23">
        <v>46088.349166666667</v>
      </c>
      <c r="L308" s="5" t="s">
        <v>17416</v>
      </c>
      <c r="M308" s="10" t="s">
        <v>21610</v>
      </c>
      <c r="N308" s="10" t="s">
        <v>21611</v>
      </c>
      <c r="P308" s="5" t="s">
        <v>15349</v>
      </c>
      <c r="R308" s="9">
        <v>46088.368715277778</v>
      </c>
      <c r="S308" s="9">
        <v>46088.368715277778</v>
      </c>
    </row>
    <row r="309" spans="1:19" ht="12.5">
      <c r="A309" s="10" t="s">
        <v>21612</v>
      </c>
      <c r="B309" s="5" t="s">
        <v>12629</v>
      </c>
      <c r="C309" s="5">
        <v>573112024333</v>
      </c>
      <c r="D309" s="5" t="s">
        <v>239</v>
      </c>
      <c r="E309" s="5" t="s">
        <v>12631</v>
      </c>
      <c r="F309" s="5" t="s">
        <v>328</v>
      </c>
      <c r="G309" s="5" t="s">
        <v>21613</v>
      </c>
      <c r="H309" s="10" t="s">
        <v>21614</v>
      </c>
      <c r="I309" s="5" t="s">
        <v>20750</v>
      </c>
      <c r="K309" s="23">
        <v>46087.663124999999</v>
      </c>
      <c r="L309" s="5" t="s">
        <v>17416</v>
      </c>
      <c r="M309" s="10" t="s">
        <v>21615</v>
      </c>
      <c r="N309" s="10" t="s">
        <v>21616</v>
      </c>
      <c r="R309" s="9">
        <v>46088.369143518517</v>
      </c>
      <c r="S309" s="9">
        <v>46088.369143518517</v>
      </c>
    </row>
    <row r="310" spans="1:19" ht="12.5">
      <c r="A310" s="10" t="s">
        <v>21617</v>
      </c>
      <c r="B310" s="5" t="s">
        <v>12623</v>
      </c>
      <c r="C310" s="5">
        <v>573215104708</v>
      </c>
      <c r="D310" s="5" t="s">
        <v>12626</v>
      </c>
      <c r="E310" s="5" t="s">
        <v>12625</v>
      </c>
      <c r="F310" s="5" t="s">
        <v>185</v>
      </c>
      <c r="G310" s="5" t="s">
        <v>12624</v>
      </c>
      <c r="I310" s="5" t="s">
        <v>20688</v>
      </c>
      <c r="K310" s="23">
        <v>46088.415810185186</v>
      </c>
      <c r="L310" s="5" t="s">
        <v>17416</v>
      </c>
      <c r="M310" s="10" t="s">
        <v>21618</v>
      </c>
      <c r="N310" s="10" t="s">
        <v>21382</v>
      </c>
      <c r="P310" s="5" t="s">
        <v>14580</v>
      </c>
      <c r="R310" s="9">
        <v>46088.369351851848</v>
      </c>
      <c r="S310" s="9">
        <v>46088.369351851848</v>
      </c>
    </row>
    <row r="311" spans="1:19" ht="12.5">
      <c r="A311" s="10" t="s">
        <v>21619</v>
      </c>
      <c r="B311" s="5" t="s">
        <v>12591</v>
      </c>
      <c r="C311" s="5">
        <v>573023611833</v>
      </c>
      <c r="D311" s="5" t="s">
        <v>12522</v>
      </c>
      <c r="E311" s="5" t="s">
        <v>12593</v>
      </c>
      <c r="F311" s="5" t="s">
        <v>103</v>
      </c>
      <c r="G311" s="5" t="s">
        <v>12592</v>
      </c>
      <c r="H311" s="10" t="s">
        <v>21620</v>
      </c>
      <c r="I311" s="5" t="s">
        <v>3962</v>
      </c>
      <c r="K311" s="23">
        <v>46088.708055555559</v>
      </c>
      <c r="L311" s="5" t="s">
        <v>17416</v>
      </c>
      <c r="M311" s="10" t="s">
        <v>21621</v>
      </c>
      <c r="N311" s="10" t="s">
        <v>20938</v>
      </c>
      <c r="P311" s="5" t="s">
        <v>14593</v>
      </c>
      <c r="R311" s="9">
        <v>46088.369467592594</v>
      </c>
      <c r="S311" s="9">
        <v>46088.369467592594</v>
      </c>
    </row>
    <row r="312" spans="1:19" ht="12.5">
      <c r="A312" s="10" t="s">
        <v>21622</v>
      </c>
      <c r="B312" s="5" t="s">
        <v>12618</v>
      </c>
      <c r="C312" s="5">
        <v>573004483338</v>
      </c>
      <c r="D312" s="5" t="s">
        <v>112</v>
      </c>
      <c r="E312" s="5" t="s">
        <v>12620</v>
      </c>
      <c r="F312" s="5" t="s">
        <v>73</v>
      </c>
      <c r="G312" s="5" t="s">
        <v>21623</v>
      </c>
      <c r="H312" s="10" t="s">
        <v>21624</v>
      </c>
      <c r="K312" s="23">
        <v>46087.664479166669</v>
      </c>
      <c r="L312" s="5" t="s">
        <v>6139</v>
      </c>
      <c r="M312" s="10" t="s">
        <v>21625</v>
      </c>
      <c r="N312" s="10" t="s">
        <v>21605</v>
      </c>
      <c r="P312" s="5" t="s">
        <v>14593</v>
      </c>
      <c r="R312" s="9">
        <v>46088.369513888887</v>
      </c>
      <c r="S312" s="9">
        <v>46088.369513888887</v>
      </c>
    </row>
    <row r="313" spans="1:19" ht="12.5">
      <c r="A313" s="10" t="s">
        <v>21626</v>
      </c>
      <c r="B313" s="5" t="s">
        <v>12603</v>
      </c>
      <c r="C313" s="5">
        <v>573007175473</v>
      </c>
      <c r="D313" s="5" t="s">
        <v>12496</v>
      </c>
      <c r="E313" s="5" t="s">
        <v>12604</v>
      </c>
      <c r="F313" s="5" t="s">
        <v>63</v>
      </c>
      <c r="G313" s="5" t="s">
        <v>1779</v>
      </c>
      <c r="K313" s="23">
        <v>46088.322488425925</v>
      </c>
      <c r="L313" s="5" t="s">
        <v>6139</v>
      </c>
      <c r="M313" s="10" t="s">
        <v>21627</v>
      </c>
      <c r="N313" s="10" t="s">
        <v>21445</v>
      </c>
      <c r="P313" s="5" t="s">
        <v>14598</v>
      </c>
      <c r="R313" s="9">
        <v>46088.36954861111</v>
      </c>
      <c r="S313" s="9">
        <v>46088.36954861111</v>
      </c>
    </row>
    <row r="314" spans="1:19" ht="12.5">
      <c r="A314" s="10" t="s">
        <v>21628</v>
      </c>
      <c r="B314" s="5" t="s">
        <v>12166</v>
      </c>
      <c r="C314" s="5">
        <v>573046105529</v>
      </c>
      <c r="D314" s="5" t="s">
        <v>370</v>
      </c>
      <c r="E314" s="5" t="s">
        <v>12168</v>
      </c>
      <c r="F314" s="5" t="s">
        <v>2090</v>
      </c>
      <c r="G314" s="5" t="s">
        <v>12597</v>
      </c>
      <c r="H314" s="10" t="s">
        <v>21629</v>
      </c>
      <c r="K314" s="23">
        <v>46087.661921296298</v>
      </c>
      <c r="L314" s="5" t="s">
        <v>6139</v>
      </c>
      <c r="M314" s="10" t="s">
        <v>21630</v>
      </c>
      <c r="N314" s="10" t="s">
        <v>21631</v>
      </c>
      <c r="P314" s="5" t="s">
        <v>14618</v>
      </c>
      <c r="R314" s="9">
        <v>46088.369618055556</v>
      </c>
      <c r="S314" s="9">
        <v>46088.369618055556</v>
      </c>
    </row>
    <row r="315" spans="1:19" ht="12.5">
      <c r="A315" s="10" t="s">
        <v>21632</v>
      </c>
      <c r="B315" s="5" t="s">
        <v>12600</v>
      </c>
      <c r="C315" s="5">
        <v>5712676373606</v>
      </c>
      <c r="D315" s="5" t="s">
        <v>42</v>
      </c>
      <c r="E315" s="5" t="s">
        <v>12602</v>
      </c>
      <c r="G315" s="5" t="s">
        <v>12601</v>
      </c>
      <c r="K315" s="23">
        <v>46087.661874999998</v>
      </c>
      <c r="L315" s="5" t="s">
        <v>6139</v>
      </c>
      <c r="M315" s="10" t="s">
        <v>21633</v>
      </c>
      <c r="N315" s="10" t="s">
        <v>21605</v>
      </c>
      <c r="R315" s="9">
        <v>46088.369652777779</v>
      </c>
      <c r="S315" s="9">
        <v>46088.369652777779</v>
      </c>
    </row>
    <row r="316" spans="1:19" ht="12.5">
      <c r="A316" s="10" t="s">
        <v>21634</v>
      </c>
      <c r="B316" s="5" t="s">
        <v>12588</v>
      </c>
      <c r="C316" s="5">
        <v>573013573091</v>
      </c>
      <c r="D316" s="5" t="s">
        <v>613</v>
      </c>
      <c r="E316" s="5" t="s">
        <v>12590</v>
      </c>
      <c r="F316" s="5" t="s">
        <v>161</v>
      </c>
      <c r="G316" s="5" t="s">
        <v>12589</v>
      </c>
      <c r="K316" s="23">
        <v>46087.661828703705</v>
      </c>
      <c r="L316" s="5" t="s">
        <v>6139</v>
      </c>
      <c r="M316" s="10" t="s">
        <v>21635</v>
      </c>
      <c r="N316" s="10" t="s">
        <v>21589</v>
      </c>
      <c r="P316" s="5" t="s">
        <v>14593</v>
      </c>
      <c r="R316" s="9">
        <v>46088.370034722226</v>
      </c>
      <c r="S316" s="9">
        <v>46088.370034722226</v>
      </c>
    </row>
    <row r="317" spans="1:19" ht="12.5">
      <c r="A317" s="10" t="s">
        <v>21636</v>
      </c>
      <c r="B317" s="5" t="s">
        <v>12583</v>
      </c>
      <c r="C317" s="5">
        <v>573046786780</v>
      </c>
      <c r="D317" s="5" t="s">
        <v>375</v>
      </c>
      <c r="E317" s="5" t="s">
        <v>12585</v>
      </c>
      <c r="F317" s="5" t="s">
        <v>265</v>
      </c>
      <c r="G317" s="5" t="s">
        <v>12584</v>
      </c>
      <c r="H317" s="10" t="s">
        <v>21637</v>
      </c>
      <c r="I317" s="5" t="s">
        <v>20750</v>
      </c>
      <c r="K317" s="23">
        <v>46089.533437500002</v>
      </c>
      <c r="L317" s="5" t="s">
        <v>17416</v>
      </c>
      <c r="M317" s="10" t="s">
        <v>21638</v>
      </c>
      <c r="N317" s="10" t="s">
        <v>20697</v>
      </c>
      <c r="P317" s="5" t="s">
        <v>14691</v>
      </c>
      <c r="R317" s="9">
        <v>46088.369699074072</v>
      </c>
      <c r="S317" s="9">
        <v>46088.369699074072</v>
      </c>
    </row>
    <row r="318" spans="1:19" ht="12.5">
      <c r="A318" s="10" t="s">
        <v>21639</v>
      </c>
      <c r="B318" s="5" t="s">
        <v>12577</v>
      </c>
      <c r="C318" s="5">
        <v>573003346799</v>
      </c>
      <c r="D318" s="5" t="s">
        <v>435</v>
      </c>
      <c r="E318" s="5" t="s">
        <v>12579</v>
      </c>
      <c r="F318" s="5" t="s">
        <v>110</v>
      </c>
      <c r="G318" s="5" t="s">
        <v>12578</v>
      </c>
      <c r="H318" s="10" t="s">
        <v>21640</v>
      </c>
      <c r="K318" s="23">
        <v>46087.661805555559</v>
      </c>
      <c r="L318" s="5" t="s">
        <v>6139</v>
      </c>
      <c r="M318" s="10" t="s">
        <v>21641</v>
      </c>
      <c r="N318" s="10" t="s">
        <v>21642</v>
      </c>
      <c r="P318" s="5" t="s">
        <v>14593</v>
      </c>
      <c r="R318" s="9">
        <v>46088.369745370372</v>
      </c>
      <c r="S318" s="9">
        <v>46088.369745370372</v>
      </c>
    </row>
    <row r="319" spans="1:19" ht="12.5">
      <c r="A319" s="10" t="s">
        <v>21643</v>
      </c>
      <c r="B319" s="5" t="s">
        <v>12572</v>
      </c>
      <c r="C319" s="5">
        <v>3007878893</v>
      </c>
      <c r="D319" s="5" t="s">
        <v>50</v>
      </c>
      <c r="E319" s="5" t="s">
        <v>12574</v>
      </c>
      <c r="F319" s="5" t="s">
        <v>1317</v>
      </c>
      <c r="G319" s="5" t="s">
        <v>19419</v>
      </c>
      <c r="H319" s="10" t="s">
        <v>21644</v>
      </c>
      <c r="I319" s="5" t="s">
        <v>20688</v>
      </c>
      <c r="K319" s="23">
        <v>46087.661759259259</v>
      </c>
      <c r="L319" s="5" t="s">
        <v>17416</v>
      </c>
      <c r="M319" s="10" t="s">
        <v>21645</v>
      </c>
      <c r="N319" s="10" t="s">
        <v>21505</v>
      </c>
      <c r="P319" s="5" t="s">
        <v>15349</v>
      </c>
      <c r="R319" s="9">
        <v>46088.369837962964</v>
      </c>
      <c r="S319" s="9">
        <v>46088.369837962964</v>
      </c>
    </row>
    <row r="320" spans="1:19" ht="12.5">
      <c r="A320" s="10" t="s">
        <v>21646</v>
      </c>
      <c r="B320" s="5" t="s">
        <v>9132</v>
      </c>
      <c r="C320" s="5">
        <v>573017542841</v>
      </c>
      <c r="D320" s="5" t="s">
        <v>734</v>
      </c>
      <c r="E320" s="5" t="s">
        <v>12569</v>
      </c>
      <c r="F320" s="5" t="s">
        <v>103</v>
      </c>
      <c r="G320" s="5" t="s">
        <v>12568</v>
      </c>
      <c r="H320" s="10" t="s">
        <v>19413</v>
      </c>
      <c r="K320" s="23">
        <v>46087.66306712963</v>
      </c>
      <c r="L320" s="5" t="s">
        <v>6139</v>
      </c>
      <c r="M320" s="10" t="s">
        <v>21647</v>
      </c>
      <c r="N320" s="10" t="s">
        <v>21648</v>
      </c>
      <c r="P320" s="5" t="s">
        <v>14593</v>
      </c>
      <c r="R320" s="9">
        <v>46088.369942129626</v>
      </c>
      <c r="S320" s="9">
        <v>46088.369942129626</v>
      </c>
    </row>
    <row r="321" spans="1:19" ht="12.5">
      <c r="A321" s="10" t="s">
        <v>21649</v>
      </c>
      <c r="B321" s="5" t="s">
        <v>12557</v>
      </c>
      <c r="C321" s="5">
        <v>573155868116</v>
      </c>
      <c r="D321" s="5" t="s">
        <v>12496</v>
      </c>
      <c r="E321" s="5" t="s">
        <v>12559</v>
      </c>
      <c r="F321" s="5" t="s">
        <v>63</v>
      </c>
      <c r="G321" s="5" t="s">
        <v>21650</v>
      </c>
      <c r="H321" s="10" t="s">
        <v>21651</v>
      </c>
      <c r="K321" s="23">
        <v>46088.542800925927</v>
      </c>
      <c r="L321" s="5" t="s">
        <v>6139</v>
      </c>
      <c r="M321" s="10" t="s">
        <v>21652</v>
      </c>
      <c r="N321" s="10" t="s">
        <v>20938</v>
      </c>
      <c r="P321" s="5" t="s">
        <v>14598</v>
      </c>
      <c r="R321" s="9">
        <v>46088.37</v>
      </c>
      <c r="S321" s="9">
        <v>46088.37</v>
      </c>
    </row>
    <row r="322" spans="1:19" ht="12.5">
      <c r="A322" s="10" t="s">
        <v>21653</v>
      </c>
      <c r="B322" s="5" t="s">
        <v>12552</v>
      </c>
      <c r="C322" s="5">
        <v>573015266031</v>
      </c>
      <c r="D322" s="5" t="s">
        <v>12553</v>
      </c>
      <c r="E322" s="10" t="s">
        <v>3001</v>
      </c>
      <c r="G322" s="5" t="s">
        <v>2468</v>
      </c>
      <c r="H322" s="10" t="s">
        <v>21654</v>
      </c>
      <c r="K322" s="23">
        <v>46087.664050925923</v>
      </c>
      <c r="L322" s="5" t="s">
        <v>6139</v>
      </c>
      <c r="M322" s="10" t="s">
        <v>21655</v>
      </c>
      <c r="N322" s="10" t="s">
        <v>21445</v>
      </c>
      <c r="R322" s="9">
        <v>46088.370324074072</v>
      </c>
      <c r="S322" s="9">
        <v>46088.370324074072</v>
      </c>
    </row>
    <row r="323" spans="1:19" ht="12.5">
      <c r="A323" s="10" t="s">
        <v>21656</v>
      </c>
      <c r="B323" s="5" t="s">
        <v>12514</v>
      </c>
      <c r="C323" s="5">
        <v>573015442537</v>
      </c>
      <c r="D323" s="5" t="s">
        <v>12423</v>
      </c>
      <c r="E323" s="5" t="s">
        <v>12519</v>
      </c>
      <c r="G323" s="5" t="s">
        <v>12518</v>
      </c>
      <c r="H323" s="10" t="s">
        <v>21657</v>
      </c>
      <c r="K323" s="23">
        <v>46087.661666666667</v>
      </c>
      <c r="L323" s="5" t="s">
        <v>6139</v>
      </c>
      <c r="M323" s="10" t="s">
        <v>21658</v>
      </c>
      <c r="N323" s="10" t="s">
        <v>21589</v>
      </c>
      <c r="R323" s="9">
        <v>46088.373657407406</v>
      </c>
      <c r="S323" s="9">
        <v>46088.373657407406</v>
      </c>
    </row>
    <row r="324" spans="1:19" ht="12.5">
      <c r="A324" s="10" t="s">
        <v>21659</v>
      </c>
      <c r="B324" s="5" t="s">
        <v>12514</v>
      </c>
      <c r="C324" s="5">
        <v>573015442537</v>
      </c>
      <c r="D324" s="5" t="s">
        <v>12484</v>
      </c>
      <c r="E324" s="5" t="s">
        <v>12516</v>
      </c>
      <c r="F324" s="5" t="s">
        <v>185</v>
      </c>
      <c r="G324" s="5" t="s">
        <v>12515</v>
      </c>
      <c r="H324" s="10" t="s">
        <v>21657</v>
      </c>
      <c r="K324" s="23">
        <v>46087.661631944444</v>
      </c>
      <c r="L324" s="5" t="s">
        <v>6139</v>
      </c>
      <c r="M324" s="10" t="s">
        <v>21660</v>
      </c>
      <c r="N324" s="10" t="s">
        <v>21589</v>
      </c>
      <c r="P324" s="5" t="s">
        <v>14580</v>
      </c>
      <c r="R324" s="9">
        <v>46088.373715277776</v>
      </c>
      <c r="S324" s="9">
        <v>46088.373715277776</v>
      </c>
    </row>
    <row r="325" spans="1:19" ht="12.5">
      <c r="A325" s="10" t="s">
        <v>21661</v>
      </c>
      <c r="B325" s="5" t="s">
        <v>12546</v>
      </c>
      <c r="C325" s="5">
        <v>573014122835</v>
      </c>
      <c r="D325" s="5" t="s">
        <v>12549</v>
      </c>
      <c r="E325" s="5" t="s">
        <v>12548</v>
      </c>
      <c r="F325" s="5" t="s">
        <v>328</v>
      </c>
      <c r="G325" s="5" t="s">
        <v>12547</v>
      </c>
      <c r="H325" s="10" t="s">
        <v>21662</v>
      </c>
      <c r="K325" s="23">
        <v>46087.661574074074</v>
      </c>
      <c r="L325" s="5" t="s">
        <v>6139</v>
      </c>
      <c r="M325" s="10" t="s">
        <v>21663</v>
      </c>
      <c r="N325" s="10" t="s">
        <v>21648</v>
      </c>
      <c r="R325" s="9">
        <v>46088.389537037037</v>
      </c>
      <c r="S325" s="9">
        <v>46088.389537037037</v>
      </c>
    </row>
    <row r="326" spans="1:19" ht="12.5">
      <c r="A326" s="10" t="s">
        <v>21664</v>
      </c>
      <c r="B326" s="5" t="s">
        <v>12534</v>
      </c>
      <c r="C326" s="5">
        <v>573104268528</v>
      </c>
      <c r="D326" s="5" t="s">
        <v>12537</v>
      </c>
      <c r="E326" s="5" t="s">
        <v>12536</v>
      </c>
      <c r="F326" s="5" t="s">
        <v>405</v>
      </c>
      <c r="G326" s="5" t="s">
        <v>12535</v>
      </c>
      <c r="H326" s="10" t="s">
        <v>21665</v>
      </c>
      <c r="K326" s="23">
        <v>46088.322222222225</v>
      </c>
      <c r="L326" s="5" t="s">
        <v>6139</v>
      </c>
      <c r="M326" s="10" t="s">
        <v>21666</v>
      </c>
      <c r="N326" s="10" t="s">
        <v>21463</v>
      </c>
      <c r="R326" s="9">
        <v>46088.40016203704</v>
      </c>
      <c r="S326" s="9">
        <v>46088.40016203704</v>
      </c>
    </row>
    <row r="327" spans="1:19" ht="12.5">
      <c r="A327" s="10" t="s">
        <v>21667</v>
      </c>
      <c r="B327" s="5" t="s">
        <v>12526</v>
      </c>
      <c r="C327" s="5">
        <v>573136726588</v>
      </c>
      <c r="D327" s="5" t="s">
        <v>42</v>
      </c>
      <c r="E327" s="5" t="s">
        <v>12528</v>
      </c>
      <c r="F327" s="5" t="s">
        <v>1100</v>
      </c>
      <c r="G327" s="5" t="s">
        <v>12527</v>
      </c>
      <c r="H327" s="10" t="s">
        <v>21668</v>
      </c>
      <c r="K327" s="23">
        <v>46087.661550925928</v>
      </c>
      <c r="L327" s="5" t="s">
        <v>6139</v>
      </c>
      <c r="M327" s="10" t="s">
        <v>21669</v>
      </c>
      <c r="N327" s="10" t="s">
        <v>21605</v>
      </c>
      <c r="P327" s="5" t="s">
        <v>14775</v>
      </c>
      <c r="R327" s="9">
        <v>46088.40525462963</v>
      </c>
      <c r="S327" s="9">
        <v>46088.40525462963</v>
      </c>
    </row>
    <row r="328" spans="1:19" ht="12.5">
      <c r="A328" s="10" t="s">
        <v>21670</v>
      </c>
      <c r="B328" s="5" t="s">
        <v>12393</v>
      </c>
      <c r="C328" s="5">
        <v>573044192224</v>
      </c>
      <c r="D328" s="5" t="s">
        <v>309</v>
      </c>
      <c r="E328" s="5" t="s">
        <v>12395</v>
      </c>
      <c r="F328" s="5" t="s">
        <v>154</v>
      </c>
      <c r="G328" s="5" t="s">
        <v>21671</v>
      </c>
      <c r="H328" s="10" t="s">
        <v>21672</v>
      </c>
      <c r="K328" s="23">
        <v>46087.661516203705</v>
      </c>
      <c r="L328" s="5" t="s">
        <v>6139</v>
      </c>
      <c r="M328" s="10" t="s">
        <v>21673</v>
      </c>
      <c r="N328" s="10" t="s">
        <v>21605</v>
      </c>
      <c r="P328" s="5" t="s">
        <v>14593</v>
      </c>
      <c r="R328" s="9">
        <v>46088.415810185186</v>
      </c>
      <c r="S328" s="9">
        <v>46088.415810185186</v>
      </c>
    </row>
    <row r="329" spans="1:19" ht="12.5">
      <c r="A329" s="10" t="s">
        <v>21674</v>
      </c>
      <c r="B329" s="5" t="s">
        <v>12511</v>
      </c>
      <c r="C329" s="5">
        <v>17862237177</v>
      </c>
      <c r="D329" s="5" t="s">
        <v>1696</v>
      </c>
      <c r="E329" s="5" t="s">
        <v>12513</v>
      </c>
      <c r="G329" s="5" t="s">
        <v>21675</v>
      </c>
      <c r="H329" s="10" t="s">
        <v>21676</v>
      </c>
      <c r="K329" s="23">
        <v>46087.661481481482</v>
      </c>
      <c r="L329" s="5" t="s">
        <v>6139</v>
      </c>
      <c r="M329" s="10" t="s">
        <v>21677</v>
      </c>
      <c r="N329" s="10" t="s">
        <v>21605</v>
      </c>
      <c r="R329" s="9">
        <v>46088.427337962959</v>
      </c>
      <c r="S329" s="9">
        <v>46088.427337962959</v>
      </c>
    </row>
    <row r="330" spans="1:19" ht="12.5">
      <c r="A330" s="10" t="s">
        <v>21678</v>
      </c>
      <c r="B330" s="5" t="s">
        <v>12498</v>
      </c>
      <c r="C330" s="5">
        <v>573135743603</v>
      </c>
      <c r="D330" s="5" t="s">
        <v>375</v>
      </c>
      <c r="E330" s="5" t="s">
        <v>12500</v>
      </c>
      <c r="F330" s="5" t="s">
        <v>10526</v>
      </c>
      <c r="G330" s="5" t="s">
        <v>19377</v>
      </c>
      <c r="H330" s="10" t="s">
        <v>19376</v>
      </c>
      <c r="I330" s="5" t="s">
        <v>3962</v>
      </c>
      <c r="K330" s="23">
        <v>46088.487118055556</v>
      </c>
      <c r="L330" s="5" t="s">
        <v>17416</v>
      </c>
      <c r="M330" s="10" t="s">
        <v>21679</v>
      </c>
      <c r="N330" s="10" t="s">
        <v>20938</v>
      </c>
      <c r="P330" s="5" t="s">
        <v>14593</v>
      </c>
      <c r="R330" s="9">
        <v>46088.42763888889</v>
      </c>
      <c r="S330" s="9">
        <v>46088.42763888889</v>
      </c>
    </row>
    <row r="331" spans="1:19" ht="12.5">
      <c r="A331" s="10" t="s">
        <v>21680</v>
      </c>
      <c r="B331" s="5" t="s">
        <v>12481</v>
      </c>
      <c r="C331" s="5">
        <v>573174391102</v>
      </c>
      <c r="D331" s="5" t="s">
        <v>12484</v>
      </c>
      <c r="E331" s="5" t="s">
        <v>12483</v>
      </c>
      <c r="F331" s="5" t="s">
        <v>161</v>
      </c>
      <c r="G331" s="5" t="s">
        <v>21681</v>
      </c>
      <c r="H331" s="10" t="s">
        <v>21682</v>
      </c>
      <c r="K331" s="23">
        <v>46087.661446759259</v>
      </c>
      <c r="L331" s="5" t="s">
        <v>6139</v>
      </c>
      <c r="M331" s="10" t="s">
        <v>21683</v>
      </c>
      <c r="N331" s="10" t="s">
        <v>21605</v>
      </c>
      <c r="P331" s="5" t="s">
        <v>14593</v>
      </c>
      <c r="R331" s="9">
        <v>46088.430393518516</v>
      </c>
      <c r="S331" s="9">
        <v>46088.430393518516</v>
      </c>
    </row>
    <row r="332" spans="1:19" ht="12.5">
      <c r="A332" s="10" t="s">
        <v>21684</v>
      </c>
      <c r="B332" s="5" t="s">
        <v>12490</v>
      </c>
      <c r="C332" s="5">
        <v>573104426028</v>
      </c>
      <c r="D332" s="5" t="s">
        <v>4616</v>
      </c>
      <c r="E332" s="5" t="s">
        <v>12491</v>
      </c>
      <c r="F332" s="5" t="s">
        <v>103</v>
      </c>
      <c r="G332" s="5" t="s">
        <v>2955</v>
      </c>
      <c r="H332" s="10" t="s">
        <v>21685</v>
      </c>
      <c r="K332" s="23">
        <v>46087.661412037036</v>
      </c>
      <c r="L332" s="5" t="s">
        <v>6139</v>
      </c>
      <c r="M332" s="10" t="s">
        <v>21686</v>
      </c>
      <c r="N332" s="10" t="s">
        <v>21687</v>
      </c>
      <c r="P332" s="5" t="s">
        <v>14593</v>
      </c>
      <c r="R332" s="9">
        <v>46088.433749999997</v>
      </c>
      <c r="S332" s="9">
        <v>46088.433749999997</v>
      </c>
    </row>
    <row r="333" spans="1:19" ht="12.5">
      <c r="A333" s="10" t="s">
        <v>21688</v>
      </c>
      <c r="B333" s="5" t="s">
        <v>12494</v>
      </c>
      <c r="C333" s="5">
        <v>573017607682</v>
      </c>
      <c r="D333" s="5" t="s">
        <v>12496</v>
      </c>
      <c r="E333" s="5" t="s">
        <v>12495</v>
      </c>
      <c r="F333" s="5" t="s">
        <v>328</v>
      </c>
      <c r="G333" s="5" t="s">
        <v>8992</v>
      </c>
      <c r="H333" s="10" t="s">
        <v>21689</v>
      </c>
      <c r="K333" s="23">
        <v>46087.661377314813</v>
      </c>
      <c r="L333" s="5" t="s">
        <v>6139</v>
      </c>
      <c r="M333" s="10" t="s">
        <v>21690</v>
      </c>
      <c r="N333" s="10" t="s">
        <v>21567</v>
      </c>
      <c r="R333" s="9">
        <v>46088.437418981484</v>
      </c>
      <c r="S333" s="9">
        <v>46088.437418981484</v>
      </c>
    </row>
    <row r="334" spans="1:19" ht="12.5">
      <c r="A334" s="10" t="s">
        <v>21691</v>
      </c>
      <c r="B334" s="5" t="s">
        <v>12487</v>
      </c>
      <c r="C334" s="5">
        <v>573023783683</v>
      </c>
      <c r="D334" s="5" t="s">
        <v>3356</v>
      </c>
      <c r="E334" s="5" t="s">
        <v>12489</v>
      </c>
      <c r="F334" s="5" t="s">
        <v>1047</v>
      </c>
      <c r="G334" s="5" t="s">
        <v>12488</v>
      </c>
      <c r="H334" s="10" t="s">
        <v>21692</v>
      </c>
      <c r="K334" s="23">
        <v>46087.66134259259</v>
      </c>
      <c r="L334" s="5" t="s">
        <v>6139</v>
      </c>
      <c r="M334" s="10" t="s">
        <v>21693</v>
      </c>
      <c r="N334" s="10" t="s">
        <v>21605</v>
      </c>
      <c r="P334" s="5" t="s">
        <v>14580</v>
      </c>
      <c r="R334" s="9">
        <v>46088.441250000003</v>
      </c>
      <c r="S334" s="9">
        <v>46088.441250000003</v>
      </c>
    </row>
    <row r="335" spans="1:19" ht="12.5">
      <c r="A335" s="10" t="s">
        <v>21694</v>
      </c>
      <c r="B335" s="5" t="s">
        <v>12477</v>
      </c>
      <c r="C335" s="5">
        <v>573015081991</v>
      </c>
      <c r="D335" s="5" t="s">
        <v>734</v>
      </c>
      <c r="E335" s="5" t="s">
        <v>12479</v>
      </c>
      <c r="F335" s="5" t="s">
        <v>103</v>
      </c>
      <c r="G335" s="5" t="s">
        <v>12478</v>
      </c>
      <c r="H335" s="10" t="s">
        <v>21695</v>
      </c>
      <c r="K335" s="23">
        <v>46087.661319444444</v>
      </c>
      <c r="L335" s="5" t="s">
        <v>6139</v>
      </c>
      <c r="M335" s="10" t="s">
        <v>21696</v>
      </c>
      <c r="N335" s="10" t="s">
        <v>21567</v>
      </c>
      <c r="P335" s="5" t="s">
        <v>14593</v>
      </c>
      <c r="R335" s="9">
        <v>46088.441354166665</v>
      </c>
      <c r="S335" s="9">
        <v>46088.441354166665</v>
      </c>
    </row>
    <row r="336" spans="1:19" ht="12.5">
      <c r="A336" s="10" t="s">
        <v>21697</v>
      </c>
      <c r="B336" s="5" t="s">
        <v>12472</v>
      </c>
      <c r="C336" s="5">
        <v>573045917274</v>
      </c>
      <c r="D336" s="5" t="s">
        <v>649</v>
      </c>
      <c r="E336" s="5" t="s">
        <v>12474</v>
      </c>
      <c r="F336" s="5" t="s">
        <v>103</v>
      </c>
      <c r="G336" s="5" t="s">
        <v>21698</v>
      </c>
      <c r="H336" s="10" t="s">
        <v>21699</v>
      </c>
      <c r="K336" s="23">
        <v>46088.321886574071</v>
      </c>
      <c r="L336" s="5" t="s">
        <v>6139</v>
      </c>
      <c r="M336" s="10" t="s">
        <v>21700</v>
      </c>
      <c r="N336" s="10" t="s">
        <v>21701</v>
      </c>
      <c r="P336" s="5" t="s">
        <v>14593</v>
      </c>
      <c r="R336" s="9">
        <v>46088.442002314812</v>
      </c>
      <c r="S336" s="9">
        <v>46088.442002314812</v>
      </c>
    </row>
    <row r="337" spans="1:19" ht="12.5">
      <c r="A337" s="10" t="s">
        <v>21702</v>
      </c>
      <c r="B337" s="5" t="s">
        <v>2201</v>
      </c>
      <c r="C337" s="5">
        <v>573204899499</v>
      </c>
      <c r="D337" s="5" t="s">
        <v>12374</v>
      </c>
      <c r="E337" s="5" t="s">
        <v>12373</v>
      </c>
      <c r="F337" s="5" t="s">
        <v>73</v>
      </c>
      <c r="G337" s="5" t="s">
        <v>2203</v>
      </c>
      <c r="H337" s="10" t="s">
        <v>21703</v>
      </c>
      <c r="I337" s="5" t="s">
        <v>20688</v>
      </c>
      <c r="K337" s="23">
        <v>46088.337465277778</v>
      </c>
      <c r="L337" s="5" t="s">
        <v>17416</v>
      </c>
      <c r="M337" s="10" t="s">
        <v>21704</v>
      </c>
      <c r="N337" s="10" t="s">
        <v>21266</v>
      </c>
      <c r="P337" s="5" t="s">
        <v>14593</v>
      </c>
      <c r="R337" s="9">
        <v>46088.450509259259</v>
      </c>
      <c r="S337" s="9">
        <v>46088.450509259259</v>
      </c>
    </row>
    <row r="338" spans="1:19" ht="12.5">
      <c r="A338" s="10" t="s">
        <v>21705</v>
      </c>
      <c r="B338" s="5" t="s">
        <v>12467</v>
      </c>
      <c r="C338" s="5">
        <v>573148379285</v>
      </c>
      <c r="D338" s="5" t="s">
        <v>222</v>
      </c>
      <c r="E338" s="5" t="s">
        <v>12469</v>
      </c>
      <c r="F338" s="5" t="s">
        <v>103</v>
      </c>
      <c r="G338" s="5" t="s">
        <v>19354</v>
      </c>
      <c r="H338" s="10" t="s">
        <v>21706</v>
      </c>
      <c r="K338" s="23">
        <v>46087.661273148151</v>
      </c>
      <c r="L338" s="5" t="s">
        <v>6139</v>
      </c>
      <c r="M338" s="10" t="s">
        <v>21707</v>
      </c>
      <c r="N338" s="10" t="s">
        <v>21605</v>
      </c>
      <c r="P338" s="5" t="s">
        <v>14593</v>
      </c>
      <c r="R338" s="9">
        <v>46088.450520833336</v>
      </c>
      <c r="S338" s="9">
        <v>46088.450520833336</v>
      </c>
    </row>
    <row r="339" spans="1:19" ht="12.5">
      <c r="A339" s="10" t="s">
        <v>21708</v>
      </c>
      <c r="B339" s="5" t="s">
        <v>12454</v>
      </c>
      <c r="C339" s="5">
        <v>573208311214</v>
      </c>
      <c r="D339" s="5" t="s">
        <v>12457</v>
      </c>
      <c r="E339" s="5" t="s">
        <v>12456</v>
      </c>
      <c r="F339" s="5" t="s">
        <v>4558</v>
      </c>
      <c r="G339" s="5" t="s">
        <v>12454</v>
      </c>
      <c r="H339" s="10" t="s">
        <v>21709</v>
      </c>
      <c r="I339" s="5" t="s">
        <v>20688</v>
      </c>
      <c r="K339" s="23">
        <v>46088.42763888889</v>
      </c>
      <c r="L339" s="5" t="s">
        <v>17416</v>
      </c>
      <c r="M339" s="10" t="s">
        <v>21710</v>
      </c>
      <c r="N339" s="10" t="s">
        <v>20969</v>
      </c>
      <c r="P339" s="5" t="s">
        <v>14593</v>
      </c>
      <c r="R339" s="9">
        <v>46088.451793981483</v>
      </c>
      <c r="S339" s="9">
        <v>46088.451793981483</v>
      </c>
    </row>
    <row r="340" spans="1:19" ht="12.5">
      <c r="A340" s="10" t="s">
        <v>21711</v>
      </c>
      <c r="B340" s="5" t="s">
        <v>12461</v>
      </c>
      <c r="C340" s="5">
        <v>573007516067</v>
      </c>
      <c r="D340" s="5" t="s">
        <v>12464</v>
      </c>
      <c r="E340" s="5" t="s">
        <v>12463</v>
      </c>
      <c r="F340" s="5" t="s">
        <v>265</v>
      </c>
      <c r="G340" s="5" t="s">
        <v>12462</v>
      </c>
      <c r="H340" s="10" t="s">
        <v>19349</v>
      </c>
      <c r="K340" s="23">
        <v>46087.661238425928</v>
      </c>
      <c r="L340" s="5" t="s">
        <v>6139</v>
      </c>
      <c r="M340" s="10" t="s">
        <v>21712</v>
      </c>
      <c r="N340" s="10" t="s">
        <v>21713</v>
      </c>
      <c r="P340" s="5" t="s">
        <v>14691</v>
      </c>
      <c r="R340" s="9">
        <v>46088.452291666668</v>
      </c>
      <c r="S340" s="9">
        <v>46088.452291666668</v>
      </c>
    </row>
    <row r="341" spans="1:19" ht="12.5">
      <c r="A341" s="10" t="s">
        <v>21714</v>
      </c>
      <c r="B341" s="5" t="s">
        <v>12441</v>
      </c>
      <c r="C341" s="5">
        <v>573156121072</v>
      </c>
      <c r="D341" s="5" t="s">
        <v>370</v>
      </c>
      <c r="E341" s="5" t="s">
        <v>12443</v>
      </c>
      <c r="F341" s="5" t="s">
        <v>405</v>
      </c>
      <c r="G341" s="5" t="s">
        <v>12442</v>
      </c>
      <c r="H341" s="10" t="s">
        <v>21715</v>
      </c>
      <c r="K341" s="23">
        <v>46087.661192129628</v>
      </c>
      <c r="L341" s="5" t="s">
        <v>6139</v>
      </c>
      <c r="M341" s="10" t="s">
        <v>21716</v>
      </c>
      <c r="N341" s="10" t="s">
        <v>21717</v>
      </c>
      <c r="R341" s="9">
        <v>46088.454641203702</v>
      </c>
      <c r="S341" s="9">
        <v>46088.454641203702</v>
      </c>
    </row>
    <row r="342" spans="1:19" ht="12.5">
      <c r="A342" s="10" t="s">
        <v>21718</v>
      </c>
      <c r="B342" s="5" t="s">
        <v>12446</v>
      </c>
      <c r="C342" s="5">
        <v>573163977825</v>
      </c>
      <c r="D342" s="5" t="s">
        <v>12449</v>
      </c>
      <c r="E342" s="5" t="s">
        <v>12448</v>
      </c>
      <c r="F342" s="5" t="s">
        <v>726</v>
      </c>
      <c r="G342" s="5" t="s">
        <v>12447</v>
      </c>
      <c r="H342" s="10" t="s">
        <v>21719</v>
      </c>
      <c r="K342" s="23">
        <v>46087.661157407405</v>
      </c>
      <c r="L342" s="5" t="s">
        <v>6139</v>
      </c>
      <c r="M342" s="10" t="s">
        <v>21720</v>
      </c>
      <c r="N342" s="10" t="s">
        <v>21717</v>
      </c>
      <c r="P342" s="5" t="s">
        <v>14618</v>
      </c>
      <c r="R342" s="9">
        <v>46088.462476851855</v>
      </c>
      <c r="S342" s="9">
        <v>46088.462476851855</v>
      </c>
    </row>
    <row r="343" spans="1:19" ht="12.5">
      <c r="A343" s="10" t="s">
        <v>21721</v>
      </c>
      <c r="B343" s="5" t="s">
        <v>12452</v>
      </c>
      <c r="C343" s="5">
        <v>573103677331</v>
      </c>
      <c r="D343" s="5" t="s">
        <v>42</v>
      </c>
      <c r="E343" s="5" t="s">
        <v>12453</v>
      </c>
      <c r="G343" s="5" t="s">
        <v>12452</v>
      </c>
      <c r="H343" s="10" t="s">
        <v>21722</v>
      </c>
      <c r="K343" s="23">
        <v>46087.661122685182</v>
      </c>
      <c r="L343" s="5" t="s">
        <v>6139</v>
      </c>
      <c r="M343" s="10" t="s">
        <v>21723</v>
      </c>
      <c r="N343" s="10" t="s">
        <v>21724</v>
      </c>
      <c r="R343" s="9">
        <v>46088.482407407406</v>
      </c>
      <c r="S343" s="9">
        <v>46088.482407407406</v>
      </c>
    </row>
    <row r="344" spans="1:19" ht="12.5">
      <c r="A344" s="10" t="s">
        <v>21725</v>
      </c>
      <c r="B344" s="5" t="s">
        <v>12429</v>
      </c>
      <c r="C344" s="5">
        <v>573104311662</v>
      </c>
      <c r="D344" s="5" t="s">
        <v>12423</v>
      </c>
      <c r="E344" s="5" t="s">
        <v>12431</v>
      </c>
      <c r="F344" s="5" t="s">
        <v>249</v>
      </c>
      <c r="G344" s="5" t="s">
        <v>12430</v>
      </c>
      <c r="H344" s="10" t="s">
        <v>21726</v>
      </c>
      <c r="K344" s="23">
        <v>46087.661087962966</v>
      </c>
      <c r="L344" s="5" t="s">
        <v>6139</v>
      </c>
      <c r="M344" s="10" t="s">
        <v>21727</v>
      </c>
      <c r="N344" s="10" t="s">
        <v>21724</v>
      </c>
      <c r="P344" s="5" t="s">
        <v>14593</v>
      </c>
      <c r="R344" s="9">
        <v>46088.483888888892</v>
      </c>
      <c r="S344" s="9">
        <v>46088.483888888892</v>
      </c>
    </row>
    <row r="345" spans="1:19" ht="12.5">
      <c r="A345" s="10" t="s">
        <v>21728</v>
      </c>
      <c r="B345" s="5" t="s">
        <v>12434</v>
      </c>
      <c r="C345" s="5">
        <v>573107065358</v>
      </c>
      <c r="D345" s="5" t="s">
        <v>12437</v>
      </c>
      <c r="E345" s="5" t="s">
        <v>12436</v>
      </c>
      <c r="F345" s="5" t="s">
        <v>79</v>
      </c>
      <c r="G345" s="5" t="s">
        <v>21729</v>
      </c>
      <c r="H345" s="10" t="s">
        <v>21730</v>
      </c>
      <c r="K345" s="23">
        <v>46087.663043981483</v>
      </c>
      <c r="L345" s="5" t="s">
        <v>6139</v>
      </c>
      <c r="M345" s="10" t="s">
        <v>21731</v>
      </c>
      <c r="N345" s="10" t="s">
        <v>21605</v>
      </c>
      <c r="P345" s="5" t="s">
        <v>14593</v>
      </c>
      <c r="R345" s="9">
        <v>46088.484317129631</v>
      </c>
      <c r="S345" s="9">
        <v>46088.484317129631</v>
      </c>
    </row>
    <row r="346" spans="1:19" ht="12.5">
      <c r="A346" s="10" t="s">
        <v>21732</v>
      </c>
      <c r="B346" s="5" t="s">
        <v>12424</v>
      </c>
      <c r="C346" s="5">
        <v>573008156378</v>
      </c>
      <c r="D346" s="5" t="s">
        <v>294</v>
      </c>
      <c r="E346" s="5" t="s">
        <v>12426</v>
      </c>
      <c r="F346" s="5" t="s">
        <v>161</v>
      </c>
      <c r="G346" s="5" t="s">
        <v>16649</v>
      </c>
      <c r="H346" s="10" t="s">
        <v>21733</v>
      </c>
      <c r="K346" s="23">
        <v>46087.661053240743</v>
      </c>
      <c r="L346" s="5" t="s">
        <v>6139</v>
      </c>
      <c r="M346" s="10" t="s">
        <v>21734</v>
      </c>
      <c r="N346" s="10" t="s">
        <v>21724</v>
      </c>
      <c r="P346" s="5" t="s">
        <v>14593</v>
      </c>
      <c r="R346" s="9">
        <v>46088.486527777779</v>
      </c>
      <c r="S346" s="9">
        <v>46088.486527777779</v>
      </c>
    </row>
    <row r="347" spans="1:19" ht="12.5">
      <c r="A347" s="10" t="s">
        <v>21735</v>
      </c>
      <c r="B347" s="5" t="s">
        <v>12415</v>
      </c>
      <c r="C347" s="5">
        <v>573016810193</v>
      </c>
      <c r="D347" s="5" t="s">
        <v>12406</v>
      </c>
      <c r="E347" s="5" t="s">
        <v>12418</v>
      </c>
      <c r="F347" s="5" t="s">
        <v>12417</v>
      </c>
      <c r="G347" s="5" t="s">
        <v>21736</v>
      </c>
      <c r="H347" s="10" t="s">
        <v>21737</v>
      </c>
      <c r="K347" s="23">
        <v>46087.66101851852</v>
      </c>
      <c r="L347" s="5" t="s">
        <v>6139</v>
      </c>
      <c r="M347" s="10" t="s">
        <v>21738</v>
      </c>
      <c r="N347" s="10" t="s">
        <v>21605</v>
      </c>
      <c r="P347" s="5" t="s">
        <v>14598</v>
      </c>
      <c r="R347" s="9">
        <v>46088.487118055556</v>
      </c>
      <c r="S347" s="9">
        <v>46088.487118055556</v>
      </c>
    </row>
    <row r="348" spans="1:19" ht="12.5">
      <c r="A348" s="10" t="s">
        <v>21739</v>
      </c>
      <c r="B348" s="5" t="s">
        <v>12411</v>
      </c>
      <c r="C348" s="5">
        <v>573003675967</v>
      </c>
      <c r="D348" s="5" t="s">
        <v>12414</v>
      </c>
      <c r="E348" s="5" t="s">
        <v>12413</v>
      </c>
      <c r="F348" s="5" t="s">
        <v>307</v>
      </c>
      <c r="G348" s="5" t="s">
        <v>12411</v>
      </c>
      <c r="H348" s="10" t="s">
        <v>21740</v>
      </c>
      <c r="K348" s="23">
        <v>46087.753993055558</v>
      </c>
      <c r="L348" s="5" t="s">
        <v>6139</v>
      </c>
      <c r="M348" s="10" t="s">
        <v>21741</v>
      </c>
      <c r="N348" s="10" t="s">
        <v>21438</v>
      </c>
      <c r="P348" s="5" t="s">
        <v>14618</v>
      </c>
      <c r="R348" s="9">
        <v>46088.632384259261</v>
      </c>
      <c r="S348" s="9">
        <v>46088.632384259261</v>
      </c>
    </row>
    <row r="349" spans="1:19" ht="12.5">
      <c r="A349" s="10" t="s">
        <v>21742</v>
      </c>
      <c r="B349" s="5" t="s">
        <v>12377</v>
      </c>
      <c r="C349" s="5">
        <v>573002630432</v>
      </c>
      <c r="D349" s="5" t="s">
        <v>375</v>
      </c>
      <c r="E349" s="5" t="s">
        <v>12379</v>
      </c>
      <c r="F349" s="5" t="s">
        <v>1047</v>
      </c>
      <c r="G349" s="5" t="s">
        <v>12377</v>
      </c>
      <c r="H349" s="10" t="s">
        <v>21743</v>
      </c>
      <c r="K349" s="23">
        <v>46087.660949074074</v>
      </c>
      <c r="L349" s="5" t="s">
        <v>6139</v>
      </c>
      <c r="M349" s="10" t="s">
        <v>21744</v>
      </c>
      <c r="N349" s="10" t="s">
        <v>21724</v>
      </c>
      <c r="P349" s="5" t="s">
        <v>14580</v>
      </c>
      <c r="R349" s="9">
        <v>46088.499583333331</v>
      </c>
      <c r="S349" s="9">
        <v>46088.499583333331</v>
      </c>
    </row>
    <row r="350" spans="1:19" ht="12.5">
      <c r="A350" s="10" t="s">
        <v>21745</v>
      </c>
      <c r="B350" s="5" t="s">
        <v>12408</v>
      </c>
      <c r="C350" s="5">
        <v>573004589061</v>
      </c>
      <c r="D350" s="5" t="s">
        <v>375</v>
      </c>
      <c r="E350" s="5" t="s">
        <v>12410</v>
      </c>
      <c r="F350" s="5" t="s">
        <v>103</v>
      </c>
      <c r="G350" s="5" t="s">
        <v>12409</v>
      </c>
      <c r="H350" s="10" t="s">
        <v>21746</v>
      </c>
      <c r="K350" s="23">
        <v>46087.660914351851</v>
      </c>
      <c r="L350" s="5" t="s">
        <v>6139</v>
      </c>
      <c r="M350" s="10" t="s">
        <v>21747</v>
      </c>
      <c r="N350" s="10" t="s">
        <v>21724</v>
      </c>
      <c r="P350" s="5" t="s">
        <v>14593</v>
      </c>
      <c r="R350" s="9">
        <v>46088.504201388889</v>
      </c>
      <c r="S350" s="9">
        <v>46088.504201388889</v>
      </c>
    </row>
    <row r="351" spans="1:19" ht="12.5">
      <c r="A351" s="10" t="s">
        <v>21748</v>
      </c>
      <c r="B351" s="5" t="s">
        <v>2820</v>
      </c>
      <c r="C351" s="5">
        <v>573162844144</v>
      </c>
      <c r="D351" s="5" t="s">
        <v>11891</v>
      </c>
      <c r="E351" s="5" t="s">
        <v>12402</v>
      </c>
      <c r="F351" s="5" t="s">
        <v>185</v>
      </c>
      <c r="G351" s="5" t="s">
        <v>2818</v>
      </c>
      <c r="H351" s="10" t="s">
        <v>19318</v>
      </c>
      <c r="K351" s="23">
        <v>46087.660879629628</v>
      </c>
      <c r="L351" s="5" t="s">
        <v>6139</v>
      </c>
      <c r="M351" s="10" t="s">
        <v>21749</v>
      </c>
      <c r="N351" s="10" t="s">
        <v>21750</v>
      </c>
      <c r="P351" s="5" t="s">
        <v>14580</v>
      </c>
      <c r="R351" s="9">
        <v>46088.507361111115</v>
      </c>
      <c r="S351" s="9">
        <v>46088.507361111115</v>
      </c>
    </row>
    <row r="352" spans="1:19" ht="12.5">
      <c r="A352" s="10" t="s">
        <v>21751</v>
      </c>
      <c r="B352" s="5" t="s">
        <v>12403</v>
      </c>
      <c r="C352" s="5">
        <v>573002016272</v>
      </c>
      <c r="D352" s="5" t="s">
        <v>12406</v>
      </c>
      <c r="E352" s="5" t="s">
        <v>12405</v>
      </c>
      <c r="F352" s="5" t="s">
        <v>328</v>
      </c>
      <c r="G352" s="5" t="s">
        <v>19315</v>
      </c>
      <c r="H352" s="10" t="s">
        <v>21752</v>
      </c>
      <c r="K352" s="23">
        <v>46087.660810185182</v>
      </c>
      <c r="L352" s="5" t="s">
        <v>6139</v>
      </c>
      <c r="M352" s="10" t="s">
        <v>21753</v>
      </c>
      <c r="N352" s="10" t="s">
        <v>21750</v>
      </c>
      <c r="R352" s="9">
        <v>46088.509236111109</v>
      </c>
      <c r="S352" s="9">
        <v>46088.509236111109</v>
      </c>
    </row>
    <row r="353" spans="1:19" ht="12.5">
      <c r="A353" s="10" t="s">
        <v>21754</v>
      </c>
      <c r="B353" s="5" t="s">
        <v>12387</v>
      </c>
      <c r="C353" s="5">
        <v>573134561374</v>
      </c>
      <c r="D353" s="5" t="s">
        <v>734</v>
      </c>
      <c r="E353" s="5" t="s">
        <v>12389</v>
      </c>
      <c r="F353" s="5" t="s">
        <v>185</v>
      </c>
      <c r="G353" s="5" t="s">
        <v>12388</v>
      </c>
      <c r="H353" s="10" t="s">
        <v>21755</v>
      </c>
      <c r="K353" s="23">
        <v>46087.660775462966</v>
      </c>
      <c r="L353" s="5" t="s">
        <v>6139</v>
      </c>
      <c r="M353" s="10" t="s">
        <v>21756</v>
      </c>
      <c r="N353" s="10" t="s">
        <v>21750</v>
      </c>
      <c r="P353" s="5" t="s">
        <v>14580</v>
      </c>
      <c r="R353" s="9">
        <v>46088.510115740741</v>
      </c>
      <c r="S353" s="9">
        <v>46088.510115740741</v>
      </c>
    </row>
    <row r="354" spans="1:19" ht="12.5">
      <c r="A354" s="10" t="s">
        <v>21757</v>
      </c>
      <c r="B354" s="5" t="s">
        <v>12398</v>
      </c>
      <c r="C354" s="5">
        <v>573052458925</v>
      </c>
      <c r="D354" s="5" t="s">
        <v>187</v>
      </c>
      <c r="E354" s="5" t="s">
        <v>12400</v>
      </c>
      <c r="F354" s="5" t="s">
        <v>265</v>
      </c>
      <c r="G354" s="5" t="s">
        <v>12399</v>
      </c>
      <c r="H354" s="10" t="s">
        <v>21758</v>
      </c>
      <c r="K354" s="23">
        <v>46087.660740740743</v>
      </c>
      <c r="L354" s="5" t="s">
        <v>6139</v>
      </c>
      <c r="M354" s="10" t="s">
        <v>21759</v>
      </c>
      <c r="N354" s="10" t="s">
        <v>21724</v>
      </c>
      <c r="P354" s="5" t="s">
        <v>14691</v>
      </c>
      <c r="R354" s="9">
        <v>46088.519467592596</v>
      </c>
      <c r="S354" s="9">
        <v>46088.519467592596</v>
      </c>
    </row>
    <row r="355" spans="1:19" ht="12.5">
      <c r="A355" s="10" t="s">
        <v>21760</v>
      </c>
      <c r="B355" s="5" t="s">
        <v>12367</v>
      </c>
      <c r="C355" s="5">
        <v>573158836468</v>
      </c>
      <c r="D355" s="5" t="s">
        <v>12370</v>
      </c>
      <c r="E355" s="5" t="s">
        <v>12369</v>
      </c>
      <c r="F355" s="5" t="s">
        <v>110</v>
      </c>
      <c r="G355" s="5" t="s">
        <v>12367</v>
      </c>
      <c r="H355" s="10" t="s">
        <v>21761</v>
      </c>
      <c r="K355" s="23">
        <v>46087.66070601852</v>
      </c>
      <c r="L355" s="5" t="s">
        <v>6139</v>
      </c>
      <c r="M355" s="10" t="s">
        <v>21762</v>
      </c>
      <c r="N355" s="10" t="s">
        <v>21750</v>
      </c>
      <c r="P355" s="5" t="s">
        <v>14593</v>
      </c>
      <c r="R355" s="9">
        <v>46088.519849537035</v>
      </c>
      <c r="S355" s="9">
        <v>46088.519849537035</v>
      </c>
    </row>
    <row r="356" spans="1:19" ht="12.5">
      <c r="A356" s="10" t="s">
        <v>21763</v>
      </c>
      <c r="B356" s="5" t="s">
        <v>12362</v>
      </c>
      <c r="C356" s="5">
        <v>573016373200</v>
      </c>
      <c r="D356" s="5" t="s">
        <v>3892</v>
      </c>
      <c r="E356" s="5" t="s">
        <v>12364</v>
      </c>
      <c r="F356" s="5" t="s">
        <v>4403</v>
      </c>
      <c r="G356" s="5" t="s">
        <v>12363</v>
      </c>
      <c r="H356" s="10" t="s">
        <v>14934</v>
      </c>
      <c r="K356" s="23">
        <v>46087.66064814815</v>
      </c>
      <c r="L356" s="5" t="s">
        <v>6139</v>
      </c>
      <c r="M356" s="10" t="s">
        <v>21764</v>
      </c>
      <c r="N356" s="10" t="s">
        <v>21724</v>
      </c>
      <c r="P356" s="5" t="s">
        <v>14598</v>
      </c>
      <c r="R356" s="9">
        <v>46088.522013888891</v>
      </c>
      <c r="S356" s="9">
        <v>46088.522013888891</v>
      </c>
    </row>
    <row r="357" spans="1:19" ht="12.5">
      <c r="A357" s="10" t="s">
        <v>21765</v>
      </c>
      <c r="B357" s="5" t="s">
        <v>12359</v>
      </c>
      <c r="C357" s="5">
        <v>573008011124</v>
      </c>
      <c r="D357" s="5" t="s">
        <v>2586</v>
      </c>
      <c r="E357" s="5" t="s">
        <v>12360</v>
      </c>
      <c r="F357" s="5" t="s">
        <v>73</v>
      </c>
      <c r="G357" s="5" t="s">
        <v>12359</v>
      </c>
      <c r="H357" s="10" t="s">
        <v>21766</v>
      </c>
      <c r="K357" s="23">
        <v>46084.452569444446</v>
      </c>
      <c r="L357" s="5" t="s">
        <v>6139</v>
      </c>
      <c r="M357" s="10" t="s">
        <v>21767</v>
      </c>
      <c r="N357" s="10" t="s">
        <v>21768</v>
      </c>
      <c r="P357" s="5" t="s">
        <v>14593</v>
      </c>
      <c r="R357" s="9">
        <v>46089.441990740743</v>
      </c>
      <c r="S357" s="9">
        <v>46089.441990740743</v>
      </c>
    </row>
    <row r="358" spans="1:19" ht="12.5">
      <c r="A358" s="10" t="s">
        <v>21769</v>
      </c>
      <c r="B358" s="5" t="s">
        <v>12356</v>
      </c>
      <c r="C358" s="5">
        <v>573166902233</v>
      </c>
      <c r="D358" s="5" t="s">
        <v>251</v>
      </c>
      <c r="E358" s="5" t="s">
        <v>12358</v>
      </c>
      <c r="F358" s="5" t="s">
        <v>63</v>
      </c>
      <c r="G358" s="5" t="s">
        <v>21770</v>
      </c>
      <c r="H358" s="10" t="s">
        <v>21771</v>
      </c>
      <c r="K358" s="23">
        <v>46087.660624999997</v>
      </c>
      <c r="L358" s="5" t="s">
        <v>6139</v>
      </c>
      <c r="M358" s="10" t="s">
        <v>21772</v>
      </c>
      <c r="N358" s="10" t="s">
        <v>21773</v>
      </c>
      <c r="P358" s="5" t="s">
        <v>14598</v>
      </c>
      <c r="R358" s="9">
        <v>46088.542800925927</v>
      </c>
      <c r="S358" s="9">
        <v>46088.542800925927</v>
      </c>
    </row>
    <row r="359" spans="1:19" ht="12.5">
      <c r="A359" s="10" t="s">
        <v>21774</v>
      </c>
      <c r="B359" s="5" t="s">
        <v>12352</v>
      </c>
      <c r="C359" s="5">
        <v>573113154998</v>
      </c>
      <c r="D359" s="5" t="s">
        <v>309</v>
      </c>
      <c r="E359" s="5" t="s">
        <v>12353</v>
      </c>
      <c r="F359" s="5" t="s">
        <v>63</v>
      </c>
      <c r="G359" s="5" t="s">
        <v>12352</v>
      </c>
      <c r="H359" s="10" t="s">
        <v>21775</v>
      </c>
      <c r="K359" s="23">
        <v>46087.611574074072</v>
      </c>
      <c r="L359" s="5" t="s">
        <v>6139</v>
      </c>
      <c r="M359" s="10" t="s">
        <v>21776</v>
      </c>
      <c r="N359" s="10" t="s">
        <v>21589</v>
      </c>
      <c r="P359" s="5" t="s">
        <v>14598</v>
      </c>
      <c r="R359" s="9">
        <v>46088.56454861111</v>
      </c>
      <c r="S359" s="9">
        <v>46088.56454861111</v>
      </c>
    </row>
    <row r="360" spans="1:19" ht="12.5">
      <c r="A360" s="10" t="s">
        <v>21777</v>
      </c>
      <c r="B360" s="5" t="s">
        <v>12347</v>
      </c>
      <c r="C360" s="5">
        <v>573002288111</v>
      </c>
      <c r="D360" s="5" t="s">
        <v>187</v>
      </c>
      <c r="E360" s="5" t="s">
        <v>12349</v>
      </c>
      <c r="F360" s="5" t="s">
        <v>11248</v>
      </c>
      <c r="G360" s="5" t="s">
        <v>21778</v>
      </c>
      <c r="H360" s="10" t="s">
        <v>21779</v>
      </c>
      <c r="K360" s="23">
        <v>46084.45208333333</v>
      </c>
      <c r="L360" s="5" t="s">
        <v>6139</v>
      </c>
      <c r="M360" s="10" t="s">
        <v>21780</v>
      </c>
      <c r="N360" s="10" t="s">
        <v>21724</v>
      </c>
      <c r="P360" s="5" t="s">
        <v>14618</v>
      </c>
      <c r="R360" s="9">
        <v>46088.572280092594</v>
      </c>
      <c r="S360" s="9">
        <v>46088.572280092594</v>
      </c>
    </row>
    <row r="361" spans="1:19" ht="12.5">
      <c r="A361" s="10" t="s">
        <v>21781</v>
      </c>
      <c r="B361" s="5" t="s">
        <v>12342</v>
      </c>
      <c r="C361" s="5">
        <v>573165653164</v>
      </c>
      <c r="D361" s="5" t="s">
        <v>42</v>
      </c>
      <c r="E361" s="5" t="s">
        <v>12344</v>
      </c>
      <c r="F361" s="5" t="s">
        <v>103</v>
      </c>
      <c r="G361" s="5" t="s">
        <v>21782</v>
      </c>
      <c r="H361" s="10" t="s">
        <v>18362</v>
      </c>
      <c r="K361" s="23">
        <v>46084.451273148145</v>
      </c>
      <c r="L361" s="5" t="s">
        <v>6139</v>
      </c>
      <c r="M361" s="10" t="s">
        <v>21783</v>
      </c>
      <c r="N361" s="10" t="s">
        <v>21724</v>
      </c>
      <c r="P361" s="5" t="s">
        <v>14593</v>
      </c>
      <c r="R361" s="9">
        <v>46088.572430555556</v>
      </c>
      <c r="S361" s="9">
        <v>46088.572430555556</v>
      </c>
    </row>
    <row r="362" spans="1:19" ht="12.5">
      <c r="A362" s="10" t="s">
        <v>21784</v>
      </c>
      <c r="B362" s="5" t="s">
        <v>12339</v>
      </c>
      <c r="C362" s="5">
        <v>573145954990</v>
      </c>
      <c r="D362" s="5" t="s">
        <v>4616</v>
      </c>
      <c r="E362" s="5" t="s">
        <v>12341</v>
      </c>
      <c r="F362" s="5" t="s">
        <v>328</v>
      </c>
      <c r="G362" s="5" t="s">
        <v>12340</v>
      </c>
      <c r="H362" s="10" t="s">
        <v>21785</v>
      </c>
      <c r="K362" s="23">
        <v>46087.660578703704</v>
      </c>
      <c r="L362" s="5" t="s">
        <v>6139</v>
      </c>
      <c r="M362" s="10" t="s">
        <v>21786</v>
      </c>
      <c r="N362" s="10" t="s">
        <v>21773</v>
      </c>
      <c r="R362" s="9">
        <v>46088.57640046296</v>
      </c>
      <c r="S362" s="9">
        <v>46088.57640046296</v>
      </c>
    </row>
    <row r="363" spans="1:19" ht="12.5">
      <c r="A363" s="10" t="s">
        <v>21787</v>
      </c>
      <c r="B363" s="5" t="s">
        <v>12333</v>
      </c>
      <c r="C363" s="5">
        <v>573013637941</v>
      </c>
      <c r="D363" s="5" t="s">
        <v>12336</v>
      </c>
      <c r="E363" s="5" t="s">
        <v>12335</v>
      </c>
      <c r="F363" s="5" t="s">
        <v>161</v>
      </c>
      <c r="G363" s="5" t="s">
        <v>12334</v>
      </c>
      <c r="H363" s="10" t="s">
        <v>21788</v>
      </c>
      <c r="K363" s="23">
        <v>46084.451898148145</v>
      </c>
      <c r="L363" s="5" t="s">
        <v>6139</v>
      </c>
      <c r="M363" s="10" t="s">
        <v>21789</v>
      </c>
      <c r="N363" s="10" t="s">
        <v>21790</v>
      </c>
      <c r="P363" s="5" t="s">
        <v>14593</v>
      </c>
      <c r="R363" s="9">
        <v>46088.579363425924</v>
      </c>
      <c r="S363" s="9">
        <v>46088.579363425924</v>
      </c>
    </row>
    <row r="364" spans="1:19" ht="12.5">
      <c r="A364" s="10" t="s">
        <v>21791</v>
      </c>
      <c r="B364" s="5" t="s">
        <v>12327</v>
      </c>
      <c r="C364" s="5">
        <v>573002871255</v>
      </c>
      <c r="D364" s="5" t="s">
        <v>42</v>
      </c>
      <c r="E364" s="5" t="s">
        <v>12329</v>
      </c>
      <c r="F364" s="5" t="s">
        <v>328</v>
      </c>
      <c r="G364" s="5" t="s">
        <v>12327</v>
      </c>
      <c r="H364" s="10" t="s">
        <v>21792</v>
      </c>
      <c r="K364" s="23">
        <v>46087.660474537035</v>
      </c>
      <c r="L364" s="5" t="s">
        <v>6139</v>
      </c>
      <c r="M364" s="10" t="s">
        <v>21793</v>
      </c>
      <c r="N364" s="10" t="s">
        <v>21794</v>
      </c>
      <c r="R364" s="9">
        <v>46088.579826388886</v>
      </c>
      <c r="S364" s="9">
        <v>46088.579826388886</v>
      </c>
    </row>
    <row r="365" spans="1:19" ht="12.5">
      <c r="A365" s="10" t="s">
        <v>21795</v>
      </c>
      <c r="B365" s="5" t="s">
        <v>12317</v>
      </c>
      <c r="C365" s="5">
        <v>573116096099</v>
      </c>
      <c r="D365" s="5" t="s">
        <v>12319</v>
      </c>
      <c r="E365" s="5" t="s">
        <v>12318</v>
      </c>
      <c r="F365" s="5" t="s">
        <v>4558</v>
      </c>
      <c r="G365" s="5" t="s">
        <v>1204</v>
      </c>
      <c r="H365" s="10" t="s">
        <v>21796</v>
      </c>
      <c r="K365" s="23">
        <v>46087.660428240742</v>
      </c>
      <c r="L365" s="5" t="s">
        <v>6139</v>
      </c>
      <c r="M365" s="10" t="s">
        <v>21797</v>
      </c>
      <c r="N365" s="10" t="s">
        <v>21589</v>
      </c>
      <c r="P365" s="5" t="s">
        <v>14593</v>
      </c>
      <c r="R365" s="9">
        <v>46088.586585648147</v>
      </c>
      <c r="S365" s="9">
        <v>46088.586585648147</v>
      </c>
    </row>
    <row r="366" spans="1:19" ht="12.5">
      <c r="A366" s="10" t="s">
        <v>21798</v>
      </c>
      <c r="B366" s="5" t="s">
        <v>12312</v>
      </c>
      <c r="C366" s="5">
        <v>573116424415</v>
      </c>
      <c r="D366" s="5" t="s">
        <v>42</v>
      </c>
      <c r="E366" s="5" t="s">
        <v>19277</v>
      </c>
      <c r="F366" s="5" t="s">
        <v>63</v>
      </c>
      <c r="G366" s="5" t="s">
        <v>12313</v>
      </c>
      <c r="H366" s="10" t="s">
        <v>21799</v>
      </c>
      <c r="K366" s="23">
        <v>46083.746481481481</v>
      </c>
      <c r="L366" s="5" t="s">
        <v>6139</v>
      </c>
      <c r="M366" s="10" t="s">
        <v>21800</v>
      </c>
      <c r="N366" s="10" t="s">
        <v>21801</v>
      </c>
      <c r="P366" s="5" t="s">
        <v>14598</v>
      </c>
      <c r="R366" s="9">
        <v>46088.596446759257</v>
      </c>
      <c r="S366" s="9">
        <v>46088.596446759257</v>
      </c>
    </row>
    <row r="367" spans="1:19" ht="12.5">
      <c r="A367" s="10" t="s">
        <v>21802</v>
      </c>
      <c r="B367" s="5" t="s">
        <v>12306</v>
      </c>
      <c r="C367" s="5">
        <v>573155772759</v>
      </c>
      <c r="D367" s="5" t="s">
        <v>12309</v>
      </c>
      <c r="E367" s="5" t="s">
        <v>12308</v>
      </c>
      <c r="F367" s="5" t="s">
        <v>63</v>
      </c>
      <c r="G367" s="5" t="s">
        <v>21803</v>
      </c>
      <c r="H367" s="10" t="s">
        <v>21804</v>
      </c>
      <c r="K367" s="23">
        <v>46086.509247685186</v>
      </c>
      <c r="L367" s="5" t="s">
        <v>6139</v>
      </c>
      <c r="M367" s="10" t="s">
        <v>21805</v>
      </c>
      <c r="N367" s="10" t="s">
        <v>20938</v>
      </c>
      <c r="P367" s="5" t="s">
        <v>14598</v>
      </c>
      <c r="R367" s="9">
        <v>46088.606030092589</v>
      </c>
      <c r="S367" s="9">
        <v>46088.606030092589</v>
      </c>
    </row>
    <row r="368" spans="1:19" ht="12.5">
      <c r="A368" s="10" t="s">
        <v>21806</v>
      </c>
      <c r="B368" s="5" t="s">
        <v>12292</v>
      </c>
      <c r="C368" s="5">
        <v>573043797446</v>
      </c>
      <c r="D368" s="5" t="s">
        <v>309</v>
      </c>
      <c r="E368" s="5" t="s">
        <v>12294</v>
      </c>
      <c r="F368" s="5" t="s">
        <v>9925</v>
      </c>
      <c r="G368" s="5" t="s">
        <v>12292</v>
      </c>
      <c r="H368" s="10" t="s">
        <v>21807</v>
      </c>
      <c r="K368" s="23">
        <v>46087.660381944443</v>
      </c>
      <c r="L368" s="5" t="s">
        <v>6139</v>
      </c>
      <c r="M368" s="10" t="s">
        <v>21808</v>
      </c>
      <c r="N368" s="10" t="s">
        <v>21773</v>
      </c>
      <c r="P368" s="5" t="s">
        <v>14618</v>
      </c>
      <c r="R368" s="9">
        <v>46088.606817129628</v>
      </c>
      <c r="S368" s="9">
        <v>46088.606817129628</v>
      </c>
    </row>
    <row r="369" spans="1:19" ht="12.5">
      <c r="A369" s="10" t="s">
        <v>21809</v>
      </c>
      <c r="B369" s="5" t="s">
        <v>12298</v>
      </c>
      <c r="C369" s="5">
        <v>573245908734</v>
      </c>
      <c r="D369" s="5" t="s">
        <v>1085</v>
      </c>
      <c r="E369" s="5" t="s">
        <v>12300</v>
      </c>
      <c r="F369" s="5" t="s">
        <v>249</v>
      </c>
      <c r="G369" s="5" t="s">
        <v>12299</v>
      </c>
      <c r="H369" s="10" t="s">
        <v>21810</v>
      </c>
      <c r="K369" s="23">
        <v>46083.678935185184</v>
      </c>
      <c r="L369" s="5" t="s">
        <v>6139</v>
      </c>
      <c r="M369" s="10" t="s">
        <v>21811</v>
      </c>
      <c r="N369" s="10" t="s">
        <v>21812</v>
      </c>
      <c r="P369" s="5" t="s">
        <v>14593</v>
      </c>
      <c r="R369" s="9">
        <v>46088.610381944447</v>
      </c>
      <c r="S369" s="9">
        <v>46088.610381944447</v>
      </c>
    </row>
    <row r="370" spans="1:19" ht="12.5">
      <c r="A370" s="10" t="s">
        <v>21813</v>
      </c>
      <c r="B370" s="5" t="s">
        <v>12287</v>
      </c>
      <c r="C370" s="5">
        <v>573014591116</v>
      </c>
      <c r="D370" s="5" t="s">
        <v>1102</v>
      </c>
      <c r="E370" s="5" t="s">
        <v>12289</v>
      </c>
      <c r="F370" s="5" t="s">
        <v>2865</v>
      </c>
      <c r="G370" s="5" t="s">
        <v>12288</v>
      </c>
      <c r="H370" s="10" t="s">
        <v>14788</v>
      </c>
      <c r="K370" s="23">
        <v>46083.679293981484</v>
      </c>
      <c r="L370" s="5" t="s">
        <v>6139</v>
      </c>
      <c r="M370" s="10" t="s">
        <v>21814</v>
      </c>
      <c r="N370" s="10" t="s">
        <v>21815</v>
      </c>
      <c r="P370" s="5" t="s">
        <v>14775</v>
      </c>
      <c r="R370" s="9">
        <v>46088.613125000003</v>
      </c>
      <c r="S370" s="9">
        <v>46088.613125000003</v>
      </c>
    </row>
    <row r="371" spans="1:19" ht="12.5">
      <c r="A371" s="10" t="s">
        <v>21816</v>
      </c>
      <c r="B371" s="5" t="s">
        <v>12278</v>
      </c>
      <c r="C371" s="5">
        <v>573008704329</v>
      </c>
      <c r="D371" s="5" t="s">
        <v>210</v>
      </c>
      <c r="E371" s="10" t="s">
        <v>12280</v>
      </c>
      <c r="F371" s="5" t="s">
        <v>249</v>
      </c>
      <c r="G371" s="5" t="s">
        <v>12279</v>
      </c>
      <c r="H371" s="10" t="s">
        <v>21817</v>
      </c>
      <c r="K371" s="23">
        <v>46083.679467592592</v>
      </c>
      <c r="L371" s="5" t="s">
        <v>6139</v>
      </c>
      <c r="M371" s="10" t="s">
        <v>21818</v>
      </c>
      <c r="N371" s="10" t="s">
        <v>21815</v>
      </c>
      <c r="P371" s="5" t="s">
        <v>14593</v>
      </c>
      <c r="R371" s="9">
        <v>46088.614872685182</v>
      </c>
      <c r="S371" s="9">
        <v>46088.614872685182</v>
      </c>
    </row>
    <row r="372" spans="1:19" ht="12.5">
      <c r="A372" s="10" t="s">
        <v>21819</v>
      </c>
      <c r="B372" s="5" t="s">
        <v>12202</v>
      </c>
      <c r="C372" s="5">
        <v>573043810703</v>
      </c>
      <c r="D372" s="5" t="s">
        <v>42</v>
      </c>
      <c r="E372" s="5" t="s">
        <v>12204</v>
      </c>
      <c r="G372" s="5" t="s">
        <v>12203</v>
      </c>
      <c r="H372" s="10" t="s">
        <v>21820</v>
      </c>
      <c r="K372" s="23">
        <v>46083.679652777777</v>
      </c>
      <c r="L372" s="5" t="s">
        <v>6139</v>
      </c>
      <c r="M372" s="10" t="s">
        <v>21821</v>
      </c>
      <c r="N372" s="10" t="s">
        <v>21812</v>
      </c>
      <c r="R372" s="9">
        <v>46088.617881944447</v>
      </c>
      <c r="S372" s="9">
        <v>46088.617881944447</v>
      </c>
    </row>
    <row r="373" spans="1:19" ht="12.5">
      <c r="A373" s="10" t="s">
        <v>21822</v>
      </c>
      <c r="B373" s="5" t="s">
        <v>12272</v>
      </c>
      <c r="C373" s="5">
        <v>573215653738</v>
      </c>
      <c r="D373" s="5" t="s">
        <v>5730</v>
      </c>
      <c r="E373" s="5" t="s">
        <v>12274</v>
      </c>
      <c r="F373" s="5" t="s">
        <v>161</v>
      </c>
      <c r="G373" s="5" t="s">
        <v>21823</v>
      </c>
      <c r="H373" s="10" t="s">
        <v>21824</v>
      </c>
      <c r="K373" s="23">
        <v>46083.686145833337</v>
      </c>
      <c r="L373" s="5" t="s">
        <v>6139</v>
      </c>
      <c r="M373" s="10" t="s">
        <v>21825</v>
      </c>
      <c r="N373" s="10" t="s">
        <v>21812</v>
      </c>
      <c r="P373" s="5" t="s">
        <v>14593</v>
      </c>
      <c r="R373" s="9">
        <v>46088.632071759261</v>
      </c>
      <c r="S373" s="9">
        <v>46088.632071759261</v>
      </c>
    </row>
    <row r="374" spans="1:19" ht="12.5">
      <c r="A374" s="10" t="s">
        <v>21826</v>
      </c>
      <c r="B374" s="5" t="s">
        <v>12268</v>
      </c>
      <c r="C374" s="5">
        <v>573106113291</v>
      </c>
      <c r="D374" s="5" t="s">
        <v>309</v>
      </c>
      <c r="E374" s="5" t="s">
        <v>12270</v>
      </c>
      <c r="F374" s="5" t="s">
        <v>930</v>
      </c>
      <c r="G374" s="5" t="s">
        <v>21827</v>
      </c>
      <c r="H374" s="10" t="s">
        <v>21828</v>
      </c>
      <c r="K374" s="23">
        <v>46083.680162037039</v>
      </c>
      <c r="L374" s="5" t="s">
        <v>6139</v>
      </c>
      <c r="M374" s="10" t="s">
        <v>21829</v>
      </c>
      <c r="N374" s="10" t="s">
        <v>21812</v>
      </c>
      <c r="P374" s="5" t="s">
        <v>14598</v>
      </c>
      <c r="R374" s="9">
        <v>46088.632337962961</v>
      </c>
      <c r="S374" s="9">
        <v>46088.632337962961</v>
      </c>
    </row>
    <row r="375" spans="1:19" ht="12.5">
      <c r="A375" s="10" t="s">
        <v>21830</v>
      </c>
      <c r="B375" s="5" t="s">
        <v>12257</v>
      </c>
      <c r="C375" s="5">
        <v>573016653789</v>
      </c>
      <c r="D375" s="5" t="s">
        <v>649</v>
      </c>
      <c r="E375" s="5" t="s">
        <v>12259</v>
      </c>
      <c r="F375" s="5" t="s">
        <v>307</v>
      </c>
      <c r="G375" s="5" t="s">
        <v>12258</v>
      </c>
      <c r="H375" s="10" t="s">
        <v>19244</v>
      </c>
      <c r="K375" s="23">
        <v>46083.68041666667</v>
      </c>
      <c r="L375" s="5" t="s">
        <v>6139</v>
      </c>
      <c r="M375" s="10" t="s">
        <v>21831</v>
      </c>
      <c r="N375" s="10" t="s">
        <v>21812</v>
      </c>
      <c r="P375" s="5" t="s">
        <v>14618</v>
      </c>
      <c r="R375" s="9">
        <v>46088.634282407409</v>
      </c>
      <c r="S375" s="9">
        <v>46088.634282407409</v>
      </c>
    </row>
    <row r="376" spans="1:19" ht="12.5">
      <c r="A376" s="10" t="s">
        <v>21832</v>
      </c>
      <c r="B376" s="5" t="s">
        <v>12263</v>
      </c>
      <c r="C376" s="5">
        <v>31363136478008</v>
      </c>
      <c r="D376" s="5" t="s">
        <v>178</v>
      </c>
      <c r="E376" s="5" t="s">
        <v>12264</v>
      </c>
      <c r="F376" s="5" t="s">
        <v>249</v>
      </c>
      <c r="G376" s="5" t="s">
        <v>6491</v>
      </c>
      <c r="H376" s="10" t="s">
        <v>21833</v>
      </c>
      <c r="K376" s="23">
        <v>46083.685995370368</v>
      </c>
      <c r="L376" s="5" t="s">
        <v>6139</v>
      </c>
      <c r="M376" s="10" t="s">
        <v>21834</v>
      </c>
      <c r="N376" s="10" t="s">
        <v>21812</v>
      </c>
      <c r="P376" s="5" t="s">
        <v>14593</v>
      </c>
      <c r="R376" s="9">
        <v>46088.637291666666</v>
      </c>
      <c r="S376" s="9">
        <v>46088.637291666666</v>
      </c>
    </row>
    <row r="377" spans="1:19" ht="12.5">
      <c r="A377" s="10" t="s">
        <v>21835</v>
      </c>
      <c r="B377" s="5" t="s">
        <v>12247</v>
      </c>
      <c r="C377" s="5">
        <v>573043802428</v>
      </c>
      <c r="D377" s="5" t="s">
        <v>178</v>
      </c>
      <c r="E377" s="5" t="s">
        <v>12249</v>
      </c>
      <c r="F377" s="5" t="s">
        <v>1317</v>
      </c>
      <c r="G377" s="5" t="s">
        <v>21836</v>
      </c>
      <c r="H377" s="10" t="s">
        <v>21837</v>
      </c>
      <c r="K377" s="23">
        <v>46083.680775462963</v>
      </c>
      <c r="L377" s="5" t="s">
        <v>6139</v>
      </c>
      <c r="M377" s="10" t="s">
        <v>21838</v>
      </c>
      <c r="N377" s="10" t="s">
        <v>21812</v>
      </c>
      <c r="P377" s="5" t="s">
        <v>15349</v>
      </c>
      <c r="R377" s="9">
        <v>46088.639872685184</v>
      </c>
      <c r="S377" s="9">
        <v>46088.639872685184</v>
      </c>
    </row>
    <row r="378" spans="1:19" ht="12.5">
      <c r="A378" s="10" t="s">
        <v>21839</v>
      </c>
      <c r="B378" s="5" t="s">
        <v>12252</v>
      </c>
      <c r="C378" s="5">
        <v>573005433981</v>
      </c>
      <c r="D378" s="5" t="s">
        <v>309</v>
      </c>
      <c r="E378" s="5" t="s">
        <v>12254</v>
      </c>
      <c r="F378" s="5" t="s">
        <v>6194</v>
      </c>
      <c r="G378" s="5" t="s">
        <v>12253</v>
      </c>
      <c r="H378" s="10" t="s">
        <v>20602</v>
      </c>
      <c r="K378" s="23">
        <v>46083.681018518517</v>
      </c>
      <c r="L378" s="5" t="s">
        <v>6139</v>
      </c>
      <c r="M378" s="10" t="s">
        <v>21840</v>
      </c>
      <c r="N378" s="10" t="s">
        <v>21812</v>
      </c>
      <c r="P378" s="5" t="s">
        <v>14580</v>
      </c>
      <c r="R378" s="9">
        <v>46088.648252314815</v>
      </c>
      <c r="S378" s="9">
        <v>46088.648252314815</v>
      </c>
    </row>
    <row r="379" spans="1:19" ht="12.5">
      <c r="A379" s="10" t="s">
        <v>21841</v>
      </c>
      <c r="B379" s="5" t="s">
        <v>12244</v>
      </c>
      <c r="C379" s="5">
        <v>573167461230</v>
      </c>
      <c r="D379" s="5" t="s">
        <v>559</v>
      </c>
      <c r="E379" s="5" t="s">
        <v>12246</v>
      </c>
      <c r="F379" s="5" t="s">
        <v>73</v>
      </c>
      <c r="G379" s="5" t="s">
        <v>12245</v>
      </c>
      <c r="H379" s="10" t="s">
        <v>21842</v>
      </c>
      <c r="K379" s="23">
        <v>46083.681192129632</v>
      </c>
      <c r="L379" s="5" t="s">
        <v>6139</v>
      </c>
      <c r="M379" s="10" t="s">
        <v>21843</v>
      </c>
      <c r="N379" s="10" t="s">
        <v>21812</v>
      </c>
      <c r="P379" s="5" t="s">
        <v>14593</v>
      </c>
      <c r="R379" s="9">
        <v>46088.662569444445</v>
      </c>
      <c r="S379" s="9">
        <v>46088.662569444445</v>
      </c>
    </row>
    <row r="380" spans="1:19" ht="12.5">
      <c r="A380" s="10" t="s">
        <v>21844</v>
      </c>
      <c r="B380" s="5" t="s">
        <v>12240</v>
      </c>
      <c r="C380" s="5">
        <v>5720437335143</v>
      </c>
      <c r="D380" s="5" t="s">
        <v>309</v>
      </c>
      <c r="E380" s="5" t="s">
        <v>12241</v>
      </c>
      <c r="F380" s="5" t="s">
        <v>110</v>
      </c>
      <c r="G380" s="5" t="s">
        <v>1173</v>
      </c>
      <c r="H380" s="10" t="s">
        <v>21845</v>
      </c>
      <c r="K380" s="23">
        <v>46083.685844907406</v>
      </c>
      <c r="L380" s="5" t="s">
        <v>6139</v>
      </c>
      <c r="M380" s="10" t="s">
        <v>21846</v>
      </c>
      <c r="N380" s="10" t="s">
        <v>21812</v>
      </c>
      <c r="P380" s="5" t="s">
        <v>14593</v>
      </c>
      <c r="R380" s="9">
        <v>46088.662662037037</v>
      </c>
      <c r="S380" s="9">
        <v>46088.662662037037</v>
      </c>
    </row>
    <row r="381" spans="1:19" ht="12.5">
      <c r="A381" s="10" t="s">
        <v>21847</v>
      </c>
      <c r="B381" s="5" t="s">
        <v>12235</v>
      </c>
      <c r="C381" s="5">
        <v>573016118754</v>
      </c>
      <c r="D381" s="5" t="s">
        <v>294</v>
      </c>
      <c r="E381" s="5" t="s">
        <v>12237</v>
      </c>
      <c r="F381" s="5" t="s">
        <v>401</v>
      </c>
      <c r="G381" s="5" t="s">
        <v>12236</v>
      </c>
      <c r="H381" s="10" t="s">
        <v>19229</v>
      </c>
      <c r="K381" s="23">
        <v>46083.681469907409</v>
      </c>
      <c r="L381" s="5" t="s">
        <v>6139</v>
      </c>
      <c r="M381" s="10" t="s">
        <v>21848</v>
      </c>
      <c r="N381" s="10" t="s">
        <v>21812</v>
      </c>
      <c r="P381" s="5" t="s">
        <v>14618</v>
      </c>
      <c r="R381" s="9">
        <v>46088.662754629629</v>
      </c>
      <c r="S381" s="9">
        <v>46088.662754629629</v>
      </c>
    </row>
    <row r="382" spans="1:19" ht="12.5">
      <c r="A382" s="10" t="s">
        <v>21849</v>
      </c>
      <c r="B382" s="5" t="s">
        <v>12221</v>
      </c>
      <c r="C382" s="5">
        <v>57310573106182</v>
      </c>
      <c r="D382" s="5" t="s">
        <v>380</v>
      </c>
      <c r="E382" s="5" t="s">
        <v>12223</v>
      </c>
      <c r="F382" s="5" t="s">
        <v>448</v>
      </c>
      <c r="G382" s="5" t="s">
        <v>12222</v>
      </c>
      <c r="H382" s="10" t="s">
        <v>21850</v>
      </c>
      <c r="K382" s="23">
        <v>46083.681631944448</v>
      </c>
      <c r="L382" s="5" t="s">
        <v>6139</v>
      </c>
      <c r="M382" s="10" t="s">
        <v>21851</v>
      </c>
      <c r="N382" s="10" t="s">
        <v>21812</v>
      </c>
      <c r="P382" s="5" t="s">
        <v>14580</v>
      </c>
      <c r="R382" s="9">
        <v>46088.667916666665</v>
      </c>
      <c r="S382" s="9">
        <v>46088.667916666665</v>
      </c>
    </row>
    <row r="383" spans="1:19" ht="12.5">
      <c r="A383" s="10" t="s">
        <v>21852</v>
      </c>
      <c r="B383" s="5" t="s">
        <v>12225</v>
      </c>
      <c r="C383" s="5">
        <v>573122504609</v>
      </c>
      <c r="D383" s="5" t="s">
        <v>112</v>
      </c>
      <c r="E383" s="5" t="s">
        <v>12227</v>
      </c>
      <c r="F383" s="5" t="s">
        <v>930</v>
      </c>
      <c r="G383" s="5" t="s">
        <v>19224</v>
      </c>
      <c r="H383" s="10" t="s">
        <v>21853</v>
      </c>
      <c r="K383" s="23">
        <v>46083.68178240741</v>
      </c>
      <c r="L383" s="5" t="s">
        <v>6139</v>
      </c>
      <c r="M383" s="10" t="s">
        <v>21854</v>
      </c>
      <c r="N383" s="10" t="s">
        <v>21812</v>
      </c>
      <c r="P383" s="5" t="s">
        <v>14598</v>
      </c>
      <c r="R383" s="9">
        <v>46088.674490740741</v>
      </c>
      <c r="S383" s="9">
        <v>46088.674490740741</v>
      </c>
    </row>
    <row r="384" spans="1:19" ht="12.5">
      <c r="A384" s="10" t="s">
        <v>21855</v>
      </c>
      <c r="B384" s="5" t="s">
        <v>12230</v>
      </c>
      <c r="C384" s="5">
        <v>573218046491</v>
      </c>
      <c r="D384" s="5" t="s">
        <v>2556</v>
      </c>
      <c r="E384" s="5" t="s">
        <v>12232</v>
      </c>
      <c r="F384" s="5" t="s">
        <v>73</v>
      </c>
      <c r="G384" s="5" t="s">
        <v>12231</v>
      </c>
      <c r="H384" s="10" t="s">
        <v>21856</v>
      </c>
      <c r="K384" s="23">
        <v>46083.681875000002</v>
      </c>
      <c r="L384" s="5" t="s">
        <v>6139</v>
      </c>
      <c r="M384" s="10" t="s">
        <v>21857</v>
      </c>
      <c r="N384" s="10" t="s">
        <v>21858</v>
      </c>
      <c r="P384" s="5" t="s">
        <v>14593</v>
      </c>
      <c r="R384" s="9">
        <v>46088.67596064815</v>
      </c>
      <c r="S384" s="9">
        <v>46088.67596064815</v>
      </c>
    </row>
    <row r="385" spans="1:19" ht="12.5">
      <c r="A385" s="10" t="s">
        <v>21859</v>
      </c>
      <c r="B385" s="5" t="s">
        <v>12216</v>
      </c>
      <c r="C385" s="5">
        <v>573116808126</v>
      </c>
      <c r="D385" s="5" t="s">
        <v>649</v>
      </c>
      <c r="E385" s="5" t="s">
        <v>12218</v>
      </c>
      <c r="F385" s="5" t="s">
        <v>73</v>
      </c>
      <c r="G385" s="5" t="s">
        <v>21860</v>
      </c>
      <c r="H385" s="10" t="s">
        <v>21861</v>
      </c>
      <c r="K385" s="23">
        <v>46083.682037037041</v>
      </c>
      <c r="L385" s="5" t="s">
        <v>6139</v>
      </c>
      <c r="M385" s="10" t="s">
        <v>21862</v>
      </c>
      <c r="N385" s="10" t="s">
        <v>21858</v>
      </c>
      <c r="P385" s="5" t="s">
        <v>14593</v>
      </c>
      <c r="R385" s="9">
        <v>46088.68041666667</v>
      </c>
      <c r="S385" s="9">
        <v>46088.68041666667</v>
      </c>
    </row>
    <row r="386" spans="1:19" ht="12.5">
      <c r="A386" s="10" t="s">
        <v>21863</v>
      </c>
      <c r="B386" s="5" t="s">
        <v>12208</v>
      </c>
      <c r="C386" s="5">
        <v>573058019565</v>
      </c>
      <c r="D386" s="5" t="s">
        <v>309</v>
      </c>
      <c r="E386" s="5" t="s">
        <v>12210</v>
      </c>
      <c r="F386" s="5" t="s">
        <v>249</v>
      </c>
      <c r="G386" s="5" t="s">
        <v>12209</v>
      </c>
      <c r="H386" s="10" t="s">
        <v>21864</v>
      </c>
      <c r="K386" s="23">
        <v>46083.685659722221</v>
      </c>
      <c r="L386" s="5" t="s">
        <v>6139</v>
      </c>
      <c r="M386" s="10" t="s">
        <v>21865</v>
      </c>
      <c r="N386" s="10" t="s">
        <v>21858</v>
      </c>
      <c r="P386" s="5" t="s">
        <v>14593</v>
      </c>
      <c r="R386" s="9">
        <v>46088.682916666665</v>
      </c>
      <c r="S386" s="9">
        <v>46088.682916666665</v>
      </c>
    </row>
    <row r="387" spans="1:19" ht="12.5">
      <c r="A387" s="10" t="s">
        <v>21866</v>
      </c>
      <c r="B387" s="5" t="s">
        <v>12196</v>
      </c>
      <c r="C387" s="5">
        <v>573183762765</v>
      </c>
      <c r="D387" s="5" t="s">
        <v>12199</v>
      </c>
      <c r="E387" s="5" t="s">
        <v>12198</v>
      </c>
      <c r="F387" s="5" t="s">
        <v>11907</v>
      </c>
      <c r="G387" s="5" t="s">
        <v>12197</v>
      </c>
      <c r="H387" s="10" t="s">
        <v>21867</v>
      </c>
      <c r="K387" s="23">
        <v>46083.682314814818</v>
      </c>
      <c r="L387" s="5" t="s">
        <v>6139</v>
      </c>
      <c r="M387" s="10" t="s">
        <v>21868</v>
      </c>
      <c r="N387" s="10" t="s">
        <v>21858</v>
      </c>
      <c r="P387" s="5" t="s">
        <v>14580</v>
      </c>
      <c r="R387" s="9">
        <v>46088.683437500003</v>
      </c>
      <c r="S387" s="9">
        <v>46088.683437500003</v>
      </c>
    </row>
    <row r="388" spans="1:19" ht="12.5">
      <c r="A388" s="10" t="s">
        <v>21869</v>
      </c>
      <c r="B388" s="5" t="s">
        <v>12191</v>
      </c>
      <c r="C388" s="5">
        <v>573183638894</v>
      </c>
      <c r="D388" s="5" t="s">
        <v>89</v>
      </c>
      <c r="E388" s="5" t="s">
        <v>12193</v>
      </c>
      <c r="F388" s="5" t="s">
        <v>307</v>
      </c>
      <c r="G388" s="5" t="s">
        <v>21870</v>
      </c>
      <c r="H388" s="10" t="s">
        <v>21871</v>
      </c>
      <c r="K388" s="23">
        <v>46083.685069444444</v>
      </c>
      <c r="L388" s="5" t="s">
        <v>6139</v>
      </c>
      <c r="M388" s="10" t="s">
        <v>21872</v>
      </c>
      <c r="N388" s="10" t="s">
        <v>21873</v>
      </c>
      <c r="P388" s="5" t="s">
        <v>14618</v>
      </c>
      <c r="R388" s="9">
        <v>46088.685023148151</v>
      </c>
      <c r="S388" s="9">
        <v>46088.685023148151</v>
      </c>
    </row>
    <row r="389" spans="1:19" ht="12.5">
      <c r="A389" s="10" t="s">
        <v>21874</v>
      </c>
      <c r="B389" s="5" t="s">
        <v>12177</v>
      </c>
      <c r="C389" s="5">
        <v>573152745459</v>
      </c>
      <c r="D389" s="5" t="s">
        <v>89</v>
      </c>
      <c r="E389" s="5" t="s">
        <v>12179</v>
      </c>
      <c r="F389" s="5" t="s">
        <v>249</v>
      </c>
      <c r="G389" s="5" t="s">
        <v>12178</v>
      </c>
      <c r="H389" s="10" t="s">
        <v>21875</v>
      </c>
      <c r="K389" s="23">
        <v>46083.68513888889</v>
      </c>
      <c r="L389" s="5" t="s">
        <v>6139</v>
      </c>
      <c r="M389" s="10" t="s">
        <v>21876</v>
      </c>
      <c r="N389" s="10" t="s">
        <v>21877</v>
      </c>
      <c r="P389" s="5" t="s">
        <v>14593</v>
      </c>
      <c r="R389" s="9">
        <v>46088.687256944446</v>
      </c>
      <c r="S389" s="9">
        <v>46088.687256944446</v>
      </c>
    </row>
    <row r="390" spans="1:19" ht="12.5">
      <c r="A390" s="10" t="s">
        <v>21878</v>
      </c>
      <c r="B390" s="5" t="s">
        <v>12166</v>
      </c>
      <c r="C390" s="5">
        <v>573046105529</v>
      </c>
      <c r="D390" s="5" t="s">
        <v>8964</v>
      </c>
      <c r="E390" s="5" t="s">
        <v>12168</v>
      </c>
      <c r="F390" s="5" t="s">
        <v>2090</v>
      </c>
      <c r="G390" s="5" t="s">
        <v>21879</v>
      </c>
      <c r="H390" s="10" t="s">
        <v>19432</v>
      </c>
      <c r="K390" s="23">
        <v>46081.701180555552</v>
      </c>
      <c r="L390" s="5" t="s">
        <v>6139</v>
      </c>
      <c r="M390" s="10" t="s">
        <v>21880</v>
      </c>
      <c r="N390" s="10" t="s">
        <v>21881</v>
      </c>
      <c r="P390" s="5" t="s">
        <v>14618</v>
      </c>
      <c r="R390" s="9">
        <v>46088.691331018519</v>
      </c>
      <c r="S390" s="9">
        <v>46088.691331018519</v>
      </c>
    </row>
    <row r="391" spans="1:19" ht="12.5">
      <c r="A391" s="10" t="s">
        <v>21882</v>
      </c>
      <c r="B391" s="5" t="s">
        <v>12171</v>
      </c>
      <c r="C391" s="5">
        <v>573105113959</v>
      </c>
      <c r="D391" s="5" t="s">
        <v>309</v>
      </c>
      <c r="E391" s="5" t="s">
        <v>12173</v>
      </c>
      <c r="F391" s="5" t="s">
        <v>563</v>
      </c>
      <c r="G391" s="5" t="s">
        <v>12172</v>
      </c>
      <c r="H391" s="10" t="s">
        <v>21883</v>
      </c>
      <c r="K391" s="23">
        <v>46081.70108796296</v>
      </c>
      <c r="L391" s="5" t="s">
        <v>6139</v>
      </c>
      <c r="M391" s="10" t="s">
        <v>21884</v>
      </c>
      <c r="N391" s="10" t="s">
        <v>21881</v>
      </c>
      <c r="P391" s="5" t="s">
        <v>14775</v>
      </c>
      <c r="R391" s="9">
        <v>46088.70616898148</v>
      </c>
      <c r="S391" s="9">
        <v>46088.70616898148</v>
      </c>
    </row>
    <row r="392" spans="1:19" ht="12.5">
      <c r="A392" s="10" t="s">
        <v>21885</v>
      </c>
      <c r="B392" s="5" t="s">
        <v>12151</v>
      </c>
      <c r="C392" s="5">
        <v>573013974702</v>
      </c>
      <c r="D392" s="5" t="s">
        <v>75</v>
      </c>
      <c r="E392" s="5" t="s">
        <v>12153</v>
      </c>
      <c r="F392" s="5" t="s">
        <v>405</v>
      </c>
      <c r="G392" s="5" t="s">
        <v>12152</v>
      </c>
      <c r="H392" s="10" t="s">
        <v>21886</v>
      </c>
      <c r="K392" s="23">
        <v>46081.673622685186</v>
      </c>
      <c r="L392" s="5" t="s">
        <v>6139</v>
      </c>
      <c r="M392" s="10" t="s">
        <v>21887</v>
      </c>
      <c r="N392" s="10" t="s">
        <v>21888</v>
      </c>
      <c r="P392" s="5" t="s">
        <v>14691</v>
      </c>
      <c r="R392" s="9">
        <v>46088.707175925927</v>
      </c>
      <c r="S392" s="9">
        <v>46088.707175925927</v>
      </c>
    </row>
    <row r="393" spans="1:19" ht="12.5">
      <c r="A393" s="10" t="s">
        <v>21889</v>
      </c>
      <c r="B393" s="5" t="s">
        <v>12156</v>
      </c>
      <c r="C393" s="5">
        <v>573017429329</v>
      </c>
      <c r="D393" s="5" t="s">
        <v>435</v>
      </c>
      <c r="E393" s="5" t="s">
        <v>12158</v>
      </c>
      <c r="F393" s="5" t="s">
        <v>103</v>
      </c>
      <c r="G393" s="5" t="s">
        <v>21890</v>
      </c>
      <c r="H393" s="10" t="s">
        <v>21891</v>
      </c>
      <c r="K393" s="23">
        <v>46081.663356481484</v>
      </c>
      <c r="L393" s="5" t="s">
        <v>6139</v>
      </c>
      <c r="M393" s="10" t="s">
        <v>21892</v>
      </c>
      <c r="N393" s="10" t="s">
        <v>21888</v>
      </c>
      <c r="P393" s="5" t="s">
        <v>14593</v>
      </c>
      <c r="R393" s="9">
        <v>46088.708055555559</v>
      </c>
      <c r="S393" s="9">
        <v>46088.708055555559</v>
      </c>
    </row>
    <row r="394" spans="1:19" ht="12.5">
      <c r="A394" s="10" t="s">
        <v>21893</v>
      </c>
      <c r="B394" s="5" t="s">
        <v>12161</v>
      </c>
      <c r="C394" s="5">
        <v>5717867829394</v>
      </c>
      <c r="D394" s="5" t="s">
        <v>42</v>
      </c>
      <c r="E394" s="5" t="s">
        <v>12163</v>
      </c>
      <c r="G394" s="5" t="s">
        <v>12162</v>
      </c>
      <c r="H394" s="10" t="s">
        <v>21894</v>
      </c>
      <c r="K394" s="23">
        <v>46081.64947916667</v>
      </c>
      <c r="L394" s="5" t="s">
        <v>6139</v>
      </c>
      <c r="M394" s="10" t="s">
        <v>21895</v>
      </c>
      <c r="N394" s="10" t="s">
        <v>21896</v>
      </c>
      <c r="R394" s="9">
        <v>46088.708564814813</v>
      </c>
      <c r="S394" s="9">
        <v>46088.708564814813</v>
      </c>
    </row>
    <row r="395" spans="1:19" ht="12.5">
      <c r="A395" s="10" t="s">
        <v>21897</v>
      </c>
      <c r="B395" s="5" t="s">
        <v>1991</v>
      </c>
      <c r="C395" s="5">
        <v>573106011462</v>
      </c>
      <c r="D395" s="5" t="s">
        <v>707</v>
      </c>
      <c r="E395" s="5" t="s">
        <v>12147</v>
      </c>
      <c r="F395" s="5" t="s">
        <v>161</v>
      </c>
      <c r="G395" s="5" t="s">
        <v>12146</v>
      </c>
      <c r="H395" s="10" t="s">
        <v>21898</v>
      </c>
      <c r="K395" s="23">
        <v>46081.601099537038</v>
      </c>
      <c r="L395" s="5" t="s">
        <v>6139</v>
      </c>
      <c r="M395" s="10" t="s">
        <v>21899</v>
      </c>
      <c r="N395" s="10" t="s">
        <v>21900</v>
      </c>
      <c r="P395" s="5" t="s">
        <v>14593</v>
      </c>
      <c r="R395" s="9">
        <v>46088.709143518521</v>
      </c>
      <c r="S395" s="9">
        <v>46088.709143518521</v>
      </c>
    </row>
    <row r="396" spans="1:19" ht="12.5">
      <c r="A396" s="10" t="s">
        <v>21901</v>
      </c>
      <c r="B396" s="5" t="s">
        <v>12135</v>
      </c>
      <c r="C396" s="5">
        <v>573207881015</v>
      </c>
      <c r="D396" s="5" t="s">
        <v>375</v>
      </c>
      <c r="E396" s="5" t="s">
        <v>12137</v>
      </c>
      <c r="F396" s="5" t="s">
        <v>516</v>
      </c>
      <c r="G396" s="5" t="s">
        <v>12136</v>
      </c>
      <c r="H396" s="10" t="s">
        <v>21902</v>
      </c>
      <c r="K396" s="23">
        <v>46081.617210648146</v>
      </c>
      <c r="L396" s="5" t="s">
        <v>6139</v>
      </c>
      <c r="M396" s="10" t="s">
        <v>21903</v>
      </c>
      <c r="N396" s="10" t="s">
        <v>21904</v>
      </c>
      <c r="P396" s="5" t="s">
        <v>14618</v>
      </c>
      <c r="R396" s="9">
        <v>46088.716956018521</v>
      </c>
      <c r="S396" s="9">
        <v>46088.716956018521</v>
      </c>
    </row>
    <row r="397" spans="1:19" ht="12.5">
      <c r="A397" s="10" t="s">
        <v>21905</v>
      </c>
      <c r="B397" s="5" t="s">
        <v>12140</v>
      </c>
      <c r="C397" s="5">
        <v>573217530452</v>
      </c>
      <c r="D397" s="5" t="s">
        <v>12143</v>
      </c>
      <c r="E397" s="5" t="s">
        <v>12142</v>
      </c>
      <c r="F397" s="5" t="s">
        <v>1057</v>
      </c>
      <c r="G397" s="5" t="s">
        <v>12141</v>
      </c>
      <c r="H397" s="10" t="s">
        <v>18941</v>
      </c>
      <c r="K397" s="23">
        <v>46081.602685185186</v>
      </c>
      <c r="L397" s="5" t="s">
        <v>6139</v>
      </c>
      <c r="M397" s="10" t="s">
        <v>21906</v>
      </c>
      <c r="N397" s="10" t="s">
        <v>21907</v>
      </c>
      <c r="P397" s="5" t="s">
        <v>14580</v>
      </c>
      <c r="R397" s="9">
        <v>46088.717465277776</v>
      </c>
      <c r="S397" s="9">
        <v>46088.717465277776</v>
      </c>
    </row>
    <row r="398" spans="1:19" ht="12.5">
      <c r="A398" s="10" t="s">
        <v>21908</v>
      </c>
      <c r="B398" s="5" t="s">
        <v>5400</v>
      </c>
      <c r="C398" s="5">
        <v>573013157902</v>
      </c>
      <c r="D398" s="5" t="s">
        <v>435</v>
      </c>
      <c r="E398" s="5" t="s">
        <v>12132</v>
      </c>
      <c r="F398" s="5" t="s">
        <v>73</v>
      </c>
      <c r="G398" s="5" t="s">
        <v>10948</v>
      </c>
      <c r="H398" s="10" t="s">
        <v>19172</v>
      </c>
      <c r="I398" s="5" t="s">
        <v>20688</v>
      </c>
      <c r="K398" s="23">
        <v>46081.553043981483</v>
      </c>
      <c r="L398" s="5" t="s">
        <v>17416</v>
      </c>
      <c r="M398" s="10" t="s">
        <v>21909</v>
      </c>
      <c r="N398" s="10" t="s">
        <v>21888</v>
      </c>
      <c r="P398" s="5" t="s">
        <v>14593</v>
      </c>
      <c r="R398" s="9">
        <v>46088.728032407409</v>
      </c>
      <c r="S398" s="9">
        <v>46088.728032407409</v>
      </c>
    </row>
    <row r="399" spans="1:19" ht="12.5">
      <c r="A399" s="10" t="s">
        <v>21910</v>
      </c>
      <c r="B399" s="5" t="s">
        <v>12123</v>
      </c>
      <c r="C399" s="5">
        <v>573175494728</v>
      </c>
      <c r="D399" s="5" t="s">
        <v>375</v>
      </c>
      <c r="E399" s="5" t="s">
        <v>12125</v>
      </c>
      <c r="F399" s="5" t="s">
        <v>448</v>
      </c>
      <c r="G399" s="5" t="s">
        <v>21911</v>
      </c>
      <c r="H399" s="10" t="s">
        <v>21912</v>
      </c>
      <c r="K399" s="23">
        <v>46081.600555555553</v>
      </c>
      <c r="L399" s="5" t="s">
        <v>6139</v>
      </c>
      <c r="M399" s="10" t="s">
        <v>21913</v>
      </c>
      <c r="N399" s="10" t="s">
        <v>21900</v>
      </c>
      <c r="P399" s="5" t="s">
        <v>14580</v>
      </c>
      <c r="R399" s="9">
        <v>46088.733078703706</v>
      </c>
      <c r="S399" s="9">
        <v>46088.733078703706</v>
      </c>
    </row>
    <row r="400" spans="1:19" ht="12.5">
      <c r="A400" s="10" t="s">
        <v>21914</v>
      </c>
      <c r="B400" s="5" t="s">
        <v>12108</v>
      </c>
      <c r="C400" s="5">
        <v>573186953307</v>
      </c>
      <c r="D400" s="5" t="s">
        <v>42</v>
      </c>
      <c r="E400" s="5" t="s">
        <v>12110</v>
      </c>
      <c r="F400" s="5" t="s">
        <v>249</v>
      </c>
      <c r="G400" s="5" t="s">
        <v>12109</v>
      </c>
      <c r="H400" s="10" t="s">
        <v>21915</v>
      </c>
      <c r="K400" s="23">
        <v>46081.632939814815</v>
      </c>
      <c r="L400" s="5" t="s">
        <v>6139</v>
      </c>
      <c r="M400" s="10" t="s">
        <v>21916</v>
      </c>
      <c r="N400" s="10" t="s">
        <v>21900</v>
      </c>
      <c r="P400" s="5" t="s">
        <v>14593</v>
      </c>
      <c r="R400" s="9">
        <v>46088.734953703701</v>
      </c>
      <c r="S400" s="9">
        <v>46088.734953703701</v>
      </c>
    </row>
    <row r="401" spans="1:19" ht="12.5">
      <c r="A401" s="10" t="s">
        <v>21917</v>
      </c>
      <c r="B401" s="5" t="s">
        <v>12117</v>
      </c>
      <c r="C401" s="5">
        <v>573059260093</v>
      </c>
      <c r="D401" s="5" t="s">
        <v>380</v>
      </c>
      <c r="E401" s="5" t="s">
        <v>12119</v>
      </c>
      <c r="F401" s="5" t="s">
        <v>8750</v>
      </c>
      <c r="G401" s="5" t="s">
        <v>21918</v>
      </c>
      <c r="H401" s="10" t="s">
        <v>21919</v>
      </c>
      <c r="K401" s="23">
        <v>46081.515277777777</v>
      </c>
      <c r="L401" s="5" t="s">
        <v>6139</v>
      </c>
      <c r="M401" s="10" t="s">
        <v>21920</v>
      </c>
      <c r="N401" s="10" t="s">
        <v>21921</v>
      </c>
      <c r="R401" s="9">
        <v>46088.735173611109</v>
      </c>
      <c r="S401" s="9">
        <v>46088.735173611109</v>
      </c>
    </row>
    <row r="402" spans="1:19" ht="12.5">
      <c r="A402" s="10" t="s">
        <v>21922</v>
      </c>
      <c r="B402" s="5" t="s">
        <v>12075</v>
      </c>
      <c r="C402" s="5">
        <v>573005655483</v>
      </c>
      <c r="D402" s="5" t="s">
        <v>222</v>
      </c>
      <c r="E402" s="5" t="s">
        <v>12077</v>
      </c>
      <c r="F402" s="5" t="s">
        <v>73</v>
      </c>
      <c r="G402" s="5" t="s">
        <v>12076</v>
      </c>
      <c r="H402" s="10" t="s">
        <v>21923</v>
      </c>
      <c r="I402" s="5" t="s">
        <v>20688</v>
      </c>
      <c r="K402" s="23">
        <v>46081.513495370367</v>
      </c>
      <c r="L402" s="5" t="s">
        <v>17416</v>
      </c>
      <c r="M402" s="10" t="s">
        <v>21924</v>
      </c>
      <c r="N402" s="10" t="s">
        <v>21925</v>
      </c>
      <c r="P402" s="5" t="s">
        <v>14593</v>
      </c>
      <c r="R402" s="9">
        <v>46088.735266203701</v>
      </c>
      <c r="S402" s="9">
        <v>46088.735266203701</v>
      </c>
    </row>
    <row r="403" spans="1:19" ht="12.5">
      <c r="A403" s="10" t="s">
        <v>21926</v>
      </c>
      <c r="B403" s="5" t="s">
        <v>2150</v>
      </c>
      <c r="C403" s="5">
        <v>573012394343</v>
      </c>
      <c r="D403" s="5" t="s">
        <v>42</v>
      </c>
      <c r="E403" s="5" t="s">
        <v>12115</v>
      </c>
      <c r="G403" s="5" t="s">
        <v>6980</v>
      </c>
      <c r="H403" s="10" t="s">
        <v>21927</v>
      </c>
      <c r="I403" s="5" t="s">
        <v>20688</v>
      </c>
      <c r="K403" s="23">
        <v>46081.466365740744</v>
      </c>
      <c r="L403" s="5" t="s">
        <v>17416</v>
      </c>
      <c r="M403" s="10" t="s">
        <v>21928</v>
      </c>
      <c r="N403" s="10" t="s">
        <v>21929</v>
      </c>
      <c r="R403" s="9">
        <v>46088.735381944447</v>
      </c>
      <c r="S403" s="9">
        <v>46088.735381944447</v>
      </c>
    </row>
    <row r="404" spans="1:19" ht="12.5">
      <c r="A404" s="10" t="s">
        <v>21930</v>
      </c>
      <c r="B404" s="5" t="s">
        <v>12092</v>
      </c>
      <c r="C404" s="5">
        <v>573007125818</v>
      </c>
      <c r="D404" s="5" t="s">
        <v>335</v>
      </c>
      <c r="E404" s="5" t="s">
        <v>12094</v>
      </c>
      <c r="F404" s="5" t="s">
        <v>563</v>
      </c>
      <c r="G404" s="5" t="s">
        <v>12093</v>
      </c>
      <c r="H404" s="10" t="s">
        <v>21931</v>
      </c>
      <c r="I404" s="5" t="s">
        <v>20688</v>
      </c>
      <c r="K404" s="23">
        <v>46081.447106481479</v>
      </c>
      <c r="L404" s="5" t="s">
        <v>17416</v>
      </c>
      <c r="M404" s="10" t="s">
        <v>21932</v>
      </c>
      <c r="N404" s="10" t="s">
        <v>21933</v>
      </c>
      <c r="P404" s="5" t="s">
        <v>14775</v>
      </c>
      <c r="R404" s="9">
        <v>46088.735497685186</v>
      </c>
      <c r="S404" s="9">
        <v>46088.735497685186</v>
      </c>
    </row>
    <row r="405" spans="1:19" ht="12.5">
      <c r="A405" s="10" t="s">
        <v>21934</v>
      </c>
      <c r="B405" s="5" t="s">
        <v>6006</v>
      </c>
      <c r="C405" s="5">
        <v>573004941665</v>
      </c>
      <c r="D405" s="5" t="s">
        <v>178</v>
      </c>
      <c r="E405" s="5" t="s">
        <v>12090</v>
      </c>
      <c r="F405" s="5" t="s">
        <v>1815</v>
      </c>
      <c r="G405" s="5" t="s">
        <v>6003</v>
      </c>
      <c r="H405" s="10" t="s">
        <v>21935</v>
      </c>
      <c r="K405" s="23">
        <v>46081.44494212963</v>
      </c>
      <c r="L405" s="5" t="s">
        <v>6139</v>
      </c>
      <c r="M405" s="10" t="s">
        <v>21936</v>
      </c>
      <c r="N405" s="10" t="s">
        <v>21933</v>
      </c>
      <c r="P405" s="5" t="s">
        <v>14580</v>
      </c>
      <c r="R405" s="9">
        <v>46088.735671296294</v>
      </c>
      <c r="S405" s="9">
        <v>46088.735671296294</v>
      </c>
    </row>
    <row r="406" spans="1:19" ht="12.5">
      <c r="A406" s="10" t="s">
        <v>21937</v>
      </c>
      <c r="B406" s="5" t="s">
        <v>12067</v>
      </c>
      <c r="C406" s="5">
        <v>573176797380</v>
      </c>
      <c r="D406" s="5" t="s">
        <v>12070</v>
      </c>
      <c r="E406" s="5" t="s">
        <v>12069</v>
      </c>
      <c r="F406" s="5" t="s">
        <v>405</v>
      </c>
      <c r="G406" s="5" t="s">
        <v>12068</v>
      </c>
      <c r="H406" s="10" t="s">
        <v>21938</v>
      </c>
      <c r="K406" s="23">
        <v>46087.657881944448</v>
      </c>
      <c r="L406" s="5" t="s">
        <v>6139</v>
      </c>
      <c r="M406" s="10" t="s">
        <v>21939</v>
      </c>
      <c r="N406" s="10" t="s">
        <v>21445</v>
      </c>
      <c r="R406" s="9">
        <v>46088.738344907404</v>
      </c>
      <c r="S406" s="9">
        <v>46088.738344907404</v>
      </c>
    </row>
    <row r="407" spans="1:19" ht="12.5">
      <c r="A407" s="10" t="s">
        <v>21940</v>
      </c>
      <c r="B407" s="5" t="s">
        <v>12098</v>
      </c>
      <c r="C407" s="5">
        <v>573011428262</v>
      </c>
      <c r="D407" s="5" t="s">
        <v>96</v>
      </c>
      <c r="E407" s="5" t="s">
        <v>12099</v>
      </c>
      <c r="F407" s="5" t="s">
        <v>1317</v>
      </c>
      <c r="G407" s="5" t="s">
        <v>371</v>
      </c>
      <c r="H407" s="10" t="s">
        <v>21941</v>
      </c>
      <c r="I407" s="5" t="s">
        <v>20688</v>
      </c>
      <c r="K407" s="23">
        <v>46081.445081018515</v>
      </c>
      <c r="L407" s="5" t="s">
        <v>17416</v>
      </c>
      <c r="M407" s="10" t="s">
        <v>21942</v>
      </c>
      <c r="N407" s="10" t="s">
        <v>21933</v>
      </c>
      <c r="P407" s="5" t="s">
        <v>15349</v>
      </c>
      <c r="R407" s="9">
        <v>46088.73940972222</v>
      </c>
      <c r="S407" s="9">
        <v>46088.73940972222</v>
      </c>
    </row>
    <row r="408" spans="1:19" ht="12.5">
      <c r="A408" s="10" t="s">
        <v>21943</v>
      </c>
      <c r="B408" s="5" t="s">
        <v>12085</v>
      </c>
      <c r="C408" s="5">
        <v>573015199784</v>
      </c>
      <c r="D408" s="5" t="s">
        <v>1111</v>
      </c>
      <c r="E408" s="5" t="s">
        <v>12087</v>
      </c>
      <c r="F408" s="5" t="s">
        <v>307</v>
      </c>
      <c r="G408" s="5" t="s">
        <v>21944</v>
      </c>
      <c r="H408" s="10" t="s">
        <v>21945</v>
      </c>
      <c r="I408" s="5" t="s">
        <v>20688</v>
      </c>
      <c r="K408" s="23">
        <v>46081.413773148146</v>
      </c>
      <c r="L408" s="5" t="s">
        <v>17416</v>
      </c>
      <c r="M408" s="10" t="s">
        <v>21946</v>
      </c>
      <c r="N408" s="10" t="s">
        <v>21933</v>
      </c>
      <c r="P408" s="5" t="s">
        <v>14618</v>
      </c>
      <c r="R408" s="9">
        <v>46088.753946759258</v>
      </c>
      <c r="S408" s="9">
        <v>46088.753946759258</v>
      </c>
    </row>
    <row r="409" spans="1:19" ht="12.5">
      <c r="A409" s="10" t="s">
        <v>21947</v>
      </c>
      <c r="B409" s="5" t="s">
        <v>12080</v>
      </c>
      <c r="C409" s="5">
        <v>573173836934</v>
      </c>
      <c r="D409" s="5" t="s">
        <v>178</v>
      </c>
      <c r="E409" s="5" t="s">
        <v>12082</v>
      </c>
      <c r="F409" s="5" t="s">
        <v>73</v>
      </c>
      <c r="G409" s="5" t="s">
        <v>21948</v>
      </c>
      <c r="H409" s="10" t="s">
        <v>21949</v>
      </c>
      <c r="I409" s="5" t="s">
        <v>20688</v>
      </c>
      <c r="K409" s="23">
        <v>46081.399282407408</v>
      </c>
      <c r="L409" s="5" t="s">
        <v>17416</v>
      </c>
      <c r="M409" s="10" t="s">
        <v>21950</v>
      </c>
      <c r="N409" s="10" t="s">
        <v>21907</v>
      </c>
      <c r="P409" s="5" t="s">
        <v>14593</v>
      </c>
      <c r="R409" s="9">
        <v>46088.755347222221</v>
      </c>
      <c r="S409" s="9">
        <v>46088.755347222221</v>
      </c>
    </row>
    <row r="410" spans="1:19" ht="12.5">
      <c r="A410" s="10" t="s">
        <v>21951</v>
      </c>
      <c r="B410" s="5" t="s">
        <v>19124</v>
      </c>
      <c r="C410" s="5">
        <v>573157353624</v>
      </c>
      <c r="D410" s="5" t="s">
        <v>1792</v>
      </c>
      <c r="E410" s="5" t="s">
        <v>12062</v>
      </c>
      <c r="F410" s="5" t="s">
        <v>103</v>
      </c>
      <c r="G410" s="5" t="s">
        <v>12061</v>
      </c>
      <c r="H410" s="10" t="s">
        <v>21952</v>
      </c>
      <c r="K410" s="23">
        <v>46083.683078703703</v>
      </c>
      <c r="L410" s="5" t="s">
        <v>6139</v>
      </c>
      <c r="M410" s="10" t="s">
        <v>21953</v>
      </c>
      <c r="N410" s="10" t="s">
        <v>21954</v>
      </c>
      <c r="P410" s="5" t="s">
        <v>14593</v>
      </c>
      <c r="R410" s="9">
        <v>46088.757094907407</v>
      </c>
      <c r="S410" s="9">
        <v>46088.757094907407</v>
      </c>
    </row>
    <row r="411" spans="1:19" ht="12.5">
      <c r="A411" s="10" t="s">
        <v>21955</v>
      </c>
      <c r="B411" s="5" t="s">
        <v>19121</v>
      </c>
      <c r="C411" s="5">
        <v>573014067791</v>
      </c>
      <c r="D411" s="5" t="s">
        <v>347</v>
      </c>
      <c r="E411" s="5" t="s">
        <v>12019</v>
      </c>
      <c r="F411" s="5" t="s">
        <v>265</v>
      </c>
      <c r="G411" s="5" t="s">
        <v>1840</v>
      </c>
      <c r="H411" s="10" t="s">
        <v>21956</v>
      </c>
      <c r="K411" s="23">
        <v>46081.673842592594</v>
      </c>
      <c r="L411" s="5" t="s">
        <v>6139</v>
      </c>
      <c r="M411" s="10" t="s">
        <v>21957</v>
      </c>
      <c r="N411" s="10" t="s">
        <v>21896</v>
      </c>
      <c r="P411" s="5" t="s">
        <v>14691</v>
      </c>
      <c r="R411" s="9">
        <v>46088.761423611111</v>
      </c>
      <c r="S411" s="9">
        <v>46088.761423611111</v>
      </c>
    </row>
    <row r="412" spans="1:19" ht="12.5">
      <c r="A412" s="10" t="s">
        <v>21958</v>
      </c>
      <c r="B412" s="5" t="s">
        <v>12117</v>
      </c>
      <c r="C412" s="5">
        <v>573059260093</v>
      </c>
      <c r="D412" s="5" t="s">
        <v>187</v>
      </c>
      <c r="E412" s="5" t="s">
        <v>12050</v>
      </c>
      <c r="F412" s="5" t="s">
        <v>1272</v>
      </c>
      <c r="G412" s="5" t="s">
        <v>21959</v>
      </c>
      <c r="H412" s="10" t="s">
        <v>21960</v>
      </c>
      <c r="I412" s="5" t="s">
        <v>20688</v>
      </c>
      <c r="K412" s="23">
        <v>46081.379641203705</v>
      </c>
      <c r="L412" s="5" t="s">
        <v>17416</v>
      </c>
      <c r="M412" s="10" t="s">
        <v>21961</v>
      </c>
      <c r="N412" s="10" t="s">
        <v>21962</v>
      </c>
      <c r="P412" s="5" t="s">
        <v>14593</v>
      </c>
      <c r="R412" s="9">
        <v>46088.762256944443</v>
      </c>
      <c r="S412" s="9">
        <v>46088.762256944443</v>
      </c>
    </row>
    <row r="413" spans="1:19" ht="12.5">
      <c r="A413" s="10" t="s">
        <v>21963</v>
      </c>
      <c r="B413" s="5" t="s">
        <v>19116</v>
      </c>
      <c r="C413" s="5">
        <v>573205422288</v>
      </c>
      <c r="D413" s="5" t="s">
        <v>9478</v>
      </c>
      <c r="E413" s="5" t="s">
        <v>12041</v>
      </c>
      <c r="F413" s="5" t="s">
        <v>73</v>
      </c>
      <c r="G413" s="5" t="s">
        <v>12040</v>
      </c>
      <c r="H413" s="10" t="s">
        <v>21964</v>
      </c>
      <c r="K413" s="23">
        <v>46080.785254629627</v>
      </c>
      <c r="L413" s="5" t="s">
        <v>6139</v>
      </c>
      <c r="M413" s="10" t="s">
        <v>21965</v>
      </c>
      <c r="N413" s="10" t="s">
        <v>21966</v>
      </c>
      <c r="P413" s="5" t="s">
        <v>14593</v>
      </c>
      <c r="R413" s="9">
        <v>46088.762256944443</v>
      </c>
      <c r="S413" s="9">
        <v>46088.762256944443</v>
      </c>
    </row>
    <row r="414" spans="1:19" ht="12.5">
      <c r="A414" s="10" t="s">
        <v>21967</v>
      </c>
      <c r="B414" s="5" t="s">
        <v>5734</v>
      </c>
      <c r="C414" s="5">
        <v>573153543653</v>
      </c>
      <c r="D414" s="5" t="s">
        <v>42</v>
      </c>
      <c r="E414" s="5" t="s">
        <v>12057</v>
      </c>
      <c r="F414" s="5" t="s">
        <v>11248</v>
      </c>
      <c r="G414" s="10" t="s">
        <v>3330</v>
      </c>
      <c r="H414" s="10" t="s">
        <v>3330</v>
      </c>
      <c r="K414" s="23">
        <v>46083.684050925927</v>
      </c>
      <c r="L414" s="5" t="s">
        <v>6139</v>
      </c>
      <c r="M414" s="10" t="s">
        <v>21968</v>
      </c>
      <c r="N414" s="10" t="s">
        <v>21954</v>
      </c>
      <c r="P414" s="5" t="s">
        <v>14618</v>
      </c>
      <c r="R414" s="9">
        <v>46088.764513888891</v>
      </c>
      <c r="S414" s="9">
        <v>46088.764513888891</v>
      </c>
    </row>
    <row r="415" spans="1:19" ht="12.5">
      <c r="A415" s="10" t="s">
        <v>21969</v>
      </c>
      <c r="B415" s="5" t="s">
        <v>19113</v>
      </c>
      <c r="C415" s="5">
        <v>570</v>
      </c>
      <c r="D415" s="5" t="s">
        <v>42</v>
      </c>
      <c r="E415" s="5" t="s">
        <v>12055</v>
      </c>
      <c r="F415" s="5" t="s">
        <v>4403</v>
      </c>
      <c r="G415" s="5" t="s">
        <v>12054</v>
      </c>
      <c r="K415" s="23">
        <v>46080.727152777778</v>
      </c>
      <c r="L415" s="5" t="s">
        <v>6139</v>
      </c>
      <c r="M415" s="10" t="s">
        <v>21970</v>
      </c>
      <c r="N415" s="10" t="s">
        <v>21971</v>
      </c>
      <c r="P415" s="5" t="s">
        <v>14598</v>
      </c>
      <c r="R415" s="9">
        <v>46088.765057870369</v>
      </c>
      <c r="S415" s="9">
        <v>46088.765057870369</v>
      </c>
    </row>
    <row r="416" spans="1:19" ht="12.5">
      <c r="A416" s="10" t="s">
        <v>21972</v>
      </c>
      <c r="B416" s="5" t="s">
        <v>19111</v>
      </c>
      <c r="C416" s="5">
        <v>573013354666</v>
      </c>
      <c r="D416" s="5" t="s">
        <v>576</v>
      </c>
      <c r="E416" s="5" t="s">
        <v>12036</v>
      </c>
      <c r="F416" s="5" t="s">
        <v>892</v>
      </c>
      <c r="G416" s="5" t="s">
        <v>12035</v>
      </c>
      <c r="H416" s="10" t="s">
        <v>21973</v>
      </c>
      <c r="K416" s="23">
        <v>46080.785416666666</v>
      </c>
      <c r="L416" s="5" t="s">
        <v>6139</v>
      </c>
      <c r="M416" s="10" t="s">
        <v>21974</v>
      </c>
      <c r="N416" s="10" t="s">
        <v>21975</v>
      </c>
      <c r="P416" s="5" t="s">
        <v>14593</v>
      </c>
      <c r="R416" s="9">
        <v>46088.767453703702</v>
      </c>
      <c r="S416" s="9">
        <v>46088.767453703702</v>
      </c>
    </row>
    <row r="417" spans="1:19" ht="12.5">
      <c r="A417" s="10" t="s">
        <v>21976</v>
      </c>
      <c r="B417" s="5" t="s">
        <v>19102</v>
      </c>
      <c r="C417" s="5">
        <v>573176789672</v>
      </c>
      <c r="D417" s="5" t="s">
        <v>4021</v>
      </c>
      <c r="E417" s="5" t="s">
        <v>12025</v>
      </c>
      <c r="F417" s="5" t="s">
        <v>249</v>
      </c>
      <c r="G417" s="5" t="s">
        <v>12024</v>
      </c>
      <c r="H417" s="10" t="s">
        <v>12026</v>
      </c>
      <c r="K417" s="23">
        <v>46083.682800925926</v>
      </c>
      <c r="L417" s="5" t="s">
        <v>6139</v>
      </c>
      <c r="M417" s="10" t="s">
        <v>21977</v>
      </c>
      <c r="N417" s="10" t="s">
        <v>21954</v>
      </c>
      <c r="P417" s="5" t="s">
        <v>14593</v>
      </c>
      <c r="R417" s="9">
        <v>46088.768043981479</v>
      </c>
      <c r="S417" s="9">
        <v>46088.768043981479</v>
      </c>
    </row>
    <row r="418" spans="1:19" ht="12.5">
      <c r="A418" s="10" t="s">
        <v>21978</v>
      </c>
      <c r="B418" s="5" t="s">
        <v>19100</v>
      </c>
      <c r="C418" s="5">
        <v>573005322303</v>
      </c>
      <c r="D418" s="5" t="s">
        <v>361</v>
      </c>
      <c r="E418" s="5" t="s">
        <v>12014</v>
      </c>
      <c r="F418" s="5" t="s">
        <v>892</v>
      </c>
      <c r="G418" s="5" t="s">
        <v>21979</v>
      </c>
      <c r="H418" s="10" t="s">
        <v>21980</v>
      </c>
      <c r="I418" s="5" t="s">
        <v>20688</v>
      </c>
      <c r="K418" s="23">
        <v>46080.786828703705</v>
      </c>
      <c r="L418" s="5" t="s">
        <v>17416</v>
      </c>
      <c r="M418" s="10" t="s">
        <v>21981</v>
      </c>
      <c r="N418" s="10" t="s">
        <v>21962</v>
      </c>
      <c r="P418" s="5" t="s">
        <v>14593</v>
      </c>
      <c r="R418" s="9">
        <v>46088.775405092594</v>
      </c>
      <c r="S418" s="9">
        <v>46088.775405092594</v>
      </c>
    </row>
    <row r="419" spans="1:19" ht="12.5">
      <c r="A419" s="10" t="s">
        <v>21982</v>
      </c>
      <c r="B419" s="5" t="s">
        <v>19098</v>
      </c>
      <c r="C419" s="5">
        <v>573006777033</v>
      </c>
      <c r="D419" s="5" t="s">
        <v>361</v>
      </c>
      <c r="E419" s="5" t="s">
        <v>12002</v>
      </c>
      <c r="F419" s="5" t="s">
        <v>63</v>
      </c>
      <c r="G419" s="5" t="s">
        <v>21983</v>
      </c>
      <c r="K419" s="23">
        <v>46080.656180555554</v>
      </c>
      <c r="L419" s="5" t="s">
        <v>6139</v>
      </c>
      <c r="M419" s="10" t="s">
        <v>21984</v>
      </c>
      <c r="N419" s="10" t="s">
        <v>21985</v>
      </c>
      <c r="P419" s="5" t="s">
        <v>14598</v>
      </c>
      <c r="R419" s="9">
        <v>46088.776956018519</v>
      </c>
      <c r="S419" s="9">
        <v>46088.776956018519</v>
      </c>
    </row>
    <row r="420" spans="1:19" ht="12.5">
      <c r="A420" s="10" t="s">
        <v>21986</v>
      </c>
      <c r="B420" s="5" t="s">
        <v>19096</v>
      </c>
      <c r="C420" s="5">
        <v>16462098900</v>
      </c>
      <c r="D420" s="5" t="s">
        <v>89</v>
      </c>
      <c r="E420" s="5" t="s">
        <v>12008</v>
      </c>
      <c r="F420" s="5" t="s">
        <v>73</v>
      </c>
      <c r="G420" s="5" t="s">
        <v>12007</v>
      </c>
      <c r="H420" s="10" t="s">
        <v>21987</v>
      </c>
      <c r="I420" s="5" t="s">
        <v>20688</v>
      </c>
      <c r="K420" s="23">
        <v>46080.633993055555</v>
      </c>
      <c r="L420" s="5" t="s">
        <v>17416</v>
      </c>
      <c r="M420" s="10" t="s">
        <v>21988</v>
      </c>
      <c r="N420" s="10" t="s">
        <v>21989</v>
      </c>
      <c r="P420" s="5" t="s">
        <v>14593</v>
      </c>
      <c r="R420" s="9">
        <v>46088.777777777781</v>
      </c>
      <c r="S420" s="9">
        <v>46088.777777777781</v>
      </c>
    </row>
    <row r="421" spans="1:19" ht="12.5">
      <c r="A421" s="10" t="s">
        <v>21990</v>
      </c>
      <c r="B421" s="5" t="s">
        <v>19092</v>
      </c>
      <c r="C421" s="5">
        <v>573160574541</v>
      </c>
      <c r="D421" s="5" t="s">
        <v>251</v>
      </c>
      <c r="E421" s="5" t="s">
        <v>11997</v>
      </c>
      <c r="F421" s="5" t="s">
        <v>9581</v>
      </c>
      <c r="G421" s="5" t="s">
        <v>19094</v>
      </c>
      <c r="H421" s="10" t="s">
        <v>21991</v>
      </c>
      <c r="K421" s="23">
        <v>46080.63417824074</v>
      </c>
      <c r="L421" s="5" t="s">
        <v>6139</v>
      </c>
      <c r="M421" s="10" t="s">
        <v>21992</v>
      </c>
      <c r="N421" s="10" t="s">
        <v>21989</v>
      </c>
      <c r="P421" s="5" t="s">
        <v>14580</v>
      </c>
      <c r="R421" s="9">
        <v>46088.780358796299</v>
      </c>
      <c r="S421" s="9">
        <v>46088.780358796299</v>
      </c>
    </row>
    <row r="422" spans="1:19" ht="12.5">
      <c r="A422" s="10" t="s">
        <v>21993</v>
      </c>
      <c r="B422" s="5" t="s">
        <v>19088</v>
      </c>
      <c r="C422" s="5">
        <v>16025289753</v>
      </c>
      <c r="D422" s="5" t="s">
        <v>89</v>
      </c>
      <c r="E422" s="5" t="s">
        <v>11993</v>
      </c>
      <c r="F422" s="5" t="s">
        <v>63</v>
      </c>
      <c r="G422" s="5" t="s">
        <v>11992</v>
      </c>
      <c r="H422" s="10" t="s">
        <v>21994</v>
      </c>
      <c r="I422" s="5" t="s">
        <v>20688</v>
      </c>
      <c r="K422" s="23">
        <v>46080.633935185186</v>
      </c>
      <c r="L422" s="5" t="s">
        <v>17416</v>
      </c>
      <c r="M422" s="10" t="s">
        <v>21995</v>
      </c>
      <c r="N422" s="10" t="s">
        <v>21996</v>
      </c>
      <c r="P422" s="5" t="s">
        <v>14598</v>
      </c>
      <c r="R422" s="9">
        <v>46088.782766203702</v>
      </c>
      <c r="S422" s="9">
        <v>46088.782766203702</v>
      </c>
    </row>
    <row r="423" spans="1:19" ht="12.5">
      <c r="A423" s="10" t="s">
        <v>21997</v>
      </c>
      <c r="B423" s="5" t="s">
        <v>16892</v>
      </c>
      <c r="C423" s="5">
        <v>5719543974714</v>
      </c>
      <c r="D423" s="5" t="s">
        <v>178</v>
      </c>
      <c r="E423" s="5" t="s">
        <v>11984</v>
      </c>
      <c r="F423" s="5" t="s">
        <v>307</v>
      </c>
      <c r="G423" s="5" t="s">
        <v>7602</v>
      </c>
      <c r="I423" s="5" t="s">
        <v>20688</v>
      </c>
      <c r="K423" s="23">
        <v>46080.612268518518</v>
      </c>
      <c r="L423" s="5" t="s">
        <v>17416</v>
      </c>
      <c r="M423" s="10" t="s">
        <v>21998</v>
      </c>
      <c r="N423" s="10" t="s">
        <v>21999</v>
      </c>
      <c r="P423" s="5" t="s">
        <v>14618</v>
      </c>
      <c r="R423" s="9">
        <v>46088.783125000002</v>
      </c>
      <c r="S423" s="9">
        <v>46088.783125000002</v>
      </c>
    </row>
    <row r="424" spans="1:19" ht="12.5">
      <c r="A424" s="10" t="s">
        <v>22000</v>
      </c>
      <c r="B424" s="5" t="s">
        <v>19083</v>
      </c>
      <c r="C424" s="5">
        <v>573005272284</v>
      </c>
      <c r="D424" s="5" t="s">
        <v>187</v>
      </c>
      <c r="E424" s="5" t="s">
        <v>11980</v>
      </c>
      <c r="F424" s="5" t="s">
        <v>73</v>
      </c>
      <c r="G424" s="5" t="s">
        <v>11979</v>
      </c>
      <c r="H424" s="10" t="s">
        <v>22001</v>
      </c>
      <c r="I424" s="5" t="s">
        <v>20688</v>
      </c>
      <c r="K424" s="23">
        <v>46080.633634259262</v>
      </c>
      <c r="L424" s="5" t="s">
        <v>17416</v>
      </c>
      <c r="M424" s="10" t="s">
        <v>22002</v>
      </c>
      <c r="N424" s="10" t="s">
        <v>22003</v>
      </c>
      <c r="P424" s="5" t="s">
        <v>14593</v>
      </c>
      <c r="R424" s="9">
        <v>46088.789120370369</v>
      </c>
      <c r="S424" s="9">
        <v>46088.789120370369</v>
      </c>
    </row>
    <row r="425" spans="1:19" ht="12.5">
      <c r="A425" s="10" t="s">
        <v>22004</v>
      </c>
      <c r="B425" s="5" t="s">
        <v>17654</v>
      </c>
      <c r="C425" s="5">
        <v>112029755636</v>
      </c>
      <c r="D425" s="5" t="s">
        <v>347</v>
      </c>
      <c r="E425" s="5" t="s">
        <v>11978</v>
      </c>
      <c r="F425" s="5" t="s">
        <v>185</v>
      </c>
      <c r="G425" s="5" t="s">
        <v>22005</v>
      </c>
      <c r="H425" s="10" t="s">
        <v>22006</v>
      </c>
      <c r="I425" s="5" t="s">
        <v>20688</v>
      </c>
      <c r="K425" s="23">
        <v>46080.612164351849</v>
      </c>
      <c r="L425" s="5" t="s">
        <v>17416</v>
      </c>
      <c r="M425" s="10" t="s">
        <v>22007</v>
      </c>
      <c r="N425" s="10" t="s">
        <v>22008</v>
      </c>
      <c r="P425" s="5" t="s">
        <v>14580</v>
      </c>
      <c r="R425" s="9">
        <v>46088.793877314813</v>
      </c>
      <c r="S425" s="9">
        <v>46088.793877314813</v>
      </c>
    </row>
    <row r="426" spans="1:19" ht="12.5">
      <c r="A426" s="10" t="s">
        <v>22009</v>
      </c>
      <c r="B426" s="5" t="s">
        <v>19080</v>
      </c>
      <c r="C426" s="5">
        <v>573008157038</v>
      </c>
      <c r="D426" s="5" t="s">
        <v>3752</v>
      </c>
      <c r="E426" s="5" t="s">
        <v>11958</v>
      </c>
      <c r="F426" s="5" t="s">
        <v>63</v>
      </c>
      <c r="G426" s="5" t="s">
        <v>11957</v>
      </c>
      <c r="I426" s="5" t="s">
        <v>20688</v>
      </c>
      <c r="K426" s="23">
        <v>46080.585057870368</v>
      </c>
      <c r="L426" s="5" t="s">
        <v>17416</v>
      </c>
      <c r="M426" s="10" t="s">
        <v>22010</v>
      </c>
      <c r="N426" s="10" t="s">
        <v>22008</v>
      </c>
      <c r="P426" s="5" t="s">
        <v>14598</v>
      </c>
      <c r="R426" s="9">
        <v>46088.793958333335</v>
      </c>
      <c r="S426" s="9">
        <v>46088.793958333335</v>
      </c>
    </row>
    <row r="427" spans="1:19" ht="12.5">
      <c r="A427" s="10" t="s">
        <v>22011</v>
      </c>
      <c r="B427" s="5" t="s">
        <v>19078</v>
      </c>
      <c r="C427" s="5">
        <v>573045861749</v>
      </c>
      <c r="D427" s="5" t="s">
        <v>707</v>
      </c>
      <c r="E427" s="5" t="s">
        <v>11942</v>
      </c>
      <c r="F427" s="5" t="s">
        <v>11248</v>
      </c>
      <c r="G427" s="5" t="s">
        <v>22012</v>
      </c>
      <c r="H427" s="10" t="s">
        <v>22013</v>
      </c>
      <c r="K427" s="23">
        <v>46080.540150462963</v>
      </c>
      <c r="L427" s="5" t="s">
        <v>6139</v>
      </c>
      <c r="M427" s="10" t="s">
        <v>22014</v>
      </c>
      <c r="N427" s="10" t="s">
        <v>22008</v>
      </c>
      <c r="P427" s="5" t="s">
        <v>14618</v>
      </c>
      <c r="R427" s="9">
        <v>46088.793958333335</v>
      </c>
      <c r="S427" s="9">
        <v>46088.793958333335</v>
      </c>
    </row>
    <row r="428" spans="1:19" ht="12.5">
      <c r="A428" s="10" t="s">
        <v>22015</v>
      </c>
      <c r="B428" s="5" t="s">
        <v>19076</v>
      </c>
      <c r="C428" s="5">
        <v>573126928741</v>
      </c>
      <c r="D428" s="5" t="s">
        <v>422</v>
      </c>
      <c r="E428" s="5" t="s">
        <v>11972</v>
      </c>
      <c r="F428" s="5" t="s">
        <v>161</v>
      </c>
      <c r="G428" s="5" t="s">
        <v>22016</v>
      </c>
      <c r="H428" s="10" t="s">
        <v>11973</v>
      </c>
      <c r="I428" s="5" t="s">
        <v>20688</v>
      </c>
      <c r="K428" s="23">
        <v>46080.539155092592</v>
      </c>
      <c r="L428" s="5" t="s">
        <v>17416</v>
      </c>
      <c r="M428" s="10" t="s">
        <v>22017</v>
      </c>
      <c r="N428" s="10" t="s">
        <v>22018</v>
      </c>
      <c r="P428" s="5" t="s">
        <v>14593</v>
      </c>
      <c r="R428" s="9">
        <v>46088.794340277775</v>
      </c>
      <c r="S428" s="9">
        <v>46088.794340277775</v>
      </c>
    </row>
    <row r="429" spans="1:19" ht="12.5">
      <c r="A429" s="10" t="s">
        <v>22019</v>
      </c>
      <c r="B429" s="5" t="s">
        <v>19074</v>
      </c>
      <c r="C429" s="5">
        <v>573164101044</v>
      </c>
      <c r="D429" s="5" t="s">
        <v>178</v>
      </c>
      <c r="E429" s="5" t="s">
        <v>11965</v>
      </c>
      <c r="F429" s="5" t="s">
        <v>124</v>
      </c>
      <c r="G429" s="5" t="s">
        <v>11964</v>
      </c>
      <c r="H429" s="10" t="s">
        <v>22020</v>
      </c>
      <c r="K429" s="23">
        <v>46083.68378472222</v>
      </c>
      <c r="L429" s="5" t="s">
        <v>6139</v>
      </c>
      <c r="M429" s="10" t="s">
        <v>22021</v>
      </c>
      <c r="N429" s="10" t="s">
        <v>21812</v>
      </c>
      <c r="P429" s="5" t="s">
        <v>14775</v>
      </c>
      <c r="R429" s="9">
        <v>46088.797800925924</v>
      </c>
      <c r="S429" s="9">
        <v>46088.797800925924</v>
      </c>
    </row>
    <row r="430" spans="1:19" ht="12.5">
      <c r="A430" s="10" t="s">
        <v>22022</v>
      </c>
      <c r="B430" s="5" t="s">
        <v>15903</v>
      </c>
      <c r="C430" s="5">
        <v>573008039079</v>
      </c>
      <c r="D430" s="5" t="s">
        <v>335</v>
      </c>
      <c r="E430" s="5" t="s">
        <v>11952</v>
      </c>
      <c r="F430" s="5" t="s">
        <v>307</v>
      </c>
      <c r="G430" s="5" t="s">
        <v>11951</v>
      </c>
      <c r="H430" s="10" t="s">
        <v>22023</v>
      </c>
      <c r="I430" s="5" t="s">
        <v>22024</v>
      </c>
      <c r="J430" s="5">
        <v>3013970888</v>
      </c>
      <c r="K430" s="5" t="s">
        <v>14574</v>
      </c>
      <c r="L430" s="5" t="s">
        <v>17416</v>
      </c>
      <c r="M430" s="10" t="s">
        <v>22025</v>
      </c>
      <c r="N430" s="10" t="s">
        <v>21971</v>
      </c>
      <c r="P430" s="5" t="s">
        <v>14618</v>
      </c>
      <c r="R430" s="9">
        <v>46088.798194444447</v>
      </c>
      <c r="S430" s="9">
        <v>46088.798194444447</v>
      </c>
    </row>
    <row r="431" spans="1:19" ht="12.5">
      <c r="A431" s="10" t="s">
        <v>22026</v>
      </c>
      <c r="B431" s="5" t="s">
        <v>19070</v>
      </c>
      <c r="C431" s="5">
        <v>573146682326</v>
      </c>
      <c r="D431" s="5" t="s">
        <v>42</v>
      </c>
      <c r="E431" s="5" t="s">
        <v>11935</v>
      </c>
      <c r="F431" s="5" t="s">
        <v>1047</v>
      </c>
      <c r="G431" s="5" t="s">
        <v>22027</v>
      </c>
      <c r="H431" s="5" t="s">
        <v>15231</v>
      </c>
      <c r="I431" s="5" t="s">
        <v>22028</v>
      </c>
      <c r="J431" s="5">
        <v>3117317875</v>
      </c>
      <c r="K431" s="5" t="s">
        <v>14574</v>
      </c>
      <c r="L431" s="5" t="s">
        <v>17416</v>
      </c>
      <c r="M431" s="10" t="s">
        <v>22029</v>
      </c>
      <c r="N431" s="10" t="s">
        <v>22030</v>
      </c>
      <c r="P431" s="5" t="s">
        <v>14580</v>
      </c>
      <c r="R431" s="9">
        <v>46088.807060185187</v>
      </c>
      <c r="S431" s="9">
        <v>46088.807060185187</v>
      </c>
    </row>
    <row r="432" spans="1:19" ht="12.5">
      <c r="A432" s="10" t="s">
        <v>22031</v>
      </c>
      <c r="B432" s="5" t="s">
        <v>11947</v>
      </c>
      <c r="C432" s="5">
        <v>573106330045</v>
      </c>
      <c r="D432" s="5" t="s">
        <v>649</v>
      </c>
      <c r="E432" s="5" t="s">
        <v>11948</v>
      </c>
      <c r="F432" s="5" t="s">
        <v>185</v>
      </c>
      <c r="G432" s="5" t="s">
        <v>11947</v>
      </c>
      <c r="H432" s="10" t="s">
        <v>22032</v>
      </c>
      <c r="I432" s="5" t="s">
        <v>20688</v>
      </c>
      <c r="K432" s="23">
        <v>46080.493518518517</v>
      </c>
      <c r="L432" s="5" t="s">
        <v>17416</v>
      </c>
      <c r="M432" s="10" t="s">
        <v>22033</v>
      </c>
      <c r="N432" s="10" t="s">
        <v>22030</v>
      </c>
      <c r="P432" s="5" t="s">
        <v>14580</v>
      </c>
      <c r="R432" s="9">
        <v>46088.809583333335</v>
      </c>
      <c r="S432" s="9">
        <v>46088.809583333335</v>
      </c>
    </row>
    <row r="433" spans="1:19" ht="12.5">
      <c r="A433" s="10" t="s">
        <v>22034</v>
      </c>
      <c r="B433" s="5" t="s">
        <v>19067</v>
      </c>
      <c r="C433" s="5">
        <v>573242029594</v>
      </c>
      <c r="D433" s="5" t="s">
        <v>375</v>
      </c>
      <c r="E433" s="5" t="s">
        <v>11756</v>
      </c>
      <c r="F433" s="5" t="s">
        <v>328</v>
      </c>
      <c r="G433" s="5" t="s">
        <v>22035</v>
      </c>
      <c r="H433" s="5" t="s">
        <v>15231</v>
      </c>
      <c r="I433" s="5" t="s">
        <v>20688</v>
      </c>
      <c r="K433" s="23">
        <v>46080.787037037036</v>
      </c>
      <c r="L433" s="5" t="s">
        <v>17416</v>
      </c>
      <c r="M433" s="10" t="s">
        <v>22036</v>
      </c>
      <c r="N433" s="10" t="s">
        <v>22037</v>
      </c>
      <c r="P433" s="5" t="s">
        <v>14618</v>
      </c>
      <c r="R433" s="9">
        <v>46088.818310185183</v>
      </c>
      <c r="S433" s="9">
        <v>46088.818310185183</v>
      </c>
    </row>
    <row r="434" spans="1:19" ht="12.5">
      <c r="A434" s="10" t="s">
        <v>22038</v>
      </c>
      <c r="B434" s="5" t="s">
        <v>11930</v>
      </c>
      <c r="C434" s="5">
        <v>573022088898</v>
      </c>
      <c r="D434" s="5" t="s">
        <v>210</v>
      </c>
      <c r="E434" s="5" t="s">
        <v>11928</v>
      </c>
      <c r="F434" s="5" t="s">
        <v>1815</v>
      </c>
      <c r="G434" s="5" t="s">
        <v>11927</v>
      </c>
      <c r="H434" s="5" t="s">
        <v>15231</v>
      </c>
      <c r="I434" s="5" t="s">
        <v>22024</v>
      </c>
      <c r="J434" s="5">
        <v>3013970888</v>
      </c>
      <c r="K434" s="5" t="s">
        <v>14574</v>
      </c>
      <c r="L434" s="5" t="s">
        <v>6139</v>
      </c>
      <c r="M434" s="10" t="s">
        <v>22039</v>
      </c>
      <c r="N434" s="10" t="s">
        <v>22040</v>
      </c>
      <c r="P434" s="5" t="s">
        <v>14580</v>
      </c>
      <c r="R434" s="9">
        <v>46088.829444444447</v>
      </c>
      <c r="S434" s="9">
        <v>46088.829444444447</v>
      </c>
    </row>
    <row r="435" spans="1:19" ht="12.5">
      <c r="A435" s="10" t="s">
        <v>22041</v>
      </c>
      <c r="B435" s="5" t="s">
        <v>19059</v>
      </c>
      <c r="C435" s="5">
        <v>573173669050</v>
      </c>
      <c r="D435" s="5" t="s">
        <v>335</v>
      </c>
      <c r="E435" s="5" t="s">
        <v>11921</v>
      </c>
      <c r="F435" s="5" t="s">
        <v>63</v>
      </c>
      <c r="G435" s="5" t="s">
        <v>11920</v>
      </c>
      <c r="H435" s="10" t="s">
        <v>22042</v>
      </c>
      <c r="K435" s="23">
        <v>46080.463472222225</v>
      </c>
      <c r="L435" s="5" t="s">
        <v>6139</v>
      </c>
      <c r="M435" s="10" t="s">
        <v>22043</v>
      </c>
      <c r="N435" s="10" t="s">
        <v>22044</v>
      </c>
      <c r="P435" s="5" t="s">
        <v>14598</v>
      </c>
      <c r="R435" s="9">
        <v>46088.830567129633</v>
      </c>
      <c r="S435" s="9">
        <v>46088.830567129633</v>
      </c>
    </row>
    <row r="436" spans="1:19" ht="12.5">
      <c r="A436" s="10" t="s">
        <v>22045</v>
      </c>
      <c r="B436" s="5" t="s">
        <v>19056</v>
      </c>
      <c r="C436" s="5">
        <v>573128460586</v>
      </c>
      <c r="D436" s="5" t="s">
        <v>178</v>
      </c>
      <c r="E436" s="5" t="s">
        <v>11912</v>
      </c>
      <c r="F436" s="5" t="s">
        <v>2865</v>
      </c>
      <c r="G436" s="5" t="s">
        <v>11911</v>
      </c>
      <c r="H436" s="10" t="s">
        <v>22046</v>
      </c>
      <c r="I436" s="5" t="s">
        <v>20688</v>
      </c>
      <c r="K436" s="23">
        <v>46081.545671296299</v>
      </c>
      <c r="L436" s="5" t="s">
        <v>17416</v>
      </c>
      <c r="M436" s="10" t="s">
        <v>22047</v>
      </c>
      <c r="N436" s="10" t="s">
        <v>22048</v>
      </c>
      <c r="P436" s="5" t="s">
        <v>14775</v>
      </c>
      <c r="R436" s="9">
        <v>46088.833993055552</v>
      </c>
      <c r="S436" s="9">
        <v>46088.833993055552</v>
      </c>
    </row>
    <row r="437" spans="1:19" ht="12.5">
      <c r="A437" s="10" t="s">
        <v>22049</v>
      </c>
      <c r="B437" s="5" t="s">
        <v>19053</v>
      </c>
      <c r="C437" s="5">
        <v>573226321850</v>
      </c>
      <c r="D437" s="5" t="s">
        <v>178</v>
      </c>
      <c r="E437" s="5" t="s">
        <v>11908</v>
      </c>
      <c r="F437" s="5" t="s">
        <v>11907</v>
      </c>
      <c r="G437" s="5" t="s">
        <v>22050</v>
      </c>
      <c r="H437" s="10" t="s">
        <v>22051</v>
      </c>
      <c r="I437" s="5" t="s">
        <v>22028</v>
      </c>
      <c r="J437" s="5">
        <v>3117317875</v>
      </c>
      <c r="K437" s="5" t="s">
        <v>14574</v>
      </c>
      <c r="L437" s="5" t="s">
        <v>17416</v>
      </c>
      <c r="M437" s="10" t="s">
        <v>22052</v>
      </c>
      <c r="N437" s="10" t="s">
        <v>22040</v>
      </c>
      <c r="P437" s="5" t="s">
        <v>14580</v>
      </c>
      <c r="R437" s="9">
        <v>46088.835902777777</v>
      </c>
      <c r="S437" s="9">
        <v>46088.835902777777</v>
      </c>
    </row>
    <row r="438" spans="1:19" ht="12.5">
      <c r="A438" s="10" t="s">
        <v>22053</v>
      </c>
      <c r="B438" s="5" t="s">
        <v>19049</v>
      </c>
      <c r="C438" s="5">
        <v>573174293590</v>
      </c>
      <c r="D438" s="5" t="s">
        <v>422</v>
      </c>
      <c r="E438" s="5" t="s">
        <v>11897</v>
      </c>
      <c r="F438" s="5" t="s">
        <v>73</v>
      </c>
      <c r="G438" s="5" t="s">
        <v>22054</v>
      </c>
      <c r="H438" s="5" t="s">
        <v>15231</v>
      </c>
      <c r="I438" s="5" t="s">
        <v>20688</v>
      </c>
      <c r="K438" s="23">
        <v>46080.326921296299</v>
      </c>
      <c r="L438" s="5" t="s">
        <v>17416</v>
      </c>
      <c r="M438" s="10" t="s">
        <v>22055</v>
      </c>
      <c r="N438" s="10" t="s">
        <v>22056</v>
      </c>
      <c r="P438" s="5" t="s">
        <v>14593</v>
      </c>
      <c r="R438" s="9">
        <v>46088.840104166666</v>
      </c>
      <c r="S438" s="9">
        <v>46088.840104166666</v>
      </c>
    </row>
    <row r="439" spans="1:19" ht="12.5">
      <c r="A439" s="10" t="s">
        <v>22057</v>
      </c>
      <c r="B439" s="5" t="s">
        <v>19047</v>
      </c>
      <c r="C439" s="5">
        <v>573158154659</v>
      </c>
      <c r="D439" s="5" t="s">
        <v>384</v>
      </c>
      <c r="E439" s="5" t="s">
        <v>11902</v>
      </c>
      <c r="F439" s="5" t="s">
        <v>154</v>
      </c>
      <c r="G439" s="5" t="s">
        <v>11901</v>
      </c>
      <c r="H439" s="10" t="s">
        <v>22058</v>
      </c>
      <c r="I439" s="5" t="s">
        <v>20688</v>
      </c>
      <c r="K439" s="23">
        <v>46080.450462962966</v>
      </c>
      <c r="L439" s="5" t="s">
        <v>17416</v>
      </c>
      <c r="M439" s="10" t="s">
        <v>22059</v>
      </c>
      <c r="N439" s="10" t="s">
        <v>22040</v>
      </c>
      <c r="P439" s="5" t="s">
        <v>14593</v>
      </c>
      <c r="R439" s="9">
        <v>46088.842303240737</v>
      </c>
      <c r="S439" s="9">
        <v>46088.842303240737</v>
      </c>
    </row>
    <row r="440" spans="1:19" ht="12.5">
      <c r="A440" s="10" t="s">
        <v>22060</v>
      </c>
      <c r="B440" s="5" t="s">
        <v>19042</v>
      </c>
      <c r="C440" s="5">
        <v>573022581676</v>
      </c>
      <c r="D440" s="5" t="s">
        <v>11891</v>
      </c>
      <c r="E440" s="5" t="s">
        <v>11890</v>
      </c>
      <c r="F440" s="5" t="s">
        <v>73</v>
      </c>
      <c r="G440" s="5" t="s">
        <v>19044</v>
      </c>
      <c r="H440" s="10" t="s">
        <v>22061</v>
      </c>
      <c r="I440" s="5" t="s">
        <v>20688</v>
      </c>
      <c r="K440" s="23">
        <v>46080.407962962963</v>
      </c>
      <c r="L440" s="5" t="s">
        <v>17416</v>
      </c>
      <c r="M440" s="10" t="s">
        <v>22062</v>
      </c>
      <c r="N440" s="10" t="s">
        <v>22063</v>
      </c>
      <c r="P440" s="5" t="s">
        <v>14593</v>
      </c>
      <c r="R440" s="9">
        <v>46088.856099537035</v>
      </c>
      <c r="S440" s="9">
        <v>46088.856099537035</v>
      </c>
    </row>
    <row r="441" spans="1:19" ht="12.5">
      <c r="A441" s="10" t="s">
        <v>22064</v>
      </c>
      <c r="B441" s="5" t="s">
        <v>19031</v>
      </c>
      <c r="C441" s="5">
        <v>573003521368</v>
      </c>
      <c r="D441" s="5" t="s">
        <v>1792</v>
      </c>
      <c r="E441" s="5" t="s">
        <v>11872</v>
      </c>
      <c r="F441" s="5" t="s">
        <v>265</v>
      </c>
      <c r="G441" s="5" t="s">
        <v>11871</v>
      </c>
      <c r="H441" s="10" t="s">
        <v>22065</v>
      </c>
      <c r="K441" s="23">
        <v>46080.438645833332</v>
      </c>
      <c r="L441" s="5" t="s">
        <v>6139</v>
      </c>
      <c r="M441" s="10" t="s">
        <v>22066</v>
      </c>
      <c r="N441" s="10" t="s">
        <v>22040</v>
      </c>
      <c r="P441" s="5" t="s">
        <v>14691</v>
      </c>
      <c r="R441" s="9">
        <v>46088.860393518517</v>
      </c>
      <c r="S441" s="9">
        <v>46088.860393518517</v>
      </c>
    </row>
    <row r="442" spans="1:19" ht="12.5">
      <c r="A442" s="10" t="s">
        <v>22067</v>
      </c>
      <c r="B442" s="5" t="s">
        <v>19029</v>
      </c>
      <c r="C442" s="5">
        <v>573008163729</v>
      </c>
      <c r="D442" s="5" t="s">
        <v>81</v>
      </c>
      <c r="E442" s="5" t="s">
        <v>11884</v>
      </c>
      <c r="F442" s="5" t="s">
        <v>185</v>
      </c>
      <c r="G442" s="5" t="s">
        <v>22068</v>
      </c>
      <c r="H442" s="10" t="s">
        <v>22069</v>
      </c>
      <c r="K442" s="23">
        <v>46079.75922453704</v>
      </c>
      <c r="L442" s="5" t="s">
        <v>6139</v>
      </c>
      <c r="M442" s="10" t="s">
        <v>22070</v>
      </c>
      <c r="N442" s="10" t="s">
        <v>22071</v>
      </c>
      <c r="P442" s="5" t="s">
        <v>14580</v>
      </c>
      <c r="R442" s="9">
        <v>46088.860717592594</v>
      </c>
      <c r="S442" s="9">
        <v>46088.860717592594</v>
      </c>
    </row>
    <row r="443" spans="1:19" ht="12.5">
      <c r="A443" s="10" t="s">
        <v>22072</v>
      </c>
      <c r="B443" s="5" t="s">
        <v>19027</v>
      </c>
      <c r="C443" s="5">
        <v>573044258786</v>
      </c>
      <c r="D443" s="5" t="s">
        <v>178</v>
      </c>
      <c r="E443" s="5" t="s">
        <v>11881</v>
      </c>
      <c r="F443" s="5" t="s">
        <v>63</v>
      </c>
      <c r="G443" s="5" t="s">
        <v>22073</v>
      </c>
      <c r="K443" s="23">
        <v>46079.715868055559</v>
      </c>
      <c r="L443" s="5" t="s">
        <v>6139</v>
      </c>
      <c r="M443" s="10" t="s">
        <v>22074</v>
      </c>
      <c r="N443" s="10" t="s">
        <v>22071</v>
      </c>
      <c r="P443" s="5" t="s">
        <v>14598</v>
      </c>
      <c r="R443" s="9">
        <v>46088.860983796294</v>
      </c>
      <c r="S443" s="9">
        <v>46088.860983796294</v>
      </c>
    </row>
    <row r="444" spans="1:19" ht="12.5">
      <c r="A444" s="10" t="s">
        <v>22075</v>
      </c>
      <c r="B444" s="5" t="s">
        <v>19023</v>
      </c>
      <c r="C444" s="5">
        <v>573106046492</v>
      </c>
      <c r="D444" s="5" t="s">
        <v>11877</v>
      </c>
      <c r="E444" s="5" t="s">
        <v>11876</v>
      </c>
      <c r="F444" s="5" t="s">
        <v>110</v>
      </c>
      <c r="G444" s="5" t="s">
        <v>11875</v>
      </c>
      <c r="H444" s="10" t="s">
        <v>22076</v>
      </c>
      <c r="I444" s="5" t="s">
        <v>20688</v>
      </c>
      <c r="K444" s="23">
        <v>46080.438946759263</v>
      </c>
      <c r="L444" s="5" t="s">
        <v>17416</v>
      </c>
      <c r="M444" s="10" t="s">
        <v>22077</v>
      </c>
      <c r="N444" s="10" t="s">
        <v>22063</v>
      </c>
      <c r="P444" s="5" t="s">
        <v>14593</v>
      </c>
      <c r="R444" s="9">
        <v>46088.861296296294</v>
      </c>
      <c r="S444" s="9">
        <v>46088.861296296294</v>
      </c>
    </row>
    <row r="445" spans="1:19" ht="12.5">
      <c r="A445" s="10" t="s">
        <v>22078</v>
      </c>
      <c r="B445" s="5" t="s">
        <v>19020</v>
      </c>
      <c r="C445" s="5">
        <v>573008156363</v>
      </c>
      <c r="D445" s="5" t="s">
        <v>375</v>
      </c>
      <c r="E445" s="5" t="s">
        <v>11866</v>
      </c>
      <c r="F445" s="5" t="s">
        <v>161</v>
      </c>
      <c r="G445" s="5" t="s">
        <v>11865</v>
      </c>
      <c r="H445" s="10" t="s">
        <v>22079</v>
      </c>
      <c r="I445" s="5" t="s">
        <v>20688</v>
      </c>
      <c r="K445" s="23">
        <v>46079.677685185183</v>
      </c>
      <c r="L445" s="5" t="s">
        <v>17416</v>
      </c>
      <c r="M445" s="10" t="s">
        <v>22080</v>
      </c>
      <c r="N445" s="10" t="s">
        <v>22081</v>
      </c>
      <c r="P445" s="5" t="s">
        <v>14593</v>
      </c>
      <c r="R445" s="9">
        <v>46088.861585648148</v>
      </c>
      <c r="S445" s="9">
        <v>46088.861585648148</v>
      </c>
    </row>
    <row r="446" spans="1:19" ht="12.5">
      <c r="A446" s="10" t="s">
        <v>22082</v>
      </c>
      <c r="B446" s="5" t="s">
        <v>19017</v>
      </c>
      <c r="C446" s="5">
        <v>573145964445</v>
      </c>
      <c r="D446" s="5" t="s">
        <v>1792</v>
      </c>
      <c r="E446" s="5" t="s">
        <v>11776</v>
      </c>
      <c r="F446" s="5" t="s">
        <v>63</v>
      </c>
      <c r="G446" s="5" t="s">
        <v>11775</v>
      </c>
      <c r="H446" s="10" t="s">
        <v>22083</v>
      </c>
      <c r="I446" s="5" t="s">
        <v>20688</v>
      </c>
      <c r="K446" s="23">
        <v>46080.787129629629</v>
      </c>
      <c r="L446" s="5" t="s">
        <v>17416</v>
      </c>
      <c r="M446" s="10" t="s">
        <v>22084</v>
      </c>
      <c r="N446" s="10" t="s">
        <v>22085</v>
      </c>
      <c r="P446" s="5" t="s">
        <v>14598</v>
      </c>
      <c r="R446" s="9">
        <v>46088.873252314814</v>
      </c>
      <c r="S446" s="9">
        <v>46088.873252314814</v>
      </c>
    </row>
    <row r="447" spans="1:19" ht="12.5">
      <c r="A447" s="10" t="s">
        <v>22086</v>
      </c>
      <c r="B447" s="5" t="s">
        <v>19014</v>
      </c>
      <c r="C447" s="5">
        <v>573006962626</v>
      </c>
      <c r="D447" s="5" t="s">
        <v>435</v>
      </c>
      <c r="E447" s="5" t="s">
        <v>11859</v>
      </c>
      <c r="F447" s="5" t="s">
        <v>110</v>
      </c>
      <c r="G447" s="5" t="s">
        <v>11858</v>
      </c>
      <c r="H447" s="10" t="s">
        <v>22087</v>
      </c>
      <c r="I447" s="5" t="s">
        <v>20688</v>
      </c>
      <c r="K447" s="23">
        <v>46079.66815972222</v>
      </c>
      <c r="L447" s="5" t="s">
        <v>17416</v>
      </c>
      <c r="M447" s="10" t="s">
        <v>22088</v>
      </c>
      <c r="N447" s="10" t="s">
        <v>22081</v>
      </c>
      <c r="P447" s="5" t="s">
        <v>14593</v>
      </c>
      <c r="R447" s="9">
        <v>46088.88480324074</v>
      </c>
      <c r="S447" s="9">
        <v>46088.88480324074</v>
      </c>
    </row>
    <row r="448" spans="1:19" ht="12.5">
      <c r="A448" s="10" t="s">
        <v>22089</v>
      </c>
      <c r="B448" s="5" t="s">
        <v>11844</v>
      </c>
      <c r="C448" s="5">
        <v>573107226918</v>
      </c>
      <c r="D448" s="5" t="s">
        <v>309</v>
      </c>
      <c r="E448" s="5" t="s">
        <v>11845</v>
      </c>
      <c r="F448" s="5" t="s">
        <v>73</v>
      </c>
      <c r="G448" s="5" t="s">
        <v>11844</v>
      </c>
      <c r="H448" s="10" t="s">
        <v>22090</v>
      </c>
      <c r="I448" s="5" t="s">
        <v>20688</v>
      </c>
      <c r="K448" s="23">
        <v>46079.678402777776</v>
      </c>
      <c r="L448" s="5" t="s">
        <v>17416</v>
      </c>
      <c r="M448" s="10" t="s">
        <v>22091</v>
      </c>
      <c r="N448" s="10" t="s">
        <v>22081</v>
      </c>
      <c r="P448" s="5" t="s">
        <v>14593</v>
      </c>
      <c r="R448" s="9">
        <v>46088.916435185187</v>
      </c>
      <c r="S448" s="9">
        <v>46088.916435185187</v>
      </c>
    </row>
    <row r="449" spans="1:19" ht="12.5">
      <c r="A449" s="10" t="s">
        <v>22092</v>
      </c>
      <c r="B449" s="5" t="s">
        <v>19011</v>
      </c>
      <c r="C449" s="5">
        <v>573162909330</v>
      </c>
      <c r="D449" s="5" t="s">
        <v>347</v>
      </c>
      <c r="E449" s="5" t="s">
        <v>648</v>
      </c>
      <c r="F449" s="5" t="s">
        <v>892</v>
      </c>
      <c r="G449" s="5" t="s">
        <v>11854</v>
      </c>
      <c r="H449" s="10" t="s">
        <v>22093</v>
      </c>
      <c r="I449" s="5" t="s">
        <v>22094</v>
      </c>
      <c r="J449" s="5">
        <v>3045805246</v>
      </c>
      <c r="K449" s="5" t="s">
        <v>14574</v>
      </c>
      <c r="L449" s="5" t="s">
        <v>17416</v>
      </c>
      <c r="M449" s="10" t="s">
        <v>22095</v>
      </c>
      <c r="N449" s="10" t="s">
        <v>22044</v>
      </c>
      <c r="P449" s="5" t="s">
        <v>14593</v>
      </c>
      <c r="R449" s="9">
        <v>46089.337199074071</v>
      </c>
      <c r="S449" s="9">
        <v>46089.337199074071</v>
      </c>
    </row>
    <row r="450" spans="1:19" ht="12.5">
      <c r="A450" s="10" t="s">
        <v>22096</v>
      </c>
      <c r="B450" s="5" t="s">
        <v>19009</v>
      </c>
      <c r="C450" s="5">
        <v>573028320446</v>
      </c>
      <c r="D450" s="5" t="s">
        <v>11840</v>
      </c>
      <c r="E450" s="5" t="s">
        <v>11838</v>
      </c>
      <c r="F450" s="5" t="s">
        <v>9002</v>
      </c>
      <c r="G450" s="5" t="s">
        <v>22097</v>
      </c>
      <c r="H450" s="10" t="s">
        <v>11839</v>
      </c>
      <c r="K450" s="23">
        <v>46079.667916666665</v>
      </c>
      <c r="L450" s="5" t="s">
        <v>6139</v>
      </c>
      <c r="M450" s="10" t="s">
        <v>22098</v>
      </c>
      <c r="N450" s="10" t="s">
        <v>22099</v>
      </c>
      <c r="P450" s="5" t="s">
        <v>14775</v>
      </c>
      <c r="R450" s="9">
        <v>46089.342523148145</v>
      </c>
      <c r="S450" s="9">
        <v>46089.342523148145</v>
      </c>
    </row>
    <row r="451" spans="1:19" ht="12.5">
      <c r="A451" s="10" t="s">
        <v>22100</v>
      </c>
      <c r="B451" s="5" t="s">
        <v>19007</v>
      </c>
      <c r="C451" s="5">
        <v>573007322901</v>
      </c>
      <c r="D451" s="5" t="s">
        <v>335</v>
      </c>
      <c r="E451" s="5" t="s">
        <v>11823</v>
      </c>
      <c r="F451" s="5" t="s">
        <v>892</v>
      </c>
      <c r="G451" s="5" t="s">
        <v>11822</v>
      </c>
      <c r="H451" s="5" t="s">
        <v>15231</v>
      </c>
      <c r="I451" s="5" t="s">
        <v>20688</v>
      </c>
      <c r="K451" s="23">
        <v>46079.667939814812</v>
      </c>
      <c r="L451" s="5" t="s">
        <v>17416</v>
      </c>
      <c r="M451" s="10" t="s">
        <v>22101</v>
      </c>
      <c r="N451" s="10" t="s">
        <v>22099</v>
      </c>
      <c r="P451" s="5" t="s">
        <v>14593</v>
      </c>
      <c r="R451" s="9">
        <v>46089.369803240741</v>
      </c>
      <c r="S451" s="9">
        <v>46089.369803240741</v>
      </c>
    </row>
    <row r="452" spans="1:19" ht="12.5">
      <c r="A452" s="10" t="s">
        <v>22102</v>
      </c>
      <c r="B452" s="5" t="s">
        <v>19003</v>
      </c>
      <c r="C452" s="5">
        <v>13058749745</v>
      </c>
      <c r="D452" s="5" t="s">
        <v>42</v>
      </c>
      <c r="E452" s="5" t="s">
        <v>11833</v>
      </c>
      <c r="F452" s="5" t="s">
        <v>161</v>
      </c>
      <c r="G452" s="5" t="s">
        <v>22103</v>
      </c>
      <c r="H452" s="10" t="s">
        <v>22104</v>
      </c>
      <c r="I452" s="5" t="s">
        <v>20688</v>
      </c>
      <c r="K452" s="23">
        <v>46080.786087962966</v>
      </c>
      <c r="L452" s="5" t="s">
        <v>17416</v>
      </c>
      <c r="M452" s="10" t="s">
        <v>22105</v>
      </c>
      <c r="N452" s="10" t="s">
        <v>21962</v>
      </c>
      <c r="P452" s="5" t="s">
        <v>14593</v>
      </c>
      <c r="R452" s="9">
        <v>46089.372650462959</v>
      </c>
      <c r="S452" s="9">
        <v>46089.372650462959</v>
      </c>
    </row>
    <row r="453" spans="1:19" ht="12.5">
      <c r="A453" s="10" t="s">
        <v>22106</v>
      </c>
      <c r="B453" s="5" t="s">
        <v>19000</v>
      </c>
      <c r="C453" s="5">
        <v>573216437580</v>
      </c>
      <c r="D453" s="5" t="s">
        <v>361</v>
      </c>
      <c r="E453" s="5" t="s">
        <v>11828</v>
      </c>
      <c r="F453" s="5" t="s">
        <v>11628</v>
      </c>
      <c r="G453" s="5" t="s">
        <v>22107</v>
      </c>
      <c r="H453" s="10" t="s">
        <v>22108</v>
      </c>
      <c r="I453" s="5" t="s">
        <v>22109</v>
      </c>
      <c r="J453" s="5">
        <v>3045805246</v>
      </c>
      <c r="K453" s="5" t="s">
        <v>14574</v>
      </c>
      <c r="L453" s="5" t="s">
        <v>20652</v>
      </c>
      <c r="M453" s="10" t="s">
        <v>22110</v>
      </c>
      <c r="N453" s="10" t="s">
        <v>22044</v>
      </c>
      <c r="R453" s="9">
        <v>46089.377893518518</v>
      </c>
      <c r="S453" s="9">
        <v>46089.377893518518</v>
      </c>
    </row>
    <row r="454" spans="1:19" ht="12.5">
      <c r="A454" s="10" t="s">
        <v>22111</v>
      </c>
      <c r="B454" s="5" t="s">
        <v>8243</v>
      </c>
      <c r="C454" s="5">
        <v>573205215209</v>
      </c>
      <c r="D454" s="5" t="s">
        <v>2120</v>
      </c>
      <c r="E454" s="5" t="s">
        <v>11818</v>
      </c>
      <c r="F454" s="5" t="s">
        <v>185</v>
      </c>
      <c r="G454" s="5" t="s">
        <v>11817</v>
      </c>
      <c r="H454" s="5" t="s">
        <v>15231</v>
      </c>
      <c r="I454" s="5" t="s">
        <v>20688</v>
      </c>
      <c r="K454" s="23">
        <v>46079.631331018521</v>
      </c>
      <c r="L454" s="5" t="s">
        <v>17416</v>
      </c>
      <c r="M454" s="10" t="s">
        <v>22112</v>
      </c>
      <c r="N454" s="10" t="s">
        <v>22113</v>
      </c>
      <c r="P454" s="5" t="s">
        <v>14580</v>
      </c>
      <c r="R454" s="9">
        <v>46089.397222222222</v>
      </c>
      <c r="S454" s="9">
        <v>46089.397222222222</v>
      </c>
    </row>
    <row r="455" spans="1:19" ht="12.5">
      <c r="A455" s="10" t="s">
        <v>22114</v>
      </c>
      <c r="B455" s="5" t="s">
        <v>18997</v>
      </c>
      <c r="C455" s="5">
        <v>573182619183</v>
      </c>
      <c r="D455" s="5" t="s">
        <v>42</v>
      </c>
      <c r="E455" s="5" t="s">
        <v>11815</v>
      </c>
      <c r="F455" s="5" t="s">
        <v>328</v>
      </c>
      <c r="G455" s="5" t="s">
        <v>22115</v>
      </c>
      <c r="K455" s="23">
        <v>46080.78869212963</v>
      </c>
      <c r="L455" s="5" t="s">
        <v>6139</v>
      </c>
      <c r="M455" s="10" t="s">
        <v>22116</v>
      </c>
      <c r="N455" s="10" t="s">
        <v>21962</v>
      </c>
      <c r="P455" s="5" t="s">
        <v>14618</v>
      </c>
      <c r="R455" s="9">
        <v>46089.397905092592</v>
      </c>
      <c r="S455" s="9">
        <v>46089.397905092592</v>
      </c>
    </row>
    <row r="456" spans="1:19" ht="12.5">
      <c r="A456" s="10" t="s">
        <v>22117</v>
      </c>
      <c r="B456" s="5" t="s">
        <v>18995</v>
      </c>
      <c r="C456" s="5">
        <v>573164978794</v>
      </c>
      <c r="D456" s="5" t="s">
        <v>3892</v>
      </c>
      <c r="E456" s="5" t="s">
        <v>8238</v>
      </c>
      <c r="F456" s="5" t="s">
        <v>4403</v>
      </c>
      <c r="G456" s="5" t="s">
        <v>11811</v>
      </c>
      <c r="I456" s="5" t="s">
        <v>20688</v>
      </c>
      <c r="K456" s="23">
        <v>46079.590138888889</v>
      </c>
      <c r="L456" s="5" t="s">
        <v>17416</v>
      </c>
      <c r="M456" s="10" t="s">
        <v>22118</v>
      </c>
      <c r="N456" s="10" t="s">
        <v>22113</v>
      </c>
      <c r="P456" s="5" t="s">
        <v>14598</v>
      </c>
      <c r="R456" s="9">
        <v>46089.403287037036</v>
      </c>
      <c r="S456" s="9">
        <v>46089.403287037036</v>
      </c>
    </row>
    <row r="457" spans="1:19" ht="12.5">
      <c r="A457" s="10" t="s">
        <v>22119</v>
      </c>
      <c r="B457" s="5" t="s">
        <v>18992</v>
      </c>
      <c r="C457" s="5">
        <v>573007771043</v>
      </c>
      <c r="D457" s="5" t="s">
        <v>1597</v>
      </c>
      <c r="E457" s="5" t="s">
        <v>11810</v>
      </c>
      <c r="F457" s="5" t="s">
        <v>2263</v>
      </c>
      <c r="G457" s="5" t="s">
        <v>11809</v>
      </c>
      <c r="K457" s="23">
        <v>46080.72729166667</v>
      </c>
      <c r="L457" s="5" t="s">
        <v>6139</v>
      </c>
      <c r="M457" s="10" t="s">
        <v>22120</v>
      </c>
      <c r="N457" s="10" t="s">
        <v>22085</v>
      </c>
      <c r="P457" s="5" t="s">
        <v>14580</v>
      </c>
      <c r="R457" s="9">
        <v>46089.403993055559</v>
      </c>
      <c r="S457" s="9">
        <v>46089.403993055559</v>
      </c>
    </row>
    <row r="458" spans="1:19" ht="12.5">
      <c r="A458" s="10" t="s">
        <v>22121</v>
      </c>
      <c r="B458" s="5" t="s">
        <v>11794</v>
      </c>
      <c r="C458" s="5">
        <v>573004618367</v>
      </c>
      <c r="D458" s="5" t="s">
        <v>65</v>
      </c>
      <c r="E458" s="5" t="s">
        <v>34</v>
      </c>
      <c r="G458" s="5" t="s">
        <v>11794</v>
      </c>
      <c r="H458" s="10" t="s">
        <v>22122</v>
      </c>
      <c r="K458" s="23">
        <v>46079.598425925928</v>
      </c>
      <c r="L458" s="5" t="s">
        <v>6139</v>
      </c>
      <c r="M458" s="10" t="s">
        <v>22123</v>
      </c>
      <c r="N458" s="10" t="s">
        <v>22113</v>
      </c>
      <c r="R458" s="9">
        <v>46089.433888888889</v>
      </c>
      <c r="S458" s="9">
        <v>46089.433888888889</v>
      </c>
    </row>
    <row r="459" spans="1:19" ht="12.5">
      <c r="A459" s="10" t="s">
        <v>22124</v>
      </c>
      <c r="B459" s="5" t="s">
        <v>18989</v>
      </c>
      <c r="C459" s="5">
        <v>573016574716</v>
      </c>
      <c r="D459" s="5" t="s">
        <v>361</v>
      </c>
      <c r="E459" s="5" t="s">
        <v>11799</v>
      </c>
      <c r="F459" s="5" t="s">
        <v>73</v>
      </c>
      <c r="G459" s="5" t="s">
        <v>11798</v>
      </c>
      <c r="H459" s="10" t="s">
        <v>22125</v>
      </c>
      <c r="K459" s="23">
        <v>46079.610601851855</v>
      </c>
      <c r="L459" s="5" t="s">
        <v>6139</v>
      </c>
      <c r="M459" s="10" t="s">
        <v>22126</v>
      </c>
      <c r="N459" s="10" t="s">
        <v>22113</v>
      </c>
      <c r="P459" s="5" t="s">
        <v>14593</v>
      </c>
      <c r="R459" s="9">
        <v>46089.442337962966</v>
      </c>
      <c r="S459" s="9">
        <v>46089.442337962966</v>
      </c>
    </row>
    <row r="460" spans="1:19" ht="12.5">
      <c r="A460" s="10" t="s">
        <v>22127</v>
      </c>
      <c r="B460" s="5" t="s">
        <v>18984</v>
      </c>
      <c r="C460" s="5">
        <v>573005144626</v>
      </c>
      <c r="D460" s="5" t="s">
        <v>613</v>
      </c>
      <c r="E460" s="5" t="s">
        <v>11805</v>
      </c>
      <c r="F460" s="5" t="s">
        <v>161</v>
      </c>
      <c r="G460" s="5" t="s">
        <v>18986</v>
      </c>
      <c r="I460" s="5"/>
      <c r="J460" s="5"/>
      <c r="K460" s="23">
        <v>46080.438530092593</v>
      </c>
      <c r="L460" s="5" t="s">
        <v>6139</v>
      </c>
      <c r="M460" s="10" t="s">
        <v>22128</v>
      </c>
      <c r="N460" s="10" t="s">
        <v>22044</v>
      </c>
      <c r="P460" s="5" t="s">
        <v>14593</v>
      </c>
      <c r="R460" s="9">
        <v>46089.446539351855</v>
      </c>
      <c r="S460" s="9">
        <v>46089.446539351855</v>
      </c>
    </row>
    <row r="461" spans="1:19" ht="12.5">
      <c r="A461" s="10" t="s">
        <v>22129</v>
      </c>
      <c r="B461" s="5" t="s">
        <v>2901</v>
      </c>
      <c r="C461" s="5">
        <v>573215509226</v>
      </c>
      <c r="D461" s="5" t="s">
        <v>2556</v>
      </c>
      <c r="E461" s="5" t="s">
        <v>11793</v>
      </c>
      <c r="G461" s="5" t="s">
        <v>11792</v>
      </c>
      <c r="I461" s="5" t="s">
        <v>20688</v>
      </c>
      <c r="K461" s="23">
        <v>46079.557673611111</v>
      </c>
      <c r="L461" s="5" t="s">
        <v>17416</v>
      </c>
      <c r="M461" s="10" t="s">
        <v>22130</v>
      </c>
      <c r="N461" s="10" t="s">
        <v>22099</v>
      </c>
      <c r="R461" s="9">
        <v>46089.447013888886</v>
      </c>
      <c r="S461" s="9">
        <v>46089.447013888886</v>
      </c>
    </row>
    <row r="462" spans="1:19" ht="12.5">
      <c r="A462" s="10" t="s">
        <v>22131</v>
      </c>
      <c r="B462" s="5" t="s">
        <v>18980</v>
      </c>
      <c r="C462" s="5">
        <v>573215956870</v>
      </c>
      <c r="D462" s="5" t="s">
        <v>5730</v>
      </c>
      <c r="E462" s="5" t="s">
        <v>11771</v>
      </c>
      <c r="F462" s="5" t="s">
        <v>124</v>
      </c>
      <c r="G462" s="5" t="s">
        <v>11770</v>
      </c>
      <c r="H462" s="10" t="s">
        <v>22132</v>
      </c>
      <c r="K462" s="23">
        <v>46079.521226851852</v>
      </c>
      <c r="L462" s="5" t="s">
        <v>6139</v>
      </c>
      <c r="M462" s="10" t="s">
        <v>22133</v>
      </c>
      <c r="N462" s="10" t="s">
        <v>22099</v>
      </c>
      <c r="P462" s="5" t="s">
        <v>14775</v>
      </c>
      <c r="R462" s="9">
        <v>46089.44740740741</v>
      </c>
      <c r="S462" s="9">
        <v>46089.44740740741</v>
      </c>
    </row>
    <row r="463" spans="1:19" ht="12.5">
      <c r="A463" s="10" t="s">
        <v>22134</v>
      </c>
      <c r="B463" s="5" t="s">
        <v>18978</v>
      </c>
      <c r="C463" s="5">
        <v>573157004568</v>
      </c>
      <c r="D463" s="5" t="s">
        <v>251</v>
      </c>
      <c r="E463" s="5" t="s">
        <v>11767</v>
      </c>
      <c r="F463" s="5" t="s">
        <v>161</v>
      </c>
      <c r="G463" s="5" t="s">
        <v>11766</v>
      </c>
      <c r="H463" s="10" t="s">
        <v>22135</v>
      </c>
      <c r="I463" s="5" t="s">
        <v>20688</v>
      </c>
      <c r="K463" s="23">
        <v>46080.505810185183</v>
      </c>
      <c r="L463" s="5" t="s">
        <v>17416</v>
      </c>
      <c r="M463" s="10" t="s">
        <v>22136</v>
      </c>
      <c r="N463" s="10" t="s">
        <v>22030</v>
      </c>
      <c r="P463" s="5" t="s">
        <v>14593</v>
      </c>
      <c r="R463" s="9">
        <v>46089.447800925926</v>
      </c>
      <c r="S463" s="9">
        <v>46089.447800925926</v>
      </c>
    </row>
    <row r="464" spans="1:19" ht="12.5">
      <c r="A464" s="10" t="s">
        <v>22137</v>
      </c>
      <c r="B464" s="5" t="s">
        <v>18976</v>
      </c>
      <c r="C464" s="5">
        <v>573016987395</v>
      </c>
      <c r="D464" s="5" t="s">
        <v>375</v>
      </c>
      <c r="E464" s="5" t="s">
        <v>11740</v>
      </c>
      <c r="F464" s="5" t="s">
        <v>420</v>
      </c>
      <c r="G464" s="5" t="s">
        <v>22138</v>
      </c>
      <c r="H464" s="10" t="s">
        <v>22139</v>
      </c>
      <c r="K464" s="23">
        <v>46079.503460648149</v>
      </c>
      <c r="L464" s="5" t="s">
        <v>6139</v>
      </c>
      <c r="M464" s="10" t="s">
        <v>22140</v>
      </c>
      <c r="N464" s="10" t="s">
        <v>22056</v>
      </c>
      <c r="P464" s="5" t="s">
        <v>14580</v>
      </c>
      <c r="R464" s="9">
        <v>46089.448194444441</v>
      </c>
      <c r="S464" s="9">
        <v>46089.448194444441</v>
      </c>
    </row>
    <row r="465" spans="1:19" ht="12.5">
      <c r="A465" s="10" t="s">
        <v>22141</v>
      </c>
      <c r="B465" s="5" t="s">
        <v>18973</v>
      </c>
      <c r="C465" s="5">
        <v>573116975485</v>
      </c>
      <c r="D465" s="5" t="s">
        <v>11782</v>
      </c>
      <c r="E465" s="5" t="s">
        <v>11781</v>
      </c>
      <c r="F465" s="5" t="s">
        <v>73</v>
      </c>
      <c r="G465" s="5" t="s">
        <v>22142</v>
      </c>
      <c r="I465" s="5" t="s">
        <v>22094</v>
      </c>
      <c r="J465" s="5">
        <v>3045805246</v>
      </c>
      <c r="K465" s="5" t="s">
        <v>14574</v>
      </c>
      <c r="L465" s="5" t="s">
        <v>20652</v>
      </c>
      <c r="M465" s="10" t="s">
        <v>22143</v>
      </c>
      <c r="N465" s="10" t="s">
        <v>22044</v>
      </c>
      <c r="P465" s="5" t="s">
        <v>14593</v>
      </c>
      <c r="R465" s="9">
        <v>46089.448483796295</v>
      </c>
      <c r="S465" s="9">
        <v>46089.448483796295</v>
      </c>
    </row>
    <row r="466" spans="1:19" ht="12.5">
      <c r="A466" s="10" t="s">
        <v>22144</v>
      </c>
      <c r="B466" s="5" t="s">
        <v>18971</v>
      </c>
      <c r="C466" s="5">
        <v>573115998840</v>
      </c>
      <c r="D466" s="5" t="s">
        <v>384</v>
      </c>
      <c r="E466" s="5" t="s">
        <v>11750</v>
      </c>
      <c r="F466" s="5" t="s">
        <v>249</v>
      </c>
      <c r="G466" s="5" t="s">
        <v>11749</v>
      </c>
      <c r="H466" s="10" t="s">
        <v>22145</v>
      </c>
      <c r="I466" s="5" t="s">
        <v>20688</v>
      </c>
      <c r="K466" s="23">
        <v>46079.493217592593</v>
      </c>
      <c r="L466" s="5" t="s">
        <v>17416</v>
      </c>
      <c r="M466" s="10" t="s">
        <v>22146</v>
      </c>
      <c r="N466" s="10" t="s">
        <v>22056</v>
      </c>
      <c r="P466" s="5" t="s">
        <v>14593</v>
      </c>
      <c r="R466" s="9">
        <v>46089.449050925927</v>
      </c>
      <c r="S466" s="9">
        <v>46089.449050925927</v>
      </c>
    </row>
    <row r="467" spans="1:19" ht="12.5">
      <c r="A467" s="10" t="s">
        <v>22147</v>
      </c>
      <c r="B467" s="5" t="s">
        <v>18968</v>
      </c>
      <c r="C467" s="5">
        <v>573116531859</v>
      </c>
      <c r="D467" s="5" t="s">
        <v>210</v>
      </c>
      <c r="E467" s="5" t="s">
        <v>11763</v>
      </c>
      <c r="F467" s="5" t="s">
        <v>110</v>
      </c>
      <c r="G467" s="5" t="s">
        <v>11762</v>
      </c>
      <c r="H467" s="10" t="s">
        <v>22148</v>
      </c>
      <c r="K467" s="23">
        <v>46079.519375000003</v>
      </c>
      <c r="L467" s="5" t="s">
        <v>6139</v>
      </c>
      <c r="M467" s="10" t="s">
        <v>22149</v>
      </c>
      <c r="N467" s="10" t="s">
        <v>22056</v>
      </c>
      <c r="P467" s="5" t="s">
        <v>14593</v>
      </c>
      <c r="R467" s="9">
        <v>46089.451990740738</v>
      </c>
      <c r="S467" s="9">
        <v>46089.451990740738</v>
      </c>
    </row>
    <row r="468" spans="1:19" ht="12.5">
      <c r="A468" s="10" t="s">
        <v>22150</v>
      </c>
      <c r="B468" s="5" t="s">
        <v>18966</v>
      </c>
      <c r="C468" s="5">
        <v>573157182762</v>
      </c>
      <c r="D468" s="5" t="s">
        <v>542</v>
      </c>
      <c r="E468" s="5" t="s">
        <v>11745</v>
      </c>
      <c r="F468" s="5" t="s">
        <v>73</v>
      </c>
      <c r="G468" s="5" t="s">
        <v>22151</v>
      </c>
      <c r="H468" s="10" t="s">
        <v>22152</v>
      </c>
      <c r="I468" s="5" t="s">
        <v>20688</v>
      </c>
      <c r="K468" s="23">
        <v>46079.424988425926</v>
      </c>
      <c r="L468" s="5" t="s">
        <v>17416</v>
      </c>
      <c r="M468" s="10" t="s">
        <v>22153</v>
      </c>
      <c r="N468" s="10" t="s">
        <v>22056</v>
      </c>
      <c r="P468" s="5" t="s">
        <v>14593</v>
      </c>
      <c r="R468" s="9">
        <v>46089.466446759259</v>
      </c>
      <c r="S468" s="9">
        <v>46089.466446759259</v>
      </c>
    </row>
    <row r="469" spans="1:19" ht="12.5">
      <c r="A469" s="10" t="s">
        <v>22154</v>
      </c>
      <c r="B469" s="5" t="s">
        <v>11711</v>
      </c>
      <c r="C469" s="5">
        <v>573183922187</v>
      </c>
      <c r="D469" s="5" t="s">
        <v>187</v>
      </c>
      <c r="E469" s="5" t="s">
        <v>11712</v>
      </c>
      <c r="F469" s="5" t="s">
        <v>975</v>
      </c>
      <c r="G469" s="5" t="s">
        <v>11711</v>
      </c>
      <c r="H469" s="10" t="s">
        <v>22155</v>
      </c>
      <c r="I469" s="5" t="s">
        <v>20688</v>
      </c>
      <c r="K469" s="23">
        <v>46079.362476851849</v>
      </c>
      <c r="L469" s="5" t="s">
        <v>17416</v>
      </c>
      <c r="M469" s="10" t="s">
        <v>22156</v>
      </c>
      <c r="N469" s="10" t="s">
        <v>22157</v>
      </c>
      <c r="P469" s="5" t="s">
        <v>14593</v>
      </c>
      <c r="R469" s="9">
        <v>46089.484293981484</v>
      </c>
      <c r="S469" s="9">
        <v>46089.484293981484</v>
      </c>
    </row>
    <row r="470" spans="1:19" ht="12.5">
      <c r="A470" s="10" t="s">
        <v>22158</v>
      </c>
      <c r="B470" s="5" t="s">
        <v>18959</v>
      </c>
      <c r="C470" s="5">
        <v>573108315079</v>
      </c>
      <c r="D470" s="5" t="s">
        <v>11725</v>
      </c>
      <c r="E470" s="5" t="s">
        <v>11724</v>
      </c>
      <c r="F470" s="5" t="s">
        <v>103</v>
      </c>
      <c r="G470" s="5" t="s">
        <v>11723</v>
      </c>
      <c r="H470" s="10" t="s">
        <v>22159</v>
      </c>
      <c r="I470" s="5" t="s">
        <v>20688</v>
      </c>
      <c r="K470" s="23">
        <v>46081.39947916667</v>
      </c>
      <c r="L470" s="5" t="s">
        <v>17416</v>
      </c>
      <c r="M470" s="10" t="s">
        <v>22160</v>
      </c>
      <c r="N470" s="10" t="s">
        <v>22161</v>
      </c>
      <c r="P470" s="5" t="s">
        <v>14593</v>
      </c>
      <c r="R470" s="9">
        <v>46089.486956018518</v>
      </c>
      <c r="S470" s="9">
        <v>46089.486956018518</v>
      </c>
    </row>
    <row r="471" spans="1:19" ht="12.5">
      <c r="A471" s="10" t="s">
        <v>22162</v>
      </c>
      <c r="B471" s="5" t="s">
        <v>18957</v>
      </c>
      <c r="C471" s="5">
        <v>573217712414</v>
      </c>
      <c r="D471" s="5" t="s">
        <v>649</v>
      </c>
      <c r="E471" s="5" t="s">
        <v>11731</v>
      </c>
      <c r="F471" s="5" t="s">
        <v>1317</v>
      </c>
      <c r="G471" s="5" t="s">
        <v>11730</v>
      </c>
      <c r="H471" s="10" t="s">
        <v>22163</v>
      </c>
      <c r="K471" s="23">
        <v>46079.485960648148</v>
      </c>
      <c r="L471" s="5" t="s">
        <v>6139</v>
      </c>
      <c r="M471" s="10" t="s">
        <v>22164</v>
      </c>
      <c r="N471" s="10" t="s">
        <v>22165</v>
      </c>
      <c r="P471" s="5" t="s">
        <v>15349</v>
      </c>
      <c r="R471" s="9">
        <v>46089.496249999997</v>
      </c>
      <c r="S471" s="9">
        <v>46089.496249999997</v>
      </c>
    </row>
    <row r="472" spans="1:19" ht="12.5">
      <c r="A472" s="10" t="s">
        <v>22166</v>
      </c>
      <c r="B472" s="5" t="s">
        <v>18955</v>
      </c>
      <c r="C472" s="5">
        <v>50688387782</v>
      </c>
      <c r="D472" s="5" t="s">
        <v>2586</v>
      </c>
      <c r="E472" s="5" t="s">
        <v>11718</v>
      </c>
      <c r="F472" s="5" t="s">
        <v>1497</v>
      </c>
      <c r="G472" s="5" t="s">
        <v>11717</v>
      </c>
      <c r="H472" s="5" t="s">
        <v>15231</v>
      </c>
      <c r="I472" s="5" t="s">
        <v>20688</v>
      </c>
      <c r="K472" s="23">
        <v>46079.390902777777</v>
      </c>
      <c r="L472" s="5" t="s">
        <v>17416</v>
      </c>
      <c r="M472" s="10" t="s">
        <v>22167</v>
      </c>
      <c r="N472" s="10" t="s">
        <v>22056</v>
      </c>
      <c r="P472" s="5" t="s">
        <v>14593</v>
      </c>
      <c r="R472" s="9">
        <v>46089.497106481482</v>
      </c>
      <c r="S472" s="9">
        <v>46089.497106481482</v>
      </c>
    </row>
    <row r="473" spans="1:19" ht="12.5">
      <c r="A473" s="10" t="s">
        <v>22168</v>
      </c>
      <c r="B473" s="5" t="s">
        <v>18952</v>
      </c>
      <c r="C473" s="5">
        <v>573112773215</v>
      </c>
      <c r="D473" s="5" t="s">
        <v>11553</v>
      </c>
      <c r="E473" s="5" t="s">
        <v>11552</v>
      </c>
      <c r="F473" s="5" t="s">
        <v>103</v>
      </c>
      <c r="G473" s="5" t="s">
        <v>22169</v>
      </c>
      <c r="H473" s="10" t="s">
        <v>22170</v>
      </c>
      <c r="I473" s="5" t="s">
        <v>20688</v>
      </c>
      <c r="K473" s="23">
        <v>46080.584965277776</v>
      </c>
      <c r="L473" s="5" t="s">
        <v>17416</v>
      </c>
      <c r="M473" s="10" t="s">
        <v>22171</v>
      </c>
      <c r="N473" s="10" t="s">
        <v>22044</v>
      </c>
      <c r="P473" s="5" t="s">
        <v>14593</v>
      </c>
      <c r="R473" s="9">
        <v>46089.500671296293</v>
      </c>
      <c r="S473" s="9">
        <v>46089.500671296293</v>
      </c>
    </row>
    <row r="474" spans="1:19" ht="12.5">
      <c r="A474" s="10" t="s">
        <v>22172</v>
      </c>
      <c r="B474" s="5" t="s">
        <v>18950</v>
      </c>
      <c r="C474" s="5">
        <v>573013714345</v>
      </c>
      <c r="D474" s="5" t="s">
        <v>156</v>
      </c>
      <c r="E474" s="5" t="s">
        <v>11705</v>
      </c>
      <c r="F474" s="5" t="s">
        <v>154</v>
      </c>
      <c r="G474" s="5" t="s">
        <v>11704</v>
      </c>
      <c r="H474" s="10" t="s">
        <v>22173</v>
      </c>
      <c r="I474" s="5" t="s">
        <v>20688</v>
      </c>
      <c r="K474" s="23">
        <v>46078.726180555554</v>
      </c>
      <c r="L474" s="5" t="s">
        <v>17416</v>
      </c>
      <c r="M474" s="10" t="s">
        <v>22174</v>
      </c>
      <c r="N474" s="10" t="s">
        <v>22056</v>
      </c>
      <c r="P474" s="5" t="s">
        <v>14593</v>
      </c>
      <c r="R474" s="9">
        <v>46089.504444444443</v>
      </c>
      <c r="S474" s="9">
        <v>46089.504444444443</v>
      </c>
    </row>
    <row r="475" spans="1:19" ht="12.5">
      <c r="A475" s="10" t="s">
        <v>22175</v>
      </c>
      <c r="B475" s="5" t="s">
        <v>14333</v>
      </c>
      <c r="C475" s="5">
        <v>573215005033</v>
      </c>
      <c r="D475" s="5" t="s">
        <v>187</v>
      </c>
      <c r="E475" s="5" t="s">
        <v>11496</v>
      </c>
      <c r="F475" s="5" t="s">
        <v>73</v>
      </c>
      <c r="G475" s="5" t="s">
        <v>22176</v>
      </c>
      <c r="I475" s="5" t="s">
        <v>20688</v>
      </c>
      <c r="K475" s="23">
        <v>46079.407523148147</v>
      </c>
      <c r="L475" s="5" t="s">
        <v>17416</v>
      </c>
      <c r="M475" s="10" t="s">
        <v>22177</v>
      </c>
      <c r="N475" s="10" t="s">
        <v>22099</v>
      </c>
      <c r="P475" s="5" t="s">
        <v>14593</v>
      </c>
      <c r="R475" s="9">
        <v>46089.516238425924</v>
      </c>
      <c r="S475" s="9">
        <v>46089.516238425924</v>
      </c>
    </row>
    <row r="476" spans="1:19" ht="12.5">
      <c r="A476" s="10" t="s">
        <v>22178</v>
      </c>
      <c r="B476" s="5" t="s">
        <v>17090</v>
      </c>
      <c r="C476" s="5">
        <v>573014404403</v>
      </c>
      <c r="D476" s="5" t="s">
        <v>187</v>
      </c>
      <c r="E476" s="5" t="s">
        <v>11699</v>
      </c>
      <c r="F476" s="5" t="s">
        <v>307</v>
      </c>
      <c r="G476" s="5" t="s">
        <v>4102</v>
      </c>
      <c r="H476" s="10" t="s">
        <v>22179</v>
      </c>
      <c r="I476" s="5" t="s">
        <v>20688</v>
      </c>
      <c r="K476" s="23">
        <v>46079.534722222219</v>
      </c>
      <c r="L476" s="5" t="s">
        <v>17416</v>
      </c>
      <c r="M476" s="10" t="s">
        <v>22180</v>
      </c>
      <c r="N476" s="10" t="s">
        <v>22056</v>
      </c>
      <c r="P476" s="5" t="s">
        <v>14618</v>
      </c>
      <c r="R476" s="9">
        <v>46089.517071759263</v>
      </c>
      <c r="S476" s="9">
        <v>46089.517071759263</v>
      </c>
    </row>
    <row r="477" spans="1:19" ht="12.5">
      <c r="A477" s="10" t="s">
        <v>22181</v>
      </c>
      <c r="B477" s="5" t="s">
        <v>18944</v>
      </c>
      <c r="C477" s="5">
        <v>573217810116</v>
      </c>
      <c r="D477" s="5" t="s">
        <v>309</v>
      </c>
      <c r="E477" s="5" t="s">
        <v>11583</v>
      </c>
      <c r="F477" s="5" t="s">
        <v>63</v>
      </c>
      <c r="G477" s="5" t="s">
        <v>11582</v>
      </c>
      <c r="H477" s="5" t="s">
        <v>15231</v>
      </c>
      <c r="I477" s="5" t="s">
        <v>20688</v>
      </c>
      <c r="K477" s="23">
        <v>46078.873611111114</v>
      </c>
      <c r="L477" s="5" t="s">
        <v>17416</v>
      </c>
      <c r="M477" s="10" t="s">
        <v>22182</v>
      </c>
      <c r="N477" s="10" t="s">
        <v>22183</v>
      </c>
      <c r="P477" s="5" t="s">
        <v>14598</v>
      </c>
      <c r="R477" s="9">
        <v>46089.519108796296</v>
      </c>
      <c r="S477" s="9">
        <v>46089.519108796296</v>
      </c>
    </row>
    <row r="478" spans="1:19" ht="12.5">
      <c r="A478" s="10" t="s">
        <v>22184</v>
      </c>
      <c r="B478" s="5" t="s">
        <v>12140</v>
      </c>
      <c r="C478" s="5">
        <v>573217530452</v>
      </c>
      <c r="D478" s="5" t="s">
        <v>361</v>
      </c>
      <c r="E478" s="5" t="s">
        <v>11679</v>
      </c>
      <c r="F478" s="5" t="s">
        <v>1057</v>
      </c>
      <c r="G478" s="5" t="s">
        <v>11678</v>
      </c>
      <c r="H478" s="10" t="s">
        <v>22185</v>
      </c>
      <c r="K478" s="23">
        <v>46079.493148148147</v>
      </c>
      <c r="L478" s="5" t="s">
        <v>6139</v>
      </c>
      <c r="M478" s="10" t="s">
        <v>22186</v>
      </c>
      <c r="N478" s="10" t="s">
        <v>22099</v>
      </c>
      <c r="P478" s="5" t="s">
        <v>14580</v>
      </c>
      <c r="R478" s="9">
        <v>46089.525972222225</v>
      </c>
      <c r="S478" s="9">
        <v>46089.525972222225</v>
      </c>
    </row>
    <row r="479" spans="1:19" ht="12.5">
      <c r="A479" s="10" t="s">
        <v>22187</v>
      </c>
      <c r="B479" s="5" t="s">
        <v>18939</v>
      </c>
      <c r="C479" s="5">
        <v>573016373200</v>
      </c>
      <c r="D479" s="5" t="s">
        <v>422</v>
      </c>
      <c r="E479" s="5" t="s">
        <v>11695</v>
      </c>
      <c r="F479" s="5" t="s">
        <v>185</v>
      </c>
      <c r="G479" s="5" t="s">
        <v>11694</v>
      </c>
      <c r="H479" s="10" t="s">
        <v>22188</v>
      </c>
      <c r="I479" s="5" t="s">
        <v>20688</v>
      </c>
      <c r="K479" s="23">
        <v>46078.673483796294</v>
      </c>
      <c r="L479" s="5" t="s">
        <v>17416</v>
      </c>
      <c r="M479" s="10" t="s">
        <v>22189</v>
      </c>
      <c r="N479" s="10" t="s">
        <v>22183</v>
      </c>
      <c r="P479" s="5" t="s">
        <v>14580</v>
      </c>
      <c r="R479" s="9">
        <v>46089.532280092593</v>
      </c>
      <c r="S479" s="9">
        <v>46089.532280092593</v>
      </c>
    </row>
    <row r="480" spans="1:19" ht="12.5">
      <c r="A480" s="10" t="s">
        <v>22190</v>
      </c>
      <c r="B480" s="5" t="s">
        <v>18936</v>
      </c>
      <c r="C480" s="5">
        <v>573004342758</v>
      </c>
      <c r="D480" s="5" t="s">
        <v>89</v>
      </c>
      <c r="E480" s="5" t="s">
        <v>11688</v>
      </c>
      <c r="F480" s="5" t="s">
        <v>185</v>
      </c>
      <c r="G480" s="5" t="s">
        <v>11687</v>
      </c>
      <c r="H480" s="10" t="s">
        <v>22191</v>
      </c>
      <c r="K480" s="23">
        <v>46079.715995370374</v>
      </c>
      <c r="L480" s="5" t="s">
        <v>6139</v>
      </c>
      <c r="M480" s="10" t="s">
        <v>22192</v>
      </c>
      <c r="N480" s="10" t="s">
        <v>22193</v>
      </c>
      <c r="P480" s="5" t="s">
        <v>14580</v>
      </c>
      <c r="R480" s="9">
        <v>46089.532812500001</v>
      </c>
      <c r="S480" s="9">
        <v>46089.532812500001</v>
      </c>
    </row>
    <row r="481" spans="1:19" ht="12.5">
      <c r="A481" s="10" t="s">
        <v>22194</v>
      </c>
      <c r="B481" s="5" t="s">
        <v>18932</v>
      </c>
      <c r="C481" s="5">
        <v>573014291268</v>
      </c>
      <c r="D481" s="5" t="s">
        <v>649</v>
      </c>
      <c r="E481" s="5" t="s">
        <v>11675</v>
      </c>
      <c r="F481" s="5" t="s">
        <v>249</v>
      </c>
      <c r="G481" s="5" t="s">
        <v>480</v>
      </c>
      <c r="H481" s="10" t="s">
        <v>22195</v>
      </c>
      <c r="I481" s="5" t="s">
        <v>20688</v>
      </c>
      <c r="K481" s="23">
        <v>46079.3906712963</v>
      </c>
      <c r="L481" s="5" t="s">
        <v>17416</v>
      </c>
      <c r="M481" s="10" t="s">
        <v>22196</v>
      </c>
      <c r="N481" s="10" t="s">
        <v>22197</v>
      </c>
      <c r="P481" s="5" t="s">
        <v>14593</v>
      </c>
      <c r="R481" s="9">
        <v>46089.533101851855</v>
      </c>
      <c r="S481" s="9">
        <v>46089.533101851855</v>
      </c>
    </row>
    <row r="482" spans="1:19" ht="12.5">
      <c r="A482" s="10" t="s">
        <v>22198</v>
      </c>
      <c r="B482" s="5" t="s">
        <v>18928</v>
      </c>
      <c r="C482" s="5">
        <v>573106175375</v>
      </c>
      <c r="D482" s="5" t="s">
        <v>384</v>
      </c>
      <c r="E482" s="5" t="s">
        <v>11656</v>
      </c>
      <c r="F482" s="5" t="s">
        <v>328</v>
      </c>
      <c r="G482" s="5" t="s">
        <v>18930</v>
      </c>
      <c r="H482" s="10" t="s">
        <v>22199</v>
      </c>
      <c r="I482" s="5" t="s">
        <v>20688</v>
      </c>
      <c r="K482" s="23">
        <v>46079.410312499997</v>
      </c>
      <c r="L482" s="5" t="s">
        <v>17416</v>
      </c>
      <c r="M482" s="10" t="s">
        <v>22200</v>
      </c>
      <c r="N482" s="10" t="s">
        <v>22197</v>
      </c>
      <c r="P482" s="5" t="s">
        <v>14618</v>
      </c>
      <c r="R482" s="9">
        <v>46089.533437500002</v>
      </c>
      <c r="S482" s="9">
        <v>46089.533437500002</v>
      </c>
    </row>
    <row r="483" spans="1:19" ht="12.5">
      <c r="A483" s="10" t="s">
        <v>22201</v>
      </c>
      <c r="B483" s="5" t="s">
        <v>11660</v>
      </c>
      <c r="C483" s="5">
        <v>573133673131</v>
      </c>
      <c r="D483" s="5" t="s">
        <v>4765</v>
      </c>
      <c r="E483" s="5" t="s">
        <v>11661</v>
      </c>
      <c r="F483" s="5" t="s">
        <v>63</v>
      </c>
      <c r="G483" s="5" t="s">
        <v>11660</v>
      </c>
      <c r="H483" s="10" t="s">
        <v>22202</v>
      </c>
      <c r="I483" s="5" t="s">
        <v>20688</v>
      </c>
      <c r="K483" s="23">
        <v>46080.516319444447</v>
      </c>
      <c r="L483" s="5" t="s">
        <v>17416</v>
      </c>
      <c r="M483" s="10" t="s">
        <v>22203</v>
      </c>
      <c r="N483" s="10" t="s">
        <v>22008</v>
      </c>
      <c r="P483" s="5" t="s">
        <v>14598</v>
      </c>
      <c r="R483" s="9">
        <v>46089.535324074073</v>
      </c>
      <c r="S483" s="9">
        <v>46089.535324074073</v>
      </c>
    </row>
    <row r="484" spans="1:19" ht="12.5">
      <c r="A484" s="10" t="s">
        <v>22204</v>
      </c>
      <c r="B484" s="5" t="s">
        <v>18920</v>
      </c>
      <c r="C484" s="5">
        <v>573156970868</v>
      </c>
      <c r="D484" s="5" t="s">
        <v>649</v>
      </c>
      <c r="E484" s="5" t="s">
        <v>11618</v>
      </c>
      <c r="F484" s="5" t="s">
        <v>185</v>
      </c>
      <c r="G484" s="5" t="s">
        <v>11617</v>
      </c>
      <c r="I484" s="5" t="s">
        <v>20688</v>
      </c>
      <c r="K484" s="23">
        <v>46078.6481712963</v>
      </c>
      <c r="L484" s="5" t="s">
        <v>17416</v>
      </c>
      <c r="M484" s="10" t="s">
        <v>22205</v>
      </c>
      <c r="N484" s="10" t="s">
        <v>22206</v>
      </c>
      <c r="P484" s="5" t="s">
        <v>14580</v>
      </c>
      <c r="R484" s="9">
        <v>46089.538969907408</v>
      </c>
      <c r="S484" s="9">
        <v>46089.538969907408</v>
      </c>
    </row>
    <row r="485" spans="1:19" ht="12.5">
      <c r="A485" s="10" t="s">
        <v>22207</v>
      </c>
      <c r="B485" s="5" t="s">
        <v>15120</v>
      </c>
      <c r="C485" s="5">
        <v>573114189941</v>
      </c>
      <c r="D485" s="5" t="s">
        <v>42</v>
      </c>
      <c r="E485" s="5" t="s">
        <v>11529</v>
      </c>
      <c r="G485" s="5" t="s">
        <v>11528</v>
      </c>
      <c r="H485" s="10" t="s">
        <v>22208</v>
      </c>
      <c r="K485" s="23">
        <v>46078.657187500001</v>
      </c>
      <c r="L485" s="5" t="s">
        <v>6139</v>
      </c>
      <c r="M485" s="10" t="s">
        <v>22209</v>
      </c>
      <c r="N485" s="10" t="s">
        <v>22210</v>
      </c>
      <c r="R485" s="9">
        <v>46089.544374999998</v>
      </c>
      <c r="S485" s="9">
        <v>46089.544374999998</v>
      </c>
    </row>
    <row r="486" spans="1:19" ht="12.5" hidden="1">
      <c r="A486" s="10" t="s">
        <v>22211</v>
      </c>
      <c r="B486" s="5" t="s">
        <v>13993</v>
      </c>
      <c r="C486" s="5">
        <v>5712398497780</v>
      </c>
      <c r="D486" s="5" t="s">
        <v>13283</v>
      </c>
      <c r="E486" s="5" t="s">
        <v>13995</v>
      </c>
      <c r="F486" s="5" t="s">
        <v>1047</v>
      </c>
      <c r="G486" s="5" t="s">
        <v>20293</v>
      </c>
      <c r="H486" s="10" t="s">
        <v>22212</v>
      </c>
      <c r="I486" s="5" t="s">
        <v>21063</v>
      </c>
      <c r="K486" s="23">
        <v>46089.557152777779</v>
      </c>
      <c r="L486" s="5" t="s">
        <v>17416</v>
      </c>
      <c r="M486" s="10" t="s">
        <v>22213</v>
      </c>
      <c r="N486" s="10" t="s">
        <v>20762</v>
      </c>
      <c r="P486" s="5" t="s">
        <v>14580</v>
      </c>
      <c r="R486" s="9">
        <v>46089.557152777779</v>
      </c>
      <c r="S486" s="9">
        <v>46089.557152777779</v>
      </c>
    </row>
    <row r="487" spans="1:19" ht="12.5">
      <c r="A487" s="10" t="s">
        <v>22214</v>
      </c>
      <c r="B487" s="5" t="s">
        <v>18914</v>
      </c>
      <c r="C487" s="5">
        <v>573003314770</v>
      </c>
      <c r="D487" s="5" t="s">
        <v>96</v>
      </c>
      <c r="E487" s="5" t="s">
        <v>11649</v>
      </c>
      <c r="F487" s="5" t="s">
        <v>351</v>
      </c>
      <c r="G487" s="5" t="s">
        <v>11648</v>
      </c>
      <c r="K487" s="23">
        <v>46078.620763888888</v>
      </c>
      <c r="L487" s="5" t="s">
        <v>6139</v>
      </c>
      <c r="M487" s="10" t="s">
        <v>22215</v>
      </c>
      <c r="N487" s="10" t="s">
        <v>22206</v>
      </c>
      <c r="P487" s="5" t="s">
        <v>14580</v>
      </c>
      <c r="R487" s="9">
        <v>46089.563460648147</v>
      </c>
      <c r="S487" s="9">
        <v>46089.563460648147</v>
      </c>
    </row>
    <row r="488" spans="1:19" ht="12.5">
      <c r="A488" s="10" t="s">
        <v>22216</v>
      </c>
      <c r="B488" s="5" t="s">
        <v>18912</v>
      </c>
      <c r="C488" s="5">
        <v>19293851596</v>
      </c>
      <c r="D488" s="5" t="s">
        <v>1251</v>
      </c>
      <c r="E488" s="5" t="s">
        <v>11643</v>
      </c>
      <c r="F488" s="5" t="s">
        <v>103</v>
      </c>
      <c r="G488" s="5" t="s">
        <v>11642</v>
      </c>
      <c r="H488" s="5" t="s">
        <v>15231</v>
      </c>
      <c r="I488" s="5" t="s">
        <v>20688</v>
      </c>
      <c r="K488" s="23">
        <v>46079.52138888889</v>
      </c>
      <c r="L488" s="5" t="s">
        <v>17416</v>
      </c>
      <c r="M488" s="10" t="s">
        <v>22217</v>
      </c>
      <c r="N488" s="10" t="s">
        <v>22206</v>
      </c>
      <c r="P488" s="5" t="s">
        <v>14593</v>
      </c>
      <c r="R488" s="9">
        <v>46089.633553240739</v>
      </c>
      <c r="S488" s="9">
        <v>46089.633553240739</v>
      </c>
    </row>
    <row r="489" spans="1:19" ht="12.5">
      <c r="A489" s="10" t="s">
        <v>22218</v>
      </c>
      <c r="B489" s="5" t="s">
        <v>18910</v>
      </c>
      <c r="C489" s="5">
        <v>17869685798</v>
      </c>
      <c r="D489" s="5" t="s">
        <v>65</v>
      </c>
      <c r="E489" s="5" t="s">
        <v>11636</v>
      </c>
      <c r="F489" s="5" t="s">
        <v>249</v>
      </c>
      <c r="G489" s="5" t="s">
        <v>11635</v>
      </c>
      <c r="H489" s="10" t="s">
        <v>11637</v>
      </c>
      <c r="I489" s="5" t="s">
        <v>20688</v>
      </c>
      <c r="K489" s="23">
        <v>46079.424050925925</v>
      </c>
      <c r="L489" s="5" t="s">
        <v>17416</v>
      </c>
      <c r="M489" s="10" t="s">
        <v>22219</v>
      </c>
      <c r="N489" s="10" t="s">
        <v>22099</v>
      </c>
      <c r="P489" s="5" t="s">
        <v>14593</v>
      </c>
      <c r="R489" s="9">
        <v>46089.568414351852</v>
      </c>
      <c r="S489" s="9">
        <v>46089.568414351852</v>
      </c>
    </row>
    <row r="490" spans="1:19" ht="12.5">
      <c r="A490" s="10" t="s">
        <v>22220</v>
      </c>
      <c r="B490" s="5" t="s">
        <v>16902</v>
      </c>
      <c r="C490" s="5">
        <v>118472260826</v>
      </c>
      <c r="D490" s="5" t="s">
        <v>422</v>
      </c>
      <c r="E490" s="5" t="s">
        <v>7629</v>
      </c>
      <c r="F490" s="5" t="s">
        <v>1497</v>
      </c>
      <c r="G490" s="5" t="s">
        <v>11717</v>
      </c>
      <c r="H490" s="10" t="s">
        <v>22221</v>
      </c>
      <c r="I490" s="5" t="s">
        <v>20688</v>
      </c>
      <c r="K490" s="23">
        <v>46079.359212962961</v>
      </c>
      <c r="L490" s="5" t="s">
        <v>17416</v>
      </c>
      <c r="M490" s="10" t="s">
        <v>22222</v>
      </c>
      <c r="N490" s="10" t="s">
        <v>22099</v>
      </c>
      <c r="P490" s="5" t="s">
        <v>14593</v>
      </c>
      <c r="R490" s="9">
        <v>46089.568935185183</v>
      </c>
      <c r="S490" s="9">
        <v>46089.568935185183</v>
      </c>
    </row>
    <row r="491" spans="1:19" ht="12.5">
      <c r="A491" s="10" t="s">
        <v>22223</v>
      </c>
      <c r="B491" s="5" t="s">
        <v>11632</v>
      </c>
      <c r="C491" s="5">
        <v>573008931416</v>
      </c>
      <c r="D491" s="5" t="s">
        <v>11630</v>
      </c>
      <c r="E491" s="5" t="s">
        <v>11629</v>
      </c>
      <c r="F491" s="5" t="s">
        <v>11628</v>
      </c>
      <c r="G491" s="5" t="s">
        <v>11627</v>
      </c>
      <c r="K491" s="23">
        <v>46078.600659722222</v>
      </c>
      <c r="L491" s="5" t="s">
        <v>6139</v>
      </c>
      <c r="M491" s="10" t="s">
        <v>22224</v>
      </c>
      <c r="N491" s="10" t="s">
        <v>22206</v>
      </c>
      <c r="R491" s="9">
        <v>46089.569328703707</v>
      </c>
      <c r="S491" s="9">
        <v>46089.569328703707</v>
      </c>
    </row>
    <row r="492" spans="1:19" ht="12.5">
      <c r="A492" s="10" t="s">
        <v>22225</v>
      </c>
      <c r="B492" s="5" t="s">
        <v>18904</v>
      </c>
      <c r="C492" s="5">
        <v>573182725989</v>
      </c>
      <c r="D492" s="5" t="s">
        <v>210</v>
      </c>
      <c r="E492" s="5" t="s">
        <v>11605</v>
      </c>
      <c r="F492" s="5" t="s">
        <v>11248</v>
      </c>
      <c r="G492" s="5" t="s">
        <v>11604</v>
      </c>
      <c r="H492" s="10" t="s">
        <v>22226</v>
      </c>
      <c r="I492" s="5" t="s">
        <v>20688</v>
      </c>
      <c r="K492" s="23">
        <v>46078.582905092589</v>
      </c>
      <c r="L492" s="5" t="s">
        <v>17416</v>
      </c>
      <c r="M492" s="10" t="s">
        <v>22227</v>
      </c>
      <c r="N492" s="10" t="s">
        <v>22206</v>
      </c>
      <c r="P492" s="5" t="s">
        <v>14618</v>
      </c>
      <c r="R492" s="9">
        <v>46089.569965277777</v>
      </c>
      <c r="S492" s="9">
        <v>46089.569965277777</v>
      </c>
    </row>
    <row r="493" spans="1:19" ht="12.5">
      <c r="A493" s="10" t="s">
        <v>22228</v>
      </c>
      <c r="B493" s="5" t="s">
        <v>13071</v>
      </c>
      <c r="C493" s="5">
        <v>573011113091</v>
      </c>
      <c r="D493" s="5" t="s">
        <v>11601</v>
      </c>
      <c r="E493" s="5" t="s">
        <v>11600</v>
      </c>
      <c r="F493" s="5" t="s">
        <v>73</v>
      </c>
      <c r="G493" s="5" t="s">
        <v>84</v>
      </c>
      <c r="H493" s="10" t="s">
        <v>22229</v>
      </c>
      <c r="I493" s="5" t="s">
        <v>20688</v>
      </c>
      <c r="K493" s="23">
        <v>46078.582824074074</v>
      </c>
      <c r="L493" s="5" t="s">
        <v>17416</v>
      </c>
      <c r="M493" s="10" t="s">
        <v>22230</v>
      </c>
      <c r="N493" s="10" t="s">
        <v>22206</v>
      </c>
      <c r="P493" s="5" t="s">
        <v>14593</v>
      </c>
      <c r="R493" s="9">
        <v>46089.570671296293</v>
      </c>
      <c r="S493" s="9">
        <v>46089.570671296293</v>
      </c>
    </row>
    <row r="494" spans="1:19" ht="12.5">
      <c r="A494" s="10" t="s">
        <v>22231</v>
      </c>
      <c r="B494" s="5" t="s">
        <v>18900</v>
      </c>
      <c r="C494" s="5">
        <v>573045905384</v>
      </c>
      <c r="D494" s="5" t="s">
        <v>375</v>
      </c>
      <c r="E494" s="5" t="s">
        <v>11611</v>
      </c>
      <c r="F494" s="5" t="s">
        <v>161</v>
      </c>
      <c r="G494" s="5" t="s">
        <v>22232</v>
      </c>
      <c r="H494" s="10" t="s">
        <v>22233</v>
      </c>
      <c r="I494" s="5" t="s">
        <v>20688</v>
      </c>
      <c r="K494" s="23">
        <v>46078.872754629629</v>
      </c>
      <c r="L494" s="5" t="s">
        <v>17416</v>
      </c>
      <c r="M494" s="10" t="s">
        <v>22234</v>
      </c>
      <c r="N494" s="10" t="s">
        <v>22099</v>
      </c>
      <c r="P494" s="5" t="s">
        <v>14593</v>
      </c>
      <c r="R494" s="9">
        <v>46089.574421296296</v>
      </c>
      <c r="S494" s="9">
        <v>46089.574421296296</v>
      </c>
    </row>
    <row r="495" spans="1:19" ht="12.5">
      <c r="A495" s="10" t="s">
        <v>22235</v>
      </c>
      <c r="B495" s="5" t="s">
        <v>18898</v>
      </c>
      <c r="C495" s="5">
        <v>573006337540</v>
      </c>
      <c r="D495" s="5" t="s">
        <v>309</v>
      </c>
      <c r="E495" s="5" t="s">
        <v>11595</v>
      </c>
      <c r="F495" s="5" t="s">
        <v>63</v>
      </c>
      <c r="G495" s="5" t="s">
        <v>22236</v>
      </c>
      <c r="H495" s="10" t="s">
        <v>22237</v>
      </c>
      <c r="I495" s="5" t="s">
        <v>20688</v>
      </c>
      <c r="K495" s="23">
        <v>46078.582754629628</v>
      </c>
      <c r="L495" s="5" t="s">
        <v>17416</v>
      </c>
      <c r="M495" s="10" t="s">
        <v>22238</v>
      </c>
      <c r="N495" s="10" t="s">
        <v>22206</v>
      </c>
      <c r="P495" s="5" t="s">
        <v>14598</v>
      </c>
      <c r="R495" s="9">
        <v>46089.574699074074</v>
      </c>
      <c r="S495" s="9">
        <v>46089.574699074074</v>
      </c>
    </row>
    <row r="496" spans="1:19" ht="12.5">
      <c r="A496" s="10" t="s">
        <v>22239</v>
      </c>
      <c r="B496" s="5" t="s">
        <v>18893</v>
      </c>
      <c r="C496" s="5">
        <v>573103984207</v>
      </c>
      <c r="D496" s="5" t="s">
        <v>2983</v>
      </c>
      <c r="E496" s="5" t="s">
        <v>11589</v>
      </c>
      <c r="F496" s="5" t="s">
        <v>3267</v>
      </c>
      <c r="G496" s="5" t="s">
        <v>11588</v>
      </c>
      <c r="H496" s="10" t="s">
        <v>22240</v>
      </c>
      <c r="K496" s="23">
        <v>46078.464282407411</v>
      </c>
      <c r="L496" s="5" t="s">
        <v>6139</v>
      </c>
      <c r="M496" s="10" t="s">
        <v>22241</v>
      </c>
      <c r="N496" s="10" t="s">
        <v>22206</v>
      </c>
      <c r="P496" s="5" t="s">
        <v>14580</v>
      </c>
      <c r="R496" s="9">
        <v>46089.583391203705</v>
      </c>
      <c r="S496" s="9">
        <v>46089.583391203705</v>
      </c>
    </row>
    <row r="497" spans="1:19" ht="12.5">
      <c r="A497" s="10" t="s">
        <v>22242</v>
      </c>
      <c r="B497" s="5" t="s">
        <v>14058</v>
      </c>
      <c r="C497" s="5">
        <v>573244514045</v>
      </c>
      <c r="D497" s="5" t="s">
        <v>75</v>
      </c>
      <c r="E497" s="5" t="s">
        <v>11574</v>
      </c>
      <c r="F497" s="5" t="s">
        <v>1647</v>
      </c>
      <c r="G497" s="5" t="s">
        <v>1321</v>
      </c>
      <c r="H497" s="10" t="s">
        <v>22243</v>
      </c>
      <c r="K497" s="23">
        <v>46078.464432870373</v>
      </c>
      <c r="L497" s="5" t="s">
        <v>6139</v>
      </c>
      <c r="M497" s="10" t="s">
        <v>22244</v>
      </c>
      <c r="N497" s="10" t="s">
        <v>22206</v>
      </c>
      <c r="P497" s="5" t="s">
        <v>14580</v>
      </c>
      <c r="R497" s="9">
        <v>46089.585995370369</v>
      </c>
      <c r="S497" s="9">
        <v>46089.585995370369</v>
      </c>
    </row>
    <row r="498" spans="1:19" ht="12.5">
      <c r="A498" s="10" t="s">
        <v>22245</v>
      </c>
      <c r="B498" s="5" t="s">
        <v>18890</v>
      </c>
      <c r="C498" s="5">
        <v>573012200325</v>
      </c>
      <c r="D498" s="5" t="s">
        <v>309</v>
      </c>
      <c r="E498" s="5" t="s">
        <v>11578</v>
      </c>
      <c r="F498" s="5" t="s">
        <v>328</v>
      </c>
      <c r="G498" s="5" t="s">
        <v>11577</v>
      </c>
      <c r="H498" s="10" t="s">
        <v>22246</v>
      </c>
      <c r="K498" s="23">
        <v>46078.500428240739</v>
      </c>
      <c r="L498" s="5" t="s">
        <v>20652</v>
      </c>
      <c r="M498" s="10" t="s">
        <v>22247</v>
      </c>
      <c r="N498" s="10" t="s">
        <v>22206</v>
      </c>
      <c r="P498" s="5" t="s">
        <v>14618</v>
      </c>
      <c r="R498" s="9">
        <v>46089.586215277777</v>
      </c>
      <c r="S498" s="9">
        <v>46089.586215277777</v>
      </c>
    </row>
    <row r="499" spans="1:19" ht="12.5">
      <c r="A499" s="10" t="s">
        <v>22248</v>
      </c>
      <c r="B499" s="5" t="s">
        <v>18888</v>
      </c>
      <c r="C499" s="5">
        <v>573043806159</v>
      </c>
      <c r="D499" s="5" t="s">
        <v>50</v>
      </c>
      <c r="E499" s="5" t="s">
        <v>11572</v>
      </c>
      <c r="F499" s="5" t="s">
        <v>103</v>
      </c>
      <c r="G499" s="5" t="s">
        <v>11571</v>
      </c>
      <c r="I499" s="5" t="s">
        <v>20688</v>
      </c>
      <c r="K499" s="23">
        <v>46078.496493055558</v>
      </c>
      <c r="L499" s="5" t="s">
        <v>17416</v>
      </c>
      <c r="M499" s="10" t="s">
        <v>22249</v>
      </c>
      <c r="N499" s="10" t="s">
        <v>22206</v>
      </c>
      <c r="P499" s="5" t="s">
        <v>14593</v>
      </c>
      <c r="R499" s="9">
        <v>46089.586770833332</v>
      </c>
      <c r="S499" s="9">
        <v>46089.586770833332</v>
      </c>
    </row>
    <row r="500" spans="1:19" ht="12.5">
      <c r="A500" s="10" t="s">
        <v>22250</v>
      </c>
      <c r="B500" s="5" t="s">
        <v>18886</v>
      </c>
      <c r="C500" s="5">
        <v>573004371636</v>
      </c>
      <c r="D500" s="5" t="s">
        <v>542</v>
      </c>
      <c r="E500" s="5" t="s">
        <v>11567</v>
      </c>
      <c r="F500" s="5" t="s">
        <v>1047</v>
      </c>
      <c r="G500" s="5" t="s">
        <v>11566</v>
      </c>
      <c r="H500" s="5" t="s">
        <v>15231</v>
      </c>
      <c r="K500" s="23">
        <v>46079.423217592594</v>
      </c>
      <c r="L500" s="5" t="s">
        <v>6139</v>
      </c>
      <c r="M500" s="10" t="s">
        <v>22251</v>
      </c>
      <c r="N500" s="10" t="s">
        <v>22056</v>
      </c>
      <c r="P500" s="5" t="s">
        <v>14580</v>
      </c>
      <c r="R500" s="9">
        <v>46089.588842592595</v>
      </c>
      <c r="S500" s="9">
        <v>46089.588842592595</v>
      </c>
    </row>
    <row r="501" spans="1:19" ht="12.5">
      <c r="A501" s="10" t="s">
        <v>22252</v>
      </c>
      <c r="B501" s="5" t="s">
        <v>18884</v>
      </c>
      <c r="C501" s="5">
        <v>573157157026</v>
      </c>
      <c r="D501" s="5" t="s">
        <v>42</v>
      </c>
      <c r="E501" s="5" t="s">
        <v>11564</v>
      </c>
      <c r="F501" s="5" t="s">
        <v>161</v>
      </c>
      <c r="G501" s="5" t="s">
        <v>22253</v>
      </c>
      <c r="H501" s="10" t="s">
        <v>22254</v>
      </c>
      <c r="I501" s="5" t="s">
        <v>20688</v>
      </c>
      <c r="K501" s="23">
        <v>46078.404178240744</v>
      </c>
      <c r="L501" s="5" t="s">
        <v>17416</v>
      </c>
      <c r="M501" s="10" t="s">
        <v>22255</v>
      </c>
      <c r="N501" s="10" t="s">
        <v>22206</v>
      </c>
      <c r="P501" s="5" t="s">
        <v>14593</v>
      </c>
      <c r="R501" s="9">
        <v>46089.589780092596</v>
      </c>
      <c r="S501" s="9">
        <v>46089.589780092596</v>
      </c>
    </row>
    <row r="502" spans="1:19" ht="12.5">
      <c r="A502" s="10" t="s">
        <v>22256</v>
      </c>
      <c r="B502" s="5" t="s">
        <v>18879</v>
      </c>
      <c r="C502" s="5">
        <v>573013293631</v>
      </c>
      <c r="D502" s="5" t="s">
        <v>734</v>
      </c>
      <c r="E502" s="5" t="s">
        <v>11558</v>
      </c>
      <c r="F502" s="5" t="s">
        <v>124</v>
      </c>
      <c r="G502" s="5" t="s">
        <v>18881</v>
      </c>
      <c r="H502" s="10" t="s">
        <v>22257</v>
      </c>
      <c r="I502" s="5" t="s">
        <v>20688</v>
      </c>
      <c r="K502" s="23">
        <v>46078.493726851855</v>
      </c>
      <c r="L502" s="5" t="s">
        <v>17416</v>
      </c>
      <c r="M502" s="10" t="s">
        <v>22258</v>
      </c>
      <c r="N502" s="10" t="s">
        <v>22259</v>
      </c>
      <c r="P502" s="5" t="s">
        <v>14775</v>
      </c>
      <c r="R502" s="9">
        <v>46089.590613425928</v>
      </c>
      <c r="S502" s="9">
        <v>46089.590613425928</v>
      </c>
    </row>
    <row r="503" spans="1:19" ht="12.5">
      <c r="A503" s="10" t="s">
        <v>22260</v>
      </c>
      <c r="B503" s="5" t="s">
        <v>15346</v>
      </c>
      <c r="C503" s="5">
        <v>573042734865</v>
      </c>
      <c r="D503" s="5" t="s">
        <v>649</v>
      </c>
      <c r="E503" s="5" t="s">
        <v>11401</v>
      </c>
      <c r="F503" s="5" t="s">
        <v>1317</v>
      </c>
      <c r="G503" s="5" t="s">
        <v>4010</v>
      </c>
      <c r="H503" s="10" t="s">
        <v>22261</v>
      </c>
      <c r="K503" s="23">
        <v>46080.741863425923</v>
      </c>
      <c r="L503" s="5" t="s">
        <v>6139</v>
      </c>
      <c r="M503" s="10" t="s">
        <v>22262</v>
      </c>
      <c r="N503" s="10" t="s">
        <v>22263</v>
      </c>
      <c r="P503" s="5" t="s">
        <v>15349</v>
      </c>
      <c r="R503" s="9">
        <v>46089.591365740744</v>
      </c>
      <c r="S503" s="9">
        <v>46089.591365740744</v>
      </c>
    </row>
    <row r="504" spans="1:19" ht="12.5">
      <c r="A504" s="10" t="s">
        <v>22264</v>
      </c>
      <c r="B504" s="5" t="s">
        <v>11614</v>
      </c>
      <c r="C504" s="5">
        <v>573205420119</v>
      </c>
      <c r="D504" s="5" t="s">
        <v>2556</v>
      </c>
      <c r="E504" s="5" t="s">
        <v>8077</v>
      </c>
      <c r="G504" s="5" t="s">
        <v>11545</v>
      </c>
      <c r="I504" s="5" t="s">
        <v>20688</v>
      </c>
      <c r="K504" s="23">
        <v>46078.39770833333</v>
      </c>
      <c r="L504" s="5" t="s">
        <v>17416</v>
      </c>
      <c r="M504" s="10" t="s">
        <v>22265</v>
      </c>
      <c r="N504" s="10" t="s">
        <v>22266</v>
      </c>
      <c r="R504" s="9">
        <v>46089.594583333332</v>
      </c>
      <c r="S504" s="9">
        <v>46089.594583333332</v>
      </c>
    </row>
    <row r="505" spans="1:19" ht="12.5">
      <c r="A505" s="10" t="s">
        <v>22267</v>
      </c>
      <c r="B505" s="5" t="s">
        <v>18873</v>
      </c>
      <c r="C505" s="5">
        <v>573113092602</v>
      </c>
      <c r="D505" s="5" t="s">
        <v>42</v>
      </c>
      <c r="E505" s="10" t="s">
        <v>3330</v>
      </c>
      <c r="G505" s="5" t="s">
        <v>18873</v>
      </c>
      <c r="H505" s="10" t="s">
        <v>22268</v>
      </c>
      <c r="K505" s="23">
        <v>46077.753831018519</v>
      </c>
      <c r="L505" s="5" t="s">
        <v>6139</v>
      </c>
      <c r="M505" s="10" t="s">
        <v>22269</v>
      </c>
      <c r="N505" s="10" t="s">
        <v>22210</v>
      </c>
      <c r="R505" s="9">
        <v>46089.595335648148</v>
      </c>
      <c r="S505" s="9">
        <v>46089.595335648148</v>
      </c>
    </row>
    <row r="506" spans="1:19" ht="12.5">
      <c r="A506" s="10" t="s">
        <v>22270</v>
      </c>
      <c r="B506" s="5" t="s">
        <v>6685</v>
      </c>
      <c r="C506" s="5">
        <v>573143663864</v>
      </c>
      <c r="D506" s="5" t="s">
        <v>42</v>
      </c>
      <c r="E506" s="5" t="s">
        <v>11487</v>
      </c>
      <c r="F506" s="5" t="s">
        <v>5574</v>
      </c>
      <c r="G506" s="5" t="s">
        <v>22271</v>
      </c>
      <c r="H506" s="10" t="s">
        <v>22272</v>
      </c>
      <c r="K506" s="23">
        <v>46077.731446759259</v>
      </c>
      <c r="L506" s="5" t="s">
        <v>6139</v>
      </c>
      <c r="M506" s="10" t="s">
        <v>22273</v>
      </c>
      <c r="N506" s="10" t="s">
        <v>22274</v>
      </c>
      <c r="P506" s="5" t="s">
        <v>14593</v>
      </c>
      <c r="R506" s="9">
        <v>46089.595381944448</v>
      </c>
      <c r="S506" s="9">
        <v>46089.595381944448</v>
      </c>
    </row>
    <row r="507" spans="1:19" ht="12.5">
      <c r="A507" s="10" t="s">
        <v>22275</v>
      </c>
      <c r="B507" s="5" t="s">
        <v>18868</v>
      </c>
      <c r="C507" s="5">
        <v>13235420686</v>
      </c>
      <c r="D507" s="5" t="s">
        <v>4062</v>
      </c>
      <c r="E507" s="5" t="s">
        <v>11538</v>
      </c>
      <c r="F507" s="5" t="s">
        <v>63</v>
      </c>
      <c r="G507" s="5" t="s">
        <v>11537</v>
      </c>
      <c r="H507" s="10" t="s">
        <v>18869</v>
      </c>
      <c r="K507" s="23">
        <v>46083.683310185188</v>
      </c>
      <c r="L507" s="5" t="s">
        <v>6139</v>
      </c>
      <c r="M507" s="10" t="s">
        <v>22276</v>
      </c>
      <c r="N507" s="10" t="s">
        <v>22277</v>
      </c>
      <c r="P507" s="5" t="s">
        <v>14598</v>
      </c>
      <c r="R507" s="9">
        <v>46089.596250000002</v>
      </c>
      <c r="S507" s="9">
        <v>46089.596250000002</v>
      </c>
    </row>
    <row r="508" spans="1:19" ht="12.5">
      <c r="A508" s="10" t="s">
        <v>22278</v>
      </c>
      <c r="B508" s="5" t="s">
        <v>18866</v>
      </c>
      <c r="C508" s="5">
        <v>573188882350</v>
      </c>
      <c r="D508" s="5" t="s">
        <v>309</v>
      </c>
      <c r="E508" s="5" t="s">
        <v>11542</v>
      </c>
      <c r="F508" s="5" t="s">
        <v>63</v>
      </c>
      <c r="G508" s="5" t="s">
        <v>22279</v>
      </c>
      <c r="H508" s="10" t="s">
        <v>11543</v>
      </c>
      <c r="K508" s="23">
        <v>46077.730729166666</v>
      </c>
      <c r="L508" s="5" t="s">
        <v>6139</v>
      </c>
      <c r="M508" s="10" t="s">
        <v>22280</v>
      </c>
      <c r="N508" s="10" t="s">
        <v>22274</v>
      </c>
      <c r="P508" s="5" t="s">
        <v>14598</v>
      </c>
      <c r="R508" s="9">
        <v>46089.596828703703</v>
      </c>
      <c r="S508" s="9">
        <v>46089.596828703703</v>
      </c>
    </row>
    <row r="509" spans="1:19" ht="12.5">
      <c r="A509" s="10" t="s">
        <v>22281</v>
      </c>
      <c r="B509" s="5" t="s">
        <v>18861</v>
      </c>
      <c r="C509" s="5">
        <v>573006723153</v>
      </c>
      <c r="D509" s="5" t="s">
        <v>112</v>
      </c>
      <c r="E509" s="5" t="s">
        <v>11534</v>
      </c>
      <c r="F509" s="5" t="s">
        <v>1047</v>
      </c>
      <c r="G509" s="5" t="s">
        <v>18863</v>
      </c>
      <c r="H509" s="10" t="s">
        <v>22282</v>
      </c>
      <c r="I509" s="5" t="s">
        <v>20688</v>
      </c>
      <c r="K509" s="23">
        <v>46078.431851851848</v>
      </c>
      <c r="L509" s="5" t="s">
        <v>17416</v>
      </c>
      <c r="M509" s="10" t="s">
        <v>22283</v>
      </c>
      <c r="N509" s="10" t="s">
        <v>22266</v>
      </c>
      <c r="P509" s="5" t="s">
        <v>14580</v>
      </c>
      <c r="R509" s="9">
        <v>46089.597245370373</v>
      </c>
      <c r="S509" s="9">
        <v>46089.597245370373</v>
      </c>
    </row>
    <row r="510" spans="1:19" ht="12.5">
      <c r="A510" s="10" t="s">
        <v>22284</v>
      </c>
      <c r="B510" s="5" t="s">
        <v>18859</v>
      </c>
      <c r="C510" s="5">
        <v>573004218505</v>
      </c>
      <c r="D510" s="5" t="s">
        <v>178</v>
      </c>
      <c r="E510" s="5" t="s">
        <v>11523</v>
      </c>
      <c r="G510" s="5" t="s">
        <v>11522</v>
      </c>
      <c r="H510" s="10" t="s">
        <v>22285</v>
      </c>
      <c r="K510" s="23">
        <v>46077.734652777777</v>
      </c>
      <c r="L510" s="5" t="s">
        <v>6139</v>
      </c>
      <c r="M510" s="10" t="s">
        <v>22286</v>
      </c>
      <c r="N510" s="10" t="s">
        <v>22287</v>
      </c>
      <c r="R510" s="9">
        <v>46089.59814814815</v>
      </c>
      <c r="S510" s="9">
        <v>46089.59814814815</v>
      </c>
    </row>
    <row r="511" spans="1:19" ht="12.5">
      <c r="A511" s="10" t="s">
        <v>22288</v>
      </c>
      <c r="B511" s="5" t="s">
        <v>18853</v>
      </c>
      <c r="C511" s="5">
        <v>573014722689</v>
      </c>
      <c r="D511" s="5" t="s">
        <v>707</v>
      </c>
      <c r="E511" s="5" t="s">
        <v>11526</v>
      </c>
      <c r="F511" s="5" t="s">
        <v>5089</v>
      </c>
      <c r="G511" s="5" t="s">
        <v>11525</v>
      </c>
      <c r="H511" s="5" t="s">
        <v>15231</v>
      </c>
      <c r="K511" s="23">
        <v>46077.734270833331</v>
      </c>
      <c r="L511" s="5" t="s">
        <v>6139</v>
      </c>
      <c r="M511" s="10" t="s">
        <v>22289</v>
      </c>
      <c r="N511" s="10" t="s">
        <v>22266</v>
      </c>
      <c r="P511" s="5" t="s">
        <v>14580</v>
      </c>
      <c r="R511" s="9">
        <v>46089.598819444444</v>
      </c>
      <c r="S511" s="9">
        <v>46089.598819444444</v>
      </c>
    </row>
    <row r="512" spans="1:19" ht="12.5">
      <c r="A512" s="10" t="s">
        <v>22290</v>
      </c>
      <c r="B512" s="5" t="s">
        <v>18851</v>
      </c>
      <c r="C512" s="5">
        <v>573102426557</v>
      </c>
      <c r="D512" s="5" t="s">
        <v>375</v>
      </c>
      <c r="E512" s="5" t="s">
        <v>11427</v>
      </c>
      <c r="F512" s="5" t="s">
        <v>185</v>
      </c>
      <c r="G512" s="5" t="s">
        <v>11426</v>
      </c>
      <c r="H512" s="10" t="s">
        <v>11428</v>
      </c>
      <c r="I512" s="5" t="s">
        <v>20688</v>
      </c>
      <c r="K512" s="23">
        <v>46077.734861111108</v>
      </c>
      <c r="L512" s="5" t="s">
        <v>17416</v>
      </c>
      <c r="M512" s="10" t="s">
        <v>22291</v>
      </c>
      <c r="N512" s="10" t="s">
        <v>22287</v>
      </c>
      <c r="P512" s="5" t="s">
        <v>14580</v>
      </c>
      <c r="R512" s="9">
        <v>46089.600138888891</v>
      </c>
      <c r="S512" s="9">
        <v>46089.600138888891</v>
      </c>
    </row>
    <row r="513" spans="1:19" ht="12.5">
      <c r="A513" s="10" t="s">
        <v>22292</v>
      </c>
      <c r="B513" s="5" t="s">
        <v>18847</v>
      </c>
      <c r="C513" s="5">
        <v>573158524692</v>
      </c>
      <c r="D513" s="5" t="s">
        <v>11511</v>
      </c>
      <c r="E513" s="5" t="s">
        <v>11510</v>
      </c>
      <c r="F513" s="5" t="s">
        <v>161</v>
      </c>
      <c r="G513" s="5" t="s">
        <v>11509</v>
      </c>
      <c r="H513" s="10" t="s">
        <v>22293</v>
      </c>
      <c r="I513" s="5" t="s">
        <v>20688</v>
      </c>
      <c r="K513" s="23">
        <v>46078.404270833336</v>
      </c>
      <c r="L513" s="5" t="s">
        <v>17416</v>
      </c>
      <c r="M513" s="10" t="s">
        <v>22294</v>
      </c>
      <c r="N513" s="10" t="s">
        <v>22266</v>
      </c>
      <c r="P513" s="5" t="s">
        <v>14593</v>
      </c>
      <c r="R513" s="9">
        <v>46089.602534722224</v>
      </c>
      <c r="S513" s="9">
        <v>46089.602534722224</v>
      </c>
    </row>
    <row r="514" spans="1:19" ht="12.5">
      <c r="A514" s="10" t="s">
        <v>22295</v>
      </c>
      <c r="B514" s="5" t="s">
        <v>8843</v>
      </c>
      <c r="C514" s="5">
        <v>573003996801</v>
      </c>
      <c r="D514" s="5" t="s">
        <v>178</v>
      </c>
      <c r="E514" s="5" t="s">
        <v>11506</v>
      </c>
      <c r="F514" s="5" t="s">
        <v>161</v>
      </c>
      <c r="G514" s="5" t="s">
        <v>22296</v>
      </c>
      <c r="H514" s="5" t="s">
        <v>15231</v>
      </c>
      <c r="I514" s="5" t="s">
        <v>20688</v>
      </c>
      <c r="K514" s="23">
        <v>46077.655775462961</v>
      </c>
      <c r="L514" s="5" t="s">
        <v>17416</v>
      </c>
      <c r="M514" s="10" t="s">
        <v>22297</v>
      </c>
      <c r="N514" s="10" t="s">
        <v>22210</v>
      </c>
      <c r="P514" s="5" t="s">
        <v>14593</v>
      </c>
      <c r="R514" s="9">
        <v>46089.603888888887</v>
      </c>
      <c r="S514" s="9">
        <v>46089.603888888887</v>
      </c>
    </row>
    <row r="515" spans="1:19" ht="12.5">
      <c r="A515" s="10" t="s">
        <v>22298</v>
      </c>
      <c r="B515" s="5" t="s">
        <v>18844</v>
      </c>
      <c r="C515" s="5">
        <v>573007658639</v>
      </c>
      <c r="D515" s="5" t="s">
        <v>178</v>
      </c>
      <c r="E515" s="5" t="s">
        <v>11502</v>
      </c>
      <c r="F515" s="5" t="s">
        <v>328</v>
      </c>
      <c r="G515" s="5" t="s">
        <v>11501</v>
      </c>
      <c r="H515" s="10" t="s">
        <v>22299</v>
      </c>
      <c r="I515" s="5" t="s">
        <v>20688</v>
      </c>
      <c r="K515" s="23">
        <v>46077.682002314818</v>
      </c>
      <c r="L515" s="5" t="s">
        <v>17416</v>
      </c>
      <c r="M515" s="10" t="s">
        <v>22300</v>
      </c>
      <c r="N515" s="10" t="s">
        <v>22210</v>
      </c>
      <c r="P515" s="5" t="s">
        <v>14618</v>
      </c>
      <c r="R515" s="9">
        <v>46089.606793981482</v>
      </c>
      <c r="S515" s="9">
        <v>46089.606793981482</v>
      </c>
    </row>
    <row r="516" spans="1:19" ht="12.5">
      <c r="A516" s="10" t="s">
        <v>22301</v>
      </c>
      <c r="B516" s="5" t="s">
        <v>18842</v>
      </c>
      <c r="C516" s="5">
        <v>573004892605</v>
      </c>
      <c r="D516" s="5" t="s">
        <v>649</v>
      </c>
      <c r="E516" s="5" t="s">
        <v>11517</v>
      </c>
      <c r="F516" s="5" t="s">
        <v>154</v>
      </c>
      <c r="G516" s="5" t="s">
        <v>11516</v>
      </c>
      <c r="H516" s="10" t="s">
        <v>2686</v>
      </c>
      <c r="I516" s="5" t="s">
        <v>20688</v>
      </c>
      <c r="K516" s="23">
        <v>46077.670520833337</v>
      </c>
      <c r="L516" s="5" t="s">
        <v>17416</v>
      </c>
      <c r="M516" s="10" t="s">
        <v>22302</v>
      </c>
      <c r="N516" s="10" t="s">
        <v>22303</v>
      </c>
      <c r="P516" s="5" t="s">
        <v>14593</v>
      </c>
      <c r="R516" s="9">
        <v>46089.614722222221</v>
      </c>
      <c r="S516" s="9">
        <v>46089.614722222221</v>
      </c>
    </row>
    <row r="517" spans="1:19" ht="12.5">
      <c r="A517" s="10" t="s">
        <v>22304</v>
      </c>
      <c r="B517" s="5" t="s">
        <v>18840</v>
      </c>
      <c r="C517" s="5">
        <v>573138347371</v>
      </c>
      <c r="D517" s="5" t="s">
        <v>42</v>
      </c>
      <c r="E517" s="5" t="s">
        <v>11432</v>
      </c>
      <c r="F517" s="5" t="s">
        <v>185</v>
      </c>
      <c r="G517" s="5" t="s">
        <v>22305</v>
      </c>
      <c r="H517" s="10" t="s">
        <v>11433</v>
      </c>
      <c r="I517" s="5" t="s">
        <v>20688</v>
      </c>
      <c r="K517" s="23">
        <v>46077.642905092594</v>
      </c>
      <c r="L517" s="5" t="s">
        <v>17416</v>
      </c>
      <c r="M517" s="10" t="s">
        <v>22306</v>
      </c>
      <c r="N517" s="10" t="s">
        <v>22210</v>
      </c>
      <c r="P517" s="5" t="s">
        <v>14580</v>
      </c>
      <c r="R517" s="9">
        <v>46089.615671296298</v>
      </c>
      <c r="S517" s="9">
        <v>46089.615671296298</v>
      </c>
    </row>
    <row r="518" spans="1:19" ht="12.5">
      <c r="A518" s="10" t="s">
        <v>22307</v>
      </c>
      <c r="B518" s="5" t="s">
        <v>18836</v>
      </c>
      <c r="C518" s="5">
        <v>573168766165</v>
      </c>
      <c r="D518" s="5" t="s">
        <v>65</v>
      </c>
      <c r="E518" s="5" t="s">
        <v>10983</v>
      </c>
      <c r="F518" s="5" t="s">
        <v>328</v>
      </c>
      <c r="G518" s="5" t="s">
        <v>11483</v>
      </c>
      <c r="H518" s="10" t="s">
        <v>22308</v>
      </c>
      <c r="I518" s="5" t="s">
        <v>20688</v>
      </c>
      <c r="K518" s="23">
        <v>46077.620949074073</v>
      </c>
      <c r="L518" s="5" t="s">
        <v>17416</v>
      </c>
      <c r="M518" s="10" t="s">
        <v>22309</v>
      </c>
      <c r="N518" s="10" t="s">
        <v>22210</v>
      </c>
      <c r="P518" s="5" t="s">
        <v>14618</v>
      </c>
      <c r="R518" s="9">
        <v>46089.616215277776</v>
      </c>
      <c r="S518" s="9">
        <v>46089.616215277776</v>
      </c>
    </row>
    <row r="519" spans="1:19" ht="12.5">
      <c r="A519" s="10" t="s">
        <v>22310</v>
      </c>
      <c r="B519" s="5" t="s">
        <v>18830</v>
      </c>
      <c r="C519" s="5">
        <v>5719723332888</v>
      </c>
      <c r="D519" s="5" t="s">
        <v>559</v>
      </c>
      <c r="E519" s="5" t="s">
        <v>11479</v>
      </c>
      <c r="F519" s="5" t="s">
        <v>124</v>
      </c>
      <c r="G519" s="5" t="s">
        <v>11478</v>
      </c>
      <c r="H519" s="10" t="s">
        <v>22311</v>
      </c>
      <c r="K519" s="23">
        <v>46087.612951388888</v>
      </c>
      <c r="L519" s="5" t="s">
        <v>6139</v>
      </c>
      <c r="M519" s="10" t="s">
        <v>22312</v>
      </c>
      <c r="N519" s="10" t="s">
        <v>21445</v>
      </c>
      <c r="P519" s="5" t="s">
        <v>14775</v>
      </c>
      <c r="R519" s="9">
        <v>46089.617037037038</v>
      </c>
      <c r="S519" s="9">
        <v>46089.617037037038</v>
      </c>
    </row>
    <row r="520" spans="1:19" ht="12.5">
      <c r="A520" s="10" t="s">
        <v>22313</v>
      </c>
      <c r="B520" s="5" t="s">
        <v>18830</v>
      </c>
      <c r="C520" s="5">
        <v>5719723332888</v>
      </c>
      <c r="D520" s="5" t="s">
        <v>335</v>
      </c>
      <c r="E520" s="5" t="s">
        <v>11476</v>
      </c>
      <c r="F520" s="5" t="s">
        <v>10526</v>
      </c>
      <c r="G520" s="5" t="s">
        <v>11475</v>
      </c>
      <c r="H520" s="10" t="s">
        <v>22314</v>
      </c>
      <c r="K520" s="23">
        <v>46080.692118055558</v>
      </c>
      <c r="L520" s="5" t="s">
        <v>6139</v>
      </c>
      <c r="M520" s="10" t="s">
        <v>22315</v>
      </c>
      <c r="N520" s="10" t="s">
        <v>21962</v>
      </c>
      <c r="P520" s="5" t="s">
        <v>14593</v>
      </c>
      <c r="R520" s="9">
        <v>46089.617974537039</v>
      </c>
      <c r="S520" s="9">
        <v>46089.617974537039</v>
      </c>
    </row>
    <row r="521" spans="1:19" ht="12.5">
      <c r="A521" s="10" t="s">
        <v>22316</v>
      </c>
      <c r="B521" s="5" t="s">
        <v>18827</v>
      </c>
      <c r="C521" s="5">
        <v>573006749322</v>
      </c>
      <c r="D521" s="5" t="s">
        <v>178</v>
      </c>
      <c r="E521" s="5" t="s">
        <v>18828</v>
      </c>
      <c r="F521" s="5" t="s">
        <v>6662</v>
      </c>
      <c r="G521" s="5" t="s">
        <v>11466</v>
      </c>
      <c r="H521" s="10" t="s">
        <v>22317</v>
      </c>
      <c r="K521" s="23">
        <v>46078.435104166667</v>
      </c>
      <c r="L521" s="5" t="s">
        <v>6139</v>
      </c>
      <c r="M521" s="10" t="s">
        <v>22318</v>
      </c>
      <c r="N521" s="10" t="s">
        <v>22319</v>
      </c>
      <c r="P521" s="5" t="s">
        <v>14580</v>
      </c>
      <c r="R521" s="9">
        <v>46089.618391203701</v>
      </c>
      <c r="S521" s="9">
        <v>46089.618391203701</v>
      </c>
    </row>
    <row r="522" spans="1:19" ht="12.5">
      <c r="A522" s="10" t="s">
        <v>22320</v>
      </c>
      <c r="B522" s="5" t="s">
        <v>14888</v>
      </c>
      <c r="C522" s="5">
        <v>5713053384931</v>
      </c>
      <c r="D522" s="5" t="s">
        <v>11470</v>
      </c>
      <c r="E522" s="5" t="s">
        <v>11469</v>
      </c>
      <c r="F522" s="5" t="s">
        <v>161</v>
      </c>
      <c r="G522" s="5" t="s">
        <v>11468</v>
      </c>
      <c r="I522" s="5" t="s">
        <v>20688</v>
      </c>
      <c r="K522" s="23">
        <v>46077.617314814815</v>
      </c>
      <c r="L522" s="5" t="s">
        <v>17416</v>
      </c>
      <c r="M522" s="10" t="s">
        <v>22321</v>
      </c>
      <c r="N522" s="10" t="s">
        <v>22322</v>
      </c>
      <c r="P522" s="5" t="s">
        <v>14593</v>
      </c>
      <c r="R522" s="9">
        <v>46089.619120370371</v>
      </c>
      <c r="S522" s="9">
        <v>46089.619120370371</v>
      </c>
    </row>
    <row r="523" spans="1:19" ht="12.5">
      <c r="A523" s="10" t="s">
        <v>22323</v>
      </c>
      <c r="B523" s="5" t="s">
        <v>18782</v>
      </c>
      <c r="C523" s="5">
        <v>16476753372</v>
      </c>
      <c r="D523" s="5" t="s">
        <v>375</v>
      </c>
      <c r="E523" s="5" t="s">
        <v>11350</v>
      </c>
      <c r="F523" s="5" t="s">
        <v>185</v>
      </c>
      <c r="G523" s="5" t="s">
        <v>11349</v>
      </c>
      <c r="H523" s="10" t="s">
        <v>22324</v>
      </c>
      <c r="I523" s="5" t="s">
        <v>20688</v>
      </c>
      <c r="K523" s="23">
        <v>46077.620868055557</v>
      </c>
      <c r="L523" s="5" t="s">
        <v>17416</v>
      </c>
      <c r="M523" s="10" t="s">
        <v>22325</v>
      </c>
      <c r="N523" s="10" t="s">
        <v>22210</v>
      </c>
      <c r="P523" s="5" t="s">
        <v>14580</v>
      </c>
      <c r="R523" s="9">
        <v>46089.619270833333</v>
      </c>
      <c r="S523" s="9">
        <v>46089.619270833333</v>
      </c>
    </row>
    <row r="524" spans="1:19" ht="12.5">
      <c r="A524" s="10" t="s">
        <v>22326</v>
      </c>
      <c r="B524" s="5" t="s">
        <v>18819</v>
      </c>
      <c r="C524" s="5">
        <v>573185216279</v>
      </c>
      <c r="D524" s="5" t="s">
        <v>4021</v>
      </c>
      <c r="E524" s="5" t="s">
        <v>11445</v>
      </c>
      <c r="F524" s="5" t="s">
        <v>328</v>
      </c>
      <c r="G524" s="5" t="s">
        <v>18821</v>
      </c>
      <c r="H524" s="10" t="s">
        <v>22327</v>
      </c>
      <c r="I524" s="5" t="s">
        <v>3962</v>
      </c>
      <c r="K524" s="23">
        <v>46077.483113425929</v>
      </c>
      <c r="L524" s="5" t="s">
        <v>17416</v>
      </c>
      <c r="M524" s="10" t="s">
        <v>22328</v>
      </c>
      <c r="N524" s="10" t="s">
        <v>22329</v>
      </c>
      <c r="P524" s="5" t="s">
        <v>14618</v>
      </c>
      <c r="R524" s="9">
        <v>46089.623483796298</v>
      </c>
      <c r="S524" s="9">
        <v>46089.623483796298</v>
      </c>
    </row>
    <row r="525" spans="1:19" ht="12.5">
      <c r="A525" s="10" t="s">
        <v>22330</v>
      </c>
      <c r="B525" s="5" t="s">
        <v>18817</v>
      </c>
      <c r="C525" s="5">
        <v>17816863866</v>
      </c>
      <c r="D525" s="5" t="s">
        <v>375</v>
      </c>
      <c r="E525" s="5" t="s">
        <v>11454</v>
      </c>
      <c r="F525" s="5" t="s">
        <v>161</v>
      </c>
      <c r="G525" s="5" t="s">
        <v>11453</v>
      </c>
      <c r="H525" s="5" t="s">
        <v>15231</v>
      </c>
      <c r="I525" s="5" t="s">
        <v>20688</v>
      </c>
      <c r="K525" s="23">
        <v>46077.51699074074</v>
      </c>
      <c r="L525" s="5" t="s">
        <v>17416</v>
      </c>
      <c r="M525" s="10" t="s">
        <v>22331</v>
      </c>
      <c r="N525" s="10" t="s">
        <v>22210</v>
      </c>
      <c r="P525" s="5" t="s">
        <v>14593</v>
      </c>
      <c r="R525" s="9">
        <v>46089.624930555554</v>
      </c>
      <c r="S525" s="9">
        <v>46089.624930555554</v>
      </c>
    </row>
    <row r="526" spans="1:19" ht="12.5">
      <c r="A526" s="10" t="s">
        <v>22332</v>
      </c>
      <c r="B526" s="5" t="s">
        <v>18813</v>
      </c>
      <c r="C526" s="5">
        <v>573106301186</v>
      </c>
      <c r="D526" s="5" t="s">
        <v>330</v>
      </c>
      <c r="E526" s="5" t="s">
        <v>18814</v>
      </c>
      <c r="F526" s="5" t="s">
        <v>161</v>
      </c>
      <c r="G526" s="5" t="s">
        <v>22333</v>
      </c>
      <c r="H526" s="10" t="s">
        <v>22334</v>
      </c>
      <c r="I526" s="5" t="s">
        <v>22109</v>
      </c>
      <c r="J526" s="5">
        <v>3045805246</v>
      </c>
      <c r="K526" s="5" t="s">
        <v>14574</v>
      </c>
      <c r="L526" s="5" t="s">
        <v>17416</v>
      </c>
      <c r="M526" s="10" t="s">
        <v>22335</v>
      </c>
      <c r="N526" s="10" t="s">
        <v>22193</v>
      </c>
      <c r="P526" s="5" t="s">
        <v>14593</v>
      </c>
      <c r="R526" s="9">
        <v>46089.628252314818</v>
      </c>
      <c r="S526" s="9">
        <v>46089.628252314818</v>
      </c>
    </row>
    <row r="527" spans="1:19" ht="12.5">
      <c r="A527" s="10" t="s">
        <v>22336</v>
      </c>
      <c r="B527" s="5" t="s">
        <v>18811</v>
      </c>
      <c r="C527" s="5">
        <v>573235601059</v>
      </c>
      <c r="D527" s="5" t="s">
        <v>112</v>
      </c>
      <c r="E527" s="5" t="s">
        <v>11413</v>
      </c>
      <c r="F527" s="5" t="s">
        <v>73</v>
      </c>
      <c r="G527" s="5" t="s">
        <v>11412</v>
      </c>
      <c r="I527" s="5" t="s">
        <v>20688</v>
      </c>
      <c r="K527" s="23">
        <v>46077.438854166663</v>
      </c>
      <c r="L527" s="5" t="s">
        <v>17416</v>
      </c>
      <c r="M527" s="10" t="s">
        <v>22337</v>
      </c>
      <c r="N527" s="10" t="s">
        <v>22338</v>
      </c>
      <c r="P527" s="5" t="s">
        <v>14593</v>
      </c>
      <c r="R527" s="9">
        <v>46089.630185185182</v>
      </c>
      <c r="S527" s="9">
        <v>46089.630185185182</v>
      </c>
    </row>
    <row r="528" spans="1:19" ht="12.5">
      <c r="A528" s="10" t="s">
        <v>22339</v>
      </c>
      <c r="B528" s="5" t="s">
        <v>18809</v>
      </c>
      <c r="C528" s="5">
        <v>573203476161</v>
      </c>
      <c r="D528" s="5" t="s">
        <v>178</v>
      </c>
      <c r="E528" s="5" t="s">
        <v>11422</v>
      </c>
      <c r="F528" s="5" t="s">
        <v>73</v>
      </c>
      <c r="G528" s="5" t="s">
        <v>11421</v>
      </c>
      <c r="H528" s="10" t="s">
        <v>22340</v>
      </c>
      <c r="I528" s="5" t="s">
        <v>20688</v>
      </c>
      <c r="K528" s="23">
        <v>46077.405289351853</v>
      </c>
      <c r="L528" s="5" t="s">
        <v>17416</v>
      </c>
      <c r="M528" s="10" t="s">
        <v>22341</v>
      </c>
      <c r="N528" s="10" t="s">
        <v>22338</v>
      </c>
      <c r="P528" s="5" t="s">
        <v>14593</v>
      </c>
      <c r="R528" s="9">
        <v>46089.630474537036</v>
      </c>
      <c r="S528" s="9">
        <v>46089.630474537036</v>
      </c>
    </row>
    <row r="529" spans="1:19" ht="12.5">
      <c r="A529" s="10" t="s">
        <v>22342</v>
      </c>
      <c r="B529" s="5" t="s">
        <v>18806</v>
      </c>
      <c r="C529" s="5">
        <v>573247472483</v>
      </c>
      <c r="D529" s="5" t="s">
        <v>133</v>
      </c>
      <c r="E529" s="5" t="s">
        <v>11406</v>
      </c>
      <c r="G529" s="5" t="s">
        <v>22343</v>
      </c>
      <c r="H529" s="10" t="s">
        <v>22344</v>
      </c>
      <c r="I529" s="5" t="s">
        <v>22345</v>
      </c>
      <c r="K529" s="23">
        <v>46077.385694444441</v>
      </c>
      <c r="L529" s="5" t="s">
        <v>6139</v>
      </c>
      <c r="M529" s="10" t="s">
        <v>22346</v>
      </c>
      <c r="N529" s="10" t="s">
        <v>22347</v>
      </c>
      <c r="R529" s="9">
        <v>46089.632199074076</v>
      </c>
      <c r="S529" s="9">
        <v>46089.632199074076</v>
      </c>
    </row>
    <row r="530" spans="1:19" ht="12.5">
      <c r="A530" s="10" t="s">
        <v>22348</v>
      </c>
      <c r="B530" s="5" t="s">
        <v>13174</v>
      </c>
      <c r="C530" s="5">
        <v>573148903107</v>
      </c>
      <c r="D530" s="5" t="s">
        <v>42</v>
      </c>
      <c r="E530" s="5" t="s">
        <v>11400</v>
      </c>
      <c r="F530" s="5" t="s">
        <v>161</v>
      </c>
      <c r="G530" s="5" t="s">
        <v>11399</v>
      </c>
      <c r="I530" s="5" t="s">
        <v>22349</v>
      </c>
      <c r="J530" s="5">
        <v>3174926262</v>
      </c>
      <c r="K530" s="5" t="s">
        <v>14574</v>
      </c>
      <c r="L530" s="5" t="s">
        <v>17416</v>
      </c>
      <c r="M530" s="10" t="s">
        <v>22350</v>
      </c>
      <c r="N530" s="10" t="s">
        <v>22351</v>
      </c>
      <c r="P530" s="5" t="s">
        <v>14593</v>
      </c>
      <c r="R530" s="9">
        <v>46089.632604166669</v>
      </c>
      <c r="S530" s="9">
        <v>46089.632604166669</v>
      </c>
    </row>
    <row r="531" spans="1:19" ht="12.5">
      <c r="A531" s="10" t="s">
        <v>22352</v>
      </c>
      <c r="B531" s="5" t="s">
        <v>18796</v>
      </c>
      <c r="C531" s="5">
        <v>17864403758</v>
      </c>
      <c r="D531" s="5" t="s">
        <v>187</v>
      </c>
      <c r="E531" s="5" t="s">
        <v>11339</v>
      </c>
      <c r="F531" s="5" t="s">
        <v>161</v>
      </c>
      <c r="G531" s="5" t="s">
        <v>11338</v>
      </c>
      <c r="H531" s="5" t="s">
        <v>15231</v>
      </c>
      <c r="I531" s="5" t="s">
        <v>20688</v>
      </c>
      <c r="K531" s="23">
        <v>46076.686249999999</v>
      </c>
      <c r="L531" s="5" t="s">
        <v>17416</v>
      </c>
      <c r="M531" s="10" t="s">
        <v>22353</v>
      </c>
      <c r="N531" s="10" t="s">
        <v>22351</v>
      </c>
      <c r="P531" s="5" t="s">
        <v>14593</v>
      </c>
      <c r="R531" s="9">
        <v>46089.632951388892</v>
      </c>
      <c r="S531" s="9">
        <v>46089.632951388892</v>
      </c>
    </row>
    <row r="532" spans="1:19" ht="12.5">
      <c r="A532" s="10" t="s">
        <v>22354</v>
      </c>
      <c r="B532" s="5" t="s">
        <v>18791</v>
      </c>
      <c r="C532" s="5">
        <v>573197604194</v>
      </c>
      <c r="D532" s="5" t="s">
        <v>375</v>
      </c>
      <c r="E532" s="5" t="s">
        <v>11387</v>
      </c>
      <c r="F532" s="5" t="s">
        <v>307</v>
      </c>
      <c r="G532" s="5" t="s">
        <v>11386</v>
      </c>
      <c r="H532" s="5" t="s">
        <v>15231</v>
      </c>
      <c r="I532" s="5" t="s">
        <v>22349</v>
      </c>
      <c r="J532" s="5">
        <v>3174926262</v>
      </c>
      <c r="K532" s="5" t="s">
        <v>14574</v>
      </c>
      <c r="L532" s="5" t="s">
        <v>17416</v>
      </c>
      <c r="M532" s="10" t="s">
        <v>22355</v>
      </c>
      <c r="N532" s="10" t="s">
        <v>22351</v>
      </c>
      <c r="P532" s="5" t="s">
        <v>14618</v>
      </c>
      <c r="R532" s="9">
        <v>46089.633287037039</v>
      </c>
      <c r="S532" s="9">
        <v>46089.633287037039</v>
      </c>
    </row>
    <row r="533" spans="1:19" ht="12.5">
      <c r="A533" s="10" t="s">
        <v>22356</v>
      </c>
      <c r="B533" s="5" t="s">
        <v>18787</v>
      </c>
      <c r="C533" s="5">
        <v>573167450996</v>
      </c>
      <c r="D533" s="5" t="s">
        <v>309</v>
      </c>
      <c r="E533" s="5" t="s">
        <v>11375</v>
      </c>
      <c r="F533" s="5" t="s">
        <v>1921</v>
      </c>
      <c r="G533" s="5" t="s">
        <v>11374</v>
      </c>
      <c r="H533" s="10" t="s">
        <v>22357</v>
      </c>
      <c r="I533" s="5" t="s">
        <v>20688</v>
      </c>
      <c r="J533" s="5"/>
      <c r="K533" s="23">
        <v>46078.381724537037</v>
      </c>
      <c r="L533" s="5" t="s">
        <v>17416</v>
      </c>
      <c r="M533" s="10" t="s">
        <v>22358</v>
      </c>
      <c r="N533" s="10" t="s">
        <v>22266</v>
      </c>
      <c r="P533" s="5" t="s">
        <v>14580</v>
      </c>
      <c r="R533" s="9">
        <v>46089.635891203703</v>
      </c>
      <c r="S533" s="9">
        <v>46089.635891203703</v>
      </c>
    </row>
    <row r="534" spans="1:19" ht="12.5">
      <c r="A534" s="10" t="s">
        <v>22359</v>
      </c>
      <c r="B534" s="5" t="s">
        <v>18784</v>
      </c>
      <c r="C534" s="5">
        <v>573104998328</v>
      </c>
      <c r="D534" s="5" t="s">
        <v>42</v>
      </c>
      <c r="E534" s="5" t="s">
        <v>11362</v>
      </c>
      <c r="F534" s="5" t="s">
        <v>11361</v>
      </c>
      <c r="G534" s="5" t="s">
        <v>11360</v>
      </c>
      <c r="I534" s="5" t="s">
        <v>22349</v>
      </c>
      <c r="J534" s="5">
        <v>3174926262</v>
      </c>
      <c r="K534" s="5" t="s">
        <v>14574</v>
      </c>
      <c r="L534" s="5" t="s">
        <v>17416</v>
      </c>
      <c r="M534" s="10" t="s">
        <v>22360</v>
      </c>
      <c r="N534" s="10" t="s">
        <v>22361</v>
      </c>
      <c r="P534" s="5" t="s">
        <v>18786</v>
      </c>
      <c r="R534" s="9">
        <v>46089.640694444446</v>
      </c>
      <c r="S534" s="9">
        <v>46089.640694444446</v>
      </c>
    </row>
    <row r="535" spans="1:19" ht="12.5">
      <c r="A535" s="10" t="s">
        <v>22362</v>
      </c>
      <c r="B535" s="5" t="s">
        <v>18782</v>
      </c>
      <c r="C535" s="5">
        <v>16476753372</v>
      </c>
      <c r="D535" s="5" t="s">
        <v>65</v>
      </c>
      <c r="E535" s="5" t="s">
        <v>11350</v>
      </c>
      <c r="F535" s="5" t="s">
        <v>185</v>
      </c>
      <c r="G535" s="5" t="s">
        <v>11349</v>
      </c>
      <c r="H535" s="10" t="s">
        <v>22324</v>
      </c>
      <c r="I535" s="5" t="s">
        <v>20688</v>
      </c>
      <c r="K535" s="23">
        <v>46076.574456018519</v>
      </c>
      <c r="L535" s="5" t="s">
        <v>17416</v>
      </c>
      <c r="M535" s="10" t="s">
        <v>22363</v>
      </c>
      <c r="N535" s="10" t="s">
        <v>22364</v>
      </c>
      <c r="P535" s="5" t="s">
        <v>14580</v>
      </c>
      <c r="R535" s="9">
        <v>46089.643090277779</v>
      </c>
      <c r="S535" s="9">
        <v>46089.643090277779</v>
      </c>
    </row>
    <row r="536" spans="1:19" ht="12.5">
      <c r="A536" s="10" t="s">
        <v>22365</v>
      </c>
      <c r="B536" s="5" t="s">
        <v>18779</v>
      </c>
      <c r="C536" s="5">
        <v>573017692214</v>
      </c>
      <c r="D536" s="5" t="s">
        <v>42</v>
      </c>
      <c r="E536" s="5" t="s">
        <v>11369</v>
      </c>
      <c r="F536" s="5" t="s">
        <v>63</v>
      </c>
      <c r="G536" s="5" t="s">
        <v>11368</v>
      </c>
      <c r="H536" s="10" t="s">
        <v>22366</v>
      </c>
      <c r="I536" s="5" t="s">
        <v>20688</v>
      </c>
      <c r="K536" s="23">
        <v>46076.574537037035</v>
      </c>
      <c r="L536" s="5" t="s">
        <v>17416</v>
      </c>
      <c r="M536" s="10" t="s">
        <v>22367</v>
      </c>
      <c r="N536" s="10" t="s">
        <v>22351</v>
      </c>
      <c r="P536" s="5" t="s">
        <v>14598</v>
      </c>
      <c r="R536" s="9">
        <v>46089.650185185186</v>
      </c>
      <c r="S536" s="9">
        <v>46089.650185185186</v>
      </c>
    </row>
    <row r="537" spans="1:19" ht="12.5">
      <c r="A537" s="10" t="s">
        <v>22368</v>
      </c>
      <c r="B537" s="5" t="s">
        <v>18777</v>
      </c>
      <c r="C537" s="5">
        <v>573156186703</v>
      </c>
      <c r="D537" s="5" t="s">
        <v>347</v>
      </c>
      <c r="E537" s="5" t="s">
        <v>11358</v>
      </c>
      <c r="F537" s="5" t="s">
        <v>63</v>
      </c>
      <c r="G537" s="5" t="s">
        <v>11357</v>
      </c>
      <c r="H537" s="10" t="s">
        <v>22369</v>
      </c>
      <c r="I537" s="5" t="s">
        <v>20688</v>
      </c>
      <c r="K537" s="23">
        <v>46076.519594907404</v>
      </c>
      <c r="L537" s="5" t="s">
        <v>17416</v>
      </c>
      <c r="M537" s="10" t="s">
        <v>22370</v>
      </c>
      <c r="N537" s="10" t="s">
        <v>22351</v>
      </c>
      <c r="P537" s="5" t="s">
        <v>14598</v>
      </c>
      <c r="R537" s="9">
        <v>46089.650821759256</v>
      </c>
      <c r="S537" s="9">
        <v>46089.650821759256</v>
      </c>
    </row>
    <row r="538" spans="1:19" ht="12.5">
      <c r="A538" s="10" t="s">
        <v>22371</v>
      </c>
      <c r="B538" s="5" t="s">
        <v>18772</v>
      </c>
      <c r="C538" s="5">
        <v>573007013138</v>
      </c>
      <c r="D538" s="5" t="s">
        <v>11346</v>
      </c>
      <c r="E538" s="5" t="s">
        <v>18773</v>
      </c>
      <c r="F538" s="5" t="s">
        <v>73</v>
      </c>
      <c r="G538" s="5" t="s">
        <v>22372</v>
      </c>
      <c r="H538" s="10" t="s">
        <v>22373</v>
      </c>
      <c r="I538" s="5" t="s">
        <v>20688</v>
      </c>
      <c r="K538" s="23">
        <v>46076.607476851852</v>
      </c>
      <c r="L538" s="5" t="s">
        <v>17416</v>
      </c>
      <c r="M538" s="10" t="s">
        <v>22374</v>
      </c>
      <c r="N538" s="10" t="s">
        <v>22351</v>
      </c>
      <c r="P538" s="5" t="s">
        <v>14593</v>
      </c>
      <c r="R538" s="9">
        <v>46089.653587962966</v>
      </c>
      <c r="S538" s="9">
        <v>46089.653587962966</v>
      </c>
    </row>
    <row r="539" spans="1:19" ht="12.5">
      <c r="A539" s="10" t="s">
        <v>22375</v>
      </c>
      <c r="B539" s="5" t="s">
        <v>18770</v>
      </c>
      <c r="C539" s="5">
        <v>573008420384</v>
      </c>
      <c r="D539" s="5" t="s">
        <v>1111</v>
      </c>
      <c r="E539" s="5" t="s">
        <v>11328</v>
      </c>
      <c r="F539" s="5" t="s">
        <v>63</v>
      </c>
      <c r="G539" s="5" t="s">
        <v>22376</v>
      </c>
      <c r="H539" s="10" t="s">
        <v>22377</v>
      </c>
      <c r="I539" s="5" t="s">
        <v>20688</v>
      </c>
      <c r="K539" s="23"/>
      <c r="L539" s="5" t="s">
        <v>17416</v>
      </c>
      <c r="M539" s="10" t="s">
        <v>22378</v>
      </c>
      <c r="N539" s="10" t="s">
        <v>22351</v>
      </c>
      <c r="P539" s="5" t="s">
        <v>14598</v>
      </c>
      <c r="R539" s="9">
        <v>46089.659814814811</v>
      </c>
      <c r="S539" s="9">
        <v>46089.659814814811</v>
      </c>
    </row>
    <row r="540" spans="1:19" ht="12.5">
      <c r="A540" s="10" t="s">
        <v>22379</v>
      </c>
      <c r="B540" s="5" t="s">
        <v>14529</v>
      </c>
      <c r="C540" s="5">
        <v>573014741914</v>
      </c>
      <c r="D540" s="5" t="s">
        <v>375</v>
      </c>
      <c r="E540" s="5" t="s">
        <v>11312</v>
      </c>
      <c r="F540" s="5" t="s">
        <v>9002</v>
      </c>
      <c r="G540" s="5" t="s">
        <v>11311</v>
      </c>
      <c r="I540" s="5" t="s">
        <v>3962</v>
      </c>
      <c r="K540" s="23">
        <v>46076.479907407411</v>
      </c>
      <c r="L540" s="5" t="s">
        <v>17416</v>
      </c>
      <c r="M540" s="10" t="s">
        <v>22380</v>
      </c>
      <c r="N540" s="10" t="s">
        <v>22381</v>
      </c>
      <c r="P540" s="5" t="s">
        <v>14775</v>
      </c>
      <c r="R540" s="9">
        <v>46089.660555555558</v>
      </c>
      <c r="S540" s="9">
        <v>46089.660555555558</v>
      </c>
    </row>
    <row r="541" spans="1:19" ht="12.5">
      <c r="A541" s="10" t="s">
        <v>22382</v>
      </c>
      <c r="B541" s="5" t="s">
        <v>18760</v>
      </c>
      <c r="C541" s="5">
        <v>573046715811</v>
      </c>
      <c r="D541" s="5" t="s">
        <v>11319</v>
      </c>
      <c r="E541" s="5" t="s">
        <v>11318</v>
      </c>
      <c r="F541" s="5" t="s">
        <v>351</v>
      </c>
      <c r="G541" s="5" t="s">
        <v>11317</v>
      </c>
      <c r="H541" s="10" t="s">
        <v>22383</v>
      </c>
      <c r="I541" s="5" t="s">
        <v>20688</v>
      </c>
      <c r="K541" s="23">
        <v>46076.47797453704</v>
      </c>
      <c r="L541" s="5" t="s">
        <v>17416</v>
      </c>
      <c r="M541" s="10" t="s">
        <v>22384</v>
      </c>
      <c r="N541" s="10" t="s">
        <v>22351</v>
      </c>
      <c r="P541" s="5" t="s">
        <v>14580</v>
      </c>
      <c r="R541" s="9">
        <v>46089.662812499999</v>
      </c>
      <c r="S541" s="9">
        <v>46089.662812499999</v>
      </c>
    </row>
    <row r="542" spans="1:19" ht="12.5">
      <c r="A542" s="10" t="s">
        <v>22385</v>
      </c>
      <c r="B542" s="5" t="s">
        <v>18757</v>
      </c>
      <c r="C542" s="5">
        <v>4400450000000000</v>
      </c>
      <c r="D542" s="5" t="s">
        <v>2120</v>
      </c>
      <c r="E542" s="5" t="s">
        <v>11286</v>
      </c>
      <c r="F542" s="5" t="s">
        <v>185</v>
      </c>
      <c r="G542" s="5" t="s">
        <v>4836</v>
      </c>
      <c r="I542" s="5" t="s">
        <v>20688</v>
      </c>
      <c r="K542" s="23">
        <v>46076.521249999998</v>
      </c>
      <c r="L542" s="5" t="s">
        <v>17416</v>
      </c>
      <c r="M542" s="10" t="s">
        <v>22386</v>
      </c>
      <c r="N542" s="10" t="s">
        <v>22351</v>
      </c>
      <c r="P542" s="5" t="s">
        <v>14580</v>
      </c>
      <c r="R542" s="9">
        <v>46089.669351851851</v>
      </c>
      <c r="S542" s="9">
        <v>46089.669351851851</v>
      </c>
    </row>
    <row r="543" spans="1:19" ht="12.5">
      <c r="A543" s="10" t="s">
        <v>22387</v>
      </c>
      <c r="B543" s="5" t="s">
        <v>22388</v>
      </c>
      <c r="C543" s="5">
        <v>573148449075</v>
      </c>
      <c r="D543" s="5" t="s">
        <v>309</v>
      </c>
      <c r="E543" s="5" t="s">
        <v>11306</v>
      </c>
      <c r="F543" s="5" t="s">
        <v>448</v>
      </c>
      <c r="G543" s="5" t="s">
        <v>11305</v>
      </c>
      <c r="H543" s="10" t="s">
        <v>22389</v>
      </c>
      <c r="I543" s="5" t="s">
        <v>3962</v>
      </c>
      <c r="K543" s="23">
        <v>46076.504131944443</v>
      </c>
      <c r="L543" s="5" t="s">
        <v>17416</v>
      </c>
      <c r="M543" s="10" t="s">
        <v>22390</v>
      </c>
      <c r="N543" s="10" t="s">
        <v>22351</v>
      </c>
      <c r="P543" s="5" t="s">
        <v>14580</v>
      </c>
      <c r="R543" s="9">
        <v>46089.671805555554</v>
      </c>
      <c r="S543" s="9">
        <v>46089.671805555554</v>
      </c>
    </row>
    <row r="544" spans="1:19" ht="12.5">
      <c r="A544" s="10" t="s">
        <v>22391</v>
      </c>
      <c r="B544" s="5" t="s">
        <v>18755</v>
      </c>
      <c r="C544" s="5">
        <v>573205658135</v>
      </c>
      <c r="D544" s="5" t="s">
        <v>335</v>
      </c>
      <c r="E544" s="5" t="s">
        <v>11294</v>
      </c>
      <c r="F544" s="5" t="s">
        <v>73</v>
      </c>
      <c r="G544" s="5" t="s">
        <v>11293</v>
      </c>
      <c r="I544" s="5" t="s">
        <v>20688</v>
      </c>
      <c r="K544" s="23">
        <v>46076.456516203703</v>
      </c>
      <c r="L544" s="5" t="s">
        <v>17416</v>
      </c>
      <c r="M544" s="10" t="s">
        <v>22392</v>
      </c>
      <c r="N544" s="10" t="s">
        <v>22351</v>
      </c>
      <c r="P544" s="5" t="s">
        <v>14593</v>
      </c>
      <c r="R544" s="9">
        <v>46089.672592592593</v>
      </c>
      <c r="S544" s="9">
        <v>46089.672592592593</v>
      </c>
    </row>
    <row r="545" spans="1:19" ht="12.5">
      <c r="A545" s="10" t="s">
        <v>22393</v>
      </c>
      <c r="B545" s="5" t="s">
        <v>18759</v>
      </c>
      <c r="C545" s="5">
        <v>573105103018</v>
      </c>
      <c r="D545" s="5" t="s">
        <v>3111</v>
      </c>
      <c r="E545" s="5" t="s">
        <v>11300</v>
      </c>
      <c r="F545" s="5" t="s">
        <v>3091</v>
      </c>
      <c r="G545" s="5" t="s">
        <v>22394</v>
      </c>
      <c r="H545" s="10" t="s">
        <v>22395</v>
      </c>
      <c r="I545" s="5" t="s">
        <v>3962</v>
      </c>
      <c r="K545" s="23">
        <v>46077.480081018519</v>
      </c>
      <c r="L545" s="5" t="s">
        <v>17416</v>
      </c>
      <c r="M545" s="5" t="s">
        <v>22396</v>
      </c>
      <c r="N545" s="10" t="s">
        <v>22210</v>
      </c>
      <c r="P545" s="5" t="s">
        <v>14580</v>
      </c>
      <c r="R545" s="9">
        <v>46089.672731481478</v>
      </c>
      <c r="S545" s="9">
        <v>46089.672731481478</v>
      </c>
    </row>
    <row r="546" spans="1:19" ht="12.5">
      <c r="A546" s="10" t="s">
        <v>22397</v>
      </c>
      <c r="B546" s="5" t="s">
        <v>18753</v>
      </c>
      <c r="C546" s="5">
        <v>573004396910</v>
      </c>
      <c r="D546" s="5" t="s">
        <v>375</v>
      </c>
      <c r="E546" s="5" t="s">
        <v>11274</v>
      </c>
      <c r="F546" s="5" t="s">
        <v>79</v>
      </c>
      <c r="G546" s="5" t="s">
        <v>11273</v>
      </c>
      <c r="H546" s="5" t="s">
        <v>15231</v>
      </c>
      <c r="I546" s="5" t="s">
        <v>20688</v>
      </c>
      <c r="K546" s="23">
        <v>46076.420115740744</v>
      </c>
      <c r="L546" s="5" t="s">
        <v>17416</v>
      </c>
      <c r="M546" s="10" t="s">
        <v>22398</v>
      </c>
      <c r="N546" s="10" t="s">
        <v>22399</v>
      </c>
      <c r="P546" s="5" t="s">
        <v>14593</v>
      </c>
      <c r="R546" s="9">
        <v>46089.673078703701</v>
      </c>
      <c r="S546" s="9">
        <v>46089.673078703701</v>
      </c>
    </row>
    <row r="547" spans="1:19" ht="12.5">
      <c r="A547" s="10" t="s">
        <v>22400</v>
      </c>
      <c r="B547" s="5" t="s">
        <v>18751</v>
      </c>
      <c r="C547" s="5">
        <v>573043985350</v>
      </c>
      <c r="D547" s="5" t="s">
        <v>65</v>
      </c>
      <c r="E547" s="5" t="s">
        <v>11279</v>
      </c>
      <c r="F547" s="5" t="s">
        <v>886</v>
      </c>
      <c r="G547" s="5" t="s">
        <v>22401</v>
      </c>
      <c r="H547" s="10" t="s">
        <v>11280</v>
      </c>
      <c r="I547" s="5" t="s">
        <v>20688</v>
      </c>
      <c r="K547" s="23">
        <v>46076.48170138889</v>
      </c>
      <c r="L547" s="5" t="s">
        <v>17416</v>
      </c>
      <c r="M547" s="10" t="s">
        <v>22402</v>
      </c>
      <c r="N547" s="10" t="s">
        <v>22351</v>
      </c>
      <c r="P547" s="5" t="s">
        <v>14618</v>
      </c>
      <c r="R547" s="9">
        <v>46089.674351851849</v>
      </c>
      <c r="S547" s="9">
        <v>46089.674351851849</v>
      </c>
    </row>
    <row r="548" spans="1:19" ht="12.5">
      <c r="A548" s="10" t="s">
        <v>22403</v>
      </c>
      <c r="B548" s="5" t="s">
        <v>18748</v>
      </c>
      <c r="C548" s="5">
        <v>573003655039</v>
      </c>
      <c r="D548" s="5" t="s">
        <v>251</v>
      </c>
      <c r="E548" s="5" t="s">
        <v>11268</v>
      </c>
      <c r="F548" s="5" t="s">
        <v>11267</v>
      </c>
      <c r="G548" s="5" t="s">
        <v>11266</v>
      </c>
      <c r="H548" s="10" t="s">
        <v>22404</v>
      </c>
      <c r="I548" s="5" t="s">
        <v>3962</v>
      </c>
      <c r="K548" s="23">
        <v>46076.413217592592</v>
      </c>
      <c r="L548" s="5" t="s">
        <v>17416</v>
      </c>
      <c r="M548" s="10" t="s">
        <v>22405</v>
      </c>
      <c r="N548" s="10" t="s">
        <v>22351</v>
      </c>
      <c r="R548" s="9">
        <v>46089.678356481483</v>
      </c>
      <c r="S548" s="9">
        <v>46089.678356481483</v>
      </c>
    </row>
    <row r="549" spans="1:19" ht="12.5">
      <c r="A549" s="10" t="s">
        <v>22406</v>
      </c>
      <c r="B549" s="5" t="s">
        <v>18746</v>
      </c>
      <c r="C549" s="5">
        <v>5700000</v>
      </c>
      <c r="D549" s="5" t="s">
        <v>734</v>
      </c>
      <c r="E549" s="5" t="s">
        <v>11262</v>
      </c>
      <c r="F549" s="5" t="s">
        <v>161</v>
      </c>
      <c r="G549" s="5" t="s">
        <v>22407</v>
      </c>
      <c r="I549" s="5" t="s">
        <v>20688</v>
      </c>
      <c r="K549" s="23">
        <v>46076.420173611114</v>
      </c>
      <c r="L549" s="5" t="s">
        <v>17416</v>
      </c>
      <c r="M549" s="10" t="s">
        <v>22408</v>
      </c>
      <c r="N549" s="10" t="s">
        <v>22409</v>
      </c>
      <c r="P549" s="5" t="s">
        <v>14593</v>
      </c>
      <c r="R549" s="9">
        <v>46089.678599537037</v>
      </c>
      <c r="S549" s="9">
        <v>46089.678599537037</v>
      </c>
    </row>
    <row r="550" spans="1:19" ht="12.5">
      <c r="A550" s="10" t="s">
        <v>22410</v>
      </c>
      <c r="B550" s="5" t="s">
        <v>18743</v>
      </c>
      <c r="C550" s="5">
        <v>573014014792</v>
      </c>
      <c r="D550" s="5" t="s">
        <v>309</v>
      </c>
      <c r="E550" s="5" t="s">
        <v>11253</v>
      </c>
      <c r="F550" s="5" t="s">
        <v>328</v>
      </c>
      <c r="G550" s="5" t="s">
        <v>2567</v>
      </c>
      <c r="H550" s="10" t="s">
        <v>22411</v>
      </c>
      <c r="I550" s="5" t="s">
        <v>20688</v>
      </c>
      <c r="K550" s="23">
        <v>46076.359409722223</v>
      </c>
      <c r="L550" s="5" t="s">
        <v>17416</v>
      </c>
      <c r="M550" s="10" t="s">
        <v>22412</v>
      </c>
      <c r="N550" s="10" t="s">
        <v>22413</v>
      </c>
      <c r="P550" s="5" t="s">
        <v>14618</v>
      </c>
      <c r="R550" s="9">
        <v>46089.683159722219</v>
      </c>
      <c r="S550" s="9">
        <v>46089.683159722219</v>
      </c>
    </row>
    <row r="551" spans="1:19" ht="12.5">
      <c r="A551" s="10" t="s">
        <v>22414</v>
      </c>
      <c r="B551" s="5" t="s">
        <v>18726</v>
      </c>
      <c r="C551" s="5">
        <v>14073719345</v>
      </c>
      <c r="D551" s="5" t="s">
        <v>1597</v>
      </c>
      <c r="E551" s="5" t="s">
        <v>11229</v>
      </c>
      <c r="F551" s="5" t="s">
        <v>2218</v>
      </c>
      <c r="G551" s="5" t="s">
        <v>11228</v>
      </c>
      <c r="H551" s="10" t="s">
        <v>11230</v>
      </c>
      <c r="K551" s="23">
        <v>46078.657048611109</v>
      </c>
      <c r="L551" s="5" t="s">
        <v>6139</v>
      </c>
      <c r="M551" s="10" t="s">
        <v>22415</v>
      </c>
      <c r="N551" s="10" t="s">
        <v>22416</v>
      </c>
      <c r="P551" s="5" t="s">
        <v>14691</v>
      </c>
      <c r="R551" s="9">
        <v>46089.687349537038</v>
      </c>
      <c r="S551" s="9">
        <v>46089.687349537038</v>
      </c>
    </row>
    <row r="552" spans="1:19" ht="12.5">
      <c r="A552" s="10" t="s">
        <v>22417</v>
      </c>
      <c r="B552" s="5" t="s">
        <v>18665</v>
      </c>
      <c r="C552" s="5">
        <v>573225394629</v>
      </c>
      <c r="D552" s="5" t="s">
        <v>42</v>
      </c>
      <c r="E552" s="5" t="s">
        <v>11100</v>
      </c>
      <c r="F552" s="5" t="s">
        <v>516</v>
      </c>
      <c r="G552" s="5" t="s">
        <v>4504</v>
      </c>
      <c r="H552" s="10" t="s">
        <v>22418</v>
      </c>
      <c r="K552" s="23">
        <v>46088.499583333331</v>
      </c>
      <c r="L552" s="5" t="s">
        <v>6139</v>
      </c>
      <c r="M552" s="5" t="s">
        <v>22419</v>
      </c>
      <c r="N552" s="10" t="s">
        <v>20681</v>
      </c>
      <c r="P552" s="5" t="s">
        <v>14618</v>
      </c>
      <c r="R552" s="9">
        <v>46089.699930555558</v>
      </c>
      <c r="S552" s="9">
        <v>46089.699930555558</v>
      </c>
    </row>
    <row r="553" spans="1:19" ht="12.5">
      <c r="A553" s="10" t="s">
        <v>22420</v>
      </c>
      <c r="B553" s="5" t="s">
        <v>15307</v>
      </c>
      <c r="C553" s="5">
        <v>573192835538</v>
      </c>
      <c r="D553" s="5" t="s">
        <v>65</v>
      </c>
      <c r="E553" s="5" t="s">
        <v>10712</v>
      </c>
      <c r="F553" s="5" t="s">
        <v>185</v>
      </c>
      <c r="G553" s="5" t="s">
        <v>4071</v>
      </c>
      <c r="H553" s="10" t="s">
        <v>22421</v>
      </c>
      <c r="I553" s="5" t="s">
        <v>20688</v>
      </c>
      <c r="K553" s="23">
        <v>46077.359340277777</v>
      </c>
      <c r="L553" s="5" t="s">
        <v>17416</v>
      </c>
      <c r="M553" s="10" t="s">
        <v>22422</v>
      </c>
      <c r="N553" s="10" t="s">
        <v>22210</v>
      </c>
      <c r="P553" s="5" t="s">
        <v>14580</v>
      </c>
      <c r="R553" s="9">
        <v>46089.703738425924</v>
      </c>
      <c r="S553" s="9">
        <v>46089.703738425924</v>
      </c>
    </row>
    <row r="554" spans="1:19" ht="12.5">
      <c r="A554" s="10" t="s">
        <v>22423</v>
      </c>
      <c r="B554" s="5" t="s">
        <v>11683</v>
      </c>
      <c r="C554" s="5">
        <v>573158714603</v>
      </c>
      <c r="D554" s="5" t="s">
        <v>42</v>
      </c>
      <c r="E554" s="5" t="s">
        <v>8868</v>
      </c>
      <c r="G554" s="5" t="s">
        <v>8867</v>
      </c>
      <c r="I554" s="5" t="s">
        <v>22424</v>
      </c>
      <c r="K554" s="23">
        <v>46079.491469907407</v>
      </c>
      <c r="L554" s="5" t="s">
        <v>6139</v>
      </c>
      <c r="M554" s="10" t="s">
        <v>22425</v>
      </c>
      <c r="N554" s="10" t="s">
        <v>22197</v>
      </c>
      <c r="R554" s="9">
        <v>46089.709976851853</v>
      </c>
      <c r="S554" s="9">
        <v>46089.709976851853</v>
      </c>
    </row>
    <row r="555" spans="1:19" ht="12.5">
      <c r="A555" s="10" t="s">
        <v>22426</v>
      </c>
      <c r="B555" s="5" t="s">
        <v>14116</v>
      </c>
      <c r="C555" s="5">
        <v>573006498138</v>
      </c>
      <c r="D555" s="5" t="s">
        <v>12728</v>
      </c>
      <c r="E555" s="5" t="s">
        <v>14137</v>
      </c>
      <c r="F555" s="5" t="s">
        <v>79</v>
      </c>
      <c r="G555" s="5" t="s">
        <v>14117</v>
      </c>
      <c r="H555" s="10" t="s">
        <v>20656</v>
      </c>
      <c r="I555" s="5" t="s">
        <v>20657</v>
      </c>
      <c r="K555" s="9">
        <v>46089.717314814814</v>
      </c>
      <c r="L555" s="5" t="s">
        <v>17416</v>
      </c>
      <c r="M555" s="10" t="s">
        <v>22427</v>
      </c>
      <c r="N555" s="10" t="s">
        <v>20659</v>
      </c>
      <c r="P555" s="5" t="s">
        <v>14593</v>
      </c>
      <c r="R555" s="9">
        <v>46089.717314814814</v>
      </c>
      <c r="S555" s="9">
        <v>46089.717314814814</v>
      </c>
    </row>
    <row r="556" spans="1:19" ht="12.5">
      <c r="A556" s="10" t="s">
        <v>22428</v>
      </c>
      <c r="B556" s="5" t="s">
        <v>14213</v>
      </c>
      <c r="C556" s="5">
        <v>573017217176</v>
      </c>
      <c r="D556" s="5" t="s">
        <v>14214</v>
      </c>
      <c r="E556" s="5" t="s">
        <v>12657</v>
      </c>
      <c r="F556" s="5" t="s">
        <v>12657</v>
      </c>
      <c r="G556" s="5" t="s">
        <v>14213</v>
      </c>
      <c r="H556" s="10" t="s">
        <v>22429</v>
      </c>
      <c r="K556" s="9">
        <v>46089.72016203704</v>
      </c>
      <c r="L556" s="5" t="s">
        <v>6139</v>
      </c>
      <c r="M556" s="10" t="s">
        <v>22430</v>
      </c>
      <c r="N556" s="10" t="s">
        <v>20648</v>
      </c>
      <c r="R556" s="9">
        <v>46089.72016203704</v>
      </c>
      <c r="S556" s="9">
        <v>46089.72016203704</v>
      </c>
    </row>
    <row r="557" spans="1:19" ht="12.5">
      <c r="A557" s="10" t="s">
        <v>22431</v>
      </c>
      <c r="B557" s="5" t="s">
        <v>13937</v>
      </c>
      <c r="C557" s="5">
        <v>57320940951551</v>
      </c>
      <c r="D557" s="5" t="s">
        <v>13483</v>
      </c>
      <c r="E557" s="5" t="s">
        <v>12657</v>
      </c>
      <c r="F557" s="5" t="s">
        <v>12657</v>
      </c>
      <c r="G557" s="5" t="s">
        <v>13937</v>
      </c>
      <c r="H557" s="10" t="s">
        <v>20819</v>
      </c>
      <c r="K557" s="9">
        <v>46089.720393518517</v>
      </c>
      <c r="L557" s="5" t="s">
        <v>6139</v>
      </c>
      <c r="M557" s="10" t="s">
        <v>22432</v>
      </c>
      <c r="N557" s="10" t="s">
        <v>20681</v>
      </c>
      <c r="R557" s="9">
        <v>46089.720393518517</v>
      </c>
      <c r="S557" s="9">
        <v>46089.720393518517</v>
      </c>
    </row>
    <row r="558" spans="1:19" ht="12.5">
      <c r="A558" s="10" t="s">
        <v>22433</v>
      </c>
      <c r="B558" s="5" t="s">
        <v>14193</v>
      </c>
      <c r="C558" s="5">
        <v>573213359021</v>
      </c>
      <c r="D558" s="5" t="s">
        <v>12522</v>
      </c>
      <c r="E558" s="5" t="s">
        <v>14195</v>
      </c>
      <c r="F558" s="5" t="s">
        <v>63</v>
      </c>
      <c r="G558" s="5" t="s">
        <v>14194</v>
      </c>
      <c r="H558" s="10" t="s">
        <v>22434</v>
      </c>
      <c r="I558" s="5" t="s">
        <v>20688</v>
      </c>
      <c r="K558" s="9">
        <v>46089.720462962963</v>
      </c>
      <c r="L558" s="5" t="s">
        <v>17416</v>
      </c>
      <c r="M558" s="10" t="s">
        <v>22435</v>
      </c>
      <c r="N558" s="10" t="s">
        <v>20648</v>
      </c>
      <c r="P558" s="5" t="s">
        <v>14598</v>
      </c>
      <c r="R558" s="9">
        <v>46089.720462962963</v>
      </c>
      <c r="S558" s="9">
        <v>46089.720462962963</v>
      </c>
    </row>
    <row r="559" spans="1:19" ht="12.5">
      <c r="A559" s="10" t="s">
        <v>22436</v>
      </c>
      <c r="B559" s="5" t="s">
        <v>14092</v>
      </c>
      <c r="C559" s="5">
        <v>573007358551</v>
      </c>
      <c r="D559" s="5" t="s">
        <v>12423</v>
      </c>
      <c r="E559" s="5" t="s">
        <v>12657</v>
      </c>
      <c r="F559" s="5" t="s">
        <v>12657</v>
      </c>
      <c r="G559" s="5" t="s">
        <v>14092</v>
      </c>
      <c r="H559" s="10" t="s">
        <v>22437</v>
      </c>
      <c r="K559" s="9">
        <v>46089.720590277779</v>
      </c>
      <c r="L559" s="5" t="s">
        <v>6139</v>
      </c>
      <c r="M559" s="10" t="s">
        <v>22438</v>
      </c>
      <c r="N559" s="10" t="s">
        <v>20681</v>
      </c>
      <c r="R559" s="9">
        <v>46089.720590277779</v>
      </c>
      <c r="S559" s="9">
        <v>46089.720590277779</v>
      </c>
    </row>
    <row r="560" spans="1:19" ht="12.5">
      <c r="A560" s="10" t="s">
        <v>22439</v>
      </c>
      <c r="B560" s="5" t="s">
        <v>14161</v>
      </c>
      <c r="C560" s="5">
        <v>573145927399</v>
      </c>
      <c r="D560" s="5" t="s">
        <v>12651</v>
      </c>
      <c r="E560" s="5" t="s">
        <v>14163</v>
      </c>
      <c r="F560" s="5" t="s">
        <v>185</v>
      </c>
      <c r="G560" s="5" t="s">
        <v>22440</v>
      </c>
      <c r="H560" s="10" t="s">
        <v>22441</v>
      </c>
      <c r="I560" s="5" t="s">
        <v>20688</v>
      </c>
      <c r="K560" s="9">
        <v>46089.720763888887</v>
      </c>
      <c r="L560" s="5" t="s">
        <v>17416</v>
      </c>
      <c r="M560" s="10" t="s">
        <v>22442</v>
      </c>
      <c r="N560" s="10" t="s">
        <v>20654</v>
      </c>
      <c r="P560" s="5" t="s">
        <v>14580</v>
      </c>
      <c r="R560" s="9">
        <v>46089.720763888887</v>
      </c>
      <c r="S560" s="9">
        <v>46089.720763888887</v>
      </c>
    </row>
    <row r="561" spans="1:19" ht="12.5">
      <c r="A561" s="10" t="s">
        <v>22443</v>
      </c>
      <c r="B561" s="5" t="s">
        <v>14004</v>
      </c>
      <c r="C561" s="5">
        <v>573106336999</v>
      </c>
      <c r="D561" s="5" t="s">
        <v>42</v>
      </c>
      <c r="E561" s="5" t="s">
        <v>12657</v>
      </c>
      <c r="F561" s="5" t="s">
        <v>12657</v>
      </c>
      <c r="G561" s="5" t="s">
        <v>14004</v>
      </c>
      <c r="H561" s="10" t="s">
        <v>20281</v>
      </c>
      <c r="K561" s="23">
        <v>46089.720949074072</v>
      </c>
      <c r="L561" s="5" t="s">
        <v>6139</v>
      </c>
      <c r="M561" s="10" t="s">
        <v>22444</v>
      </c>
      <c r="N561" s="10" t="s">
        <v>20681</v>
      </c>
      <c r="R561" s="9">
        <v>46089.720949074072</v>
      </c>
      <c r="S561" s="9">
        <v>46089.720949074072</v>
      </c>
    </row>
    <row r="562" spans="1:19" ht="12.5">
      <c r="A562" s="10" t="s">
        <v>22445</v>
      </c>
      <c r="B562" s="5" t="s">
        <v>13863</v>
      </c>
      <c r="C562" s="5">
        <v>573012463494</v>
      </c>
      <c r="D562" s="5" t="s">
        <v>12496</v>
      </c>
      <c r="E562" s="5" t="s">
        <v>13865</v>
      </c>
      <c r="F562" s="5" t="s">
        <v>9925</v>
      </c>
      <c r="G562" s="5" t="s">
        <v>20242</v>
      </c>
      <c r="H562" s="10" t="s">
        <v>22446</v>
      </c>
      <c r="I562" s="5" t="s">
        <v>3962</v>
      </c>
      <c r="K562" s="9">
        <v>46089.721053240741</v>
      </c>
      <c r="L562" s="5" t="s">
        <v>17416</v>
      </c>
      <c r="M562" s="10" t="s">
        <v>22447</v>
      </c>
      <c r="N562" s="10" t="s">
        <v>20762</v>
      </c>
      <c r="P562" s="5" t="s">
        <v>14618</v>
      </c>
      <c r="R562" s="9">
        <v>46089.721053240741</v>
      </c>
      <c r="S562" s="9">
        <v>46089.721053240741</v>
      </c>
    </row>
    <row r="563" spans="1:19" ht="12.5">
      <c r="A563" s="10" t="s">
        <v>22448</v>
      </c>
      <c r="B563" s="5" t="s">
        <v>13642</v>
      </c>
      <c r="C563" s="5">
        <v>573013019698</v>
      </c>
      <c r="D563" s="5" t="s">
        <v>12728</v>
      </c>
      <c r="E563" s="5" t="s">
        <v>13643</v>
      </c>
      <c r="F563" s="5" t="s">
        <v>265</v>
      </c>
      <c r="G563" s="5" t="s">
        <v>22449</v>
      </c>
      <c r="H563" s="10" t="s">
        <v>22450</v>
      </c>
      <c r="K563" s="9">
        <v>46089.721203703702</v>
      </c>
      <c r="L563" s="5" t="s">
        <v>6139</v>
      </c>
      <c r="M563" s="10" t="s">
        <v>22451</v>
      </c>
      <c r="N563" s="10" t="s">
        <v>20917</v>
      </c>
      <c r="P563" s="5" t="s">
        <v>14691</v>
      </c>
      <c r="R563" s="9">
        <v>46089.721203703702</v>
      </c>
      <c r="S563" s="9">
        <v>46089.721203703702</v>
      </c>
    </row>
    <row r="564" spans="1:19" ht="12.5">
      <c r="A564" s="10" t="s">
        <v>22452</v>
      </c>
      <c r="B564" s="5" t="s">
        <v>13465</v>
      </c>
      <c r="C564" s="5">
        <v>50497268800</v>
      </c>
      <c r="D564" s="5" t="s">
        <v>13468</v>
      </c>
      <c r="E564" s="5" t="s">
        <v>13467</v>
      </c>
      <c r="F564" s="5" t="s">
        <v>63</v>
      </c>
      <c r="G564" s="5" t="s">
        <v>13466</v>
      </c>
      <c r="H564" s="10" t="s">
        <v>22453</v>
      </c>
      <c r="K564" s="9">
        <v>46089.721331018518</v>
      </c>
      <c r="L564" s="5" t="s">
        <v>6139</v>
      </c>
      <c r="M564" s="10" t="s">
        <v>22454</v>
      </c>
      <c r="N564" s="10" t="s">
        <v>20681</v>
      </c>
      <c r="P564" s="5" t="s">
        <v>14598</v>
      </c>
      <c r="R564" s="9">
        <v>46089.721331018518</v>
      </c>
      <c r="S564" s="9">
        <v>46089.721331018518</v>
      </c>
    </row>
    <row r="565" spans="1:19" ht="12.5">
      <c r="A565" s="10" t="s">
        <v>22455</v>
      </c>
      <c r="B565" s="5" t="s">
        <v>13357</v>
      </c>
      <c r="C565" s="5">
        <v>573024517351</v>
      </c>
      <c r="D565" s="5" t="s">
        <v>12406</v>
      </c>
      <c r="E565" s="5" t="s">
        <v>12657</v>
      </c>
      <c r="F565" s="5" t="s">
        <v>12657</v>
      </c>
      <c r="G565" s="5" t="s">
        <v>13357</v>
      </c>
      <c r="H565" s="10" t="s">
        <v>19882</v>
      </c>
      <c r="K565" s="9">
        <v>46089.72142361111</v>
      </c>
      <c r="L565" s="5" t="s">
        <v>6139</v>
      </c>
      <c r="M565" s="10" t="s">
        <v>22456</v>
      </c>
      <c r="N565" s="10" t="s">
        <v>20681</v>
      </c>
      <c r="R565" s="9">
        <v>46089.72142361111</v>
      </c>
      <c r="S565" s="9">
        <v>46089.72142361111</v>
      </c>
    </row>
    <row r="566" spans="1:19" ht="12.5">
      <c r="A566" s="10" t="s">
        <v>22457</v>
      </c>
      <c r="B566" s="5" t="s">
        <v>12382</v>
      </c>
      <c r="C566" s="5">
        <v>573114149344</v>
      </c>
      <c r="D566" s="5" t="s">
        <v>42</v>
      </c>
      <c r="E566" s="5" t="s">
        <v>12384</v>
      </c>
      <c r="F566" s="5" t="s">
        <v>1047</v>
      </c>
      <c r="G566" s="5" t="s">
        <v>12383</v>
      </c>
      <c r="H566" s="10" t="s">
        <v>22458</v>
      </c>
      <c r="K566" s="9">
        <v>46089.721550925926</v>
      </c>
      <c r="L566" s="5" t="s">
        <v>6139</v>
      </c>
      <c r="M566" s="10" t="s">
        <v>22459</v>
      </c>
      <c r="N566" s="10" t="s">
        <v>20938</v>
      </c>
      <c r="P566" s="5" t="s">
        <v>14580</v>
      </c>
      <c r="R566" s="9">
        <v>46089.721550925926</v>
      </c>
      <c r="S566" s="9">
        <v>46089.721550925926</v>
      </c>
    </row>
    <row r="567" spans="1:19" ht="12.5">
      <c r="A567" s="10" t="s">
        <v>22460</v>
      </c>
      <c r="B567" s="5" t="s">
        <v>13622</v>
      </c>
      <c r="C567" s="5">
        <v>3103615061</v>
      </c>
      <c r="D567" s="5" t="s">
        <v>13531</v>
      </c>
      <c r="E567" s="5" t="s">
        <v>13624</v>
      </c>
      <c r="F567" s="5" t="s">
        <v>930</v>
      </c>
      <c r="G567" s="5" t="s">
        <v>13623</v>
      </c>
      <c r="H567" s="10" t="s">
        <v>22461</v>
      </c>
      <c r="I567" s="5" t="s">
        <v>20651</v>
      </c>
      <c r="K567" s="9">
        <v>46089.722094907411</v>
      </c>
      <c r="L567" s="5" t="s">
        <v>17416</v>
      </c>
      <c r="M567" s="10" t="s">
        <v>22462</v>
      </c>
      <c r="N567" s="10" t="s">
        <v>20869</v>
      </c>
      <c r="P567" s="5" t="s">
        <v>14598</v>
      </c>
      <c r="R567" s="9">
        <v>46089.722094907411</v>
      </c>
      <c r="S567" s="9">
        <v>46089.722094907411</v>
      </c>
    </row>
    <row r="568" spans="1:19" ht="12.5">
      <c r="A568" s="10" t="s">
        <v>22463</v>
      </c>
      <c r="B568" s="5" t="s">
        <v>14207</v>
      </c>
      <c r="C568" s="5">
        <v>573045346498</v>
      </c>
      <c r="D568" s="5" t="s">
        <v>12522</v>
      </c>
      <c r="E568" s="5" t="s">
        <v>14209</v>
      </c>
      <c r="F568" s="5" t="s">
        <v>103</v>
      </c>
      <c r="G568" s="5" t="s">
        <v>20461</v>
      </c>
      <c r="H568" s="10" t="s">
        <v>22464</v>
      </c>
      <c r="I568" s="5" t="s">
        <v>3962</v>
      </c>
      <c r="K568" s="9">
        <v>46089.735972222225</v>
      </c>
      <c r="L568" s="5" t="s">
        <v>17416</v>
      </c>
      <c r="M568" s="10" t="s">
        <v>22465</v>
      </c>
      <c r="N568" s="10" t="s">
        <v>20681</v>
      </c>
      <c r="P568" s="5" t="s">
        <v>14593</v>
      </c>
      <c r="R568" s="9">
        <v>46089.735972222225</v>
      </c>
      <c r="S568" s="9">
        <v>46089.735972222225</v>
      </c>
    </row>
    <row r="569" spans="1:19" ht="12.5">
      <c r="A569" s="10" t="s">
        <v>22466</v>
      </c>
      <c r="B569" s="5" t="s">
        <v>13502</v>
      </c>
      <c r="C569" s="5">
        <v>573016510953</v>
      </c>
      <c r="D569" s="5" t="s">
        <v>12924</v>
      </c>
      <c r="E569" s="5" t="s">
        <v>13504</v>
      </c>
      <c r="F569" s="5" t="s">
        <v>54</v>
      </c>
      <c r="G569" s="5" t="s">
        <v>22467</v>
      </c>
      <c r="H569" s="10" t="s">
        <v>22468</v>
      </c>
      <c r="K569" s="9">
        <v>46089.738993055558</v>
      </c>
      <c r="L569" s="5" t="s">
        <v>6139</v>
      </c>
      <c r="M569" s="10" t="s">
        <v>22469</v>
      </c>
      <c r="N569" s="10" t="s">
        <v>22470</v>
      </c>
      <c r="P569" s="5" t="s">
        <v>14580</v>
      </c>
      <c r="R569" s="9">
        <v>46089.738993055558</v>
      </c>
      <c r="S569" s="9">
        <v>46089.738993055558</v>
      </c>
    </row>
    <row r="570" spans="1:19" ht="12.5">
      <c r="A570" s="10" t="s">
        <v>22471</v>
      </c>
      <c r="B570" s="5" t="s">
        <v>14217</v>
      </c>
      <c r="C570" s="5">
        <v>573232862659</v>
      </c>
      <c r="D570" s="5" t="s">
        <v>12728</v>
      </c>
      <c r="E570" s="5" t="s">
        <v>14219</v>
      </c>
      <c r="F570" s="5" t="s">
        <v>726</v>
      </c>
      <c r="G570" s="5" t="s">
        <v>14218</v>
      </c>
      <c r="I570" s="5" t="s">
        <v>20688</v>
      </c>
      <c r="K570" s="9">
        <v>46090.339918981481</v>
      </c>
      <c r="L570" s="5" t="s">
        <v>17416</v>
      </c>
      <c r="M570" s="10" t="s">
        <v>22472</v>
      </c>
      <c r="N570" s="10" t="s">
        <v>22470</v>
      </c>
      <c r="P570" s="5" t="s">
        <v>14618</v>
      </c>
      <c r="R570" s="9">
        <v>46090.339918981481</v>
      </c>
      <c r="S570" s="9">
        <v>46090.339918981481</v>
      </c>
    </row>
    <row r="571" spans="1:19" ht="12.5">
      <c r="A571" s="10" t="s">
        <v>22473</v>
      </c>
      <c r="B571" s="5" t="s">
        <v>12503</v>
      </c>
      <c r="C571" s="5" t="s">
        <v>12504</v>
      </c>
      <c r="D571" s="5" t="s">
        <v>12508</v>
      </c>
      <c r="E571" s="5" t="s">
        <v>19380</v>
      </c>
      <c r="F571" s="5" t="s">
        <v>1815</v>
      </c>
      <c r="G571" s="5" t="s">
        <v>12505</v>
      </c>
      <c r="H571" s="10" t="s">
        <v>22474</v>
      </c>
      <c r="K571" s="9">
        <v>46090.368125000001</v>
      </c>
      <c r="L571" s="5" t="s">
        <v>6139</v>
      </c>
      <c r="M571" s="10" t="s">
        <v>22475</v>
      </c>
      <c r="N571" s="10" t="s">
        <v>22470</v>
      </c>
      <c r="P571" s="5" t="s">
        <v>14580</v>
      </c>
      <c r="R571" s="9">
        <v>46090.368125000001</v>
      </c>
      <c r="S571" s="9">
        <v>46090.368125000001</v>
      </c>
    </row>
    <row r="572" spans="1:19" ht="12.5">
      <c r="A572" s="10" t="s">
        <v>22476</v>
      </c>
      <c r="B572" s="5" t="s">
        <v>14297</v>
      </c>
      <c r="C572" s="5">
        <v>573234455100</v>
      </c>
      <c r="D572" s="5" t="s">
        <v>576</v>
      </c>
      <c r="E572" s="5" t="s">
        <v>14299</v>
      </c>
      <c r="F572" s="5" t="s">
        <v>161</v>
      </c>
      <c r="G572" s="5" t="s">
        <v>14298</v>
      </c>
      <c r="H572" s="10" t="s">
        <v>22477</v>
      </c>
      <c r="I572" s="5" t="s">
        <v>20688</v>
      </c>
      <c r="K572" s="9">
        <v>46090.38349537037</v>
      </c>
      <c r="L572" s="5" t="s">
        <v>17416</v>
      </c>
      <c r="M572" s="10" t="s">
        <v>22478</v>
      </c>
      <c r="N572" s="10" t="s">
        <v>22479</v>
      </c>
      <c r="P572" s="5" t="s">
        <v>14593</v>
      </c>
      <c r="R572" s="9">
        <v>46090.38349537037</v>
      </c>
      <c r="S572" s="9">
        <v>46090.38349537037</v>
      </c>
    </row>
    <row r="573" spans="1:19" ht="12.5">
      <c r="A573" s="10" t="s">
        <v>22480</v>
      </c>
      <c r="B573" s="5" t="s">
        <v>14250</v>
      </c>
      <c r="C573" s="5">
        <v>573135053809</v>
      </c>
      <c r="D573" s="5" t="s">
        <v>13447</v>
      </c>
      <c r="E573" s="5" t="s">
        <v>14252</v>
      </c>
      <c r="F573" s="5" t="s">
        <v>464</v>
      </c>
      <c r="G573" s="5" t="s">
        <v>14251</v>
      </c>
      <c r="H573" s="10" t="s">
        <v>22481</v>
      </c>
      <c r="K573" s="9">
        <v>46090.399409722224</v>
      </c>
      <c r="L573" s="5" t="s">
        <v>6139</v>
      </c>
      <c r="M573" s="10" t="s">
        <v>22482</v>
      </c>
      <c r="N573" s="10" t="s">
        <v>22483</v>
      </c>
      <c r="P573" s="5" t="s">
        <v>14580</v>
      </c>
      <c r="R573" s="9">
        <v>46090.399409722224</v>
      </c>
      <c r="S573" s="9">
        <v>46090.399409722224</v>
      </c>
    </row>
    <row r="574" spans="1:19" ht="12.5">
      <c r="A574" s="10" t="s">
        <v>22484</v>
      </c>
      <c r="B574" s="5" t="s">
        <v>14305</v>
      </c>
      <c r="C574" s="5">
        <v>573000000002</v>
      </c>
      <c r="D574" s="5" t="s">
        <v>12924</v>
      </c>
      <c r="E574" s="5" t="s">
        <v>12657</v>
      </c>
      <c r="F574" s="5" t="s">
        <v>12657</v>
      </c>
      <c r="G574" s="5" t="s">
        <v>14305</v>
      </c>
      <c r="H574" s="10" t="s">
        <v>22485</v>
      </c>
      <c r="K574" s="9">
        <v>46090.402743055558</v>
      </c>
      <c r="L574" s="5" t="s">
        <v>6139</v>
      </c>
      <c r="M574" s="10" t="s">
        <v>22486</v>
      </c>
      <c r="N574" s="10" t="s">
        <v>22483</v>
      </c>
      <c r="R574" s="9">
        <v>46090.402743055558</v>
      </c>
      <c r="S574" s="9">
        <v>46090.402743055558</v>
      </c>
    </row>
    <row r="575" spans="1:19" ht="12.5">
      <c r="A575" s="10" t="s">
        <v>22487</v>
      </c>
      <c r="B575" s="5" t="s">
        <v>14256</v>
      </c>
      <c r="C575" s="5">
        <v>5731477372744</v>
      </c>
      <c r="D575" s="5" t="s">
        <v>2270</v>
      </c>
      <c r="E575" s="5" t="s">
        <v>14258</v>
      </c>
      <c r="F575" s="5" t="s">
        <v>2090</v>
      </c>
      <c r="G575" s="5" t="s">
        <v>14257</v>
      </c>
      <c r="H575" s="10" t="s">
        <v>22488</v>
      </c>
      <c r="I575" s="5" t="s">
        <v>20688</v>
      </c>
      <c r="K575" s="9">
        <v>46090.421238425923</v>
      </c>
      <c r="L575" s="5" t="s">
        <v>17416</v>
      </c>
      <c r="M575" s="10" t="s">
        <v>22489</v>
      </c>
      <c r="N575" s="10" t="s">
        <v>22479</v>
      </c>
      <c r="P575" s="5" t="s">
        <v>14618</v>
      </c>
      <c r="R575" s="9">
        <v>46090.421238425923</v>
      </c>
      <c r="S575" s="9">
        <v>46090.421238425923</v>
      </c>
    </row>
    <row r="576" spans="1:19" ht="12.5">
      <c r="A576" s="10" t="s">
        <v>22490</v>
      </c>
      <c r="B576" s="5" t="s">
        <v>13001</v>
      </c>
      <c r="C576" s="5">
        <v>573227688428</v>
      </c>
      <c r="D576" s="5" t="s">
        <v>11787</v>
      </c>
      <c r="E576" s="5" t="s">
        <v>11786</v>
      </c>
      <c r="G576" s="5" t="s">
        <v>22491</v>
      </c>
      <c r="H576" s="10" t="s">
        <v>22492</v>
      </c>
      <c r="K576" s="9">
        <v>46090.455057870371</v>
      </c>
      <c r="L576" s="5" t="s">
        <v>6139</v>
      </c>
      <c r="M576" s="10" t="s">
        <v>22493</v>
      </c>
      <c r="N576" s="10" t="s">
        <v>20975</v>
      </c>
      <c r="R576" s="9">
        <v>46090.455057870371</v>
      </c>
      <c r="S576" s="9">
        <v>46090.455057870371</v>
      </c>
    </row>
    <row r="577" spans="1:19" ht="12.5">
      <c r="A577" s="10" t="s">
        <v>22494</v>
      </c>
      <c r="B577" s="5" t="s">
        <v>12283</v>
      </c>
      <c r="C577" s="5">
        <v>573046293299</v>
      </c>
      <c r="D577" s="5" t="s">
        <v>89</v>
      </c>
      <c r="E577" s="5" t="s">
        <v>12285</v>
      </c>
      <c r="F577" s="5" t="s">
        <v>328</v>
      </c>
      <c r="G577" s="5" t="s">
        <v>22495</v>
      </c>
      <c r="H577" s="10" t="s">
        <v>22496</v>
      </c>
      <c r="K577" s="9">
        <v>46090.455081018517</v>
      </c>
      <c r="L577" s="5" t="s">
        <v>6139</v>
      </c>
      <c r="M577" s="10" t="s">
        <v>22497</v>
      </c>
      <c r="N577" s="10" t="s">
        <v>20938</v>
      </c>
      <c r="R577" s="9">
        <v>46090.455081018517</v>
      </c>
      <c r="S577" s="9">
        <v>46090.455081018517</v>
      </c>
    </row>
    <row r="578" spans="1:19" ht="12.5">
      <c r="A578" s="10" t="s">
        <v>22498</v>
      </c>
      <c r="B578" s="5" t="s">
        <v>12541</v>
      </c>
      <c r="C578" s="5">
        <v>57324595475</v>
      </c>
      <c r="D578" s="5" t="s">
        <v>12423</v>
      </c>
      <c r="E578" s="5" t="s">
        <v>12543</v>
      </c>
      <c r="F578" s="5" t="s">
        <v>1647</v>
      </c>
      <c r="G578" s="5" t="s">
        <v>12542</v>
      </c>
      <c r="H578" s="10" t="s">
        <v>22499</v>
      </c>
      <c r="K578" s="9">
        <v>46090.45517361111</v>
      </c>
      <c r="L578" s="5" t="s">
        <v>6139</v>
      </c>
      <c r="M578" s="10" t="s">
        <v>22500</v>
      </c>
      <c r="N578" s="10" t="s">
        <v>20975</v>
      </c>
      <c r="P578" s="5" t="s">
        <v>14580</v>
      </c>
      <c r="R578" s="9">
        <v>46090.45517361111</v>
      </c>
      <c r="S578" s="9">
        <v>46090.45517361111</v>
      </c>
    </row>
    <row r="579" spans="1:19" ht="12.5">
      <c r="A579" s="10" t="s">
        <v>22501</v>
      </c>
      <c r="B579" s="5" t="s">
        <v>12563</v>
      </c>
      <c r="C579" s="5">
        <v>575614055572</v>
      </c>
      <c r="D579" s="5" t="s">
        <v>12566</v>
      </c>
      <c r="E579" s="5" t="s">
        <v>12565</v>
      </c>
      <c r="F579" s="5" t="s">
        <v>63</v>
      </c>
      <c r="G579" s="5" t="s">
        <v>12564</v>
      </c>
      <c r="H579" s="10" t="s">
        <v>22502</v>
      </c>
      <c r="K579" s="9">
        <v>46090.455208333333</v>
      </c>
      <c r="L579" s="5" t="s">
        <v>6139</v>
      </c>
      <c r="M579" s="10" t="s">
        <v>22503</v>
      </c>
      <c r="N579" s="10" t="s">
        <v>20681</v>
      </c>
      <c r="P579" s="5" t="s">
        <v>14598</v>
      </c>
      <c r="R579" s="9">
        <v>46090.455208333333</v>
      </c>
      <c r="S579" s="9">
        <v>46090.455208333333</v>
      </c>
    </row>
    <row r="580" spans="1:19" ht="12.5">
      <c r="A580" s="10" t="s">
        <v>22504</v>
      </c>
      <c r="B580" s="5" t="s">
        <v>12613</v>
      </c>
      <c r="C580" s="5">
        <v>573005912102</v>
      </c>
      <c r="D580" s="5" t="s">
        <v>12406</v>
      </c>
      <c r="E580" s="5" t="s">
        <v>12615</v>
      </c>
      <c r="F580" s="5" t="s">
        <v>103</v>
      </c>
      <c r="G580" s="5" t="s">
        <v>19445</v>
      </c>
      <c r="H580" s="10" t="s">
        <v>22505</v>
      </c>
      <c r="K580" s="9">
        <v>46090.455277777779</v>
      </c>
      <c r="L580" s="5" t="s">
        <v>6139</v>
      </c>
      <c r="M580" s="10" t="s">
        <v>22506</v>
      </c>
      <c r="N580" s="10" t="s">
        <v>20938</v>
      </c>
      <c r="P580" s="5" t="s">
        <v>14593</v>
      </c>
      <c r="R580" s="9">
        <v>46090.455277777779</v>
      </c>
      <c r="S580" s="9">
        <v>46090.455277777779</v>
      </c>
    </row>
    <row r="581" spans="1:19" ht="12.5">
      <c r="A581" s="10" t="s">
        <v>22507</v>
      </c>
      <c r="B581" s="5" t="s">
        <v>9289</v>
      </c>
      <c r="C581" s="5">
        <v>54393013395439</v>
      </c>
      <c r="D581" s="5" t="s">
        <v>734</v>
      </c>
      <c r="E581" s="5" t="s">
        <v>12684</v>
      </c>
      <c r="F581" s="5" t="s">
        <v>401</v>
      </c>
      <c r="G581" s="5" t="s">
        <v>12683</v>
      </c>
      <c r="H581" s="10" t="s">
        <v>19740</v>
      </c>
      <c r="K581" s="9">
        <v>46090.455347222225</v>
      </c>
      <c r="L581" s="5" t="s">
        <v>6139</v>
      </c>
      <c r="M581" s="10" t="s">
        <v>22508</v>
      </c>
      <c r="N581" s="10" t="s">
        <v>20681</v>
      </c>
      <c r="P581" s="5" t="s">
        <v>14618</v>
      </c>
      <c r="R581" s="9">
        <v>46090.455347222225</v>
      </c>
      <c r="S581" s="9">
        <v>46090.455347222225</v>
      </c>
    </row>
    <row r="582" spans="1:19" ht="12.5">
      <c r="A582" s="10" t="s">
        <v>22509</v>
      </c>
      <c r="B582" s="5" t="s">
        <v>12815</v>
      </c>
      <c r="C582" s="5">
        <v>573135319170</v>
      </c>
      <c r="D582" s="5" t="s">
        <v>12817</v>
      </c>
      <c r="E582" s="5" t="s">
        <v>12657</v>
      </c>
      <c r="F582" s="5" t="s">
        <v>12657</v>
      </c>
      <c r="G582" s="5" t="s">
        <v>12815</v>
      </c>
      <c r="H582" s="10" t="s">
        <v>19578</v>
      </c>
      <c r="K582" s="9">
        <v>46090.455370370371</v>
      </c>
      <c r="L582" s="5" t="s">
        <v>6139</v>
      </c>
      <c r="M582" s="10" t="s">
        <v>22510</v>
      </c>
      <c r="N582" s="10" t="s">
        <v>20975</v>
      </c>
      <c r="R582" s="9">
        <v>46090.455370370371</v>
      </c>
      <c r="S582" s="9">
        <v>46090.455370370371</v>
      </c>
    </row>
    <row r="583" spans="1:19" ht="12.5">
      <c r="A583" s="10" t="s">
        <v>22511</v>
      </c>
      <c r="B583" s="5" t="s">
        <v>13012</v>
      </c>
      <c r="C583" s="5">
        <v>573218235541</v>
      </c>
      <c r="D583" s="5" t="s">
        <v>12844</v>
      </c>
      <c r="E583" s="5" t="s">
        <v>13014</v>
      </c>
      <c r="F583" s="5" t="s">
        <v>307</v>
      </c>
      <c r="G583" s="5" t="s">
        <v>13013</v>
      </c>
      <c r="H583" s="10" t="s">
        <v>22512</v>
      </c>
      <c r="K583" s="9">
        <v>46090.455405092594</v>
      </c>
      <c r="L583" s="5" t="s">
        <v>6139</v>
      </c>
      <c r="M583" s="10" t="s">
        <v>22513</v>
      </c>
      <c r="N583" s="10" t="s">
        <v>20917</v>
      </c>
      <c r="P583" s="5" t="s">
        <v>14618</v>
      </c>
      <c r="R583" s="9">
        <v>46090.455405092594</v>
      </c>
      <c r="S583" s="9">
        <v>46090.455405092594</v>
      </c>
    </row>
    <row r="584" spans="1:19" ht="12.5">
      <c r="A584" s="10" t="s">
        <v>22514</v>
      </c>
      <c r="B584" s="5" t="s">
        <v>13272</v>
      </c>
      <c r="C584" s="5">
        <v>573154313588</v>
      </c>
      <c r="D584" s="5" t="s">
        <v>12724</v>
      </c>
      <c r="E584" s="5" t="s">
        <v>13274</v>
      </c>
      <c r="F584" s="5" t="s">
        <v>154</v>
      </c>
      <c r="G584" s="5" t="s">
        <v>13273</v>
      </c>
      <c r="H584" s="10" t="s">
        <v>22515</v>
      </c>
      <c r="K584" s="9">
        <v>46090.455428240741</v>
      </c>
      <c r="L584" s="5" t="s">
        <v>6139</v>
      </c>
      <c r="M584" s="10" t="s">
        <v>22516</v>
      </c>
      <c r="N584" s="10" t="s">
        <v>20806</v>
      </c>
      <c r="P584" s="5" t="s">
        <v>14593</v>
      </c>
      <c r="R584" s="9">
        <v>46090.455428240741</v>
      </c>
      <c r="S584" s="9">
        <v>46090.455428240741</v>
      </c>
    </row>
    <row r="585" spans="1:19" ht="12.5">
      <c r="A585" s="10" t="s">
        <v>22517</v>
      </c>
      <c r="B585" s="5" t="s">
        <v>13325</v>
      </c>
      <c r="C585" s="5">
        <v>573013460233</v>
      </c>
      <c r="D585" s="5" t="s">
        <v>12423</v>
      </c>
      <c r="E585" s="5" t="s">
        <v>13327</v>
      </c>
      <c r="F585" s="5" t="s">
        <v>249</v>
      </c>
      <c r="G585" s="5" t="s">
        <v>19869</v>
      </c>
      <c r="H585" s="10" t="s">
        <v>19868</v>
      </c>
      <c r="K585" s="9">
        <v>46090.455462962964</v>
      </c>
      <c r="L585" s="5" t="s">
        <v>6139</v>
      </c>
      <c r="M585" s="10" t="s">
        <v>22518</v>
      </c>
      <c r="N585" s="10" t="s">
        <v>21108</v>
      </c>
      <c r="P585" s="5" t="s">
        <v>14593</v>
      </c>
      <c r="R585" s="9">
        <v>46090.455462962964</v>
      </c>
      <c r="S585" s="9">
        <v>46090.455462962964</v>
      </c>
    </row>
    <row r="586" spans="1:19" ht="12.5">
      <c r="A586" s="10" t="s">
        <v>22519</v>
      </c>
      <c r="B586" s="5" t="s">
        <v>10213</v>
      </c>
      <c r="C586" s="5">
        <v>573187306563</v>
      </c>
      <c r="D586" s="5" t="s">
        <v>13390</v>
      </c>
      <c r="E586" s="5" t="s">
        <v>13389</v>
      </c>
      <c r="F586" s="5" t="s">
        <v>161</v>
      </c>
      <c r="G586" s="5" t="s">
        <v>13388</v>
      </c>
      <c r="H586" s="10" t="s">
        <v>22520</v>
      </c>
      <c r="K586" s="9">
        <v>46090.455509259256</v>
      </c>
      <c r="L586" s="5" t="s">
        <v>6139</v>
      </c>
      <c r="M586" s="10" t="s">
        <v>22521</v>
      </c>
      <c r="N586" s="10" t="s">
        <v>20938</v>
      </c>
      <c r="P586" s="5" t="s">
        <v>14593</v>
      </c>
      <c r="R586" s="9">
        <v>46090.455509259256</v>
      </c>
      <c r="S586" s="9">
        <v>46090.455509259256</v>
      </c>
    </row>
    <row r="587" spans="1:19" ht="12.5">
      <c r="A587" s="10" t="s">
        <v>22522</v>
      </c>
      <c r="B587" s="5" t="s">
        <v>13410</v>
      </c>
      <c r="C587" s="5">
        <v>573003145207</v>
      </c>
      <c r="D587" s="5" t="s">
        <v>12496</v>
      </c>
      <c r="E587" s="5" t="s">
        <v>12657</v>
      </c>
      <c r="F587" s="5" t="s">
        <v>12657</v>
      </c>
      <c r="G587" s="5" t="s">
        <v>13410</v>
      </c>
      <c r="H587" s="10" t="s">
        <v>19907</v>
      </c>
      <c r="K587" s="9">
        <v>46090.455543981479</v>
      </c>
      <c r="L587" s="5" t="s">
        <v>6139</v>
      </c>
      <c r="M587" s="10" t="s">
        <v>22523</v>
      </c>
      <c r="N587" s="10" t="s">
        <v>20969</v>
      </c>
      <c r="R587" s="9">
        <v>46090.455543981479</v>
      </c>
      <c r="S587" s="9">
        <v>46090.455543981479</v>
      </c>
    </row>
    <row r="588" spans="1:19" ht="12.5">
      <c r="A588" s="10" t="s">
        <v>22524</v>
      </c>
      <c r="B588" s="5" t="s">
        <v>13441</v>
      </c>
      <c r="C588" s="5">
        <v>573012967965</v>
      </c>
      <c r="D588" s="5" t="s">
        <v>13138</v>
      </c>
      <c r="E588" s="5" t="s">
        <v>12657</v>
      </c>
      <c r="F588" s="5" t="s">
        <v>12657</v>
      </c>
      <c r="G588" s="5" t="s">
        <v>13441</v>
      </c>
      <c r="H588" s="10" t="s">
        <v>22525</v>
      </c>
      <c r="K588" s="9">
        <v>46090.455567129633</v>
      </c>
      <c r="L588" s="5" t="s">
        <v>6139</v>
      </c>
      <c r="M588" s="10" t="s">
        <v>22526</v>
      </c>
      <c r="N588" s="10" t="s">
        <v>20969</v>
      </c>
      <c r="R588" s="9">
        <v>46090.455567129633</v>
      </c>
      <c r="S588" s="9">
        <v>46090.455567129633</v>
      </c>
    </row>
    <row r="589" spans="1:19" ht="12.5">
      <c r="A589" s="10" t="s">
        <v>22527</v>
      </c>
      <c r="B589" s="5" t="s">
        <v>13450</v>
      </c>
      <c r="C589" s="5">
        <v>573003839612</v>
      </c>
      <c r="D589" s="5" t="s">
        <v>12844</v>
      </c>
      <c r="E589" s="5" t="s">
        <v>13452</v>
      </c>
      <c r="F589" s="5" t="s">
        <v>9925</v>
      </c>
      <c r="G589" s="5" t="s">
        <v>13451</v>
      </c>
      <c r="H589" s="10" t="s">
        <v>22528</v>
      </c>
      <c r="K589" s="9">
        <v>46090.455671296295</v>
      </c>
      <c r="L589" s="5" t="s">
        <v>6139</v>
      </c>
      <c r="M589" s="10" t="s">
        <v>22529</v>
      </c>
      <c r="N589" s="10" t="s">
        <v>20681</v>
      </c>
      <c r="P589" s="5" t="s">
        <v>14618</v>
      </c>
      <c r="R589" s="9">
        <v>46090.455671296295</v>
      </c>
      <c r="S589" s="9">
        <v>46090.455671296295</v>
      </c>
    </row>
    <row r="590" spans="1:19" ht="12.5">
      <c r="A590" s="10" t="s">
        <v>22530</v>
      </c>
      <c r="B590" s="5" t="s">
        <v>13455</v>
      </c>
      <c r="C590" s="5">
        <v>573122002272</v>
      </c>
      <c r="D590" s="5" t="s">
        <v>12728</v>
      </c>
      <c r="E590" s="5" t="s">
        <v>13457</v>
      </c>
      <c r="F590" s="5" t="s">
        <v>1100</v>
      </c>
      <c r="G590" s="5" t="s">
        <v>22531</v>
      </c>
      <c r="H590" s="10" t="s">
        <v>22532</v>
      </c>
      <c r="K590" s="9">
        <v>46090.455740740741</v>
      </c>
      <c r="L590" s="5" t="s">
        <v>6139</v>
      </c>
      <c r="M590" s="10" t="s">
        <v>22533</v>
      </c>
      <c r="N590" s="10" t="s">
        <v>20681</v>
      </c>
      <c r="P590" s="5" t="s">
        <v>14775</v>
      </c>
      <c r="R590" s="9">
        <v>46090.455740740741</v>
      </c>
      <c r="S590" s="9">
        <v>46090.455740740741</v>
      </c>
    </row>
    <row r="591" spans="1:19" ht="12.5">
      <c r="A591" s="10" t="s">
        <v>22534</v>
      </c>
      <c r="B591" s="5" t="s">
        <v>14270</v>
      </c>
      <c r="C591" s="5">
        <v>573015425547</v>
      </c>
      <c r="D591" s="5" t="s">
        <v>14273</v>
      </c>
      <c r="E591" s="5" t="s">
        <v>14272</v>
      </c>
      <c r="F591" s="5" t="s">
        <v>185</v>
      </c>
      <c r="G591" s="5" t="s">
        <v>14271</v>
      </c>
      <c r="H591" s="10" t="s">
        <v>22535</v>
      </c>
      <c r="K591" s="9">
        <v>46090.476886574077</v>
      </c>
      <c r="L591" s="5" t="s">
        <v>6139</v>
      </c>
      <c r="M591" s="10" t="s">
        <v>22536</v>
      </c>
      <c r="N591" s="10" t="s">
        <v>22479</v>
      </c>
      <c r="P591" s="5" t="s">
        <v>14580</v>
      </c>
      <c r="R591" s="9">
        <v>46090.476886574077</v>
      </c>
      <c r="S591" s="9">
        <v>46090.476886574077</v>
      </c>
    </row>
    <row r="592" spans="1:19" ht="12.5">
      <c r="A592" s="10" t="s">
        <v>22537</v>
      </c>
      <c r="B592" s="5" t="s">
        <v>14289</v>
      </c>
      <c r="C592" s="5">
        <v>573003243935</v>
      </c>
      <c r="D592" s="5" t="s">
        <v>14292</v>
      </c>
      <c r="E592" s="5" t="s">
        <v>14291</v>
      </c>
      <c r="F592" s="5" t="s">
        <v>73</v>
      </c>
      <c r="G592" s="5" t="s">
        <v>22538</v>
      </c>
      <c r="H592" s="10" t="s">
        <v>22539</v>
      </c>
      <c r="I592" s="5" t="s">
        <v>20688</v>
      </c>
      <c r="K592" s="9">
        <v>46090.515439814815</v>
      </c>
      <c r="L592" s="5" t="s">
        <v>17416</v>
      </c>
      <c r="M592" s="10" t="s">
        <v>22540</v>
      </c>
      <c r="N592" s="10" t="s">
        <v>22483</v>
      </c>
      <c r="P592" s="5" t="s">
        <v>14593</v>
      </c>
      <c r="R592" s="9">
        <v>46090.515439814815</v>
      </c>
      <c r="S592" s="9">
        <v>46090.515439814815</v>
      </c>
    </row>
    <row r="593" spans="1:19" ht="12.5">
      <c r="A593" s="10" t="s">
        <v>22541</v>
      </c>
      <c r="B593" s="5" t="s">
        <v>14333</v>
      </c>
      <c r="C593" s="5">
        <v>573215005033</v>
      </c>
      <c r="D593" s="5" t="s">
        <v>178</v>
      </c>
      <c r="E593" s="5" t="s">
        <v>14335</v>
      </c>
      <c r="F593" s="5" t="s">
        <v>563</v>
      </c>
      <c r="G593" s="5" t="s">
        <v>14334</v>
      </c>
      <c r="H593" s="10" t="s">
        <v>22542</v>
      </c>
      <c r="I593" s="5" t="s">
        <v>20688</v>
      </c>
      <c r="K593" s="9">
        <v>46090.533101851855</v>
      </c>
      <c r="L593" s="5" t="s">
        <v>17416</v>
      </c>
      <c r="M593" s="10" t="s">
        <v>22543</v>
      </c>
      <c r="N593" s="10" t="s">
        <v>22544</v>
      </c>
      <c r="P593" s="5" t="s">
        <v>14775</v>
      </c>
      <c r="R593" s="9">
        <v>46090.533101851855</v>
      </c>
      <c r="S593" s="9">
        <v>46090.533101851855</v>
      </c>
    </row>
    <row r="594" spans="1:19" ht="12.5">
      <c r="A594" s="10" t="s">
        <v>22545</v>
      </c>
      <c r="B594" s="5" t="s">
        <v>14322</v>
      </c>
      <c r="C594" s="5">
        <v>573005359055</v>
      </c>
      <c r="D594" s="5" t="s">
        <v>178</v>
      </c>
      <c r="E594" s="5" t="s">
        <v>14324</v>
      </c>
      <c r="F594" s="5" t="s">
        <v>1047</v>
      </c>
      <c r="G594" s="5" t="s">
        <v>22546</v>
      </c>
      <c r="H594" s="10" t="s">
        <v>22547</v>
      </c>
      <c r="I594" s="5" t="s">
        <v>20688</v>
      </c>
      <c r="K594" s="9">
        <v>46090.533587962964</v>
      </c>
      <c r="L594" s="5" t="s">
        <v>17416</v>
      </c>
      <c r="M594" s="10" t="s">
        <v>22548</v>
      </c>
      <c r="N594" s="10" t="s">
        <v>22544</v>
      </c>
      <c r="P594" s="5" t="s">
        <v>14580</v>
      </c>
      <c r="R594" s="9">
        <v>46090.533587962964</v>
      </c>
      <c r="S594" s="9">
        <v>46090.533587962964</v>
      </c>
    </row>
    <row r="595" spans="1:19" ht="12.5">
      <c r="A595" s="10" t="s">
        <v>22549</v>
      </c>
      <c r="B595" s="5" t="s">
        <v>14332</v>
      </c>
      <c r="C595" s="5">
        <v>573014230323</v>
      </c>
      <c r="D595" s="5" t="s">
        <v>75</v>
      </c>
      <c r="E595" s="5" t="s">
        <v>12657</v>
      </c>
      <c r="F595" s="5" t="s">
        <v>12657</v>
      </c>
      <c r="G595" s="5" t="s">
        <v>14332</v>
      </c>
      <c r="K595" s="9">
        <v>46090.534004629626</v>
      </c>
      <c r="L595" s="5" t="s">
        <v>6139</v>
      </c>
      <c r="M595" s="10" t="s">
        <v>22550</v>
      </c>
      <c r="N595" s="10" t="s">
        <v>22483</v>
      </c>
      <c r="R595" s="9">
        <v>46090.534004629626</v>
      </c>
      <c r="S595" s="9">
        <v>46090.534004629626</v>
      </c>
    </row>
    <row r="596" spans="1:19" ht="12.5">
      <c r="A596" s="10" t="s">
        <v>22551</v>
      </c>
      <c r="B596" s="5" t="s">
        <v>14277</v>
      </c>
      <c r="C596" s="5">
        <v>573152574626</v>
      </c>
      <c r="D596" s="5" t="s">
        <v>14280</v>
      </c>
      <c r="E596" s="5" t="s">
        <v>14279</v>
      </c>
      <c r="F596" s="5" t="s">
        <v>563</v>
      </c>
      <c r="G596" s="5" t="s">
        <v>14278</v>
      </c>
      <c r="H596" s="10" t="s">
        <v>22552</v>
      </c>
      <c r="K596" s="9">
        <v>46090.534120370372</v>
      </c>
      <c r="L596" s="5" t="s">
        <v>6139</v>
      </c>
      <c r="M596" s="10" t="s">
        <v>22553</v>
      </c>
      <c r="N596" s="10" t="s">
        <v>22479</v>
      </c>
      <c r="P596" s="5" t="s">
        <v>14775</v>
      </c>
      <c r="R596" s="9">
        <v>46090.534120370372</v>
      </c>
      <c r="S596" s="9">
        <v>46090.534120370372</v>
      </c>
    </row>
    <row r="597" spans="1:19" ht="12.5">
      <c r="A597" s="10" t="s">
        <v>22554</v>
      </c>
      <c r="B597" s="5" t="s">
        <v>14306</v>
      </c>
      <c r="C597" s="5">
        <v>573007562052</v>
      </c>
      <c r="D597" s="5" t="s">
        <v>75</v>
      </c>
      <c r="E597" s="5" t="s">
        <v>14308</v>
      </c>
      <c r="F597" s="5" t="s">
        <v>1497</v>
      </c>
      <c r="G597" s="5" t="s">
        <v>22555</v>
      </c>
      <c r="H597" s="10" t="s">
        <v>20841</v>
      </c>
      <c r="K597" s="9">
        <v>46090.534259259257</v>
      </c>
      <c r="L597" s="5" t="s">
        <v>6139</v>
      </c>
      <c r="M597" s="10" t="s">
        <v>22556</v>
      </c>
      <c r="N597" s="10" t="s">
        <v>22557</v>
      </c>
      <c r="P597" s="5" t="s">
        <v>14593</v>
      </c>
      <c r="R597" s="9">
        <v>46090.534259259257</v>
      </c>
      <c r="S597" s="9">
        <v>46090.534259259257</v>
      </c>
    </row>
    <row r="598" spans="1:19" ht="12.5">
      <c r="A598" s="10" t="s">
        <v>22558</v>
      </c>
      <c r="B598" s="5" t="s">
        <v>14338</v>
      </c>
      <c r="C598" s="5">
        <v>573218244370</v>
      </c>
      <c r="D598" s="5" t="s">
        <v>1102</v>
      </c>
      <c r="E598" s="5" t="s">
        <v>14340</v>
      </c>
      <c r="F598" s="5" t="s">
        <v>185</v>
      </c>
      <c r="G598" s="5" t="s">
        <v>14339</v>
      </c>
      <c r="H598" s="10" t="s">
        <v>22559</v>
      </c>
      <c r="I598" s="5" t="s">
        <v>20688</v>
      </c>
      <c r="K598" s="9">
        <v>46090.550613425927</v>
      </c>
      <c r="L598" s="5" t="s">
        <v>17416</v>
      </c>
      <c r="M598" s="10" t="s">
        <v>22560</v>
      </c>
      <c r="N598" s="10" t="s">
        <v>22544</v>
      </c>
      <c r="P598" s="5" t="s">
        <v>14580</v>
      </c>
      <c r="R598" s="9">
        <v>46090.550613425927</v>
      </c>
      <c r="S598" s="9">
        <v>46090.550613425927</v>
      </c>
    </row>
    <row r="599" spans="1:19" ht="12.5">
      <c r="A599" s="10" t="s">
        <v>22561</v>
      </c>
      <c r="B599" s="5" t="s">
        <v>14317</v>
      </c>
      <c r="C599" s="5">
        <v>573016545547</v>
      </c>
      <c r="D599" s="5" t="s">
        <v>11673</v>
      </c>
      <c r="E599" s="5" t="s">
        <v>14319</v>
      </c>
      <c r="F599" s="5" t="s">
        <v>146</v>
      </c>
      <c r="G599" s="5" t="s">
        <v>14318</v>
      </c>
      <c r="H599" s="10" t="s">
        <v>22562</v>
      </c>
      <c r="I599" s="5" t="s">
        <v>20688</v>
      </c>
      <c r="K599" s="9">
        <v>46090.593923611108</v>
      </c>
      <c r="L599" s="5" t="s">
        <v>17416</v>
      </c>
      <c r="M599" s="10" t="s">
        <v>22563</v>
      </c>
      <c r="N599" s="10" t="s">
        <v>22483</v>
      </c>
      <c r="P599" s="5" t="s">
        <v>14618</v>
      </c>
      <c r="R599" s="9">
        <v>46090.593923611108</v>
      </c>
      <c r="S599" s="9">
        <v>46090.593923611108</v>
      </c>
    </row>
    <row r="600" spans="1:19" ht="12.5">
      <c r="A600" s="10" t="s">
        <v>22564</v>
      </c>
      <c r="B600" s="5" t="s">
        <v>14262</v>
      </c>
      <c r="C600" s="5">
        <v>573000000002</v>
      </c>
      <c r="D600" s="5" t="s">
        <v>12423</v>
      </c>
      <c r="E600" s="5" t="s">
        <v>12657</v>
      </c>
      <c r="F600" s="5" t="s">
        <v>12657</v>
      </c>
      <c r="G600" s="5" t="s">
        <v>14262</v>
      </c>
      <c r="H600" s="10" t="s">
        <v>20473</v>
      </c>
      <c r="K600" s="9">
        <v>46090.594537037039</v>
      </c>
      <c r="L600" s="5" t="s">
        <v>6139</v>
      </c>
      <c r="M600" s="10" t="s">
        <v>22565</v>
      </c>
      <c r="N600" s="10" t="s">
        <v>22483</v>
      </c>
      <c r="R600" s="9">
        <v>46090.594537037039</v>
      </c>
      <c r="S600" s="9">
        <v>46090.594537037039</v>
      </c>
    </row>
    <row r="601" spans="1:19" ht="12.5">
      <c r="A601" s="10" t="s">
        <v>22566</v>
      </c>
      <c r="B601" s="5" t="s">
        <v>14327</v>
      </c>
      <c r="C601" s="5">
        <v>573135743675</v>
      </c>
      <c r="D601" s="5" t="s">
        <v>559</v>
      </c>
      <c r="E601" s="5" t="s">
        <v>14329</v>
      </c>
      <c r="F601" s="5" t="s">
        <v>726</v>
      </c>
      <c r="G601" s="5" t="s">
        <v>14328</v>
      </c>
      <c r="H601" s="10" t="s">
        <v>22567</v>
      </c>
      <c r="I601" s="5" t="s">
        <v>20688</v>
      </c>
      <c r="K601" s="9">
        <v>46090.606053240743</v>
      </c>
      <c r="L601" s="5" t="s">
        <v>20652</v>
      </c>
      <c r="M601" s="10" t="s">
        <v>22568</v>
      </c>
      <c r="N601" s="10" t="s">
        <v>22544</v>
      </c>
      <c r="P601" s="5" t="s">
        <v>14618</v>
      </c>
      <c r="R601" s="9">
        <v>46090.606053240743</v>
      </c>
      <c r="S601" s="9">
        <v>46090.606053240743</v>
      </c>
    </row>
    <row r="602" spans="1:19" ht="12.5">
      <c r="A602" s="10" t="s">
        <v>22569</v>
      </c>
      <c r="B602" s="5" t="s">
        <v>14344</v>
      </c>
      <c r="C602" s="5">
        <v>573015758743</v>
      </c>
      <c r="D602" s="5" t="s">
        <v>42</v>
      </c>
      <c r="E602" s="5" t="s">
        <v>14346</v>
      </c>
      <c r="G602" s="5" t="s">
        <v>20519</v>
      </c>
      <c r="H602" s="10" t="s">
        <v>20518</v>
      </c>
      <c r="K602" s="9">
        <v>46090.620150462964</v>
      </c>
      <c r="L602" s="5" t="s">
        <v>6139</v>
      </c>
      <c r="M602" s="10" t="s">
        <v>22570</v>
      </c>
      <c r="N602" s="10" t="s">
        <v>22544</v>
      </c>
      <c r="R602" s="9">
        <v>46090.620150462964</v>
      </c>
      <c r="S602" s="9">
        <v>46090.620150462964</v>
      </c>
    </row>
    <row r="603" spans="1:19" ht="12.5">
      <c r="A603" s="10" t="s">
        <v>22571</v>
      </c>
      <c r="B603" s="5" t="s">
        <v>14366</v>
      </c>
      <c r="C603" s="5">
        <v>3053742565</v>
      </c>
      <c r="D603" s="5" t="s">
        <v>75</v>
      </c>
      <c r="E603" s="5" t="s">
        <v>14368</v>
      </c>
      <c r="F603" s="5" t="s">
        <v>1595</v>
      </c>
      <c r="G603" s="5" t="s">
        <v>22572</v>
      </c>
      <c r="H603" s="10" t="s">
        <v>22573</v>
      </c>
      <c r="K603" s="9">
        <v>46090.635115740741</v>
      </c>
      <c r="L603" s="5" t="s">
        <v>6139</v>
      </c>
      <c r="M603" s="10" t="s">
        <v>22574</v>
      </c>
      <c r="N603" s="10" t="s">
        <v>22575</v>
      </c>
      <c r="P603" s="5" t="s">
        <v>14580</v>
      </c>
      <c r="R603" s="9">
        <v>46090.635115740741</v>
      </c>
      <c r="S603" s="9">
        <v>46090.635115740741</v>
      </c>
    </row>
    <row r="604" spans="1:19" ht="12.5">
      <c r="A604" s="10" t="s">
        <v>22576</v>
      </c>
      <c r="B604" s="5" t="s">
        <v>3580</v>
      </c>
      <c r="C604" s="5">
        <v>57300318287828</v>
      </c>
      <c r="D604" s="5" t="s">
        <v>57</v>
      </c>
      <c r="E604" s="5" t="s">
        <v>14391</v>
      </c>
      <c r="F604" s="5" t="s">
        <v>154</v>
      </c>
      <c r="G604" s="5" t="s">
        <v>14390</v>
      </c>
      <c r="H604" s="10" t="s">
        <v>22577</v>
      </c>
      <c r="I604" s="5" t="s">
        <v>20688</v>
      </c>
      <c r="K604" s="9">
        <v>46090.652662037035</v>
      </c>
      <c r="L604" s="5" t="s">
        <v>17416</v>
      </c>
      <c r="M604" s="10" t="s">
        <v>22578</v>
      </c>
      <c r="N604" s="10" t="s">
        <v>22579</v>
      </c>
      <c r="P604" s="5" t="s">
        <v>14593</v>
      </c>
      <c r="R604" s="9">
        <v>46090.652662037035</v>
      </c>
      <c r="S604" s="9">
        <v>46090.652662037035</v>
      </c>
    </row>
    <row r="605" spans="1:19" ht="12.5">
      <c r="A605" s="10" t="s">
        <v>22580</v>
      </c>
      <c r="B605" s="5" t="s">
        <v>14376</v>
      </c>
      <c r="C605" s="5">
        <v>573017963833</v>
      </c>
      <c r="D605" s="5" t="s">
        <v>1792</v>
      </c>
      <c r="E605" s="5" t="s">
        <v>14378</v>
      </c>
      <c r="F605" s="5" t="s">
        <v>1124</v>
      </c>
      <c r="G605" s="5" t="s">
        <v>22581</v>
      </c>
      <c r="H605" s="10" t="s">
        <v>22582</v>
      </c>
      <c r="K605" s="9">
        <v>46090.671006944445</v>
      </c>
      <c r="L605" s="5" t="s">
        <v>6139</v>
      </c>
      <c r="M605" s="10" t="s">
        <v>22583</v>
      </c>
      <c r="N605" s="10" t="s">
        <v>22584</v>
      </c>
      <c r="P605" s="5" t="s">
        <v>14691</v>
      </c>
      <c r="R605" s="9">
        <v>46090.671006944445</v>
      </c>
      <c r="S605" s="9">
        <v>46090.671006944445</v>
      </c>
    </row>
    <row r="606" spans="1:19" ht="12.5">
      <c r="A606" s="10" t="s">
        <v>22585</v>
      </c>
      <c r="B606" s="5" t="s">
        <v>14398</v>
      </c>
      <c r="C606" s="5">
        <v>573014716102</v>
      </c>
      <c r="D606" s="5" t="s">
        <v>89</v>
      </c>
      <c r="E606" s="5" t="s">
        <v>14399</v>
      </c>
      <c r="F606" s="5" t="s">
        <v>146</v>
      </c>
      <c r="G606" s="5" t="s">
        <v>14398</v>
      </c>
      <c r="H606" s="10" t="s">
        <v>22586</v>
      </c>
      <c r="K606" s="23">
        <v>46090.67119212963</v>
      </c>
      <c r="L606" s="5" t="s">
        <v>6139</v>
      </c>
      <c r="M606" s="10" t="s">
        <v>22587</v>
      </c>
      <c r="N606" s="10" t="s">
        <v>22588</v>
      </c>
      <c r="P606" s="5" t="s">
        <v>14618</v>
      </c>
      <c r="R606" s="9">
        <v>46090.67119212963</v>
      </c>
      <c r="S606" s="9">
        <v>46090.67119212963</v>
      </c>
    </row>
    <row r="607" spans="1:19" ht="12.5">
      <c r="A607" s="10" t="s">
        <v>22589</v>
      </c>
      <c r="B607" s="5" t="s">
        <v>14370</v>
      </c>
      <c r="C607" s="5">
        <v>573005259249</v>
      </c>
      <c r="D607" s="5" t="s">
        <v>361</v>
      </c>
      <c r="E607" s="5" t="s">
        <v>14372</v>
      </c>
      <c r="F607" s="5" t="s">
        <v>4403</v>
      </c>
      <c r="G607" s="5" t="s">
        <v>22590</v>
      </c>
      <c r="H607" s="10" t="s">
        <v>22591</v>
      </c>
      <c r="K607" s="9">
        <v>46090.671377314815</v>
      </c>
      <c r="L607" s="5" t="s">
        <v>6139</v>
      </c>
      <c r="M607" s="10" t="s">
        <v>22592</v>
      </c>
      <c r="N607" s="10" t="s">
        <v>22593</v>
      </c>
      <c r="P607" s="5" t="s">
        <v>14598</v>
      </c>
      <c r="R607" s="9">
        <v>46090.671377314815</v>
      </c>
      <c r="S607" s="9">
        <v>46090.671377314815</v>
      </c>
    </row>
    <row r="608" spans="1:19" ht="12.5">
      <c r="A608" s="10" t="s">
        <v>22594</v>
      </c>
      <c r="B608" s="5" t="s">
        <v>14244</v>
      </c>
      <c r="C608" s="5">
        <v>50495814532</v>
      </c>
      <c r="D608" s="5" t="s">
        <v>14247</v>
      </c>
      <c r="E608" s="5" t="s">
        <v>14246</v>
      </c>
      <c r="F608" s="5" t="s">
        <v>146</v>
      </c>
      <c r="G608" s="5" t="s">
        <v>14245</v>
      </c>
      <c r="H608" s="10" t="s">
        <v>22595</v>
      </c>
      <c r="K608" s="9">
        <v>46090.671574074076</v>
      </c>
      <c r="L608" s="5" t="s">
        <v>6139</v>
      </c>
      <c r="M608" s="10" t="s">
        <v>22596</v>
      </c>
      <c r="N608" s="10" t="s">
        <v>22597</v>
      </c>
      <c r="P608" s="5" t="s">
        <v>14618</v>
      </c>
      <c r="R608" s="9">
        <v>46090.671574074076</v>
      </c>
      <c r="S608" s="9">
        <v>46090.671574074076</v>
      </c>
    </row>
    <row r="609" spans="1:19" ht="12.5">
      <c r="A609" s="10" t="s">
        <v>22598</v>
      </c>
      <c r="B609" s="5" t="s">
        <v>14264</v>
      </c>
      <c r="C609" s="5">
        <v>573000000002</v>
      </c>
      <c r="D609" s="5" t="s">
        <v>75</v>
      </c>
      <c r="E609" s="5" t="s">
        <v>12657</v>
      </c>
      <c r="F609" s="5" t="s">
        <v>12657</v>
      </c>
      <c r="G609" s="5" t="s">
        <v>14264</v>
      </c>
      <c r="H609" s="10" t="s">
        <v>20473</v>
      </c>
      <c r="K609" s="23">
        <v>46090.671712962961</v>
      </c>
      <c r="L609" s="5" t="s">
        <v>6139</v>
      </c>
      <c r="M609" s="10" t="s">
        <v>22599</v>
      </c>
      <c r="N609" s="10" t="s">
        <v>22483</v>
      </c>
      <c r="R609" s="9">
        <v>46090.671712962961</v>
      </c>
      <c r="S609" s="9">
        <v>46090.671712962961</v>
      </c>
    </row>
    <row r="610" spans="1:19" ht="12.5">
      <c r="A610" s="10" t="s">
        <v>22600</v>
      </c>
      <c r="B610" s="5" t="s">
        <v>14284</v>
      </c>
      <c r="C610" s="5">
        <v>17867257308</v>
      </c>
      <c r="D610" s="5" t="s">
        <v>133</v>
      </c>
      <c r="E610" s="5" t="s">
        <v>14286</v>
      </c>
      <c r="F610" s="5" t="s">
        <v>1057</v>
      </c>
      <c r="G610" s="5" t="s">
        <v>14285</v>
      </c>
      <c r="H610" s="10" t="s">
        <v>22601</v>
      </c>
      <c r="K610" s="9">
        <v>46090.671793981484</v>
      </c>
      <c r="L610" s="5" t="s">
        <v>6139</v>
      </c>
      <c r="M610" s="10" t="s">
        <v>22602</v>
      </c>
      <c r="N610" s="10" t="s">
        <v>22479</v>
      </c>
      <c r="P610" s="5" t="s">
        <v>14580</v>
      </c>
      <c r="R610" s="9">
        <v>46090.671793981484</v>
      </c>
      <c r="S610" s="9">
        <v>46090.671793981484</v>
      </c>
    </row>
    <row r="611" spans="1:19" ht="12.5">
      <c r="A611" s="10" t="s">
        <v>22603</v>
      </c>
      <c r="B611" s="5" t="s">
        <v>14180</v>
      </c>
      <c r="C611" s="5">
        <v>573126737737</v>
      </c>
      <c r="D611" s="5" t="s">
        <v>13079</v>
      </c>
      <c r="E611" s="5" t="s">
        <v>14182</v>
      </c>
      <c r="F611" s="5" t="s">
        <v>516</v>
      </c>
      <c r="G611" s="5" t="s">
        <v>20435</v>
      </c>
      <c r="H611" s="10" t="s">
        <v>22604</v>
      </c>
      <c r="I611" s="5" t="s">
        <v>20688</v>
      </c>
      <c r="K611" s="23">
        <v>46090.673888888887</v>
      </c>
      <c r="L611" s="5" t="s">
        <v>17416</v>
      </c>
      <c r="M611" s="10" t="s">
        <v>22605</v>
      </c>
      <c r="N611" s="10" t="s">
        <v>20659</v>
      </c>
      <c r="P611" s="5" t="s">
        <v>14580</v>
      </c>
      <c r="R611" s="9">
        <v>46090.673888888887</v>
      </c>
      <c r="S611" s="9">
        <v>46090.673888888887</v>
      </c>
    </row>
    <row r="612" spans="1:19" ht="12.5">
      <c r="A612" s="10" t="s">
        <v>22606</v>
      </c>
      <c r="B612" s="5" t="s">
        <v>14362</v>
      </c>
      <c r="C612" s="5">
        <v>573057837333</v>
      </c>
      <c r="D612" s="5" t="s">
        <v>375</v>
      </c>
      <c r="E612" s="5" t="s">
        <v>12657</v>
      </c>
      <c r="F612" s="5" t="s">
        <v>12657</v>
      </c>
      <c r="G612" s="5" t="s">
        <v>14362</v>
      </c>
      <c r="H612" s="10" t="s">
        <v>22607</v>
      </c>
      <c r="K612" s="9">
        <v>46090.674039351848</v>
      </c>
      <c r="L612" s="5" t="s">
        <v>6139</v>
      </c>
      <c r="M612" s="10" t="s">
        <v>22608</v>
      </c>
      <c r="N612" s="10" t="s">
        <v>22609</v>
      </c>
      <c r="R612" s="9">
        <v>46090.674039351848</v>
      </c>
      <c r="S612" s="9">
        <v>46090.674039351848</v>
      </c>
    </row>
    <row r="613" spans="1:19" ht="12.5">
      <c r="A613" s="10" t="s">
        <v>22610</v>
      </c>
      <c r="B613" s="5" t="s">
        <v>14405</v>
      </c>
      <c r="C613" s="5">
        <v>57301413587883</v>
      </c>
      <c r="D613" s="5" t="s">
        <v>75</v>
      </c>
      <c r="E613" s="5" t="s">
        <v>14407</v>
      </c>
      <c r="F613" s="5" t="s">
        <v>7476</v>
      </c>
      <c r="G613" s="5" t="s">
        <v>22611</v>
      </c>
      <c r="H613" s="10" t="s">
        <v>22612</v>
      </c>
      <c r="K613" s="9">
        <v>46090.690416666665</v>
      </c>
      <c r="L613" s="5" t="s">
        <v>6139</v>
      </c>
      <c r="M613" s="10" t="s">
        <v>22613</v>
      </c>
      <c r="N613" s="10" t="s">
        <v>22588</v>
      </c>
      <c r="P613" s="5" t="s">
        <v>15349</v>
      </c>
      <c r="R613" s="9">
        <v>46090.690416666665</v>
      </c>
      <c r="S613" s="9">
        <v>46090.690416666665</v>
      </c>
    </row>
    <row r="614" spans="1:19" ht="12.5">
      <c r="A614" s="10" t="s">
        <v>22614</v>
      </c>
      <c r="B614" s="5" t="s">
        <v>14394</v>
      </c>
      <c r="C614" s="5">
        <v>573007608715</v>
      </c>
      <c r="D614" s="5" t="s">
        <v>57</v>
      </c>
      <c r="E614" s="5" t="s">
        <v>12657</v>
      </c>
      <c r="F614" s="5" t="s">
        <v>12657</v>
      </c>
      <c r="G614" s="5" t="s">
        <v>14394</v>
      </c>
      <c r="H614" s="10" t="s">
        <v>22615</v>
      </c>
      <c r="K614" s="9">
        <v>46090.701226851852</v>
      </c>
      <c r="L614" s="5" t="s">
        <v>6139</v>
      </c>
      <c r="M614" s="10" t="s">
        <v>22616</v>
      </c>
      <c r="N614" s="10" t="s">
        <v>22483</v>
      </c>
      <c r="R614" s="9">
        <v>46090.701226851852</v>
      </c>
      <c r="S614" s="9">
        <v>46090.701226851852</v>
      </c>
    </row>
    <row r="615" spans="1:19" ht="12.5">
      <c r="A615" s="10" t="s">
        <v>22617</v>
      </c>
      <c r="B615" s="5" t="s">
        <v>14295</v>
      </c>
      <c r="C615" s="5">
        <v>573004645452</v>
      </c>
      <c r="D615" s="5" t="s">
        <v>42</v>
      </c>
      <c r="E615" s="5" t="s">
        <v>12657</v>
      </c>
      <c r="F615" s="5" t="s">
        <v>12657</v>
      </c>
      <c r="G615" s="5" t="s">
        <v>14295</v>
      </c>
      <c r="H615" s="10" t="s">
        <v>20485</v>
      </c>
      <c r="K615" s="9">
        <v>46090.701608796298</v>
      </c>
      <c r="L615" s="5" t="s">
        <v>6139</v>
      </c>
      <c r="M615" s="10" t="s">
        <v>22618</v>
      </c>
      <c r="N615" s="10" t="s">
        <v>22483</v>
      </c>
      <c r="R615" s="9">
        <v>46090.701608796298</v>
      </c>
      <c r="S615" s="9">
        <v>46090.701608796298</v>
      </c>
    </row>
    <row r="616" spans="1:19" ht="12.5">
      <c r="A616" s="10" t="s">
        <v>22619</v>
      </c>
      <c r="B616" s="5" t="s">
        <v>14301</v>
      </c>
      <c r="C616" s="5">
        <v>573004179000</v>
      </c>
      <c r="D616" s="5" t="s">
        <v>14302</v>
      </c>
      <c r="E616" s="5" t="s">
        <v>12657</v>
      </c>
      <c r="F616" s="5" t="s">
        <v>12657</v>
      </c>
      <c r="G616" s="5" t="s">
        <v>14301</v>
      </c>
      <c r="H616" s="10" t="s">
        <v>22620</v>
      </c>
      <c r="K616" s="9">
        <v>46090.701747685183</v>
      </c>
      <c r="L616" s="5" t="s">
        <v>6139</v>
      </c>
      <c r="M616" s="10" t="s">
        <v>22621</v>
      </c>
      <c r="N616" s="10" t="s">
        <v>22483</v>
      </c>
      <c r="R616" s="9">
        <v>46090.701747685183</v>
      </c>
      <c r="S616" s="9">
        <v>46090.701747685183</v>
      </c>
    </row>
    <row r="617" spans="1:19" ht="12.5">
      <c r="A617" s="10" t="s">
        <v>22622</v>
      </c>
      <c r="B617" s="5" t="s">
        <v>14236</v>
      </c>
      <c r="C617" s="5">
        <v>573165774386</v>
      </c>
      <c r="D617" s="5" t="s">
        <v>42</v>
      </c>
      <c r="E617" s="5" t="s">
        <v>14238</v>
      </c>
      <c r="F617" s="5" t="s">
        <v>9166</v>
      </c>
      <c r="G617" s="5" t="s">
        <v>14236</v>
      </c>
      <c r="H617" s="10" t="s">
        <v>22623</v>
      </c>
      <c r="K617" s="9">
        <v>46090.701817129629</v>
      </c>
      <c r="L617" s="5" t="s">
        <v>6139</v>
      </c>
      <c r="M617" s="10" t="s">
        <v>22624</v>
      </c>
      <c r="N617" s="10" t="s">
        <v>22479</v>
      </c>
      <c r="R617" s="9">
        <v>46090.701817129629</v>
      </c>
      <c r="S617" s="9">
        <v>46090.701817129629</v>
      </c>
    </row>
    <row r="618" spans="1:19" ht="12.5">
      <c r="A618" s="10" t="s">
        <v>22625</v>
      </c>
      <c r="B618" s="5" t="s">
        <v>14423</v>
      </c>
      <c r="C618" s="5">
        <v>570531683838</v>
      </c>
      <c r="D618" s="5" t="s">
        <v>14426</v>
      </c>
      <c r="E618" s="5" t="s">
        <v>14425</v>
      </c>
      <c r="F618" s="5" t="s">
        <v>103</v>
      </c>
      <c r="G618" s="5" t="s">
        <v>14424</v>
      </c>
      <c r="H618" s="10" t="s">
        <v>22626</v>
      </c>
      <c r="K618" s="23">
        <v>46090.702280092592</v>
      </c>
      <c r="L618" s="5" t="s">
        <v>6139</v>
      </c>
      <c r="M618" s="10" t="s">
        <v>22627</v>
      </c>
      <c r="N618" s="10" t="s">
        <v>22628</v>
      </c>
      <c r="P618" s="5" t="s">
        <v>14593</v>
      </c>
      <c r="R618" s="9">
        <v>46090.702280092592</v>
      </c>
      <c r="S618" s="9">
        <v>46090.702280092592</v>
      </c>
    </row>
    <row r="619" spans="1:19" ht="12.5">
      <c r="A619" s="10" t="s">
        <v>22629</v>
      </c>
      <c r="B619" s="5" t="s">
        <v>14428</v>
      </c>
      <c r="C619" s="5">
        <v>573106857965</v>
      </c>
      <c r="D619" s="5" t="s">
        <v>309</v>
      </c>
      <c r="E619" s="5" t="s">
        <v>14430</v>
      </c>
      <c r="F619" s="5" t="s">
        <v>161</v>
      </c>
      <c r="G619" s="5" t="s">
        <v>22630</v>
      </c>
      <c r="H619" s="10" t="s">
        <v>22631</v>
      </c>
      <c r="K619" s="9">
        <v>46090.702418981484</v>
      </c>
      <c r="L619" s="5" t="s">
        <v>6139</v>
      </c>
      <c r="M619" s="10" t="s">
        <v>22632</v>
      </c>
      <c r="N619" s="10" t="s">
        <v>22633</v>
      </c>
      <c r="P619" s="5" t="s">
        <v>14593</v>
      </c>
      <c r="R619" s="9">
        <v>46090.702418981484</v>
      </c>
      <c r="S619" s="9">
        <v>46090.702418981484</v>
      </c>
    </row>
    <row r="620" spans="1:19" ht="12.5">
      <c r="A620" s="10" t="s">
        <v>22634</v>
      </c>
      <c r="B620" s="5" t="s">
        <v>14267</v>
      </c>
      <c r="C620" s="5">
        <v>573213197043</v>
      </c>
      <c r="D620" s="5" t="s">
        <v>178</v>
      </c>
      <c r="E620" s="5" t="s">
        <v>12657</v>
      </c>
      <c r="F620" s="5" t="s">
        <v>12657</v>
      </c>
      <c r="G620" s="5" t="s">
        <v>14267</v>
      </c>
      <c r="H620" s="10" t="s">
        <v>20478</v>
      </c>
      <c r="K620" s="9">
        <v>46090.702951388892</v>
      </c>
      <c r="L620" s="5" t="s">
        <v>6139</v>
      </c>
      <c r="M620" s="10" t="s">
        <v>22635</v>
      </c>
      <c r="N620" s="10" t="s">
        <v>22483</v>
      </c>
      <c r="R620" s="9">
        <v>46090.702951388892</v>
      </c>
      <c r="S620" s="9">
        <v>46090.702951388892</v>
      </c>
    </row>
    <row r="621" spans="1:19" ht="12.5">
      <c r="A621" s="10" t="s">
        <v>22636</v>
      </c>
      <c r="B621" s="5" t="s">
        <v>14189</v>
      </c>
      <c r="C621" s="5">
        <v>573152651668</v>
      </c>
      <c r="D621" s="5" t="s">
        <v>14191</v>
      </c>
      <c r="E621" s="5" t="s">
        <v>12657</v>
      </c>
      <c r="F621" s="5" t="s">
        <v>12657</v>
      </c>
      <c r="G621" s="5" t="s">
        <v>14189</v>
      </c>
      <c r="H621" s="10" t="s">
        <v>22637</v>
      </c>
      <c r="K621" s="9">
        <v>46090.703321759262</v>
      </c>
      <c r="L621" s="5" t="s">
        <v>6139</v>
      </c>
      <c r="M621" s="10" t="s">
        <v>22638</v>
      </c>
      <c r="N621" s="10" t="s">
        <v>20681</v>
      </c>
      <c r="R621" s="9">
        <v>46090.703321759262</v>
      </c>
      <c r="S621" s="9">
        <v>46090.703321759262</v>
      </c>
    </row>
    <row r="622" spans="1:19" ht="12.5">
      <c r="A622" s="10" t="s">
        <v>22639</v>
      </c>
      <c r="B622" s="5" t="s">
        <v>14175</v>
      </c>
      <c r="C622" s="5">
        <v>573023088354</v>
      </c>
      <c r="D622" s="5" t="s">
        <v>42</v>
      </c>
      <c r="E622" s="5" t="s">
        <v>14177</v>
      </c>
      <c r="F622" s="5" t="s">
        <v>185</v>
      </c>
      <c r="G622" s="5" t="s">
        <v>14176</v>
      </c>
      <c r="H622" s="10" t="s">
        <v>22640</v>
      </c>
      <c r="K622" s="9">
        <v>46090.703368055554</v>
      </c>
      <c r="L622" s="5" t="s">
        <v>6139</v>
      </c>
      <c r="M622" s="10" t="s">
        <v>22641</v>
      </c>
      <c r="N622" s="10" t="s">
        <v>20659</v>
      </c>
      <c r="P622" s="5" t="s">
        <v>14580</v>
      </c>
      <c r="R622" s="9">
        <v>46090.703368055554</v>
      </c>
      <c r="S622" s="9">
        <v>46090.703368055554</v>
      </c>
    </row>
    <row r="623" spans="1:19" ht="12.5">
      <c r="A623" s="10" t="s">
        <v>22642</v>
      </c>
      <c r="B623" s="5" t="s">
        <v>14004</v>
      </c>
      <c r="C623" s="5">
        <v>573106336999</v>
      </c>
      <c r="D623" s="5" t="s">
        <v>12496</v>
      </c>
      <c r="E623" s="5" t="s">
        <v>12657</v>
      </c>
      <c r="F623" s="5" t="s">
        <v>12657</v>
      </c>
      <c r="G623" s="5" t="s">
        <v>14004</v>
      </c>
      <c r="H623" s="10" t="s">
        <v>20281</v>
      </c>
      <c r="K623" s="9">
        <v>46090.7034375</v>
      </c>
      <c r="L623" s="5" t="s">
        <v>6139</v>
      </c>
      <c r="M623" s="10" t="s">
        <v>22643</v>
      </c>
      <c r="N623" s="10" t="s">
        <v>20681</v>
      </c>
      <c r="R623" s="9">
        <v>46090.7034375</v>
      </c>
      <c r="S623" s="9">
        <v>46090.7034375</v>
      </c>
    </row>
    <row r="624" spans="1:19" ht="12.5">
      <c r="A624" s="10" t="s">
        <v>22644</v>
      </c>
      <c r="B624" s="5" t="s">
        <v>10549</v>
      </c>
      <c r="C624" s="5">
        <v>573001241116</v>
      </c>
      <c r="D624" s="5" t="s">
        <v>13903</v>
      </c>
      <c r="E624" s="5" t="s">
        <v>12657</v>
      </c>
      <c r="F624" s="5" t="s">
        <v>12657</v>
      </c>
      <c r="G624" s="5" t="s">
        <v>10549</v>
      </c>
      <c r="H624" s="10" t="s">
        <v>18339</v>
      </c>
      <c r="K624" s="9">
        <v>46090.703506944446</v>
      </c>
      <c r="L624" s="5" t="s">
        <v>6139</v>
      </c>
      <c r="M624" s="10" t="s">
        <v>22645</v>
      </c>
      <c r="N624" s="10" t="s">
        <v>20681</v>
      </c>
      <c r="R624" s="9">
        <v>46090.703506944446</v>
      </c>
      <c r="S624" s="9">
        <v>46090.703506944446</v>
      </c>
    </row>
    <row r="625" spans="1:19" ht="12.5">
      <c r="A625" s="10" t="s">
        <v>22646</v>
      </c>
      <c r="B625" s="5" t="s">
        <v>14434</v>
      </c>
      <c r="C625" s="5">
        <v>573004234025</v>
      </c>
      <c r="D625" s="5" t="s">
        <v>42</v>
      </c>
      <c r="E625" s="5" t="s">
        <v>14436</v>
      </c>
      <c r="F625" s="5" t="s">
        <v>2880</v>
      </c>
      <c r="G625" s="5" t="s">
        <v>14434</v>
      </c>
      <c r="H625" s="10" t="s">
        <v>22647</v>
      </c>
      <c r="K625" s="9">
        <v>46090.743495370371</v>
      </c>
      <c r="L625" s="5" t="s">
        <v>6139</v>
      </c>
      <c r="M625" s="10" t="s">
        <v>22648</v>
      </c>
      <c r="N625" s="10" t="s">
        <v>22649</v>
      </c>
      <c r="P625" s="5" t="s">
        <v>14691</v>
      </c>
      <c r="R625" s="9">
        <v>46090.743495370371</v>
      </c>
      <c r="S625" s="9">
        <v>46090.743495370371</v>
      </c>
    </row>
    <row r="626" spans="1:19" ht="12.5">
      <c r="A626" s="10" t="s">
        <v>22650</v>
      </c>
      <c r="B626" s="5" t="s">
        <v>14418</v>
      </c>
      <c r="C626" s="5">
        <v>573043613071</v>
      </c>
      <c r="D626" s="5" t="s">
        <v>375</v>
      </c>
      <c r="E626" s="5" t="s">
        <v>14420</v>
      </c>
      <c r="F626" s="5" t="s">
        <v>249</v>
      </c>
      <c r="G626" s="5" t="s">
        <v>20575</v>
      </c>
      <c r="H626" s="10" t="s">
        <v>22651</v>
      </c>
      <c r="K626" s="9">
        <v>46090.768240740741</v>
      </c>
      <c r="L626" s="5" t="s">
        <v>6139</v>
      </c>
      <c r="M626" s="10" t="s">
        <v>22652</v>
      </c>
      <c r="N626" s="10" t="s">
        <v>22653</v>
      </c>
      <c r="P626" s="5" t="s">
        <v>14593</v>
      </c>
      <c r="R626" s="9">
        <v>46090.768240740741</v>
      </c>
      <c r="S626" s="9">
        <v>46090.768240740741</v>
      </c>
    </row>
    <row r="627" spans="1:19" ht="12.5">
      <c r="A627" s="10" t="s">
        <v>22654</v>
      </c>
      <c r="B627" s="5" t="s">
        <v>14457</v>
      </c>
      <c r="C627" s="5">
        <v>573007660285</v>
      </c>
      <c r="D627" s="5" t="s">
        <v>14459</v>
      </c>
      <c r="E627" s="5" t="s">
        <v>12657</v>
      </c>
      <c r="F627" s="5" t="s">
        <v>12657</v>
      </c>
      <c r="G627" s="5" t="s">
        <v>14457</v>
      </c>
      <c r="H627" s="10" t="s">
        <v>22655</v>
      </c>
      <c r="K627" s="9">
        <v>46091.345520833333</v>
      </c>
      <c r="L627" s="5" t="s">
        <v>6139</v>
      </c>
      <c r="M627" s="10" t="s">
        <v>22656</v>
      </c>
      <c r="N627" s="10" t="s">
        <v>22657</v>
      </c>
      <c r="R627" s="9">
        <v>46091.345520833333</v>
      </c>
      <c r="S627" s="9">
        <v>46091.345520833333</v>
      </c>
    </row>
    <row r="628" spans="1:19" ht="12.5">
      <c r="A628" s="10" t="s">
        <v>22658</v>
      </c>
      <c r="B628" s="5" t="s">
        <v>14457</v>
      </c>
      <c r="C628" s="5">
        <v>573007660285</v>
      </c>
      <c r="D628" s="5" t="s">
        <v>384</v>
      </c>
      <c r="E628" s="5" t="s">
        <v>12657</v>
      </c>
      <c r="F628" s="5" t="s">
        <v>12657</v>
      </c>
      <c r="G628" s="5" t="s">
        <v>14457</v>
      </c>
      <c r="H628" s="10" t="s">
        <v>22655</v>
      </c>
      <c r="K628" s="9">
        <v>46091.345636574071</v>
      </c>
      <c r="L628" s="5" t="s">
        <v>6139</v>
      </c>
      <c r="M628" s="10" t="s">
        <v>22659</v>
      </c>
      <c r="N628" s="10" t="s">
        <v>22657</v>
      </c>
      <c r="R628" s="9">
        <v>46091.345636574071</v>
      </c>
      <c r="S628" s="9">
        <v>46091.345636574071</v>
      </c>
    </row>
    <row r="629" spans="1:19" ht="12.5">
      <c r="A629" s="10" t="s">
        <v>22660</v>
      </c>
      <c r="B629" s="5" t="s">
        <v>12752</v>
      </c>
      <c r="C629" s="5">
        <v>573205337978</v>
      </c>
      <c r="D629" s="5" t="s">
        <v>148</v>
      </c>
      <c r="E629" s="5" t="s">
        <v>12754</v>
      </c>
      <c r="F629" s="5" t="s">
        <v>63</v>
      </c>
      <c r="G629" s="5" t="s">
        <v>14414</v>
      </c>
      <c r="H629" s="10" t="s">
        <v>22661</v>
      </c>
      <c r="K629" s="9">
        <v>46091.346712962964</v>
      </c>
      <c r="L629" s="5" t="s">
        <v>6139</v>
      </c>
      <c r="M629" s="10" t="s">
        <v>22662</v>
      </c>
      <c r="N629" s="10" t="s">
        <v>22663</v>
      </c>
      <c r="P629" s="5" t="s">
        <v>14598</v>
      </c>
      <c r="R629" s="9">
        <v>46091.346712962964</v>
      </c>
      <c r="S629" s="9">
        <v>46091.346712962964</v>
      </c>
    </row>
    <row r="630" spans="1:19" ht="12.5">
      <c r="A630" s="10" t="s">
        <v>22664</v>
      </c>
      <c r="B630" s="5" t="s">
        <v>13416</v>
      </c>
      <c r="C630" s="5">
        <v>573215472589</v>
      </c>
      <c r="D630" s="5" t="s">
        <v>13419</v>
      </c>
      <c r="E630" s="5" t="s">
        <v>13418</v>
      </c>
      <c r="F630" s="5" t="s">
        <v>2090</v>
      </c>
      <c r="G630" s="5" t="s">
        <v>13420</v>
      </c>
      <c r="H630" s="10" t="s">
        <v>22665</v>
      </c>
      <c r="K630" s="9">
        <v>46091.34684027778</v>
      </c>
      <c r="L630" s="5" t="s">
        <v>6139</v>
      </c>
      <c r="M630" s="10" t="s">
        <v>22666</v>
      </c>
      <c r="N630" s="10" t="s">
        <v>20938</v>
      </c>
      <c r="P630" s="5" t="s">
        <v>14618</v>
      </c>
      <c r="R630" s="9">
        <v>46091.34684027778</v>
      </c>
      <c r="S630" s="9">
        <v>46091.34684027778</v>
      </c>
    </row>
    <row r="631" spans="1:19" ht="12.5">
      <c r="A631" s="10" t="s">
        <v>22667</v>
      </c>
      <c r="B631" s="5" t="s">
        <v>13538</v>
      </c>
      <c r="C631" s="5">
        <v>573134009314</v>
      </c>
      <c r="D631" s="5" t="s">
        <v>12437</v>
      </c>
      <c r="E631" s="5" t="s">
        <v>13540</v>
      </c>
      <c r="F631" s="5" t="s">
        <v>1317</v>
      </c>
      <c r="G631" s="5" t="s">
        <v>13539</v>
      </c>
      <c r="H631" s="10" t="s">
        <v>22668</v>
      </c>
      <c r="K631" s="9">
        <v>46091.346956018519</v>
      </c>
      <c r="L631" s="5" t="s">
        <v>6139</v>
      </c>
      <c r="M631" s="10" t="s">
        <v>22669</v>
      </c>
      <c r="N631" s="10" t="s">
        <v>20917</v>
      </c>
      <c r="P631" s="5" t="s">
        <v>15349</v>
      </c>
      <c r="R631" s="9">
        <v>46091.346956018519</v>
      </c>
      <c r="S631" s="9">
        <v>46091.346956018519</v>
      </c>
    </row>
    <row r="632" spans="1:19" ht="12.5">
      <c r="A632" s="10" t="s">
        <v>22670</v>
      </c>
      <c r="B632" s="5" t="s">
        <v>3183</v>
      </c>
      <c r="C632" s="5">
        <v>573043190657</v>
      </c>
      <c r="D632" s="5" t="s">
        <v>42</v>
      </c>
      <c r="E632" s="5" t="s">
        <v>12657</v>
      </c>
      <c r="F632" s="5" t="s">
        <v>12657</v>
      </c>
      <c r="G632" s="5" t="s">
        <v>13566</v>
      </c>
      <c r="H632" s="10" t="s">
        <v>19133</v>
      </c>
      <c r="K632" s="9">
        <v>46091.347037037034</v>
      </c>
      <c r="L632" s="5" t="s">
        <v>6139</v>
      </c>
      <c r="M632" s="10" t="s">
        <v>22671</v>
      </c>
      <c r="N632" s="10" t="s">
        <v>20969</v>
      </c>
      <c r="R632" s="9">
        <v>46091.347037037034</v>
      </c>
      <c r="S632" s="9">
        <v>46091.347037037034</v>
      </c>
    </row>
    <row r="633" spans="1:19" ht="12.5">
      <c r="A633" s="10" t="s">
        <v>22672</v>
      </c>
      <c r="B633" s="5" t="s">
        <v>12718</v>
      </c>
      <c r="C633" s="5">
        <v>573014785425</v>
      </c>
      <c r="D633" s="5" t="s">
        <v>42</v>
      </c>
      <c r="E633" s="5" t="s">
        <v>12657</v>
      </c>
      <c r="F633" s="5" t="s">
        <v>12657</v>
      </c>
      <c r="G633" s="5" t="s">
        <v>12718</v>
      </c>
      <c r="H633" s="10" t="s">
        <v>19995</v>
      </c>
      <c r="K633" s="9">
        <v>46091.347083333334</v>
      </c>
      <c r="L633" s="5" t="s">
        <v>6139</v>
      </c>
      <c r="M633" s="10" t="s">
        <v>22673</v>
      </c>
      <c r="N633" s="10" t="s">
        <v>20969</v>
      </c>
      <c r="R633" s="9">
        <v>46091.347083333334</v>
      </c>
      <c r="S633" s="9">
        <v>46091.347083333334</v>
      </c>
    </row>
    <row r="634" spans="1:19" ht="12.5">
      <c r="A634" s="10" t="s">
        <v>22674</v>
      </c>
      <c r="B634" s="5" t="s">
        <v>13579</v>
      </c>
      <c r="C634" s="5">
        <v>573008049549</v>
      </c>
      <c r="D634" s="5" t="s">
        <v>12406</v>
      </c>
      <c r="E634" s="5" t="s">
        <v>13581</v>
      </c>
      <c r="F634" s="5" t="s">
        <v>307</v>
      </c>
      <c r="G634" s="5" t="s">
        <v>7289</v>
      </c>
      <c r="H634" s="10" t="s">
        <v>22675</v>
      </c>
      <c r="K634" s="9">
        <v>46091.347118055557</v>
      </c>
      <c r="L634" s="5" t="s">
        <v>6139</v>
      </c>
      <c r="M634" s="10" t="s">
        <v>22676</v>
      </c>
      <c r="N634" s="10" t="s">
        <v>20917</v>
      </c>
      <c r="P634" s="5" t="s">
        <v>14618</v>
      </c>
      <c r="R634" s="9">
        <v>46091.347118055557</v>
      </c>
      <c r="S634" s="9">
        <v>46091.347118055557</v>
      </c>
    </row>
    <row r="635" spans="1:19" ht="12.5">
      <c r="A635" s="10" t="s">
        <v>22677</v>
      </c>
      <c r="B635" s="5" t="s">
        <v>13377</v>
      </c>
      <c r="C635" s="5">
        <v>344654255225</v>
      </c>
      <c r="D635" s="5" t="s">
        <v>12924</v>
      </c>
      <c r="E635" s="5" t="s">
        <v>13379</v>
      </c>
      <c r="F635" s="5" t="s">
        <v>892</v>
      </c>
      <c r="G635" s="5" t="s">
        <v>13378</v>
      </c>
      <c r="H635" s="10" t="s">
        <v>22678</v>
      </c>
      <c r="K635" s="9">
        <v>46091.347187500003</v>
      </c>
      <c r="L635" s="5" t="s">
        <v>6139</v>
      </c>
      <c r="M635" s="10" t="s">
        <v>22679</v>
      </c>
      <c r="N635" s="10" t="s">
        <v>20917</v>
      </c>
      <c r="P635" s="5" t="s">
        <v>14593</v>
      </c>
      <c r="R635" s="9">
        <v>46091.347187500003</v>
      </c>
      <c r="S635" s="9">
        <v>46091.347187500003</v>
      </c>
    </row>
    <row r="636" spans="1:19" ht="12.5">
      <c r="A636" s="10" t="s">
        <v>22680</v>
      </c>
      <c r="B636" s="5" t="s">
        <v>13571</v>
      </c>
      <c r="C636" s="5">
        <v>573243002224</v>
      </c>
      <c r="D636" s="5" t="s">
        <v>13079</v>
      </c>
      <c r="E636" s="5" t="s">
        <v>13573</v>
      </c>
      <c r="F636" s="5" t="s">
        <v>307</v>
      </c>
      <c r="G636" s="5" t="s">
        <v>13571</v>
      </c>
      <c r="H636" s="10" t="s">
        <v>22681</v>
      </c>
      <c r="K636" s="9">
        <v>46091.347245370373</v>
      </c>
      <c r="L636" s="5" t="s">
        <v>6139</v>
      </c>
      <c r="M636" s="10" t="s">
        <v>22682</v>
      </c>
      <c r="N636" s="10" t="s">
        <v>20869</v>
      </c>
      <c r="P636" s="5" t="s">
        <v>14618</v>
      </c>
      <c r="R636" s="9">
        <v>46091.347245370373</v>
      </c>
      <c r="S636" s="9">
        <v>46091.347245370373</v>
      </c>
    </row>
    <row r="637" spans="1:19" ht="12.5">
      <c r="A637" s="10" t="s">
        <v>22683</v>
      </c>
      <c r="B637" s="5" t="s">
        <v>13635</v>
      </c>
      <c r="C637" s="5">
        <v>573244495614</v>
      </c>
      <c r="D637" s="5" t="s">
        <v>42</v>
      </c>
      <c r="E637" s="5" t="s">
        <v>12657</v>
      </c>
      <c r="F637" s="5" t="s">
        <v>12657</v>
      </c>
      <c r="G637" s="5" t="s">
        <v>13635</v>
      </c>
      <c r="H637" s="10" t="s">
        <v>22684</v>
      </c>
      <c r="K637" s="9">
        <v>46091.347280092596</v>
      </c>
      <c r="L637" s="5" t="s">
        <v>6139</v>
      </c>
      <c r="M637" s="10" t="s">
        <v>22685</v>
      </c>
      <c r="N637" s="10" t="s">
        <v>20969</v>
      </c>
      <c r="R637" s="9">
        <v>46091.347280092596</v>
      </c>
      <c r="S637" s="9">
        <v>46091.347280092596</v>
      </c>
    </row>
    <row r="638" spans="1:19" ht="12.5">
      <c r="A638" s="10" t="s">
        <v>22686</v>
      </c>
      <c r="B638" s="5" t="s">
        <v>13475</v>
      </c>
      <c r="C638" s="5">
        <v>573174870896</v>
      </c>
      <c r="D638" s="5" t="s">
        <v>12437</v>
      </c>
      <c r="E638" s="5" t="s">
        <v>13632</v>
      </c>
      <c r="F638" s="5" t="s">
        <v>73</v>
      </c>
      <c r="G638" s="5" t="s">
        <v>22687</v>
      </c>
      <c r="H638" s="10" t="s">
        <v>21046</v>
      </c>
      <c r="K638" s="9">
        <v>46091.347326388888</v>
      </c>
      <c r="L638" s="5" t="s">
        <v>6139</v>
      </c>
      <c r="M638" s="10" t="s">
        <v>22688</v>
      </c>
      <c r="N638" s="10" t="s">
        <v>20869</v>
      </c>
      <c r="P638" s="5" t="s">
        <v>14593</v>
      </c>
      <c r="R638" s="9">
        <v>46091.347326388888</v>
      </c>
      <c r="S638" s="9">
        <v>46091.347326388888</v>
      </c>
    </row>
    <row r="639" spans="1:19" ht="12.5">
      <c r="A639" s="10" t="s">
        <v>22689</v>
      </c>
      <c r="B639" s="5" t="s">
        <v>13612</v>
      </c>
      <c r="C639" s="5">
        <v>573003858601</v>
      </c>
      <c r="D639" s="5" t="s">
        <v>12423</v>
      </c>
      <c r="E639" s="5" t="s">
        <v>13687</v>
      </c>
      <c r="G639" s="5" t="s">
        <v>13686</v>
      </c>
      <c r="K639" s="9">
        <v>46091.347384259258</v>
      </c>
      <c r="L639" s="5" t="s">
        <v>6139</v>
      </c>
      <c r="M639" s="10" t="s">
        <v>22690</v>
      </c>
      <c r="N639" s="10" t="s">
        <v>20938</v>
      </c>
      <c r="R639" s="9">
        <v>46091.347384259258</v>
      </c>
      <c r="S639" s="9">
        <v>46091.347384259258</v>
      </c>
    </row>
    <row r="640" spans="1:19" ht="12.5">
      <c r="A640" s="10" t="s">
        <v>22691</v>
      </c>
      <c r="B640" s="5" t="s">
        <v>13612</v>
      </c>
      <c r="C640" s="5">
        <v>573003858601</v>
      </c>
      <c r="D640" s="5" t="s">
        <v>13217</v>
      </c>
      <c r="E640" s="5" t="s">
        <v>13684</v>
      </c>
      <c r="G640" s="5" t="s">
        <v>13670</v>
      </c>
      <c r="K640" s="9">
        <v>46091.347442129627</v>
      </c>
      <c r="L640" s="5" t="s">
        <v>6139</v>
      </c>
      <c r="M640" s="10" t="s">
        <v>22692</v>
      </c>
      <c r="N640" s="10" t="s">
        <v>20938</v>
      </c>
      <c r="R640" s="9">
        <v>46091.347442129627</v>
      </c>
      <c r="S640" s="9">
        <v>46091.347442129627</v>
      </c>
    </row>
    <row r="641" spans="1:19" ht="12.5">
      <c r="A641" s="10" t="s">
        <v>22693</v>
      </c>
      <c r="B641" s="5" t="s">
        <v>13185</v>
      </c>
      <c r="C641" s="5">
        <v>573126810333</v>
      </c>
      <c r="D641" s="5" t="s">
        <v>13597</v>
      </c>
      <c r="E641" s="5" t="s">
        <v>13596</v>
      </c>
      <c r="F641" s="5" t="s">
        <v>6905</v>
      </c>
      <c r="G641" s="5" t="s">
        <v>13185</v>
      </c>
      <c r="H641" s="10" t="s">
        <v>22694</v>
      </c>
      <c r="K641" s="9">
        <v>46091.34747685185</v>
      </c>
      <c r="L641" s="5" t="s">
        <v>6139</v>
      </c>
      <c r="M641" s="10" t="s">
        <v>22695</v>
      </c>
      <c r="N641" s="10" t="s">
        <v>20979</v>
      </c>
      <c r="P641" s="5" t="s">
        <v>14598</v>
      </c>
      <c r="R641" s="9">
        <v>46091.34747685185</v>
      </c>
      <c r="S641" s="9">
        <v>46091.34747685185</v>
      </c>
    </row>
    <row r="642" spans="1:19" ht="12.5">
      <c r="A642" s="10" t="s">
        <v>22696</v>
      </c>
      <c r="B642" s="5" t="s">
        <v>13612</v>
      </c>
      <c r="C642" s="5">
        <v>573003858601</v>
      </c>
      <c r="D642" s="5" t="s">
        <v>12423</v>
      </c>
      <c r="E642" s="5" t="s">
        <v>13690</v>
      </c>
      <c r="G642" s="5" t="s">
        <v>13689</v>
      </c>
      <c r="K642" s="9">
        <v>46091.347511574073</v>
      </c>
      <c r="L642" s="5" t="s">
        <v>6139</v>
      </c>
      <c r="M642" s="10" t="s">
        <v>22697</v>
      </c>
      <c r="N642" s="10" t="s">
        <v>20938</v>
      </c>
      <c r="R642" s="9">
        <v>46091.347511574073</v>
      </c>
      <c r="S642" s="9">
        <v>46091.347511574073</v>
      </c>
    </row>
    <row r="643" spans="1:19" ht="12.5">
      <c r="A643" s="10" t="s">
        <v>22698</v>
      </c>
      <c r="B643" s="5" t="s">
        <v>12202</v>
      </c>
      <c r="C643" s="5">
        <v>573043810703</v>
      </c>
      <c r="D643" s="5" t="s">
        <v>42</v>
      </c>
      <c r="E643" s="5" t="s">
        <v>12657</v>
      </c>
      <c r="F643" s="5" t="s">
        <v>12657</v>
      </c>
      <c r="G643" s="5" t="s">
        <v>12202</v>
      </c>
      <c r="H643" s="10" t="s">
        <v>22699</v>
      </c>
      <c r="K643" s="9">
        <v>46091.347615740742</v>
      </c>
      <c r="L643" s="5" t="s">
        <v>6139</v>
      </c>
      <c r="M643" s="10" t="s">
        <v>22700</v>
      </c>
      <c r="N643" s="10" t="s">
        <v>20681</v>
      </c>
      <c r="R643" s="9">
        <v>46091.347615740742</v>
      </c>
      <c r="S643" s="9">
        <v>46091.347615740742</v>
      </c>
    </row>
    <row r="644" spans="1:19" ht="12.5">
      <c r="A644" s="10" t="s">
        <v>22701</v>
      </c>
      <c r="B644" s="5" t="s">
        <v>13659</v>
      </c>
      <c r="C644" s="5">
        <v>573205681382</v>
      </c>
      <c r="D644" s="5" t="s">
        <v>12423</v>
      </c>
      <c r="E644" s="5" t="s">
        <v>13661</v>
      </c>
      <c r="F644" s="5" t="s">
        <v>73</v>
      </c>
      <c r="G644" s="5" t="s">
        <v>13660</v>
      </c>
      <c r="H644" s="10" t="s">
        <v>22702</v>
      </c>
      <c r="K644" s="9">
        <v>46091.347685185188</v>
      </c>
      <c r="L644" s="5" t="s">
        <v>6139</v>
      </c>
      <c r="M644" s="10" t="s">
        <v>22703</v>
      </c>
      <c r="N644" s="10" t="s">
        <v>20975</v>
      </c>
      <c r="P644" s="5" t="s">
        <v>14593</v>
      </c>
      <c r="R644" s="9">
        <v>46091.347685185188</v>
      </c>
      <c r="S644" s="9">
        <v>46091.347685185188</v>
      </c>
    </row>
    <row r="645" spans="1:19" ht="12.5">
      <c r="A645" s="10" t="s">
        <v>22704</v>
      </c>
      <c r="B645" s="5" t="s">
        <v>13636</v>
      </c>
      <c r="C645" s="5">
        <v>573106407759</v>
      </c>
      <c r="D645" s="5" t="s">
        <v>13639</v>
      </c>
      <c r="E645" s="5" t="s">
        <v>13638</v>
      </c>
      <c r="F645" s="5" t="s">
        <v>161</v>
      </c>
      <c r="G645" s="5" t="s">
        <v>13637</v>
      </c>
      <c r="H645" s="10" t="s">
        <v>22705</v>
      </c>
      <c r="K645" s="9">
        <v>46091.347812499997</v>
      </c>
      <c r="L645" s="5" t="s">
        <v>6139</v>
      </c>
      <c r="M645" s="10" t="s">
        <v>22706</v>
      </c>
      <c r="N645" s="10" t="s">
        <v>20821</v>
      </c>
      <c r="P645" s="5" t="s">
        <v>14593</v>
      </c>
      <c r="R645" s="9">
        <v>46091.347812499997</v>
      </c>
      <c r="S645" s="9">
        <v>46091.347812499997</v>
      </c>
    </row>
    <row r="646" spans="1:19" ht="12.5">
      <c r="A646" s="10" t="s">
        <v>22707</v>
      </c>
      <c r="B646" s="5" t="s">
        <v>13715</v>
      </c>
      <c r="C646" s="5">
        <v>573017703687</v>
      </c>
      <c r="D646" s="5" t="s">
        <v>13716</v>
      </c>
      <c r="E646" s="5" t="s">
        <v>12657</v>
      </c>
      <c r="F646" s="5" t="s">
        <v>12657</v>
      </c>
      <c r="G646" s="5" t="s">
        <v>13715</v>
      </c>
      <c r="H646" s="10" t="s">
        <v>22708</v>
      </c>
      <c r="K646" s="9">
        <v>46091.347858796296</v>
      </c>
      <c r="L646" s="5" t="s">
        <v>6139</v>
      </c>
      <c r="M646" s="10" t="s">
        <v>22709</v>
      </c>
      <c r="N646" s="10" t="s">
        <v>20969</v>
      </c>
      <c r="R646" s="9">
        <v>46091.347858796296</v>
      </c>
      <c r="S646" s="9">
        <v>46091.347858796296</v>
      </c>
    </row>
    <row r="647" spans="1:19" ht="12.5">
      <c r="A647" s="10" t="s">
        <v>22710</v>
      </c>
      <c r="B647" s="5" t="s">
        <v>4008</v>
      </c>
      <c r="C647" s="5">
        <v>573144430705</v>
      </c>
      <c r="D647" s="5" t="s">
        <v>12673</v>
      </c>
      <c r="E647" s="5" t="s">
        <v>13735</v>
      </c>
      <c r="F647" s="5" t="s">
        <v>185</v>
      </c>
      <c r="G647" s="5" t="s">
        <v>941</v>
      </c>
      <c r="H647" s="10" t="s">
        <v>22711</v>
      </c>
      <c r="K647" s="9">
        <v>46091.347939814812</v>
      </c>
      <c r="L647" s="5" t="s">
        <v>6139</v>
      </c>
      <c r="M647" s="10" t="s">
        <v>22712</v>
      </c>
      <c r="N647" s="10" t="s">
        <v>20908</v>
      </c>
      <c r="P647" s="5" t="s">
        <v>14580</v>
      </c>
      <c r="R647" s="9">
        <v>46091.347939814812</v>
      </c>
      <c r="S647" s="9">
        <v>46091.347939814812</v>
      </c>
    </row>
    <row r="648" spans="1:19" ht="12.5">
      <c r="A648" s="10" t="s">
        <v>22713</v>
      </c>
      <c r="B648" s="5" t="s">
        <v>14242</v>
      </c>
      <c r="C648" s="5">
        <v>5776465214</v>
      </c>
      <c r="D648" s="5" t="s">
        <v>42</v>
      </c>
      <c r="E648" s="5" t="s">
        <v>12657</v>
      </c>
      <c r="F648" s="5" t="s">
        <v>12657</v>
      </c>
      <c r="G648" s="5" t="s">
        <v>14243</v>
      </c>
      <c r="H648" s="10" t="s">
        <v>22714</v>
      </c>
      <c r="K648" s="9">
        <v>46091.348043981481</v>
      </c>
      <c r="L648" s="5" t="s">
        <v>6139</v>
      </c>
      <c r="M648" s="10" t="s">
        <v>22715</v>
      </c>
      <c r="N648" s="10" t="s">
        <v>20681</v>
      </c>
      <c r="R648" s="9">
        <v>46091.348043981481</v>
      </c>
      <c r="S648" s="9">
        <v>46091.348043981481</v>
      </c>
    </row>
    <row r="649" spans="1:19" ht="12.5">
      <c r="A649" s="10" t="s">
        <v>19548</v>
      </c>
      <c r="B649" s="5" t="s">
        <v>14233</v>
      </c>
      <c r="C649" s="5">
        <v>573222222222</v>
      </c>
      <c r="D649" s="5" t="s">
        <v>42</v>
      </c>
      <c r="E649" s="5" t="s">
        <v>12657</v>
      </c>
      <c r="F649" s="5" t="s">
        <v>12657</v>
      </c>
      <c r="G649" s="5" t="s">
        <v>14233</v>
      </c>
      <c r="H649" s="10" t="s">
        <v>20463</v>
      </c>
      <c r="K649" s="9">
        <v>46091.348113425927</v>
      </c>
      <c r="L649" s="5" t="s">
        <v>6139</v>
      </c>
      <c r="M649" s="10" t="s">
        <v>22716</v>
      </c>
      <c r="N649" s="10" t="s">
        <v>20681</v>
      </c>
      <c r="R649" s="9">
        <v>46091.348113425927</v>
      </c>
      <c r="S649" s="9">
        <v>46091.348113425927</v>
      </c>
    </row>
    <row r="650" spans="1:19" ht="12.5">
      <c r="A650" s="10" t="s">
        <v>22717</v>
      </c>
      <c r="B650" s="5" t="s">
        <v>14231</v>
      </c>
      <c r="C650" s="5">
        <v>573013053173</v>
      </c>
      <c r="D650" s="5" t="s">
        <v>14232</v>
      </c>
      <c r="E650" s="5" t="s">
        <v>12657</v>
      </c>
      <c r="F650" s="5" t="s">
        <v>12657</v>
      </c>
      <c r="G650" s="5" t="s">
        <v>14231</v>
      </c>
      <c r="H650" s="10" t="s">
        <v>20457</v>
      </c>
      <c r="K650" s="9">
        <v>46091.348194444443</v>
      </c>
      <c r="L650" s="5" t="s">
        <v>6139</v>
      </c>
      <c r="M650" s="10" t="s">
        <v>22718</v>
      </c>
      <c r="N650" s="10" t="s">
        <v>20681</v>
      </c>
      <c r="R650" s="9">
        <v>46091.348194444443</v>
      </c>
      <c r="S650" s="9">
        <v>46091.348194444443</v>
      </c>
    </row>
    <row r="651" spans="1:19" ht="12.5">
      <c r="A651" s="10" t="s">
        <v>22719</v>
      </c>
      <c r="B651" s="5" t="s">
        <v>14225</v>
      </c>
      <c r="C651" s="5">
        <v>573005296460</v>
      </c>
      <c r="D651" s="5" t="s">
        <v>42</v>
      </c>
      <c r="E651" s="5" t="s">
        <v>14227</v>
      </c>
      <c r="F651" s="5" t="s">
        <v>598</v>
      </c>
      <c r="G651" s="5" t="s">
        <v>14225</v>
      </c>
      <c r="H651" s="10" t="s">
        <v>22720</v>
      </c>
      <c r="K651" s="9">
        <v>46091.348298611112</v>
      </c>
      <c r="L651" s="5" t="s">
        <v>6139</v>
      </c>
      <c r="M651" s="10" t="s">
        <v>22721</v>
      </c>
      <c r="N651" s="10" t="s">
        <v>20681</v>
      </c>
      <c r="P651" s="5" t="s">
        <v>14593</v>
      </c>
      <c r="R651" s="9">
        <v>46091.348298611112</v>
      </c>
      <c r="S651" s="9">
        <v>46091.348298611112</v>
      </c>
    </row>
    <row r="652" spans="1:19" ht="12.5">
      <c r="A652" s="10" t="s">
        <v>22722</v>
      </c>
      <c r="B652" s="5" t="s">
        <v>14221</v>
      </c>
      <c r="C652" s="5">
        <v>573045225866</v>
      </c>
      <c r="D652" s="5" t="s">
        <v>14222</v>
      </c>
      <c r="E652" s="5" t="s">
        <v>12657</v>
      </c>
      <c r="F652" s="5" t="s">
        <v>12657</v>
      </c>
      <c r="G652" s="5" t="s">
        <v>14221</v>
      </c>
      <c r="H652" s="10" t="s">
        <v>22723</v>
      </c>
      <c r="K652" s="9">
        <v>46091.348344907405</v>
      </c>
      <c r="L652" s="5" t="s">
        <v>6139</v>
      </c>
      <c r="M652" s="10" t="s">
        <v>22724</v>
      </c>
      <c r="N652" s="10" t="s">
        <v>20681</v>
      </c>
      <c r="R652" s="9">
        <v>46091.348344907405</v>
      </c>
      <c r="S652" s="9">
        <v>46091.348344907405</v>
      </c>
    </row>
    <row r="653" spans="1:19" ht="12.5">
      <c r="A653" s="10" t="s">
        <v>22725</v>
      </c>
      <c r="B653" s="5" t="s">
        <v>14205</v>
      </c>
      <c r="C653" s="5">
        <v>57000000000</v>
      </c>
      <c r="D653" s="5" t="s">
        <v>14206</v>
      </c>
      <c r="E653" s="5" t="s">
        <v>12657</v>
      </c>
      <c r="F653" s="5" t="s">
        <v>12657</v>
      </c>
      <c r="G653" s="5" t="s">
        <v>14205</v>
      </c>
      <c r="H653" s="10" t="s">
        <v>20602</v>
      </c>
      <c r="K653" s="9">
        <v>46091.348391203705</v>
      </c>
      <c r="L653" s="5" t="s">
        <v>6139</v>
      </c>
      <c r="M653" s="10" t="s">
        <v>22726</v>
      </c>
      <c r="N653" s="10" t="s">
        <v>20681</v>
      </c>
      <c r="R653" s="9">
        <v>46091.348391203705</v>
      </c>
      <c r="S653" s="9">
        <v>46091.348391203705</v>
      </c>
    </row>
    <row r="654" spans="1:19" ht="12.5">
      <c r="A654" s="10" t="s">
        <v>22727</v>
      </c>
      <c r="B654" s="5" t="s">
        <v>14202</v>
      </c>
      <c r="C654" s="5">
        <v>573012421500</v>
      </c>
      <c r="D654" s="5" t="s">
        <v>14204</v>
      </c>
      <c r="E654" s="5" t="s">
        <v>12657</v>
      </c>
      <c r="F654" s="5" t="s">
        <v>12657</v>
      </c>
      <c r="G654" s="5" t="s">
        <v>14203</v>
      </c>
      <c r="H654" s="10" t="s">
        <v>22728</v>
      </c>
      <c r="K654" s="9">
        <v>46091.348437499997</v>
      </c>
      <c r="L654" s="5" t="s">
        <v>6139</v>
      </c>
      <c r="M654" s="10" t="s">
        <v>22729</v>
      </c>
      <c r="N654" s="10" t="s">
        <v>20681</v>
      </c>
      <c r="R654" s="9">
        <v>46091.348437499997</v>
      </c>
      <c r="S654" s="9">
        <v>46091.348437499997</v>
      </c>
    </row>
    <row r="655" spans="1:19" ht="12.5">
      <c r="A655" s="10" t="s">
        <v>22730</v>
      </c>
      <c r="B655" s="5" t="s">
        <v>14187</v>
      </c>
      <c r="C655" s="5">
        <v>573234114820</v>
      </c>
      <c r="D655" s="5" t="s">
        <v>14188</v>
      </c>
      <c r="E655" s="5" t="s">
        <v>12657</v>
      </c>
      <c r="F655" s="5" t="s">
        <v>12657</v>
      </c>
      <c r="G655" s="5" t="s">
        <v>14187</v>
      </c>
      <c r="H655" s="10" t="s">
        <v>22731</v>
      </c>
      <c r="K655" s="9">
        <v>46091.348495370374</v>
      </c>
      <c r="L655" s="5" t="s">
        <v>6139</v>
      </c>
      <c r="M655" s="10" t="s">
        <v>22732</v>
      </c>
      <c r="N655" s="10" t="s">
        <v>20681</v>
      </c>
      <c r="R655" s="9">
        <v>46091.348495370374</v>
      </c>
      <c r="S655" s="9">
        <v>46091.348495370374</v>
      </c>
    </row>
    <row r="656" spans="1:19" ht="12.5">
      <c r="A656" s="10" t="s">
        <v>22733</v>
      </c>
      <c r="B656" s="5" t="s">
        <v>14454</v>
      </c>
      <c r="C656" s="5">
        <v>573019085103</v>
      </c>
      <c r="D656" s="5" t="s">
        <v>42</v>
      </c>
      <c r="E656" s="5" t="s">
        <v>14455</v>
      </c>
      <c r="F656" s="5" t="s">
        <v>307</v>
      </c>
      <c r="G656" s="5" t="s">
        <v>14454</v>
      </c>
      <c r="H656" s="10" t="s">
        <v>20587</v>
      </c>
      <c r="K656" s="9">
        <v>46091.348715277774</v>
      </c>
      <c r="L656" s="5" t="s">
        <v>6139</v>
      </c>
      <c r="M656" s="10" t="s">
        <v>22734</v>
      </c>
      <c r="N656" s="10" t="s">
        <v>22735</v>
      </c>
      <c r="P656" s="5" t="s">
        <v>14618</v>
      </c>
      <c r="R656" s="9">
        <v>46091.348715277774</v>
      </c>
      <c r="S656" s="9">
        <v>46091.348715277774</v>
      </c>
    </row>
    <row r="657" spans="1:19" ht="12.5">
      <c r="A657" s="10" t="s">
        <v>22736</v>
      </c>
      <c r="B657" s="5" t="s">
        <v>13441</v>
      </c>
      <c r="C657" s="5">
        <v>573012967965</v>
      </c>
      <c r="D657" s="5" t="s">
        <v>14160</v>
      </c>
      <c r="E657" s="5" t="s">
        <v>12657</v>
      </c>
      <c r="F657" s="5" t="s">
        <v>12657</v>
      </c>
      <c r="G657" s="5" t="s">
        <v>13441</v>
      </c>
      <c r="H657" s="10" t="s">
        <v>22525</v>
      </c>
      <c r="K657" s="9">
        <v>46091.349641203706</v>
      </c>
      <c r="L657" s="5" t="s">
        <v>6139</v>
      </c>
      <c r="M657" s="10" t="s">
        <v>22737</v>
      </c>
      <c r="N657" s="10" t="s">
        <v>20681</v>
      </c>
      <c r="R657" s="9">
        <v>46091.349641203706</v>
      </c>
      <c r="S657" s="9">
        <v>46091.349641203706</v>
      </c>
    </row>
    <row r="658" spans="1:19" ht="12.5">
      <c r="A658" s="10" t="s">
        <v>22738</v>
      </c>
      <c r="B658" s="5" t="s">
        <v>14139</v>
      </c>
      <c r="C658" s="5">
        <v>573168763144</v>
      </c>
      <c r="D658" s="5" t="s">
        <v>14140</v>
      </c>
      <c r="E658" s="5" t="s">
        <v>12657</v>
      </c>
      <c r="F658" s="5" t="s">
        <v>12657</v>
      </c>
      <c r="G658" s="5" t="s">
        <v>14139</v>
      </c>
      <c r="H658" s="10" t="s">
        <v>22739</v>
      </c>
      <c r="K658" s="9">
        <v>46091.349699074075</v>
      </c>
      <c r="L658" s="5" t="s">
        <v>6139</v>
      </c>
      <c r="M658" s="10" t="s">
        <v>22740</v>
      </c>
      <c r="N658" s="10" t="s">
        <v>20681</v>
      </c>
      <c r="R658" s="9">
        <v>46091.349699074075</v>
      </c>
      <c r="S658" s="9">
        <v>46091.349699074075</v>
      </c>
    </row>
    <row r="659" spans="1:19" ht="12.5">
      <c r="A659" s="10" t="s">
        <v>22741</v>
      </c>
      <c r="B659" s="5" t="s">
        <v>14072</v>
      </c>
      <c r="C659" s="5">
        <v>573238048114</v>
      </c>
      <c r="D659" s="5" t="s">
        <v>20330</v>
      </c>
      <c r="E659" s="5" t="s">
        <v>12657</v>
      </c>
      <c r="F659" s="5" t="s">
        <v>12657</v>
      </c>
      <c r="G659" s="5" t="s">
        <v>14072</v>
      </c>
      <c r="H659" s="10" t="s">
        <v>22742</v>
      </c>
      <c r="K659" s="9">
        <v>46091.349745370368</v>
      </c>
      <c r="L659" s="5" t="s">
        <v>6139</v>
      </c>
      <c r="M659" s="10" t="s">
        <v>22743</v>
      </c>
      <c r="N659" s="10" t="s">
        <v>20681</v>
      </c>
      <c r="R659" s="9">
        <v>46091.349745370368</v>
      </c>
      <c r="S659" s="9">
        <v>46091.349745370368</v>
      </c>
    </row>
    <row r="660" spans="1:19" ht="12.5">
      <c r="A660" s="10" t="s">
        <v>22744</v>
      </c>
      <c r="B660" s="5" t="s">
        <v>14006</v>
      </c>
      <c r="C660" s="5">
        <v>573145417064</v>
      </c>
      <c r="D660" s="5" t="s">
        <v>12673</v>
      </c>
      <c r="E660" s="5" t="s">
        <v>14008</v>
      </c>
      <c r="F660" s="5" t="s">
        <v>103</v>
      </c>
      <c r="G660" s="5" t="s">
        <v>14007</v>
      </c>
      <c r="H660" s="10" t="s">
        <v>22745</v>
      </c>
      <c r="K660" s="9">
        <v>46091.349803240744</v>
      </c>
      <c r="L660" s="5" t="s">
        <v>6139</v>
      </c>
      <c r="M660" s="10" t="s">
        <v>22746</v>
      </c>
      <c r="N660" s="10" t="s">
        <v>20722</v>
      </c>
      <c r="P660" s="5" t="s">
        <v>14593</v>
      </c>
      <c r="R660" s="9">
        <v>46091.349803240744</v>
      </c>
      <c r="S660" s="9">
        <v>46091.349803240744</v>
      </c>
    </row>
    <row r="661" spans="1:19" ht="12.5">
      <c r="A661" s="10" t="s">
        <v>22747</v>
      </c>
      <c r="B661" s="5" t="s">
        <v>14056</v>
      </c>
      <c r="C661" s="5">
        <v>573004568021</v>
      </c>
      <c r="D661" s="5" t="s">
        <v>14057</v>
      </c>
      <c r="E661" s="5" t="s">
        <v>12657</v>
      </c>
      <c r="F661" s="5" t="s">
        <v>12657</v>
      </c>
      <c r="G661" s="5" t="s">
        <v>14056</v>
      </c>
      <c r="H661" s="10" t="s">
        <v>20311</v>
      </c>
      <c r="K661" s="9">
        <v>46091.349907407406</v>
      </c>
      <c r="L661" s="5" t="s">
        <v>6139</v>
      </c>
      <c r="M661" s="10" t="s">
        <v>22748</v>
      </c>
      <c r="N661" s="10" t="s">
        <v>20681</v>
      </c>
      <c r="R661" s="9">
        <v>46091.349907407406</v>
      </c>
      <c r="S661" s="9">
        <v>46091.349907407406</v>
      </c>
    </row>
    <row r="662" spans="1:19" ht="12.5">
      <c r="A662" s="10" t="s">
        <v>22749</v>
      </c>
      <c r="B662" s="5" t="s">
        <v>14006</v>
      </c>
      <c r="C662" s="5">
        <v>573145417064</v>
      </c>
      <c r="D662" s="5" t="s">
        <v>12673</v>
      </c>
      <c r="E662" s="5" t="s">
        <v>14042</v>
      </c>
      <c r="F662" s="5" t="s">
        <v>161</v>
      </c>
      <c r="G662" s="5" t="s">
        <v>22750</v>
      </c>
      <c r="H662" s="10" t="s">
        <v>22751</v>
      </c>
      <c r="K662" s="9">
        <v>46091.349965277775</v>
      </c>
      <c r="L662" s="5" t="s">
        <v>6139</v>
      </c>
      <c r="M662" s="10" t="s">
        <v>22752</v>
      </c>
      <c r="N662" s="10" t="s">
        <v>20722</v>
      </c>
      <c r="P662" s="5" t="s">
        <v>14593</v>
      </c>
      <c r="R662" s="9">
        <v>46091.349965277775</v>
      </c>
      <c r="S662" s="9">
        <v>46091.349965277775</v>
      </c>
    </row>
    <row r="663" spans="1:19" ht="12.5">
      <c r="A663" s="10" t="s">
        <v>22753</v>
      </c>
      <c r="B663" s="5" t="s">
        <v>13983</v>
      </c>
      <c r="C663" s="5">
        <v>573013726870</v>
      </c>
      <c r="D663" s="5" t="s">
        <v>42</v>
      </c>
      <c r="E663" s="5" t="s">
        <v>12657</v>
      </c>
      <c r="F663" s="5" t="s">
        <v>12657</v>
      </c>
      <c r="G663" s="5" t="s">
        <v>13983</v>
      </c>
      <c r="H663" s="10" t="s">
        <v>22754</v>
      </c>
      <c r="K663" s="9">
        <v>46091.350011574075</v>
      </c>
      <c r="L663" s="5" t="s">
        <v>6139</v>
      </c>
      <c r="M663" s="10" t="s">
        <v>22755</v>
      </c>
      <c r="N663" s="10" t="s">
        <v>20681</v>
      </c>
      <c r="R663" s="9">
        <v>46091.350011574075</v>
      </c>
      <c r="S663" s="9">
        <v>46091.350011574075</v>
      </c>
    </row>
    <row r="664" spans="1:19" ht="12.5">
      <c r="A664" s="10" t="s">
        <v>22756</v>
      </c>
      <c r="B664" s="5" t="s">
        <v>13983</v>
      </c>
      <c r="C664" s="5">
        <v>573013726870</v>
      </c>
      <c r="D664" s="5" t="s">
        <v>42</v>
      </c>
      <c r="E664" s="5" t="s">
        <v>12657</v>
      </c>
      <c r="F664" s="5" t="s">
        <v>12657</v>
      </c>
      <c r="G664" s="5" t="s">
        <v>13983</v>
      </c>
      <c r="H664" s="10" t="s">
        <v>22754</v>
      </c>
      <c r="K664" s="9">
        <v>46091.350069444445</v>
      </c>
      <c r="L664" s="5" t="s">
        <v>6139</v>
      </c>
      <c r="M664" s="10" t="s">
        <v>22757</v>
      </c>
      <c r="N664" s="10" t="s">
        <v>20681</v>
      </c>
      <c r="R664" s="9">
        <v>46091.350069444445</v>
      </c>
      <c r="S664" s="9">
        <v>46091.350069444445</v>
      </c>
    </row>
    <row r="665" spans="1:19" ht="12.5">
      <c r="A665" s="10" t="s">
        <v>22758</v>
      </c>
      <c r="B665" s="5" t="s">
        <v>13970</v>
      </c>
      <c r="C665" s="5">
        <v>573133861423</v>
      </c>
      <c r="D665" s="5" t="s">
        <v>20245</v>
      </c>
      <c r="E665" s="5" t="s">
        <v>12657</v>
      </c>
      <c r="F665" s="5" t="s">
        <v>12657</v>
      </c>
      <c r="G665" s="5" t="s">
        <v>13970</v>
      </c>
      <c r="H665" s="10" t="s">
        <v>22759</v>
      </c>
      <c r="K665" s="9">
        <v>46091.350127314814</v>
      </c>
      <c r="L665" s="5" t="s">
        <v>6139</v>
      </c>
      <c r="M665" s="10" t="s">
        <v>22760</v>
      </c>
      <c r="N665" s="10" t="s">
        <v>20681</v>
      </c>
      <c r="R665" s="9">
        <v>46091.350127314814</v>
      </c>
      <c r="S665" s="9">
        <v>46091.350127314814</v>
      </c>
    </row>
    <row r="666" spans="1:19" ht="12.5">
      <c r="A666" s="10" t="s">
        <v>22761</v>
      </c>
      <c r="B666" s="5" t="s">
        <v>13969</v>
      </c>
      <c r="C666" s="5">
        <v>573003322666</v>
      </c>
      <c r="D666" s="5" t="s">
        <v>12423</v>
      </c>
      <c r="E666" s="5" t="s">
        <v>12657</v>
      </c>
      <c r="F666" s="5" t="s">
        <v>12657</v>
      </c>
      <c r="G666" s="5" t="s">
        <v>13969</v>
      </c>
      <c r="H666" s="10" t="s">
        <v>20823</v>
      </c>
      <c r="K666" s="9">
        <v>46091.350173611114</v>
      </c>
      <c r="L666" s="5" t="s">
        <v>6139</v>
      </c>
      <c r="M666" s="10" t="s">
        <v>22762</v>
      </c>
      <c r="N666" s="10" t="s">
        <v>20869</v>
      </c>
      <c r="R666" s="9">
        <v>46091.350173611114</v>
      </c>
      <c r="S666" s="9">
        <v>46091.350173611114</v>
      </c>
    </row>
    <row r="667" spans="1:19" ht="12.5">
      <c r="A667" s="10" t="s">
        <v>22763</v>
      </c>
      <c r="B667" s="5" t="s">
        <v>13889</v>
      </c>
      <c r="C667" s="5">
        <v>573175115454</v>
      </c>
      <c r="D667" s="5" t="s">
        <v>12924</v>
      </c>
      <c r="E667" s="5" t="s">
        <v>13891</v>
      </c>
      <c r="F667" s="5" t="s">
        <v>79</v>
      </c>
      <c r="G667" s="5" t="s">
        <v>13890</v>
      </c>
      <c r="H667" s="10" t="s">
        <v>22764</v>
      </c>
      <c r="K667" s="9">
        <v>46091.350231481483</v>
      </c>
      <c r="L667" s="5" t="s">
        <v>6139</v>
      </c>
      <c r="M667" s="10" t="s">
        <v>22765</v>
      </c>
      <c r="N667" s="10" t="s">
        <v>20758</v>
      </c>
      <c r="P667" s="5" t="s">
        <v>14593</v>
      </c>
      <c r="R667" s="9">
        <v>46091.350231481483</v>
      </c>
      <c r="S667" s="9">
        <v>46091.350231481483</v>
      </c>
    </row>
    <row r="668" spans="1:19" ht="12.5">
      <c r="A668" s="10" t="s">
        <v>22766</v>
      </c>
      <c r="B668" s="5" t="s">
        <v>13940</v>
      </c>
      <c r="C668" s="5">
        <v>573015934541</v>
      </c>
      <c r="D668" s="5" t="s">
        <v>13941</v>
      </c>
      <c r="E668" s="5" t="s">
        <v>12657</v>
      </c>
      <c r="F668" s="5" t="s">
        <v>12657</v>
      </c>
      <c r="G668" s="5" t="s">
        <v>13940</v>
      </c>
      <c r="H668" s="10" t="s">
        <v>20231</v>
      </c>
      <c r="K668" s="9">
        <v>46091.350277777776</v>
      </c>
      <c r="L668" s="5" t="s">
        <v>6139</v>
      </c>
      <c r="M668" s="10" t="s">
        <v>22767</v>
      </c>
      <c r="N668" s="10" t="s">
        <v>20681</v>
      </c>
      <c r="R668" s="9">
        <v>46091.350277777776</v>
      </c>
      <c r="S668" s="9">
        <v>46091.350277777776</v>
      </c>
    </row>
    <row r="669" spans="1:19" ht="12.5">
      <c r="A669" s="10" t="s">
        <v>22768</v>
      </c>
      <c r="B669" s="5" t="s">
        <v>13923</v>
      </c>
      <c r="C669" s="5">
        <v>573505478522</v>
      </c>
      <c r="D669" s="5" t="s">
        <v>13807</v>
      </c>
      <c r="E669" s="5" t="s">
        <v>12657</v>
      </c>
      <c r="F669" s="5" t="s">
        <v>12657</v>
      </c>
      <c r="G669" s="5" t="s">
        <v>13923</v>
      </c>
      <c r="H669" s="10" t="s">
        <v>22769</v>
      </c>
      <c r="K669" s="9">
        <v>46091.350312499999</v>
      </c>
      <c r="L669" s="5" t="s">
        <v>6139</v>
      </c>
      <c r="M669" s="10" t="s">
        <v>22770</v>
      </c>
      <c r="N669" s="10" t="s">
        <v>20975</v>
      </c>
      <c r="R669" s="9">
        <v>46091.350312499999</v>
      </c>
      <c r="S669" s="9">
        <v>46091.350312499999</v>
      </c>
    </row>
    <row r="670" spans="1:19" ht="12.5">
      <c r="A670" s="10" t="s">
        <v>22771</v>
      </c>
      <c r="B670" s="5" t="s">
        <v>13830</v>
      </c>
      <c r="C670" s="5">
        <v>573145948123</v>
      </c>
      <c r="D670" s="5" t="s">
        <v>12406</v>
      </c>
      <c r="E670" s="5" t="s">
        <v>13832</v>
      </c>
      <c r="F670" s="5" t="s">
        <v>726</v>
      </c>
      <c r="G670" s="5" t="s">
        <v>22772</v>
      </c>
      <c r="H670" s="10" t="s">
        <v>22773</v>
      </c>
      <c r="K670" s="9">
        <v>46091.350381944445</v>
      </c>
      <c r="L670" s="5" t="s">
        <v>6139</v>
      </c>
      <c r="M670" s="10" t="s">
        <v>22774</v>
      </c>
      <c r="N670" s="10" t="s">
        <v>20762</v>
      </c>
      <c r="P670" s="5" t="s">
        <v>14618</v>
      </c>
      <c r="R670" s="9">
        <v>46091.350381944445</v>
      </c>
      <c r="S670" s="9">
        <v>46091.350381944445</v>
      </c>
    </row>
    <row r="671" spans="1:19" ht="12.5">
      <c r="A671" s="10" t="s">
        <v>22775</v>
      </c>
      <c r="B671" s="5" t="s">
        <v>13308</v>
      </c>
      <c r="C671" s="5">
        <v>573017245671</v>
      </c>
      <c r="D671" s="5" t="s">
        <v>42</v>
      </c>
      <c r="E671" s="5" t="s">
        <v>12657</v>
      </c>
      <c r="F671" s="5" t="s">
        <v>12657</v>
      </c>
      <c r="G671" s="5" t="s">
        <v>13308</v>
      </c>
      <c r="H671" s="10" t="s">
        <v>20187</v>
      </c>
      <c r="K671" s="9">
        <v>46091.350439814814</v>
      </c>
      <c r="L671" s="5" t="s">
        <v>6139</v>
      </c>
      <c r="M671" s="10" t="s">
        <v>22776</v>
      </c>
      <c r="N671" s="10" t="s">
        <v>20681</v>
      </c>
      <c r="R671" s="9">
        <v>46091.350439814814</v>
      </c>
      <c r="S671" s="9">
        <v>46091.350439814814</v>
      </c>
    </row>
    <row r="672" spans="1:19" ht="12.5">
      <c r="A672" s="10" t="s">
        <v>22777</v>
      </c>
      <c r="B672" s="5" t="s">
        <v>13813</v>
      </c>
      <c r="C672" s="5">
        <v>573015327503</v>
      </c>
      <c r="D672" s="5" t="s">
        <v>12423</v>
      </c>
      <c r="E672" s="5" t="s">
        <v>12657</v>
      </c>
      <c r="F672" s="5" t="s">
        <v>12657</v>
      </c>
      <c r="G672" s="5" t="s">
        <v>13813</v>
      </c>
      <c r="H672" s="10" t="s">
        <v>22778</v>
      </c>
      <c r="K672" s="9">
        <v>46091.350497685184</v>
      </c>
      <c r="L672" s="5" t="s">
        <v>6139</v>
      </c>
      <c r="M672" s="10" t="s">
        <v>22779</v>
      </c>
      <c r="N672" s="10" t="s">
        <v>20917</v>
      </c>
      <c r="R672" s="9">
        <v>46091.350497685184</v>
      </c>
      <c r="S672" s="9">
        <v>46091.350497685184</v>
      </c>
    </row>
    <row r="673" spans="1:19" ht="12.5">
      <c r="A673" s="10" t="s">
        <v>22780</v>
      </c>
      <c r="B673" s="5" t="s">
        <v>7064</v>
      </c>
      <c r="C673" s="5">
        <v>573008368202</v>
      </c>
      <c r="D673" s="5" t="s">
        <v>13789</v>
      </c>
      <c r="E673" s="5" t="s">
        <v>13788</v>
      </c>
      <c r="F673" s="5" t="s">
        <v>103</v>
      </c>
      <c r="G673" s="5" t="s">
        <v>11357</v>
      </c>
      <c r="K673" s="9">
        <v>46091.350555555553</v>
      </c>
      <c r="L673" s="5" t="s">
        <v>6139</v>
      </c>
      <c r="M673" s="10" t="s">
        <v>22781</v>
      </c>
      <c r="N673" s="10" t="s">
        <v>20681</v>
      </c>
      <c r="P673" s="5" t="s">
        <v>14593</v>
      </c>
      <c r="R673" s="9">
        <v>46091.350555555553</v>
      </c>
      <c r="S673" s="9">
        <v>46091.350555555553</v>
      </c>
    </row>
    <row r="674" spans="1:19" ht="12.5">
      <c r="A674" s="10" t="s">
        <v>22782</v>
      </c>
      <c r="B674" s="5" t="s">
        <v>13777</v>
      </c>
      <c r="C674" s="5">
        <v>573013258824</v>
      </c>
      <c r="D674" s="5" t="s">
        <v>13079</v>
      </c>
      <c r="E674" s="5" t="s">
        <v>13779</v>
      </c>
      <c r="F674" s="5" t="s">
        <v>63</v>
      </c>
      <c r="G674" s="5" t="s">
        <v>13778</v>
      </c>
      <c r="H674" s="10" t="s">
        <v>22783</v>
      </c>
      <c r="K674" s="9">
        <v>46091.350613425922</v>
      </c>
      <c r="L674" s="5" t="s">
        <v>6139</v>
      </c>
      <c r="M674" s="10" t="s">
        <v>22784</v>
      </c>
      <c r="N674" s="10" t="s">
        <v>20891</v>
      </c>
      <c r="P674" s="5" t="s">
        <v>14598</v>
      </c>
      <c r="R674" s="9">
        <v>46091.350613425922</v>
      </c>
      <c r="S674" s="9">
        <v>46091.350613425922</v>
      </c>
    </row>
    <row r="675" spans="1:19" ht="12.5">
      <c r="A675" s="10" t="s">
        <v>22785</v>
      </c>
      <c r="B675" s="5" t="s">
        <v>13666</v>
      </c>
      <c r="C675" s="5">
        <v>57312383819419</v>
      </c>
      <c r="D675" s="5" t="s">
        <v>12406</v>
      </c>
      <c r="E675" s="5" t="s">
        <v>12657</v>
      </c>
      <c r="F675" s="5" t="s">
        <v>12657</v>
      </c>
      <c r="G675" s="5" t="s">
        <v>13666</v>
      </c>
      <c r="H675" s="10" t="s">
        <v>22786</v>
      </c>
      <c r="K675" s="9">
        <v>46091.350671296299</v>
      </c>
      <c r="L675" s="5" t="s">
        <v>6139</v>
      </c>
      <c r="M675" s="10" t="s">
        <v>22787</v>
      </c>
      <c r="N675" s="10" t="s">
        <v>20917</v>
      </c>
      <c r="R675" s="9">
        <v>46091.350671296299</v>
      </c>
      <c r="S675" s="9">
        <v>46091.350671296299</v>
      </c>
    </row>
    <row r="676" spans="1:19" ht="12.5">
      <c r="A676" s="10" t="s">
        <v>22788</v>
      </c>
      <c r="B676" s="5" t="s">
        <v>3183</v>
      </c>
      <c r="C676" s="5">
        <v>573043190657</v>
      </c>
      <c r="D676" s="5" t="s">
        <v>12406</v>
      </c>
      <c r="E676" s="5" t="s">
        <v>12657</v>
      </c>
      <c r="F676" s="5" t="s">
        <v>12657</v>
      </c>
      <c r="G676" s="5" t="s">
        <v>3183</v>
      </c>
      <c r="H676" s="10" t="s">
        <v>19133</v>
      </c>
      <c r="K676" s="9">
        <v>46091.350717592592</v>
      </c>
      <c r="L676" s="5" t="s">
        <v>6139</v>
      </c>
      <c r="M676" s="10" t="s">
        <v>22789</v>
      </c>
      <c r="N676" s="10" t="s">
        <v>22790</v>
      </c>
      <c r="R676" s="9">
        <v>46091.350717592592</v>
      </c>
      <c r="S676" s="9">
        <v>46091.350717592592</v>
      </c>
    </row>
    <row r="677" spans="1:19" ht="12.5">
      <c r="A677" s="10" t="s">
        <v>22791</v>
      </c>
      <c r="B677" s="5" t="s">
        <v>13666</v>
      </c>
      <c r="C677" s="5">
        <v>573123838194</v>
      </c>
      <c r="D677" s="5" t="s">
        <v>13667</v>
      </c>
      <c r="E677" s="5" t="s">
        <v>12657</v>
      </c>
      <c r="F677" s="5" t="s">
        <v>12657</v>
      </c>
      <c r="G677" s="5" t="s">
        <v>13666</v>
      </c>
      <c r="H677" s="10" t="s">
        <v>22786</v>
      </c>
      <c r="K677" s="9">
        <v>46091.350775462961</v>
      </c>
      <c r="L677" s="5" t="s">
        <v>6139</v>
      </c>
      <c r="M677" s="10" t="s">
        <v>22792</v>
      </c>
      <c r="N677" s="10" t="s">
        <v>20681</v>
      </c>
      <c r="R677" s="9">
        <v>46091.350775462961</v>
      </c>
      <c r="S677" s="9">
        <v>46091.350775462961</v>
      </c>
    </row>
    <row r="678" spans="1:19" ht="12.5">
      <c r="A678" s="10" t="s">
        <v>22793</v>
      </c>
      <c r="B678" s="5" t="s">
        <v>13708</v>
      </c>
      <c r="C678" s="5">
        <v>573242829432</v>
      </c>
      <c r="D678" s="5" t="s">
        <v>12728</v>
      </c>
      <c r="E678" s="5" t="s">
        <v>13709</v>
      </c>
      <c r="F678" s="5" t="s">
        <v>146</v>
      </c>
      <c r="G678" s="5" t="s">
        <v>17290</v>
      </c>
      <c r="H678" s="10" t="s">
        <v>22794</v>
      </c>
      <c r="K678" s="9">
        <v>46091.350856481484</v>
      </c>
      <c r="L678" s="5" t="s">
        <v>6139</v>
      </c>
      <c r="M678" s="10" t="s">
        <v>22795</v>
      </c>
      <c r="N678" s="10" t="s">
        <v>20917</v>
      </c>
      <c r="P678" s="5" t="s">
        <v>14618</v>
      </c>
      <c r="R678" s="9">
        <v>46091.350856481484</v>
      </c>
      <c r="S678" s="9">
        <v>46091.350856481484</v>
      </c>
    </row>
    <row r="679" spans="1:19" ht="12.5">
      <c r="A679" s="10" t="s">
        <v>22796</v>
      </c>
      <c r="B679" s="5" t="s">
        <v>14438</v>
      </c>
      <c r="C679" s="5">
        <v>573226090059</v>
      </c>
      <c r="D679" s="5" t="s">
        <v>133</v>
      </c>
      <c r="E679" s="5" t="s">
        <v>12657</v>
      </c>
      <c r="F679" s="5" t="s">
        <v>12657</v>
      </c>
      <c r="G679" s="5" t="s">
        <v>14438</v>
      </c>
      <c r="H679" s="10" t="s">
        <v>22797</v>
      </c>
      <c r="K679" s="23">
        <v>46091.367268518516</v>
      </c>
      <c r="L679" s="5" t="s">
        <v>6139</v>
      </c>
      <c r="M679" s="10" t="s">
        <v>22798</v>
      </c>
      <c r="N679" s="10" t="s">
        <v>22649</v>
      </c>
      <c r="R679" s="9">
        <v>46091.367268518516</v>
      </c>
      <c r="S679" s="9">
        <v>46091.367268518516</v>
      </c>
    </row>
    <row r="680" spans="1:19" ht="12.5">
      <c r="A680" s="10" t="s">
        <v>22799</v>
      </c>
      <c r="B680" s="5" t="s">
        <v>14413</v>
      </c>
      <c r="C680" s="5">
        <v>573014184815</v>
      </c>
      <c r="D680" s="5" t="s">
        <v>918</v>
      </c>
      <c r="E680" s="5" t="s">
        <v>14415</v>
      </c>
      <c r="F680" s="5" t="s">
        <v>63</v>
      </c>
      <c r="G680" s="5" t="s">
        <v>14414</v>
      </c>
      <c r="H680" s="10" t="s">
        <v>22800</v>
      </c>
      <c r="K680" s="9">
        <v>46091.367407407408</v>
      </c>
      <c r="L680" s="5" t="s">
        <v>6139</v>
      </c>
      <c r="M680" s="10" t="s">
        <v>22801</v>
      </c>
      <c r="N680" s="10" t="s">
        <v>22802</v>
      </c>
      <c r="P680" s="5" t="s">
        <v>14598</v>
      </c>
      <c r="R680" s="9">
        <v>46091.367407407408</v>
      </c>
      <c r="S680" s="9">
        <v>46091.367407407408</v>
      </c>
    </row>
    <row r="681" spans="1:19" ht="12.5">
      <c r="A681" s="10" t="s">
        <v>22803</v>
      </c>
      <c r="B681" s="5" t="s">
        <v>14443</v>
      </c>
      <c r="C681" s="5">
        <v>573000000002</v>
      </c>
      <c r="D681" s="5" t="s">
        <v>133</v>
      </c>
      <c r="E681" s="5" t="s">
        <v>14445</v>
      </c>
      <c r="G681" s="5" t="s">
        <v>14444</v>
      </c>
      <c r="I681" s="5" t="s">
        <v>3962</v>
      </c>
      <c r="K681" s="9">
        <v>46091.36755787037</v>
      </c>
      <c r="L681" s="5" t="s">
        <v>20652</v>
      </c>
      <c r="M681" s="10" t="s">
        <v>22804</v>
      </c>
      <c r="N681" s="10" t="s">
        <v>22663</v>
      </c>
      <c r="R681" s="9">
        <v>46091.36755787037</v>
      </c>
      <c r="S681" s="9">
        <v>46091.36755787037</v>
      </c>
    </row>
    <row r="682" spans="1:19" ht="12.5">
      <c r="A682" s="10" t="s">
        <v>22805</v>
      </c>
      <c r="B682" s="5" t="s">
        <v>14447</v>
      </c>
      <c r="C682" s="5">
        <v>57312864078064</v>
      </c>
      <c r="D682" s="5" t="s">
        <v>14451</v>
      </c>
      <c r="E682" s="5" t="s">
        <v>14450</v>
      </c>
      <c r="F682" s="5" t="s">
        <v>14449</v>
      </c>
      <c r="G682" s="5" t="s">
        <v>22806</v>
      </c>
      <c r="H682" s="10" t="s">
        <v>22807</v>
      </c>
      <c r="K682" s="9">
        <v>46091.395555555559</v>
      </c>
      <c r="L682" s="5" t="s">
        <v>6139</v>
      </c>
      <c r="M682" s="10" t="s">
        <v>22808</v>
      </c>
      <c r="N682" s="10" t="s">
        <v>22735</v>
      </c>
      <c r="P682" s="5" t="s">
        <v>14618</v>
      </c>
      <c r="R682" s="9">
        <v>46091.395555555559</v>
      </c>
      <c r="S682" s="9">
        <v>46091.395555555559</v>
      </c>
    </row>
    <row r="683" spans="1:19" ht="12.5">
      <c r="A683" s="10" t="s">
        <v>22809</v>
      </c>
      <c r="B683" s="5" t="s">
        <v>9613</v>
      </c>
      <c r="C683" s="5">
        <v>573008307176</v>
      </c>
      <c r="D683" s="5" t="s">
        <v>12924</v>
      </c>
      <c r="E683" s="5" t="s">
        <v>14463</v>
      </c>
      <c r="F683" s="5" t="s">
        <v>185</v>
      </c>
      <c r="G683" s="5" t="s">
        <v>14462</v>
      </c>
      <c r="H683" s="10" t="s">
        <v>20596</v>
      </c>
      <c r="K683" s="9">
        <v>46091.395671296297</v>
      </c>
      <c r="L683" s="5" t="s">
        <v>6139</v>
      </c>
      <c r="M683" s="10" t="s">
        <v>22810</v>
      </c>
      <c r="N683" s="10" t="s">
        <v>22663</v>
      </c>
      <c r="P683" s="5" t="s">
        <v>14580</v>
      </c>
      <c r="R683" s="9">
        <v>46091.395671296297</v>
      </c>
      <c r="S683" s="9">
        <v>46091.395671296297</v>
      </c>
    </row>
    <row r="684" spans="1:19" ht="12.5">
      <c r="A684" s="10" t="s">
        <v>22811</v>
      </c>
      <c r="B684" s="5" t="s">
        <v>13666</v>
      </c>
      <c r="C684" s="5">
        <v>573123838194</v>
      </c>
      <c r="D684" s="5" t="s">
        <v>42</v>
      </c>
      <c r="E684" s="5" t="s">
        <v>12657</v>
      </c>
      <c r="F684" s="5" t="s">
        <v>12657</v>
      </c>
      <c r="G684" s="5" t="s">
        <v>13666</v>
      </c>
      <c r="H684" s="10" t="s">
        <v>22786</v>
      </c>
      <c r="K684" s="9">
        <v>46091.399062500001</v>
      </c>
      <c r="L684" s="5" t="s">
        <v>6139</v>
      </c>
      <c r="M684" s="10" t="s">
        <v>22812</v>
      </c>
      <c r="N684" s="10" t="s">
        <v>22813</v>
      </c>
      <c r="R684" s="9">
        <v>46091.399062500001</v>
      </c>
      <c r="S684" s="9">
        <v>46091.399062500001</v>
      </c>
    </row>
    <row r="685" spans="1:19" ht="12.5">
      <c r="A685" s="10" t="s">
        <v>22814</v>
      </c>
      <c r="B685" s="5" t="s">
        <v>14467</v>
      </c>
      <c r="C685" s="5">
        <v>5719396251269</v>
      </c>
      <c r="D685" s="5" t="s">
        <v>2586</v>
      </c>
      <c r="E685" s="5" t="s">
        <v>14469</v>
      </c>
      <c r="F685" s="5" t="s">
        <v>103</v>
      </c>
      <c r="G685" s="5" t="s">
        <v>14468</v>
      </c>
      <c r="H685" s="10" t="s">
        <v>22815</v>
      </c>
      <c r="K685" s="9">
        <v>46091.417592592596</v>
      </c>
      <c r="L685" s="5" t="s">
        <v>6139</v>
      </c>
      <c r="M685" s="10" t="s">
        <v>22816</v>
      </c>
      <c r="N685" s="10" t="s">
        <v>22663</v>
      </c>
      <c r="P685" s="5" t="s">
        <v>14593</v>
      </c>
      <c r="R685" s="9">
        <v>46091.417592592596</v>
      </c>
      <c r="S685" s="9">
        <v>46091.417592592596</v>
      </c>
    </row>
    <row r="686" spans="1:19" ht="12.5">
      <c r="A686" s="10" t="s">
        <v>22817</v>
      </c>
      <c r="B686" s="5" t="s">
        <v>14483</v>
      </c>
      <c r="C686" s="5">
        <v>573000000000</v>
      </c>
      <c r="D686" s="5" t="s">
        <v>2586</v>
      </c>
      <c r="E686" s="5" t="s">
        <v>14485</v>
      </c>
      <c r="F686" s="5" t="s">
        <v>103</v>
      </c>
      <c r="G686" s="5" t="s">
        <v>20603</v>
      </c>
      <c r="H686" s="10" t="s">
        <v>20602</v>
      </c>
      <c r="K686" s="9">
        <v>46091.41777777778</v>
      </c>
      <c r="L686" s="5" t="s">
        <v>6139</v>
      </c>
      <c r="M686" s="10" t="s">
        <v>22818</v>
      </c>
      <c r="N686" s="10" t="s">
        <v>22819</v>
      </c>
      <c r="P686" s="5" t="s">
        <v>14593</v>
      </c>
      <c r="R686" s="9">
        <v>46091.41777777778</v>
      </c>
      <c r="S686" s="9">
        <v>46091.41777777778</v>
      </c>
    </row>
    <row r="687" spans="1:19" ht="12.5">
      <c r="A687" s="10" t="s">
        <v>22820</v>
      </c>
      <c r="B687" s="5" t="s">
        <v>14473</v>
      </c>
      <c r="C687" s="5">
        <v>578293545629</v>
      </c>
      <c r="D687" s="5" t="s">
        <v>20607</v>
      </c>
      <c r="E687" s="5" t="s">
        <v>14475</v>
      </c>
      <c r="F687" s="5" t="s">
        <v>124</v>
      </c>
      <c r="G687" s="5" t="s">
        <v>6301</v>
      </c>
      <c r="H687" s="10" t="s">
        <v>22821</v>
      </c>
      <c r="K687" s="9">
        <v>46091.437384259261</v>
      </c>
      <c r="L687" s="5" t="s">
        <v>6139</v>
      </c>
      <c r="M687" s="10" t="s">
        <v>22822</v>
      </c>
      <c r="N687" s="10" t="s">
        <v>22819</v>
      </c>
      <c r="P687" s="5" t="s">
        <v>14775</v>
      </c>
      <c r="R687" s="9">
        <v>46091.437384259261</v>
      </c>
      <c r="S687" s="9">
        <v>46091.437384259261</v>
      </c>
    </row>
    <row r="688" spans="1:19" ht="12.5">
      <c r="A688" s="10" t="s">
        <v>22823</v>
      </c>
      <c r="B688" s="5" t="s">
        <v>14478</v>
      </c>
      <c r="C688" s="5">
        <v>573168798455</v>
      </c>
      <c r="D688" s="5" t="s">
        <v>375</v>
      </c>
      <c r="E688" s="5" t="s">
        <v>14480</v>
      </c>
      <c r="F688" s="5" t="s">
        <v>7476</v>
      </c>
      <c r="G688" s="5" t="s">
        <v>14479</v>
      </c>
      <c r="H688" s="10" t="s">
        <v>22824</v>
      </c>
      <c r="K688" s="9">
        <v>46091.4375</v>
      </c>
      <c r="L688" s="5" t="s">
        <v>6139</v>
      </c>
      <c r="M688" s="10" t="s">
        <v>22825</v>
      </c>
      <c r="N688" s="10" t="s">
        <v>22819</v>
      </c>
      <c r="P688" s="5" t="s">
        <v>15349</v>
      </c>
      <c r="R688" s="9">
        <v>46091.4375</v>
      </c>
      <c r="S688" s="9">
        <v>46091.4375</v>
      </c>
    </row>
    <row r="689" spans="1:19" ht="12.5">
      <c r="A689" s="10" t="s">
        <v>22826</v>
      </c>
      <c r="B689" s="5" t="s">
        <v>14492</v>
      </c>
      <c r="C689" s="5">
        <v>573226436691</v>
      </c>
      <c r="D689" s="5" t="s">
        <v>335</v>
      </c>
      <c r="E689" s="5" t="s">
        <v>14494</v>
      </c>
      <c r="F689" s="5" t="s">
        <v>2381</v>
      </c>
      <c r="G689" s="5" t="s">
        <v>20613</v>
      </c>
      <c r="H689" s="10" t="s">
        <v>22827</v>
      </c>
      <c r="K689" s="9">
        <v>46091.480729166666</v>
      </c>
      <c r="L689" s="5" t="s">
        <v>6139</v>
      </c>
      <c r="M689" s="10" t="s">
        <v>22828</v>
      </c>
      <c r="N689" s="10" t="s">
        <v>22829</v>
      </c>
      <c r="P689" s="5" t="s">
        <v>14593</v>
      </c>
      <c r="R689" s="9">
        <v>46091.480729166666</v>
      </c>
      <c r="S689" s="9">
        <v>46091.480729166666</v>
      </c>
    </row>
    <row r="690" spans="1:19" ht="12.5">
      <c r="A690" s="10" t="s">
        <v>22830</v>
      </c>
      <c r="B690" s="5" t="s">
        <v>14487</v>
      </c>
      <c r="C690" s="5">
        <v>41424142358683</v>
      </c>
      <c r="D690" s="5" t="s">
        <v>14489</v>
      </c>
      <c r="E690" s="5" t="s">
        <v>14488</v>
      </c>
      <c r="F690" s="5" t="s">
        <v>563</v>
      </c>
      <c r="G690" s="5" t="s">
        <v>22831</v>
      </c>
      <c r="K690" s="9">
        <v>46091.507847222223</v>
      </c>
      <c r="L690" s="5" t="s">
        <v>6139</v>
      </c>
      <c r="M690" s="10" t="s">
        <v>22832</v>
      </c>
      <c r="N690" s="10" t="s">
        <v>22833</v>
      </c>
      <c r="P690" s="5" t="s">
        <v>14775</v>
      </c>
      <c r="R690" s="9">
        <v>46091.507847222223</v>
      </c>
      <c r="S690" s="9">
        <v>46091.507847222223</v>
      </c>
    </row>
    <row r="691" spans="1:19" ht="12.5">
      <c r="K691" s="9"/>
      <c r="R691" s="9"/>
      <c r="S691" s="9"/>
    </row>
    <row r="692" spans="1:19" ht="12.5">
      <c r="K692" s="9"/>
      <c r="R692" s="9"/>
      <c r="S692" s="9"/>
    </row>
    <row r="693" spans="1:19" ht="12.5">
      <c r="K693" s="9"/>
      <c r="R693" s="9"/>
      <c r="S693" s="9"/>
    </row>
    <row r="694" spans="1:19" ht="12.5">
      <c r="K694" s="9"/>
      <c r="R694" s="9"/>
      <c r="S694" s="9"/>
    </row>
    <row r="695" spans="1:19" ht="12.5">
      <c r="K695" s="9"/>
      <c r="R695" s="9"/>
      <c r="S695" s="9"/>
    </row>
    <row r="696" spans="1:19" ht="12.5">
      <c r="K696" s="9"/>
      <c r="R696" s="9"/>
      <c r="S696" s="9"/>
    </row>
    <row r="697" spans="1:19" ht="12.5">
      <c r="K697" s="9"/>
      <c r="R697" s="9"/>
      <c r="S697" s="9"/>
    </row>
    <row r="698" spans="1:19" ht="12.5">
      <c r="K698" s="9"/>
      <c r="R698" s="9"/>
      <c r="S698" s="9"/>
    </row>
    <row r="699" spans="1:19" ht="12.5">
      <c r="K699" s="9"/>
      <c r="R699" s="9"/>
      <c r="S699" s="9"/>
    </row>
    <row r="700" spans="1:19" ht="12.5">
      <c r="K700" s="9"/>
      <c r="R700" s="9"/>
      <c r="S700" s="9"/>
    </row>
    <row r="701" spans="1:19" ht="12.5">
      <c r="K701" s="9"/>
      <c r="R701" s="9"/>
      <c r="S701" s="9"/>
    </row>
    <row r="702" spans="1:19" ht="12.5">
      <c r="K702" s="9"/>
      <c r="R702" s="9"/>
      <c r="S702" s="9"/>
    </row>
    <row r="703" spans="1:19" ht="12.5">
      <c r="K703" s="9"/>
      <c r="R703" s="9"/>
      <c r="S703" s="9"/>
    </row>
    <row r="704" spans="1:19" ht="12.5">
      <c r="K704" s="9"/>
      <c r="R704" s="9"/>
      <c r="S704" s="9"/>
    </row>
    <row r="705" spans="11:19" ht="12.5">
      <c r="K705" s="9"/>
      <c r="R705" s="9"/>
      <c r="S705" s="9"/>
    </row>
    <row r="706" spans="11:19" ht="12.5">
      <c r="K706" s="9"/>
      <c r="R706" s="9"/>
      <c r="S706" s="9"/>
    </row>
    <row r="707" spans="11:19" ht="12.5">
      <c r="K707" s="9"/>
      <c r="R707" s="9"/>
      <c r="S707" s="9"/>
    </row>
    <row r="708" spans="11:19" ht="12.5">
      <c r="K708" s="9"/>
      <c r="R708" s="9"/>
      <c r="S708" s="9"/>
    </row>
    <row r="709" spans="11:19" ht="12.5">
      <c r="K709" s="9"/>
      <c r="R709" s="9"/>
      <c r="S709" s="9"/>
    </row>
    <row r="710" spans="11:19" ht="12.5">
      <c r="K710" s="9"/>
      <c r="R710" s="9"/>
      <c r="S710" s="9"/>
    </row>
    <row r="711" spans="11:19" ht="12.5">
      <c r="K711" s="9"/>
      <c r="R711" s="9"/>
      <c r="S711" s="9"/>
    </row>
    <row r="712" spans="11:19" ht="12.5">
      <c r="K712" s="9"/>
      <c r="R712" s="9"/>
      <c r="S712" s="9"/>
    </row>
    <row r="713" spans="11:19" ht="12.5">
      <c r="K713" s="9"/>
      <c r="R713" s="9"/>
      <c r="S713" s="9"/>
    </row>
    <row r="714" spans="11:19" ht="12.5">
      <c r="K714" s="9"/>
      <c r="R714" s="9"/>
      <c r="S714" s="9"/>
    </row>
    <row r="715" spans="11:19" ht="12.5">
      <c r="K715" s="9"/>
      <c r="R715" s="9"/>
      <c r="S715" s="9"/>
    </row>
    <row r="716" spans="11:19" ht="12.5">
      <c r="K716" s="9"/>
      <c r="R716" s="9"/>
      <c r="S716" s="9"/>
    </row>
    <row r="717" spans="11:19" ht="12.5">
      <c r="K717" s="9"/>
      <c r="R717" s="9"/>
      <c r="S717" s="9"/>
    </row>
    <row r="718" spans="11:19" ht="12.5">
      <c r="K718" s="9"/>
      <c r="R718" s="9"/>
      <c r="S718" s="9"/>
    </row>
    <row r="719" spans="11:19" ht="12.5">
      <c r="K719" s="9"/>
      <c r="R719" s="9"/>
      <c r="S719" s="9"/>
    </row>
    <row r="720" spans="11:19" ht="12.5">
      <c r="K720" s="9"/>
      <c r="R720" s="9"/>
      <c r="S720" s="9"/>
    </row>
    <row r="721" spans="11:19" ht="12.5">
      <c r="K721" s="9"/>
      <c r="R721" s="9"/>
      <c r="S721" s="9"/>
    </row>
    <row r="722" spans="11:19" ht="12.5">
      <c r="K722" s="9"/>
      <c r="R722" s="9"/>
      <c r="S722" s="9"/>
    </row>
    <row r="723" spans="11:19" ht="12.5">
      <c r="K723" s="9"/>
      <c r="R723" s="9"/>
      <c r="S723" s="9"/>
    </row>
    <row r="724" spans="11:19" ht="12.5">
      <c r="K724" s="9"/>
      <c r="R724" s="9"/>
      <c r="S724" s="9"/>
    </row>
    <row r="725" spans="11:19" ht="12.5">
      <c r="K725" s="9"/>
      <c r="R725" s="9"/>
      <c r="S725" s="9"/>
    </row>
    <row r="726" spans="11:19" ht="12.5">
      <c r="K726" s="9"/>
      <c r="R726" s="9"/>
      <c r="S726" s="9"/>
    </row>
    <row r="727" spans="11:19" ht="12.5">
      <c r="K727" s="9"/>
      <c r="R727" s="9"/>
      <c r="S727" s="9"/>
    </row>
    <row r="728" spans="11:19" ht="12.5">
      <c r="K728" s="9"/>
      <c r="R728" s="9"/>
      <c r="S728" s="9"/>
    </row>
    <row r="729" spans="11:19" ht="12.5">
      <c r="K729" s="9"/>
      <c r="R729" s="9"/>
      <c r="S729" s="9"/>
    </row>
    <row r="730" spans="11:19" ht="12.5">
      <c r="K730" s="9"/>
      <c r="R730" s="9"/>
      <c r="S730" s="9"/>
    </row>
    <row r="731" spans="11:19" ht="12.5">
      <c r="K731" s="9"/>
      <c r="R731" s="9"/>
      <c r="S731" s="9"/>
    </row>
    <row r="732" spans="11:19" ht="12.5">
      <c r="K732" s="9"/>
      <c r="R732" s="9"/>
      <c r="S732" s="9"/>
    </row>
    <row r="733" spans="11:19" ht="12.5">
      <c r="K733" s="9"/>
      <c r="R733" s="9"/>
      <c r="S733" s="9"/>
    </row>
    <row r="734" spans="11:19" ht="12.5">
      <c r="K734" s="9"/>
      <c r="R734" s="9"/>
      <c r="S734" s="9"/>
    </row>
    <row r="735" spans="11:19" ht="12.5">
      <c r="K735" s="9"/>
      <c r="R735" s="9"/>
      <c r="S735" s="9"/>
    </row>
    <row r="736" spans="11:19" ht="12.5">
      <c r="K736" s="9"/>
      <c r="R736" s="9"/>
      <c r="S736" s="9"/>
    </row>
    <row r="737" spans="11:19" ht="12.5">
      <c r="K737" s="9"/>
      <c r="R737" s="9"/>
      <c r="S737" s="9"/>
    </row>
    <row r="738" spans="11:19" ht="12.5">
      <c r="K738" s="9"/>
      <c r="R738" s="9"/>
      <c r="S738" s="9"/>
    </row>
    <row r="739" spans="11:19" ht="12.5">
      <c r="K739" s="9"/>
      <c r="R739" s="9"/>
      <c r="S739" s="9"/>
    </row>
    <row r="740" spans="11:19" ht="12.5">
      <c r="K740" s="9"/>
      <c r="R740" s="9"/>
      <c r="S740" s="9"/>
    </row>
    <row r="741" spans="11:19" ht="12.5">
      <c r="K741" s="9"/>
      <c r="R741" s="9"/>
      <c r="S741" s="9"/>
    </row>
    <row r="742" spans="11:19" ht="12.5">
      <c r="K742" s="9"/>
      <c r="R742" s="9"/>
      <c r="S742" s="9"/>
    </row>
    <row r="743" spans="11:19" ht="12.5">
      <c r="K743" s="9"/>
      <c r="R743" s="9"/>
      <c r="S743" s="9"/>
    </row>
    <row r="744" spans="11:19" ht="12.5">
      <c r="K744" s="9"/>
      <c r="R744" s="9"/>
      <c r="S744" s="9"/>
    </row>
    <row r="745" spans="11:19" ht="12.5">
      <c r="K745" s="9"/>
      <c r="R745" s="9"/>
      <c r="S745" s="9"/>
    </row>
    <row r="746" spans="11:19" ht="12.5">
      <c r="K746" s="9"/>
      <c r="R746" s="9"/>
      <c r="S746" s="9"/>
    </row>
    <row r="747" spans="11:19" ht="12.5">
      <c r="K747" s="9"/>
      <c r="R747" s="9"/>
      <c r="S747" s="9"/>
    </row>
    <row r="748" spans="11:19" ht="12.5">
      <c r="K748" s="9"/>
      <c r="R748" s="9"/>
      <c r="S748" s="9"/>
    </row>
    <row r="749" spans="11:19" ht="12.5">
      <c r="K749" s="9"/>
      <c r="R749" s="9"/>
      <c r="S749" s="9"/>
    </row>
    <row r="750" spans="11:19" ht="12.5">
      <c r="K750" s="9"/>
      <c r="R750" s="9"/>
      <c r="S750" s="9"/>
    </row>
    <row r="751" spans="11:19" ht="12.5">
      <c r="K751" s="9"/>
      <c r="R751" s="9"/>
      <c r="S751" s="9"/>
    </row>
    <row r="752" spans="11:19" ht="12.5">
      <c r="K752" s="9"/>
      <c r="R752" s="9"/>
      <c r="S752" s="9"/>
    </row>
    <row r="753" spans="11:19" ht="12.5">
      <c r="K753" s="9"/>
      <c r="R753" s="9"/>
      <c r="S753" s="9"/>
    </row>
    <row r="754" spans="11:19" ht="12.5">
      <c r="K754" s="9"/>
      <c r="R754" s="9"/>
      <c r="S754" s="9"/>
    </row>
    <row r="755" spans="11:19" ht="12.5">
      <c r="K755" s="9"/>
      <c r="R755" s="9"/>
      <c r="S755" s="9"/>
    </row>
    <row r="756" spans="11:19" ht="12.5">
      <c r="K756" s="9"/>
      <c r="R756" s="9"/>
      <c r="S756" s="9"/>
    </row>
    <row r="757" spans="11:19" ht="12.5">
      <c r="K757" s="9"/>
      <c r="R757" s="9"/>
      <c r="S757" s="9"/>
    </row>
    <row r="758" spans="11:19" ht="12.5">
      <c r="K758" s="9"/>
      <c r="R758" s="9"/>
      <c r="S758" s="9"/>
    </row>
    <row r="759" spans="11:19" ht="12.5">
      <c r="K759" s="9"/>
      <c r="R759" s="9"/>
      <c r="S759" s="9"/>
    </row>
    <row r="760" spans="11:19" ht="12.5">
      <c r="K760" s="9"/>
      <c r="R760" s="9"/>
      <c r="S760" s="9"/>
    </row>
    <row r="761" spans="11:19" ht="12.5">
      <c r="K761" s="9"/>
      <c r="R761" s="9"/>
      <c r="S761" s="9"/>
    </row>
    <row r="762" spans="11:19" ht="12.5">
      <c r="K762" s="9"/>
      <c r="R762" s="9"/>
      <c r="S762" s="9"/>
    </row>
    <row r="763" spans="11:19" ht="12.5">
      <c r="K763" s="9"/>
      <c r="R763" s="9"/>
      <c r="S763" s="9"/>
    </row>
    <row r="764" spans="11:19" ht="12.5">
      <c r="K764" s="9"/>
      <c r="R764" s="9"/>
      <c r="S764" s="9"/>
    </row>
    <row r="765" spans="11:19" ht="12.5">
      <c r="K765" s="9"/>
      <c r="R765" s="9"/>
      <c r="S765" s="9"/>
    </row>
    <row r="766" spans="11:19" ht="12.5">
      <c r="K766" s="9"/>
      <c r="R766" s="9"/>
      <c r="S766" s="9"/>
    </row>
    <row r="767" spans="11:19" ht="12.5">
      <c r="K767" s="9"/>
      <c r="R767" s="9"/>
      <c r="S767" s="9"/>
    </row>
    <row r="768" spans="11:19" ht="12.5">
      <c r="K768" s="9"/>
      <c r="R768" s="9"/>
      <c r="S768" s="9"/>
    </row>
    <row r="769" spans="11:19" ht="12.5">
      <c r="K769" s="9"/>
      <c r="R769" s="9"/>
      <c r="S769" s="9"/>
    </row>
    <row r="770" spans="11:19" ht="12.5">
      <c r="K770" s="9"/>
      <c r="R770" s="9"/>
      <c r="S770" s="9"/>
    </row>
    <row r="771" spans="11:19" ht="12.5">
      <c r="K771" s="9"/>
      <c r="R771" s="9"/>
      <c r="S771" s="9"/>
    </row>
    <row r="772" spans="11:19" ht="12.5">
      <c r="K772" s="9"/>
      <c r="R772" s="9"/>
      <c r="S772" s="9"/>
    </row>
    <row r="773" spans="11:19" ht="12.5">
      <c r="K773" s="9"/>
      <c r="R773" s="9"/>
      <c r="S773" s="9"/>
    </row>
    <row r="774" spans="11:19" ht="12.5">
      <c r="K774" s="9"/>
      <c r="R774" s="9"/>
      <c r="S774" s="9"/>
    </row>
    <row r="775" spans="11:19" ht="12.5">
      <c r="K775" s="9"/>
      <c r="R775" s="9"/>
      <c r="S775" s="9"/>
    </row>
    <row r="776" spans="11:19" ht="12.5">
      <c r="K776" s="9"/>
      <c r="R776" s="9"/>
      <c r="S776" s="9"/>
    </row>
    <row r="777" spans="11:19" ht="12.5">
      <c r="K777" s="9"/>
      <c r="R777" s="9"/>
      <c r="S777" s="9"/>
    </row>
    <row r="778" spans="11:19" ht="12.5">
      <c r="K778" s="9"/>
      <c r="R778" s="9"/>
      <c r="S778" s="9"/>
    </row>
    <row r="779" spans="11:19" ht="12.5">
      <c r="K779" s="9"/>
      <c r="R779" s="9"/>
      <c r="S779" s="9"/>
    </row>
    <row r="780" spans="11:19" ht="12.5">
      <c r="K780" s="9"/>
      <c r="R780" s="9"/>
      <c r="S780" s="9"/>
    </row>
    <row r="781" spans="11:19" ht="12.5">
      <c r="K781" s="9"/>
      <c r="R781" s="9"/>
      <c r="S781" s="9"/>
    </row>
    <row r="782" spans="11:19" ht="12.5">
      <c r="K782" s="9"/>
      <c r="R782" s="9"/>
      <c r="S782" s="9"/>
    </row>
    <row r="783" spans="11:19" ht="12.5">
      <c r="K783" s="9"/>
      <c r="R783" s="9"/>
      <c r="S783" s="9"/>
    </row>
    <row r="784" spans="11:19" ht="12.5">
      <c r="K784" s="9"/>
      <c r="R784" s="9"/>
      <c r="S784" s="9"/>
    </row>
    <row r="785" spans="11:19" ht="12.5">
      <c r="K785" s="9"/>
      <c r="R785" s="9"/>
      <c r="S785" s="9"/>
    </row>
    <row r="786" spans="11:19" ht="12.5">
      <c r="K786" s="9"/>
      <c r="R786" s="9"/>
      <c r="S786" s="9"/>
    </row>
    <row r="787" spans="11:19" ht="12.5">
      <c r="K787" s="9"/>
      <c r="R787" s="9"/>
      <c r="S787" s="9"/>
    </row>
    <row r="788" spans="11:19" ht="12.5">
      <c r="K788" s="9"/>
      <c r="R788" s="9"/>
      <c r="S788" s="9"/>
    </row>
    <row r="789" spans="11:19" ht="12.5">
      <c r="K789" s="9"/>
      <c r="R789" s="9"/>
      <c r="S789" s="9"/>
    </row>
    <row r="790" spans="11:19" ht="12.5">
      <c r="K790" s="9"/>
      <c r="R790" s="9"/>
      <c r="S790" s="9"/>
    </row>
    <row r="791" spans="11:19" ht="12.5">
      <c r="K791" s="9"/>
      <c r="R791" s="9"/>
      <c r="S791" s="9"/>
    </row>
    <row r="792" spans="11:19" ht="12.5">
      <c r="K792" s="9"/>
      <c r="R792" s="9"/>
      <c r="S792" s="9"/>
    </row>
    <row r="793" spans="11:19" ht="12.5">
      <c r="K793" s="9"/>
      <c r="R793" s="9"/>
      <c r="S793" s="9"/>
    </row>
    <row r="794" spans="11:19" ht="12.5">
      <c r="K794" s="9"/>
      <c r="R794" s="9"/>
      <c r="S794" s="9"/>
    </row>
    <row r="795" spans="11:19" ht="12.5">
      <c r="K795" s="9"/>
      <c r="R795" s="9"/>
      <c r="S795" s="9"/>
    </row>
    <row r="796" spans="11:19" ht="12.5">
      <c r="K796" s="9"/>
      <c r="R796" s="9"/>
      <c r="S796" s="9"/>
    </row>
    <row r="797" spans="11:19" ht="12.5">
      <c r="K797" s="9"/>
      <c r="R797" s="9"/>
      <c r="S797" s="9"/>
    </row>
    <row r="798" spans="11:19" ht="12.5">
      <c r="K798" s="9"/>
      <c r="R798" s="9"/>
      <c r="S798" s="9"/>
    </row>
    <row r="799" spans="11:19" ht="12.5">
      <c r="K799" s="9"/>
      <c r="R799" s="9"/>
      <c r="S799" s="9"/>
    </row>
    <row r="800" spans="11:19" ht="12.5">
      <c r="K800" s="9"/>
      <c r="R800" s="9"/>
      <c r="S800" s="9"/>
    </row>
    <row r="801" spans="11:19" ht="12.5">
      <c r="K801" s="9"/>
      <c r="R801" s="9"/>
      <c r="S801" s="9"/>
    </row>
    <row r="802" spans="11:19" ht="12.5">
      <c r="K802" s="9"/>
      <c r="R802" s="9"/>
      <c r="S802" s="9"/>
    </row>
    <row r="803" spans="11:19" ht="12.5">
      <c r="K803" s="9"/>
      <c r="R803" s="9"/>
      <c r="S803" s="9"/>
    </row>
    <row r="804" spans="11:19" ht="12.5">
      <c r="K804" s="9"/>
      <c r="R804" s="9"/>
      <c r="S804" s="9"/>
    </row>
    <row r="805" spans="11:19" ht="12.5">
      <c r="K805" s="9"/>
      <c r="R805" s="9"/>
      <c r="S805" s="9"/>
    </row>
    <row r="806" spans="11:19" ht="12.5">
      <c r="K806" s="9"/>
      <c r="R806" s="9"/>
      <c r="S806" s="9"/>
    </row>
    <row r="807" spans="11:19" ht="12.5">
      <c r="K807" s="9"/>
      <c r="R807" s="9"/>
      <c r="S807" s="9"/>
    </row>
    <row r="808" spans="11:19" ht="12.5">
      <c r="K808" s="9"/>
      <c r="R808" s="9"/>
      <c r="S808" s="9"/>
    </row>
    <row r="809" spans="11:19" ht="12.5">
      <c r="K809" s="9"/>
      <c r="R809" s="9"/>
      <c r="S809" s="9"/>
    </row>
    <row r="810" spans="11:19" ht="12.5">
      <c r="K810" s="9"/>
      <c r="R810" s="9"/>
      <c r="S810" s="9"/>
    </row>
    <row r="811" spans="11:19" ht="12.5">
      <c r="K811" s="9"/>
      <c r="R811" s="9"/>
      <c r="S811" s="9"/>
    </row>
    <row r="812" spans="11:19" ht="12.5">
      <c r="K812" s="9"/>
      <c r="R812" s="9"/>
      <c r="S812" s="9"/>
    </row>
    <row r="813" spans="11:19" ht="12.5">
      <c r="K813" s="9"/>
      <c r="R813" s="9"/>
      <c r="S813" s="9"/>
    </row>
    <row r="814" spans="11:19" ht="12.5">
      <c r="K814" s="9"/>
      <c r="R814" s="9"/>
      <c r="S814" s="9"/>
    </row>
    <row r="815" spans="11:19" ht="12.5">
      <c r="K815" s="9"/>
      <c r="R815" s="9"/>
      <c r="S815" s="9"/>
    </row>
    <row r="816" spans="11:19" ht="12.5">
      <c r="K816" s="9"/>
      <c r="R816" s="9"/>
      <c r="S816" s="9"/>
    </row>
    <row r="817" spans="11:19" ht="12.5">
      <c r="K817" s="9"/>
      <c r="R817" s="9"/>
      <c r="S817" s="9"/>
    </row>
    <row r="818" spans="11:19" ht="12.5">
      <c r="K818" s="9"/>
      <c r="R818" s="9"/>
      <c r="S818" s="9"/>
    </row>
    <row r="819" spans="11:19" ht="12.5">
      <c r="K819" s="9"/>
      <c r="R819" s="9"/>
      <c r="S819" s="9"/>
    </row>
    <row r="820" spans="11:19" ht="12.5">
      <c r="K820" s="9"/>
      <c r="R820" s="9"/>
      <c r="S820" s="9"/>
    </row>
    <row r="821" spans="11:19" ht="12.5">
      <c r="K821" s="9"/>
      <c r="R821" s="9"/>
      <c r="S821" s="9"/>
    </row>
    <row r="822" spans="11:19" ht="12.5">
      <c r="K822" s="9"/>
      <c r="R822" s="9"/>
      <c r="S822" s="9"/>
    </row>
    <row r="823" spans="11:19" ht="12.5">
      <c r="K823" s="9"/>
      <c r="R823" s="9"/>
      <c r="S823" s="9"/>
    </row>
    <row r="824" spans="11:19" ht="12.5">
      <c r="K824" s="9"/>
      <c r="R824" s="9"/>
      <c r="S824" s="9"/>
    </row>
    <row r="825" spans="11:19" ht="12.5">
      <c r="K825" s="9"/>
      <c r="R825" s="9"/>
      <c r="S825" s="9"/>
    </row>
    <row r="826" spans="11:19" ht="12.5">
      <c r="K826" s="9"/>
      <c r="R826" s="9"/>
      <c r="S826" s="9"/>
    </row>
    <row r="827" spans="11:19" ht="12.5">
      <c r="K827" s="9"/>
      <c r="R827" s="9"/>
      <c r="S827" s="9"/>
    </row>
    <row r="828" spans="11:19" ht="12.5">
      <c r="K828" s="9"/>
      <c r="R828" s="9"/>
      <c r="S828" s="9"/>
    </row>
    <row r="829" spans="11:19" ht="12.5">
      <c r="K829" s="9"/>
      <c r="R829" s="9"/>
      <c r="S829" s="9"/>
    </row>
    <row r="830" spans="11:19" ht="12.5">
      <c r="K830" s="9"/>
      <c r="R830" s="9"/>
      <c r="S830" s="9"/>
    </row>
    <row r="831" spans="11:19" ht="12.5">
      <c r="K831" s="9"/>
      <c r="R831" s="9"/>
      <c r="S831" s="9"/>
    </row>
    <row r="832" spans="11:19" ht="12.5">
      <c r="K832" s="9"/>
      <c r="R832" s="9"/>
      <c r="S832" s="9"/>
    </row>
    <row r="833" spans="1:19" ht="12.5">
      <c r="K833" s="9"/>
      <c r="R833" s="9"/>
      <c r="S833" s="9"/>
    </row>
    <row r="834" spans="1:19" ht="12.5">
      <c r="K834" s="9"/>
      <c r="R834" s="9"/>
      <c r="S834" s="9"/>
    </row>
    <row r="835" spans="1:19" ht="12.5">
      <c r="K835" s="9"/>
      <c r="R835" s="9"/>
      <c r="S835" s="9"/>
    </row>
    <row r="836" spans="1:19" ht="12.5">
      <c r="K836" s="9"/>
      <c r="R836" s="9"/>
      <c r="S836" s="9"/>
    </row>
    <row r="837" spans="1:19" ht="12.5">
      <c r="K837" s="9"/>
      <c r="R837" s="9"/>
      <c r="S837" s="9"/>
    </row>
    <row r="838" spans="1:19" ht="12.5">
      <c r="K838" s="9"/>
      <c r="R838" s="9"/>
      <c r="S838" s="9"/>
    </row>
    <row r="839" spans="1:19" ht="12.5">
      <c r="K839" s="9"/>
      <c r="R839" s="9"/>
      <c r="S839" s="9"/>
    </row>
    <row r="840" spans="1:19" ht="12.5">
      <c r="K840" s="9"/>
      <c r="R840" s="9"/>
      <c r="S840" s="9"/>
    </row>
    <row r="841" spans="1:19" ht="12.5">
      <c r="K841" s="9"/>
      <c r="R841" s="9"/>
      <c r="S841" s="9"/>
    </row>
    <row r="842" spans="1:19" ht="12.5">
      <c r="K842" s="9"/>
      <c r="R842" s="9"/>
      <c r="S842" s="9"/>
    </row>
    <row r="843" spans="1:19" ht="12.5">
      <c r="K843" s="9"/>
      <c r="R843" s="9"/>
      <c r="S843" s="9"/>
    </row>
    <row r="844" spans="1:19" ht="12.5">
      <c r="K844" s="9"/>
      <c r="R844" s="9"/>
      <c r="S844" s="9"/>
    </row>
    <row r="845" spans="1:19" ht="12.5">
      <c r="K845" s="9"/>
      <c r="R845" s="9"/>
      <c r="S845" s="9"/>
    </row>
    <row r="846" spans="1:19" ht="12.5">
      <c r="K846" s="9"/>
      <c r="R846" s="9"/>
      <c r="S846" s="9"/>
    </row>
    <row r="847" spans="1:19" ht="12.5">
      <c r="A847" s="15"/>
      <c r="B847" s="16"/>
      <c r="C847" s="15"/>
      <c r="D847" s="16"/>
      <c r="E847" s="15"/>
      <c r="G847" s="15"/>
      <c r="H847" s="15"/>
      <c r="K847" s="9"/>
      <c r="R847" s="9"/>
      <c r="S847" s="9"/>
    </row>
    <row r="848" spans="1:19" ht="12.5">
      <c r="A848" s="15"/>
      <c r="B848" s="16"/>
      <c r="C848" s="16"/>
      <c r="D848" s="16"/>
      <c r="E848" s="15"/>
      <c r="F848" s="15"/>
      <c r="I848" s="15"/>
      <c r="K848" s="23"/>
      <c r="R848" s="9"/>
      <c r="S848" s="9"/>
    </row>
    <row r="849" spans="1:19" ht="12.5">
      <c r="A849" s="15"/>
      <c r="B849" s="16"/>
      <c r="C849" s="16"/>
      <c r="D849" s="16"/>
      <c r="E849" s="15"/>
      <c r="F849" s="15"/>
      <c r="I849" s="15"/>
      <c r="K849" s="23"/>
      <c r="R849" s="9"/>
      <c r="S849" s="9"/>
    </row>
    <row r="850" spans="1:19" ht="12.5">
      <c r="A850" s="15"/>
      <c r="B850" s="16"/>
      <c r="C850" s="16"/>
      <c r="D850" s="16"/>
      <c r="E850" s="15"/>
      <c r="F850" s="15"/>
      <c r="I850" s="15"/>
      <c r="K850" s="23"/>
      <c r="R850" s="9"/>
      <c r="S850" s="9"/>
    </row>
    <row r="851" spans="1:19" ht="12.5">
      <c r="I851" s="15"/>
      <c r="K851" s="9"/>
      <c r="R851" s="9"/>
      <c r="S851" s="9"/>
    </row>
    <row r="852" spans="1:19" ht="12.5">
      <c r="I852" s="15"/>
      <c r="K852" s="9"/>
      <c r="R852" s="9"/>
      <c r="S852" s="9"/>
    </row>
    <row r="853" spans="1:19" ht="12.5">
      <c r="A853" s="5"/>
      <c r="B853" s="5"/>
      <c r="C853" s="5"/>
      <c r="D853" s="5"/>
      <c r="E853" s="5"/>
      <c r="F853" s="5"/>
      <c r="G853" s="5"/>
      <c r="H853" s="5"/>
      <c r="K853" s="23"/>
      <c r="L853" s="5"/>
      <c r="M853" s="5"/>
      <c r="N853" s="5"/>
      <c r="P853" s="5"/>
      <c r="R853" s="9"/>
      <c r="S853" s="9"/>
    </row>
    <row r="854" spans="1:19" ht="12.5">
      <c r="A854" s="5"/>
      <c r="B854" s="5"/>
      <c r="C854" s="5"/>
      <c r="D854" s="5"/>
      <c r="E854" s="5"/>
      <c r="F854" s="5"/>
      <c r="G854" s="5"/>
      <c r="H854" s="5"/>
      <c r="K854" s="23"/>
      <c r="L854" s="5"/>
      <c r="M854" s="5"/>
      <c r="N854" s="5"/>
      <c r="P854" s="5"/>
      <c r="R854" s="9"/>
      <c r="S854" s="9"/>
    </row>
    <row r="855" spans="1:19" ht="12.5">
      <c r="A855" s="5"/>
      <c r="B855" s="5"/>
      <c r="C855" s="5"/>
      <c r="D855" s="5"/>
      <c r="E855" s="5"/>
      <c r="F855" s="5"/>
      <c r="G855" s="5"/>
      <c r="H855" s="5"/>
      <c r="K855" s="23"/>
      <c r="L855" s="5"/>
      <c r="M855" s="5"/>
      <c r="N855" s="5"/>
      <c r="P855" s="5"/>
      <c r="R855" s="9"/>
      <c r="S855" s="9"/>
    </row>
    <row r="856" spans="1:19" ht="12.5">
      <c r="A856" s="5"/>
      <c r="B856" s="5"/>
      <c r="C856" s="5"/>
      <c r="D856" s="5"/>
      <c r="E856" s="5"/>
      <c r="F856" s="5"/>
      <c r="G856" s="5"/>
      <c r="H856" s="5"/>
      <c r="K856" s="23"/>
      <c r="L856" s="5"/>
      <c r="M856" s="5"/>
      <c r="N856" s="5"/>
      <c r="P856" s="5"/>
      <c r="R856" s="9"/>
      <c r="S856" s="9"/>
    </row>
    <row r="857" spans="1:19" ht="12.5">
      <c r="A857" s="5"/>
      <c r="B857" s="5"/>
      <c r="C857" s="5"/>
      <c r="D857" s="5"/>
      <c r="E857" s="5"/>
      <c r="F857" s="5"/>
      <c r="G857" s="5"/>
      <c r="H857" s="5"/>
      <c r="K857" s="23"/>
      <c r="L857" s="5"/>
      <c r="M857" s="5"/>
      <c r="N857" s="5"/>
      <c r="P857" s="5"/>
      <c r="R857" s="9"/>
      <c r="S857" s="9"/>
    </row>
    <row r="858" spans="1:19" ht="12.5">
      <c r="A858" s="5"/>
      <c r="B858" s="5"/>
      <c r="C858" s="5"/>
      <c r="D858" s="5"/>
      <c r="E858" s="5"/>
      <c r="F858" s="5"/>
      <c r="G858" s="5"/>
      <c r="H858" s="5"/>
      <c r="K858" s="23"/>
      <c r="L858" s="5"/>
      <c r="M858" s="5"/>
      <c r="N858" s="5"/>
      <c r="P858" s="5"/>
      <c r="R858" s="9"/>
      <c r="S858" s="9"/>
    </row>
    <row r="859" spans="1:19" ht="12.5">
      <c r="A859" s="5"/>
      <c r="B859" s="5"/>
      <c r="C859" s="5"/>
      <c r="D859" s="5"/>
      <c r="E859" s="5"/>
      <c r="F859" s="5"/>
      <c r="G859" s="5"/>
      <c r="H859" s="5"/>
      <c r="K859" s="23"/>
      <c r="L859" s="5"/>
      <c r="M859" s="5"/>
      <c r="N859" s="5"/>
      <c r="P859" s="5"/>
      <c r="R859" s="9"/>
      <c r="S859" s="9"/>
    </row>
    <row r="860" spans="1:19" ht="12.5">
      <c r="A860" s="5"/>
      <c r="B860" s="5"/>
      <c r="C860" s="5"/>
      <c r="D860" s="5"/>
      <c r="E860" s="5"/>
      <c r="F860" s="5"/>
      <c r="G860" s="5"/>
      <c r="H860" s="5"/>
      <c r="K860" s="23"/>
      <c r="L860" s="5"/>
      <c r="M860" s="5"/>
      <c r="N860" s="5"/>
      <c r="P860" s="5"/>
      <c r="R860" s="9"/>
      <c r="S860" s="9"/>
    </row>
    <row r="861" spans="1:19" ht="12.5">
      <c r="A861" s="5"/>
      <c r="B861" s="5"/>
      <c r="C861" s="5"/>
      <c r="D861" s="5"/>
      <c r="E861" s="5"/>
      <c r="F861" s="5"/>
      <c r="G861" s="5"/>
      <c r="H861" s="5"/>
      <c r="K861" s="23"/>
      <c r="L861" s="5"/>
      <c r="M861" s="5"/>
      <c r="N861" s="5"/>
      <c r="P861" s="5"/>
      <c r="R861" s="9"/>
      <c r="S861" s="9"/>
    </row>
    <row r="862" spans="1:19" ht="12.5">
      <c r="A862" s="5"/>
      <c r="B862" s="5"/>
      <c r="C862" s="5"/>
      <c r="D862" s="5"/>
      <c r="E862" s="5"/>
      <c r="F862" s="5"/>
      <c r="G862" s="5"/>
      <c r="H862" s="5"/>
      <c r="K862" s="23"/>
      <c r="L862" s="5"/>
      <c r="M862" s="5"/>
      <c r="N862" s="5"/>
      <c r="P862" s="5"/>
      <c r="R862" s="9"/>
      <c r="S862" s="9"/>
    </row>
    <row r="863" spans="1:19" ht="12.5">
      <c r="A863" s="5"/>
      <c r="B863" s="5"/>
      <c r="C863" s="5"/>
      <c r="D863" s="5"/>
      <c r="E863" s="5"/>
      <c r="F863" s="5"/>
      <c r="G863" s="5"/>
      <c r="H863" s="5"/>
      <c r="K863" s="23"/>
      <c r="L863" s="5"/>
      <c r="M863" s="5"/>
      <c r="N863" s="5"/>
      <c r="P863" s="5"/>
      <c r="R863" s="9"/>
      <c r="S863" s="9"/>
    </row>
    <row r="864" spans="1:19" ht="12.5">
      <c r="A864" s="5"/>
      <c r="B864" s="5"/>
      <c r="C864" s="5"/>
      <c r="D864" s="5"/>
      <c r="E864" s="5"/>
      <c r="F864" s="5"/>
      <c r="G864" s="5"/>
      <c r="H864" s="5"/>
      <c r="K864" s="23"/>
      <c r="L864" s="5"/>
      <c r="M864" s="5"/>
      <c r="N864" s="5"/>
      <c r="P864" s="5"/>
      <c r="R864" s="9"/>
      <c r="S864" s="9"/>
    </row>
    <row r="865" spans="1:19" ht="12.5">
      <c r="A865" s="5"/>
      <c r="B865" s="5"/>
      <c r="C865" s="5"/>
      <c r="D865" s="5"/>
      <c r="E865" s="5"/>
      <c r="F865" s="5"/>
      <c r="G865" s="5"/>
      <c r="H865" s="5"/>
      <c r="K865" s="23"/>
      <c r="L865" s="5"/>
      <c r="M865" s="5"/>
      <c r="N865" s="5"/>
      <c r="P865" s="5"/>
      <c r="R865" s="9"/>
      <c r="S865" s="9"/>
    </row>
    <row r="866" spans="1:19" ht="12.5">
      <c r="A866" s="5"/>
      <c r="B866" s="5"/>
      <c r="C866" s="5"/>
      <c r="D866" s="5"/>
      <c r="E866" s="5"/>
      <c r="F866" s="5"/>
      <c r="G866" s="5"/>
      <c r="H866" s="5"/>
      <c r="K866" s="23"/>
      <c r="L866" s="5"/>
      <c r="M866" s="5"/>
      <c r="N866" s="5"/>
      <c r="P866" s="5"/>
      <c r="R866" s="9"/>
      <c r="S866" s="9"/>
    </row>
    <row r="867" spans="1:19" ht="12.5">
      <c r="A867" s="5"/>
      <c r="B867" s="5"/>
      <c r="C867" s="5"/>
      <c r="D867" s="5"/>
      <c r="E867" s="5"/>
      <c r="F867" s="5"/>
      <c r="G867" s="5"/>
      <c r="H867" s="5"/>
      <c r="K867" s="23"/>
      <c r="L867" s="5"/>
      <c r="M867" s="5"/>
      <c r="N867" s="5"/>
      <c r="P867" s="5"/>
      <c r="R867" s="9"/>
      <c r="S867" s="9"/>
    </row>
    <row r="868" spans="1:19" ht="12.5">
      <c r="A868" s="5"/>
      <c r="B868" s="5"/>
      <c r="C868" s="5"/>
      <c r="D868" s="5"/>
      <c r="E868" s="5"/>
      <c r="F868" s="5"/>
      <c r="G868" s="5"/>
      <c r="H868" s="5"/>
      <c r="K868" s="23"/>
      <c r="L868" s="5"/>
      <c r="M868" s="5"/>
      <c r="N868" s="5"/>
      <c r="P868" s="5"/>
      <c r="R868" s="9"/>
      <c r="S868" s="9"/>
    </row>
    <row r="869" spans="1:19" ht="12.5">
      <c r="A869" s="5"/>
      <c r="B869" s="5"/>
      <c r="C869" s="5"/>
      <c r="D869" s="5"/>
      <c r="E869" s="5"/>
      <c r="F869" s="5"/>
      <c r="G869" s="5"/>
      <c r="H869" s="5"/>
      <c r="K869" s="23"/>
      <c r="L869" s="5"/>
      <c r="M869" s="5"/>
      <c r="N869" s="5"/>
      <c r="P869" s="5"/>
      <c r="R869" s="9"/>
      <c r="S869" s="9"/>
    </row>
    <row r="870" spans="1:19" ht="12.5">
      <c r="A870" s="5"/>
      <c r="B870" s="5"/>
      <c r="C870" s="5"/>
      <c r="D870" s="5"/>
      <c r="E870" s="5"/>
      <c r="F870" s="5"/>
      <c r="G870" s="5"/>
      <c r="H870" s="5"/>
      <c r="K870" s="23"/>
      <c r="L870" s="5"/>
      <c r="M870" s="5"/>
      <c r="N870" s="5"/>
      <c r="P870" s="5"/>
      <c r="R870" s="9"/>
      <c r="S870" s="9"/>
    </row>
    <row r="871" spans="1:19" ht="12.5">
      <c r="A871" s="5"/>
      <c r="B871" s="5"/>
      <c r="C871" s="5"/>
      <c r="D871" s="5"/>
      <c r="E871" s="5"/>
      <c r="F871" s="5"/>
      <c r="G871" s="5"/>
      <c r="H871" s="5"/>
      <c r="K871" s="23"/>
      <c r="L871" s="5"/>
      <c r="M871" s="5"/>
      <c r="N871" s="5"/>
      <c r="P871" s="5"/>
      <c r="R871" s="9"/>
      <c r="S871" s="9"/>
    </row>
    <row r="872" spans="1:19" ht="12.5">
      <c r="A872" s="5"/>
      <c r="B872" s="5"/>
      <c r="C872" s="5"/>
      <c r="D872" s="5"/>
      <c r="E872" s="5"/>
      <c r="F872" s="5"/>
      <c r="G872" s="5"/>
      <c r="H872" s="5"/>
      <c r="K872" s="23"/>
      <c r="L872" s="5"/>
      <c r="M872" s="5"/>
      <c r="N872" s="5"/>
      <c r="P872" s="5"/>
      <c r="R872" s="9"/>
      <c r="S872" s="9"/>
    </row>
    <row r="873" spans="1:19" ht="12.5">
      <c r="A873" s="5"/>
      <c r="B873" s="5"/>
      <c r="C873" s="5"/>
      <c r="D873" s="5"/>
      <c r="E873" s="5"/>
      <c r="F873" s="5"/>
      <c r="G873" s="5"/>
      <c r="H873" s="5"/>
      <c r="K873" s="23"/>
      <c r="L873" s="5"/>
      <c r="M873" s="5"/>
      <c r="N873" s="5"/>
      <c r="P873" s="5"/>
      <c r="R873" s="9"/>
      <c r="S873" s="9"/>
    </row>
    <row r="874" spans="1:19" ht="12.5">
      <c r="A874" s="5"/>
      <c r="B874" s="5"/>
      <c r="C874" s="5"/>
      <c r="D874" s="5"/>
      <c r="E874" s="5"/>
      <c r="F874" s="5"/>
      <c r="G874" s="5"/>
      <c r="H874" s="5"/>
      <c r="K874" s="23"/>
      <c r="L874" s="5"/>
      <c r="M874" s="5"/>
      <c r="N874" s="5"/>
      <c r="P874" s="5"/>
      <c r="R874" s="9"/>
      <c r="S874" s="9"/>
    </row>
    <row r="875" spans="1:19" ht="12.5">
      <c r="A875" s="5"/>
      <c r="B875" s="5"/>
      <c r="C875" s="5"/>
      <c r="D875" s="5"/>
      <c r="E875" s="5"/>
      <c r="F875" s="5"/>
      <c r="G875" s="5"/>
      <c r="H875" s="5"/>
      <c r="K875" s="23"/>
      <c r="L875" s="5"/>
      <c r="M875" s="5"/>
      <c r="N875" s="5"/>
      <c r="P875" s="5"/>
      <c r="R875" s="9"/>
      <c r="S875" s="9"/>
    </row>
    <row r="876" spans="1:19" ht="12.5">
      <c r="A876" s="5"/>
      <c r="B876" s="5"/>
      <c r="C876" s="5"/>
      <c r="D876" s="5"/>
      <c r="E876" s="5"/>
      <c r="F876" s="5"/>
      <c r="G876" s="5"/>
      <c r="H876" s="5"/>
      <c r="K876" s="23"/>
      <c r="L876" s="5"/>
      <c r="M876" s="5"/>
      <c r="N876" s="5"/>
      <c r="P876" s="5"/>
      <c r="R876" s="9"/>
      <c r="S876" s="9"/>
    </row>
    <row r="877" spans="1:19" ht="12.5">
      <c r="A877" s="5"/>
      <c r="B877" s="5"/>
      <c r="C877" s="5"/>
      <c r="D877" s="5"/>
      <c r="E877" s="5"/>
      <c r="F877" s="5"/>
      <c r="G877" s="5"/>
      <c r="H877" s="5"/>
      <c r="K877" s="23"/>
      <c r="L877" s="5"/>
      <c r="M877" s="5"/>
      <c r="N877" s="5"/>
      <c r="P877" s="5"/>
      <c r="R877" s="9"/>
      <c r="S877" s="9"/>
    </row>
    <row r="878" spans="1:19" ht="12.5">
      <c r="A878" s="5"/>
      <c r="B878" s="5"/>
      <c r="C878" s="5"/>
      <c r="D878" s="5"/>
      <c r="E878" s="5"/>
      <c r="F878" s="5"/>
      <c r="G878" s="5"/>
      <c r="H878" s="5"/>
      <c r="K878" s="23"/>
      <c r="L878" s="5"/>
      <c r="M878" s="5"/>
      <c r="N878" s="5"/>
      <c r="P878" s="5"/>
      <c r="R878" s="9"/>
      <c r="S878" s="9"/>
    </row>
    <row r="879" spans="1:19" ht="12.5">
      <c r="A879" s="5"/>
      <c r="B879" s="5"/>
      <c r="C879" s="5"/>
      <c r="D879" s="5"/>
      <c r="E879" s="5"/>
      <c r="F879" s="5"/>
      <c r="G879" s="5"/>
      <c r="H879" s="5"/>
      <c r="K879" s="23"/>
      <c r="L879" s="5"/>
      <c r="M879" s="5"/>
      <c r="N879" s="5"/>
      <c r="P879" s="5"/>
      <c r="R879" s="9"/>
      <c r="S879" s="9"/>
    </row>
    <row r="880" spans="1:19" ht="12.5">
      <c r="A880" s="5"/>
      <c r="B880" s="5"/>
      <c r="C880" s="5"/>
      <c r="D880" s="5"/>
      <c r="E880" s="5"/>
      <c r="F880" s="5"/>
      <c r="G880" s="5"/>
      <c r="H880" s="5"/>
      <c r="K880" s="23"/>
      <c r="L880" s="5"/>
      <c r="M880" s="5"/>
      <c r="N880" s="5"/>
      <c r="P880" s="5"/>
      <c r="R880" s="9"/>
      <c r="S880" s="9"/>
    </row>
    <row r="881" spans="1:19" ht="12.5">
      <c r="A881" s="5"/>
      <c r="B881" s="5"/>
      <c r="C881" s="5"/>
      <c r="D881" s="5"/>
      <c r="E881" s="5"/>
      <c r="F881" s="5"/>
      <c r="G881" s="5"/>
      <c r="H881" s="5"/>
      <c r="K881" s="23"/>
      <c r="L881" s="5"/>
      <c r="M881" s="5"/>
      <c r="N881" s="5"/>
      <c r="P881" s="5"/>
      <c r="R881" s="9"/>
      <c r="S881" s="9"/>
    </row>
    <row r="882" spans="1:19" ht="12.5">
      <c r="A882" s="5"/>
      <c r="B882" s="5"/>
      <c r="C882" s="5"/>
      <c r="D882" s="5"/>
      <c r="E882" s="5"/>
      <c r="F882" s="5"/>
      <c r="G882" s="5"/>
      <c r="H882" s="5"/>
      <c r="K882" s="23"/>
      <c r="L882" s="5"/>
      <c r="M882" s="5"/>
      <c r="N882" s="5"/>
      <c r="P882" s="5"/>
      <c r="R882" s="9"/>
      <c r="S882" s="9"/>
    </row>
    <row r="883" spans="1:19" ht="12.5">
      <c r="A883" s="5"/>
      <c r="B883" s="5"/>
      <c r="C883" s="5"/>
      <c r="D883" s="5"/>
      <c r="E883" s="5"/>
      <c r="F883" s="5"/>
      <c r="G883" s="5"/>
      <c r="H883" s="5"/>
      <c r="K883" s="23"/>
      <c r="L883" s="5"/>
      <c r="M883" s="5"/>
      <c r="N883" s="5"/>
      <c r="P883" s="5"/>
      <c r="R883" s="9"/>
      <c r="S883" s="9"/>
    </row>
    <row r="884" spans="1:19" ht="12.5">
      <c r="A884" s="5"/>
      <c r="B884" s="5"/>
      <c r="C884" s="5"/>
      <c r="D884" s="5"/>
      <c r="E884" s="5"/>
      <c r="F884" s="5"/>
      <c r="G884" s="5"/>
      <c r="H884" s="5"/>
      <c r="K884" s="23"/>
      <c r="L884" s="5"/>
      <c r="M884" s="5"/>
      <c r="N884" s="5"/>
      <c r="P884" s="5"/>
      <c r="R884" s="9"/>
      <c r="S884" s="9"/>
    </row>
    <row r="885" spans="1:19" ht="12.5">
      <c r="A885" s="5"/>
      <c r="B885" s="5"/>
      <c r="C885" s="5"/>
      <c r="D885" s="5"/>
      <c r="E885" s="5"/>
      <c r="F885" s="5"/>
      <c r="G885" s="5"/>
      <c r="H885" s="5"/>
      <c r="K885" s="23"/>
      <c r="L885" s="5"/>
      <c r="M885" s="5"/>
      <c r="N885" s="5"/>
      <c r="P885" s="5"/>
      <c r="R885" s="9"/>
      <c r="S885" s="9"/>
    </row>
    <row r="886" spans="1:19" ht="12.5">
      <c r="A886" s="5"/>
      <c r="B886" s="5"/>
      <c r="C886" s="5"/>
      <c r="D886" s="5"/>
      <c r="E886" s="5"/>
      <c r="F886" s="5"/>
      <c r="G886" s="5"/>
      <c r="H886" s="5"/>
      <c r="K886" s="23"/>
      <c r="L886" s="5"/>
      <c r="M886" s="5"/>
      <c r="N886" s="5"/>
      <c r="P886" s="5"/>
      <c r="R886" s="9"/>
      <c r="S886" s="9"/>
    </row>
    <row r="887" spans="1:19" ht="12.5">
      <c r="A887" s="5"/>
      <c r="B887" s="5"/>
      <c r="C887" s="5"/>
      <c r="D887" s="5"/>
      <c r="E887" s="5"/>
      <c r="F887" s="5"/>
      <c r="G887" s="5"/>
      <c r="H887" s="5"/>
      <c r="K887" s="23"/>
      <c r="L887" s="5"/>
      <c r="M887" s="5"/>
      <c r="N887" s="5"/>
      <c r="P887" s="5"/>
      <c r="R887" s="9"/>
      <c r="S887" s="9"/>
    </row>
    <row r="888" spans="1:19" ht="12.5">
      <c r="A888" s="5"/>
      <c r="B888" s="5"/>
      <c r="C888" s="5"/>
      <c r="D888" s="5"/>
      <c r="E888" s="5"/>
      <c r="F888" s="5"/>
      <c r="G888" s="5"/>
      <c r="H888" s="5"/>
      <c r="K888" s="23"/>
      <c r="L888" s="5"/>
      <c r="M888" s="5"/>
      <c r="N888" s="5"/>
      <c r="P888" s="5"/>
      <c r="R888" s="9"/>
      <c r="S888" s="9"/>
    </row>
    <row r="889" spans="1:19" ht="12.5">
      <c r="A889" s="5"/>
      <c r="B889" s="5"/>
      <c r="C889" s="5"/>
      <c r="D889" s="5"/>
      <c r="E889" s="5"/>
      <c r="F889" s="5"/>
      <c r="G889" s="5"/>
      <c r="H889" s="5"/>
      <c r="K889" s="23"/>
      <c r="L889" s="5"/>
      <c r="M889" s="5"/>
      <c r="N889" s="5"/>
      <c r="P889" s="5"/>
      <c r="R889" s="9"/>
      <c r="S889" s="9"/>
    </row>
    <row r="890" spans="1:19" ht="12.5">
      <c r="A890" s="5"/>
      <c r="B890" s="5"/>
      <c r="C890" s="5"/>
      <c r="D890" s="5"/>
      <c r="E890" s="5"/>
      <c r="F890" s="5"/>
      <c r="G890" s="5"/>
      <c r="H890" s="5"/>
      <c r="K890" s="23"/>
      <c r="L890" s="5"/>
      <c r="M890" s="5"/>
      <c r="N890" s="5"/>
      <c r="P890" s="5"/>
      <c r="R890" s="9"/>
      <c r="S890" s="9"/>
    </row>
    <row r="891" spans="1:19" ht="12.5">
      <c r="A891" s="5"/>
      <c r="B891" s="5"/>
      <c r="C891" s="5"/>
      <c r="D891" s="5"/>
      <c r="E891" s="5"/>
      <c r="F891" s="5"/>
      <c r="G891" s="5"/>
      <c r="H891" s="5"/>
      <c r="K891" s="23"/>
      <c r="L891" s="5"/>
      <c r="M891" s="5"/>
      <c r="N891" s="5"/>
      <c r="P891" s="5"/>
      <c r="R891" s="9"/>
      <c r="S891" s="9"/>
    </row>
    <row r="892" spans="1:19" ht="12.5">
      <c r="A892" s="5"/>
      <c r="B892" s="5"/>
      <c r="C892" s="5"/>
      <c r="D892" s="5"/>
      <c r="E892" s="5"/>
      <c r="F892" s="5"/>
      <c r="G892" s="5"/>
      <c r="H892" s="5"/>
      <c r="K892" s="23"/>
      <c r="L892" s="5"/>
      <c r="M892" s="5"/>
      <c r="N892" s="5"/>
      <c r="P892" s="5"/>
      <c r="R892" s="9"/>
      <c r="S892" s="9"/>
    </row>
    <row r="893" spans="1:19" ht="12.5">
      <c r="A893" s="5"/>
      <c r="B893" s="5"/>
      <c r="C893" s="5"/>
      <c r="D893" s="5"/>
      <c r="E893" s="5"/>
      <c r="F893" s="5"/>
      <c r="G893" s="5"/>
      <c r="H893" s="5"/>
      <c r="K893" s="23"/>
      <c r="L893" s="5"/>
      <c r="M893" s="5"/>
      <c r="N893" s="5"/>
      <c r="P893" s="5"/>
      <c r="R893" s="9"/>
      <c r="S893" s="9"/>
    </row>
    <row r="894" spans="1:19" ht="12.5">
      <c r="A894" s="5"/>
      <c r="B894" s="5"/>
      <c r="C894" s="5"/>
      <c r="D894" s="5"/>
      <c r="E894" s="5"/>
      <c r="F894" s="5"/>
      <c r="G894" s="5"/>
      <c r="H894" s="5"/>
      <c r="K894" s="23"/>
      <c r="L894" s="5"/>
      <c r="M894" s="5"/>
      <c r="N894" s="5"/>
      <c r="P894" s="5"/>
      <c r="R894" s="9"/>
      <c r="S894" s="9"/>
    </row>
    <row r="895" spans="1:19" ht="12.5">
      <c r="A895" s="5"/>
      <c r="B895" s="5"/>
      <c r="C895" s="5"/>
      <c r="D895" s="5"/>
      <c r="E895" s="5"/>
      <c r="F895" s="5"/>
      <c r="G895" s="5"/>
      <c r="H895" s="5"/>
      <c r="K895" s="23"/>
      <c r="L895" s="5"/>
      <c r="M895" s="5"/>
      <c r="N895" s="5"/>
      <c r="P895" s="5"/>
      <c r="R895" s="9"/>
      <c r="S895" s="9"/>
    </row>
    <row r="896" spans="1:19" ht="12.5">
      <c r="A896" s="5"/>
      <c r="B896" s="5"/>
      <c r="C896" s="5"/>
      <c r="D896" s="5"/>
      <c r="E896" s="5"/>
      <c r="F896" s="5"/>
      <c r="G896" s="5"/>
      <c r="H896" s="5"/>
      <c r="K896" s="23"/>
      <c r="L896" s="5"/>
      <c r="M896" s="5"/>
      <c r="N896" s="5"/>
      <c r="P896" s="5"/>
      <c r="R896" s="9"/>
      <c r="S896" s="9"/>
    </row>
    <row r="897" spans="1:19" ht="12.5">
      <c r="A897" s="5"/>
      <c r="B897" s="5"/>
      <c r="C897" s="5"/>
      <c r="D897" s="5"/>
      <c r="E897" s="5"/>
      <c r="F897" s="5"/>
      <c r="G897" s="5"/>
      <c r="H897" s="5"/>
      <c r="K897" s="23"/>
      <c r="L897" s="5"/>
      <c r="M897" s="5"/>
      <c r="N897" s="5"/>
      <c r="P897" s="5"/>
      <c r="R897" s="9"/>
      <c r="S897" s="9"/>
    </row>
    <row r="898" spans="1:19" ht="12.5">
      <c r="A898" s="5"/>
      <c r="B898" s="5"/>
      <c r="C898" s="5"/>
      <c r="D898" s="5"/>
      <c r="E898" s="5"/>
      <c r="F898" s="5"/>
      <c r="G898" s="5"/>
      <c r="H898" s="5"/>
      <c r="K898" s="23"/>
      <c r="L898" s="5"/>
      <c r="M898" s="5"/>
      <c r="N898" s="5"/>
      <c r="P898" s="5"/>
      <c r="R898" s="9"/>
      <c r="S898" s="9"/>
    </row>
    <row r="899" spans="1:19" ht="12.5">
      <c r="A899" s="5"/>
      <c r="B899" s="5"/>
      <c r="C899" s="5"/>
      <c r="D899" s="5"/>
      <c r="E899" s="5"/>
      <c r="F899" s="5"/>
      <c r="G899" s="5"/>
      <c r="H899" s="5"/>
      <c r="K899" s="23"/>
      <c r="L899" s="5"/>
      <c r="M899" s="5"/>
      <c r="N899" s="5"/>
      <c r="P899" s="5"/>
      <c r="R899" s="9"/>
      <c r="S899" s="9"/>
    </row>
    <row r="900" spans="1:19" ht="12.5">
      <c r="A900" s="5"/>
      <c r="B900" s="5"/>
      <c r="C900" s="5"/>
      <c r="D900" s="5"/>
      <c r="E900" s="5"/>
      <c r="F900" s="5"/>
      <c r="G900" s="5"/>
      <c r="H900" s="5"/>
      <c r="K900" s="23"/>
      <c r="L900" s="5"/>
      <c r="M900" s="5"/>
      <c r="N900" s="5"/>
      <c r="P900" s="5"/>
      <c r="R900" s="9"/>
      <c r="S900" s="9"/>
    </row>
    <row r="901" spans="1:19" ht="12.5">
      <c r="A901" s="5"/>
      <c r="B901" s="5"/>
      <c r="C901" s="5"/>
      <c r="D901" s="5"/>
      <c r="E901" s="5"/>
      <c r="F901" s="5"/>
      <c r="G901" s="5"/>
      <c r="H901" s="5"/>
      <c r="K901" s="23"/>
      <c r="L901" s="5"/>
      <c r="M901" s="5"/>
      <c r="N901" s="5"/>
      <c r="P901" s="5"/>
      <c r="R901" s="9"/>
      <c r="S901" s="9"/>
    </row>
    <row r="902" spans="1:19" ht="12.5">
      <c r="A902" s="5"/>
      <c r="B902" s="5"/>
      <c r="C902" s="5"/>
      <c r="D902" s="5"/>
      <c r="E902" s="5"/>
      <c r="F902" s="5"/>
      <c r="G902" s="5"/>
      <c r="H902" s="5"/>
      <c r="K902" s="23"/>
      <c r="L902" s="5"/>
      <c r="M902" s="5"/>
      <c r="N902" s="5"/>
      <c r="P902" s="5"/>
      <c r="R902" s="9"/>
      <c r="S902" s="9"/>
    </row>
    <row r="903" spans="1:19" ht="12.5">
      <c r="A903" s="5"/>
      <c r="B903" s="5"/>
      <c r="C903" s="5"/>
      <c r="D903" s="5"/>
      <c r="E903" s="5"/>
      <c r="F903" s="5"/>
      <c r="G903" s="5"/>
      <c r="H903" s="5"/>
      <c r="K903" s="23"/>
      <c r="L903" s="5"/>
      <c r="M903" s="5"/>
      <c r="N903" s="5"/>
      <c r="P903" s="5"/>
      <c r="R903" s="9"/>
      <c r="S903" s="9"/>
    </row>
    <row r="904" spans="1:19" ht="12.5">
      <c r="A904" s="5"/>
      <c r="B904" s="5"/>
      <c r="C904" s="5"/>
      <c r="D904" s="5"/>
      <c r="E904" s="5"/>
      <c r="F904" s="5"/>
      <c r="G904" s="5"/>
      <c r="H904" s="5"/>
      <c r="K904" s="23"/>
      <c r="L904" s="5"/>
      <c r="M904" s="5"/>
      <c r="N904" s="5"/>
      <c r="P904" s="5"/>
      <c r="R904" s="9"/>
      <c r="S904" s="9"/>
    </row>
    <row r="905" spans="1:19" ht="12.5">
      <c r="A905" s="5"/>
      <c r="B905" s="5"/>
      <c r="C905" s="5"/>
      <c r="D905" s="5"/>
      <c r="E905" s="5"/>
      <c r="F905" s="5"/>
      <c r="G905" s="5"/>
      <c r="H905" s="5"/>
      <c r="K905" s="23"/>
      <c r="L905" s="5"/>
      <c r="M905" s="5"/>
      <c r="N905" s="5"/>
      <c r="P905" s="5"/>
      <c r="R905" s="9"/>
      <c r="S905" s="9"/>
    </row>
    <row r="906" spans="1:19" ht="12.5">
      <c r="A906" s="5"/>
      <c r="B906" s="5"/>
      <c r="C906" s="5"/>
      <c r="D906" s="5"/>
      <c r="E906" s="5"/>
      <c r="F906" s="5"/>
      <c r="G906" s="5"/>
      <c r="H906" s="5"/>
      <c r="K906" s="23"/>
      <c r="L906" s="5"/>
      <c r="M906" s="5"/>
      <c r="N906" s="5"/>
      <c r="P906" s="5"/>
      <c r="R906" s="9"/>
      <c r="S906" s="9"/>
    </row>
    <row r="907" spans="1:19" ht="12.5">
      <c r="A907" s="5"/>
      <c r="B907" s="5"/>
      <c r="C907" s="5"/>
      <c r="D907" s="5"/>
      <c r="E907" s="5"/>
      <c r="F907" s="5"/>
      <c r="G907" s="5"/>
      <c r="H907" s="5"/>
      <c r="K907" s="23"/>
      <c r="L907" s="5"/>
      <c r="M907" s="5"/>
      <c r="N907" s="5"/>
      <c r="P907" s="5"/>
      <c r="R907" s="9"/>
      <c r="S907" s="9"/>
    </row>
    <row r="908" spans="1:19" ht="12.5">
      <c r="A908" s="5"/>
      <c r="B908" s="5"/>
      <c r="C908" s="5"/>
      <c r="D908" s="5"/>
      <c r="E908" s="5"/>
      <c r="F908" s="5"/>
      <c r="G908" s="5"/>
      <c r="H908" s="5"/>
      <c r="K908" s="23"/>
      <c r="L908" s="5"/>
      <c r="M908" s="5"/>
      <c r="N908" s="5"/>
      <c r="P908" s="5"/>
      <c r="R908" s="9"/>
      <c r="S908" s="9"/>
    </row>
    <row r="909" spans="1:19" ht="12.5">
      <c r="A909" s="5"/>
      <c r="B909" s="5"/>
      <c r="C909" s="5"/>
      <c r="D909" s="5"/>
      <c r="E909" s="5"/>
      <c r="F909" s="5"/>
      <c r="G909" s="5"/>
      <c r="H909" s="5"/>
      <c r="K909" s="23"/>
      <c r="L909" s="5"/>
      <c r="M909" s="5"/>
      <c r="N909" s="5"/>
      <c r="P909" s="5"/>
      <c r="R909" s="9"/>
      <c r="S909" s="9"/>
    </row>
    <row r="910" spans="1:19" ht="12.5">
      <c r="A910" s="5"/>
      <c r="B910" s="5"/>
      <c r="C910" s="5"/>
      <c r="D910" s="5"/>
      <c r="E910" s="5"/>
      <c r="F910" s="5"/>
      <c r="G910" s="5"/>
      <c r="H910" s="5"/>
      <c r="K910" s="23"/>
      <c r="L910" s="5"/>
      <c r="M910" s="5"/>
      <c r="N910" s="5"/>
      <c r="P910" s="5"/>
      <c r="R910" s="9"/>
      <c r="S910" s="9"/>
    </row>
    <row r="911" spans="1:19" ht="12.5">
      <c r="A911" s="5"/>
      <c r="B911" s="5"/>
      <c r="C911" s="5"/>
      <c r="D911" s="5"/>
      <c r="E911" s="5"/>
      <c r="F911" s="5"/>
      <c r="G911" s="5"/>
      <c r="H911" s="5"/>
      <c r="K911" s="23"/>
      <c r="L911" s="5"/>
      <c r="M911" s="5"/>
      <c r="N911" s="5"/>
      <c r="P911" s="5"/>
      <c r="R911" s="9"/>
      <c r="S911" s="9"/>
    </row>
    <row r="912" spans="1:19" ht="12.5">
      <c r="A912" s="5"/>
      <c r="B912" s="5"/>
      <c r="C912" s="5"/>
      <c r="D912" s="5"/>
      <c r="E912" s="5"/>
      <c r="F912" s="5"/>
      <c r="G912" s="5"/>
      <c r="H912" s="5"/>
      <c r="K912" s="23"/>
      <c r="L912" s="5"/>
      <c r="M912" s="5"/>
      <c r="N912" s="5"/>
      <c r="P912" s="5"/>
      <c r="R912" s="9"/>
      <c r="S912" s="9"/>
    </row>
    <row r="913" spans="1:19" ht="12.5">
      <c r="A913" s="5"/>
      <c r="B913" s="5"/>
      <c r="C913" s="5"/>
      <c r="D913" s="5"/>
      <c r="E913" s="5"/>
      <c r="F913" s="5"/>
      <c r="G913" s="5"/>
      <c r="H913" s="5"/>
      <c r="K913" s="23"/>
      <c r="L913" s="5"/>
      <c r="M913" s="5"/>
      <c r="N913" s="5"/>
      <c r="P913" s="5"/>
      <c r="R913" s="9"/>
      <c r="S913" s="9"/>
    </row>
    <row r="914" spans="1:19" ht="12.5">
      <c r="A914" s="5"/>
      <c r="B914" s="5"/>
      <c r="C914" s="5"/>
      <c r="D914" s="5"/>
      <c r="E914" s="5"/>
      <c r="F914" s="5"/>
      <c r="G914" s="5"/>
      <c r="H914" s="5"/>
      <c r="K914" s="23"/>
      <c r="L914" s="5"/>
      <c r="M914" s="5"/>
      <c r="N914" s="5"/>
      <c r="P914" s="5"/>
      <c r="R914" s="9"/>
      <c r="S914" s="9"/>
    </row>
    <row r="915" spans="1:19" ht="12.5">
      <c r="A915" s="5"/>
      <c r="B915" s="5"/>
      <c r="C915" s="5"/>
      <c r="D915" s="5"/>
      <c r="E915" s="5"/>
      <c r="F915" s="5"/>
      <c r="G915" s="5"/>
      <c r="H915" s="5"/>
      <c r="K915" s="23"/>
      <c r="L915" s="5"/>
      <c r="M915" s="5"/>
      <c r="N915" s="5"/>
      <c r="P915" s="5"/>
      <c r="R915" s="9"/>
      <c r="S915" s="9"/>
    </row>
    <row r="916" spans="1:19" ht="12.5">
      <c r="A916" s="5"/>
      <c r="B916" s="5"/>
      <c r="C916" s="5"/>
      <c r="D916" s="5"/>
      <c r="E916" s="5"/>
      <c r="F916" s="5"/>
      <c r="G916" s="5"/>
      <c r="H916" s="5"/>
      <c r="K916" s="23"/>
      <c r="L916" s="5"/>
      <c r="M916" s="5"/>
      <c r="N916" s="5"/>
      <c r="P916" s="5"/>
      <c r="R916" s="9"/>
      <c r="S916" s="9"/>
    </row>
    <row r="917" spans="1:19" ht="12.5">
      <c r="A917" s="5"/>
      <c r="B917" s="5"/>
      <c r="C917" s="5"/>
      <c r="D917" s="5"/>
      <c r="E917" s="5"/>
      <c r="F917" s="5"/>
      <c r="G917" s="5"/>
      <c r="H917" s="5"/>
      <c r="K917" s="23"/>
      <c r="L917" s="5"/>
      <c r="M917" s="5"/>
      <c r="N917" s="5"/>
      <c r="P917" s="5"/>
      <c r="R917" s="9"/>
      <c r="S917" s="9"/>
    </row>
    <row r="918" spans="1:19" ht="12.5">
      <c r="A918" s="5"/>
      <c r="B918" s="5"/>
      <c r="C918" s="5"/>
      <c r="D918" s="5"/>
      <c r="E918" s="5"/>
      <c r="F918" s="5"/>
      <c r="G918" s="5"/>
      <c r="H918" s="5"/>
      <c r="K918" s="23"/>
      <c r="L918" s="5"/>
      <c r="M918" s="5"/>
      <c r="N918" s="5"/>
      <c r="P918" s="5"/>
      <c r="R918" s="9"/>
      <c r="S918" s="9"/>
    </row>
    <row r="919" spans="1:19" ht="12.5">
      <c r="A919" s="5"/>
      <c r="B919" s="5"/>
      <c r="C919" s="5"/>
      <c r="D919" s="5"/>
      <c r="E919" s="5"/>
      <c r="F919" s="5"/>
      <c r="G919" s="5"/>
      <c r="H919" s="5"/>
      <c r="K919" s="23"/>
      <c r="L919" s="5"/>
      <c r="M919" s="5"/>
      <c r="N919" s="5"/>
      <c r="P919" s="5"/>
      <c r="R919" s="9"/>
      <c r="S919" s="9"/>
    </row>
    <row r="920" spans="1:19" ht="12.5">
      <c r="A920" s="5"/>
      <c r="B920" s="5"/>
      <c r="C920" s="5"/>
      <c r="D920" s="5"/>
      <c r="E920" s="5"/>
      <c r="F920" s="5"/>
      <c r="G920" s="5"/>
      <c r="H920" s="5"/>
      <c r="K920" s="23"/>
      <c r="L920" s="5"/>
      <c r="M920" s="5"/>
      <c r="N920" s="5"/>
      <c r="P920" s="5"/>
      <c r="R920" s="9"/>
      <c r="S920" s="9"/>
    </row>
    <row r="921" spans="1:19" ht="12.5">
      <c r="A921" s="5"/>
      <c r="B921" s="5"/>
      <c r="C921" s="5"/>
      <c r="D921" s="5"/>
      <c r="E921" s="5"/>
      <c r="F921" s="5"/>
      <c r="G921" s="5"/>
      <c r="H921" s="5"/>
      <c r="K921" s="23"/>
      <c r="L921" s="5"/>
      <c r="M921" s="5"/>
      <c r="N921" s="5"/>
      <c r="P921" s="5"/>
      <c r="R921" s="9"/>
      <c r="S921" s="9"/>
    </row>
    <row r="922" spans="1:19" ht="12.5">
      <c r="A922" s="5"/>
      <c r="B922" s="5"/>
      <c r="C922" s="5"/>
      <c r="D922" s="5"/>
      <c r="E922" s="5"/>
      <c r="F922" s="5"/>
      <c r="G922" s="5"/>
      <c r="H922" s="5"/>
      <c r="K922" s="23"/>
      <c r="L922" s="5"/>
      <c r="M922" s="5"/>
      <c r="N922" s="5"/>
      <c r="P922" s="5"/>
      <c r="R922" s="9"/>
      <c r="S922" s="9"/>
    </row>
    <row r="923" spans="1:19" ht="12.5">
      <c r="A923" s="5"/>
      <c r="B923" s="5"/>
      <c r="C923" s="5"/>
      <c r="D923" s="5"/>
      <c r="E923" s="5"/>
      <c r="F923" s="5"/>
      <c r="G923" s="5"/>
      <c r="H923" s="5"/>
      <c r="K923" s="23"/>
      <c r="L923" s="5"/>
      <c r="M923" s="5"/>
      <c r="N923" s="5"/>
      <c r="P923" s="5"/>
      <c r="R923" s="9"/>
      <c r="S923" s="9"/>
    </row>
    <row r="924" spans="1:19" ht="12.5">
      <c r="A924" s="5"/>
      <c r="B924" s="5"/>
      <c r="C924" s="5"/>
      <c r="D924" s="5"/>
      <c r="E924" s="5"/>
      <c r="F924" s="5"/>
      <c r="G924" s="5"/>
      <c r="H924" s="5"/>
      <c r="K924" s="23"/>
      <c r="L924" s="5"/>
      <c r="M924" s="5"/>
      <c r="N924" s="5"/>
      <c r="P924" s="5"/>
      <c r="R924" s="9"/>
      <c r="S924" s="9"/>
    </row>
    <row r="925" spans="1:19" ht="12.5">
      <c r="A925" s="5"/>
      <c r="B925" s="5"/>
      <c r="C925" s="5"/>
      <c r="D925" s="5"/>
      <c r="E925" s="5"/>
      <c r="F925" s="5"/>
      <c r="G925" s="5"/>
      <c r="H925" s="5"/>
      <c r="K925" s="23"/>
      <c r="L925" s="5"/>
      <c r="M925" s="5"/>
      <c r="N925" s="5"/>
      <c r="P925" s="5"/>
      <c r="R925" s="9"/>
      <c r="S925" s="9"/>
    </row>
    <row r="926" spans="1:19" ht="12.5">
      <c r="A926" s="5"/>
      <c r="B926" s="5"/>
      <c r="C926" s="5"/>
      <c r="D926" s="5"/>
      <c r="E926" s="5"/>
      <c r="F926" s="5"/>
      <c r="G926" s="5"/>
      <c r="H926" s="5"/>
      <c r="K926" s="23"/>
      <c r="L926" s="5"/>
      <c r="M926" s="5"/>
      <c r="N926" s="5"/>
      <c r="P926" s="5"/>
      <c r="R926" s="9"/>
      <c r="S926" s="9"/>
    </row>
    <row r="927" spans="1:19" ht="12.5">
      <c r="A927" s="5"/>
      <c r="B927" s="5"/>
      <c r="C927" s="5"/>
      <c r="D927" s="5"/>
      <c r="E927" s="5"/>
      <c r="F927" s="5"/>
      <c r="G927" s="5"/>
      <c r="H927" s="5"/>
      <c r="K927" s="23"/>
      <c r="L927" s="5"/>
      <c r="M927" s="5"/>
      <c r="N927" s="5"/>
      <c r="P927" s="5"/>
      <c r="R927" s="9"/>
      <c r="S927" s="9"/>
    </row>
    <row r="928" spans="1:19" ht="12.5">
      <c r="A928" s="5"/>
      <c r="B928" s="5"/>
      <c r="C928" s="5"/>
      <c r="D928" s="5"/>
      <c r="E928" s="5"/>
      <c r="F928" s="5"/>
      <c r="G928" s="5"/>
      <c r="H928" s="5"/>
      <c r="K928" s="23"/>
      <c r="L928" s="5"/>
      <c r="M928" s="5"/>
      <c r="N928" s="5"/>
      <c r="P928" s="5"/>
      <c r="R928" s="9"/>
      <c r="S928" s="9"/>
    </row>
    <row r="929" spans="1:19" ht="12.5">
      <c r="A929" s="5"/>
      <c r="B929" s="5"/>
      <c r="C929" s="5"/>
      <c r="D929" s="5"/>
      <c r="E929" s="5"/>
      <c r="F929" s="5"/>
      <c r="G929" s="5"/>
      <c r="H929" s="5"/>
      <c r="K929" s="23"/>
      <c r="L929" s="5"/>
      <c r="M929" s="5"/>
      <c r="N929" s="5"/>
      <c r="P929" s="5"/>
      <c r="R929" s="9"/>
      <c r="S929" s="9"/>
    </row>
    <row r="930" spans="1:19" ht="12.5">
      <c r="A930" s="5"/>
      <c r="B930" s="5"/>
      <c r="C930" s="5"/>
      <c r="D930" s="5"/>
      <c r="E930" s="5"/>
      <c r="F930" s="5"/>
      <c r="G930" s="5"/>
      <c r="H930" s="5"/>
      <c r="K930" s="23"/>
      <c r="L930" s="5"/>
      <c r="M930" s="5"/>
      <c r="N930" s="5"/>
      <c r="P930" s="5"/>
      <c r="R930" s="9"/>
      <c r="S930" s="9"/>
    </row>
    <row r="931" spans="1:19" ht="12.5">
      <c r="A931" s="5"/>
      <c r="B931" s="5"/>
      <c r="C931" s="5"/>
      <c r="D931" s="5"/>
      <c r="E931" s="5"/>
      <c r="F931" s="5"/>
      <c r="G931" s="5"/>
      <c r="H931" s="5"/>
      <c r="K931" s="23"/>
      <c r="L931" s="5"/>
      <c r="M931" s="5"/>
      <c r="N931" s="5"/>
      <c r="P931" s="5"/>
      <c r="R931" s="9"/>
      <c r="S931" s="9"/>
    </row>
    <row r="932" spans="1:19" ht="12.5">
      <c r="A932" s="5"/>
      <c r="B932" s="5"/>
      <c r="C932" s="5"/>
      <c r="D932" s="5"/>
      <c r="E932" s="5"/>
      <c r="F932" s="5"/>
      <c r="G932" s="5"/>
      <c r="H932" s="5"/>
      <c r="K932" s="23"/>
      <c r="L932" s="5"/>
      <c r="M932" s="5"/>
      <c r="N932" s="5"/>
      <c r="P932" s="5"/>
      <c r="R932" s="9"/>
      <c r="S932" s="9"/>
    </row>
    <row r="933" spans="1:19" ht="12.5">
      <c r="A933" s="5"/>
      <c r="B933" s="5"/>
      <c r="C933" s="5"/>
      <c r="D933" s="5"/>
      <c r="E933" s="5"/>
      <c r="F933" s="5"/>
      <c r="G933" s="5"/>
      <c r="H933" s="5"/>
      <c r="K933" s="23"/>
      <c r="L933" s="5"/>
      <c r="M933" s="5"/>
      <c r="N933" s="5"/>
      <c r="P933" s="5"/>
      <c r="R933" s="9"/>
      <c r="S933" s="9"/>
    </row>
    <row r="934" spans="1:19" ht="12.5">
      <c r="A934" s="5"/>
      <c r="B934" s="5"/>
      <c r="C934" s="5"/>
      <c r="D934" s="5"/>
      <c r="E934" s="5"/>
      <c r="F934" s="5"/>
      <c r="G934" s="5"/>
      <c r="H934" s="5"/>
      <c r="K934" s="23"/>
      <c r="L934" s="5"/>
      <c r="M934" s="5"/>
      <c r="N934" s="5"/>
      <c r="P934" s="5"/>
      <c r="R934" s="9"/>
      <c r="S934" s="9"/>
    </row>
    <row r="935" spans="1:19" ht="12.5">
      <c r="A935" s="5"/>
      <c r="B935" s="5"/>
      <c r="C935" s="5"/>
      <c r="D935" s="5"/>
      <c r="E935" s="5"/>
      <c r="F935" s="5"/>
      <c r="G935" s="5"/>
      <c r="H935" s="5"/>
      <c r="K935" s="23"/>
      <c r="L935" s="5"/>
      <c r="M935" s="5"/>
      <c r="N935" s="5"/>
      <c r="P935" s="5"/>
      <c r="R935" s="9"/>
      <c r="S935" s="9"/>
    </row>
    <row r="936" spans="1:19" ht="12.5">
      <c r="A936" s="5"/>
      <c r="B936" s="5"/>
      <c r="C936" s="5"/>
      <c r="D936" s="5"/>
      <c r="E936" s="5"/>
      <c r="F936" s="5"/>
      <c r="G936" s="5"/>
      <c r="H936" s="5"/>
      <c r="K936" s="23"/>
      <c r="L936" s="5"/>
      <c r="M936" s="5"/>
      <c r="N936" s="5"/>
      <c r="P936" s="5"/>
      <c r="R936" s="9"/>
      <c r="S936" s="9"/>
    </row>
    <row r="937" spans="1:19" ht="12.5">
      <c r="A937" s="5"/>
      <c r="B937" s="5"/>
      <c r="C937" s="5"/>
      <c r="D937" s="5"/>
      <c r="E937" s="5"/>
      <c r="F937" s="5"/>
      <c r="G937" s="5"/>
      <c r="H937" s="5"/>
      <c r="K937" s="23"/>
      <c r="L937" s="5"/>
      <c r="M937" s="5"/>
      <c r="N937" s="5"/>
      <c r="P937" s="5"/>
      <c r="R937" s="9"/>
      <c r="S937" s="9"/>
    </row>
    <row r="938" spans="1:19" ht="12.5">
      <c r="A938" s="5"/>
      <c r="B938" s="5"/>
      <c r="C938" s="5"/>
      <c r="D938" s="5"/>
      <c r="E938" s="5"/>
      <c r="F938" s="5"/>
      <c r="G938" s="5"/>
      <c r="H938" s="5"/>
      <c r="K938" s="23"/>
      <c r="L938" s="5"/>
      <c r="M938" s="5"/>
      <c r="N938" s="5"/>
      <c r="P938" s="5"/>
      <c r="R938" s="9"/>
      <c r="S938" s="9"/>
    </row>
    <row r="939" spans="1:19" ht="12.5">
      <c r="A939" s="5"/>
      <c r="B939" s="5"/>
      <c r="C939" s="5"/>
      <c r="D939" s="5"/>
      <c r="E939" s="5"/>
      <c r="F939" s="5"/>
      <c r="G939" s="5"/>
      <c r="H939" s="5"/>
      <c r="K939" s="23"/>
      <c r="L939" s="5"/>
      <c r="M939" s="5"/>
      <c r="N939" s="5"/>
      <c r="P939" s="5"/>
      <c r="R939" s="9"/>
      <c r="S939" s="9"/>
    </row>
    <row r="940" spans="1:19" ht="12.5">
      <c r="A940" s="5"/>
      <c r="B940" s="5"/>
      <c r="C940" s="5"/>
      <c r="D940" s="5"/>
      <c r="E940" s="5"/>
      <c r="F940" s="5"/>
      <c r="G940" s="5"/>
      <c r="H940" s="5"/>
      <c r="K940" s="23"/>
      <c r="L940" s="5"/>
      <c r="M940" s="5"/>
      <c r="N940" s="5"/>
      <c r="P940" s="5"/>
      <c r="R940" s="9"/>
      <c r="S940" s="9"/>
    </row>
    <row r="941" spans="1:19" ht="12.5">
      <c r="A941" s="5"/>
      <c r="B941" s="5"/>
      <c r="C941" s="5"/>
      <c r="D941" s="5"/>
      <c r="E941" s="5"/>
      <c r="F941" s="5"/>
      <c r="G941" s="5"/>
      <c r="H941" s="5"/>
      <c r="K941" s="23"/>
      <c r="L941" s="5"/>
      <c r="M941" s="5"/>
      <c r="N941" s="5"/>
      <c r="P941" s="5"/>
      <c r="R941" s="9"/>
      <c r="S941" s="9"/>
    </row>
    <row r="942" spans="1:19" ht="12.5">
      <c r="A942" s="5"/>
      <c r="B942" s="5"/>
      <c r="C942" s="5"/>
      <c r="D942" s="5"/>
      <c r="E942" s="5"/>
      <c r="F942" s="5"/>
      <c r="G942" s="5"/>
      <c r="H942" s="5"/>
      <c r="K942" s="23"/>
      <c r="L942" s="5"/>
      <c r="M942" s="5"/>
      <c r="N942" s="5"/>
      <c r="P942" s="5"/>
      <c r="R942" s="9"/>
      <c r="S942" s="9"/>
    </row>
    <row r="943" spans="1:19" ht="12.5">
      <c r="A943" s="5"/>
      <c r="B943" s="5"/>
      <c r="C943" s="5"/>
      <c r="D943" s="5"/>
      <c r="E943" s="5"/>
      <c r="F943" s="5"/>
      <c r="G943" s="5"/>
      <c r="H943" s="5"/>
      <c r="K943" s="23"/>
      <c r="L943" s="5"/>
      <c r="M943" s="5"/>
      <c r="N943" s="5"/>
      <c r="P943" s="5"/>
      <c r="R943" s="9"/>
      <c r="S943" s="9"/>
    </row>
    <row r="944" spans="1:19" ht="12.5">
      <c r="A944" s="5"/>
      <c r="B944" s="5"/>
      <c r="C944" s="5"/>
      <c r="D944" s="5"/>
      <c r="E944" s="5"/>
      <c r="F944" s="5"/>
      <c r="G944" s="5"/>
      <c r="H944" s="5"/>
      <c r="K944" s="23"/>
      <c r="L944" s="5"/>
      <c r="M944" s="5"/>
      <c r="N944" s="5"/>
      <c r="P944" s="5"/>
      <c r="R944" s="9"/>
      <c r="S944" s="9"/>
    </row>
    <row r="945" spans="1:19" ht="12.5">
      <c r="A945" s="5"/>
      <c r="B945" s="5"/>
      <c r="C945" s="5"/>
      <c r="D945" s="5"/>
      <c r="E945" s="5"/>
      <c r="F945" s="5"/>
      <c r="G945" s="5"/>
      <c r="H945" s="5"/>
      <c r="K945" s="23"/>
      <c r="L945" s="5"/>
      <c r="M945" s="5"/>
      <c r="N945" s="5"/>
      <c r="P945" s="5"/>
      <c r="R945" s="9"/>
      <c r="S945" s="9"/>
    </row>
    <row r="946" spans="1:19" ht="12.5">
      <c r="A946" s="5"/>
      <c r="B946" s="5"/>
      <c r="C946" s="5"/>
      <c r="D946" s="5"/>
      <c r="E946" s="5"/>
      <c r="F946" s="5"/>
      <c r="G946" s="5"/>
      <c r="H946" s="5"/>
      <c r="K946" s="23"/>
      <c r="L946" s="5"/>
      <c r="M946" s="5"/>
      <c r="N946" s="5"/>
      <c r="P946" s="5"/>
      <c r="R946" s="9"/>
      <c r="S946" s="9"/>
    </row>
    <row r="947" spans="1:19" ht="12.5">
      <c r="A947" s="5"/>
      <c r="B947" s="5"/>
      <c r="C947" s="5"/>
      <c r="D947" s="5"/>
      <c r="E947" s="5"/>
      <c r="F947" s="5"/>
      <c r="G947" s="5"/>
      <c r="H947" s="5"/>
      <c r="K947" s="23"/>
      <c r="L947" s="5"/>
      <c r="M947" s="5"/>
      <c r="N947" s="5"/>
      <c r="P947" s="5"/>
      <c r="R947" s="9"/>
      <c r="S947" s="9"/>
    </row>
    <row r="948" spans="1:19" ht="12.5">
      <c r="A948" s="5"/>
      <c r="B948" s="5"/>
      <c r="C948" s="5"/>
      <c r="D948" s="5"/>
      <c r="E948" s="5"/>
      <c r="F948" s="5"/>
      <c r="G948" s="5"/>
      <c r="H948" s="5"/>
      <c r="K948" s="23"/>
      <c r="L948" s="5"/>
      <c r="M948" s="5"/>
      <c r="N948" s="5"/>
      <c r="P948" s="5"/>
      <c r="R948" s="9"/>
      <c r="S948" s="9"/>
    </row>
    <row r="949" spans="1:19" ht="12.5">
      <c r="A949" s="5"/>
      <c r="B949" s="5"/>
      <c r="C949" s="5"/>
      <c r="D949" s="5"/>
      <c r="E949" s="5"/>
      <c r="F949" s="5"/>
      <c r="G949" s="5"/>
      <c r="H949" s="5"/>
      <c r="K949" s="23"/>
      <c r="L949" s="5"/>
      <c r="M949" s="5"/>
      <c r="N949" s="5"/>
      <c r="P949" s="5"/>
      <c r="R949" s="9"/>
      <c r="S949" s="9"/>
    </row>
    <row r="950" spans="1:19" ht="12.5">
      <c r="A950" s="5"/>
      <c r="B950" s="5"/>
      <c r="C950" s="5"/>
      <c r="D950" s="5"/>
      <c r="E950" s="5"/>
      <c r="F950" s="5"/>
      <c r="G950" s="5"/>
      <c r="H950" s="5"/>
      <c r="K950" s="23"/>
      <c r="L950" s="5"/>
      <c r="M950" s="5"/>
      <c r="N950" s="5"/>
      <c r="P950" s="5"/>
      <c r="R950" s="9"/>
      <c r="S950" s="9"/>
    </row>
    <row r="951" spans="1:19" ht="12.5">
      <c r="A951" s="5"/>
      <c r="B951" s="5"/>
      <c r="C951" s="5"/>
      <c r="D951" s="5"/>
      <c r="E951" s="5"/>
      <c r="F951" s="5"/>
      <c r="G951" s="5"/>
      <c r="H951" s="5"/>
      <c r="K951" s="23"/>
      <c r="L951" s="5"/>
      <c r="M951" s="5"/>
      <c r="N951" s="5"/>
      <c r="P951" s="5"/>
      <c r="R951" s="9"/>
      <c r="S951" s="9"/>
    </row>
    <row r="952" spans="1:19" ht="12.5">
      <c r="A952" s="5"/>
      <c r="B952" s="5"/>
      <c r="C952" s="5"/>
      <c r="D952" s="5"/>
      <c r="E952" s="5"/>
      <c r="F952" s="5"/>
      <c r="G952" s="5"/>
      <c r="H952" s="5"/>
      <c r="K952" s="23"/>
      <c r="L952" s="5"/>
      <c r="M952" s="5"/>
      <c r="N952" s="5"/>
      <c r="P952" s="5"/>
      <c r="R952" s="9"/>
      <c r="S952" s="9"/>
    </row>
    <row r="953" spans="1:19" ht="12.5">
      <c r="A953" s="5"/>
      <c r="B953" s="5"/>
      <c r="C953" s="5"/>
      <c r="D953" s="5"/>
      <c r="E953" s="5"/>
      <c r="F953" s="5"/>
      <c r="G953" s="5"/>
      <c r="H953" s="5"/>
      <c r="K953" s="23"/>
      <c r="L953" s="5"/>
      <c r="M953" s="5"/>
      <c r="N953" s="5"/>
      <c r="P953" s="5"/>
      <c r="R953" s="9"/>
      <c r="S953" s="9"/>
    </row>
    <row r="954" spans="1:19" ht="12.5">
      <c r="A954" s="5"/>
      <c r="B954" s="5"/>
      <c r="C954" s="5"/>
      <c r="D954" s="5"/>
      <c r="E954" s="5"/>
      <c r="F954" s="5"/>
      <c r="G954" s="5"/>
      <c r="H954" s="5"/>
      <c r="K954" s="23"/>
      <c r="L954" s="5"/>
      <c r="M954" s="5"/>
      <c r="N954" s="5"/>
      <c r="P954" s="5"/>
      <c r="R954" s="9"/>
      <c r="S954" s="9"/>
    </row>
    <row r="955" spans="1:19" ht="12.5">
      <c r="A955" s="5"/>
      <c r="B955" s="5"/>
      <c r="C955" s="5"/>
      <c r="D955" s="5"/>
      <c r="E955" s="5"/>
      <c r="F955" s="5"/>
      <c r="G955" s="5"/>
      <c r="H955" s="5"/>
      <c r="K955" s="23"/>
      <c r="L955" s="5"/>
      <c r="M955" s="5"/>
      <c r="N955" s="5"/>
      <c r="P955" s="5"/>
      <c r="R955" s="9"/>
      <c r="S955" s="9"/>
    </row>
    <row r="956" spans="1:19" ht="12.5">
      <c r="A956" s="5"/>
      <c r="B956" s="5"/>
      <c r="C956" s="5"/>
      <c r="D956" s="5"/>
      <c r="E956" s="5"/>
      <c r="F956" s="5"/>
      <c r="G956" s="5"/>
      <c r="H956" s="5"/>
      <c r="K956" s="23"/>
      <c r="L956" s="5"/>
      <c r="M956" s="5"/>
      <c r="N956" s="5"/>
      <c r="P956" s="5"/>
      <c r="R956" s="9"/>
      <c r="S956" s="9"/>
    </row>
    <row r="957" spans="1:19" ht="12.5">
      <c r="A957" s="5"/>
      <c r="B957" s="5"/>
      <c r="C957" s="5"/>
      <c r="D957" s="5"/>
      <c r="E957" s="5"/>
      <c r="F957" s="5"/>
      <c r="G957" s="5"/>
      <c r="H957" s="5"/>
      <c r="K957" s="23"/>
      <c r="L957" s="5"/>
      <c r="M957" s="5"/>
      <c r="N957" s="5"/>
      <c r="P957" s="5"/>
      <c r="R957" s="9"/>
      <c r="S957" s="9"/>
    </row>
    <row r="958" spans="1:19" ht="12.5">
      <c r="A958" s="5"/>
      <c r="B958" s="5"/>
      <c r="C958" s="5"/>
      <c r="D958" s="5"/>
      <c r="E958" s="5"/>
      <c r="F958" s="5"/>
      <c r="G958" s="5"/>
      <c r="H958" s="5"/>
      <c r="K958" s="23"/>
      <c r="L958" s="5"/>
      <c r="M958" s="5"/>
      <c r="N958" s="5"/>
      <c r="P958" s="5"/>
      <c r="R958" s="9"/>
      <c r="S958" s="9"/>
    </row>
    <row r="959" spans="1:19" ht="12.5">
      <c r="A959" s="5"/>
      <c r="B959" s="5"/>
      <c r="C959" s="5"/>
      <c r="D959" s="5"/>
      <c r="E959" s="5"/>
      <c r="F959" s="5"/>
      <c r="G959" s="5"/>
      <c r="H959" s="5"/>
      <c r="K959" s="23"/>
      <c r="L959" s="5"/>
      <c r="M959" s="5"/>
      <c r="N959" s="5"/>
      <c r="P959" s="5"/>
      <c r="R959" s="9"/>
      <c r="S959" s="9"/>
    </row>
    <row r="960" spans="1:19" ht="12.5">
      <c r="A960" s="5"/>
      <c r="B960" s="5"/>
      <c r="C960" s="5"/>
      <c r="D960" s="5"/>
      <c r="E960" s="5"/>
      <c r="F960" s="5"/>
      <c r="G960" s="5"/>
      <c r="H960" s="5"/>
      <c r="K960" s="23"/>
      <c r="L960" s="5"/>
      <c r="M960" s="5"/>
      <c r="N960" s="5"/>
      <c r="P960" s="5"/>
      <c r="R960" s="9"/>
      <c r="S960" s="9"/>
    </row>
    <row r="961" spans="1:19" ht="12.5">
      <c r="A961" s="5"/>
      <c r="B961" s="5"/>
      <c r="C961" s="5"/>
      <c r="D961" s="5"/>
      <c r="E961" s="5"/>
      <c r="F961" s="5"/>
      <c r="G961" s="5"/>
      <c r="H961" s="5"/>
      <c r="K961" s="23"/>
      <c r="L961" s="5"/>
      <c r="M961" s="5"/>
      <c r="N961" s="5"/>
      <c r="P961" s="5"/>
      <c r="R961" s="9"/>
      <c r="S961" s="9"/>
    </row>
    <row r="962" spans="1:19" ht="12.5">
      <c r="A962" s="5"/>
      <c r="B962" s="5"/>
      <c r="C962" s="5"/>
      <c r="D962" s="5"/>
      <c r="E962" s="5"/>
      <c r="F962" s="5"/>
      <c r="G962" s="5"/>
      <c r="H962" s="5"/>
      <c r="K962" s="23"/>
      <c r="L962" s="5"/>
      <c r="M962" s="5"/>
      <c r="N962" s="5"/>
      <c r="P962" s="5"/>
      <c r="R962" s="9"/>
      <c r="S962" s="9"/>
    </row>
    <row r="963" spans="1:19" ht="12.5">
      <c r="A963" s="5"/>
      <c r="B963" s="5"/>
      <c r="C963" s="5"/>
      <c r="D963" s="5"/>
      <c r="E963" s="5"/>
      <c r="F963" s="5"/>
      <c r="G963" s="5"/>
      <c r="H963" s="5"/>
      <c r="K963" s="23"/>
      <c r="L963" s="5"/>
      <c r="M963" s="5"/>
      <c r="N963" s="5"/>
      <c r="P963" s="5"/>
      <c r="R963" s="9"/>
      <c r="S963" s="9"/>
    </row>
    <row r="964" spans="1:19" ht="12.5">
      <c r="A964" s="5"/>
      <c r="B964" s="5"/>
      <c r="C964" s="5"/>
      <c r="D964" s="5"/>
      <c r="E964" s="5"/>
      <c r="F964" s="5"/>
      <c r="G964" s="5"/>
      <c r="H964" s="5"/>
      <c r="K964" s="23"/>
      <c r="L964" s="5"/>
      <c r="M964" s="5"/>
      <c r="N964" s="5"/>
      <c r="P964" s="5"/>
      <c r="R964" s="9"/>
      <c r="S964" s="9"/>
    </row>
    <row r="965" spans="1:19" ht="12.5">
      <c r="A965" s="5"/>
      <c r="B965" s="5"/>
      <c r="C965" s="5"/>
      <c r="D965" s="5"/>
      <c r="E965" s="5"/>
      <c r="F965" s="5"/>
      <c r="G965" s="5"/>
      <c r="H965" s="5"/>
      <c r="K965" s="23"/>
      <c r="L965" s="5"/>
      <c r="M965" s="5"/>
      <c r="N965" s="5"/>
      <c r="P965" s="5"/>
      <c r="R965" s="9"/>
      <c r="S965" s="9"/>
    </row>
    <row r="966" spans="1:19" ht="12.5">
      <c r="A966" s="5"/>
      <c r="B966" s="5"/>
      <c r="C966" s="5"/>
      <c r="D966" s="5"/>
      <c r="E966" s="5"/>
      <c r="F966" s="5"/>
      <c r="G966" s="5"/>
      <c r="H966" s="5"/>
      <c r="K966" s="23"/>
      <c r="L966" s="5"/>
      <c r="M966" s="5"/>
      <c r="N966" s="5"/>
      <c r="P966" s="5"/>
      <c r="R966" s="9"/>
      <c r="S966" s="9"/>
    </row>
    <row r="967" spans="1:19" ht="12.5">
      <c r="A967" s="5"/>
      <c r="B967" s="5"/>
      <c r="C967" s="5"/>
      <c r="D967" s="5"/>
      <c r="E967" s="5"/>
      <c r="F967" s="5"/>
      <c r="G967" s="5"/>
      <c r="H967" s="5"/>
      <c r="K967" s="23"/>
      <c r="L967" s="5"/>
      <c r="M967" s="5"/>
      <c r="N967" s="5"/>
      <c r="P967" s="5"/>
      <c r="R967" s="9"/>
      <c r="S967" s="9"/>
    </row>
    <row r="968" spans="1:19" ht="12.5">
      <c r="A968" s="5"/>
      <c r="B968" s="5"/>
      <c r="C968" s="5"/>
      <c r="D968" s="5"/>
      <c r="E968" s="5"/>
      <c r="F968" s="5"/>
      <c r="G968" s="5"/>
      <c r="H968" s="5"/>
      <c r="K968" s="23"/>
      <c r="L968" s="5"/>
      <c r="M968" s="5"/>
      <c r="N968" s="5"/>
      <c r="P968" s="5"/>
      <c r="R968" s="9"/>
      <c r="S968" s="9"/>
    </row>
    <row r="969" spans="1:19" ht="12.5">
      <c r="A969" s="5"/>
      <c r="B969" s="5"/>
      <c r="C969" s="5"/>
      <c r="D969" s="5"/>
      <c r="E969" s="5"/>
      <c r="F969" s="5"/>
      <c r="G969" s="5"/>
      <c r="H969" s="5"/>
      <c r="K969" s="23"/>
      <c r="L969" s="5"/>
      <c r="M969" s="5"/>
      <c r="N969" s="5"/>
      <c r="P969" s="5"/>
      <c r="R969" s="9"/>
      <c r="S969" s="9"/>
    </row>
    <row r="970" spans="1:19" ht="12.5">
      <c r="A970" s="5"/>
      <c r="B970" s="5"/>
      <c r="C970" s="5"/>
      <c r="D970" s="5"/>
      <c r="E970" s="5"/>
      <c r="F970" s="5"/>
      <c r="G970" s="5"/>
      <c r="H970" s="5"/>
      <c r="K970" s="23"/>
      <c r="L970" s="5"/>
      <c r="M970" s="5"/>
      <c r="N970" s="5"/>
      <c r="P970" s="5"/>
      <c r="R970" s="9"/>
      <c r="S970" s="9"/>
    </row>
    <row r="971" spans="1:19" ht="12.5">
      <c r="A971" s="5"/>
      <c r="B971" s="5"/>
      <c r="C971" s="5"/>
      <c r="D971" s="5"/>
      <c r="E971" s="5"/>
      <c r="F971" s="5"/>
      <c r="G971" s="5"/>
      <c r="H971" s="5"/>
      <c r="K971" s="23"/>
      <c r="L971" s="5"/>
      <c r="M971" s="5"/>
      <c r="N971" s="5"/>
      <c r="P971" s="5"/>
      <c r="R971" s="9"/>
      <c r="S971" s="9"/>
    </row>
    <row r="972" spans="1:19" ht="12.5">
      <c r="A972" s="5"/>
      <c r="B972" s="5"/>
      <c r="C972" s="5"/>
      <c r="D972" s="5"/>
      <c r="E972" s="5"/>
      <c r="F972" s="5"/>
      <c r="G972" s="5"/>
      <c r="H972" s="5"/>
      <c r="K972" s="23"/>
      <c r="L972" s="5"/>
      <c r="M972" s="5"/>
      <c r="N972" s="5"/>
      <c r="P972" s="5"/>
      <c r="R972" s="9"/>
      <c r="S972" s="9"/>
    </row>
    <row r="973" spans="1:19" ht="12.5">
      <c r="A973" s="5"/>
      <c r="B973" s="5"/>
      <c r="C973" s="5"/>
      <c r="D973" s="5"/>
      <c r="E973" s="5"/>
      <c r="F973" s="5"/>
      <c r="G973" s="5"/>
      <c r="H973" s="5"/>
      <c r="K973" s="23"/>
      <c r="L973" s="5"/>
      <c r="M973" s="5"/>
      <c r="N973" s="5"/>
      <c r="P973" s="5"/>
      <c r="R973" s="9"/>
      <c r="S973" s="9"/>
    </row>
    <row r="974" spans="1:19" ht="12.5">
      <c r="A974" s="5"/>
      <c r="B974" s="5"/>
      <c r="C974" s="5"/>
      <c r="D974" s="5"/>
      <c r="E974" s="5"/>
      <c r="F974" s="5"/>
      <c r="G974" s="5"/>
      <c r="H974" s="5"/>
      <c r="K974" s="23"/>
      <c r="L974" s="5"/>
      <c r="M974" s="5"/>
      <c r="N974" s="5"/>
      <c r="P974" s="5"/>
      <c r="R974" s="9"/>
      <c r="S974" s="9"/>
    </row>
    <row r="975" spans="1:19" ht="12.5">
      <c r="A975" s="5"/>
      <c r="B975" s="5"/>
      <c r="C975" s="5"/>
      <c r="D975" s="5"/>
      <c r="E975" s="5"/>
      <c r="F975" s="5"/>
      <c r="G975" s="5"/>
      <c r="H975" s="5"/>
      <c r="K975" s="23"/>
      <c r="L975" s="5"/>
      <c r="M975" s="5"/>
      <c r="N975" s="5"/>
      <c r="P975" s="5"/>
      <c r="R975" s="9"/>
      <c r="S975" s="9"/>
    </row>
    <row r="976" spans="1:19" ht="12.5">
      <c r="A976" s="5"/>
      <c r="B976" s="5"/>
      <c r="C976" s="5"/>
      <c r="D976" s="5"/>
      <c r="E976" s="5"/>
      <c r="F976" s="5"/>
      <c r="G976" s="5"/>
      <c r="H976" s="5"/>
      <c r="K976" s="23"/>
      <c r="L976" s="5"/>
      <c r="M976" s="5"/>
      <c r="N976" s="5"/>
      <c r="P976" s="5"/>
      <c r="R976" s="9"/>
      <c r="S976" s="9"/>
    </row>
    <row r="977" spans="1:19" ht="12.5">
      <c r="A977" s="5"/>
      <c r="B977" s="5"/>
      <c r="C977" s="5"/>
      <c r="D977" s="5"/>
      <c r="E977" s="5"/>
      <c r="F977" s="5"/>
      <c r="G977" s="5"/>
      <c r="H977" s="5"/>
      <c r="K977" s="23"/>
      <c r="L977" s="5"/>
      <c r="M977" s="5"/>
      <c r="N977" s="5"/>
      <c r="P977" s="5"/>
      <c r="R977" s="9"/>
      <c r="S977" s="9"/>
    </row>
    <row r="978" spans="1:19" ht="12.5">
      <c r="A978" s="5"/>
      <c r="B978" s="5"/>
      <c r="C978" s="5"/>
      <c r="D978" s="5"/>
      <c r="E978" s="5"/>
      <c r="F978" s="5"/>
      <c r="G978" s="5"/>
      <c r="H978" s="5"/>
      <c r="K978" s="23"/>
      <c r="L978" s="5"/>
      <c r="M978" s="5"/>
      <c r="N978" s="5"/>
      <c r="P978" s="5"/>
      <c r="R978" s="9"/>
      <c r="S978" s="9"/>
    </row>
    <row r="979" spans="1:19" ht="12.5">
      <c r="A979" s="5"/>
      <c r="B979" s="5"/>
      <c r="C979" s="5"/>
      <c r="D979" s="5"/>
      <c r="E979" s="5"/>
      <c r="F979" s="5"/>
      <c r="G979" s="5"/>
      <c r="H979" s="5"/>
      <c r="K979" s="23"/>
      <c r="L979" s="5"/>
      <c r="M979" s="5"/>
      <c r="N979" s="5"/>
      <c r="P979" s="5"/>
      <c r="R979" s="9"/>
      <c r="S979" s="9"/>
    </row>
    <row r="980" spans="1:19" ht="12.5">
      <c r="A980" s="5"/>
      <c r="B980" s="5"/>
      <c r="C980" s="5"/>
      <c r="D980" s="5"/>
      <c r="E980" s="5"/>
      <c r="F980" s="5"/>
      <c r="G980" s="5"/>
      <c r="H980" s="5"/>
      <c r="K980" s="23"/>
      <c r="L980" s="5"/>
      <c r="M980" s="5"/>
      <c r="N980" s="5"/>
      <c r="P980" s="5"/>
      <c r="R980" s="9"/>
      <c r="S980" s="9"/>
    </row>
    <row r="981" spans="1:19" ht="12.5">
      <c r="A981" s="5"/>
      <c r="B981" s="5"/>
      <c r="C981" s="5"/>
      <c r="D981" s="5"/>
      <c r="E981" s="5"/>
      <c r="F981" s="5"/>
      <c r="G981" s="5"/>
      <c r="H981" s="5"/>
      <c r="K981" s="23"/>
      <c r="L981" s="5"/>
      <c r="M981" s="5"/>
      <c r="N981" s="5"/>
      <c r="P981" s="5"/>
      <c r="R981" s="9"/>
      <c r="S981" s="9"/>
    </row>
    <row r="982" spans="1:19" ht="12.5">
      <c r="A982" s="5"/>
      <c r="B982" s="5"/>
      <c r="C982" s="5"/>
      <c r="D982" s="5"/>
      <c r="E982" s="5"/>
      <c r="F982" s="5"/>
      <c r="G982" s="5"/>
      <c r="H982" s="5"/>
      <c r="K982" s="23"/>
      <c r="L982" s="5"/>
      <c r="M982" s="5"/>
      <c r="N982" s="5"/>
      <c r="P982" s="5"/>
      <c r="R982" s="9"/>
      <c r="S982" s="9"/>
    </row>
    <row r="983" spans="1:19" ht="12.5">
      <c r="A983" s="5"/>
      <c r="B983" s="5"/>
      <c r="C983" s="5"/>
      <c r="D983" s="5"/>
      <c r="E983" s="5"/>
      <c r="F983" s="5"/>
      <c r="G983" s="5"/>
      <c r="H983" s="5"/>
      <c r="K983" s="23"/>
      <c r="L983" s="5"/>
      <c r="M983" s="5"/>
      <c r="N983" s="5"/>
      <c r="P983" s="5"/>
      <c r="R983" s="9"/>
      <c r="S983" s="9"/>
    </row>
    <row r="984" spans="1:19" ht="12.5">
      <c r="A984" s="5"/>
      <c r="B984" s="5"/>
      <c r="C984" s="5"/>
      <c r="D984" s="5"/>
      <c r="E984" s="5"/>
      <c r="F984" s="5"/>
      <c r="G984" s="5"/>
      <c r="H984" s="5"/>
      <c r="K984" s="23"/>
      <c r="L984" s="5"/>
      <c r="M984" s="5"/>
      <c r="N984" s="5"/>
      <c r="P984" s="5"/>
      <c r="R984" s="9"/>
      <c r="S984" s="9"/>
    </row>
    <row r="985" spans="1:19" ht="12.5">
      <c r="A985" s="5"/>
      <c r="B985" s="5"/>
      <c r="C985" s="5"/>
      <c r="D985" s="5"/>
      <c r="E985" s="5"/>
      <c r="F985" s="5"/>
      <c r="G985" s="5"/>
      <c r="H985" s="5"/>
      <c r="K985" s="23"/>
      <c r="L985" s="5"/>
      <c r="M985" s="5"/>
      <c r="N985" s="5"/>
      <c r="P985" s="5"/>
      <c r="R985" s="9"/>
      <c r="S985" s="9"/>
    </row>
    <row r="986" spans="1:19" ht="12.5">
      <c r="A986" s="5"/>
      <c r="B986" s="5"/>
      <c r="C986" s="5"/>
      <c r="D986" s="5"/>
      <c r="E986" s="5"/>
      <c r="F986" s="5"/>
      <c r="G986" s="5"/>
      <c r="H986" s="5"/>
      <c r="K986" s="23"/>
      <c r="L986" s="5"/>
      <c r="M986" s="5"/>
      <c r="N986" s="5"/>
      <c r="P986" s="5"/>
      <c r="R986" s="9"/>
      <c r="S986" s="9"/>
    </row>
    <row r="987" spans="1:19" ht="12.5">
      <c r="A987" s="5"/>
      <c r="B987" s="5"/>
      <c r="C987" s="5"/>
      <c r="D987" s="5"/>
      <c r="E987" s="5"/>
      <c r="F987" s="5"/>
      <c r="G987" s="5"/>
      <c r="H987" s="5"/>
      <c r="K987" s="23"/>
      <c r="L987" s="5"/>
      <c r="M987" s="5"/>
      <c r="N987" s="5"/>
      <c r="P987" s="5"/>
      <c r="R987" s="9"/>
      <c r="S987" s="9"/>
    </row>
    <row r="988" spans="1:19" ht="12.5">
      <c r="A988" s="5"/>
      <c r="B988" s="5"/>
      <c r="C988" s="5"/>
      <c r="D988" s="5"/>
      <c r="E988" s="5"/>
      <c r="F988" s="5"/>
      <c r="G988" s="5"/>
      <c r="H988" s="5"/>
      <c r="K988" s="23"/>
      <c r="L988" s="5"/>
      <c r="M988" s="5"/>
      <c r="N988" s="5"/>
      <c r="P988" s="5"/>
      <c r="R988" s="9"/>
      <c r="S988" s="9"/>
    </row>
    <row r="989" spans="1:19" ht="12.5">
      <c r="A989" s="5"/>
      <c r="B989" s="5"/>
      <c r="C989" s="5"/>
      <c r="D989" s="5"/>
      <c r="E989" s="5"/>
      <c r="F989" s="5"/>
      <c r="G989" s="5"/>
      <c r="H989" s="5"/>
      <c r="K989" s="23"/>
      <c r="L989" s="5"/>
      <c r="M989" s="5"/>
      <c r="N989" s="5"/>
      <c r="P989" s="5"/>
      <c r="R989" s="9"/>
      <c r="S989" s="9"/>
    </row>
    <row r="990" spans="1:19" ht="12.5">
      <c r="A990" s="5"/>
      <c r="B990" s="5"/>
      <c r="C990" s="5"/>
      <c r="D990" s="5"/>
      <c r="E990" s="5"/>
      <c r="F990" s="5"/>
      <c r="G990" s="5"/>
      <c r="H990" s="5"/>
      <c r="K990" s="23"/>
      <c r="L990" s="5"/>
      <c r="M990" s="5"/>
      <c r="N990" s="5"/>
      <c r="P990" s="5"/>
      <c r="R990" s="9"/>
      <c r="S990" s="9"/>
    </row>
    <row r="991" spans="1:19" ht="12.5">
      <c r="A991" s="5"/>
      <c r="B991" s="5"/>
      <c r="C991" s="5"/>
      <c r="D991" s="5"/>
      <c r="E991" s="5"/>
      <c r="F991" s="5"/>
      <c r="G991" s="5"/>
      <c r="H991" s="5"/>
      <c r="K991" s="23"/>
      <c r="L991" s="5"/>
      <c r="M991" s="5"/>
      <c r="N991" s="5"/>
      <c r="P991" s="5"/>
      <c r="R991" s="9"/>
      <c r="S991" s="9"/>
    </row>
    <row r="992" spans="1:19" ht="12.5">
      <c r="A992" s="5"/>
      <c r="B992" s="5"/>
      <c r="C992" s="5"/>
      <c r="D992" s="5"/>
      <c r="E992" s="5"/>
      <c r="F992" s="5"/>
      <c r="G992" s="5"/>
      <c r="H992" s="5"/>
      <c r="K992" s="23"/>
      <c r="L992" s="5"/>
      <c r="M992" s="5"/>
      <c r="N992" s="5"/>
      <c r="P992" s="5"/>
      <c r="R992" s="9"/>
      <c r="S992" s="9"/>
    </row>
    <row r="993" spans="1:19" ht="12.5">
      <c r="A993" s="5"/>
      <c r="B993" s="5"/>
      <c r="C993" s="5"/>
      <c r="D993" s="5"/>
      <c r="E993" s="5"/>
      <c r="F993" s="5"/>
      <c r="G993" s="5"/>
      <c r="H993" s="5"/>
      <c r="K993" s="23"/>
      <c r="L993" s="5"/>
      <c r="M993" s="5"/>
      <c r="N993" s="5"/>
      <c r="P993" s="5"/>
      <c r="R993" s="9"/>
      <c r="S993" s="9"/>
    </row>
    <row r="994" spans="1:19" ht="12.5">
      <c r="A994" s="5"/>
      <c r="B994" s="5"/>
      <c r="C994" s="5"/>
      <c r="D994" s="5"/>
      <c r="E994" s="5"/>
      <c r="F994" s="5"/>
      <c r="G994" s="5"/>
      <c r="H994" s="5"/>
      <c r="K994" s="23"/>
      <c r="L994" s="5"/>
      <c r="M994" s="5"/>
      <c r="N994" s="5"/>
      <c r="P994" s="5"/>
      <c r="R994" s="9"/>
      <c r="S994" s="9"/>
    </row>
    <row r="995" spans="1:19" ht="12.5">
      <c r="A995" s="5"/>
      <c r="B995" s="5"/>
      <c r="C995" s="5"/>
      <c r="D995" s="5"/>
      <c r="E995" s="5"/>
      <c r="F995" s="5"/>
      <c r="G995" s="5"/>
      <c r="H995" s="5"/>
      <c r="K995" s="23"/>
      <c r="L995" s="5"/>
      <c r="M995" s="5"/>
      <c r="N995" s="5"/>
      <c r="P995" s="5"/>
      <c r="R995" s="9"/>
      <c r="S995" s="9"/>
    </row>
    <row r="996" spans="1:19" ht="12.5">
      <c r="A996" s="5"/>
      <c r="B996" s="5"/>
      <c r="C996" s="5"/>
      <c r="D996" s="5"/>
      <c r="E996" s="5"/>
      <c r="F996" s="5"/>
      <c r="G996" s="5"/>
      <c r="H996" s="5"/>
      <c r="K996" s="23"/>
      <c r="L996" s="5"/>
      <c r="M996" s="5"/>
      <c r="N996" s="5"/>
      <c r="P996" s="5"/>
      <c r="R996" s="9"/>
      <c r="S996" s="9"/>
    </row>
    <row r="997" spans="1:19" ht="12.5">
      <c r="A997" s="5"/>
      <c r="B997" s="5"/>
      <c r="C997" s="5"/>
      <c r="D997" s="5"/>
      <c r="E997" s="5"/>
      <c r="F997" s="5"/>
      <c r="G997" s="5"/>
      <c r="H997" s="5"/>
      <c r="K997" s="23"/>
      <c r="L997" s="5"/>
      <c r="M997" s="5"/>
      <c r="N997" s="5"/>
      <c r="P997" s="5"/>
      <c r="R997" s="9"/>
      <c r="S997" s="9"/>
    </row>
    <row r="998" spans="1:19" ht="12.5">
      <c r="A998" s="5"/>
      <c r="B998" s="5"/>
      <c r="C998" s="5"/>
      <c r="D998" s="5"/>
      <c r="E998" s="5"/>
      <c r="F998" s="5"/>
      <c r="G998" s="5"/>
      <c r="H998" s="5"/>
      <c r="K998" s="23"/>
      <c r="L998" s="5"/>
      <c r="M998" s="5"/>
      <c r="N998" s="5"/>
      <c r="P998" s="5"/>
      <c r="R998" s="9"/>
      <c r="S998" s="9"/>
    </row>
    <row r="999" spans="1:19" ht="12.5">
      <c r="A999" s="5"/>
      <c r="B999" s="5"/>
      <c r="C999" s="5"/>
      <c r="D999" s="5"/>
      <c r="E999" s="5"/>
      <c r="F999" s="5"/>
      <c r="G999" s="5"/>
      <c r="H999" s="5"/>
      <c r="K999" s="23"/>
      <c r="L999" s="5"/>
      <c r="M999" s="5"/>
      <c r="N999" s="5"/>
      <c r="P999" s="5"/>
      <c r="R999" s="9"/>
      <c r="S999" s="9"/>
    </row>
    <row r="1000" spans="1:19" ht="12.5">
      <c r="A1000" s="5"/>
      <c r="B1000" s="5"/>
      <c r="C1000" s="5"/>
      <c r="D1000" s="5"/>
      <c r="E1000" s="5"/>
      <c r="F1000" s="5"/>
      <c r="G1000" s="5"/>
      <c r="H1000" s="5"/>
      <c r="K1000" s="23"/>
      <c r="L1000" s="5"/>
      <c r="M1000" s="5"/>
      <c r="N1000" s="5"/>
      <c r="P1000" s="5"/>
      <c r="R1000" s="9"/>
      <c r="S1000" s="9"/>
    </row>
    <row r="1001" spans="1:19" ht="12.5">
      <c r="A1001" s="5"/>
      <c r="B1001" s="5"/>
      <c r="C1001" s="5"/>
      <c r="D1001" s="5"/>
      <c r="E1001" s="5"/>
      <c r="F1001" s="5"/>
      <c r="G1001" s="5"/>
      <c r="H1001" s="5"/>
      <c r="K1001" s="23"/>
      <c r="L1001" s="5"/>
      <c r="M1001" s="5"/>
      <c r="N1001" s="5"/>
      <c r="P1001" s="5"/>
      <c r="R1001" s="9"/>
      <c r="S1001" s="9"/>
    </row>
    <row r="1002" spans="1:19" ht="12.5">
      <c r="A1002" s="5"/>
      <c r="B1002" s="5"/>
      <c r="C1002" s="5"/>
      <c r="D1002" s="5"/>
      <c r="E1002" s="5"/>
      <c r="F1002" s="5"/>
      <c r="G1002" s="5"/>
      <c r="H1002" s="5"/>
      <c r="K1002" s="23"/>
      <c r="L1002" s="5"/>
      <c r="M1002" s="5"/>
      <c r="N1002" s="5"/>
      <c r="P1002" s="5"/>
      <c r="R1002" s="9"/>
      <c r="S1002" s="9"/>
    </row>
    <row r="1003" spans="1:19" ht="12.5">
      <c r="A1003" s="5"/>
      <c r="B1003" s="5"/>
      <c r="C1003" s="5"/>
      <c r="D1003" s="5"/>
      <c r="E1003" s="5"/>
      <c r="F1003" s="5"/>
      <c r="G1003" s="5"/>
      <c r="H1003" s="5"/>
      <c r="K1003" s="23"/>
      <c r="L1003" s="5"/>
      <c r="M1003" s="5"/>
      <c r="N1003" s="5"/>
      <c r="P1003" s="5"/>
      <c r="R1003" s="9"/>
      <c r="S1003" s="9"/>
    </row>
    <row r="1004" spans="1:19" ht="12.5">
      <c r="A1004" s="5"/>
      <c r="B1004" s="5"/>
      <c r="C1004" s="5"/>
      <c r="D1004" s="5"/>
      <c r="E1004" s="5"/>
      <c r="F1004" s="5"/>
      <c r="G1004" s="5"/>
      <c r="H1004" s="5"/>
      <c r="K1004" s="23"/>
      <c r="L1004" s="5"/>
      <c r="M1004" s="5"/>
      <c r="N1004" s="5"/>
      <c r="P1004" s="5"/>
      <c r="R1004" s="9"/>
      <c r="S1004" s="9"/>
    </row>
    <row r="1005" spans="1:19" ht="12.5">
      <c r="A1005" s="5"/>
      <c r="B1005" s="5"/>
      <c r="C1005" s="5"/>
      <c r="D1005" s="5"/>
      <c r="E1005" s="5"/>
      <c r="F1005" s="5"/>
      <c r="G1005" s="5"/>
      <c r="H1005" s="5"/>
      <c r="K1005" s="23"/>
      <c r="L1005" s="5"/>
      <c r="M1005" s="5"/>
      <c r="N1005" s="5"/>
      <c r="P1005" s="5"/>
      <c r="R1005" s="9"/>
      <c r="S1005" s="9"/>
    </row>
    <row r="1006" spans="1:19" ht="12.5">
      <c r="A1006" s="5"/>
      <c r="B1006" s="5"/>
      <c r="C1006" s="5"/>
      <c r="D1006" s="5"/>
      <c r="E1006" s="5"/>
      <c r="F1006" s="5"/>
      <c r="G1006" s="5"/>
      <c r="H1006" s="5"/>
      <c r="K1006" s="23"/>
      <c r="L1006" s="5"/>
      <c r="M1006" s="5"/>
      <c r="N1006" s="5"/>
      <c r="P1006" s="5"/>
      <c r="R1006" s="9"/>
      <c r="S1006" s="9"/>
    </row>
    <row r="1007" spans="1:19" ht="12.5">
      <c r="A1007" s="5"/>
      <c r="B1007" s="5"/>
      <c r="C1007" s="5"/>
      <c r="D1007" s="5"/>
      <c r="E1007" s="5"/>
      <c r="F1007" s="5"/>
      <c r="G1007" s="5"/>
      <c r="H1007" s="5"/>
      <c r="K1007" s="23"/>
      <c r="L1007" s="5"/>
      <c r="M1007" s="5"/>
      <c r="N1007" s="5"/>
      <c r="P1007" s="5"/>
      <c r="R1007" s="9"/>
      <c r="S1007" s="9"/>
    </row>
    <row r="1008" spans="1:19" ht="12.5">
      <c r="A1008" s="5"/>
      <c r="B1008" s="5"/>
      <c r="C1008" s="5"/>
      <c r="D1008" s="5"/>
      <c r="E1008" s="5"/>
      <c r="F1008" s="5"/>
      <c r="G1008" s="5"/>
      <c r="H1008" s="5"/>
      <c r="K1008" s="23"/>
      <c r="L1008" s="5"/>
      <c r="M1008" s="5"/>
      <c r="N1008" s="5"/>
      <c r="P1008" s="5"/>
      <c r="R1008" s="9"/>
      <c r="S1008" s="9"/>
    </row>
    <row r="1009" spans="1:19" ht="12.5">
      <c r="A1009" s="5"/>
      <c r="B1009" s="5"/>
      <c r="C1009" s="5"/>
      <c r="D1009" s="5"/>
      <c r="E1009" s="5"/>
      <c r="F1009" s="5"/>
      <c r="G1009" s="5"/>
      <c r="H1009" s="5"/>
      <c r="K1009" s="23"/>
      <c r="L1009" s="5"/>
      <c r="M1009" s="5"/>
      <c r="N1009" s="5"/>
      <c r="P1009" s="5"/>
      <c r="R1009" s="9"/>
      <c r="S1009" s="9"/>
    </row>
    <row r="1010" spans="1:19" ht="12.5">
      <c r="A1010" s="5"/>
      <c r="B1010" s="5"/>
      <c r="C1010" s="5"/>
      <c r="D1010" s="5"/>
      <c r="E1010" s="5"/>
      <c r="F1010" s="5"/>
      <c r="G1010" s="5"/>
      <c r="H1010" s="5"/>
      <c r="K1010" s="23"/>
      <c r="L1010" s="5"/>
      <c r="M1010" s="5"/>
      <c r="N1010" s="5"/>
      <c r="P1010" s="5"/>
      <c r="R1010" s="9"/>
      <c r="S1010" s="9"/>
    </row>
    <row r="1011" spans="1:19" ht="12.5">
      <c r="A1011" s="5"/>
      <c r="B1011" s="5"/>
      <c r="C1011" s="5"/>
      <c r="D1011" s="5"/>
      <c r="E1011" s="5"/>
      <c r="F1011" s="5"/>
      <c r="G1011" s="5"/>
      <c r="H1011" s="5"/>
      <c r="K1011" s="23"/>
      <c r="L1011" s="5"/>
      <c r="M1011" s="5"/>
      <c r="N1011" s="5"/>
      <c r="P1011" s="5"/>
      <c r="R1011" s="9"/>
      <c r="S1011" s="9"/>
    </row>
    <row r="1012" spans="1:19" ht="12.5">
      <c r="A1012" s="5"/>
      <c r="B1012" s="5"/>
      <c r="C1012" s="5"/>
      <c r="D1012" s="5"/>
      <c r="E1012" s="5"/>
      <c r="F1012" s="5"/>
      <c r="G1012" s="5"/>
      <c r="H1012" s="5"/>
      <c r="K1012" s="23"/>
      <c r="L1012" s="5"/>
      <c r="M1012" s="5"/>
      <c r="N1012" s="5"/>
      <c r="P1012" s="5"/>
      <c r="R1012" s="9"/>
      <c r="S1012" s="9"/>
    </row>
    <row r="1013" spans="1:19" ht="12.5">
      <c r="A1013" s="5"/>
      <c r="B1013" s="5"/>
      <c r="C1013" s="5"/>
      <c r="D1013" s="5"/>
      <c r="E1013" s="5"/>
      <c r="F1013" s="5"/>
      <c r="G1013" s="5"/>
      <c r="H1013" s="5"/>
      <c r="K1013" s="23"/>
      <c r="L1013" s="5"/>
      <c r="M1013" s="5"/>
      <c r="N1013" s="5"/>
      <c r="P1013" s="5"/>
      <c r="R1013" s="9"/>
      <c r="S1013" s="9"/>
    </row>
    <row r="1014" spans="1:19" ht="12.5">
      <c r="A1014" s="5"/>
      <c r="B1014" s="5"/>
      <c r="C1014" s="5"/>
      <c r="D1014" s="5"/>
      <c r="E1014" s="5"/>
      <c r="F1014" s="5"/>
      <c r="G1014" s="5"/>
      <c r="H1014" s="5"/>
      <c r="K1014" s="23"/>
      <c r="L1014" s="5"/>
      <c r="M1014" s="5"/>
      <c r="N1014" s="5"/>
      <c r="P1014" s="5"/>
      <c r="R1014" s="9"/>
      <c r="S1014" s="9"/>
    </row>
    <row r="1015" spans="1:19" ht="12.5">
      <c r="A1015" s="5"/>
      <c r="B1015" s="5"/>
      <c r="C1015" s="5"/>
      <c r="D1015" s="5"/>
      <c r="E1015" s="5"/>
      <c r="F1015" s="5"/>
      <c r="G1015" s="5"/>
      <c r="H1015" s="5"/>
      <c r="K1015" s="23"/>
      <c r="L1015" s="5"/>
      <c r="M1015" s="5"/>
      <c r="N1015" s="5"/>
      <c r="P1015" s="5"/>
      <c r="R1015" s="9"/>
      <c r="S1015" s="9"/>
    </row>
    <row r="1016" spans="1:19" ht="12.5">
      <c r="A1016" s="5"/>
      <c r="B1016" s="5"/>
      <c r="C1016" s="5"/>
      <c r="D1016" s="5"/>
      <c r="E1016" s="5"/>
      <c r="F1016" s="5"/>
      <c r="G1016" s="5"/>
      <c r="H1016" s="5"/>
      <c r="K1016" s="23"/>
      <c r="L1016" s="5"/>
      <c r="M1016" s="5"/>
      <c r="N1016" s="5"/>
      <c r="P1016" s="5"/>
      <c r="R1016" s="9"/>
      <c r="S1016" s="9"/>
    </row>
    <row r="1017" spans="1:19" ht="12.5">
      <c r="A1017" s="5"/>
      <c r="B1017" s="5"/>
      <c r="C1017" s="5"/>
      <c r="D1017" s="5"/>
      <c r="E1017" s="5"/>
      <c r="F1017" s="5"/>
      <c r="G1017" s="5"/>
      <c r="H1017" s="5"/>
      <c r="K1017" s="23"/>
      <c r="L1017" s="5"/>
      <c r="M1017" s="5"/>
      <c r="N1017" s="5"/>
      <c r="P1017" s="5"/>
      <c r="R1017" s="9"/>
      <c r="S1017" s="9"/>
    </row>
    <row r="1018" spans="1:19" ht="12.5">
      <c r="A1018" s="5"/>
      <c r="B1018" s="5"/>
      <c r="C1018" s="5"/>
      <c r="D1018" s="5"/>
      <c r="E1018" s="5"/>
      <c r="F1018" s="5"/>
      <c r="G1018" s="5"/>
      <c r="H1018" s="5"/>
      <c r="K1018" s="23"/>
      <c r="L1018" s="5"/>
      <c r="M1018" s="5"/>
      <c r="N1018" s="5"/>
      <c r="P1018" s="5"/>
      <c r="R1018" s="9"/>
      <c r="S1018" s="9"/>
    </row>
    <row r="1019" spans="1:19" ht="12.5">
      <c r="A1019" s="5"/>
      <c r="B1019" s="5"/>
      <c r="C1019" s="5"/>
      <c r="D1019" s="5"/>
      <c r="E1019" s="5"/>
      <c r="F1019" s="5"/>
      <c r="G1019" s="5"/>
      <c r="H1019" s="5"/>
      <c r="K1019" s="23"/>
      <c r="L1019" s="5"/>
      <c r="M1019" s="5"/>
      <c r="N1019" s="5"/>
      <c r="P1019" s="5"/>
      <c r="R1019" s="9"/>
      <c r="S1019" s="9"/>
    </row>
    <row r="1020" spans="1:19" ht="12.5">
      <c r="A1020" s="5"/>
      <c r="B1020" s="5"/>
      <c r="C1020" s="5"/>
      <c r="D1020" s="5"/>
      <c r="E1020" s="5"/>
      <c r="F1020" s="5"/>
      <c r="G1020" s="5"/>
      <c r="H1020" s="5"/>
      <c r="K1020" s="23"/>
      <c r="L1020" s="5"/>
      <c r="M1020" s="5"/>
      <c r="N1020" s="5"/>
      <c r="P1020" s="5"/>
      <c r="R1020" s="9"/>
      <c r="S1020" s="9"/>
    </row>
    <row r="1021" spans="1:19" ht="12.5">
      <c r="A1021" s="5"/>
      <c r="B1021" s="5"/>
      <c r="C1021" s="5"/>
      <c r="D1021" s="5"/>
      <c r="E1021" s="5"/>
      <c r="F1021" s="5"/>
      <c r="G1021" s="5"/>
      <c r="H1021" s="5"/>
      <c r="K1021" s="23"/>
      <c r="L1021" s="5"/>
      <c r="M1021" s="5"/>
      <c r="N1021" s="5"/>
      <c r="P1021" s="5"/>
      <c r="R1021" s="9"/>
      <c r="S1021" s="9"/>
    </row>
    <row r="1022" spans="1:19" ht="12.5">
      <c r="A1022" s="5"/>
      <c r="B1022" s="5"/>
      <c r="C1022" s="5"/>
      <c r="D1022" s="5"/>
      <c r="E1022" s="5"/>
      <c r="F1022" s="5"/>
      <c r="G1022" s="5"/>
      <c r="H1022" s="5"/>
      <c r="K1022" s="23"/>
      <c r="L1022" s="5"/>
      <c r="M1022" s="5"/>
      <c r="N1022" s="5"/>
      <c r="P1022" s="5"/>
      <c r="R1022" s="9"/>
      <c r="S1022" s="9"/>
    </row>
    <row r="1023" spans="1:19" ht="12.5">
      <c r="A1023" s="5"/>
      <c r="B1023" s="5"/>
      <c r="C1023" s="5"/>
      <c r="D1023" s="5"/>
      <c r="E1023" s="5"/>
      <c r="F1023" s="5"/>
      <c r="G1023" s="5"/>
      <c r="H1023" s="5"/>
      <c r="K1023" s="23"/>
      <c r="L1023" s="5"/>
      <c r="M1023" s="5"/>
      <c r="N1023" s="5"/>
      <c r="P1023" s="5"/>
      <c r="R1023" s="9"/>
      <c r="S1023" s="9"/>
    </row>
    <row r="1024" spans="1:19" ht="12.5">
      <c r="A1024" s="5"/>
      <c r="B1024" s="5"/>
      <c r="C1024" s="5"/>
      <c r="D1024" s="5"/>
      <c r="E1024" s="5"/>
      <c r="F1024" s="5"/>
      <c r="G1024" s="5"/>
      <c r="H1024" s="5"/>
      <c r="K1024" s="23"/>
      <c r="L1024" s="5"/>
      <c r="M1024" s="5"/>
      <c r="N1024" s="5"/>
      <c r="P1024" s="5"/>
      <c r="R1024" s="9"/>
      <c r="S1024" s="9"/>
    </row>
    <row r="1025" spans="1:19" ht="12.5">
      <c r="A1025" s="5"/>
      <c r="B1025" s="5"/>
      <c r="C1025" s="5"/>
      <c r="D1025" s="5"/>
      <c r="E1025" s="5"/>
      <c r="F1025" s="5"/>
      <c r="G1025" s="5"/>
      <c r="H1025" s="5"/>
      <c r="K1025" s="23"/>
      <c r="L1025" s="5"/>
      <c r="M1025" s="5"/>
      <c r="N1025" s="5"/>
      <c r="P1025" s="5"/>
      <c r="R1025" s="9"/>
      <c r="S1025" s="9"/>
    </row>
    <row r="1026" spans="1:19" ht="12.5">
      <c r="A1026" s="5"/>
      <c r="B1026" s="5"/>
      <c r="C1026" s="5"/>
      <c r="D1026" s="5"/>
      <c r="E1026" s="5"/>
      <c r="F1026" s="5"/>
      <c r="G1026" s="5"/>
      <c r="H1026" s="5"/>
      <c r="K1026" s="23"/>
      <c r="L1026" s="5"/>
      <c r="M1026" s="5"/>
      <c r="N1026" s="5"/>
      <c r="P1026" s="5"/>
      <c r="R1026" s="9"/>
      <c r="S1026" s="9"/>
    </row>
    <row r="1027" spans="1:19" ht="12.5">
      <c r="A1027" s="5"/>
      <c r="B1027" s="5"/>
      <c r="C1027" s="5"/>
      <c r="D1027" s="5"/>
      <c r="E1027" s="5"/>
      <c r="F1027" s="5"/>
      <c r="G1027" s="5"/>
      <c r="H1027" s="5"/>
      <c r="K1027" s="23"/>
      <c r="L1027" s="5"/>
      <c r="M1027" s="5"/>
      <c r="N1027" s="5"/>
      <c r="P1027" s="5"/>
      <c r="R1027" s="9"/>
      <c r="S1027" s="9"/>
    </row>
    <row r="1028" spans="1:19" ht="12.5">
      <c r="A1028" s="5"/>
      <c r="B1028" s="5"/>
      <c r="C1028" s="5"/>
      <c r="D1028" s="5"/>
      <c r="E1028" s="5"/>
      <c r="F1028" s="5"/>
      <c r="G1028" s="5"/>
      <c r="H1028" s="5"/>
      <c r="K1028" s="23"/>
      <c r="L1028" s="5"/>
      <c r="M1028" s="5"/>
      <c r="N1028" s="5"/>
      <c r="P1028" s="5"/>
      <c r="R1028" s="9"/>
      <c r="S1028" s="9"/>
    </row>
    <row r="1029" spans="1:19" ht="12.5">
      <c r="A1029" s="5"/>
      <c r="B1029" s="5"/>
      <c r="C1029" s="5"/>
      <c r="D1029" s="5"/>
      <c r="E1029" s="5"/>
      <c r="F1029" s="5"/>
      <c r="G1029" s="5"/>
      <c r="H1029" s="5"/>
      <c r="K1029" s="23"/>
      <c r="L1029" s="5"/>
      <c r="M1029" s="5"/>
      <c r="N1029" s="5"/>
      <c r="P1029" s="5"/>
      <c r="R1029" s="9"/>
      <c r="S1029" s="9"/>
    </row>
    <row r="1030" spans="1:19" ht="12.5">
      <c r="A1030" s="5"/>
      <c r="B1030" s="5"/>
      <c r="C1030" s="5"/>
      <c r="D1030" s="5"/>
      <c r="E1030" s="5"/>
      <c r="F1030" s="5"/>
      <c r="G1030" s="5"/>
      <c r="H1030" s="5"/>
      <c r="K1030" s="23"/>
      <c r="L1030" s="5"/>
      <c r="M1030" s="5"/>
      <c r="N1030" s="5"/>
      <c r="P1030" s="5"/>
      <c r="R1030" s="9"/>
      <c r="S1030" s="9"/>
    </row>
    <row r="1031" spans="1:19" ht="12.5">
      <c r="A1031" s="5"/>
      <c r="B1031" s="5"/>
      <c r="C1031" s="5"/>
      <c r="D1031" s="5"/>
      <c r="E1031" s="5"/>
      <c r="F1031" s="5"/>
      <c r="G1031" s="5"/>
      <c r="H1031" s="5"/>
      <c r="K1031" s="23"/>
      <c r="L1031" s="5"/>
      <c r="M1031" s="5"/>
      <c r="N1031" s="5"/>
      <c r="P1031" s="5"/>
      <c r="R1031" s="9"/>
      <c r="S1031" s="9"/>
    </row>
    <row r="1032" spans="1:19" ht="12.5">
      <c r="A1032" s="5"/>
      <c r="B1032" s="5"/>
      <c r="C1032" s="5"/>
      <c r="D1032" s="5"/>
      <c r="E1032" s="5"/>
      <c r="F1032" s="5"/>
      <c r="G1032" s="5"/>
      <c r="H1032" s="5"/>
      <c r="K1032" s="23"/>
      <c r="L1032" s="5"/>
      <c r="M1032" s="5"/>
      <c r="N1032" s="5"/>
      <c r="P1032" s="5"/>
      <c r="R1032" s="9"/>
      <c r="S1032" s="9"/>
    </row>
    <row r="1033" spans="1:19" ht="12.5">
      <c r="A1033" s="5"/>
      <c r="B1033" s="5"/>
      <c r="C1033" s="5"/>
      <c r="D1033" s="5"/>
      <c r="E1033" s="5"/>
      <c r="F1033" s="5"/>
      <c r="G1033" s="5"/>
      <c r="H1033" s="5"/>
      <c r="K1033" s="23"/>
      <c r="L1033" s="5"/>
      <c r="M1033" s="5"/>
      <c r="N1033" s="5"/>
      <c r="P1033" s="5"/>
      <c r="R1033" s="9"/>
      <c r="S1033" s="9"/>
    </row>
    <row r="1034" spans="1:19" ht="12.5">
      <c r="A1034" s="5"/>
      <c r="B1034" s="5"/>
      <c r="C1034" s="5"/>
      <c r="D1034" s="5"/>
      <c r="E1034" s="5"/>
      <c r="F1034" s="5"/>
      <c r="G1034" s="5"/>
      <c r="H1034" s="5"/>
      <c r="K1034" s="23"/>
      <c r="L1034" s="5"/>
      <c r="M1034" s="5"/>
      <c r="N1034" s="5"/>
      <c r="P1034" s="5"/>
      <c r="R1034" s="9"/>
      <c r="S1034" s="9"/>
    </row>
    <row r="1035" spans="1:19" ht="12.5">
      <c r="A1035" s="5"/>
      <c r="B1035" s="5"/>
      <c r="C1035" s="5"/>
      <c r="D1035" s="5"/>
      <c r="E1035" s="5"/>
      <c r="F1035" s="5"/>
      <c r="G1035" s="5"/>
      <c r="H1035" s="5"/>
      <c r="K1035" s="23"/>
      <c r="L1035" s="5"/>
      <c r="M1035" s="5"/>
      <c r="N1035" s="5"/>
      <c r="P1035" s="5"/>
      <c r="R1035" s="9"/>
      <c r="S1035" s="9"/>
    </row>
    <row r="1036" spans="1:19" ht="12.5">
      <c r="A1036" s="5"/>
      <c r="B1036" s="5"/>
      <c r="C1036" s="5"/>
      <c r="D1036" s="5"/>
      <c r="E1036" s="5"/>
      <c r="F1036" s="5"/>
      <c r="G1036" s="5"/>
      <c r="H1036" s="5"/>
      <c r="K1036" s="23"/>
      <c r="L1036" s="5"/>
      <c r="M1036" s="5"/>
      <c r="N1036" s="5"/>
      <c r="P1036" s="5"/>
      <c r="R1036" s="9"/>
      <c r="S1036" s="9"/>
    </row>
    <row r="1037" spans="1:19" ht="12.5">
      <c r="A1037" s="5"/>
      <c r="B1037" s="5"/>
      <c r="C1037" s="5"/>
      <c r="D1037" s="5"/>
      <c r="E1037" s="5"/>
      <c r="F1037" s="5"/>
      <c r="G1037" s="5"/>
      <c r="H1037" s="5"/>
      <c r="K1037" s="23"/>
      <c r="L1037" s="5"/>
      <c r="M1037" s="5"/>
      <c r="N1037" s="5"/>
      <c r="P1037" s="5"/>
      <c r="R1037" s="9"/>
      <c r="S1037" s="9"/>
    </row>
    <row r="1038" spans="1:19" ht="12.5">
      <c r="A1038" s="5"/>
      <c r="B1038" s="5"/>
      <c r="C1038" s="5"/>
      <c r="D1038" s="5"/>
      <c r="E1038" s="5"/>
      <c r="F1038" s="5"/>
      <c r="G1038" s="5"/>
      <c r="H1038" s="5"/>
      <c r="K1038" s="23"/>
      <c r="L1038" s="5"/>
      <c r="M1038" s="5"/>
      <c r="N1038" s="5"/>
      <c r="P1038" s="5"/>
      <c r="R1038" s="9"/>
      <c r="S1038" s="9"/>
    </row>
    <row r="1039" spans="1:19" ht="12.5">
      <c r="A1039" s="5"/>
      <c r="B1039" s="5"/>
      <c r="C1039" s="5"/>
      <c r="D1039" s="5"/>
      <c r="E1039" s="5"/>
      <c r="F1039" s="5"/>
      <c r="G1039" s="5"/>
      <c r="H1039" s="5"/>
      <c r="K1039" s="23"/>
      <c r="L1039" s="5"/>
      <c r="M1039" s="5"/>
      <c r="N1039" s="5"/>
      <c r="P1039" s="5"/>
      <c r="R1039" s="9"/>
      <c r="S1039" s="9"/>
    </row>
    <row r="1040" spans="1:19" ht="12.5">
      <c r="A1040" s="5"/>
      <c r="B1040" s="5"/>
      <c r="C1040" s="5"/>
      <c r="D1040" s="5"/>
      <c r="E1040" s="5"/>
      <c r="F1040" s="5"/>
      <c r="G1040" s="5"/>
      <c r="H1040" s="5"/>
      <c r="K1040" s="23"/>
      <c r="L1040" s="5"/>
      <c r="M1040" s="5"/>
      <c r="N1040" s="5"/>
      <c r="P1040" s="5"/>
      <c r="R1040" s="9"/>
      <c r="S1040" s="9"/>
    </row>
    <row r="1041" spans="1:19" ht="12.5">
      <c r="A1041" s="5"/>
      <c r="B1041" s="5"/>
      <c r="C1041" s="5"/>
      <c r="D1041" s="5"/>
      <c r="E1041" s="5"/>
      <c r="F1041" s="5"/>
      <c r="G1041" s="5"/>
      <c r="H1041" s="5"/>
      <c r="K1041" s="23"/>
      <c r="L1041" s="5"/>
      <c r="M1041" s="5"/>
      <c r="N1041" s="5"/>
      <c r="P1041" s="5"/>
      <c r="R1041" s="9"/>
      <c r="S1041" s="9"/>
    </row>
    <row r="1042" spans="1:19" ht="12.5">
      <c r="A1042" s="5"/>
      <c r="B1042" s="5"/>
      <c r="C1042" s="5"/>
      <c r="D1042" s="5"/>
      <c r="E1042" s="5"/>
      <c r="F1042" s="5"/>
      <c r="G1042" s="5"/>
      <c r="H1042" s="5"/>
      <c r="K1042" s="23"/>
      <c r="L1042" s="5"/>
      <c r="M1042" s="5"/>
      <c r="N1042" s="5"/>
      <c r="P1042" s="5"/>
      <c r="R1042" s="9"/>
      <c r="S1042" s="9"/>
    </row>
    <row r="1043" spans="1:19" ht="12.5">
      <c r="A1043" s="5"/>
      <c r="B1043" s="5"/>
      <c r="C1043" s="5"/>
      <c r="D1043" s="5"/>
      <c r="E1043" s="5"/>
      <c r="F1043" s="5"/>
      <c r="G1043" s="5"/>
      <c r="H1043" s="5"/>
      <c r="K1043" s="23"/>
      <c r="L1043" s="5"/>
      <c r="M1043" s="5"/>
      <c r="N1043" s="5"/>
      <c r="P1043" s="5"/>
      <c r="R1043" s="9"/>
      <c r="S1043" s="9"/>
    </row>
    <row r="1044" spans="1:19" ht="12.5">
      <c r="A1044" s="5"/>
      <c r="B1044" s="5"/>
      <c r="C1044" s="5"/>
      <c r="D1044" s="5"/>
      <c r="E1044" s="5"/>
      <c r="F1044" s="5"/>
      <c r="G1044" s="5"/>
      <c r="H1044" s="5"/>
      <c r="K1044" s="23"/>
      <c r="L1044" s="5"/>
      <c r="M1044" s="5"/>
      <c r="N1044" s="5"/>
      <c r="P1044" s="5"/>
      <c r="R1044" s="9"/>
      <c r="S1044" s="9"/>
    </row>
    <row r="1045" spans="1:19" ht="12.5">
      <c r="A1045" s="5"/>
      <c r="B1045" s="5"/>
      <c r="C1045" s="5"/>
      <c r="D1045" s="5"/>
      <c r="E1045" s="5"/>
      <c r="F1045" s="5"/>
      <c r="G1045" s="5"/>
      <c r="H1045" s="5"/>
      <c r="K1045" s="23"/>
      <c r="L1045" s="5"/>
      <c r="M1045" s="5"/>
      <c r="N1045" s="5"/>
      <c r="P1045" s="5"/>
      <c r="R1045" s="9"/>
      <c r="S1045" s="9"/>
    </row>
    <row r="1046" spans="1:19" ht="12.5">
      <c r="A1046" s="5"/>
      <c r="B1046" s="5"/>
      <c r="C1046" s="5"/>
      <c r="D1046" s="5"/>
      <c r="E1046" s="5"/>
      <c r="F1046" s="5"/>
      <c r="G1046" s="5"/>
      <c r="H1046" s="5"/>
      <c r="K1046" s="23"/>
      <c r="L1046" s="5"/>
      <c r="M1046" s="5"/>
      <c r="N1046" s="5"/>
      <c r="P1046" s="5"/>
      <c r="R1046" s="9"/>
      <c r="S1046" s="9"/>
    </row>
    <row r="1047" spans="1:19" ht="12.5">
      <c r="A1047" s="5"/>
      <c r="B1047" s="5"/>
      <c r="C1047" s="5"/>
      <c r="D1047" s="5"/>
      <c r="E1047" s="5"/>
      <c r="F1047" s="5"/>
      <c r="G1047" s="5"/>
      <c r="H1047" s="5"/>
      <c r="K1047" s="23"/>
      <c r="L1047" s="5"/>
      <c r="M1047" s="5"/>
      <c r="N1047" s="5"/>
      <c r="P1047" s="5"/>
      <c r="R1047" s="9"/>
      <c r="S1047" s="9"/>
    </row>
    <row r="1048" spans="1:19" ht="12.5">
      <c r="A1048" s="5"/>
      <c r="B1048" s="5"/>
      <c r="C1048" s="5"/>
      <c r="D1048" s="5"/>
      <c r="E1048" s="5"/>
      <c r="F1048" s="5"/>
      <c r="G1048" s="5"/>
      <c r="H1048" s="5"/>
      <c r="K1048" s="23"/>
      <c r="L1048" s="5"/>
      <c r="M1048" s="5"/>
      <c r="N1048" s="5"/>
      <c r="P1048" s="5"/>
      <c r="R1048" s="9"/>
      <c r="S1048" s="9"/>
    </row>
    <row r="1049" spans="1:19" ht="12.5">
      <c r="A1049" s="5"/>
      <c r="B1049" s="5"/>
      <c r="C1049" s="5"/>
      <c r="D1049" s="5"/>
      <c r="E1049" s="5"/>
      <c r="F1049" s="5"/>
      <c r="G1049" s="5"/>
      <c r="H1049" s="5"/>
      <c r="K1049" s="23"/>
      <c r="L1049" s="5"/>
      <c r="M1049" s="5"/>
      <c r="N1049" s="5"/>
      <c r="P1049" s="5"/>
      <c r="R1049" s="9"/>
      <c r="S1049" s="9"/>
    </row>
    <row r="1050" spans="1:19" ht="12.5">
      <c r="A1050" s="5"/>
      <c r="B1050" s="5"/>
      <c r="C1050" s="5"/>
      <c r="D1050" s="5"/>
      <c r="E1050" s="5"/>
      <c r="F1050" s="5"/>
      <c r="G1050" s="5"/>
      <c r="H1050" s="5"/>
      <c r="K1050" s="23"/>
      <c r="L1050" s="5"/>
      <c r="M1050" s="5"/>
      <c r="N1050" s="5"/>
      <c r="P1050" s="5"/>
      <c r="R1050" s="9"/>
      <c r="S1050" s="9"/>
    </row>
    <row r="1051" spans="1:19" ht="12.5">
      <c r="A1051" s="5"/>
      <c r="B1051" s="5"/>
      <c r="C1051" s="5"/>
      <c r="D1051" s="5"/>
      <c r="E1051" s="5"/>
      <c r="F1051" s="5"/>
      <c r="G1051" s="5"/>
      <c r="H1051" s="5"/>
      <c r="K1051" s="23"/>
      <c r="L1051" s="5"/>
      <c r="M1051" s="5"/>
      <c r="N1051" s="5"/>
      <c r="P1051" s="5"/>
      <c r="R1051" s="9"/>
      <c r="S1051" s="9"/>
    </row>
    <row r="1052" spans="1:19" ht="12.5">
      <c r="A1052" s="5"/>
      <c r="B1052" s="5"/>
      <c r="C1052" s="5"/>
      <c r="D1052" s="5"/>
      <c r="E1052" s="5"/>
      <c r="F1052" s="5"/>
      <c r="G1052" s="5"/>
      <c r="H1052" s="5"/>
      <c r="K1052" s="23"/>
      <c r="L1052" s="5"/>
      <c r="M1052" s="5"/>
      <c r="N1052" s="5"/>
      <c r="P1052" s="5"/>
      <c r="R1052" s="9"/>
      <c r="S1052" s="9"/>
    </row>
    <row r="1053" spans="1:19" ht="12.5">
      <c r="A1053" s="5"/>
      <c r="B1053" s="5"/>
      <c r="C1053" s="5"/>
      <c r="D1053" s="5"/>
      <c r="E1053" s="5"/>
      <c r="F1053" s="5"/>
      <c r="G1053" s="5"/>
      <c r="H1053" s="5"/>
      <c r="K1053" s="23"/>
      <c r="L1053" s="5"/>
      <c r="M1053" s="5"/>
      <c r="N1053" s="5"/>
      <c r="P1053" s="5"/>
      <c r="R1053" s="9"/>
      <c r="S1053" s="9"/>
    </row>
    <row r="1054" spans="1:19" ht="12.5">
      <c r="A1054" s="5"/>
      <c r="B1054" s="5"/>
      <c r="C1054" s="5"/>
      <c r="D1054" s="5"/>
      <c r="E1054" s="5"/>
      <c r="F1054" s="5"/>
      <c r="G1054" s="5"/>
      <c r="H1054" s="5"/>
      <c r="K1054" s="23"/>
      <c r="L1054" s="5"/>
      <c r="M1054" s="5"/>
      <c r="N1054" s="5"/>
      <c r="P1054" s="5"/>
      <c r="R1054" s="9"/>
      <c r="S1054" s="9"/>
    </row>
    <row r="1055" spans="1:19" ht="12.5">
      <c r="A1055" s="5"/>
      <c r="B1055" s="5"/>
      <c r="C1055" s="5"/>
      <c r="D1055" s="5"/>
      <c r="E1055" s="5"/>
      <c r="F1055" s="5"/>
      <c r="G1055" s="5"/>
      <c r="H1055" s="5"/>
      <c r="K1055" s="23"/>
      <c r="L1055" s="5"/>
      <c r="M1055" s="5"/>
      <c r="N1055" s="5"/>
      <c r="P1055" s="5"/>
      <c r="R1055" s="9"/>
      <c r="S1055" s="9"/>
    </row>
    <row r="1056" spans="1:19" ht="12.5">
      <c r="A1056" s="5"/>
      <c r="B1056" s="5"/>
      <c r="C1056" s="5"/>
      <c r="D1056" s="5"/>
      <c r="E1056" s="5"/>
      <c r="F1056" s="5"/>
      <c r="G1056" s="5"/>
      <c r="H1056" s="5"/>
      <c r="K1056" s="23"/>
      <c r="L1056" s="5"/>
      <c r="M1056" s="5"/>
      <c r="N1056" s="5"/>
      <c r="P1056" s="5"/>
      <c r="R1056" s="9"/>
      <c r="S1056" s="9"/>
    </row>
    <row r="1057" spans="1:19" ht="12.5">
      <c r="A1057" s="5"/>
      <c r="B1057" s="5"/>
      <c r="C1057" s="5"/>
      <c r="D1057" s="5"/>
      <c r="E1057" s="5"/>
      <c r="F1057" s="5"/>
      <c r="G1057" s="5"/>
      <c r="H1057" s="5"/>
      <c r="K1057" s="23"/>
      <c r="L1057" s="5"/>
      <c r="M1057" s="5"/>
      <c r="N1057" s="5"/>
      <c r="P1057" s="5"/>
      <c r="R1057" s="9"/>
      <c r="S1057" s="9"/>
    </row>
    <row r="1058" spans="1:19" ht="12.5">
      <c r="A1058" s="5"/>
      <c r="B1058" s="5"/>
      <c r="C1058" s="5"/>
      <c r="D1058" s="5"/>
      <c r="E1058" s="5"/>
      <c r="F1058" s="5"/>
      <c r="G1058" s="5"/>
      <c r="H1058" s="5"/>
      <c r="K1058" s="23"/>
      <c r="L1058" s="5"/>
      <c r="M1058" s="5"/>
      <c r="N1058" s="5"/>
      <c r="P1058" s="5"/>
      <c r="R1058" s="9"/>
      <c r="S1058" s="9"/>
    </row>
    <row r="1059" spans="1:19" ht="12.5">
      <c r="A1059" s="5"/>
      <c r="B1059" s="5"/>
      <c r="C1059" s="5"/>
      <c r="D1059" s="5"/>
      <c r="E1059" s="5"/>
      <c r="F1059" s="5"/>
      <c r="G1059" s="5"/>
      <c r="H1059" s="5"/>
      <c r="K1059" s="23"/>
      <c r="L1059" s="5"/>
      <c r="M1059" s="5"/>
      <c r="N1059" s="5"/>
      <c r="P1059" s="5"/>
      <c r="R1059" s="9"/>
      <c r="S1059" s="9"/>
    </row>
    <row r="1060" spans="1:19" ht="12.5">
      <c r="A1060" s="5"/>
      <c r="B1060" s="5"/>
      <c r="C1060" s="5"/>
      <c r="D1060" s="5"/>
      <c r="E1060" s="5"/>
      <c r="F1060" s="5"/>
      <c r="G1060" s="5"/>
      <c r="H1060" s="5"/>
      <c r="K1060" s="23"/>
      <c r="L1060" s="5"/>
      <c r="M1060" s="5"/>
      <c r="N1060" s="5"/>
      <c r="P1060" s="5"/>
      <c r="R1060" s="9"/>
      <c r="S1060" s="9"/>
    </row>
    <row r="1061" spans="1:19" ht="12.5">
      <c r="A1061" s="5"/>
      <c r="B1061" s="5"/>
      <c r="C1061" s="5"/>
      <c r="D1061" s="5"/>
      <c r="E1061" s="5"/>
      <c r="F1061" s="5"/>
      <c r="G1061" s="5"/>
      <c r="H1061" s="5"/>
      <c r="K1061" s="23"/>
      <c r="L1061" s="5"/>
      <c r="M1061" s="5"/>
      <c r="N1061" s="5"/>
      <c r="P1061" s="5"/>
      <c r="R1061" s="9"/>
      <c r="S1061" s="9"/>
    </row>
    <row r="1062" spans="1:19" ht="12.5">
      <c r="A1062" s="5"/>
      <c r="B1062" s="5"/>
      <c r="C1062" s="5"/>
      <c r="D1062" s="5"/>
      <c r="E1062" s="5"/>
      <c r="F1062" s="5"/>
      <c r="G1062" s="5"/>
      <c r="H1062" s="5"/>
      <c r="K1062" s="23"/>
      <c r="L1062" s="5"/>
      <c r="M1062" s="5"/>
      <c r="N1062" s="5"/>
      <c r="P1062" s="5"/>
      <c r="R1062" s="9"/>
      <c r="S1062" s="9"/>
    </row>
    <row r="1063" spans="1:19" ht="12.5">
      <c r="A1063" s="5"/>
      <c r="B1063" s="5"/>
      <c r="C1063" s="5"/>
      <c r="D1063" s="5"/>
      <c r="E1063" s="5"/>
      <c r="F1063" s="5"/>
      <c r="G1063" s="5"/>
      <c r="H1063" s="5"/>
      <c r="K1063" s="23"/>
      <c r="L1063" s="5"/>
      <c r="M1063" s="5"/>
      <c r="N1063" s="5"/>
      <c r="P1063" s="5"/>
      <c r="R1063" s="9"/>
      <c r="S1063" s="9"/>
    </row>
    <row r="1064" spans="1:19" ht="12.5">
      <c r="A1064" s="5"/>
      <c r="B1064" s="5"/>
      <c r="C1064" s="5"/>
      <c r="D1064" s="5"/>
      <c r="E1064" s="5"/>
      <c r="F1064" s="5"/>
      <c r="G1064" s="5"/>
      <c r="H1064" s="5"/>
      <c r="K1064" s="23"/>
      <c r="L1064" s="5"/>
      <c r="M1064" s="5"/>
      <c r="N1064" s="5"/>
      <c r="P1064" s="5"/>
      <c r="R1064" s="9"/>
      <c r="S1064" s="9"/>
    </row>
    <row r="1065" spans="1:19" ht="12.5">
      <c r="A1065" s="5"/>
      <c r="B1065" s="5"/>
      <c r="C1065" s="5"/>
      <c r="D1065" s="5"/>
      <c r="E1065" s="5"/>
      <c r="F1065" s="5"/>
      <c r="G1065" s="5"/>
      <c r="H1065" s="5"/>
      <c r="K1065" s="23"/>
      <c r="L1065" s="5"/>
      <c r="M1065" s="5"/>
      <c r="N1065" s="5"/>
      <c r="P1065" s="5"/>
      <c r="R1065" s="9"/>
      <c r="S1065" s="9"/>
    </row>
    <row r="1066" spans="1:19" ht="12.5">
      <c r="A1066" s="5"/>
      <c r="B1066" s="5"/>
      <c r="C1066" s="5"/>
      <c r="D1066" s="5"/>
      <c r="E1066" s="5"/>
      <c r="F1066" s="5"/>
      <c r="G1066" s="5"/>
      <c r="H1066" s="5"/>
      <c r="K1066" s="23"/>
      <c r="L1066" s="5"/>
      <c r="M1066" s="5"/>
      <c r="N1066" s="5"/>
      <c r="P1066" s="5"/>
      <c r="R1066" s="9"/>
      <c r="S1066" s="9"/>
    </row>
    <row r="1067" spans="1:19" ht="12.5">
      <c r="A1067" s="5"/>
      <c r="B1067" s="5"/>
      <c r="C1067" s="5"/>
      <c r="D1067" s="5"/>
      <c r="E1067" s="5"/>
      <c r="F1067" s="5"/>
      <c r="G1067" s="5"/>
      <c r="H1067" s="5"/>
      <c r="K1067" s="23"/>
      <c r="L1067" s="5"/>
      <c r="M1067" s="5"/>
      <c r="N1067" s="5"/>
      <c r="P1067" s="5"/>
      <c r="R1067" s="9"/>
      <c r="S1067" s="9"/>
    </row>
    <row r="1068" spans="1:19" ht="12.5">
      <c r="A1068" s="5"/>
      <c r="B1068" s="5"/>
      <c r="C1068" s="5"/>
      <c r="D1068" s="5"/>
      <c r="E1068" s="5"/>
      <c r="F1068" s="5"/>
      <c r="G1068" s="5"/>
      <c r="H1068" s="5"/>
      <c r="K1068" s="23"/>
      <c r="L1068" s="5"/>
      <c r="M1068" s="5"/>
      <c r="N1068" s="5"/>
      <c r="P1068" s="5"/>
      <c r="R1068" s="9"/>
      <c r="S1068" s="9"/>
    </row>
    <row r="1069" spans="1:19" ht="12.5">
      <c r="A1069" s="5"/>
      <c r="B1069" s="5"/>
      <c r="C1069" s="5"/>
      <c r="D1069" s="5"/>
      <c r="E1069" s="5"/>
      <c r="F1069" s="5"/>
      <c r="G1069" s="5"/>
      <c r="H1069" s="5"/>
      <c r="K1069" s="23"/>
      <c r="L1069" s="5"/>
      <c r="M1069" s="5"/>
      <c r="N1069" s="5"/>
      <c r="P1069" s="5"/>
      <c r="R1069" s="9"/>
      <c r="S1069" s="9"/>
    </row>
    <row r="1070" spans="1:19" ht="12.5">
      <c r="A1070" s="5"/>
      <c r="B1070" s="5"/>
      <c r="C1070" s="5"/>
      <c r="D1070" s="5"/>
      <c r="E1070" s="5"/>
      <c r="F1070" s="5"/>
      <c r="G1070" s="5"/>
      <c r="H1070" s="5"/>
      <c r="K1070" s="23"/>
      <c r="L1070" s="5"/>
      <c r="M1070" s="5"/>
      <c r="N1070" s="5"/>
      <c r="P1070" s="5"/>
      <c r="R1070" s="9"/>
      <c r="S1070" s="9"/>
    </row>
    <row r="1071" spans="1:19" ht="12.5">
      <c r="A1071" s="5"/>
      <c r="B1071" s="5"/>
      <c r="C1071" s="5"/>
      <c r="D1071" s="5"/>
      <c r="E1071" s="5"/>
      <c r="F1071" s="5"/>
      <c r="G1071" s="5"/>
      <c r="H1071" s="5"/>
      <c r="K1071" s="23"/>
      <c r="L1071" s="5"/>
      <c r="M1071" s="5"/>
      <c r="N1071" s="5"/>
      <c r="P1071" s="5"/>
      <c r="R1071" s="9"/>
      <c r="S1071" s="9"/>
    </row>
    <row r="1072" spans="1:19" ht="12.5">
      <c r="A1072" s="5"/>
      <c r="B1072" s="5"/>
      <c r="C1072" s="5"/>
      <c r="D1072" s="5"/>
      <c r="E1072" s="5"/>
      <c r="F1072" s="5"/>
      <c r="G1072" s="5"/>
      <c r="H1072" s="5"/>
      <c r="K1072" s="23"/>
      <c r="L1072" s="5"/>
      <c r="M1072" s="5"/>
      <c r="N1072" s="5"/>
      <c r="P1072" s="5"/>
      <c r="R1072" s="9"/>
      <c r="S1072" s="9"/>
    </row>
    <row r="1073" spans="1:19" ht="12.5">
      <c r="A1073" s="5"/>
      <c r="B1073" s="5"/>
      <c r="C1073" s="5"/>
      <c r="D1073" s="5"/>
      <c r="E1073" s="5"/>
      <c r="F1073" s="5"/>
      <c r="G1073" s="5"/>
      <c r="H1073" s="5"/>
      <c r="K1073" s="23"/>
      <c r="L1073" s="5"/>
      <c r="M1073" s="5"/>
      <c r="N1073" s="5"/>
      <c r="P1073" s="5"/>
      <c r="R1073" s="9"/>
      <c r="S1073" s="9"/>
    </row>
    <row r="1074" spans="1:19" ht="12.5">
      <c r="A1074" s="5"/>
      <c r="B1074" s="5"/>
      <c r="C1074" s="5"/>
      <c r="D1074" s="5"/>
      <c r="E1074" s="5"/>
      <c r="F1074" s="5"/>
      <c r="G1074" s="5"/>
      <c r="H1074" s="5"/>
      <c r="K1074" s="23"/>
      <c r="L1074" s="5"/>
      <c r="M1074" s="5"/>
      <c r="N1074" s="5"/>
      <c r="P1074" s="5"/>
      <c r="R1074" s="9"/>
      <c r="S1074" s="9"/>
    </row>
    <row r="1075" spans="1:19" ht="12.5">
      <c r="A1075" s="5"/>
      <c r="B1075" s="5"/>
      <c r="C1075" s="5"/>
      <c r="D1075" s="5"/>
      <c r="E1075" s="5"/>
      <c r="F1075" s="5"/>
      <c r="G1075" s="5"/>
      <c r="H1075" s="5"/>
      <c r="K1075" s="23"/>
      <c r="L1075" s="5"/>
      <c r="M1075" s="5"/>
      <c r="N1075" s="5"/>
      <c r="P1075" s="5"/>
      <c r="R1075" s="9"/>
      <c r="S1075" s="9"/>
    </row>
    <row r="1076" spans="1:19" ht="12.5">
      <c r="A1076" s="5"/>
      <c r="B1076" s="5"/>
      <c r="C1076" s="5"/>
      <c r="D1076" s="5"/>
      <c r="E1076" s="5"/>
      <c r="F1076" s="5"/>
      <c r="G1076" s="5"/>
      <c r="H1076" s="5"/>
      <c r="K1076" s="23"/>
      <c r="L1076" s="5"/>
      <c r="M1076" s="5"/>
      <c r="N1076" s="5"/>
      <c r="P1076" s="5"/>
      <c r="R1076" s="9"/>
      <c r="S1076" s="9"/>
    </row>
    <row r="1077" spans="1:19" ht="12.5">
      <c r="A1077" s="5"/>
      <c r="B1077" s="5"/>
      <c r="C1077" s="5"/>
      <c r="D1077" s="5"/>
      <c r="E1077" s="5"/>
      <c r="F1077" s="5"/>
      <c r="G1077" s="5"/>
      <c r="H1077" s="5"/>
      <c r="K1077" s="23"/>
      <c r="L1077" s="5"/>
      <c r="M1077" s="5"/>
      <c r="N1077" s="5"/>
      <c r="P1077" s="5"/>
      <c r="R1077" s="9"/>
      <c r="S1077" s="9"/>
    </row>
    <row r="1078" spans="1:19" ht="12.5">
      <c r="A1078" s="5"/>
      <c r="B1078" s="5"/>
      <c r="C1078" s="5"/>
      <c r="D1078" s="5"/>
      <c r="E1078" s="5"/>
      <c r="F1078" s="5"/>
      <c r="G1078" s="5"/>
      <c r="H1078" s="5"/>
      <c r="K1078" s="23"/>
      <c r="L1078" s="5"/>
      <c r="M1078" s="5"/>
      <c r="N1078" s="5"/>
      <c r="P1078" s="5"/>
      <c r="R1078" s="9"/>
      <c r="S1078" s="9"/>
    </row>
    <row r="1079" spans="1:19" ht="12.5">
      <c r="A1079" s="5"/>
      <c r="B1079" s="5"/>
      <c r="C1079" s="5"/>
      <c r="D1079" s="5"/>
      <c r="E1079" s="5"/>
      <c r="F1079" s="5"/>
      <c r="G1079" s="5"/>
      <c r="H1079" s="5"/>
      <c r="K1079" s="23"/>
      <c r="L1079" s="5"/>
      <c r="M1079" s="5"/>
      <c r="N1079" s="5"/>
      <c r="P1079" s="5"/>
      <c r="R1079" s="9"/>
      <c r="S1079" s="9"/>
    </row>
    <row r="1080" spans="1:19" ht="12.5">
      <c r="A1080" s="5"/>
      <c r="B1080" s="5"/>
      <c r="C1080" s="5"/>
      <c r="D1080" s="5"/>
      <c r="E1080" s="5"/>
      <c r="F1080" s="5"/>
      <c r="G1080" s="5"/>
      <c r="H1080" s="5"/>
      <c r="K1080" s="23"/>
      <c r="L1080" s="5"/>
      <c r="M1080" s="5"/>
      <c r="N1080" s="5"/>
      <c r="P1080" s="5"/>
      <c r="R1080" s="9"/>
      <c r="S1080" s="9"/>
    </row>
    <row r="1081" spans="1:19" ht="12.5">
      <c r="A1081" s="5"/>
      <c r="B1081" s="5"/>
      <c r="C1081" s="5"/>
      <c r="D1081" s="5"/>
      <c r="E1081" s="5"/>
      <c r="F1081" s="5"/>
      <c r="G1081" s="5"/>
      <c r="H1081" s="5"/>
      <c r="K1081" s="23"/>
      <c r="L1081" s="5"/>
      <c r="M1081" s="5"/>
      <c r="N1081" s="5"/>
      <c r="P1081" s="5"/>
      <c r="R1081" s="9"/>
      <c r="S1081" s="9"/>
    </row>
    <row r="1082" spans="1:19" ht="12.5">
      <c r="A1082" s="5"/>
      <c r="B1082" s="5"/>
      <c r="C1082" s="5"/>
      <c r="D1082" s="5"/>
      <c r="E1082" s="5"/>
      <c r="F1082" s="5"/>
      <c r="G1082" s="5"/>
      <c r="H1082" s="5"/>
      <c r="K1082" s="23"/>
      <c r="L1082" s="5"/>
      <c r="M1082" s="5"/>
      <c r="N1082" s="5"/>
      <c r="P1082" s="5"/>
      <c r="R1082" s="9"/>
      <c r="S1082" s="9"/>
    </row>
    <row r="1083" spans="1:19" ht="12.5">
      <c r="A1083" s="5"/>
      <c r="B1083" s="5"/>
      <c r="C1083" s="5"/>
      <c r="D1083" s="5"/>
      <c r="E1083" s="5"/>
      <c r="F1083" s="5"/>
      <c r="G1083" s="5"/>
      <c r="H1083" s="5"/>
      <c r="K1083" s="23"/>
      <c r="L1083" s="5"/>
      <c r="M1083" s="5"/>
      <c r="N1083" s="5"/>
      <c r="P1083" s="5"/>
      <c r="R1083" s="9"/>
      <c r="S1083" s="9"/>
    </row>
    <row r="1084" spans="1:19" ht="12.5">
      <c r="A1084" s="5"/>
      <c r="B1084" s="5"/>
      <c r="C1084" s="5"/>
      <c r="D1084" s="5"/>
      <c r="E1084" s="5"/>
      <c r="F1084" s="5"/>
      <c r="G1084" s="5"/>
      <c r="H1084" s="5"/>
      <c r="K1084" s="23"/>
      <c r="L1084" s="5"/>
      <c r="M1084" s="5"/>
      <c r="N1084" s="5"/>
      <c r="P1084" s="5"/>
      <c r="R1084" s="9"/>
      <c r="S1084" s="9"/>
    </row>
    <row r="1085" spans="1:19" ht="12.5">
      <c r="A1085" s="5"/>
      <c r="B1085" s="5"/>
      <c r="C1085" s="5"/>
      <c r="D1085" s="5"/>
      <c r="E1085" s="5"/>
      <c r="F1085" s="5"/>
      <c r="G1085" s="5"/>
      <c r="H1085" s="5"/>
      <c r="K1085" s="23"/>
      <c r="L1085" s="5"/>
      <c r="M1085" s="5"/>
      <c r="N1085" s="5"/>
      <c r="P1085" s="5"/>
      <c r="R1085" s="9"/>
      <c r="S1085" s="9"/>
    </row>
    <row r="1086" spans="1:19" ht="12.5">
      <c r="A1086" s="5"/>
      <c r="B1086" s="5"/>
      <c r="C1086" s="5"/>
      <c r="D1086" s="5"/>
      <c r="E1086" s="5"/>
      <c r="F1086" s="5"/>
      <c r="G1086" s="5"/>
      <c r="H1086" s="5"/>
      <c r="K1086" s="23"/>
      <c r="L1086" s="5"/>
      <c r="M1086" s="5"/>
      <c r="N1086" s="5"/>
      <c r="P1086" s="5"/>
      <c r="R1086" s="9"/>
      <c r="S1086" s="9"/>
    </row>
    <row r="1087" spans="1:19" ht="12.5">
      <c r="A1087" s="5"/>
      <c r="B1087" s="5"/>
      <c r="C1087" s="5"/>
      <c r="D1087" s="5"/>
      <c r="E1087" s="5"/>
      <c r="F1087" s="5"/>
      <c r="G1087" s="5"/>
      <c r="H1087" s="5"/>
      <c r="K1087" s="23"/>
      <c r="L1087" s="5"/>
      <c r="M1087" s="5"/>
      <c r="N1087" s="5"/>
      <c r="P1087" s="5"/>
      <c r="R1087" s="9"/>
      <c r="S1087" s="9"/>
    </row>
    <row r="1088" spans="1:19" ht="12.5">
      <c r="A1088" s="5"/>
      <c r="B1088" s="5"/>
      <c r="C1088" s="5"/>
      <c r="D1088" s="5"/>
      <c r="E1088" s="5"/>
      <c r="F1088" s="5"/>
      <c r="G1088" s="5"/>
      <c r="H1088" s="5"/>
      <c r="K1088" s="23"/>
      <c r="L1088" s="5"/>
      <c r="M1088" s="5"/>
      <c r="N1088" s="5"/>
      <c r="P1088" s="5"/>
      <c r="R1088" s="9"/>
      <c r="S1088" s="9"/>
    </row>
    <row r="1089" spans="1:19" ht="12.5">
      <c r="A1089" s="5"/>
      <c r="B1089" s="5"/>
      <c r="C1089" s="5"/>
      <c r="D1089" s="5"/>
      <c r="E1089" s="5"/>
      <c r="F1089" s="5"/>
      <c r="G1089" s="5"/>
      <c r="H1089" s="5"/>
      <c r="K1089" s="23"/>
      <c r="L1089" s="5"/>
      <c r="M1089" s="5"/>
      <c r="N1089" s="5"/>
      <c r="P1089" s="5"/>
      <c r="R1089" s="9"/>
      <c r="S1089" s="9"/>
    </row>
    <row r="1090" spans="1:19" ht="12.5">
      <c r="A1090" s="5"/>
      <c r="B1090" s="5"/>
      <c r="C1090" s="5"/>
      <c r="D1090" s="5"/>
      <c r="E1090" s="5"/>
      <c r="F1090" s="5"/>
      <c r="G1090" s="5"/>
      <c r="H1090" s="5"/>
      <c r="K1090" s="23"/>
      <c r="L1090" s="5"/>
      <c r="M1090" s="5"/>
      <c r="N1090" s="5"/>
      <c r="P1090" s="5"/>
      <c r="R1090" s="9"/>
      <c r="S1090" s="9"/>
    </row>
    <row r="1091" spans="1:19" ht="12.5">
      <c r="A1091" s="5"/>
      <c r="B1091" s="5"/>
      <c r="C1091" s="5"/>
      <c r="D1091" s="5"/>
      <c r="E1091" s="5"/>
      <c r="F1091" s="5"/>
      <c r="G1091" s="5"/>
      <c r="H1091" s="5"/>
      <c r="K1091" s="23"/>
      <c r="L1091" s="5"/>
      <c r="M1091" s="5"/>
      <c r="N1091" s="5"/>
      <c r="P1091" s="5"/>
      <c r="R1091" s="9"/>
      <c r="S1091" s="9"/>
    </row>
    <row r="1092" spans="1:19" ht="12.5">
      <c r="A1092" s="5"/>
      <c r="B1092" s="5"/>
      <c r="C1092" s="5"/>
      <c r="D1092" s="5"/>
      <c r="E1092" s="5"/>
      <c r="F1092" s="5"/>
      <c r="G1092" s="5"/>
      <c r="H1092" s="5"/>
      <c r="K1092" s="23"/>
      <c r="L1092" s="5"/>
      <c r="M1092" s="5"/>
      <c r="N1092" s="5"/>
      <c r="P1092" s="5"/>
      <c r="R1092" s="9"/>
      <c r="S1092" s="9"/>
    </row>
    <row r="1093" spans="1:19" ht="12.5">
      <c r="A1093" s="5"/>
      <c r="B1093" s="5"/>
      <c r="C1093" s="5"/>
      <c r="D1093" s="5"/>
      <c r="E1093" s="5"/>
      <c r="F1093" s="5"/>
      <c r="G1093" s="5"/>
      <c r="H1093" s="5"/>
      <c r="K1093" s="23"/>
      <c r="L1093" s="5"/>
      <c r="M1093" s="5"/>
      <c r="N1093" s="5"/>
      <c r="P1093" s="5"/>
      <c r="R1093" s="9"/>
      <c r="S1093" s="9"/>
    </row>
    <row r="1094" spans="1:19" ht="12.5">
      <c r="A1094" s="5"/>
      <c r="B1094" s="5"/>
      <c r="C1094" s="5"/>
      <c r="D1094" s="5"/>
      <c r="E1094" s="5"/>
      <c r="F1094" s="5"/>
      <c r="G1094" s="5"/>
      <c r="H1094" s="5"/>
      <c r="K1094" s="23"/>
      <c r="L1094" s="5"/>
      <c r="M1094" s="5"/>
      <c r="N1094" s="5"/>
      <c r="P1094" s="5"/>
      <c r="R1094" s="9"/>
      <c r="S1094" s="9"/>
    </row>
    <row r="1095" spans="1:19" ht="12.5">
      <c r="A1095" s="5"/>
      <c r="B1095" s="5"/>
      <c r="C1095" s="5"/>
      <c r="D1095" s="5"/>
      <c r="E1095" s="5"/>
      <c r="F1095" s="5"/>
      <c r="G1095" s="5"/>
      <c r="H1095" s="5"/>
      <c r="K1095" s="23"/>
      <c r="L1095" s="5"/>
      <c r="M1095" s="5"/>
      <c r="N1095" s="5"/>
      <c r="P1095" s="5"/>
      <c r="R1095" s="9"/>
      <c r="S1095" s="9"/>
    </row>
    <row r="1096" spans="1:19" ht="12.5">
      <c r="A1096" s="5"/>
      <c r="B1096" s="5"/>
      <c r="C1096" s="5"/>
      <c r="D1096" s="5"/>
      <c r="E1096" s="5"/>
      <c r="F1096" s="5"/>
      <c r="G1096" s="5"/>
      <c r="H1096" s="5"/>
      <c r="K1096" s="23"/>
      <c r="L1096" s="5"/>
      <c r="M1096" s="5"/>
      <c r="N1096" s="5"/>
      <c r="P1096" s="5"/>
      <c r="R1096" s="9"/>
      <c r="S1096" s="9"/>
    </row>
    <row r="1097" spans="1:19" ht="12.5">
      <c r="A1097" s="5"/>
      <c r="B1097" s="5"/>
      <c r="C1097" s="5"/>
      <c r="D1097" s="5"/>
      <c r="E1097" s="5"/>
      <c r="F1097" s="5"/>
      <c r="G1097" s="5"/>
      <c r="H1097" s="5"/>
      <c r="K1097" s="23"/>
      <c r="L1097" s="5"/>
      <c r="M1097" s="5"/>
      <c r="N1097" s="5"/>
      <c r="P1097" s="5"/>
      <c r="R1097" s="9"/>
      <c r="S1097" s="9"/>
    </row>
    <row r="1098" spans="1:19" ht="12.5">
      <c r="A1098" s="5"/>
      <c r="B1098" s="5"/>
      <c r="C1098" s="5"/>
      <c r="D1098" s="5"/>
      <c r="E1098" s="5"/>
      <c r="F1098" s="5"/>
      <c r="G1098" s="5"/>
      <c r="H1098" s="5"/>
      <c r="K1098" s="23"/>
      <c r="L1098" s="5"/>
      <c r="M1098" s="5"/>
      <c r="N1098" s="5"/>
      <c r="P1098" s="5"/>
      <c r="R1098" s="9"/>
      <c r="S1098" s="9"/>
    </row>
    <row r="1099" spans="1:19" ht="12.5">
      <c r="A1099" s="5"/>
      <c r="B1099" s="5"/>
      <c r="C1099" s="5"/>
      <c r="D1099" s="5"/>
      <c r="E1099" s="5"/>
      <c r="F1099" s="5"/>
      <c r="G1099" s="5"/>
      <c r="H1099" s="5"/>
      <c r="K1099" s="23"/>
      <c r="L1099" s="5"/>
      <c r="M1099" s="5"/>
      <c r="N1099" s="5"/>
      <c r="P1099" s="5"/>
      <c r="R1099" s="9"/>
      <c r="S1099" s="9"/>
    </row>
    <row r="1100" spans="1:19" ht="12.5">
      <c r="A1100" s="5"/>
      <c r="B1100" s="5"/>
      <c r="C1100" s="5"/>
      <c r="D1100" s="5"/>
      <c r="E1100" s="5"/>
      <c r="F1100" s="5"/>
      <c r="G1100" s="5"/>
      <c r="H1100" s="5"/>
      <c r="K1100" s="23"/>
      <c r="L1100" s="5"/>
      <c r="M1100" s="5"/>
      <c r="N1100" s="5"/>
      <c r="P1100" s="5"/>
      <c r="R1100" s="9"/>
      <c r="S1100" s="9"/>
    </row>
    <row r="1101" spans="1:19" ht="12.5">
      <c r="A1101" s="5"/>
      <c r="B1101" s="5"/>
      <c r="C1101" s="5"/>
      <c r="D1101" s="5"/>
      <c r="E1101" s="5"/>
      <c r="F1101" s="5"/>
      <c r="G1101" s="5"/>
      <c r="H1101" s="5"/>
      <c r="K1101" s="23"/>
      <c r="L1101" s="5"/>
      <c r="M1101" s="5"/>
      <c r="N1101" s="5"/>
      <c r="P1101" s="5"/>
      <c r="R1101" s="9"/>
      <c r="S1101" s="9"/>
    </row>
    <row r="1102" spans="1:19" ht="12.5">
      <c r="A1102" s="5"/>
      <c r="B1102" s="5"/>
      <c r="C1102" s="5"/>
      <c r="D1102" s="5"/>
      <c r="E1102" s="5"/>
      <c r="F1102" s="5"/>
      <c r="G1102" s="5"/>
      <c r="H1102" s="5"/>
      <c r="K1102" s="23"/>
      <c r="L1102" s="5"/>
      <c r="M1102" s="5"/>
      <c r="N1102" s="5"/>
      <c r="P1102" s="5"/>
      <c r="R1102" s="9"/>
      <c r="S1102" s="9"/>
    </row>
    <row r="1103" spans="1:19" ht="12.5">
      <c r="A1103" s="5"/>
      <c r="B1103" s="5"/>
      <c r="C1103" s="5"/>
      <c r="D1103" s="5"/>
      <c r="E1103" s="5"/>
      <c r="F1103" s="5"/>
      <c r="G1103" s="5"/>
      <c r="H1103" s="5"/>
      <c r="K1103" s="23"/>
      <c r="L1103" s="5"/>
      <c r="M1103" s="5"/>
      <c r="N1103" s="5"/>
      <c r="P1103" s="5"/>
      <c r="R1103" s="9"/>
      <c r="S1103" s="9"/>
    </row>
    <row r="1104" spans="1:19" ht="12.5">
      <c r="A1104" s="5"/>
      <c r="B1104" s="5"/>
      <c r="C1104" s="5"/>
      <c r="D1104" s="5"/>
      <c r="E1104" s="5"/>
      <c r="F1104" s="5"/>
      <c r="G1104" s="5"/>
      <c r="H1104" s="5"/>
      <c r="K1104" s="23"/>
      <c r="L1104" s="5"/>
      <c r="M1104" s="5"/>
      <c r="N1104" s="5"/>
      <c r="P1104" s="5"/>
      <c r="R1104" s="9"/>
      <c r="S1104" s="9"/>
    </row>
    <row r="1105" spans="1:19" ht="12.5">
      <c r="A1105" s="5"/>
      <c r="B1105" s="5"/>
      <c r="C1105" s="5"/>
      <c r="D1105" s="5"/>
      <c r="E1105" s="5"/>
      <c r="F1105" s="5"/>
      <c r="G1105" s="5"/>
      <c r="H1105" s="5"/>
      <c r="K1105" s="23"/>
      <c r="L1105" s="5"/>
      <c r="M1105" s="5"/>
      <c r="N1105" s="5"/>
      <c r="P1105" s="5"/>
      <c r="R1105" s="9"/>
      <c r="S1105" s="9"/>
    </row>
    <row r="1106" spans="1:19" ht="12.5">
      <c r="A1106" s="5"/>
      <c r="B1106" s="5"/>
      <c r="C1106" s="5"/>
      <c r="D1106" s="5"/>
      <c r="E1106" s="5"/>
      <c r="F1106" s="5"/>
      <c r="G1106" s="5"/>
      <c r="H1106" s="5"/>
      <c r="K1106" s="23"/>
      <c r="L1106" s="5"/>
      <c r="M1106" s="5"/>
      <c r="N1106" s="5"/>
      <c r="P1106" s="5"/>
      <c r="R1106" s="9"/>
      <c r="S1106" s="9"/>
    </row>
    <row r="1107" spans="1:19" ht="12.5">
      <c r="A1107" s="5"/>
      <c r="B1107" s="5"/>
      <c r="C1107" s="5"/>
      <c r="D1107" s="5"/>
      <c r="E1107" s="5"/>
      <c r="F1107" s="5"/>
      <c r="G1107" s="5"/>
      <c r="H1107" s="5"/>
      <c r="K1107" s="23"/>
      <c r="L1107" s="5"/>
      <c r="M1107" s="5"/>
      <c r="N1107" s="5"/>
      <c r="P1107" s="5"/>
      <c r="R1107" s="9"/>
      <c r="S1107" s="9"/>
    </row>
    <row r="1108" spans="1:19" ht="12.5">
      <c r="A1108" s="5"/>
      <c r="B1108" s="5"/>
      <c r="C1108" s="5"/>
      <c r="D1108" s="5"/>
      <c r="E1108" s="5"/>
      <c r="F1108" s="5"/>
      <c r="G1108" s="5"/>
      <c r="H1108" s="5"/>
      <c r="K1108" s="23"/>
      <c r="L1108" s="5"/>
      <c r="M1108" s="5"/>
      <c r="N1108" s="5"/>
      <c r="P1108" s="5"/>
      <c r="R1108" s="9"/>
      <c r="S1108" s="9"/>
    </row>
    <row r="1109" spans="1:19" ht="12.5">
      <c r="A1109" s="5"/>
      <c r="B1109" s="5"/>
      <c r="C1109" s="5"/>
      <c r="D1109" s="5"/>
      <c r="E1109" s="5"/>
      <c r="F1109" s="5"/>
      <c r="G1109" s="5"/>
      <c r="H1109" s="5"/>
      <c r="K1109" s="23"/>
      <c r="L1109" s="5"/>
      <c r="M1109" s="5"/>
      <c r="N1109" s="5"/>
      <c r="P1109" s="5"/>
      <c r="R1109" s="9"/>
      <c r="S1109" s="9"/>
    </row>
    <row r="1110" spans="1:19" ht="12.5">
      <c r="A1110" s="5"/>
      <c r="B1110" s="5"/>
      <c r="C1110" s="5"/>
      <c r="D1110" s="5"/>
      <c r="E1110" s="5"/>
      <c r="F1110" s="5"/>
      <c r="G1110" s="5"/>
      <c r="H1110" s="5"/>
      <c r="K1110" s="23"/>
      <c r="L1110" s="5"/>
      <c r="M1110" s="5"/>
      <c r="N1110" s="5"/>
      <c r="P1110" s="5"/>
      <c r="R1110" s="9"/>
      <c r="S1110" s="9"/>
    </row>
    <row r="1111" spans="1:19" ht="12.5">
      <c r="A1111" s="5"/>
      <c r="B1111" s="5"/>
      <c r="C1111" s="5"/>
      <c r="D1111" s="5"/>
      <c r="E1111" s="5"/>
      <c r="F1111" s="5"/>
      <c r="G1111" s="5"/>
      <c r="H1111" s="5"/>
      <c r="K1111" s="23"/>
      <c r="L1111" s="5"/>
      <c r="M1111" s="5"/>
      <c r="N1111" s="5"/>
      <c r="P1111" s="5"/>
      <c r="R1111" s="9"/>
      <c r="S1111" s="9"/>
    </row>
    <row r="1112" spans="1:19" ht="12.5">
      <c r="A1112" s="5"/>
      <c r="B1112" s="5"/>
      <c r="C1112" s="5"/>
      <c r="D1112" s="5"/>
      <c r="E1112" s="5"/>
      <c r="F1112" s="5"/>
      <c r="G1112" s="5"/>
      <c r="H1112" s="5"/>
      <c r="K1112" s="23"/>
      <c r="L1112" s="5"/>
      <c r="M1112" s="5"/>
      <c r="N1112" s="5"/>
      <c r="P1112" s="5"/>
      <c r="R1112" s="9"/>
      <c r="S1112" s="9"/>
    </row>
    <row r="1113" spans="1:19" ht="12.5">
      <c r="A1113" s="5"/>
      <c r="B1113" s="5"/>
      <c r="C1113" s="5"/>
      <c r="D1113" s="5"/>
      <c r="E1113" s="5"/>
      <c r="F1113" s="5"/>
      <c r="G1113" s="5"/>
      <c r="H1113" s="5"/>
      <c r="K1113" s="23"/>
      <c r="L1113" s="5"/>
      <c r="M1113" s="5"/>
      <c r="N1113" s="5"/>
      <c r="P1113" s="5"/>
      <c r="R1113" s="9"/>
      <c r="S1113" s="9"/>
    </row>
    <row r="1114" spans="1:19" ht="12.5">
      <c r="A1114" s="5"/>
      <c r="B1114" s="5"/>
      <c r="C1114" s="5"/>
      <c r="D1114" s="5"/>
      <c r="E1114" s="5"/>
      <c r="F1114" s="5"/>
      <c r="G1114" s="5"/>
      <c r="H1114" s="5"/>
      <c r="K1114" s="23"/>
      <c r="L1114" s="5"/>
      <c r="M1114" s="5"/>
      <c r="N1114" s="5"/>
      <c r="P1114" s="5"/>
      <c r="R1114" s="9"/>
      <c r="S1114" s="9"/>
    </row>
    <row r="1115" spans="1:19" ht="12.5">
      <c r="A1115" s="5"/>
      <c r="B1115" s="5"/>
      <c r="C1115" s="5"/>
      <c r="D1115" s="5"/>
      <c r="E1115" s="5"/>
      <c r="F1115" s="5"/>
      <c r="G1115" s="5"/>
      <c r="H1115" s="5"/>
      <c r="K1115" s="23"/>
      <c r="L1115" s="5"/>
      <c r="M1115" s="5"/>
      <c r="N1115" s="5"/>
      <c r="P1115" s="5"/>
      <c r="R1115" s="9"/>
      <c r="S1115" s="9"/>
    </row>
    <row r="1116" spans="1:19" ht="12.5">
      <c r="A1116" s="5"/>
      <c r="B1116" s="5"/>
      <c r="C1116" s="5"/>
      <c r="D1116" s="5"/>
      <c r="E1116" s="5"/>
      <c r="F1116" s="5"/>
      <c r="G1116" s="5"/>
      <c r="H1116" s="5"/>
      <c r="K1116" s="23"/>
      <c r="L1116" s="5"/>
      <c r="M1116" s="5"/>
      <c r="N1116" s="5"/>
      <c r="P1116" s="5"/>
      <c r="R1116" s="9"/>
      <c r="S1116" s="9"/>
    </row>
    <row r="1117" spans="1:19" ht="12.5">
      <c r="A1117" s="5"/>
      <c r="B1117" s="5"/>
      <c r="C1117" s="5"/>
      <c r="D1117" s="5"/>
      <c r="E1117" s="5"/>
      <c r="F1117" s="5"/>
      <c r="G1117" s="5"/>
      <c r="H1117" s="5"/>
      <c r="K1117" s="23"/>
      <c r="L1117" s="5"/>
      <c r="M1117" s="5"/>
      <c r="N1117" s="5"/>
      <c r="P1117" s="5"/>
      <c r="R1117" s="9"/>
      <c r="S1117" s="9"/>
    </row>
    <row r="1118" spans="1:19" ht="12.5">
      <c r="A1118" s="5"/>
      <c r="B1118" s="5"/>
      <c r="C1118" s="5"/>
      <c r="D1118" s="5"/>
      <c r="E1118" s="5"/>
      <c r="F1118" s="5"/>
      <c r="G1118" s="5"/>
      <c r="H1118" s="5"/>
      <c r="K1118" s="23"/>
      <c r="L1118" s="5"/>
      <c r="M1118" s="5"/>
      <c r="N1118" s="5"/>
      <c r="P1118" s="5"/>
      <c r="R1118" s="9"/>
      <c r="S1118" s="9"/>
    </row>
    <row r="1119" spans="1:19" ht="12.5">
      <c r="A1119" s="5"/>
      <c r="B1119" s="5"/>
      <c r="C1119" s="5"/>
      <c r="D1119" s="5"/>
      <c r="E1119" s="5"/>
      <c r="F1119" s="5"/>
      <c r="G1119" s="5"/>
      <c r="H1119" s="5"/>
      <c r="K1119" s="23"/>
      <c r="L1119" s="5"/>
      <c r="M1119" s="5"/>
      <c r="N1119" s="5"/>
      <c r="P1119" s="5"/>
      <c r="R1119" s="9"/>
      <c r="S1119" s="9"/>
    </row>
    <row r="1120" spans="1:19" ht="12.5">
      <c r="A1120" s="5"/>
      <c r="B1120" s="5"/>
      <c r="C1120" s="5"/>
      <c r="D1120" s="5"/>
      <c r="E1120" s="5"/>
      <c r="F1120" s="5"/>
      <c r="G1120" s="5"/>
      <c r="H1120" s="5"/>
      <c r="K1120" s="23"/>
      <c r="L1120" s="5"/>
      <c r="M1120" s="5"/>
      <c r="N1120" s="5"/>
      <c r="P1120" s="5"/>
      <c r="R1120" s="9"/>
      <c r="S1120" s="9"/>
    </row>
    <row r="1121" spans="1:19" ht="12.5">
      <c r="A1121" s="5"/>
      <c r="B1121" s="5"/>
      <c r="C1121" s="5"/>
      <c r="D1121" s="5"/>
      <c r="E1121" s="5"/>
      <c r="F1121" s="5"/>
      <c r="G1121" s="5"/>
      <c r="H1121" s="5"/>
      <c r="K1121" s="23"/>
      <c r="L1121" s="5"/>
      <c r="M1121" s="5"/>
      <c r="N1121" s="5"/>
      <c r="P1121" s="5"/>
      <c r="R1121" s="9"/>
      <c r="S1121" s="9"/>
    </row>
    <row r="1122" spans="1:19" ht="12.5">
      <c r="A1122" s="5"/>
      <c r="B1122" s="5"/>
      <c r="C1122" s="5"/>
      <c r="D1122" s="5"/>
      <c r="E1122" s="5"/>
      <c r="F1122" s="5"/>
      <c r="G1122" s="5"/>
      <c r="H1122" s="5"/>
      <c r="K1122" s="23"/>
      <c r="L1122" s="5"/>
      <c r="M1122" s="5"/>
      <c r="N1122" s="5"/>
      <c r="P1122" s="5"/>
      <c r="R1122" s="9"/>
      <c r="S1122" s="9"/>
    </row>
    <row r="1123" spans="1:19" ht="12.5">
      <c r="A1123" s="5"/>
      <c r="B1123" s="5"/>
      <c r="C1123" s="5"/>
      <c r="D1123" s="5"/>
      <c r="E1123" s="5"/>
      <c r="F1123" s="5"/>
      <c r="G1123" s="5"/>
      <c r="H1123" s="5"/>
      <c r="K1123" s="23"/>
      <c r="L1123" s="5"/>
      <c r="M1123" s="5"/>
      <c r="N1123" s="5"/>
      <c r="P1123" s="5"/>
      <c r="R1123" s="9"/>
      <c r="S1123" s="9"/>
    </row>
    <row r="1124" spans="1:19" ht="12.5">
      <c r="A1124" s="5"/>
      <c r="B1124" s="5"/>
      <c r="C1124" s="5"/>
      <c r="D1124" s="5"/>
      <c r="E1124" s="5"/>
      <c r="F1124" s="5"/>
      <c r="G1124" s="5"/>
      <c r="H1124" s="5"/>
      <c r="K1124" s="23"/>
      <c r="L1124" s="5"/>
      <c r="M1124" s="5"/>
      <c r="N1124" s="5"/>
      <c r="P1124" s="5"/>
      <c r="R1124" s="9"/>
      <c r="S1124" s="9"/>
    </row>
    <row r="1125" spans="1:19" ht="12.5">
      <c r="A1125" s="5"/>
      <c r="B1125" s="5"/>
      <c r="C1125" s="5"/>
      <c r="D1125" s="5"/>
      <c r="E1125" s="5"/>
      <c r="F1125" s="5"/>
      <c r="G1125" s="5"/>
      <c r="H1125" s="5"/>
      <c r="K1125" s="23"/>
      <c r="L1125" s="5"/>
      <c r="M1125" s="5"/>
      <c r="N1125" s="5"/>
      <c r="P1125" s="5"/>
      <c r="R1125" s="9"/>
      <c r="S1125" s="9"/>
    </row>
    <row r="1126" spans="1:19" ht="12.5">
      <c r="A1126" s="5"/>
      <c r="B1126" s="5"/>
      <c r="C1126" s="5"/>
      <c r="D1126" s="5"/>
      <c r="E1126" s="5"/>
      <c r="F1126" s="5"/>
      <c r="G1126" s="5"/>
      <c r="H1126" s="5"/>
      <c r="K1126" s="23"/>
      <c r="L1126" s="5"/>
      <c r="M1126" s="5"/>
      <c r="N1126" s="5"/>
      <c r="P1126" s="5"/>
      <c r="R1126" s="9"/>
      <c r="S1126" s="9"/>
    </row>
    <row r="1127" spans="1:19" ht="12.5">
      <c r="A1127" s="5"/>
      <c r="B1127" s="5"/>
      <c r="C1127" s="5"/>
      <c r="D1127" s="5"/>
      <c r="E1127" s="5"/>
      <c r="F1127" s="5"/>
      <c r="G1127" s="5"/>
      <c r="H1127" s="5"/>
      <c r="K1127" s="23"/>
      <c r="L1127" s="5"/>
      <c r="M1127" s="5"/>
      <c r="N1127" s="5"/>
      <c r="P1127" s="5"/>
      <c r="R1127" s="9"/>
      <c r="S1127" s="9"/>
    </row>
    <row r="1128" spans="1:19" ht="12.5">
      <c r="A1128" s="5"/>
      <c r="B1128" s="5"/>
      <c r="C1128" s="5"/>
      <c r="D1128" s="5"/>
      <c r="E1128" s="5"/>
      <c r="F1128" s="5"/>
      <c r="G1128" s="5"/>
      <c r="H1128" s="5"/>
      <c r="K1128" s="23"/>
      <c r="L1128" s="5"/>
      <c r="M1128" s="5"/>
      <c r="N1128" s="5"/>
      <c r="P1128" s="5"/>
      <c r="R1128" s="9"/>
      <c r="S1128" s="9"/>
    </row>
    <row r="1129" spans="1:19" ht="12.5">
      <c r="A1129" s="5"/>
      <c r="B1129" s="5"/>
      <c r="C1129" s="5"/>
      <c r="D1129" s="5"/>
      <c r="E1129" s="5"/>
      <c r="F1129" s="5"/>
      <c r="G1129" s="5"/>
      <c r="H1129" s="5"/>
      <c r="K1129" s="23"/>
      <c r="L1129" s="5"/>
      <c r="M1129" s="5"/>
      <c r="N1129" s="5"/>
      <c r="P1129" s="5"/>
      <c r="R1129" s="9"/>
      <c r="S1129" s="9"/>
    </row>
    <row r="1130" spans="1:19" ht="12.5">
      <c r="A1130" s="5"/>
      <c r="B1130" s="5"/>
      <c r="C1130" s="5"/>
      <c r="D1130" s="5"/>
      <c r="E1130" s="5"/>
      <c r="F1130" s="5"/>
      <c r="G1130" s="5"/>
      <c r="H1130" s="5"/>
      <c r="K1130" s="23"/>
      <c r="L1130" s="5"/>
      <c r="M1130" s="5"/>
      <c r="N1130" s="5"/>
      <c r="P1130" s="5"/>
      <c r="R1130" s="9"/>
      <c r="S1130" s="9"/>
    </row>
    <row r="1131" spans="1:19" ht="12.5">
      <c r="A1131" s="5"/>
      <c r="B1131" s="5"/>
      <c r="C1131" s="5"/>
      <c r="D1131" s="5"/>
      <c r="E1131" s="5"/>
      <c r="F1131" s="5"/>
      <c r="G1131" s="5"/>
      <c r="H1131" s="5"/>
      <c r="K1131" s="23"/>
      <c r="L1131" s="5"/>
      <c r="M1131" s="5"/>
      <c r="N1131" s="5"/>
      <c r="P1131" s="5"/>
      <c r="R1131" s="9"/>
      <c r="S1131" s="9"/>
    </row>
    <row r="1132" spans="1:19" ht="12.5">
      <c r="A1132" s="5"/>
      <c r="B1132" s="5"/>
      <c r="C1132" s="5"/>
      <c r="D1132" s="5"/>
      <c r="E1132" s="5"/>
      <c r="F1132" s="5"/>
      <c r="G1132" s="5"/>
      <c r="H1132" s="5"/>
      <c r="K1132" s="23"/>
      <c r="L1132" s="5"/>
      <c r="M1132" s="5"/>
      <c r="N1132" s="5"/>
      <c r="P1132" s="5"/>
      <c r="R1132" s="9"/>
      <c r="S1132" s="9"/>
    </row>
    <row r="1133" spans="1:19" ht="12.5">
      <c r="A1133" s="5"/>
      <c r="B1133" s="5"/>
      <c r="C1133" s="5"/>
      <c r="D1133" s="5"/>
      <c r="E1133" s="5"/>
      <c r="F1133" s="5"/>
      <c r="G1133" s="5"/>
      <c r="H1133" s="5"/>
      <c r="K1133" s="23"/>
      <c r="L1133" s="5"/>
      <c r="M1133" s="5"/>
      <c r="N1133" s="5"/>
      <c r="P1133" s="5"/>
      <c r="R1133" s="9"/>
      <c r="S1133" s="9"/>
    </row>
    <row r="1134" spans="1:19" ht="12.5">
      <c r="A1134" s="5"/>
      <c r="B1134" s="5"/>
      <c r="C1134" s="5"/>
      <c r="D1134" s="5"/>
      <c r="E1134" s="5"/>
      <c r="F1134" s="5"/>
      <c r="G1134" s="5"/>
      <c r="H1134" s="5"/>
      <c r="K1134" s="23"/>
      <c r="L1134" s="5"/>
      <c r="M1134" s="5"/>
      <c r="N1134" s="5"/>
      <c r="P1134" s="5"/>
      <c r="R1134" s="9"/>
      <c r="S1134" s="9"/>
    </row>
    <row r="1135" spans="1:19" ht="12.5">
      <c r="A1135" s="5"/>
      <c r="B1135" s="5"/>
      <c r="C1135" s="5"/>
      <c r="D1135" s="5"/>
      <c r="E1135" s="5"/>
      <c r="F1135" s="5"/>
      <c r="G1135" s="5"/>
      <c r="H1135" s="5"/>
      <c r="K1135" s="23"/>
      <c r="L1135" s="5"/>
      <c r="M1135" s="5"/>
      <c r="N1135" s="5"/>
      <c r="P1135" s="5"/>
      <c r="R1135" s="9"/>
      <c r="S1135" s="9"/>
    </row>
    <row r="1136" spans="1:19" ht="12.5">
      <c r="A1136" s="5"/>
      <c r="B1136" s="5"/>
      <c r="C1136" s="5"/>
      <c r="D1136" s="5"/>
      <c r="E1136" s="5"/>
      <c r="F1136" s="5"/>
      <c r="G1136" s="5"/>
      <c r="H1136" s="5"/>
      <c r="K1136" s="23"/>
      <c r="L1136" s="5"/>
      <c r="M1136" s="5"/>
      <c r="N1136" s="5"/>
      <c r="P1136" s="5"/>
      <c r="R1136" s="9"/>
      <c r="S1136" s="9"/>
    </row>
    <row r="1137" spans="1:19" ht="12.5">
      <c r="A1137" s="5"/>
      <c r="B1137" s="5"/>
      <c r="C1137" s="5"/>
      <c r="D1137" s="5"/>
      <c r="E1137" s="5"/>
      <c r="F1137" s="5"/>
      <c r="G1137" s="5"/>
      <c r="H1137" s="5"/>
      <c r="K1137" s="23"/>
      <c r="L1137" s="5"/>
      <c r="M1137" s="5"/>
      <c r="N1137" s="5"/>
      <c r="P1137" s="5"/>
      <c r="R1137" s="9"/>
      <c r="S1137" s="9"/>
    </row>
    <row r="1138" spans="1:19" ht="12.5">
      <c r="A1138" s="5"/>
      <c r="B1138" s="5"/>
      <c r="C1138" s="5"/>
      <c r="D1138" s="5"/>
      <c r="E1138" s="5"/>
      <c r="F1138" s="5"/>
      <c r="G1138" s="5"/>
      <c r="H1138" s="5"/>
      <c r="K1138" s="23"/>
      <c r="L1138" s="5"/>
      <c r="M1138" s="5"/>
      <c r="N1138" s="5"/>
      <c r="P1138" s="5"/>
      <c r="R1138" s="9"/>
      <c r="S1138" s="9"/>
    </row>
    <row r="1139" spans="1:19" ht="12.5">
      <c r="A1139" s="5"/>
      <c r="B1139" s="5"/>
      <c r="C1139" s="5"/>
      <c r="D1139" s="5"/>
      <c r="E1139" s="5"/>
      <c r="F1139" s="5"/>
      <c r="G1139" s="5"/>
      <c r="H1139" s="5"/>
      <c r="K1139" s="23"/>
      <c r="L1139" s="5"/>
      <c r="M1139" s="5"/>
      <c r="N1139" s="5"/>
      <c r="P1139" s="5"/>
      <c r="R1139" s="9"/>
      <c r="S1139" s="9"/>
    </row>
    <row r="1140" spans="1:19" ht="12.5">
      <c r="A1140" s="5"/>
      <c r="B1140" s="5"/>
      <c r="C1140" s="5"/>
      <c r="D1140" s="5"/>
      <c r="E1140" s="5"/>
      <c r="F1140" s="5"/>
      <c r="G1140" s="5"/>
      <c r="H1140" s="5"/>
      <c r="K1140" s="23"/>
      <c r="L1140" s="5"/>
      <c r="M1140" s="5"/>
      <c r="N1140" s="5"/>
      <c r="P1140" s="5"/>
      <c r="R1140" s="9"/>
      <c r="S1140" s="9"/>
    </row>
    <row r="1141" spans="1:19" ht="12.5">
      <c r="A1141" s="5"/>
      <c r="B1141" s="5"/>
      <c r="C1141" s="5"/>
      <c r="D1141" s="5"/>
      <c r="E1141" s="5"/>
      <c r="F1141" s="5"/>
      <c r="G1141" s="5"/>
      <c r="H1141" s="5"/>
      <c r="K1141" s="23"/>
      <c r="L1141" s="5"/>
      <c r="M1141" s="5"/>
      <c r="N1141" s="5"/>
      <c r="P1141" s="5"/>
      <c r="R1141" s="9"/>
      <c r="S1141" s="9"/>
    </row>
    <row r="1142" spans="1:19" ht="12.5">
      <c r="A1142" s="5"/>
      <c r="B1142" s="5"/>
      <c r="C1142" s="5"/>
      <c r="D1142" s="5"/>
      <c r="E1142" s="5"/>
      <c r="F1142" s="5"/>
      <c r="G1142" s="5"/>
      <c r="H1142" s="5"/>
      <c r="K1142" s="23"/>
      <c r="L1142" s="5"/>
      <c r="M1142" s="5"/>
      <c r="N1142" s="5"/>
      <c r="P1142" s="5"/>
      <c r="R1142" s="9"/>
      <c r="S1142" s="9"/>
    </row>
    <row r="1143" spans="1:19" ht="12.5">
      <c r="A1143" s="5"/>
      <c r="B1143" s="5"/>
      <c r="C1143" s="5"/>
      <c r="D1143" s="5"/>
      <c r="E1143" s="5"/>
      <c r="F1143" s="5"/>
      <c r="G1143" s="5"/>
      <c r="H1143" s="5"/>
      <c r="K1143" s="23"/>
      <c r="L1143" s="5"/>
      <c r="M1143" s="5"/>
      <c r="N1143" s="5"/>
      <c r="P1143" s="5"/>
      <c r="R1143" s="9"/>
      <c r="S1143" s="9"/>
    </row>
    <row r="1144" spans="1:19" ht="12.5">
      <c r="A1144" s="5"/>
      <c r="B1144" s="5"/>
      <c r="C1144" s="5"/>
      <c r="D1144" s="5"/>
      <c r="E1144" s="5"/>
      <c r="F1144" s="5"/>
      <c r="G1144" s="5"/>
      <c r="H1144" s="5"/>
      <c r="K1144" s="23"/>
      <c r="L1144" s="5"/>
      <c r="M1144" s="5"/>
      <c r="N1144" s="5"/>
      <c r="P1144" s="5"/>
      <c r="R1144" s="9"/>
      <c r="S1144" s="9"/>
    </row>
    <row r="1145" spans="1:19" ht="12.5">
      <c r="A1145" s="5"/>
      <c r="B1145" s="5"/>
      <c r="C1145" s="5"/>
      <c r="D1145" s="5"/>
      <c r="E1145" s="5"/>
      <c r="F1145" s="5"/>
      <c r="G1145" s="5"/>
      <c r="H1145" s="5"/>
      <c r="K1145" s="23"/>
      <c r="L1145" s="5"/>
      <c r="M1145" s="5"/>
      <c r="N1145" s="5"/>
      <c r="P1145" s="5"/>
      <c r="R1145" s="9"/>
      <c r="S1145" s="9"/>
    </row>
    <row r="1146" spans="1:19" ht="12.5">
      <c r="A1146" s="5"/>
      <c r="B1146" s="5"/>
      <c r="C1146" s="5"/>
      <c r="D1146" s="5"/>
      <c r="E1146" s="5"/>
      <c r="F1146" s="5"/>
      <c r="G1146" s="5"/>
      <c r="H1146" s="5"/>
      <c r="K1146" s="23"/>
      <c r="L1146" s="5"/>
      <c r="M1146" s="5"/>
      <c r="N1146" s="5"/>
      <c r="P1146" s="5"/>
      <c r="R1146" s="9"/>
      <c r="S1146" s="9"/>
    </row>
    <row r="1147" spans="1:19" ht="12.5">
      <c r="A1147" s="5"/>
      <c r="B1147" s="5"/>
      <c r="C1147" s="5"/>
      <c r="D1147" s="5"/>
      <c r="E1147" s="5"/>
      <c r="F1147" s="5"/>
      <c r="G1147" s="5"/>
      <c r="H1147" s="5"/>
      <c r="K1147" s="23"/>
      <c r="L1147" s="5"/>
      <c r="M1147" s="5"/>
      <c r="N1147" s="5"/>
      <c r="P1147" s="5"/>
      <c r="R1147" s="9"/>
      <c r="S1147" s="9"/>
    </row>
    <row r="1148" spans="1:19" ht="12.5">
      <c r="A1148" s="5"/>
      <c r="B1148" s="5"/>
      <c r="C1148" s="5"/>
      <c r="D1148" s="5"/>
      <c r="E1148" s="5"/>
      <c r="F1148" s="5"/>
      <c r="G1148" s="5"/>
      <c r="H1148" s="5"/>
      <c r="K1148" s="23"/>
      <c r="L1148" s="5"/>
      <c r="M1148" s="5"/>
      <c r="N1148" s="5"/>
      <c r="P1148" s="5"/>
      <c r="R1148" s="9"/>
      <c r="S1148" s="9"/>
    </row>
    <row r="1149" spans="1:19" ht="12.5">
      <c r="A1149" s="5"/>
      <c r="B1149" s="5"/>
      <c r="C1149" s="5"/>
      <c r="D1149" s="5"/>
      <c r="E1149" s="5"/>
      <c r="F1149" s="5"/>
      <c r="G1149" s="5"/>
      <c r="H1149" s="5"/>
      <c r="K1149" s="23"/>
      <c r="L1149" s="5"/>
      <c r="M1149" s="5"/>
      <c r="N1149" s="5"/>
      <c r="P1149" s="5"/>
      <c r="R1149" s="9"/>
      <c r="S1149" s="9"/>
    </row>
    <row r="1150" spans="1:19" ht="12.5">
      <c r="A1150" s="5"/>
      <c r="B1150" s="5"/>
      <c r="C1150" s="5"/>
      <c r="D1150" s="5"/>
      <c r="E1150" s="5"/>
      <c r="F1150" s="5"/>
      <c r="G1150" s="5"/>
      <c r="H1150" s="5"/>
      <c r="K1150" s="23"/>
      <c r="L1150" s="5"/>
      <c r="M1150" s="5"/>
      <c r="N1150" s="5"/>
      <c r="P1150" s="5"/>
      <c r="R1150" s="9"/>
      <c r="S1150" s="9"/>
    </row>
    <row r="1151" spans="1:19" ht="12.5">
      <c r="A1151" s="5"/>
      <c r="B1151" s="5"/>
      <c r="C1151" s="5"/>
      <c r="D1151" s="5"/>
      <c r="E1151" s="5"/>
      <c r="F1151" s="5"/>
      <c r="G1151" s="5"/>
      <c r="H1151" s="5"/>
      <c r="K1151" s="23"/>
      <c r="L1151" s="5"/>
      <c r="M1151" s="5"/>
      <c r="N1151" s="5"/>
      <c r="P1151" s="5"/>
      <c r="R1151" s="9"/>
      <c r="S1151" s="9"/>
    </row>
    <row r="1152" spans="1:19" ht="12.5">
      <c r="A1152" s="5"/>
      <c r="B1152" s="5"/>
      <c r="C1152" s="5"/>
      <c r="D1152" s="5"/>
      <c r="E1152" s="5"/>
      <c r="F1152" s="5"/>
      <c r="G1152" s="5"/>
      <c r="H1152" s="5"/>
      <c r="K1152" s="23"/>
      <c r="L1152" s="5"/>
      <c r="M1152" s="5"/>
      <c r="N1152" s="5"/>
      <c r="P1152" s="5"/>
      <c r="R1152" s="9"/>
      <c r="S1152" s="9"/>
    </row>
    <row r="1153" spans="1:19" ht="12.5">
      <c r="A1153" s="5"/>
      <c r="B1153" s="5"/>
      <c r="C1153" s="5"/>
      <c r="D1153" s="5"/>
      <c r="E1153" s="5"/>
      <c r="F1153" s="5"/>
      <c r="G1153" s="5"/>
      <c r="H1153" s="5"/>
      <c r="K1153" s="23"/>
      <c r="L1153" s="5"/>
      <c r="M1153" s="5"/>
      <c r="N1153" s="5"/>
      <c r="P1153" s="5"/>
      <c r="R1153" s="9"/>
      <c r="S1153" s="9"/>
    </row>
    <row r="1154" spans="1:19" ht="12.5">
      <c r="A1154" s="5"/>
      <c r="B1154" s="5"/>
      <c r="C1154" s="5"/>
      <c r="D1154" s="5"/>
      <c r="E1154" s="5"/>
      <c r="F1154" s="5"/>
      <c r="G1154" s="5"/>
      <c r="H1154" s="5"/>
      <c r="K1154" s="23"/>
      <c r="L1154" s="5"/>
      <c r="M1154" s="5"/>
      <c r="N1154" s="5"/>
      <c r="P1154" s="5"/>
      <c r="R1154" s="9"/>
      <c r="S1154" s="9"/>
    </row>
    <row r="1155" spans="1:19" ht="12.5">
      <c r="A1155" s="5"/>
      <c r="B1155" s="5"/>
      <c r="C1155" s="5"/>
      <c r="D1155" s="5"/>
      <c r="E1155" s="5"/>
      <c r="F1155" s="5"/>
      <c r="G1155" s="5"/>
      <c r="H1155" s="5"/>
      <c r="K1155" s="23"/>
      <c r="L1155" s="5"/>
      <c r="M1155" s="5"/>
      <c r="N1155" s="5"/>
      <c r="P1155" s="5"/>
      <c r="R1155" s="9"/>
      <c r="S1155" s="9"/>
    </row>
    <row r="1156" spans="1:19" ht="12.5">
      <c r="A1156" s="5"/>
      <c r="B1156" s="5"/>
      <c r="C1156" s="5"/>
      <c r="D1156" s="5"/>
      <c r="E1156" s="5"/>
      <c r="F1156" s="5"/>
      <c r="G1156" s="5"/>
      <c r="H1156" s="5"/>
      <c r="K1156" s="23"/>
      <c r="L1156" s="5"/>
      <c r="M1156" s="5"/>
      <c r="N1156" s="5"/>
      <c r="P1156" s="5"/>
      <c r="R1156" s="9"/>
      <c r="S1156" s="9"/>
    </row>
    <row r="1157" spans="1:19" ht="12.5">
      <c r="A1157" s="5"/>
      <c r="B1157" s="5"/>
      <c r="C1157" s="5"/>
      <c r="D1157" s="5"/>
      <c r="E1157" s="5"/>
      <c r="F1157" s="5"/>
      <c r="G1157" s="5"/>
      <c r="H1157" s="5"/>
      <c r="K1157" s="23"/>
      <c r="L1157" s="5"/>
      <c r="M1157" s="5"/>
      <c r="N1157" s="5"/>
      <c r="P1157" s="5"/>
      <c r="R1157" s="9"/>
      <c r="S1157" s="9"/>
    </row>
    <row r="1158" spans="1:19" ht="12.5">
      <c r="A1158" s="5"/>
      <c r="B1158" s="5"/>
      <c r="C1158" s="5"/>
      <c r="D1158" s="5"/>
      <c r="E1158" s="5"/>
      <c r="F1158" s="5"/>
      <c r="G1158" s="5"/>
      <c r="H1158" s="5"/>
      <c r="K1158" s="23"/>
      <c r="L1158" s="5"/>
      <c r="M1158" s="5"/>
      <c r="N1158" s="5"/>
      <c r="P1158" s="5"/>
      <c r="R1158" s="9"/>
      <c r="S1158" s="9"/>
    </row>
    <row r="1159" spans="1:19" ht="12.5">
      <c r="A1159" s="5"/>
      <c r="B1159" s="5"/>
      <c r="C1159" s="5"/>
      <c r="D1159" s="5"/>
      <c r="E1159" s="5"/>
      <c r="F1159" s="5"/>
      <c r="G1159" s="5"/>
      <c r="H1159" s="5"/>
      <c r="K1159" s="23"/>
      <c r="L1159" s="5"/>
      <c r="M1159" s="5"/>
      <c r="N1159" s="5"/>
      <c r="P1159" s="5"/>
      <c r="R1159" s="9"/>
      <c r="S1159" s="9"/>
    </row>
    <row r="1160" spans="1:19" ht="12.5">
      <c r="A1160" s="5"/>
      <c r="B1160" s="5"/>
      <c r="C1160" s="5"/>
      <c r="D1160" s="5"/>
      <c r="E1160" s="5"/>
      <c r="F1160" s="5"/>
      <c r="G1160" s="5"/>
      <c r="H1160" s="5"/>
      <c r="K1160" s="23"/>
      <c r="L1160" s="5"/>
      <c r="M1160" s="5"/>
      <c r="N1160" s="5"/>
      <c r="P1160" s="5"/>
      <c r="R1160" s="9"/>
      <c r="S1160" s="9"/>
    </row>
    <row r="1161" spans="1:19" ht="12.5">
      <c r="A1161" s="5"/>
      <c r="B1161" s="5"/>
      <c r="C1161" s="5"/>
      <c r="D1161" s="5"/>
      <c r="E1161" s="5"/>
      <c r="F1161" s="5"/>
      <c r="G1161" s="5"/>
      <c r="H1161" s="5"/>
      <c r="K1161" s="23"/>
      <c r="L1161" s="5"/>
      <c r="M1161" s="5"/>
      <c r="N1161" s="5"/>
      <c r="P1161" s="5"/>
      <c r="R1161" s="9"/>
      <c r="S1161" s="9"/>
    </row>
    <row r="1162" spans="1:19" ht="12.5">
      <c r="A1162" s="5"/>
      <c r="B1162" s="5"/>
      <c r="C1162" s="5"/>
      <c r="D1162" s="5"/>
      <c r="E1162" s="5"/>
      <c r="F1162" s="5"/>
      <c r="G1162" s="5"/>
      <c r="H1162" s="5"/>
      <c r="K1162" s="23"/>
      <c r="L1162" s="5"/>
      <c r="M1162" s="5"/>
      <c r="N1162" s="5"/>
      <c r="P1162" s="5"/>
      <c r="R1162" s="9"/>
      <c r="S1162" s="9"/>
    </row>
    <row r="1163" spans="1:19" ht="12.5">
      <c r="A1163" s="5"/>
      <c r="B1163" s="5"/>
      <c r="C1163" s="5"/>
      <c r="D1163" s="5"/>
      <c r="E1163" s="5"/>
      <c r="F1163" s="5"/>
      <c r="G1163" s="5"/>
      <c r="H1163" s="5"/>
      <c r="K1163" s="23"/>
      <c r="L1163" s="5"/>
      <c r="M1163" s="5"/>
      <c r="N1163" s="5"/>
      <c r="P1163" s="5"/>
      <c r="R1163" s="9"/>
      <c r="S1163" s="9"/>
    </row>
    <row r="1164" spans="1:19" ht="12.5">
      <c r="A1164" s="5"/>
      <c r="B1164" s="5"/>
      <c r="C1164" s="5"/>
      <c r="D1164" s="5"/>
      <c r="E1164" s="5"/>
      <c r="F1164" s="5"/>
      <c r="G1164" s="5"/>
      <c r="H1164" s="5"/>
      <c r="K1164" s="23"/>
      <c r="L1164" s="5"/>
      <c r="M1164" s="5"/>
      <c r="N1164" s="5"/>
      <c r="P1164" s="5"/>
      <c r="R1164" s="9"/>
      <c r="S1164" s="9"/>
    </row>
    <row r="1165" spans="1:19" ht="12.5">
      <c r="A1165" s="5"/>
      <c r="B1165" s="5"/>
      <c r="C1165" s="5"/>
      <c r="D1165" s="5"/>
      <c r="E1165" s="5"/>
      <c r="F1165" s="5"/>
      <c r="G1165" s="5"/>
      <c r="H1165" s="5"/>
      <c r="K1165" s="23"/>
      <c r="L1165" s="5"/>
      <c r="M1165" s="5"/>
      <c r="N1165" s="5"/>
      <c r="P1165" s="5"/>
      <c r="R1165" s="9"/>
      <c r="S1165" s="9"/>
    </row>
    <row r="1166" spans="1:19" ht="12.5">
      <c r="A1166" s="5"/>
      <c r="B1166" s="5"/>
      <c r="C1166" s="5"/>
      <c r="D1166" s="5"/>
      <c r="E1166" s="5"/>
      <c r="F1166" s="5"/>
      <c r="G1166" s="5"/>
      <c r="H1166" s="5"/>
      <c r="K1166" s="23"/>
      <c r="L1166" s="5"/>
      <c r="M1166" s="5"/>
      <c r="N1166" s="5"/>
      <c r="P1166" s="5"/>
      <c r="R1166" s="9"/>
      <c r="S1166" s="9"/>
    </row>
    <row r="1167" spans="1:19" ht="12.5">
      <c r="A1167" s="5"/>
      <c r="B1167" s="5"/>
      <c r="C1167" s="5"/>
      <c r="D1167" s="5"/>
      <c r="E1167" s="5"/>
      <c r="F1167" s="5"/>
      <c r="G1167" s="5"/>
      <c r="H1167" s="5"/>
      <c r="K1167" s="23"/>
      <c r="L1167" s="5"/>
      <c r="M1167" s="5"/>
      <c r="N1167" s="5"/>
      <c r="P1167" s="5"/>
      <c r="R1167" s="9"/>
      <c r="S1167" s="9"/>
    </row>
    <row r="1168" spans="1:19" ht="12.5">
      <c r="A1168" s="5"/>
      <c r="B1168" s="5"/>
      <c r="C1168" s="5"/>
      <c r="D1168" s="5"/>
      <c r="E1168" s="5"/>
      <c r="F1168" s="5"/>
      <c r="G1168" s="5"/>
      <c r="H1168" s="5"/>
      <c r="K1168" s="23"/>
      <c r="L1168" s="5"/>
      <c r="M1168" s="5"/>
      <c r="N1168" s="5"/>
      <c r="P1168" s="5"/>
      <c r="R1168" s="9"/>
      <c r="S1168" s="9"/>
    </row>
    <row r="1169" spans="1:19" ht="12.5">
      <c r="A1169" s="5"/>
      <c r="B1169" s="5"/>
      <c r="C1169" s="5"/>
      <c r="D1169" s="5"/>
      <c r="E1169" s="5"/>
      <c r="F1169" s="5"/>
      <c r="G1169" s="5"/>
      <c r="H1169" s="5"/>
      <c r="K1169" s="23"/>
      <c r="L1169" s="5"/>
      <c r="M1169" s="5"/>
      <c r="N1169" s="5"/>
      <c r="P1169" s="5"/>
      <c r="R1169" s="9"/>
      <c r="S1169" s="9"/>
    </row>
    <row r="1170" spans="1:19" ht="12.5">
      <c r="A1170" s="5"/>
      <c r="B1170" s="5"/>
      <c r="C1170" s="5"/>
      <c r="D1170" s="5"/>
      <c r="E1170" s="5"/>
      <c r="F1170" s="5"/>
      <c r="G1170" s="5"/>
      <c r="H1170" s="5"/>
      <c r="K1170" s="23"/>
      <c r="L1170" s="5"/>
      <c r="M1170" s="5"/>
      <c r="N1170" s="5"/>
      <c r="P1170" s="5"/>
      <c r="R1170" s="9"/>
      <c r="S1170" s="9"/>
    </row>
    <row r="1171" spans="1:19" ht="12.5">
      <c r="A1171" s="5"/>
      <c r="B1171" s="5"/>
      <c r="C1171" s="5"/>
      <c r="D1171" s="5"/>
      <c r="E1171" s="5"/>
      <c r="F1171" s="5"/>
      <c r="G1171" s="5"/>
      <c r="H1171" s="5"/>
      <c r="K1171" s="23"/>
      <c r="L1171" s="5"/>
      <c r="M1171" s="5"/>
      <c r="N1171" s="5"/>
      <c r="P1171" s="5"/>
      <c r="R1171" s="9"/>
      <c r="S1171" s="9"/>
    </row>
    <row r="1172" spans="1:19" ht="12.5">
      <c r="A1172" s="5"/>
      <c r="B1172" s="5"/>
      <c r="C1172" s="5"/>
      <c r="D1172" s="5"/>
      <c r="E1172" s="5"/>
      <c r="F1172" s="5"/>
      <c r="G1172" s="5"/>
      <c r="H1172" s="5"/>
      <c r="K1172" s="23"/>
      <c r="L1172" s="5"/>
      <c r="M1172" s="5"/>
      <c r="N1172" s="5"/>
      <c r="P1172" s="5"/>
      <c r="R1172" s="9"/>
      <c r="S1172" s="9"/>
    </row>
    <row r="1173" spans="1:19" ht="12.5">
      <c r="A1173" s="5"/>
      <c r="B1173" s="5"/>
      <c r="C1173" s="5"/>
      <c r="D1173" s="5"/>
      <c r="E1173" s="5"/>
      <c r="F1173" s="5"/>
      <c r="G1173" s="5"/>
      <c r="H1173" s="5"/>
      <c r="K1173" s="23"/>
      <c r="L1173" s="5"/>
      <c r="M1173" s="5"/>
      <c r="N1173" s="5"/>
      <c r="P1173" s="5"/>
      <c r="R1173" s="9"/>
      <c r="S1173" s="9"/>
    </row>
    <row r="1174" spans="1:19" ht="12.5">
      <c r="A1174" s="5"/>
      <c r="B1174" s="5"/>
      <c r="C1174" s="5"/>
      <c r="D1174" s="5"/>
      <c r="E1174" s="5"/>
      <c r="F1174" s="5"/>
      <c r="G1174" s="5"/>
      <c r="H1174" s="5"/>
      <c r="K1174" s="23"/>
      <c r="L1174" s="5"/>
      <c r="M1174" s="5"/>
      <c r="N1174" s="5"/>
      <c r="P1174" s="5"/>
      <c r="R1174" s="9"/>
      <c r="S1174" s="9"/>
    </row>
    <row r="1175" spans="1:19" ht="12.5">
      <c r="A1175" s="5"/>
      <c r="B1175" s="5"/>
      <c r="C1175" s="5"/>
      <c r="D1175" s="5"/>
      <c r="E1175" s="5"/>
      <c r="F1175" s="5"/>
      <c r="G1175" s="5"/>
      <c r="H1175" s="5"/>
      <c r="K1175" s="23"/>
      <c r="L1175" s="5"/>
      <c r="M1175" s="5"/>
      <c r="N1175" s="5"/>
      <c r="P1175" s="5"/>
      <c r="R1175" s="9"/>
      <c r="S1175" s="9"/>
    </row>
    <row r="1176" spans="1:19" ht="12.5">
      <c r="A1176" s="5"/>
      <c r="B1176" s="5"/>
      <c r="C1176" s="5"/>
      <c r="D1176" s="5"/>
      <c r="E1176" s="5"/>
      <c r="F1176" s="5"/>
      <c r="G1176" s="5"/>
      <c r="H1176" s="5"/>
      <c r="K1176" s="23"/>
      <c r="L1176" s="5"/>
      <c r="M1176" s="5"/>
      <c r="N1176" s="5"/>
      <c r="P1176" s="5"/>
      <c r="R1176" s="9"/>
      <c r="S1176" s="9"/>
    </row>
    <row r="1177" spans="1:19" ht="12.5">
      <c r="A1177" s="5"/>
      <c r="B1177" s="5"/>
      <c r="C1177" s="5"/>
      <c r="D1177" s="5"/>
      <c r="E1177" s="5"/>
      <c r="F1177" s="5"/>
      <c r="G1177" s="5"/>
      <c r="H1177" s="5"/>
      <c r="K1177" s="23"/>
      <c r="L1177" s="5"/>
      <c r="M1177" s="5"/>
      <c r="N1177" s="5"/>
      <c r="P1177" s="5"/>
      <c r="R1177" s="9"/>
      <c r="S1177" s="9"/>
    </row>
    <row r="1178" spans="1:19" ht="12.5">
      <c r="A1178" s="5"/>
      <c r="B1178" s="5"/>
      <c r="C1178" s="5"/>
      <c r="D1178" s="5"/>
      <c r="E1178" s="5"/>
      <c r="F1178" s="5"/>
      <c r="G1178" s="5"/>
      <c r="H1178" s="5"/>
      <c r="K1178" s="23"/>
      <c r="L1178" s="5"/>
      <c r="M1178" s="5"/>
      <c r="N1178" s="5"/>
      <c r="P1178" s="5"/>
      <c r="R1178" s="9"/>
      <c r="S1178" s="9"/>
    </row>
    <row r="1179" spans="1:19" ht="12.5">
      <c r="A1179" s="5"/>
      <c r="B1179" s="5"/>
      <c r="C1179" s="5"/>
      <c r="D1179" s="5"/>
      <c r="E1179" s="5"/>
      <c r="F1179" s="5"/>
      <c r="G1179" s="5"/>
      <c r="H1179" s="5"/>
      <c r="K1179" s="23"/>
      <c r="L1179" s="5"/>
      <c r="M1179" s="5"/>
      <c r="N1179" s="5"/>
      <c r="P1179" s="5"/>
      <c r="R1179" s="9"/>
      <c r="S1179" s="9"/>
    </row>
    <row r="1180" spans="1:19" ht="12.5">
      <c r="A1180" s="5"/>
      <c r="B1180" s="5"/>
      <c r="C1180" s="5"/>
      <c r="D1180" s="5"/>
      <c r="E1180" s="5"/>
      <c r="F1180" s="5"/>
      <c r="G1180" s="5"/>
      <c r="H1180" s="5"/>
      <c r="K1180" s="23"/>
      <c r="L1180" s="5"/>
      <c r="M1180" s="5"/>
      <c r="N1180" s="5"/>
      <c r="P1180" s="5"/>
      <c r="R1180" s="9"/>
      <c r="S1180" s="9"/>
    </row>
    <row r="1181" spans="1:19" ht="12.5">
      <c r="A1181" s="5"/>
      <c r="B1181" s="5"/>
      <c r="C1181" s="5"/>
      <c r="D1181" s="5"/>
      <c r="E1181" s="5"/>
      <c r="F1181" s="5"/>
      <c r="G1181" s="5"/>
      <c r="H1181" s="5"/>
      <c r="K1181" s="23"/>
      <c r="L1181" s="5"/>
      <c r="M1181" s="5"/>
      <c r="N1181" s="5"/>
      <c r="P1181" s="5"/>
      <c r="R1181" s="9"/>
      <c r="S1181" s="9"/>
    </row>
    <row r="1182" spans="1:19" ht="12.5">
      <c r="A1182" s="5"/>
      <c r="B1182" s="5"/>
      <c r="C1182" s="5"/>
      <c r="D1182" s="5"/>
      <c r="E1182" s="5"/>
      <c r="F1182" s="5"/>
      <c r="G1182" s="5"/>
      <c r="H1182" s="5"/>
      <c r="K1182" s="23"/>
      <c r="L1182" s="5"/>
      <c r="M1182" s="5"/>
      <c r="N1182" s="5"/>
      <c r="P1182" s="5"/>
      <c r="R1182" s="9"/>
      <c r="S1182" s="9"/>
    </row>
    <row r="1183" spans="1:19" ht="12.5">
      <c r="A1183" s="5"/>
      <c r="B1183" s="5"/>
      <c r="C1183" s="5"/>
      <c r="D1183" s="5"/>
      <c r="E1183" s="5"/>
      <c r="F1183" s="5"/>
      <c r="G1183" s="5"/>
      <c r="H1183" s="5"/>
      <c r="K1183" s="23"/>
      <c r="L1183" s="5"/>
      <c r="M1183" s="5"/>
      <c r="N1183" s="5"/>
      <c r="P1183" s="5"/>
      <c r="R1183" s="9"/>
      <c r="S1183" s="9"/>
    </row>
    <row r="1184" spans="1:19" ht="12.5">
      <c r="A1184" s="5"/>
      <c r="B1184" s="5"/>
      <c r="C1184" s="5"/>
      <c r="D1184" s="5"/>
      <c r="E1184" s="5"/>
      <c r="F1184" s="5"/>
      <c r="G1184" s="5"/>
      <c r="H1184" s="5"/>
      <c r="K1184" s="23"/>
      <c r="L1184" s="5"/>
      <c r="M1184" s="5"/>
      <c r="N1184" s="5"/>
      <c r="P1184" s="5"/>
      <c r="R1184" s="9"/>
      <c r="S1184" s="9"/>
    </row>
    <row r="1185" spans="1:19" ht="12.5">
      <c r="A1185" s="5"/>
      <c r="B1185" s="5"/>
      <c r="C1185" s="5"/>
      <c r="D1185" s="5"/>
      <c r="E1185" s="5"/>
      <c r="F1185" s="5"/>
      <c r="G1185" s="5"/>
      <c r="H1185" s="5"/>
      <c r="K1185" s="23"/>
      <c r="L1185" s="5"/>
      <c r="M1185" s="5"/>
      <c r="N1185" s="5"/>
      <c r="P1185" s="5"/>
      <c r="R1185" s="9"/>
      <c r="S1185" s="9"/>
    </row>
    <row r="1186" spans="1:19" ht="12.5">
      <c r="A1186" s="5"/>
      <c r="B1186" s="5"/>
      <c r="C1186" s="5"/>
      <c r="D1186" s="5"/>
      <c r="E1186" s="5"/>
      <c r="F1186" s="5"/>
      <c r="G1186" s="5"/>
      <c r="H1186" s="5"/>
      <c r="K1186" s="23"/>
      <c r="L1186" s="5"/>
      <c r="M1186" s="5"/>
      <c r="N1186" s="5"/>
      <c r="P1186" s="5"/>
      <c r="R1186" s="9"/>
      <c r="S1186" s="9"/>
    </row>
    <row r="1187" spans="1:19" ht="12.5">
      <c r="A1187" s="5"/>
      <c r="B1187" s="5"/>
      <c r="C1187" s="5"/>
      <c r="D1187" s="5"/>
      <c r="E1187" s="5"/>
      <c r="F1187" s="5"/>
      <c r="G1187" s="5"/>
      <c r="H1187" s="5"/>
      <c r="K1187" s="23"/>
      <c r="L1187" s="5"/>
      <c r="M1187" s="5"/>
      <c r="N1187" s="5"/>
      <c r="P1187" s="5"/>
      <c r="R1187" s="9"/>
      <c r="S1187" s="9"/>
    </row>
    <row r="1188" spans="1:19" ht="12.5">
      <c r="A1188" s="5"/>
      <c r="B1188" s="5"/>
      <c r="C1188" s="5"/>
      <c r="D1188" s="5"/>
      <c r="E1188" s="5"/>
      <c r="F1188" s="5"/>
      <c r="G1188" s="5"/>
      <c r="H1188" s="5"/>
      <c r="K1188" s="23"/>
      <c r="L1188" s="5"/>
      <c r="M1188" s="5"/>
      <c r="N1188" s="5"/>
      <c r="P1188" s="5"/>
      <c r="R1188" s="9"/>
      <c r="S1188" s="9"/>
    </row>
    <row r="1189" spans="1:19" ht="12.5">
      <c r="A1189" s="5"/>
      <c r="B1189" s="5"/>
      <c r="C1189" s="5"/>
      <c r="D1189" s="5"/>
      <c r="E1189" s="5"/>
      <c r="F1189" s="5"/>
      <c r="G1189" s="5"/>
      <c r="H1189" s="5"/>
      <c r="K1189" s="23"/>
      <c r="L1189" s="5"/>
      <c r="M1189" s="5"/>
      <c r="N1189" s="5"/>
      <c r="P1189" s="5"/>
      <c r="R1189" s="9"/>
      <c r="S1189" s="9"/>
    </row>
    <row r="1190" spans="1:19" ht="12.5">
      <c r="A1190" s="5"/>
      <c r="B1190" s="5"/>
      <c r="C1190" s="5"/>
      <c r="D1190" s="5"/>
      <c r="E1190" s="5"/>
      <c r="F1190" s="5"/>
      <c r="G1190" s="5"/>
      <c r="H1190" s="5"/>
      <c r="K1190" s="23"/>
      <c r="L1190" s="5"/>
      <c r="M1190" s="5"/>
      <c r="N1190" s="5"/>
      <c r="P1190" s="5"/>
      <c r="R1190" s="9"/>
      <c r="S1190" s="9"/>
    </row>
    <row r="1191" spans="1:19" ht="12.5">
      <c r="A1191" s="5"/>
      <c r="B1191" s="5"/>
      <c r="C1191" s="5"/>
      <c r="D1191" s="5"/>
      <c r="E1191" s="5"/>
      <c r="F1191" s="5"/>
      <c r="G1191" s="5"/>
      <c r="H1191" s="5"/>
      <c r="K1191" s="23"/>
      <c r="L1191" s="5"/>
      <c r="M1191" s="5"/>
      <c r="N1191" s="5"/>
      <c r="P1191" s="5"/>
      <c r="R1191" s="9"/>
      <c r="S1191" s="9"/>
    </row>
    <row r="1192" spans="1:19" ht="12.5">
      <c r="A1192" s="5"/>
      <c r="B1192" s="5"/>
      <c r="C1192" s="5"/>
      <c r="D1192" s="5"/>
      <c r="E1192" s="5"/>
      <c r="F1192" s="5"/>
      <c r="G1192" s="5"/>
      <c r="H1192" s="5"/>
      <c r="K1192" s="23"/>
      <c r="L1192" s="5"/>
      <c r="M1192" s="5"/>
      <c r="N1192" s="5"/>
      <c r="P1192" s="5"/>
      <c r="R1192" s="9"/>
      <c r="S1192" s="9"/>
    </row>
    <row r="1193" spans="1:19" ht="12.5">
      <c r="A1193" s="5"/>
      <c r="B1193" s="5"/>
      <c r="C1193" s="5"/>
      <c r="D1193" s="5"/>
      <c r="E1193" s="5"/>
      <c r="F1193" s="5"/>
      <c r="G1193" s="5"/>
      <c r="H1193" s="5"/>
      <c r="K1193" s="23"/>
      <c r="L1193" s="5"/>
      <c r="M1193" s="5"/>
      <c r="N1193" s="5"/>
      <c r="P1193" s="5"/>
      <c r="R1193" s="9"/>
      <c r="S1193" s="9"/>
    </row>
    <row r="1194" spans="1:19" ht="12.5">
      <c r="A1194" s="5"/>
      <c r="B1194" s="5"/>
      <c r="C1194" s="5"/>
      <c r="D1194" s="5"/>
      <c r="E1194" s="5"/>
      <c r="F1194" s="5"/>
      <c r="G1194" s="5"/>
      <c r="H1194" s="5"/>
      <c r="K1194" s="23"/>
      <c r="L1194" s="5"/>
      <c r="M1194" s="5"/>
      <c r="N1194" s="5"/>
      <c r="P1194" s="5"/>
      <c r="R1194" s="9"/>
      <c r="S1194" s="9"/>
    </row>
    <row r="1195" spans="1:19" ht="12.5">
      <c r="A1195" s="5"/>
      <c r="B1195" s="5"/>
      <c r="C1195" s="5"/>
      <c r="D1195" s="5"/>
      <c r="E1195" s="5"/>
      <c r="F1195" s="5"/>
      <c r="G1195" s="5"/>
      <c r="H1195" s="5"/>
      <c r="K1195" s="23"/>
      <c r="L1195" s="5"/>
      <c r="M1195" s="5"/>
      <c r="N1195" s="5"/>
      <c r="P1195" s="5"/>
      <c r="R1195" s="9"/>
      <c r="S1195" s="9"/>
    </row>
    <row r="1196" spans="1:19" ht="12.5">
      <c r="A1196" s="5"/>
      <c r="B1196" s="5"/>
      <c r="C1196" s="5"/>
      <c r="D1196" s="5"/>
      <c r="E1196" s="5"/>
      <c r="F1196" s="5"/>
      <c r="G1196" s="5"/>
      <c r="H1196" s="5"/>
      <c r="K1196" s="23"/>
      <c r="L1196" s="5"/>
      <c r="M1196" s="5"/>
      <c r="N1196" s="5"/>
      <c r="P1196" s="5"/>
      <c r="R1196" s="9"/>
      <c r="S1196" s="9"/>
    </row>
    <row r="1197" spans="1:19" ht="12.5">
      <c r="A1197" s="5"/>
      <c r="B1197" s="5"/>
      <c r="C1197" s="5"/>
      <c r="D1197" s="5"/>
      <c r="E1197" s="5"/>
      <c r="F1197" s="5"/>
      <c r="G1197" s="5"/>
      <c r="H1197" s="5"/>
      <c r="K1197" s="23"/>
      <c r="L1197" s="5"/>
      <c r="M1197" s="5"/>
      <c r="N1197" s="5"/>
      <c r="P1197" s="5"/>
      <c r="R1197" s="9"/>
      <c r="S1197" s="9"/>
    </row>
    <row r="1198" spans="1:19" ht="12.5">
      <c r="A1198" s="5"/>
      <c r="B1198" s="5"/>
      <c r="C1198" s="5"/>
      <c r="D1198" s="5"/>
      <c r="E1198" s="5"/>
      <c r="F1198" s="5"/>
      <c r="G1198" s="5"/>
      <c r="H1198" s="5"/>
      <c r="K1198" s="23"/>
      <c r="L1198" s="5"/>
      <c r="M1198" s="5"/>
      <c r="N1198" s="5"/>
      <c r="P1198" s="5"/>
      <c r="R1198" s="9"/>
      <c r="S1198" s="9"/>
    </row>
    <row r="1199" spans="1:19" ht="12.5">
      <c r="A1199" s="5"/>
      <c r="B1199" s="5"/>
      <c r="C1199" s="5"/>
      <c r="D1199" s="5"/>
      <c r="E1199" s="5"/>
      <c r="F1199" s="5"/>
      <c r="G1199" s="5"/>
      <c r="H1199" s="5"/>
      <c r="K1199" s="23"/>
      <c r="L1199" s="5"/>
      <c r="M1199" s="5"/>
      <c r="N1199" s="5"/>
      <c r="P1199" s="5"/>
      <c r="R1199" s="9"/>
      <c r="S1199" s="9"/>
    </row>
    <row r="1200" spans="1:19" ht="12.5">
      <c r="A1200" s="5"/>
      <c r="B1200" s="5"/>
      <c r="C1200" s="5"/>
      <c r="D1200" s="5"/>
      <c r="E1200" s="5"/>
      <c r="F1200" s="5"/>
      <c r="G1200" s="5"/>
      <c r="H1200" s="5"/>
      <c r="K1200" s="23"/>
      <c r="L1200" s="5"/>
      <c r="M1200" s="5"/>
      <c r="N1200" s="5"/>
      <c r="P1200" s="5"/>
      <c r="R1200" s="9"/>
      <c r="S1200" s="9"/>
    </row>
    <row r="1201" spans="1:19" ht="12.5">
      <c r="A1201" s="5"/>
      <c r="B1201" s="5"/>
      <c r="C1201" s="5"/>
      <c r="D1201" s="5"/>
      <c r="E1201" s="5"/>
      <c r="F1201" s="5"/>
      <c r="G1201" s="5"/>
      <c r="H1201" s="5"/>
      <c r="K1201" s="23"/>
      <c r="L1201" s="5"/>
      <c r="M1201" s="5"/>
      <c r="N1201" s="5"/>
      <c r="P1201" s="5"/>
      <c r="R1201" s="9"/>
      <c r="S1201" s="9"/>
    </row>
    <row r="1202" spans="1:19" ht="12.5">
      <c r="A1202" s="5"/>
      <c r="B1202" s="5"/>
      <c r="C1202" s="5"/>
      <c r="D1202" s="5"/>
      <c r="E1202" s="5"/>
      <c r="F1202" s="5"/>
      <c r="G1202" s="5"/>
      <c r="H1202" s="5"/>
      <c r="K1202" s="23"/>
      <c r="L1202" s="5"/>
      <c r="M1202" s="5"/>
      <c r="N1202" s="5"/>
      <c r="P1202" s="5"/>
      <c r="R1202" s="9"/>
      <c r="S1202" s="9"/>
    </row>
    <row r="1203" spans="1:19" ht="12.5">
      <c r="A1203" s="5"/>
      <c r="B1203" s="5"/>
      <c r="C1203" s="5"/>
      <c r="D1203" s="5"/>
      <c r="E1203" s="5"/>
      <c r="F1203" s="5"/>
      <c r="G1203" s="5"/>
      <c r="H1203" s="5"/>
      <c r="K1203" s="23"/>
      <c r="L1203" s="5"/>
      <c r="M1203" s="5"/>
      <c r="N1203" s="5"/>
      <c r="P1203" s="5"/>
      <c r="R1203" s="9"/>
      <c r="S1203" s="9"/>
    </row>
    <row r="1204" spans="1:19" ht="12.5">
      <c r="A1204" s="5"/>
      <c r="B1204" s="5"/>
      <c r="C1204" s="5"/>
      <c r="D1204" s="5"/>
      <c r="E1204" s="5"/>
      <c r="F1204" s="5"/>
      <c r="G1204" s="5"/>
      <c r="H1204" s="5"/>
      <c r="K1204" s="23"/>
      <c r="L1204" s="5"/>
      <c r="M1204" s="5"/>
      <c r="N1204" s="5"/>
      <c r="P1204" s="5"/>
      <c r="R1204" s="9"/>
      <c r="S1204" s="9"/>
    </row>
    <row r="1205" spans="1:19" ht="12.5">
      <c r="A1205" s="5"/>
      <c r="B1205" s="5"/>
      <c r="C1205" s="5"/>
      <c r="D1205" s="5"/>
      <c r="E1205" s="5"/>
      <c r="F1205" s="5"/>
      <c r="G1205" s="5"/>
      <c r="H1205" s="5"/>
      <c r="K1205" s="23"/>
      <c r="L1205" s="5"/>
      <c r="M1205" s="5"/>
      <c r="N1205" s="5"/>
      <c r="P1205" s="5"/>
      <c r="R1205" s="9"/>
      <c r="S1205" s="9"/>
    </row>
    <row r="1206" spans="1:19" ht="12.5">
      <c r="A1206" s="5"/>
      <c r="B1206" s="5"/>
      <c r="C1206" s="5"/>
      <c r="D1206" s="5"/>
      <c r="E1206" s="5"/>
      <c r="F1206" s="5"/>
      <c r="G1206" s="5"/>
      <c r="H1206" s="5"/>
      <c r="K1206" s="23"/>
      <c r="L1206" s="5"/>
      <c r="M1206" s="5"/>
      <c r="N1206" s="5"/>
      <c r="P1206" s="5"/>
      <c r="R1206" s="9"/>
      <c r="S1206" s="9"/>
    </row>
    <row r="1207" spans="1:19" ht="12.5">
      <c r="A1207" s="5"/>
      <c r="B1207" s="5"/>
      <c r="C1207" s="5"/>
      <c r="D1207" s="5"/>
      <c r="E1207" s="5"/>
      <c r="F1207" s="5"/>
      <c r="G1207" s="5"/>
      <c r="H1207" s="5"/>
      <c r="K1207" s="23"/>
      <c r="L1207" s="5"/>
      <c r="M1207" s="5"/>
      <c r="N1207" s="5"/>
      <c r="P1207" s="5"/>
      <c r="R1207" s="9"/>
      <c r="S1207" s="9"/>
    </row>
    <row r="1208" spans="1:19" ht="12.5">
      <c r="A1208" s="5"/>
      <c r="B1208" s="5"/>
      <c r="C1208" s="5"/>
      <c r="D1208" s="5"/>
      <c r="E1208" s="5"/>
      <c r="F1208" s="5"/>
      <c r="G1208" s="5"/>
      <c r="H1208" s="5"/>
      <c r="K1208" s="23"/>
      <c r="L1208" s="5"/>
      <c r="M1208" s="5"/>
      <c r="N1208" s="5"/>
      <c r="P1208" s="5"/>
      <c r="R1208" s="9"/>
      <c r="S1208" s="9"/>
    </row>
    <row r="1209" spans="1:19" ht="12.5">
      <c r="A1209" s="5"/>
      <c r="B1209" s="5"/>
      <c r="C1209" s="5"/>
      <c r="D1209" s="5"/>
      <c r="E1209" s="5"/>
      <c r="F1209" s="5"/>
      <c r="G1209" s="5"/>
      <c r="H1209" s="5"/>
      <c r="K1209" s="23"/>
      <c r="L1209" s="5"/>
      <c r="M1209" s="5"/>
      <c r="N1209" s="5"/>
      <c r="P1209" s="5"/>
      <c r="R1209" s="9"/>
      <c r="S1209" s="9"/>
    </row>
    <row r="1210" spans="1:19" ht="12.5">
      <c r="A1210" s="5"/>
      <c r="B1210" s="5"/>
      <c r="C1210" s="5"/>
      <c r="D1210" s="5"/>
      <c r="E1210" s="5"/>
      <c r="F1210" s="5"/>
      <c r="G1210" s="5"/>
      <c r="H1210" s="5"/>
      <c r="K1210" s="23"/>
      <c r="L1210" s="5"/>
      <c r="M1210" s="5"/>
      <c r="N1210" s="5"/>
      <c r="P1210" s="5"/>
      <c r="R1210" s="9"/>
      <c r="S1210" s="9"/>
    </row>
    <row r="1211" spans="1:19" ht="12.5">
      <c r="A1211" s="5"/>
      <c r="B1211" s="5"/>
      <c r="C1211" s="5"/>
      <c r="D1211" s="5"/>
      <c r="E1211" s="5"/>
      <c r="F1211" s="5"/>
      <c r="G1211" s="5"/>
      <c r="H1211" s="5"/>
      <c r="K1211" s="23"/>
      <c r="L1211" s="5"/>
      <c r="M1211" s="5"/>
      <c r="N1211" s="5"/>
      <c r="P1211" s="5"/>
      <c r="R1211" s="9"/>
      <c r="S1211" s="9"/>
    </row>
    <row r="1212" spans="1:19" ht="12.5">
      <c r="A1212" s="5"/>
      <c r="B1212" s="5"/>
      <c r="C1212" s="5"/>
      <c r="D1212" s="5"/>
      <c r="E1212" s="5"/>
      <c r="F1212" s="5"/>
      <c r="G1212" s="5"/>
      <c r="H1212" s="5"/>
      <c r="K1212" s="23"/>
      <c r="L1212" s="5"/>
      <c r="M1212" s="5"/>
      <c r="N1212" s="5"/>
      <c r="P1212" s="5"/>
      <c r="R1212" s="9"/>
      <c r="S1212" s="9"/>
    </row>
    <row r="1213" spans="1:19" ht="12.5">
      <c r="A1213" s="5"/>
      <c r="B1213" s="5"/>
      <c r="C1213" s="5"/>
      <c r="D1213" s="5"/>
      <c r="E1213" s="5"/>
      <c r="F1213" s="5"/>
      <c r="G1213" s="5"/>
      <c r="H1213" s="5"/>
      <c r="K1213" s="23"/>
      <c r="L1213" s="5"/>
      <c r="M1213" s="5"/>
      <c r="N1213" s="5"/>
      <c r="P1213" s="5"/>
      <c r="R1213" s="9"/>
      <c r="S1213" s="9"/>
    </row>
    <row r="1214" spans="1:19" ht="12.5">
      <c r="A1214" s="5"/>
      <c r="B1214" s="5"/>
      <c r="C1214" s="5"/>
      <c r="D1214" s="5"/>
      <c r="E1214" s="5"/>
      <c r="F1214" s="5"/>
      <c r="G1214" s="5"/>
      <c r="H1214" s="5"/>
      <c r="K1214" s="23"/>
      <c r="L1214" s="5"/>
      <c r="M1214" s="5"/>
      <c r="N1214" s="5"/>
      <c r="P1214" s="5"/>
      <c r="R1214" s="9"/>
      <c r="S1214" s="9"/>
    </row>
    <row r="1215" spans="1:19" ht="12.5">
      <c r="A1215" s="5"/>
      <c r="B1215" s="5"/>
      <c r="C1215" s="5"/>
      <c r="D1215" s="5"/>
      <c r="E1215" s="5"/>
      <c r="F1215" s="5"/>
      <c r="G1215" s="5"/>
      <c r="H1215" s="5"/>
      <c r="K1215" s="23"/>
      <c r="L1215" s="5"/>
      <c r="M1215" s="5"/>
      <c r="N1215" s="5"/>
      <c r="P1215" s="5"/>
      <c r="R1215" s="9"/>
      <c r="S1215" s="9"/>
    </row>
    <row r="1216" spans="1:19" ht="12.5">
      <c r="A1216" s="5"/>
      <c r="B1216" s="5"/>
      <c r="C1216" s="5"/>
      <c r="D1216" s="5"/>
      <c r="E1216" s="5"/>
      <c r="F1216" s="5"/>
      <c r="G1216" s="5"/>
      <c r="H1216" s="5"/>
      <c r="K1216" s="23"/>
      <c r="L1216" s="5"/>
      <c r="M1216" s="5"/>
      <c r="N1216" s="5"/>
      <c r="P1216" s="5"/>
      <c r="R1216" s="9"/>
      <c r="S1216" s="9"/>
    </row>
    <row r="1217" spans="1:19" ht="12.5">
      <c r="A1217" s="5"/>
      <c r="B1217" s="5"/>
      <c r="C1217" s="5"/>
      <c r="D1217" s="5"/>
      <c r="E1217" s="5"/>
      <c r="F1217" s="5"/>
      <c r="G1217" s="5"/>
      <c r="H1217" s="5"/>
      <c r="K1217" s="23"/>
      <c r="L1217" s="5"/>
      <c r="M1217" s="5"/>
      <c r="N1217" s="5"/>
      <c r="P1217" s="5"/>
      <c r="R1217" s="9"/>
      <c r="S1217" s="9"/>
    </row>
    <row r="1218" spans="1:19" ht="12.5">
      <c r="A1218" s="5"/>
      <c r="B1218" s="5"/>
      <c r="C1218" s="5"/>
      <c r="D1218" s="5"/>
      <c r="E1218" s="5"/>
      <c r="F1218" s="5"/>
      <c r="G1218" s="5"/>
      <c r="H1218" s="5"/>
      <c r="K1218" s="23"/>
      <c r="L1218" s="5"/>
      <c r="M1218" s="5"/>
      <c r="N1218" s="5"/>
      <c r="P1218" s="5"/>
      <c r="R1218" s="9"/>
      <c r="S1218" s="9"/>
    </row>
    <row r="1219" spans="1:19" ht="12.5">
      <c r="A1219" s="5"/>
      <c r="B1219" s="5"/>
      <c r="C1219" s="5"/>
      <c r="D1219" s="5"/>
      <c r="E1219" s="5"/>
      <c r="F1219" s="5"/>
      <c r="G1219" s="5"/>
      <c r="H1219" s="5"/>
      <c r="K1219" s="23"/>
      <c r="L1219" s="5"/>
      <c r="M1219" s="5"/>
      <c r="N1219" s="5"/>
      <c r="P1219" s="5"/>
      <c r="R1219" s="9"/>
      <c r="S1219" s="9"/>
    </row>
    <row r="1220" spans="1:19" ht="12.5">
      <c r="A1220" s="5"/>
      <c r="B1220" s="5"/>
      <c r="C1220" s="5"/>
      <c r="D1220" s="5"/>
      <c r="E1220" s="5"/>
      <c r="F1220" s="5"/>
      <c r="G1220" s="5"/>
      <c r="H1220" s="5"/>
      <c r="K1220" s="23"/>
      <c r="L1220" s="5"/>
      <c r="M1220" s="5"/>
      <c r="N1220" s="5"/>
      <c r="P1220" s="5"/>
      <c r="R1220" s="9"/>
      <c r="S1220" s="9"/>
    </row>
    <row r="1221" spans="1:19" ht="12.5">
      <c r="A1221" s="5"/>
      <c r="B1221" s="5"/>
      <c r="C1221" s="5"/>
      <c r="D1221" s="5"/>
      <c r="E1221" s="5"/>
      <c r="F1221" s="5"/>
      <c r="G1221" s="5"/>
      <c r="H1221" s="5"/>
      <c r="K1221" s="23"/>
      <c r="L1221" s="5"/>
      <c r="M1221" s="5"/>
      <c r="N1221" s="5"/>
      <c r="P1221" s="5"/>
      <c r="R1221" s="9"/>
      <c r="S1221" s="9"/>
    </row>
    <row r="1222" spans="1:19" ht="12.5">
      <c r="A1222" s="5"/>
      <c r="B1222" s="5"/>
      <c r="C1222" s="5"/>
      <c r="D1222" s="5"/>
      <c r="E1222" s="5"/>
      <c r="F1222" s="5"/>
      <c r="G1222" s="5"/>
      <c r="H1222" s="5"/>
      <c r="K1222" s="23"/>
      <c r="L1222" s="5"/>
      <c r="M1222" s="5"/>
      <c r="N1222" s="5"/>
      <c r="P1222" s="5"/>
      <c r="R1222" s="9"/>
      <c r="S1222" s="9"/>
    </row>
    <row r="1223" spans="1:19" ht="12.5">
      <c r="A1223" s="5"/>
      <c r="B1223" s="5"/>
      <c r="C1223" s="5"/>
      <c r="D1223" s="5"/>
      <c r="E1223" s="5"/>
      <c r="F1223" s="5"/>
      <c r="G1223" s="5"/>
      <c r="H1223" s="5"/>
      <c r="K1223" s="23"/>
      <c r="L1223" s="5"/>
      <c r="M1223" s="5"/>
      <c r="N1223" s="5"/>
      <c r="P1223" s="5"/>
      <c r="R1223" s="9"/>
      <c r="S1223" s="9"/>
    </row>
    <row r="1224" spans="1:19" ht="12.5">
      <c r="A1224" s="5"/>
      <c r="B1224" s="5"/>
      <c r="C1224" s="5"/>
      <c r="D1224" s="5"/>
      <c r="E1224" s="5"/>
      <c r="F1224" s="5"/>
      <c r="G1224" s="5"/>
      <c r="H1224" s="5"/>
      <c r="K1224" s="23"/>
      <c r="L1224" s="5"/>
      <c r="M1224" s="5"/>
      <c r="N1224" s="5"/>
      <c r="P1224" s="5"/>
      <c r="R1224" s="9"/>
      <c r="S1224" s="9"/>
    </row>
    <row r="1225" spans="1:19" ht="12.5">
      <c r="A1225" s="5"/>
      <c r="B1225" s="5"/>
      <c r="C1225" s="5"/>
      <c r="D1225" s="5"/>
      <c r="E1225" s="5"/>
      <c r="F1225" s="5"/>
      <c r="G1225" s="5"/>
      <c r="H1225" s="5"/>
      <c r="K1225" s="23"/>
      <c r="L1225" s="5"/>
      <c r="M1225" s="5"/>
      <c r="N1225" s="5"/>
      <c r="P1225" s="5"/>
      <c r="R1225" s="9"/>
      <c r="S1225" s="9"/>
    </row>
    <row r="1226" spans="1:19" ht="12.5">
      <c r="A1226" s="5"/>
      <c r="B1226" s="5"/>
      <c r="C1226" s="5"/>
      <c r="D1226" s="5"/>
      <c r="E1226" s="5"/>
      <c r="F1226" s="5"/>
      <c r="G1226" s="5"/>
      <c r="H1226" s="5"/>
      <c r="K1226" s="23"/>
      <c r="L1226" s="5"/>
      <c r="M1226" s="5"/>
      <c r="N1226" s="5"/>
      <c r="P1226" s="5"/>
      <c r="R1226" s="9"/>
      <c r="S1226" s="9"/>
    </row>
    <row r="1227" spans="1:19" ht="12.5">
      <c r="A1227" s="5"/>
      <c r="B1227" s="5"/>
      <c r="C1227" s="5"/>
      <c r="D1227" s="5"/>
      <c r="E1227" s="5"/>
      <c r="F1227" s="5"/>
      <c r="G1227" s="5"/>
      <c r="H1227" s="5"/>
      <c r="K1227" s="23"/>
      <c r="L1227" s="5"/>
      <c r="M1227" s="5"/>
      <c r="N1227" s="5"/>
      <c r="P1227" s="5"/>
      <c r="R1227" s="9"/>
      <c r="S1227" s="9"/>
    </row>
    <row r="1228" spans="1:19" ht="12.5">
      <c r="A1228" s="5"/>
      <c r="B1228" s="5"/>
      <c r="C1228" s="5"/>
      <c r="D1228" s="5"/>
      <c r="E1228" s="5"/>
      <c r="F1228" s="5"/>
      <c r="G1228" s="5"/>
      <c r="H1228" s="5"/>
      <c r="K1228" s="23"/>
      <c r="L1228" s="5"/>
      <c r="M1228" s="5"/>
      <c r="N1228" s="5"/>
      <c r="P1228" s="5"/>
      <c r="R1228" s="9"/>
      <c r="S1228" s="9"/>
    </row>
    <row r="1229" spans="1:19" ht="12.5">
      <c r="A1229" s="5"/>
      <c r="B1229" s="5"/>
      <c r="C1229" s="5"/>
      <c r="D1229" s="5"/>
      <c r="E1229" s="5"/>
      <c r="F1229" s="5"/>
      <c r="G1229" s="5"/>
      <c r="H1229" s="5"/>
      <c r="K1229" s="23"/>
      <c r="L1229" s="5"/>
      <c r="M1229" s="5"/>
      <c r="N1229" s="5"/>
      <c r="P1229" s="5"/>
      <c r="R1229" s="9"/>
      <c r="S1229" s="9"/>
    </row>
    <row r="1230" spans="1:19" ht="12.5">
      <c r="A1230" s="5"/>
      <c r="B1230" s="5"/>
      <c r="C1230" s="5"/>
      <c r="D1230" s="5"/>
      <c r="E1230" s="5"/>
      <c r="F1230" s="5"/>
      <c r="G1230" s="5"/>
      <c r="H1230" s="5"/>
      <c r="K1230" s="23"/>
      <c r="L1230" s="5"/>
      <c r="M1230" s="5"/>
      <c r="N1230" s="5"/>
      <c r="P1230" s="5"/>
      <c r="R1230" s="9"/>
      <c r="S1230" s="9"/>
    </row>
    <row r="1231" spans="1:19" ht="12.5">
      <c r="A1231" s="5"/>
      <c r="B1231" s="5"/>
      <c r="C1231" s="5"/>
      <c r="D1231" s="5"/>
      <c r="E1231" s="5"/>
      <c r="F1231" s="5"/>
      <c r="G1231" s="5"/>
      <c r="H1231" s="5"/>
      <c r="K1231" s="23"/>
      <c r="L1231" s="5"/>
      <c r="M1231" s="5"/>
      <c r="N1231" s="5"/>
      <c r="P1231" s="5"/>
      <c r="R1231" s="9"/>
      <c r="S1231" s="9"/>
    </row>
    <row r="1232" spans="1:19" ht="12.5">
      <c r="A1232" s="5"/>
      <c r="B1232" s="5"/>
      <c r="C1232" s="5"/>
      <c r="D1232" s="5"/>
      <c r="E1232" s="5"/>
      <c r="F1232" s="5"/>
      <c r="G1232" s="5"/>
      <c r="H1232" s="5"/>
      <c r="K1232" s="23"/>
      <c r="L1232" s="5"/>
      <c r="M1232" s="5"/>
      <c r="N1232" s="5"/>
      <c r="P1232" s="5"/>
      <c r="R1232" s="9"/>
      <c r="S1232" s="9"/>
    </row>
    <row r="1233" spans="1:19" ht="12.5">
      <c r="A1233" s="5"/>
      <c r="B1233" s="5"/>
      <c r="C1233" s="5"/>
      <c r="D1233" s="5"/>
      <c r="E1233" s="5"/>
      <c r="F1233" s="5"/>
      <c r="G1233" s="5"/>
      <c r="H1233" s="5"/>
      <c r="K1233" s="23"/>
      <c r="L1233" s="5"/>
      <c r="M1233" s="5"/>
      <c r="N1233" s="5"/>
      <c r="P1233" s="5"/>
      <c r="R1233" s="9"/>
      <c r="S1233" s="9"/>
    </row>
    <row r="1234" spans="1:19" ht="12.5">
      <c r="A1234" s="5"/>
      <c r="B1234" s="5"/>
      <c r="C1234" s="5"/>
      <c r="D1234" s="5"/>
      <c r="E1234" s="5"/>
      <c r="F1234" s="5"/>
      <c r="G1234" s="5"/>
      <c r="H1234" s="5"/>
      <c r="K1234" s="23"/>
      <c r="L1234" s="5"/>
      <c r="M1234" s="5"/>
      <c r="N1234" s="5"/>
      <c r="P1234" s="5"/>
      <c r="R1234" s="9"/>
      <c r="S1234" s="9"/>
    </row>
    <row r="1235" spans="1:19" ht="12.5">
      <c r="A1235" s="5"/>
      <c r="B1235" s="5"/>
      <c r="C1235" s="5"/>
      <c r="D1235" s="5"/>
      <c r="E1235" s="5"/>
      <c r="F1235" s="5"/>
      <c r="G1235" s="5"/>
      <c r="H1235" s="5"/>
      <c r="K1235" s="23"/>
      <c r="L1235" s="5"/>
      <c r="M1235" s="5"/>
      <c r="N1235" s="5"/>
      <c r="P1235" s="5"/>
      <c r="R1235" s="9"/>
      <c r="S1235" s="9"/>
    </row>
    <row r="1236" spans="1:19" ht="12.5">
      <c r="A1236" s="5"/>
      <c r="B1236" s="5"/>
      <c r="C1236" s="5"/>
      <c r="D1236" s="5"/>
      <c r="E1236" s="5"/>
      <c r="F1236" s="5"/>
      <c r="G1236" s="5"/>
      <c r="H1236" s="5"/>
      <c r="K1236" s="23"/>
      <c r="L1236" s="5"/>
      <c r="M1236" s="5"/>
      <c r="N1236" s="5"/>
      <c r="P1236" s="5"/>
      <c r="R1236" s="9"/>
      <c r="S1236" s="9"/>
    </row>
    <row r="1237" spans="1:19" ht="12.5">
      <c r="A1237" s="5"/>
      <c r="B1237" s="5"/>
      <c r="C1237" s="5"/>
      <c r="D1237" s="5"/>
      <c r="E1237" s="5"/>
      <c r="F1237" s="5"/>
      <c r="G1237" s="5"/>
      <c r="H1237" s="5"/>
      <c r="K1237" s="23"/>
      <c r="L1237" s="5"/>
      <c r="M1237" s="5"/>
      <c r="N1237" s="5"/>
      <c r="P1237" s="5"/>
      <c r="R1237" s="9"/>
      <c r="S1237" s="9"/>
    </row>
    <row r="1238" spans="1:19" ht="12.5">
      <c r="A1238" s="5"/>
      <c r="B1238" s="5"/>
      <c r="C1238" s="5"/>
      <c r="D1238" s="5"/>
      <c r="E1238" s="5"/>
      <c r="F1238" s="5"/>
      <c r="G1238" s="5"/>
      <c r="H1238" s="5"/>
      <c r="K1238" s="23"/>
      <c r="L1238" s="5"/>
      <c r="M1238" s="5"/>
      <c r="N1238" s="5"/>
      <c r="P1238" s="5"/>
      <c r="R1238" s="9"/>
      <c r="S1238" s="9"/>
    </row>
    <row r="1239" spans="1:19" ht="12.5">
      <c r="A1239" s="5"/>
      <c r="B1239" s="5"/>
      <c r="C1239" s="5"/>
      <c r="D1239" s="5"/>
      <c r="E1239" s="5"/>
      <c r="F1239" s="5"/>
      <c r="G1239" s="5"/>
      <c r="H1239" s="5"/>
      <c r="K1239" s="23"/>
      <c r="L1239" s="5"/>
      <c r="M1239" s="5"/>
      <c r="N1239" s="5"/>
      <c r="P1239" s="5"/>
      <c r="R1239" s="9"/>
      <c r="S1239" s="9"/>
    </row>
    <row r="1240" spans="1:19" ht="12.5">
      <c r="A1240" s="5"/>
      <c r="B1240" s="5"/>
      <c r="C1240" s="5"/>
      <c r="D1240" s="5"/>
      <c r="E1240" s="5"/>
      <c r="F1240" s="5"/>
      <c r="G1240" s="5"/>
      <c r="H1240" s="5"/>
      <c r="K1240" s="23"/>
      <c r="L1240" s="5"/>
      <c r="M1240" s="5"/>
      <c r="N1240" s="5"/>
      <c r="P1240" s="5"/>
      <c r="R1240" s="9"/>
      <c r="S1240" s="9"/>
    </row>
    <row r="1241" spans="1:19" ht="12.5">
      <c r="A1241" s="5"/>
      <c r="B1241" s="5"/>
      <c r="C1241" s="5"/>
      <c r="D1241" s="5"/>
      <c r="E1241" s="5"/>
      <c r="F1241" s="5"/>
      <c r="G1241" s="5"/>
      <c r="H1241" s="5"/>
      <c r="K1241" s="23"/>
      <c r="L1241" s="5"/>
      <c r="M1241" s="5"/>
      <c r="N1241" s="5"/>
      <c r="P1241" s="5"/>
      <c r="R1241" s="9"/>
      <c r="S1241" s="9"/>
    </row>
    <row r="1242" spans="1:19" ht="12.5">
      <c r="A1242" s="5"/>
      <c r="B1242" s="5"/>
      <c r="C1242" s="5"/>
      <c r="D1242" s="5"/>
      <c r="E1242" s="5"/>
      <c r="F1242" s="5"/>
      <c r="G1242" s="5"/>
      <c r="H1242" s="5"/>
      <c r="K1242" s="23"/>
      <c r="L1242" s="5"/>
      <c r="M1242" s="5"/>
      <c r="N1242" s="5"/>
      <c r="P1242" s="5"/>
      <c r="R1242" s="9"/>
      <c r="S1242" s="9"/>
    </row>
    <row r="1243" spans="1:19" ht="12.5">
      <c r="A1243" s="5"/>
      <c r="B1243" s="5"/>
      <c r="C1243" s="5"/>
      <c r="D1243" s="5"/>
      <c r="E1243" s="5"/>
      <c r="F1243" s="5"/>
      <c r="G1243" s="5"/>
      <c r="H1243" s="5"/>
      <c r="K1243" s="23"/>
      <c r="L1243" s="5"/>
      <c r="M1243" s="5"/>
      <c r="N1243" s="5"/>
      <c r="P1243" s="5"/>
      <c r="R1243" s="9"/>
      <c r="S1243" s="9"/>
    </row>
    <row r="1244" spans="1:19" ht="12.5">
      <c r="A1244" s="5"/>
      <c r="B1244" s="5"/>
      <c r="C1244" s="5"/>
      <c r="D1244" s="5"/>
      <c r="E1244" s="5"/>
      <c r="F1244" s="5"/>
      <c r="G1244" s="5"/>
      <c r="H1244" s="5"/>
      <c r="K1244" s="23"/>
      <c r="L1244" s="5"/>
      <c r="M1244" s="5"/>
      <c r="N1244" s="5"/>
      <c r="P1244" s="5"/>
      <c r="R1244" s="9"/>
      <c r="S1244" s="9"/>
    </row>
    <row r="1245" spans="1:19" ht="12.5">
      <c r="A1245" s="5"/>
      <c r="B1245" s="5"/>
      <c r="C1245" s="5"/>
      <c r="D1245" s="5"/>
      <c r="E1245" s="5"/>
      <c r="F1245" s="5"/>
      <c r="G1245" s="5"/>
      <c r="H1245" s="5"/>
      <c r="K1245" s="23"/>
      <c r="L1245" s="5"/>
      <c r="M1245" s="5"/>
      <c r="N1245" s="5"/>
      <c r="P1245" s="5"/>
      <c r="R1245" s="9"/>
      <c r="S1245" s="9"/>
    </row>
    <row r="1246" spans="1:19" ht="12.5">
      <c r="A1246" s="5"/>
      <c r="B1246" s="5"/>
      <c r="C1246" s="5"/>
      <c r="D1246" s="5"/>
      <c r="E1246" s="5"/>
      <c r="F1246" s="5"/>
      <c r="G1246" s="5"/>
      <c r="H1246" s="5"/>
      <c r="K1246" s="23"/>
      <c r="L1246" s="5"/>
      <c r="M1246" s="5"/>
      <c r="N1246" s="5"/>
      <c r="P1246" s="5"/>
      <c r="R1246" s="9"/>
      <c r="S1246" s="9"/>
    </row>
    <row r="1247" spans="1:19" ht="12.5">
      <c r="A1247" s="5"/>
      <c r="B1247" s="5"/>
      <c r="C1247" s="5"/>
      <c r="D1247" s="5"/>
      <c r="E1247" s="5"/>
      <c r="F1247" s="5"/>
      <c r="G1247" s="5"/>
      <c r="H1247" s="5"/>
      <c r="K1247" s="23"/>
      <c r="L1247" s="5"/>
      <c r="M1247" s="5"/>
      <c r="N1247" s="5"/>
      <c r="P1247" s="5"/>
      <c r="R1247" s="9"/>
      <c r="S1247" s="9"/>
    </row>
    <row r="1248" spans="1:19" ht="12.5">
      <c r="A1248" s="5"/>
      <c r="B1248" s="5"/>
      <c r="C1248" s="5"/>
      <c r="D1248" s="5"/>
      <c r="E1248" s="5"/>
      <c r="F1248" s="5"/>
      <c r="G1248" s="5"/>
      <c r="H1248" s="5"/>
      <c r="K1248" s="23"/>
      <c r="L1248" s="5"/>
      <c r="M1248" s="5"/>
      <c r="N1248" s="5"/>
      <c r="P1248" s="5"/>
      <c r="R1248" s="9"/>
      <c r="S1248" s="9"/>
    </row>
    <row r="1249" spans="1:19" ht="12.5">
      <c r="A1249" s="5"/>
      <c r="B1249" s="5"/>
      <c r="C1249" s="5"/>
      <c r="D1249" s="5"/>
      <c r="E1249" s="5"/>
      <c r="F1249" s="5"/>
      <c r="G1249" s="5"/>
      <c r="H1249" s="5"/>
      <c r="K1249" s="23"/>
      <c r="L1249" s="5"/>
      <c r="M1249" s="5"/>
      <c r="N1249" s="5"/>
      <c r="P1249" s="5"/>
      <c r="R1249" s="9"/>
      <c r="S1249" s="9"/>
    </row>
    <row r="1250" spans="1:19" ht="12.5">
      <c r="A1250" s="5"/>
      <c r="B1250" s="5"/>
      <c r="C1250" s="5"/>
      <c r="D1250" s="5"/>
      <c r="E1250" s="5"/>
      <c r="F1250" s="5"/>
      <c r="G1250" s="5"/>
      <c r="H1250" s="5"/>
      <c r="K1250" s="23"/>
      <c r="L1250" s="5"/>
      <c r="M1250" s="5"/>
      <c r="N1250" s="5"/>
      <c r="P1250" s="5"/>
      <c r="R1250" s="9"/>
      <c r="S1250" s="9"/>
    </row>
    <row r="1251" spans="1:19" ht="12.5">
      <c r="A1251" s="5"/>
      <c r="B1251" s="5"/>
      <c r="C1251" s="5"/>
      <c r="D1251" s="5"/>
      <c r="E1251" s="5"/>
      <c r="F1251" s="5"/>
      <c r="G1251" s="5"/>
      <c r="H1251" s="5"/>
      <c r="K1251" s="23"/>
      <c r="L1251" s="5"/>
      <c r="M1251" s="5"/>
      <c r="N1251" s="5"/>
      <c r="P1251" s="5"/>
      <c r="R1251" s="9"/>
      <c r="S1251" s="9"/>
    </row>
    <row r="1252" spans="1:19" ht="12.5">
      <c r="A1252" s="5"/>
      <c r="B1252" s="5"/>
      <c r="C1252" s="5"/>
      <c r="D1252" s="5"/>
      <c r="E1252" s="5"/>
      <c r="F1252" s="5"/>
      <c r="G1252" s="5"/>
      <c r="H1252" s="5"/>
      <c r="K1252" s="23"/>
      <c r="L1252" s="5"/>
      <c r="M1252" s="5"/>
      <c r="N1252" s="5"/>
      <c r="P1252" s="5"/>
      <c r="R1252" s="9"/>
      <c r="S1252" s="9"/>
    </row>
    <row r="1253" spans="1:19" ht="12.5">
      <c r="A1253" s="5"/>
      <c r="B1253" s="5"/>
      <c r="C1253" s="5"/>
      <c r="D1253" s="5"/>
      <c r="E1253" s="5"/>
      <c r="F1253" s="5"/>
      <c r="G1253" s="5"/>
      <c r="H1253" s="5"/>
      <c r="K1253" s="23"/>
      <c r="L1253" s="5"/>
      <c r="M1253" s="5"/>
      <c r="N1253" s="5"/>
      <c r="P1253" s="5"/>
      <c r="R1253" s="9"/>
      <c r="S1253" s="9"/>
    </row>
    <row r="1254" spans="1:19" ht="12.5">
      <c r="A1254" s="5"/>
      <c r="B1254" s="5"/>
      <c r="C1254" s="5"/>
      <c r="D1254" s="5"/>
      <c r="E1254" s="5"/>
      <c r="F1254" s="5"/>
      <c r="G1254" s="5"/>
      <c r="H1254" s="5"/>
      <c r="K1254" s="23"/>
      <c r="L1254" s="5"/>
      <c r="M1254" s="5"/>
      <c r="N1254" s="5"/>
      <c r="P1254" s="5"/>
      <c r="R1254" s="9"/>
      <c r="S1254" s="9"/>
    </row>
    <row r="1255" spans="1:19" ht="12.5">
      <c r="A1255" s="5"/>
      <c r="B1255" s="5"/>
      <c r="C1255" s="5"/>
      <c r="D1255" s="5"/>
      <c r="E1255" s="5"/>
      <c r="F1255" s="5"/>
      <c r="G1255" s="5"/>
      <c r="H1255" s="5"/>
      <c r="K1255" s="23"/>
      <c r="L1255" s="5"/>
      <c r="M1255" s="5"/>
      <c r="N1255" s="5"/>
      <c r="P1255" s="5"/>
      <c r="R1255" s="9"/>
      <c r="S1255" s="9"/>
    </row>
    <row r="1256" spans="1:19" ht="12.5">
      <c r="A1256" s="5"/>
      <c r="B1256" s="5"/>
      <c r="C1256" s="5"/>
      <c r="D1256" s="5"/>
      <c r="E1256" s="5"/>
      <c r="F1256" s="5"/>
      <c r="G1256" s="5"/>
      <c r="H1256" s="5"/>
      <c r="K1256" s="23"/>
      <c r="L1256" s="5"/>
      <c r="M1256" s="5"/>
      <c r="N1256" s="5"/>
      <c r="P1256" s="5"/>
      <c r="R1256" s="9"/>
      <c r="S1256" s="9"/>
    </row>
    <row r="1257" spans="1:19" ht="12.5">
      <c r="A1257" s="5"/>
      <c r="B1257" s="5"/>
      <c r="C1257" s="5"/>
      <c r="D1257" s="5"/>
      <c r="E1257" s="5"/>
      <c r="F1257" s="5"/>
      <c r="G1257" s="5"/>
      <c r="H1257" s="5"/>
      <c r="K1257" s="23"/>
      <c r="L1257" s="5"/>
      <c r="M1257" s="5"/>
      <c r="N1257" s="5"/>
      <c r="P1257" s="5"/>
      <c r="R1257" s="9"/>
      <c r="S1257" s="9"/>
    </row>
    <row r="1258" spans="1:19" ht="12.5">
      <c r="A1258" s="5"/>
      <c r="B1258" s="5"/>
      <c r="C1258" s="5"/>
      <c r="D1258" s="5"/>
      <c r="E1258" s="5"/>
      <c r="F1258" s="5"/>
      <c r="G1258" s="5"/>
      <c r="H1258" s="5"/>
      <c r="K1258" s="23"/>
      <c r="L1258" s="5"/>
      <c r="M1258" s="5"/>
      <c r="N1258" s="5"/>
      <c r="P1258" s="5"/>
      <c r="R1258" s="9"/>
      <c r="S1258" s="9"/>
    </row>
    <row r="1259" spans="1:19" ht="12.5">
      <c r="A1259" s="5"/>
      <c r="B1259" s="5"/>
      <c r="C1259" s="5"/>
      <c r="D1259" s="5"/>
      <c r="E1259" s="5"/>
      <c r="F1259" s="5"/>
      <c r="G1259" s="5"/>
      <c r="H1259" s="5"/>
      <c r="K1259" s="23"/>
      <c r="L1259" s="5"/>
      <c r="M1259" s="5"/>
      <c r="N1259" s="5"/>
      <c r="P1259" s="5"/>
      <c r="R1259" s="9"/>
      <c r="S1259" s="9"/>
    </row>
    <row r="1260" spans="1:19" ht="12.5">
      <c r="A1260" s="5"/>
      <c r="B1260" s="5"/>
      <c r="C1260" s="5"/>
      <c r="D1260" s="5"/>
      <c r="E1260" s="5"/>
      <c r="F1260" s="5"/>
      <c r="G1260" s="5"/>
      <c r="H1260" s="5"/>
      <c r="K1260" s="23"/>
      <c r="L1260" s="5"/>
      <c r="M1260" s="5"/>
      <c r="N1260" s="5"/>
      <c r="P1260" s="5"/>
      <c r="R1260" s="9"/>
      <c r="S1260" s="9"/>
    </row>
    <row r="1261" spans="1:19" ht="12.5">
      <c r="A1261" s="5"/>
      <c r="B1261" s="5"/>
      <c r="C1261" s="5"/>
      <c r="D1261" s="5"/>
      <c r="E1261" s="5"/>
      <c r="F1261" s="5"/>
      <c r="G1261" s="5"/>
      <c r="H1261" s="5"/>
      <c r="K1261" s="23"/>
      <c r="L1261" s="5"/>
      <c r="M1261" s="5"/>
      <c r="N1261" s="5"/>
      <c r="P1261" s="5"/>
      <c r="R1261" s="9"/>
      <c r="S1261" s="9"/>
    </row>
    <row r="1262" spans="1:19" ht="12.5">
      <c r="A1262" s="5"/>
      <c r="B1262" s="5"/>
      <c r="C1262" s="5"/>
      <c r="D1262" s="5"/>
      <c r="E1262" s="5"/>
      <c r="F1262" s="5"/>
      <c r="G1262" s="5"/>
      <c r="H1262" s="5"/>
      <c r="K1262" s="23"/>
      <c r="L1262" s="5"/>
      <c r="M1262" s="5"/>
      <c r="N1262" s="5"/>
      <c r="P1262" s="5"/>
      <c r="R1262" s="9"/>
      <c r="S1262" s="9"/>
    </row>
    <row r="1263" spans="1:19" ht="12.5">
      <c r="A1263" s="5"/>
      <c r="B1263" s="5"/>
      <c r="C1263" s="5"/>
      <c r="D1263" s="5"/>
      <c r="E1263" s="5"/>
      <c r="F1263" s="5"/>
      <c r="G1263" s="5"/>
      <c r="H1263" s="5"/>
      <c r="K1263" s="23"/>
      <c r="L1263" s="5"/>
      <c r="M1263" s="5"/>
      <c r="N1263" s="5"/>
      <c r="P1263" s="5"/>
      <c r="R1263" s="9"/>
      <c r="S1263" s="9"/>
    </row>
    <row r="1264" spans="1:19" ht="12.5">
      <c r="A1264" s="5"/>
      <c r="B1264" s="5"/>
      <c r="C1264" s="5"/>
      <c r="D1264" s="5"/>
      <c r="E1264" s="5"/>
      <c r="F1264" s="5"/>
      <c r="G1264" s="5"/>
      <c r="H1264" s="5"/>
      <c r="K1264" s="23"/>
      <c r="L1264" s="5"/>
      <c r="M1264" s="5"/>
      <c r="N1264" s="5"/>
      <c r="P1264" s="5"/>
      <c r="R1264" s="9"/>
      <c r="S1264" s="9"/>
    </row>
    <row r="1265" spans="1:19" ht="12.5">
      <c r="A1265" s="5"/>
      <c r="B1265" s="5"/>
      <c r="C1265" s="5"/>
      <c r="D1265" s="5"/>
      <c r="E1265" s="5"/>
      <c r="F1265" s="5"/>
      <c r="G1265" s="5"/>
      <c r="H1265" s="5"/>
      <c r="K1265" s="23"/>
      <c r="L1265" s="5"/>
      <c r="M1265" s="5"/>
      <c r="N1265" s="5"/>
      <c r="P1265" s="5"/>
      <c r="R1265" s="9"/>
      <c r="S1265" s="9"/>
    </row>
    <row r="1266" spans="1:19" ht="12.5">
      <c r="A1266" s="5"/>
      <c r="B1266" s="5"/>
      <c r="C1266" s="5"/>
      <c r="D1266" s="5"/>
      <c r="E1266" s="5"/>
      <c r="F1266" s="5"/>
      <c r="G1266" s="5"/>
      <c r="H1266" s="5"/>
      <c r="K1266" s="23"/>
      <c r="L1266" s="5"/>
      <c r="M1266" s="5"/>
      <c r="N1266" s="5"/>
      <c r="P1266" s="5"/>
      <c r="R1266" s="9"/>
      <c r="S1266" s="9"/>
    </row>
    <row r="1267" spans="1:19" ht="12.5">
      <c r="A1267" s="5"/>
      <c r="B1267" s="5"/>
      <c r="C1267" s="5"/>
      <c r="D1267" s="5"/>
      <c r="E1267" s="5"/>
      <c r="F1267" s="5"/>
      <c r="G1267" s="5"/>
      <c r="H1267" s="5"/>
      <c r="K1267" s="23"/>
      <c r="L1267" s="5"/>
      <c r="M1267" s="5"/>
      <c r="N1267" s="5"/>
      <c r="P1267" s="5"/>
      <c r="R1267" s="9"/>
      <c r="S1267" s="9"/>
    </row>
    <row r="1268" spans="1:19" ht="12.5">
      <c r="A1268" s="5"/>
      <c r="B1268" s="5"/>
      <c r="C1268" s="5"/>
      <c r="D1268" s="5"/>
      <c r="E1268" s="5"/>
      <c r="F1268" s="5"/>
      <c r="G1268" s="5"/>
      <c r="H1268" s="5"/>
      <c r="K1268" s="23"/>
      <c r="L1268" s="5"/>
      <c r="M1268" s="5"/>
      <c r="N1268" s="5"/>
      <c r="P1268" s="5"/>
      <c r="R1268" s="9"/>
      <c r="S1268" s="9"/>
    </row>
    <row r="1269" spans="1:19" ht="12.5">
      <c r="A1269" s="5"/>
      <c r="B1269" s="5"/>
      <c r="C1269" s="5"/>
      <c r="D1269" s="5"/>
      <c r="E1269" s="5"/>
      <c r="F1269" s="5"/>
      <c r="G1269" s="5"/>
      <c r="H1269" s="5"/>
      <c r="K1269" s="23"/>
      <c r="L1269" s="5"/>
      <c r="M1269" s="5"/>
      <c r="N1269" s="5"/>
      <c r="P1269" s="5"/>
      <c r="R1269" s="9"/>
      <c r="S1269" s="9"/>
    </row>
    <row r="1270" spans="1:19" ht="12.5">
      <c r="A1270" s="5"/>
      <c r="B1270" s="5"/>
      <c r="C1270" s="5"/>
      <c r="D1270" s="5"/>
      <c r="E1270" s="5"/>
      <c r="F1270" s="5"/>
      <c r="G1270" s="5"/>
      <c r="H1270" s="5"/>
      <c r="K1270" s="23"/>
      <c r="L1270" s="5"/>
      <c r="M1270" s="5"/>
      <c r="N1270" s="5"/>
      <c r="P1270" s="5"/>
      <c r="R1270" s="9"/>
      <c r="S1270" s="9"/>
    </row>
    <row r="1271" spans="1:19" ht="12.5">
      <c r="A1271" s="5"/>
      <c r="B1271" s="5"/>
      <c r="C1271" s="5"/>
      <c r="D1271" s="5"/>
      <c r="E1271" s="5"/>
      <c r="F1271" s="5"/>
      <c r="G1271" s="5"/>
      <c r="H1271" s="5"/>
      <c r="K1271" s="23"/>
      <c r="L1271" s="5"/>
      <c r="M1271" s="5"/>
      <c r="N1271" s="5"/>
      <c r="P1271" s="5"/>
      <c r="R1271" s="9"/>
      <c r="S1271" s="9"/>
    </row>
    <row r="1272" spans="1:19" ht="12.5">
      <c r="A1272" s="5"/>
      <c r="B1272" s="5"/>
      <c r="C1272" s="5"/>
      <c r="D1272" s="5"/>
      <c r="E1272" s="5"/>
      <c r="F1272" s="5"/>
      <c r="G1272" s="5"/>
      <c r="H1272" s="5"/>
      <c r="K1272" s="23"/>
      <c r="L1272" s="5"/>
      <c r="M1272" s="5"/>
      <c r="N1272" s="5"/>
      <c r="P1272" s="5"/>
      <c r="R1272" s="9"/>
      <c r="S1272" s="9"/>
    </row>
    <row r="1273" spans="1:19" ht="12.5">
      <c r="A1273" s="5"/>
      <c r="B1273" s="5"/>
      <c r="C1273" s="5"/>
      <c r="D1273" s="5"/>
      <c r="E1273" s="5"/>
      <c r="F1273" s="5"/>
      <c r="G1273" s="5"/>
      <c r="H1273" s="5"/>
      <c r="K1273" s="23"/>
      <c r="L1273" s="5"/>
      <c r="M1273" s="5"/>
      <c r="N1273" s="5"/>
      <c r="P1273" s="5"/>
      <c r="R1273" s="9"/>
      <c r="S1273" s="9"/>
    </row>
    <row r="1274" spans="1:19" ht="12.5">
      <c r="A1274" s="5"/>
      <c r="B1274" s="5"/>
      <c r="C1274" s="5"/>
      <c r="D1274" s="5"/>
      <c r="E1274" s="5"/>
      <c r="F1274" s="5"/>
      <c r="G1274" s="5"/>
      <c r="H1274" s="5"/>
      <c r="K1274" s="23"/>
      <c r="L1274" s="5"/>
      <c r="M1274" s="5"/>
      <c r="N1274" s="5"/>
      <c r="P1274" s="5"/>
      <c r="R1274" s="9"/>
      <c r="S1274" s="9"/>
    </row>
    <row r="1275" spans="1:19" ht="12.5">
      <c r="A1275" s="5"/>
      <c r="B1275" s="5"/>
      <c r="C1275" s="5"/>
      <c r="D1275" s="5"/>
      <c r="E1275" s="5"/>
      <c r="F1275" s="5"/>
      <c r="G1275" s="5"/>
      <c r="H1275" s="5"/>
      <c r="K1275" s="23"/>
      <c r="L1275" s="5"/>
      <c r="M1275" s="5"/>
      <c r="N1275" s="5"/>
      <c r="P1275" s="5"/>
      <c r="R1275" s="9"/>
      <c r="S1275" s="9"/>
    </row>
    <row r="1276" spans="1:19" ht="12.5">
      <c r="A1276" s="5"/>
      <c r="B1276" s="5"/>
      <c r="C1276" s="5"/>
      <c r="D1276" s="5"/>
      <c r="E1276" s="5"/>
      <c r="F1276" s="5"/>
      <c r="G1276" s="5"/>
      <c r="H1276" s="5"/>
      <c r="K1276" s="23"/>
      <c r="L1276" s="5"/>
      <c r="M1276" s="5"/>
      <c r="N1276" s="5"/>
      <c r="P1276" s="5"/>
      <c r="R1276" s="9"/>
      <c r="S1276" s="9"/>
    </row>
    <row r="1277" spans="1:19" ht="12.5">
      <c r="A1277" s="5"/>
      <c r="B1277" s="5"/>
      <c r="C1277" s="5"/>
      <c r="D1277" s="5"/>
      <c r="E1277" s="5"/>
      <c r="F1277" s="5"/>
      <c r="G1277" s="5"/>
      <c r="H1277" s="5"/>
      <c r="K1277" s="23"/>
      <c r="L1277" s="5"/>
      <c r="M1277" s="5"/>
      <c r="N1277" s="5"/>
      <c r="P1277" s="5"/>
      <c r="R1277" s="9"/>
      <c r="S1277" s="9"/>
    </row>
    <row r="1278" spans="1:19" ht="12.5">
      <c r="A1278" s="5"/>
      <c r="B1278" s="5"/>
      <c r="C1278" s="5"/>
      <c r="D1278" s="5"/>
      <c r="E1278" s="5"/>
      <c r="F1278" s="5"/>
      <c r="G1278" s="5"/>
      <c r="H1278" s="5"/>
      <c r="K1278" s="23"/>
      <c r="L1278" s="5"/>
      <c r="M1278" s="5"/>
      <c r="N1278" s="5"/>
      <c r="P1278" s="5"/>
      <c r="R1278" s="9"/>
      <c r="S1278" s="9"/>
    </row>
    <row r="1279" spans="1:19" ht="12.5">
      <c r="A1279" s="5"/>
      <c r="B1279" s="5"/>
      <c r="C1279" s="5"/>
      <c r="D1279" s="5"/>
      <c r="E1279" s="5"/>
      <c r="F1279" s="5"/>
      <c r="G1279" s="5"/>
      <c r="H1279" s="5"/>
      <c r="K1279" s="23"/>
      <c r="L1279" s="5"/>
      <c r="M1279" s="5"/>
      <c r="N1279" s="5"/>
      <c r="P1279" s="5"/>
      <c r="R1279" s="9"/>
      <c r="S1279" s="9"/>
    </row>
    <row r="1280" spans="1:19" ht="12.5">
      <c r="A1280" s="5"/>
      <c r="B1280" s="5"/>
      <c r="C1280" s="5"/>
      <c r="D1280" s="5"/>
      <c r="E1280" s="5"/>
      <c r="F1280" s="5"/>
      <c r="G1280" s="5"/>
      <c r="H1280" s="5"/>
      <c r="K1280" s="23"/>
      <c r="L1280" s="5"/>
      <c r="M1280" s="5"/>
      <c r="N1280" s="5"/>
      <c r="P1280" s="5"/>
      <c r="R1280" s="9"/>
      <c r="S1280" s="9"/>
    </row>
    <row r="1281" spans="1:19" ht="12.5">
      <c r="A1281" s="5"/>
      <c r="B1281" s="5"/>
      <c r="C1281" s="5"/>
      <c r="D1281" s="5"/>
      <c r="E1281" s="5"/>
      <c r="F1281" s="5"/>
      <c r="G1281" s="5"/>
      <c r="H1281" s="5"/>
      <c r="K1281" s="23"/>
      <c r="L1281" s="5"/>
      <c r="M1281" s="5"/>
      <c r="N1281" s="5"/>
      <c r="P1281" s="5"/>
      <c r="R1281" s="9"/>
      <c r="S1281" s="9"/>
    </row>
    <row r="1282" spans="1:19" ht="12.5">
      <c r="A1282" s="5"/>
      <c r="B1282" s="5"/>
      <c r="C1282" s="5"/>
      <c r="D1282" s="5"/>
      <c r="E1282" s="5"/>
      <c r="F1282" s="5"/>
      <c r="G1282" s="5"/>
      <c r="H1282" s="5"/>
      <c r="K1282" s="23"/>
      <c r="L1282" s="5"/>
      <c r="M1282" s="5"/>
      <c r="N1282" s="5"/>
      <c r="P1282" s="5"/>
      <c r="R1282" s="9"/>
      <c r="S1282" s="9"/>
    </row>
    <row r="1283" spans="1:19" ht="12.5">
      <c r="A1283" s="5"/>
      <c r="B1283" s="5"/>
      <c r="C1283" s="5"/>
      <c r="D1283" s="5"/>
      <c r="E1283" s="5"/>
      <c r="F1283" s="5"/>
      <c r="G1283" s="5"/>
      <c r="H1283" s="5"/>
      <c r="K1283" s="23"/>
      <c r="L1283" s="5"/>
      <c r="M1283" s="5"/>
      <c r="N1283" s="5"/>
      <c r="P1283" s="5"/>
      <c r="R1283" s="9"/>
      <c r="S1283" s="9"/>
    </row>
    <row r="1284" spans="1:19" ht="12.5">
      <c r="A1284" s="5"/>
      <c r="B1284" s="5"/>
      <c r="C1284" s="5"/>
      <c r="D1284" s="5"/>
      <c r="E1284" s="5"/>
      <c r="F1284" s="5"/>
      <c r="G1284" s="5"/>
      <c r="H1284" s="5"/>
      <c r="K1284" s="23"/>
      <c r="L1284" s="5"/>
      <c r="M1284" s="5"/>
      <c r="N1284" s="5"/>
      <c r="P1284" s="5"/>
      <c r="R1284" s="9"/>
      <c r="S1284" s="9"/>
    </row>
    <row r="1285" spans="1:19" ht="12.5">
      <c r="A1285" s="5"/>
      <c r="B1285" s="5"/>
      <c r="C1285" s="5"/>
      <c r="D1285" s="5"/>
      <c r="E1285" s="5"/>
      <c r="F1285" s="5"/>
      <c r="G1285" s="5"/>
      <c r="H1285" s="5"/>
      <c r="K1285" s="23"/>
      <c r="L1285" s="5"/>
      <c r="M1285" s="5"/>
      <c r="N1285" s="5"/>
      <c r="P1285" s="5"/>
      <c r="R1285" s="9"/>
      <c r="S1285" s="9"/>
    </row>
    <row r="1286" spans="1:19" ht="12.5">
      <c r="A1286" s="5"/>
      <c r="B1286" s="5"/>
      <c r="C1286" s="5"/>
      <c r="D1286" s="5"/>
      <c r="E1286" s="5"/>
      <c r="F1286" s="5"/>
      <c r="G1286" s="5"/>
      <c r="H1286" s="5"/>
      <c r="K1286" s="23"/>
      <c r="L1286" s="5"/>
      <c r="M1286" s="5"/>
      <c r="N1286" s="5"/>
      <c r="P1286" s="5"/>
      <c r="R1286" s="9"/>
      <c r="S1286" s="9"/>
    </row>
    <row r="1287" spans="1:19" ht="12.5">
      <c r="A1287" s="5"/>
      <c r="B1287" s="5"/>
      <c r="C1287" s="5"/>
      <c r="D1287" s="5"/>
      <c r="E1287" s="5"/>
      <c r="F1287" s="5"/>
      <c r="G1287" s="5"/>
      <c r="H1287" s="5"/>
      <c r="K1287" s="23"/>
      <c r="L1287" s="5"/>
      <c r="M1287" s="5"/>
      <c r="N1287" s="5"/>
      <c r="P1287" s="5"/>
      <c r="R1287" s="9"/>
      <c r="S1287" s="9"/>
    </row>
    <row r="1288" spans="1:19" ht="12.5">
      <c r="A1288" s="5"/>
      <c r="B1288" s="5"/>
      <c r="C1288" s="5"/>
      <c r="D1288" s="5"/>
      <c r="E1288" s="5"/>
      <c r="F1288" s="5"/>
      <c r="G1288" s="5"/>
      <c r="H1288" s="5"/>
      <c r="K1288" s="23"/>
      <c r="L1288" s="5"/>
      <c r="M1288" s="5"/>
      <c r="N1288" s="5"/>
      <c r="P1288" s="5"/>
      <c r="R1288" s="9"/>
      <c r="S1288" s="9"/>
    </row>
    <row r="1289" spans="1:19" ht="12.5">
      <c r="A1289" s="5"/>
      <c r="B1289" s="5"/>
      <c r="C1289" s="5"/>
      <c r="D1289" s="5"/>
      <c r="E1289" s="5"/>
      <c r="F1289" s="5"/>
      <c r="G1289" s="5"/>
      <c r="H1289" s="5"/>
      <c r="K1289" s="23"/>
      <c r="L1289" s="5"/>
      <c r="M1289" s="5"/>
      <c r="N1289" s="5"/>
      <c r="P1289" s="5"/>
      <c r="R1289" s="9"/>
      <c r="S1289" s="9"/>
    </row>
    <row r="1290" spans="1:19" ht="12.5">
      <c r="A1290" s="5"/>
      <c r="B1290" s="5"/>
      <c r="C1290" s="5"/>
      <c r="D1290" s="5"/>
      <c r="E1290" s="5"/>
      <c r="F1290" s="5"/>
      <c r="G1290" s="5"/>
      <c r="H1290" s="5"/>
      <c r="K1290" s="23"/>
      <c r="L1290" s="5"/>
      <c r="M1290" s="5"/>
      <c r="N1290" s="5"/>
      <c r="P1290" s="5"/>
      <c r="R1290" s="9"/>
      <c r="S1290" s="9"/>
    </row>
    <row r="1291" spans="1:19" ht="12.5">
      <c r="A1291" s="5"/>
      <c r="B1291" s="5"/>
      <c r="C1291" s="5"/>
      <c r="D1291" s="5"/>
      <c r="E1291" s="5"/>
      <c r="F1291" s="5"/>
      <c r="G1291" s="5"/>
      <c r="H1291" s="5"/>
      <c r="K1291" s="23"/>
      <c r="L1291" s="5"/>
      <c r="M1291" s="5"/>
      <c r="N1291" s="5"/>
      <c r="P1291" s="5"/>
      <c r="R1291" s="9"/>
      <c r="S1291" s="9"/>
    </row>
    <row r="1292" spans="1:19" ht="12.5">
      <c r="A1292" s="5"/>
      <c r="B1292" s="5"/>
      <c r="C1292" s="5"/>
      <c r="D1292" s="5"/>
      <c r="E1292" s="5"/>
      <c r="F1292" s="5"/>
      <c r="G1292" s="5"/>
      <c r="H1292" s="5"/>
      <c r="K1292" s="23"/>
      <c r="L1292" s="5"/>
      <c r="M1292" s="5"/>
      <c r="N1292" s="5"/>
      <c r="P1292" s="5"/>
      <c r="R1292" s="9"/>
      <c r="S1292" s="9"/>
    </row>
    <row r="1293" spans="1:19" ht="12.5">
      <c r="A1293" s="5"/>
      <c r="B1293" s="5"/>
      <c r="C1293" s="5"/>
      <c r="D1293" s="5"/>
      <c r="E1293" s="5"/>
      <c r="F1293" s="5"/>
      <c r="G1293" s="5"/>
      <c r="H1293" s="5"/>
      <c r="K1293" s="23"/>
      <c r="L1293" s="5"/>
      <c r="M1293" s="5"/>
      <c r="N1293" s="5"/>
      <c r="P1293" s="5"/>
      <c r="R1293" s="9"/>
      <c r="S1293" s="9"/>
    </row>
    <row r="1294" spans="1:19" ht="12.5">
      <c r="A1294" s="5"/>
      <c r="B1294" s="5"/>
      <c r="C1294" s="5"/>
      <c r="D1294" s="5"/>
      <c r="E1294" s="5"/>
      <c r="F1294" s="5"/>
      <c r="G1294" s="5"/>
      <c r="H1294" s="5"/>
      <c r="K1294" s="23"/>
      <c r="L1294" s="5"/>
      <c r="M1294" s="5"/>
      <c r="N1294" s="5"/>
      <c r="P1294" s="5"/>
      <c r="R1294" s="9"/>
      <c r="S1294" s="9"/>
    </row>
    <row r="1295" spans="1:19" ht="12.5">
      <c r="A1295" s="5"/>
      <c r="B1295" s="5"/>
      <c r="C1295" s="5"/>
      <c r="D1295" s="5"/>
      <c r="E1295" s="5"/>
      <c r="F1295" s="5"/>
      <c r="G1295" s="5"/>
      <c r="H1295" s="5"/>
      <c r="K1295" s="23"/>
      <c r="L1295" s="5"/>
      <c r="M1295" s="5"/>
      <c r="N1295" s="5"/>
      <c r="P1295" s="5"/>
      <c r="R1295" s="9"/>
      <c r="S1295" s="9"/>
    </row>
    <row r="1296" spans="1:19" ht="12.5">
      <c r="A1296" s="5"/>
      <c r="B1296" s="5"/>
      <c r="C1296" s="5"/>
      <c r="D1296" s="5"/>
      <c r="E1296" s="5"/>
      <c r="F1296" s="5"/>
      <c r="G1296" s="5"/>
      <c r="H1296" s="5"/>
      <c r="K1296" s="23"/>
      <c r="L1296" s="5"/>
      <c r="M1296" s="5"/>
      <c r="N1296" s="5"/>
      <c r="P1296" s="5"/>
      <c r="R1296" s="9"/>
      <c r="S1296" s="9"/>
    </row>
    <row r="1297" spans="1:19" ht="12.5">
      <c r="A1297" s="5"/>
      <c r="B1297" s="5"/>
      <c r="C1297" s="5"/>
      <c r="D1297" s="5"/>
      <c r="E1297" s="5"/>
      <c r="F1297" s="5"/>
      <c r="G1297" s="5"/>
      <c r="H1297" s="5"/>
      <c r="K1297" s="23"/>
      <c r="L1297" s="5"/>
      <c r="M1297" s="5"/>
      <c r="N1297" s="5"/>
      <c r="P1297" s="5"/>
      <c r="R1297" s="9"/>
      <c r="S1297" s="9"/>
    </row>
    <row r="1298" spans="1:19" ht="12.5">
      <c r="A1298" s="5"/>
      <c r="B1298" s="5"/>
      <c r="C1298" s="5"/>
      <c r="D1298" s="5"/>
      <c r="E1298" s="5"/>
      <c r="F1298" s="5"/>
      <c r="G1298" s="5"/>
      <c r="H1298" s="5"/>
      <c r="K1298" s="23"/>
      <c r="L1298" s="5"/>
      <c r="M1298" s="5"/>
      <c r="N1298" s="5"/>
      <c r="P1298" s="5"/>
      <c r="R1298" s="9"/>
      <c r="S1298" s="9"/>
    </row>
    <row r="1299" spans="1:19" ht="12.5">
      <c r="A1299" s="5"/>
      <c r="B1299" s="5"/>
      <c r="C1299" s="5"/>
      <c r="D1299" s="5"/>
      <c r="E1299" s="5"/>
      <c r="F1299" s="5"/>
      <c r="G1299" s="5"/>
      <c r="H1299" s="5"/>
      <c r="K1299" s="23"/>
      <c r="L1299" s="5"/>
      <c r="M1299" s="5"/>
      <c r="N1299" s="5"/>
      <c r="P1299" s="5"/>
      <c r="R1299" s="9"/>
      <c r="S1299" s="9"/>
    </row>
    <row r="1300" spans="1:19" ht="12.5">
      <c r="A1300" s="5"/>
      <c r="B1300" s="5"/>
      <c r="C1300" s="5"/>
      <c r="D1300" s="5"/>
      <c r="E1300" s="5"/>
      <c r="F1300" s="5"/>
      <c r="G1300" s="5"/>
      <c r="H1300" s="5"/>
      <c r="K1300" s="23"/>
      <c r="L1300" s="5"/>
      <c r="M1300" s="5"/>
      <c r="N1300" s="5"/>
      <c r="P1300" s="5"/>
      <c r="R1300" s="9"/>
      <c r="S1300" s="9"/>
    </row>
    <row r="1301" spans="1:19" ht="12.5">
      <c r="A1301" s="5"/>
      <c r="B1301" s="5"/>
      <c r="C1301" s="5"/>
      <c r="D1301" s="5"/>
      <c r="E1301" s="5"/>
      <c r="F1301" s="5"/>
      <c r="G1301" s="5"/>
      <c r="H1301" s="5"/>
      <c r="K1301" s="23"/>
      <c r="L1301" s="5"/>
      <c r="M1301" s="5"/>
      <c r="N1301" s="5"/>
      <c r="P1301" s="5"/>
      <c r="R1301" s="9"/>
      <c r="S1301" s="9"/>
    </row>
    <row r="1302" spans="1:19" ht="12.5">
      <c r="A1302" s="5"/>
      <c r="B1302" s="5"/>
      <c r="C1302" s="5"/>
      <c r="D1302" s="5"/>
      <c r="E1302" s="5"/>
      <c r="F1302" s="5"/>
      <c r="G1302" s="5"/>
      <c r="H1302" s="5"/>
      <c r="K1302" s="23"/>
      <c r="L1302" s="5"/>
      <c r="M1302" s="5"/>
      <c r="N1302" s="5"/>
      <c r="P1302" s="5"/>
      <c r="R1302" s="9"/>
      <c r="S1302" s="9"/>
    </row>
    <row r="1303" spans="1:19" ht="12.5">
      <c r="A1303" s="5"/>
      <c r="B1303" s="5"/>
      <c r="C1303" s="5"/>
      <c r="D1303" s="5"/>
      <c r="E1303" s="5"/>
      <c r="F1303" s="5"/>
      <c r="G1303" s="5"/>
      <c r="H1303" s="5"/>
      <c r="K1303" s="23"/>
      <c r="L1303" s="5"/>
      <c r="M1303" s="5"/>
      <c r="N1303" s="5"/>
      <c r="P1303" s="5"/>
      <c r="R1303" s="9"/>
      <c r="S1303" s="9"/>
    </row>
    <row r="1304" spans="1:19" ht="12.5">
      <c r="A1304" s="5"/>
      <c r="B1304" s="5"/>
      <c r="C1304" s="5"/>
      <c r="D1304" s="5"/>
      <c r="E1304" s="5"/>
      <c r="F1304" s="5"/>
      <c r="G1304" s="5"/>
      <c r="H1304" s="5"/>
      <c r="K1304" s="23"/>
      <c r="L1304" s="5"/>
      <c r="M1304" s="5"/>
      <c r="N1304" s="5"/>
      <c r="P1304" s="5"/>
      <c r="R1304" s="9"/>
      <c r="S1304" s="9"/>
    </row>
    <row r="1305" spans="1:19" ht="12.5">
      <c r="A1305" s="5"/>
      <c r="B1305" s="5"/>
      <c r="C1305" s="5"/>
      <c r="D1305" s="5"/>
      <c r="E1305" s="5"/>
      <c r="F1305" s="5"/>
      <c r="G1305" s="5"/>
      <c r="H1305" s="5"/>
      <c r="K1305" s="23"/>
      <c r="L1305" s="5"/>
      <c r="M1305" s="5"/>
      <c r="N1305" s="5"/>
      <c r="P1305" s="5"/>
      <c r="R1305" s="9"/>
      <c r="S1305" s="9"/>
    </row>
    <row r="1306" spans="1:19" ht="12.5">
      <c r="A1306" s="5"/>
      <c r="B1306" s="5"/>
      <c r="C1306" s="5"/>
      <c r="D1306" s="5"/>
      <c r="E1306" s="5"/>
      <c r="F1306" s="5"/>
      <c r="G1306" s="5"/>
      <c r="H1306" s="5"/>
      <c r="K1306" s="23"/>
      <c r="L1306" s="5"/>
      <c r="M1306" s="5"/>
      <c r="N1306" s="5"/>
      <c r="P1306" s="5"/>
      <c r="R1306" s="9"/>
      <c r="S1306" s="9"/>
    </row>
    <row r="1307" spans="1:19" ht="12.5">
      <c r="A1307" s="5"/>
      <c r="B1307" s="5"/>
      <c r="C1307" s="5"/>
      <c r="D1307" s="5"/>
      <c r="E1307" s="5"/>
      <c r="F1307" s="5"/>
      <c r="G1307" s="5"/>
      <c r="H1307" s="5"/>
      <c r="K1307" s="23"/>
      <c r="L1307" s="5"/>
      <c r="M1307" s="5"/>
      <c r="N1307" s="5"/>
      <c r="P1307" s="5"/>
      <c r="R1307" s="9"/>
      <c r="S1307" s="9"/>
    </row>
    <row r="1308" spans="1:19" ht="12.5">
      <c r="A1308" s="5"/>
      <c r="B1308" s="5"/>
      <c r="C1308" s="5"/>
      <c r="D1308" s="5"/>
      <c r="E1308" s="5"/>
      <c r="F1308" s="5"/>
      <c r="G1308" s="5"/>
      <c r="H1308" s="5"/>
      <c r="K1308" s="23"/>
      <c r="L1308" s="5"/>
      <c r="M1308" s="5"/>
      <c r="N1308" s="5"/>
      <c r="P1308" s="5"/>
      <c r="R1308" s="9"/>
      <c r="S1308" s="9"/>
    </row>
    <row r="1309" spans="1:19" ht="12.5">
      <c r="A1309" s="5"/>
      <c r="B1309" s="5"/>
      <c r="C1309" s="5"/>
      <c r="D1309" s="5"/>
      <c r="E1309" s="5"/>
      <c r="F1309" s="5"/>
      <c r="G1309" s="5"/>
      <c r="H1309" s="5"/>
      <c r="K1309" s="23"/>
      <c r="L1309" s="5"/>
      <c r="M1309" s="5"/>
      <c r="N1309" s="5"/>
      <c r="P1309" s="5"/>
      <c r="R1309" s="9"/>
      <c r="S1309" s="9"/>
    </row>
    <row r="1310" spans="1:19" ht="12.5">
      <c r="A1310" s="5"/>
      <c r="B1310" s="5"/>
      <c r="C1310" s="5"/>
      <c r="D1310" s="5"/>
      <c r="E1310" s="5"/>
      <c r="F1310" s="5"/>
      <c r="G1310" s="5"/>
      <c r="H1310" s="5"/>
      <c r="K1310" s="23"/>
      <c r="L1310" s="5"/>
      <c r="M1310" s="5"/>
      <c r="N1310" s="5"/>
      <c r="P1310" s="5"/>
      <c r="R1310" s="9"/>
      <c r="S1310" s="9"/>
    </row>
    <row r="1311" spans="1:19" ht="12.5">
      <c r="A1311" s="5"/>
      <c r="B1311" s="5"/>
      <c r="C1311" s="5"/>
      <c r="D1311" s="5"/>
      <c r="E1311" s="5"/>
      <c r="F1311" s="5"/>
      <c r="G1311" s="5"/>
      <c r="H1311" s="5"/>
      <c r="K1311" s="23"/>
      <c r="L1311" s="5"/>
      <c r="M1311" s="5"/>
      <c r="N1311" s="5"/>
      <c r="P1311" s="5"/>
      <c r="R1311" s="9"/>
      <c r="S1311" s="9"/>
    </row>
    <row r="1312" spans="1:19" ht="12.5">
      <c r="A1312" s="5"/>
      <c r="B1312" s="5"/>
      <c r="C1312" s="5"/>
      <c r="D1312" s="5"/>
      <c r="E1312" s="5"/>
      <c r="F1312" s="5"/>
      <c r="G1312" s="5"/>
      <c r="H1312" s="5"/>
      <c r="K1312" s="23"/>
      <c r="L1312" s="5"/>
      <c r="M1312" s="5"/>
      <c r="N1312" s="5"/>
      <c r="P1312" s="5"/>
      <c r="R1312" s="9"/>
      <c r="S1312" s="9"/>
    </row>
    <row r="1313" spans="1:19" ht="12.5">
      <c r="A1313" s="5"/>
      <c r="B1313" s="5"/>
      <c r="C1313" s="5"/>
      <c r="D1313" s="5"/>
      <c r="E1313" s="5"/>
      <c r="F1313" s="5"/>
      <c r="G1313" s="5"/>
      <c r="H1313" s="5"/>
      <c r="K1313" s="23"/>
      <c r="L1313" s="5"/>
      <c r="M1313" s="5"/>
      <c r="N1313" s="5"/>
      <c r="P1313" s="5"/>
      <c r="R1313" s="9"/>
      <c r="S1313" s="9"/>
    </row>
    <row r="1314" spans="1:19" ht="12.5">
      <c r="A1314" s="5"/>
      <c r="B1314" s="5"/>
      <c r="C1314" s="5"/>
      <c r="D1314" s="5"/>
      <c r="E1314" s="5"/>
      <c r="F1314" s="5"/>
      <c r="G1314" s="5"/>
      <c r="H1314" s="5"/>
      <c r="K1314" s="23"/>
      <c r="L1314" s="5"/>
      <c r="M1314" s="5"/>
      <c r="N1314" s="5"/>
      <c r="P1314" s="5"/>
      <c r="R1314" s="9"/>
      <c r="S1314" s="9"/>
    </row>
    <row r="1315" spans="1:19" ht="12.5">
      <c r="A1315" s="5"/>
      <c r="B1315" s="5"/>
      <c r="C1315" s="5"/>
      <c r="D1315" s="5"/>
      <c r="E1315" s="5"/>
      <c r="F1315" s="5"/>
      <c r="G1315" s="5"/>
      <c r="H1315" s="5"/>
      <c r="K1315" s="23"/>
      <c r="L1315" s="5"/>
      <c r="M1315" s="5"/>
      <c r="N1315" s="5"/>
      <c r="P1315" s="5"/>
      <c r="R1315" s="9"/>
      <c r="S1315" s="9"/>
    </row>
    <row r="1316" spans="1:19" ht="12.5">
      <c r="A1316" s="5"/>
      <c r="B1316" s="5"/>
      <c r="C1316" s="5"/>
      <c r="D1316" s="5"/>
      <c r="E1316" s="5"/>
      <c r="F1316" s="5"/>
      <c r="G1316" s="5"/>
      <c r="H1316" s="5"/>
      <c r="K1316" s="23"/>
      <c r="L1316" s="5"/>
      <c r="M1316" s="5"/>
      <c r="N1316" s="5"/>
      <c r="P1316" s="5"/>
      <c r="R1316" s="9"/>
      <c r="S1316" s="9"/>
    </row>
    <row r="1317" spans="1:19" ht="12.5">
      <c r="A1317" s="5"/>
      <c r="B1317" s="5"/>
      <c r="C1317" s="5"/>
      <c r="D1317" s="5"/>
      <c r="E1317" s="5"/>
      <c r="F1317" s="5"/>
      <c r="G1317" s="5"/>
      <c r="H1317" s="5"/>
      <c r="K1317" s="23"/>
      <c r="L1317" s="5"/>
      <c r="M1317" s="5"/>
      <c r="N1317" s="5"/>
      <c r="P1317" s="5"/>
      <c r="R1317" s="9"/>
      <c r="S1317" s="9"/>
    </row>
    <row r="1318" spans="1:19" ht="12.5">
      <c r="A1318" s="5"/>
      <c r="B1318" s="5"/>
      <c r="C1318" s="5"/>
      <c r="D1318" s="5"/>
      <c r="E1318" s="5"/>
      <c r="F1318" s="5"/>
      <c r="G1318" s="5"/>
      <c r="H1318" s="5"/>
      <c r="K1318" s="23"/>
      <c r="L1318" s="5"/>
      <c r="M1318" s="5"/>
      <c r="N1318" s="5"/>
      <c r="P1318" s="5"/>
      <c r="R1318" s="9"/>
      <c r="S1318" s="9"/>
    </row>
    <row r="1319" spans="1:19" ht="12.5">
      <c r="A1319" s="5"/>
      <c r="B1319" s="5"/>
      <c r="C1319" s="5"/>
      <c r="D1319" s="5"/>
      <c r="E1319" s="5"/>
      <c r="F1319" s="5"/>
      <c r="G1319" s="5"/>
      <c r="H1319" s="5"/>
      <c r="K1319" s="23"/>
      <c r="L1319" s="5"/>
      <c r="M1319" s="5"/>
      <c r="N1319" s="5"/>
      <c r="P1319" s="5"/>
      <c r="R1319" s="9"/>
      <c r="S1319" s="9"/>
    </row>
    <row r="1320" spans="1:19" ht="12.5">
      <c r="A1320" s="5"/>
      <c r="B1320" s="5"/>
      <c r="C1320" s="5"/>
      <c r="D1320" s="5"/>
      <c r="E1320" s="5"/>
      <c r="F1320" s="5"/>
      <c r="G1320" s="5"/>
      <c r="H1320" s="5"/>
      <c r="K1320" s="23"/>
      <c r="L1320" s="5"/>
      <c r="M1320" s="5"/>
      <c r="N1320" s="5"/>
      <c r="P1320" s="5"/>
      <c r="R1320" s="9"/>
      <c r="S1320" s="9"/>
    </row>
    <row r="1321" spans="1:19" ht="12.5">
      <c r="A1321" s="5"/>
      <c r="B1321" s="5"/>
      <c r="C1321" s="5"/>
      <c r="D1321" s="5"/>
      <c r="E1321" s="5"/>
      <c r="F1321" s="5"/>
      <c r="G1321" s="5"/>
      <c r="H1321" s="5"/>
      <c r="K1321" s="23"/>
      <c r="L1321" s="5"/>
      <c r="M1321" s="5"/>
      <c r="N1321" s="5"/>
      <c r="P1321" s="5"/>
      <c r="R1321" s="9"/>
      <c r="S1321" s="9"/>
    </row>
    <row r="1322" spans="1:19" ht="12.5">
      <c r="A1322" s="5"/>
      <c r="B1322" s="5"/>
      <c r="C1322" s="5"/>
      <c r="D1322" s="5"/>
      <c r="E1322" s="5"/>
      <c r="F1322" s="5"/>
      <c r="G1322" s="5"/>
      <c r="H1322" s="5"/>
      <c r="K1322" s="23"/>
      <c r="L1322" s="5"/>
      <c r="M1322" s="5"/>
      <c r="N1322" s="5"/>
      <c r="P1322" s="5"/>
      <c r="R1322" s="9"/>
      <c r="S1322" s="9"/>
    </row>
    <row r="1323" spans="1:19" ht="12.5">
      <c r="A1323" s="5"/>
      <c r="B1323" s="5"/>
      <c r="C1323" s="5"/>
      <c r="D1323" s="5"/>
      <c r="E1323" s="5"/>
      <c r="F1323" s="5"/>
      <c r="G1323" s="5"/>
      <c r="H1323" s="5"/>
      <c r="K1323" s="23"/>
      <c r="L1323" s="5"/>
      <c r="M1323" s="5"/>
      <c r="N1323" s="5"/>
      <c r="P1323" s="5"/>
      <c r="R1323" s="9"/>
      <c r="S1323" s="9"/>
    </row>
    <row r="1324" spans="1:19" ht="12.5">
      <c r="A1324" s="5"/>
      <c r="B1324" s="5"/>
      <c r="C1324" s="5"/>
      <c r="D1324" s="5"/>
      <c r="E1324" s="5"/>
      <c r="F1324" s="5"/>
      <c r="G1324" s="5"/>
      <c r="H1324" s="5"/>
      <c r="K1324" s="23"/>
      <c r="L1324" s="5"/>
      <c r="M1324" s="5"/>
      <c r="N1324" s="5"/>
      <c r="P1324" s="5"/>
      <c r="R1324" s="9"/>
      <c r="S1324" s="9"/>
    </row>
    <row r="1325" spans="1:19" ht="12.5">
      <c r="A1325" s="5"/>
      <c r="B1325" s="5"/>
      <c r="C1325" s="5"/>
      <c r="D1325" s="5"/>
      <c r="E1325" s="5"/>
      <c r="F1325" s="5"/>
      <c r="G1325" s="5"/>
      <c r="H1325" s="5"/>
      <c r="K1325" s="23"/>
      <c r="L1325" s="5"/>
      <c r="M1325" s="5"/>
      <c r="N1325" s="5"/>
      <c r="P1325" s="5"/>
      <c r="R1325" s="9"/>
      <c r="S1325" s="9"/>
    </row>
    <row r="1326" spans="1:19" ht="12.5">
      <c r="A1326" s="5"/>
      <c r="B1326" s="5"/>
      <c r="C1326" s="5"/>
      <c r="D1326" s="5"/>
      <c r="E1326" s="5"/>
      <c r="F1326" s="5"/>
      <c r="G1326" s="5"/>
      <c r="H1326" s="5"/>
      <c r="K1326" s="23"/>
      <c r="L1326" s="5"/>
      <c r="M1326" s="5"/>
      <c r="N1326" s="5"/>
      <c r="P1326" s="5"/>
      <c r="R1326" s="9"/>
      <c r="S1326" s="9"/>
    </row>
    <row r="1327" spans="1:19" ht="12.5">
      <c r="A1327" s="5"/>
      <c r="B1327" s="5"/>
      <c r="C1327" s="5"/>
      <c r="D1327" s="5"/>
      <c r="E1327" s="5"/>
      <c r="F1327" s="5"/>
      <c r="G1327" s="5"/>
      <c r="H1327" s="5"/>
      <c r="K1327" s="23"/>
      <c r="L1327" s="5"/>
      <c r="M1327" s="5"/>
      <c r="N1327" s="5"/>
      <c r="P1327" s="5"/>
      <c r="R1327" s="9"/>
      <c r="S1327" s="9"/>
    </row>
    <row r="1328" spans="1:19" ht="12.5">
      <c r="A1328" s="5"/>
      <c r="B1328" s="5"/>
      <c r="C1328" s="5"/>
      <c r="D1328" s="5"/>
      <c r="E1328" s="5"/>
      <c r="F1328" s="5"/>
      <c r="G1328" s="5"/>
      <c r="H1328" s="5"/>
      <c r="K1328" s="23"/>
      <c r="L1328" s="5"/>
      <c r="M1328" s="5"/>
      <c r="N1328" s="5"/>
      <c r="P1328" s="5"/>
      <c r="R1328" s="9"/>
      <c r="S1328" s="9"/>
    </row>
    <row r="1329" spans="1:19" ht="12.5">
      <c r="A1329" s="5"/>
      <c r="B1329" s="5"/>
      <c r="C1329" s="5"/>
      <c r="D1329" s="5"/>
      <c r="E1329" s="5"/>
      <c r="F1329" s="5"/>
      <c r="G1329" s="5"/>
      <c r="H1329" s="5"/>
      <c r="K1329" s="23"/>
      <c r="L1329" s="5"/>
      <c r="M1329" s="5"/>
      <c r="N1329" s="5"/>
      <c r="P1329" s="5"/>
      <c r="R1329" s="9"/>
      <c r="S1329" s="9"/>
    </row>
    <row r="1330" spans="1:19" ht="12.5">
      <c r="A1330" s="5"/>
      <c r="B1330" s="5"/>
      <c r="C1330" s="5"/>
      <c r="D1330" s="5"/>
      <c r="E1330" s="5"/>
      <c r="F1330" s="5"/>
      <c r="G1330" s="5"/>
      <c r="H1330" s="5"/>
      <c r="K1330" s="23"/>
      <c r="L1330" s="5"/>
      <c r="M1330" s="5"/>
      <c r="N1330" s="5"/>
      <c r="P1330" s="5"/>
      <c r="R1330" s="9"/>
      <c r="S1330" s="9"/>
    </row>
    <row r="1331" spans="1:19" ht="12.5">
      <c r="A1331" s="5"/>
      <c r="B1331" s="5"/>
      <c r="C1331" s="5"/>
      <c r="D1331" s="5"/>
      <c r="E1331" s="5"/>
      <c r="F1331" s="5"/>
      <c r="G1331" s="5"/>
      <c r="H1331" s="5"/>
      <c r="K1331" s="23"/>
      <c r="L1331" s="5"/>
      <c r="M1331" s="5"/>
      <c r="N1331" s="5"/>
      <c r="P1331" s="5"/>
      <c r="R1331" s="9"/>
      <c r="S1331" s="9"/>
    </row>
    <row r="1332" spans="1:19" ht="12.5">
      <c r="A1332" s="5"/>
      <c r="B1332" s="5"/>
      <c r="C1332" s="5"/>
      <c r="D1332" s="5"/>
      <c r="E1332" s="5"/>
      <c r="F1332" s="5"/>
      <c r="G1332" s="5"/>
      <c r="H1332" s="5"/>
      <c r="K1332" s="23"/>
      <c r="L1332" s="5"/>
      <c r="M1332" s="5"/>
      <c r="N1332" s="5"/>
      <c r="P1332" s="5"/>
      <c r="R1332" s="9"/>
      <c r="S1332" s="9"/>
    </row>
    <row r="1333" spans="1:19" ht="12.5">
      <c r="A1333" s="5"/>
      <c r="B1333" s="5"/>
      <c r="C1333" s="5"/>
      <c r="D1333" s="5"/>
      <c r="E1333" s="5"/>
      <c r="F1333" s="5"/>
      <c r="G1333" s="5"/>
      <c r="H1333" s="5"/>
      <c r="K1333" s="23"/>
      <c r="L1333" s="5"/>
      <c r="M1333" s="5"/>
      <c r="N1333" s="5"/>
      <c r="P1333" s="5"/>
      <c r="R1333" s="9"/>
      <c r="S1333" s="9"/>
    </row>
    <row r="1334" spans="1:19" ht="12.5">
      <c r="A1334" s="5"/>
      <c r="B1334" s="5"/>
      <c r="C1334" s="5"/>
      <c r="D1334" s="5"/>
      <c r="E1334" s="5"/>
      <c r="F1334" s="5"/>
      <c r="G1334" s="5"/>
      <c r="H1334" s="5"/>
      <c r="K1334" s="23"/>
      <c r="L1334" s="5"/>
      <c r="M1334" s="5"/>
      <c r="N1334" s="5"/>
      <c r="P1334" s="5"/>
      <c r="R1334" s="9"/>
      <c r="S1334" s="9"/>
    </row>
    <row r="1335" spans="1:19" ht="12.5">
      <c r="A1335" s="5"/>
      <c r="B1335" s="5"/>
      <c r="C1335" s="5"/>
      <c r="D1335" s="5"/>
      <c r="E1335" s="5"/>
      <c r="F1335" s="5"/>
      <c r="G1335" s="5"/>
      <c r="H1335" s="5"/>
      <c r="K1335" s="23"/>
      <c r="L1335" s="5"/>
      <c r="M1335" s="5"/>
      <c r="N1335" s="5"/>
      <c r="P1335" s="5"/>
      <c r="R1335" s="9"/>
      <c r="S1335" s="9"/>
    </row>
    <row r="1336" spans="1:19" ht="12.5">
      <c r="A1336" s="5"/>
      <c r="B1336" s="5"/>
      <c r="C1336" s="5"/>
      <c r="D1336" s="5"/>
      <c r="E1336" s="5"/>
      <c r="F1336" s="5"/>
      <c r="G1336" s="5"/>
      <c r="H1336" s="5"/>
      <c r="K1336" s="23"/>
      <c r="L1336" s="5"/>
      <c r="M1336" s="5"/>
      <c r="N1336" s="5"/>
      <c r="P1336" s="5"/>
      <c r="R1336" s="9"/>
      <c r="S1336" s="9"/>
    </row>
    <row r="1337" spans="1:19" ht="12.5">
      <c r="A1337" s="5"/>
      <c r="B1337" s="5"/>
      <c r="C1337" s="5"/>
      <c r="D1337" s="5"/>
      <c r="E1337" s="5"/>
      <c r="F1337" s="5"/>
      <c r="G1337" s="5"/>
      <c r="H1337" s="5"/>
      <c r="K1337" s="23"/>
      <c r="L1337" s="5"/>
      <c r="M1337" s="5"/>
      <c r="N1337" s="5"/>
      <c r="P1337" s="5"/>
      <c r="R1337" s="9"/>
      <c r="S1337" s="9"/>
    </row>
    <row r="1338" spans="1:19" ht="12.5">
      <c r="A1338" s="5"/>
      <c r="B1338" s="5"/>
      <c r="C1338" s="5"/>
      <c r="D1338" s="5"/>
      <c r="E1338" s="5"/>
      <c r="F1338" s="5"/>
      <c r="G1338" s="5"/>
      <c r="H1338" s="5"/>
      <c r="K1338" s="23"/>
      <c r="L1338" s="5"/>
      <c r="M1338" s="5"/>
      <c r="N1338" s="5"/>
      <c r="P1338" s="5"/>
      <c r="R1338" s="9"/>
      <c r="S1338" s="9"/>
    </row>
    <row r="1339" spans="1:19" ht="12.5">
      <c r="A1339" s="5"/>
      <c r="B1339" s="5"/>
      <c r="C1339" s="5"/>
      <c r="D1339" s="5"/>
      <c r="E1339" s="5"/>
      <c r="F1339" s="5"/>
      <c r="G1339" s="5"/>
      <c r="H1339" s="5"/>
      <c r="K1339" s="23"/>
      <c r="L1339" s="5"/>
      <c r="M1339" s="5"/>
      <c r="N1339" s="5"/>
      <c r="P1339" s="5"/>
      <c r="R1339" s="9"/>
      <c r="S1339" s="9"/>
    </row>
    <row r="1340" spans="1:19" ht="12.5">
      <c r="A1340" s="5"/>
      <c r="B1340" s="5"/>
      <c r="C1340" s="5"/>
      <c r="D1340" s="5"/>
      <c r="E1340" s="5"/>
      <c r="F1340" s="5"/>
      <c r="G1340" s="5"/>
      <c r="H1340" s="5"/>
      <c r="K1340" s="23"/>
      <c r="L1340" s="5"/>
      <c r="M1340" s="5"/>
      <c r="N1340" s="5"/>
      <c r="P1340" s="5"/>
      <c r="R1340" s="9"/>
      <c r="S1340" s="9"/>
    </row>
    <row r="1341" spans="1:19" ht="12.5">
      <c r="A1341" s="5"/>
      <c r="B1341" s="5"/>
      <c r="C1341" s="5"/>
      <c r="D1341" s="5"/>
      <c r="E1341" s="5"/>
      <c r="F1341" s="5"/>
      <c r="G1341" s="5"/>
      <c r="H1341" s="5"/>
      <c r="K1341" s="23"/>
      <c r="L1341" s="5"/>
      <c r="M1341" s="5"/>
      <c r="N1341" s="5"/>
      <c r="P1341" s="5"/>
      <c r="R1341" s="9"/>
      <c r="S1341" s="9"/>
    </row>
    <row r="1342" spans="1:19" ht="12.5">
      <c r="A1342" s="5"/>
      <c r="B1342" s="5"/>
      <c r="C1342" s="5"/>
      <c r="D1342" s="5"/>
      <c r="E1342" s="5"/>
      <c r="F1342" s="5"/>
      <c r="G1342" s="5"/>
      <c r="H1342" s="5"/>
      <c r="K1342" s="23"/>
      <c r="L1342" s="5"/>
      <c r="M1342" s="5"/>
      <c r="N1342" s="5"/>
      <c r="P1342" s="5"/>
      <c r="R1342" s="9"/>
      <c r="S1342" s="9"/>
    </row>
    <row r="1343" spans="1:19" ht="12.5">
      <c r="A1343" s="5"/>
      <c r="B1343" s="5"/>
      <c r="C1343" s="5"/>
      <c r="D1343" s="5"/>
      <c r="E1343" s="5"/>
      <c r="F1343" s="5"/>
      <c r="G1343" s="5"/>
      <c r="H1343" s="5"/>
      <c r="K1343" s="23"/>
      <c r="L1343" s="5"/>
      <c r="M1343" s="5"/>
      <c r="N1343" s="5"/>
      <c r="P1343" s="5"/>
      <c r="R1343" s="9"/>
      <c r="S1343" s="9"/>
    </row>
    <row r="1344" spans="1:19" ht="12.5">
      <c r="A1344" s="5"/>
      <c r="B1344" s="5"/>
      <c r="C1344" s="5"/>
      <c r="D1344" s="5"/>
      <c r="E1344" s="5"/>
      <c r="F1344" s="5"/>
      <c r="G1344" s="5"/>
      <c r="H1344" s="5"/>
      <c r="K1344" s="23"/>
      <c r="L1344" s="5"/>
      <c r="M1344" s="5"/>
      <c r="N1344" s="5"/>
      <c r="P1344" s="5"/>
      <c r="R1344" s="9"/>
      <c r="S1344" s="9"/>
    </row>
    <row r="1345" spans="1:19" ht="12.5">
      <c r="A1345" s="5"/>
      <c r="B1345" s="5"/>
      <c r="C1345" s="5"/>
      <c r="D1345" s="5"/>
      <c r="E1345" s="5"/>
      <c r="F1345" s="5"/>
      <c r="G1345" s="5"/>
      <c r="H1345" s="5"/>
      <c r="K1345" s="23"/>
      <c r="L1345" s="5"/>
      <c r="M1345" s="5"/>
      <c r="N1345" s="5"/>
      <c r="P1345" s="5"/>
      <c r="R1345" s="9"/>
      <c r="S1345" s="9"/>
    </row>
    <row r="1346" spans="1:19" ht="12.5">
      <c r="A1346" s="5"/>
      <c r="B1346" s="5"/>
      <c r="C1346" s="5"/>
      <c r="D1346" s="5"/>
      <c r="E1346" s="5"/>
      <c r="F1346" s="5"/>
      <c r="G1346" s="5"/>
      <c r="H1346" s="5"/>
      <c r="K1346" s="23"/>
      <c r="L1346" s="5"/>
      <c r="M1346" s="5"/>
      <c r="N1346" s="5"/>
      <c r="P1346" s="5"/>
      <c r="R1346" s="9"/>
      <c r="S1346" s="9"/>
    </row>
    <row r="1347" spans="1:19" ht="12.5">
      <c r="A1347" s="5"/>
      <c r="B1347" s="5"/>
      <c r="C1347" s="5"/>
      <c r="D1347" s="5"/>
      <c r="E1347" s="5"/>
      <c r="F1347" s="5"/>
      <c r="G1347" s="5"/>
      <c r="H1347" s="5"/>
      <c r="K1347" s="23"/>
      <c r="L1347" s="5"/>
      <c r="M1347" s="5"/>
      <c r="N1347" s="5"/>
      <c r="P1347" s="5"/>
      <c r="R1347" s="9"/>
      <c r="S1347" s="9"/>
    </row>
    <row r="1348" spans="1:19" ht="12.5">
      <c r="A1348" s="5"/>
      <c r="B1348" s="5"/>
      <c r="C1348" s="5"/>
      <c r="D1348" s="5"/>
      <c r="E1348" s="5"/>
      <c r="F1348" s="5"/>
      <c r="G1348" s="5"/>
      <c r="H1348" s="5"/>
      <c r="K1348" s="23"/>
      <c r="L1348" s="5"/>
      <c r="M1348" s="5"/>
      <c r="N1348" s="5"/>
      <c r="P1348" s="5"/>
      <c r="R1348" s="9"/>
      <c r="S1348" s="9"/>
    </row>
    <row r="1349" spans="1:19" ht="12.5">
      <c r="A1349" s="5"/>
      <c r="B1349" s="5"/>
      <c r="C1349" s="5"/>
      <c r="D1349" s="5"/>
      <c r="E1349" s="5"/>
      <c r="F1349" s="5"/>
      <c r="G1349" s="5"/>
      <c r="H1349" s="5"/>
      <c r="K1349" s="23"/>
      <c r="L1349" s="5"/>
      <c r="M1349" s="5"/>
      <c r="N1349" s="5"/>
      <c r="P1349" s="5"/>
      <c r="R1349" s="9"/>
      <c r="S1349" s="9"/>
    </row>
    <row r="1350" spans="1:19" ht="12.5">
      <c r="A1350" s="5"/>
      <c r="B1350" s="5"/>
      <c r="C1350" s="5"/>
      <c r="D1350" s="5"/>
      <c r="E1350" s="5"/>
      <c r="F1350" s="5"/>
      <c r="G1350" s="5"/>
      <c r="H1350" s="5"/>
      <c r="K1350" s="23"/>
      <c r="L1350" s="5"/>
      <c r="M1350" s="5"/>
      <c r="N1350" s="5"/>
      <c r="P1350" s="5"/>
      <c r="R1350" s="9"/>
      <c r="S1350" s="9"/>
    </row>
    <row r="1351" spans="1:19" ht="12.5">
      <c r="A1351" s="5"/>
      <c r="B1351" s="5"/>
      <c r="C1351" s="5"/>
      <c r="D1351" s="5"/>
      <c r="E1351" s="5"/>
      <c r="F1351" s="5"/>
      <c r="G1351" s="5"/>
      <c r="H1351" s="5"/>
      <c r="K1351" s="23"/>
      <c r="L1351" s="5"/>
      <c r="M1351" s="5"/>
      <c r="N1351" s="5"/>
      <c r="P1351" s="5"/>
      <c r="R1351" s="9"/>
      <c r="S1351" s="9"/>
    </row>
    <row r="1352" spans="1:19" ht="12.5">
      <c r="A1352" s="5"/>
      <c r="B1352" s="5"/>
      <c r="C1352" s="5"/>
      <c r="D1352" s="5"/>
      <c r="E1352" s="5"/>
      <c r="F1352" s="5"/>
      <c r="G1352" s="5"/>
      <c r="H1352" s="5"/>
      <c r="K1352" s="23"/>
      <c r="L1352" s="5"/>
      <c r="M1352" s="5"/>
      <c r="N1352" s="5"/>
      <c r="P1352" s="5"/>
      <c r="R1352" s="9"/>
      <c r="S1352" s="9"/>
    </row>
    <row r="1353" spans="1:19" ht="12.5">
      <c r="A1353" s="5"/>
      <c r="B1353" s="5"/>
      <c r="C1353" s="5"/>
      <c r="D1353" s="5"/>
      <c r="E1353" s="5"/>
      <c r="F1353" s="5"/>
      <c r="G1353" s="5"/>
      <c r="H1353" s="5"/>
      <c r="K1353" s="23"/>
      <c r="L1353" s="5"/>
      <c r="M1353" s="5"/>
      <c r="N1353" s="5"/>
      <c r="P1353" s="5"/>
      <c r="R1353" s="9"/>
      <c r="S1353" s="9"/>
    </row>
    <row r="1354" spans="1:19" ht="12.5">
      <c r="A1354" s="5"/>
      <c r="B1354" s="5"/>
      <c r="C1354" s="5"/>
      <c r="D1354" s="5"/>
      <c r="E1354" s="5"/>
      <c r="F1354" s="5"/>
      <c r="G1354" s="5"/>
      <c r="H1354" s="5"/>
      <c r="K1354" s="23"/>
      <c r="L1354" s="5"/>
      <c r="M1354" s="5"/>
      <c r="N1354" s="5"/>
      <c r="P1354" s="5"/>
      <c r="R1354" s="9"/>
      <c r="S1354" s="9"/>
    </row>
    <row r="1355" spans="1:19" ht="12.5">
      <c r="A1355" s="5"/>
      <c r="B1355" s="5"/>
      <c r="C1355" s="5"/>
      <c r="D1355" s="5"/>
      <c r="E1355" s="5"/>
      <c r="F1355" s="5"/>
      <c r="G1355" s="5"/>
      <c r="H1355" s="5"/>
      <c r="K1355" s="23"/>
      <c r="L1355" s="5"/>
      <c r="M1355" s="5"/>
      <c r="N1355" s="5"/>
      <c r="P1355" s="5"/>
      <c r="R1355" s="9"/>
      <c r="S1355" s="9"/>
    </row>
    <row r="1356" spans="1:19" ht="12.5">
      <c r="A1356" s="5"/>
      <c r="B1356" s="5"/>
      <c r="C1356" s="5"/>
      <c r="D1356" s="5"/>
      <c r="E1356" s="5"/>
      <c r="F1356" s="5"/>
      <c r="G1356" s="5"/>
      <c r="H1356" s="5"/>
      <c r="K1356" s="23"/>
      <c r="L1356" s="5"/>
      <c r="M1356" s="5"/>
      <c r="N1356" s="5"/>
      <c r="P1356" s="5"/>
      <c r="R1356" s="9"/>
      <c r="S1356" s="9"/>
    </row>
    <row r="1357" spans="1:19" ht="12.5">
      <c r="A1357" s="5"/>
      <c r="B1357" s="5"/>
      <c r="C1357" s="5"/>
      <c r="D1357" s="5"/>
      <c r="E1357" s="5"/>
      <c r="F1357" s="5"/>
      <c r="G1357" s="5"/>
      <c r="H1357" s="5"/>
      <c r="K1357" s="23"/>
      <c r="L1357" s="5"/>
      <c r="M1357" s="5"/>
      <c r="N1357" s="5"/>
      <c r="P1357" s="5"/>
      <c r="R1357" s="9"/>
      <c r="S1357" s="9"/>
    </row>
    <row r="1358" spans="1:19" ht="12.5">
      <c r="A1358" s="5"/>
      <c r="B1358" s="5"/>
      <c r="C1358" s="5"/>
      <c r="D1358" s="5"/>
      <c r="E1358" s="5"/>
      <c r="F1358" s="5"/>
      <c r="G1358" s="5"/>
      <c r="H1358" s="5"/>
      <c r="K1358" s="23"/>
      <c r="L1358" s="5"/>
      <c r="M1358" s="5"/>
      <c r="N1358" s="5"/>
      <c r="P1358" s="5"/>
      <c r="R1358" s="9"/>
      <c r="S1358" s="9"/>
    </row>
    <row r="1359" spans="1:19" ht="12.5">
      <c r="A1359" s="5"/>
      <c r="B1359" s="5"/>
      <c r="C1359" s="5"/>
      <c r="D1359" s="5"/>
      <c r="E1359" s="5"/>
      <c r="F1359" s="5"/>
      <c r="G1359" s="5"/>
      <c r="H1359" s="5"/>
      <c r="K1359" s="23"/>
      <c r="L1359" s="5"/>
      <c r="M1359" s="5"/>
      <c r="N1359" s="5"/>
      <c r="P1359" s="5"/>
      <c r="R1359" s="9"/>
      <c r="S1359" s="9"/>
    </row>
    <row r="1360" spans="1:19" ht="12.5">
      <c r="A1360" s="5"/>
      <c r="B1360" s="5"/>
      <c r="C1360" s="5"/>
      <c r="D1360" s="5"/>
      <c r="E1360" s="5"/>
      <c r="F1360" s="5"/>
      <c r="G1360" s="5"/>
      <c r="H1360" s="5"/>
      <c r="K1360" s="23"/>
      <c r="L1360" s="5"/>
      <c r="M1360" s="5"/>
      <c r="N1360" s="5"/>
      <c r="P1360" s="5"/>
      <c r="R1360" s="9"/>
      <c r="S1360" s="9"/>
    </row>
    <row r="1361" spans="1:19" ht="12.5">
      <c r="A1361" s="5"/>
      <c r="B1361" s="5"/>
      <c r="C1361" s="5"/>
      <c r="D1361" s="5"/>
      <c r="E1361" s="5"/>
      <c r="F1361" s="5"/>
      <c r="G1361" s="5"/>
      <c r="H1361" s="5"/>
      <c r="K1361" s="23"/>
      <c r="L1361" s="5"/>
      <c r="M1361" s="5"/>
      <c r="N1361" s="5"/>
      <c r="P1361" s="5"/>
      <c r="R1361" s="9"/>
      <c r="S1361" s="9"/>
    </row>
    <row r="1362" spans="1:19" ht="12.5">
      <c r="A1362" s="5"/>
      <c r="B1362" s="5"/>
      <c r="C1362" s="5"/>
      <c r="D1362" s="5"/>
      <c r="E1362" s="5"/>
      <c r="F1362" s="5"/>
      <c r="G1362" s="5"/>
      <c r="H1362" s="5"/>
      <c r="K1362" s="23"/>
      <c r="L1362" s="5"/>
      <c r="M1362" s="5"/>
      <c r="N1362" s="5"/>
      <c r="P1362" s="5"/>
      <c r="R1362" s="9"/>
      <c r="S1362" s="9"/>
    </row>
    <row r="1363" spans="1:19" ht="12.5">
      <c r="A1363" s="5"/>
      <c r="B1363" s="5"/>
      <c r="C1363" s="5"/>
      <c r="D1363" s="5"/>
      <c r="E1363" s="5"/>
      <c r="F1363" s="5"/>
      <c r="G1363" s="5"/>
      <c r="H1363" s="5"/>
      <c r="K1363" s="23"/>
      <c r="L1363" s="5"/>
      <c r="M1363" s="5"/>
      <c r="N1363" s="5"/>
      <c r="P1363" s="5"/>
      <c r="R1363" s="9"/>
      <c r="S1363" s="9"/>
    </row>
    <row r="1364" spans="1:19" ht="12.5">
      <c r="A1364" s="5"/>
      <c r="B1364" s="5"/>
      <c r="C1364" s="5"/>
      <c r="D1364" s="5"/>
      <c r="E1364" s="5"/>
      <c r="F1364" s="5"/>
      <c r="G1364" s="5"/>
      <c r="H1364" s="5"/>
      <c r="K1364" s="23"/>
      <c r="L1364" s="5"/>
      <c r="M1364" s="5"/>
      <c r="N1364" s="5"/>
      <c r="P1364" s="5"/>
      <c r="R1364" s="9"/>
      <c r="S1364" s="9"/>
    </row>
    <row r="1365" spans="1:19" ht="12.5">
      <c r="A1365" s="5"/>
      <c r="B1365" s="5"/>
      <c r="C1365" s="5"/>
      <c r="D1365" s="5"/>
      <c r="E1365" s="5"/>
      <c r="F1365" s="5"/>
      <c r="G1365" s="5"/>
      <c r="H1365" s="5"/>
      <c r="K1365" s="23"/>
      <c r="L1365" s="5"/>
      <c r="M1365" s="5"/>
      <c r="N1365" s="5"/>
      <c r="P1365" s="5"/>
      <c r="R1365" s="9"/>
      <c r="S1365" s="9"/>
    </row>
    <row r="1366" spans="1:19" ht="12.5">
      <c r="A1366" s="5"/>
      <c r="B1366" s="5"/>
      <c r="C1366" s="5"/>
      <c r="D1366" s="5"/>
      <c r="E1366" s="5"/>
      <c r="F1366" s="5"/>
      <c r="G1366" s="5"/>
      <c r="H1366" s="5"/>
      <c r="K1366" s="23"/>
      <c r="L1366" s="5"/>
      <c r="M1366" s="5"/>
      <c r="N1366" s="5"/>
      <c r="P1366" s="5"/>
      <c r="R1366" s="9"/>
      <c r="S1366" s="9"/>
    </row>
    <row r="1367" spans="1:19" ht="12.5">
      <c r="A1367" s="5"/>
      <c r="B1367" s="5"/>
      <c r="C1367" s="5"/>
      <c r="D1367" s="5"/>
      <c r="E1367" s="5"/>
      <c r="F1367" s="5"/>
      <c r="G1367" s="5"/>
      <c r="H1367" s="5"/>
      <c r="K1367" s="23"/>
      <c r="L1367" s="5"/>
      <c r="M1367" s="5"/>
      <c r="N1367" s="5"/>
      <c r="P1367" s="5"/>
      <c r="R1367" s="9"/>
      <c r="S1367" s="9"/>
    </row>
    <row r="1368" spans="1:19" ht="12.5">
      <c r="A1368" s="5"/>
      <c r="B1368" s="5"/>
      <c r="C1368" s="5"/>
      <c r="D1368" s="5"/>
      <c r="E1368" s="5"/>
      <c r="F1368" s="5"/>
      <c r="G1368" s="5"/>
      <c r="H1368" s="5"/>
      <c r="K1368" s="23"/>
      <c r="L1368" s="5"/>
      <c r="M1368" s="5"/>
      <c r="N1368" s="5"/>
      <c r="P1368" s="5"/>
      <c r="R1368" s="9"/>
      <c r="S1368" s="9"/>
    </row>
    <row r="1369" spans="1:19" ht="12.5">
      <c r="A1369" s="5"/>
      <c r="B1369" s="5"/>
      <c r="C1369" s="5"/>
      <c r="D1369" s="5"/>
      <c r="E1369" s="5"/>
      <c r="F1369" s="5"/>
      <c r="G1369" s="5"/>
      <c r="H1369" s="5"/>
      <c r="K1369" s="23"/>
      <c r="L1369" s="5"/>
      <c r="M1369" s="5"/>
      <c r="N1369" s="5"/>
      <c r="P1369" s="5"/>
      <c r="R1369" s="9"/>
      <c r="S1369" s="9"/>
    </row>
    <row r="1370" spans="1:19" ht="12.5">
      <c r="A1370" s="5"/>
      <c r="B1370" s="5"/>
      <c r="C1370" s="5"/>
      <c r="D1370" s="5"/>
      <c r="E1370" s="5"/>
      <c r="F1370" s="5"/>
      <c r="G1370" s="5"/>
      <c r="H1370" s="5"/>
      <c r="K1370" s="23"/>
      <c r="L1370" s="5"/>
      <c r="M1370" s="5"/>
      <c r="N1370" s="5"/>
      <c r="P1370" s="5"/>
      <c r="R1370" s="9"/>
      <c r="S1370" s="9"/>
    </row>
    <row r="1371" spans="1:19" ht="12.5">
      <c r="A1371" s="5"/>
      <c r="B1371" s="5"/>
      <c r="C1371" s="5"/>
      <c r="D1371" s="5"/>
      <c r="E1371" s="5"/>
      <c r="F1371" s="5"/>
      <c r="G1371" s="5"/>
      <c r="H1371" s="5"/>
      <c r="K1371" s="23"/>
      <c r="L1371" s="5"/>
      <c r="M1371" s="5"/>
      <c r="N1371" s="5"/>
      <c r="P1371" s="5"/>
      <c r="R1371" s="9"/>
      <c r="S1371" s="9"/>
    </row>
    <row r="1372" spans="1:19" ht="12.5">
      <c r="A1372" s="5"/>
      <c r="B1372" s="5"/>
      <c r="C1372" s="5"/>
      <c r="D1372" s="5"/>
      <c r="E1372" s="5"/>
      <c r="F1372" s="5"/>
      <c r="G1372" s="5"/>
      <c r="H1372" s="5"/>
      <c r="K1372" s="23"/>
      <c r="L1372" s="5"/>
      <c r="M1372" s="5"/>
      <c r="N1372" s="5"/>
      <c r="P1372" s="5"/>
      <c r="R1372" s="9"/>
      <c r="S1372" s="9"/>
    </row>
    <row r="1373" spans="1:19" ht="12.5">
      <c r="A1373" s="5"/>
      <c r="B1373" s="5"/>
      <c r="C1373" s="5"/>
      <c r="D1373" s="5"/>
      <c r="E1373" s="5"/>
      <c r="F1373" s="5"/>
      <c r="G1373" s="5"/>
      <c r="H1373" s="5"/>
      <c r="K1373" s="23"/>
      <c r="L1373" s="5"/>
      <c r="M1373" s="5"/>
      <c r="N1373" s="5"/>
      <c r="P1373" s="5"/>
      <c r="R1373" s="9"/>
      <c r="S1373" s="9"/>
    </row>
    <row r="1374" spans="1:19" ht="12.5">
      <c r="A1374" s="5"/>
      <c r="B1374" s="5"/>
      <c r="C1374" s="5"/>
      <c r="D1374" s="5"/>
      <c r="E1374" s="5"/>
      <c r="F1374" s="5"/>
      <c r="G1374" s="5"/>
      <c r="H1374" s="5"/>
      <c r="K1374" s="23"/>
      <c r="L1374" s="5"/>
      <c r="M1374" s="5"/>
      <c r="N1374" s="5"/>
      <c r="P1374" s="5"/>
      <c r="R1374" s="9"/>
      <c r="S1374" s="9"/>
    </row>
    <row r="1375" spans="1:19" ht="12.5">
      <c r="A1375" s="5"/>
      <c r="B1375" s="5"/>
      <c r="C1375" s="5"/>
      <c r="D1375" s="5"/>
      <c r="E1375" s="5"/>
      <c r="F1375" s="5"/>
      <c r="G1375" s="5"/>
      <c r="H1375" s="5"/>
      <c r="K1375" s="23"/>
      <c r="L1375" s="5"/>
      <c r="M1375" s="5"/>
      <c r="N1375" s="5"/>
      <c r="P1375" s="5"/>
      <c r="R1375" s="9"/>
      <c r="S1375" s="9"/>
    </row>
    <row r="1376" spans="1:19" ht="12.5">
      <c r="A1376" s="5"/>
      <c r="B1376" s="5"/>
      <c r="C1376" s="5"/>
      <c r="D1376" s="5"/>
      <c r="E1376" s="5"/>
      <c r="F1376" s="5"/>
      <c r="G1376" s="5"/>
      <c r="H1376" s="5"/>
      <c r="K1376" s="23"/>
      <c r="L1376" s="5"/>
      <c r="M1376" s="5"/>
      <c r="N1376" s="5"/>
      <c r="P1376" s="5"/>
      <c r="R1376" s="9"/>
      <c r="S1376" s="9"/>
    </row>
    <row r="1377" spans="1:19" ht="12.5">
      <c r="A1377" s="5"/>
      <c r="B1377" s="5"/>
      <c r="C1377" s="5"/>
      <c r="D1377" s="5"/>
      <c r="E1377" s="5"/>
      <c r="F1377" s="5"/>
      <c r="G1377" s="5"/>
      <c r="H1377" s="5"/>
      <c r="K1377" s="23"/>
      <c r="L1377" s="5"/>
      <c r="M1377" s="5"/>
      <c r="N1377" s="5"/>
      <c r="P1377" s="5"/>
      <c r="R1377" s="9"/>
      <c r="S1377" s="9"/>
    </row>
    <row r="1378" spans="1:19" ht="12.5">
      <c r="A1378" s="5"/>
      <c r="B1378" s="5"/>
      <c r="C1378" s="5"/>
      <c r="D1378" s="5"/>
      <c r="E1378" s="5"/>
      <c r="F1378" s="5"/>
      <c r="G1378" s="5"/>
      <c r="H1378" s="5"/>
      <c r="K1378" s="23"/>
      <c r="L1378" s="5"/>
      <c r="M1378" s="5"/>
      <c r="N1378" s="5"/>
      <c r="P1378" s="5"/>
      <c r="R1378" s="9"/>
      <c r="S1378" s="9"/>
    </row>
    <row r="1379" spans="1:19" ht="12.5">
      <c r="A1379" s="5"/>
      <c r="B1379" s="5"/>
      <c r="C1379" s="5"/>
      <c r="D1379" s="5"/>
      <c r="E1379" s="5"/>
      <c r="F1379" s="5"/>
      <c r="G1379" s="5"/>
      <c r="H1379" s="5"/>
      <c r="K1379" s="23"/>
      <c r="L1379" s="5"/>
      <c r="M1379" s="5"/>
      <c r="N1379" s="5"/>
      <c r="P1379" s="5"/>
      <c r="R1379" s="9"/>
      <c r="S1379" s="9"/>
    </row>
    <row r="1380" spans="1:19" ht="12.5">
      <c r="A1380" s="5"/>
      <c r="B1380" s="5"/>
      <c r="C1380" s="5"/>
      <c r="D1380" s="5"/>
      <c r="E1380" s="5"/>
      <c r="F1380" s="5"/>
      <c r="G1380" s="5"/>
      <c r="H1380" s="5"/>
      <c r="K1380" s="23"/>
      <c r="L1380" s="5"/>
      <c r="M1380" s="5"/>
      <c r="N1380" s="5"/>
      <c r="P1380" s="5"/>
      <c r="R1380" s="9"/>
      <c r="S1380" s="9"/>
    </row>
    <row r="1381" spans="1:19" ht="12.5">
      <c r="A1381" s="5"/>
      <c r="B1381" s="5"/>
      <c r="C1381" s="5"/>
      <c r="D1381" s="5"/>
      <c r="E1381" s="5"/>
      <c r="F1381" s="5"/>
      <c r="G1381" s="5"/>
      <c r="H1381" s="5"/>
      <c r="K1381" s="23"/>
      <c r="L1381" s="5"/>
      <c r="M1381" s="5"/>
      <c r="N1381" s="5"/>
      <c r="P1381" s="5"/>
      <c r="R1381" s="9"/>
      <c r="S1381" s="9"/>
    </row>
    <row r="1382" spans="1:19" ht="12.5">
      <c r="A1382" s="5"/>
      <c r="B1382" s="5"/>
      <c r="C1382" s="5"/>
      <c r="D1382" s="5"/>
      <c r="E1382" s="5"/>
      <c r="F1382" s="5"/>
      <c r="G1382" s="5"/>
      <c r="H1382" s="5"/>
      <c r="K1382" s="23"/>
      <c r="L1382" s="5"/>
      <c r="M1382" s="5"/>
      <c r="N1382" s="5"/>
      <c r="P1382" s="5"/>
      <c r="R1382" s="9"/>
      <c r="S1382" s="9"/>
    </row>
    <row r="1383" spans="1:19" ht="12.5">
      <c r="A1383" s="5"/>
      <c r="B1383" s="5"/>
      <c r="C1383" s="5"/>
      <c r="D1383" s="5"/>
      <c r="E1383" s="5"/>
      <c r="F1383" s="5"/>
      <c r="G1383" s="5"/>
      <c r="H1383" s="5"/>
      <c r="K1383" s="23"/>
      <c r="L1383" s="5"/>
      <c r="M1383" s="5"/>
      <c r="N1383" s="5"/>
      <c r="P1383" s="5"/>
      <c r="R1383" s="9"/>
      <c r="S1383" s="9"/>
    </row>
    <row r="1384" spans="1:19" ht="12.5">
      <c r="A1384" s="5"/>
      <c r="B1384" s="5"/>
      <c r="C1384" s="5"/>
      <c r="D1384" s="5"/>
      <c r="E1384" s="5"/>
      <c r="F1384" s="5"/>
      <c r="G1384" s="5"/>
      <c r="H1384" s="5"/>
      <c r="K1384" s="23"/>
      <c r="L1384" s="5"/>
      <c r="M1384" s="5"/>
      <c r="N1384" s="5"/>
      <c r="P1384" s="5"/>
      <c r="R1384" s="9"/>
      <c r="S1384" s="9"/>
    </row>
    <row r="1385" spans="1:19" ht="12.5">
      <c r="A1385" s="5"/>
      <c r="B1385" s="5"/>
      <c r="C1385" s="5"/>
      <c r="D1385" s="5"/>
      <c r="E1385" s="5"/>
      <c r="F1385" s="5"/>
      <c r="G1385" s="5"/>
      <c r="H1385" s="5"/>
      <c r="K1385" s="23"/>
      <c r="L1385" s="5"/>
      <c r="M1385" s="5"/>
      <c r="N1385" s="5"/>
      <c r="P1385" s="5"/>
      <c r="R1385" s="9"/>
      <c r="S1385" s="9"/>
    </row>
    <row r="1386" spans="1:19" ht="12.5">
      <c r="A1386" s="5"/>
      <c r="B1386" s="5"/>
      <c r="C1386" s="5"/>
      <c r="D1386" s="5"/>
      <c r="E1386" s="5"/>
      <c r="F1386" s="5"/>
      <c r="G1386" s="5"/>
      <c r="H1386" s="5"/>
      <c r="K1386" s="23"/>
      <c r="L1386" s="5"/>
      <c r="M1386" s="5"/>
      <c r="N1386" s="5"/>
      <c r="P1386" s="5"/>
      <c r="R1386" s="9"/>
      <c r="S1386" s="9"/>
    </row>
    <row r="1387" spans="1:19" ht="12.5">
      <c r="A1387" s="5"/>
      <c r="B1387" s="5"/>
      <c r="C1387" s="5"/>
      <c r="D1387" s="5"/>
      <c r="E1387" s="5"/>
      <c r="F1387" s="5"/>
      <c r="G1387" s="5"/>
      <c r="H1387" s="5"/>
      <c r="K1387" s="23"/>
      <c r="L1387" s="5"/>
      <c r="M1387" s="5"/>
      <c r="N1387" s="5"/>
      <c r="P1387" s="5"/>
      <c r="R1387" s="9"/>
      <c r="S1387" s="9"/>
    </row>
    <row r="1388" spans="1:19" ht="12.5">
      <c r="A1388" s="5"/>
      <c r="B1388" s="5"/>
      <c r="C1388" s="5"/>
      <c r="D1388" s="5"/>
      <c r="E1388" s="5"/>
      <c r="F1388" s="5"/>
      <c r="G1388" s="5"/>
      <c r="H1388" s="5"/>
      <c r="K1388" s="23"/>
      <c r="L1388" s="5"/>
      <c r="M1388" s="5"/>
      <c r="N1388" s="5"/>
      <c r="P1388" s="5"/>
      <c r="R1388" s="9"/>
      <c r="S1388" s="9"/>
    </row>
    <row r="1389" spans="1:19" ht="12.5">
      <c r="A1389" s="5"/>
      <c r="B1389" s="5"/>
      <c r="C1389" s="5"/>
      <c r="D1389" s="5"/>
      <c r="E1389" s="5"/>
      <c r="F1389" s="5"/>
      <c r="G1389" s="5"/>
      <c r="H1389" s="5"/>
      <c r="K1389" s="23"/>
      <c r="L1389" s="5"/>
      <c r="M1389" s="5"/>
      <c r="N1389" s="5"/>
      <c r="P1389" s="5"/>
      <c r="R1389" s="9"/>
      <c r="S1389" s="9"/>
    </row>
    <row r="1390" spans="1:19" ht="12.5">
      <c r="A1390" s="5"/>
      <c r="B1390" s="5"/>
      <c r="C1390" s="5"/>
      <c r="D1390" s="5"/>
      <c r="E1390" s="5"/>
      <c r="F1390" s="5"/>
      <c r="G1390" s="5"/>
      <c r="H1390" s="5"/>
      <c r="K1390" s="23"/>
      <c r="L1390" s="5"/>
      <c r="M1390" s="5"/>
      <c r="N1390" s="5"/>
      <c r="P1390" s="5"/>
      <c r="R1390" s="9"/>
      <c r="S1390" s="9"/>
    </row>
    <row r="1391" spans="1:19" ht="12.5">
      <c r="A1391" s="5"/>
      <c r="B1391" s="5"/>
      <c r="C1391" s="5"/>
      <c r="D1391" s="5"/>
      <c r="E1391" s="5"/>
      <c r="F1391" s="5"/>
      <c r="G1391" s="5"/>
      <c r="H1391" s="5"/>
      <c r="K1391" s="23"/>
      <c r="L1391" s="5"/>
      <c r="M1391" s="5"/>
      <c r="N1391" s="5"/>
      <c r="P1391" s="5"/>
      <c r="R1391" s="9"/>
      <c r="S1391" s="9"/>
    </row>
    <row r="1392" spans="1:19" ht="12.5">
      <c r="A1392" s="5"/>
      <c r="B1392" s="5"/>
      <c r="C1392" s="5"/>
      <c r="D1392" s="5"/>
      <c r="E1392" s="5"/>
      <c r="F1392" s="5"/>
      <c r="G1392" s="5"/>
      <c r="H1392" s="5"/>
      <c r="K1392" s="23"/>
      <c r="L1392" s="5"/>
      <c r="M1392" s="5"/>
      <c r="N1392" s="5"/>
      <c r="P1392" s="5"/>
      <c r="R1392" s="9"/>
      <c r="S1392" s="9"/>
    </row>
    <row r="1393" spans="1:19" ht="12.5">
      <c r="A1393" s="5"/>
      <c r="B1393" s="5"/>
      <c r="C1393" s="5"/>
      <c r="D1393" s="5"/>
      <c r="E1393" s="5"/>
      <c r="F1393" s="5"/>
      <c r="G1393" s="5"/>
      <c r="H1393" s="5"/>
      <c r="K1393" s="23"/>
      <c r="L1393" s="5"/>
      <c r="M1393" s="5"/>
      <c r="N1393" s="5"/>
      <c r="P1393" s="5"/>
      <c r="R1393" s="9"/>
      <c r="S1393" s="9"/>
    </row>
    <row r="1394" spans="1:19" ht="12.5">
      <c r="A1394" s="5"/>
      <c r="B1394" s="5"/>
      <c r="C1394" s="5"/>
      <c r="D1394" s="5"/>
      <c r="E1394" s="5"/>
      <c r="F1394" s="5"/>
      <c r="G1394" s="5"/>
      <c r="H1394" s="5"/>
      <c r="K1394" s="23"/>
      <c r="L1394" s="5"/>
      <c r="M1394" s="5"/>
      <c r="N1394" s="5"/>
      <c r="P1394" s="5"/>
      <c r="R1394" s="9"/>
      <c r="S1394" s="9"/>
    </row>
    <row r="1395" spans="1:19" ht="12.5">
      <c r="A1395" s="5"/>
      <c r="B1395" s="5"/>
      <c r="C1395" s="5"/>
      <c r="D1395" s="5"/>
      <c r="E1395" s="5"/>
      <c r="F1395" s="5"/>
      <c r="G1395" s="5"/>
      <c r="H1395" s="5"/>
      <c r="K1395" s="23"/>
      <c r="L1395" s="5"/>
      <c r="M1395" s="5"/>
      <c r="N1395" s="5"/>
      <c r="P1395" s="5"/>
      <c r="R1395" s="9"/>
      <c r="S1395" s="9"/>
    </row>
    <row r="1396" spans="1:19" ht="12.5">
      <c r="A1396" s="5"/>
      <c r="B1396" s="5"/>
      <c r="C1396" s="5"/>
      <c r="D1396" s="5"/>
      <c r="E1396" s="5"/>
      <c r="F1396" s="5"/>
      <c r="G1396" s="5"/>
      <c r="H1396" s="5"/>
      <c r="K1396" s="23"/>
      <c r="L1396" s="5"/>
      <c r="M1396" s="5"/>
      <c r="N1396" s="5"/>
      <c r="P1396" s="5"/>
      <c r="R1396" s="9"/>
      <c r="S1396" s="9"/>
    </row>
    <row r="1397" spans="1:19" ht="12.5">
      <c r="A1397" s="5"/>
      <c r="B1397" s="5"/>
      <c r="C1397" s="5"/>
      <c r="D1397" s="5"/>
      <c r="E1397" s="5"/>
      <c r="F1397" s="5"/>
      <c r="G1397" s="5"/>
      <c r="H1397" s="5"/>
      <c r="K1397" s="23"/>
      <c r="L1397" s="5"/>
      <c r="M1397" s="5"/>
      <c r="N1397" s="5"/>
      <c r="P1397" s="5"/>
      <c r="R1397" s="9"/>
      <c r="S1397" s="9"/>
    </row>
    <row r="1398" spans="1:19" ht="12.5">
      <c r="A1398" s="5"/>
      <c r="B1398" s="5"/>
      <c r="C1398" s="5"/>
      <c r="D1398" s="5"/>
      <c r="E1398" s="5"/>
      <c r="F1398" s="5"/>
      <c r="G1398" s="5"/>
      <c r="H1398" s="5"/>
      <c r="K1398" s="23"/>
      <c r="L1398" s="5"/>
      <c r="M1398" s="5"/>
      <c r="N1398" s="5"/>
      <c r="P1398" s="5"/>
      <c r="R1398" s="9"/>
      <c r="S1398" s="9"/>
    </row>
    <row r="1399" spans="1:19" ht="12.5">
      <c r="A1399" s="5"/>
      <c r="B1399" s="5"/>
      <c r="C1399" s="5"/>
      <c r="D1399" s="5"/>
      <c r="E1399" s="5"/>
      <c r="F1399" s="5"/>
      <c r="G1399" s="5"/>
      <c r="H1399" s="5"/>
      <c r="K1399" s="23"/>
      <c r="L1399" s="5"/>
      <c r="M1399" s="5"/>
      <c r="N1399" s="5"/>
      <c r="P1399" s="5"/>
      <c r="R1399" s="9"/>
      <c r="S1399" s="9"/>
    </row>
    <row r="1400" spans="1:19" ht="12.5">
      <c r="A1400" s="5"/>
      <c r="B1400" s="5"/>
      <c r="C1400" s="5"/>
      <c r="D1400" s="5"/>
      <c r="E1400" s="5"/>
      <c r="F1400" s="5"/>
      <c r="G1400" s="5"/>
      <c r="H1400" s="5"/>
      <c r="K1400" s="23"/>
      <c r="L1400" s="5"/>
      <c r="M1400" s="5"/>
      <c r="N1400" s="5"/>
      <c r="P1400" s="5"/>
      <c r="R1400" s="9"/>
      <c r="S1400" s="9"/>
    </row>
    <row r="1401" spans="1:19" ht="12.5">
      <c r="A1401" s="5"/>
      <c r="B1401" s="5"/>
      <c r="C1401" s="5"/>
      <c r="D1401" s="5"/>
      <c r="E1401" s="5"/>
      <c r="F1401" s="5"/>
      <c r="G1401" s="5"/>
      <c r="H1401" s="5"/>
      <c r="K1401" s="23"/>
      <c r="L1401" s="5"/>
      <c r="M1401" s="5"/>
      <c r="N1401" s="5"/>
      <c r="P1401" s="5"/>
      <c r="R1401" s="9"/>
      <c r="S1401" s="9"/>
    </row>
    <row r="1402" spans="1:19" ht="12.5">
      <c r="A1402" s="5"/>
      <c r="B1402" s="5"/>
      <c r="C1402" s="5"/>
      <c r="D1402" s="5"/>
      <c r="E1402" s="5"/>
      <c r="F1402" s="5"/>
      <c r="G1402" s="5"/>
      <c r="H1402" s="5"/>
      <c r="K1402" s="23"/>
      <c r="L1402" s="5"/>
      <c r="M1402" s="5"/>
      <c r="N1402" s="5"/>
      <c r="P1402" s="5"/>
      <c r="R1402" s="9"/>
      <c r="S1402" s="9"/>
    </row>
    <row r="1403" spans="1:19" ht="12.5">
      <c r="A1403" s="5"/>
      <c r="B1403" s="5"/>
      <c r="C1403" s="5"/>
      <c r="D1403" s="5"/>
      <c r="E1403" s="5"/>
      <c r="F1403" s="5"/>
      <c r="G1403" s="5"/>
      <c r="H1403" s="5"/>
      <c r="K1403" s="23"/>
      <c r="L1403" s="5"/>
      <c r="M1403" s="5"/>
      <c r="N1403" s="5"/>
      <c r="P1403" s="5"/>
      <c r="R1403" s="9"/>
      <c r="S1403" s="9"/>
    </row>
    <row r="1404" spans="1:19" ht="12.5">
      <c r="A1404" s="5"/>
      <c r="B1404" s="5"/>
      <c r="C1404" s="5"/>
      <c r="D1404" s="5"/>
      <c r="E1404" s="5"/>
      <c r="F1404" s="5"/>
      <c r="G1404" s="5"/>
      <c r="H1404" s="5"/>
      <c r="K1404" s="23"/>
      <c r="L1404" s="5"/>
      <c r="M1404" s="5"/>
      <c r="N1404" s="5"/>
      <c r="P1404" s="5"/>
      <c r="R1404" s="9"/>
      <c r="S1404" s="9"/>
    </row>
    <row r="1405" spans="1:19" ht="12.5">
      <c r="A1405" s="5"/>
      <c r="B1405" s="5"/>
      <c r="C1405" s="5"/>
      <c r="D1405" s="5"/>
      <c r="E1405" s="5"/>
      <c r="F1405" s="5"/>
      <c r="G1405" s="5"/>
      <c r="H1405" s="5"/>
      <c r="K1405" s="23"/>
      <c r="L1405" s="5"/>
      <c r="M1405" s="5"/>
      <c r="N1405" s="5"/>
      <c r="P1405" s="5"/>
      <c r="R1405" s="9"/>
      <c r="S1405" s="9"/>
    </row>
    <row r="1406" spans="1:19" ht="12.5">
      <c r="A1406" s="5"/>
      <c r="B1406" s="5"/>
      <c r="C1406" s="5"/>
      <c r="D1406" s="5"/>
      <c r="E1406" s="5"/>
      <c r="F1406" s="5"/>
      <c r="G1406" s="5"/>
      <c r="H1406" s="5"/>
      <c r="K1406" s="23"/>
      <c r="L1406" s="5"/>
      <c r="M1406" s="5"/>
      <c r="N1406" s="5"/>
      <c r="P1406" s="5"/>
      <c r="R1406" s="9"/>
      <c r="S1406" s="9"/>
    </row>
    <row r="1407" spans="1:19" ht="12.5">
      <c r="A1407" s="5"/>
      <c r="B1407" s="5"/>
      <c r="C1407" s="5"/>
      <c r="D1407" s="5"/>
      <c r="E1407" s="5"/>
      <c r="F1407" s="5"/>
      <c r="G1407" s="5"/>
      <c r="H1407" s="5"/>
      <c r="K1407" s="23"/>
      <c r="L1407" s="5"/>
      <c r="M1407" s="5"/>
      <c r="N1407" s="5"/>
      <c r="P1407" s="5"/>
      <c r="R1407" s="9"/>
      <c r="S1407" s="9"/>
    </row>
    <row r="1408" spans="1:19" ht="12.5">
      <c r="A1408" s="5"/>
      <c r="B1408" s="5"/>
      <c r="C1408" s="5"/>
      <c r="D1408" s="5"/>
      <c r="E1408" s="5"/>
      <c r="F1408" s="5"/>
      <c r="G1408" s="5"/>
      <c r="H1408" s="5"/>
      <c r="K1408" s="23"/>
      <c r="L1408" s="5"/>
      <c r="M1408" s="5"/>
      <c r="N1408" s="5"/>
      <c r="P1408" s="5"/>
      <c r="R1408" s="9"/>
      <c r="S1408" s="9"/>
    </row>
    <row r="1409" spans="1:19" ht="12.5">
      <c r="A1409" s="5"/>
      <c r="B1409" s="5"/>
      <c r="C1409" s="5"/>
      <c r="D1409" s="5"/>
      <c r="E1409" s="5"/>
      <c r="F1409" s="5"/>
      <c r="G1409" s="5"/>
      <c r="H1409" s="5"/>
      <c r="K1409" s="23"/>
      <c r="L1409" s="5"/>
      <c r="M1409" s="5"/>
      <c r="N1409" s="5"/>
      <c r="P1409" s="5"/>
      <c r="R1409" s="9"/>
      <c r="S1409" s="9"/>
    </row>
    <row r="1410" spans="1:19" ht="12.5">
      <c r="A1410" s="5"/>
      <c r="B1410" s="5"/>
      <c r="C1410" s="5"/>
      <c r="D1410" s="5"/>
      <c r="E1410" s="5"/>
      <c r="F1410" s="5"/>
      <c r="G1410" s="5"/>
      <c r="H1410" s="5"/>
      <c r="K1410" s="23"/>
      <c r="L1410" s="5"/>
      <c r="M1410" s="5"/>
      <c r="N1410" s="5"/>
      <c r="P1410" s="5"/>
      <c r="R1410" s="9"/>
      <c r="S1410" s="9"/>
    </row>
    <row r="1411" spans="1:19" ht="12.5">
      <c r="A1411" s="5"/>
      <c r="B1411" s="5"/>
      <c r="C1411" s="5"/>
      <c r="D1411" s="5"/>
      <c r="E1411" s="5"/>
      <c r="F1411" s="5"/>
      <c r="G1411" s="5"/>
      <c r="H1411" s="5"/>
      <c r="K1411" s="23"/>
      <c r="L1411" s="5"/>
      <c r="M1411" s="5"/>
      <c r="N1411" s="5"/>
      <c r="P1411" s="5"/>
      <c r="R1411" s="9"/>
      <c r="S1411" s="9"/>
    </row>
    <row r="1412" spans="1:19" ht="12.5">
      <c r="A1412" s="5"/>
      <c r="B1412" s="5"/>
      <c r="C1412" s="5"/>
      <c r="D1412" s="5"/>
      <c r="E1412" s="5"/>
      <c r="F1412" s="5"/>
      <c r="G1412" s="5"/>
      <c r="H1412" s="5"/>
      <c r="K1412" s="23"/>
      <c r="L1412" s="5"/>
      <c r="M1412" s="5"/>
      <c r="N1412" s="5"/>
      <c r="P1412" s="5"/>
      <c r="R1412" s="9"/>
      <c r="S1412" s="9"/>
    </row>
    <row r="1413" spans="1:19" ht="12.5">
      <c r="A1413" s="5"/>
      <c r="B1413" s="5"/>
      <c r="C1413" s="5"/>
      <c r="D1413" s="5"/>
      <c r="E1413" s="5"/>
      <c r="F1413" s="5"/>
      <c r="G1413" s="5"/>
      <c r="H1413" s="5"/>
      <c r="K1413" s="23"/>
      <c r="L1413" s="5"/>
      <c r="M1413" s="5"/>
      <c r="N1413" s="5"/>
      <c r="P1413" s="5"/>
      <c r="R1413" s="9"/>
      <c r="S1413" s="9"/>
    </row>
    <row r="1414" spans="1:19" ht="12.5">
      <c r="A1414" s="5"/>
      <c r="B1414" s="5"/>
      <c r="C1414" s="5"/>
      <c r="D1414" s="5"/>
      <c r="E1414" s="5"/>
      <c r="F1414" s="5"/>
      <c r="G1414" s="5"/>
      <c r="H1414" s="5"/>
      <c r="K1414" s="23"/>
      <c r="L1414" s="5"/>
      <c r="M1414" s="5"/>
      <c r="N1414" s="5"/>
      <c r="P1414" s="5"/>
      <c r="R1414" s="9"/>
      <c r="S1414" s="9"/>
    </row>
    <row r="1415" spans="1:19" ht="12.5">
      <c r="A1415" s="5"/>
      <c r="B1415" s="5"/>
      <c r="C1415" s="5"/>
      <c r="D1415" s="5"/>
      <c r="E1415" s="5"/>
      <c r="F1415" s="5"/>
      <c r="G1415" s="5"/>
      <c r="H1415" s="5"/>
      <c r="K1415" s="23"/>
      <c r="L1415" s="5"/>
      <c r="M1415" s="5"/>
      <c r="N1415" s="5"/>
      <c r="P1415" s="5"/>
      <c r="R1415" s="9"/>
      <c r="S1415" s="9"/>
    </row>
    <row r="1416" spans="1:19" ht="12.5">
      <c r="A1416" s="5"/>
      <c r="B1416" s="5"/>
      <c r="C1416" s="5"/>
      <c r="D1416" s="5"/>
      <c r="E1416" s="5"/>
      <c r="F1416" s="5"/>
      <c r="G1416" s="5"/>
      <c r="H1416" s="5"/>
      <c r="K1416" s="23"/>
      <c r="L1416" s="5"/>
      <c r="M1416" s="5"/>
      <c r="N1416" s="5"/>
      <c r="P1416" s="5"/>
      <c r="R1416" s="9"/>
      <c r="S1416" s="9"/>
    </row>
    <row r="1417" spans="1:19" ht="12.5">
      <c r="A1417" s="5"/>
      <c r="B1417" s="5"/>
      <c r="C1417" s="5"/>
      <c r="D1417" s="5"/>
      <c r="E1417" s="5"/>
      <c r="F1417" s="5"/>
      <c r="G1417" s="5"/>
      <c r="H1417" s="5"/>
      <c r="K1417" s="23"/>
      <c r="L1417" s="5"/>
      <c r="M1417" s="5"/>
      <c r="N1417" s="5"/>
      <c r="P1417" s="5"/>
      <c r="R1417" s="9"/>
      <c r="S1417" s="9"/>
    </row>
    <row r="1418" spans="1:19" ht="12.5">
      <c r="A1418" s="5"/>
      <c r="B1418" s="5"/>
      <c r="C1418" s="5"/>
      <c r="D1418" s="5"/>
      <c r="E1418" s="5"/>
      <c r="F1418" s="5"/>
      <c r="G1418" s="5"/>
      <c r="H1418" s="5"/>
      <c r="K1418" s="23"/>
      <c r="L1418" s="5"/>
      <c r="M1418" s="5"/>
      <c r="N1418" s="5"/>
      <c r="P1418" s="5"/>
      <c r="R1418" s="9"/>
      <c r="S1418" s="9"/>
    </row>
    <row r="1419" spans="1:19" ht="12.5">
      <c r="A1419" s="5"/>
      <c r="B1419" s="5"/>
      <c r="C1419" s="5"/>
      <c r="D1419" s="5"/>
      <c r="E1419" s="5"/>
      <c r="F1419" s="5"/>
      <c r="G1419" s="5"/>
      <c r="H1419" s="5"/>
      <c r="K1419" s="23"/>
      <c r="L1419" s="5"/>
      <c r="M1419" s="5"/>
      <c r="N1419" s="5"/>
      <c r="P1419" s="5"/>
      <c r="R1419" s="9"/>
      <c r="S1419" s="9"/>
    </row>
    <row r="1420" spans="1:19" ht="12.5">
      <c r="A1420" s="5"/>
      <c r="B1420" s="5"/>
      <c r="C1420" s="5"/>
      <c r="D1420" s="5"/>
      <c r="E1420" s="5"/>
      <c r="F1420" s="5"/>
      <c r="G1420" s="5"/>
      <c r="H1420" s="5"/>
      <c r="K1420" s="23"/>
      <c r="L1420" s="5"/>
      <c r="M1420" s="5"/>
      <c r="N1420" s="5"/>
      <c r="P1420" s="5"/>
      <c r="R1420" s="9"/>
      <c r="S1420" s="9"/>
    </row>
    <row r="1421" spans="1:19" ht="12.5">
      <c r="A1421" s="5"/>
      <c r="B1421" s="5"/>
      <c r="C1421" s="5"/>
      <c r="D1421" s="5"/>
      <c r="E1421" s="5"/>
      <c r="F1421" s="5"/>
      <c r="G1421" s="5"/>
      <c r="H1421" s="5"/>
      <c r="K1421" s="23"/>
      <c r="L1421" s="5"/>
      <c r="M1421" s="5"/>
      <c r="N1421" s="5"/>
      <c r="P1421" s="5"/>
      <c r="R1421" s="9"/>
      <c r="S1421" s="9"/>
    </row>
    <row r="1422" spans="1:19" ht="12.5">
      <c r="A1422" s="5"/>
      <c r="B1422" s="5"/>
      <c r="C1422" s="5"/>
      <c r="D1422" s="5"/>
      <c r="E1422" s="5"/>
      <c r="F1422" s="5"/>
      <c r="G1422" s="5"/>
      <c r="H1422" s="5"/>
      <c r="K1422" s="23"/>
      <c r="L1422" s="5"/>
      <c r="M1422" s="5"/>
      <c r="N1422" s="5"/>
      <c r="P1422" s="5"/>
      <c r="R1422" s="9"/>
      <c r="S1422" s="9"/>
    </row>
    <row r="1423" spans="1:19" ht="12.5">
      <c r="A1423" s="5"/>
      <c r="B1423" s="5"/>
      <c r="C1423" s="5"/>
      <c r="D1423" s="5"/>
      <c r="E1423" s="5"/>
      <c r="F1423" s="5"/>
      <c r="G1423" s="5"/>
      <c r="H1423" s="5"/>
      <c r="K1423" s="23"/>
      <c r="L1423" s="5"/>
      <c r="M1423" s="5"/>
      <c r="N1423" s="5"/>
      <c r="P1423" s="5"/>
      <c r="R1423" s="9"/>
      <c r="S1423" s="9"/>
    </row>
    <row r="1424" spans="1:19" ht="12.5">
      <c r="A1424" s="5"/>
      <c r="B1424" s="5"/>
      <c r="C1424" s="5"/>
      <c r="D1424" s="5"/>
      <c r="E1424" s="5"/>
      <c r="F1424" s="5"/>
      <c r="G1424" s="5"/>
      <c r="H1424" s="5"/>
      <c r="K1424" s="23"/>
      <c r="L1424" s="5"/>
      <c r="M1424" s="5"/>
      <c r="N1424" s="5"/>
      <c r="P1424" s="5"/>
      <c r="R1424" s="9"/>
      <c r="S1424" s="9"/>
    </row>
    <row r="1425" spans="1:19" ht="12.5">
      <c r="A1425" s="5"/>
      <c r="B1425" s="5"/>
      <c r="C1425" s="5"/>
      <c r="D1425" s="5"/>
      <c r="E1425" s="5"/>
      <c r="F1425" s="5"/>
      <c r="G1425" s="5"/>
      <c r="H1425" s="5"/>
      <c r="K1425" s="23"/>
      <c r="L1425" s="5"/>
      <c r="M1425" s="5"/>
      <c r="N1425" s="5"/>
      <c r="P1425" s="5"/>
      <c r="R1425" s="9"/>
      <c r="S1425" s="9"/>
    </row>
    <row r="1426" spans="1:19" ht="12.5">
      <c r="A1426" s="5"/>
      <c r="B1426" s="5"/>
      <c r="C1426" s="5"/>
      <c r="D1426" s="5"/>
      <c r="E1426" s="5"/>
      <c r="F1426" s="5"/>
      <c r="G1426" s="5"/>
      <c r="H1426" s="5"/>
      <c r="K1426" s="23"/>
      <c r="L1426" s="5"/>
      <c r="M1426" s="5"/>
      <c r="N1426" s="5"/>
      <c r="P1426" s="5"/>
      <c r="R1426" s="9"/>
      <c r="S1426" s="9"/>
    </row>
    <row r="1427" spans="1:19" ht="12.5">
      <c r="A1427" s="5"/>
      <c r="B1427" s="5"/>
      <c r="C1427" s="5"/>
      <c r="D1427" s="5"/>
      <c r="E1427" s="5"/>
      <c r="F1427" s="5"/>
      <c r="G1427" s="5"/>
      <c r="H1427" s="5"/>
      <c r="K1427" s="23"/>
      <c r="L1427" s="5"/>
      <c r="M1427" s="5"/>
      <c r="N1427" s="5"/>
      <c r="P1427" s="5"/>
      <c r="R1427" s="9"/>
      <c r="S1427" s="9"/>
    </row>
    <row r="1428" spans="1:19" ht="12.5">
      <c r="A1428" s="5"/>
      <c r="B1428" s="5"/>
      <c r="C1428" s="5"/>
      <c r="D1428" s="5"/>
      <c r="E1428" s="5"/>
      <c r="F1428" s="5"/>
      <c r="G1428" s="5"/>
      <c r="H1428" s="5"/>
      <c r="K1428" s="23"/>
      <c r="L1428" s="5"/>
      <c r="M1428" s="5"/>
      <c r="N1428" s="5"/>
      <c r="P1428" s="5"/>
      <c r="R1428" s="9"/>
      <c r="S1428" s="9"/>
    </row>
    <row r="1429" spans="1:19" ht="12.5">
      <c r="A1429" s="5"/>
      <c r="B1429" s="5"/>
      <c r="C1429" s="5"/>
      <c r="D1429" s="5"/>
      <c r="E1429" s="5"/>
      <c r="F1429" s="5"/>
      <c r="G1429" s="5"/>
      <c r="H1429" s="5"/>
      <c r="K1429" s="23"/>
      <c r="L1429" s="5"/>
      <c r="M1429" s="5"/>
      <c r="N1429" s="5"/>
      <c r="P1429" s="5"/>
      <c r="R1429" s="9"/>
      <c r="S1429" s="9"/>
    </row>
    <row r="1430" spans="1:19" ht="12.5">
      <c r="A1430" s="5"/>
      <c r="B1430" s="5"/>
      <c r="C1430" s="5"/>
      <c r="D1430" s="5"/>
      <c r="E1430" s="5"/>
      <c r="F1430" s="5"/>
      <c r="G1430" s="5"/>
      <c r="H1430" s="5"/>
      <c r="K1430" s="23"/>
      <c r="L1430" s="5"/>
      <c r="M1430" s="5"/>
      <c r="N1430" s="5"/>
      <c r="P1430" s="5"/>
      <c r="R1430" s="9"/>
      <c r="S1430" s="9"/>
    </row>
    <row r="1431" spans="1:19" ht="12.5">
      <c r="A1431" s="5"/>
      <c r="B1431" s="5"/>
      <c r="C1431" s="5"/>
      <c r="D1431" s="5"/>
      <c r="E1431" s="5"/>
      <c r="F1431" s="5"/>
      <c r="G1431" s="5"/>
      <c r="H1431" s="5"/>
      <c r="K1431" s="23"/>
      <c r="L1431" s="5"/>
      <c r="M1431" s="5"/>
      <c r="N1431" s="5"/>
      <c r="P1431" s="5"/>
      <c r="R1431" s="9"/>
      <c r="S1431" s="9"/>
    </row>
    <row r="1432" spans="1:19" ht="12.5">
      <c r="A1432" s="5"/>
      <c r="B1432" s="5"/>
      <c r="C1432" s="5"/>
      <c r="D1432" s="5"/>
      <c r="E1432" s="5"/>
      <c r="F1432" s="5"/>
      <c r="G1432" s="5"/>
      <c r="H1432" s="5"/>
      <c r="K1432" s="23"/>
      <c r="L1432" s="5"/>
      <c r="M1432" s="5"/>
      <c r="N1432" s="5"/>
      <c r="P1432" s="5"/>
      <c r="R1432" s="9"/>
      <c r="S1432" s="9"/>
    </row>
    <row r="1433" spans="1:19" ht="12.5">
      <c r="A1433" s="5"/>
      <c r="B1433" s="5"/>
      <c r="C1433" s="5"/>
      <c r="D1433" s="5"/>
      <c r="E1433" s="5"/>
      <c r="F1433" s="5"/>
      <c r="G1433" s="5"/>
      <c r="H1433" s="5"/>
      <c r="K1433" s="23"/>
      <c r="L1433" s="5"/>
      <c r="M1433" s="5"/>
      <c r="N1433" s="5"/>
      <c r="P1433" s="5"/>
      <c r="R1433" s="9"/>
      <c r="S1433" s="9"/>
    </row>
    <row r="1434" spans="1:19" ht="12.5">
      <c r="A1434" s="5"/>
      <c r="B1434" s="5"/>
      <c r="C1434" s="5"/>
      <c r="D1434" s="5"/>
      <c r="E1434" s="5"/>
      <c r="F1434" s="5"/>
      <c r="G1434" s="5"/>
      <c r="H1434" s="5"/>
      <c r="K1434" s="23"/>
      <c r="L1434" s="5"/>
      <c r="M1434" s="5"/>
      <c r="N1434" s="5"/>
      <c r="P1434" s="5"/>
      <c r="R1434" s="9"/>
      <c r="S1434" s="9"/>
    </row>
    <row r="1435" spans="1:19" ht="12.5">
      <c r="A1435" s="5"/>
      <c r="B1435" s="5"/>
      <c r="C1435" s="5"/>
      <c r="D1435" s="5"/>
      <c r="E1435" s="5"/>
      <c r="F1435" s="5"/>
      <c r="G1435" s="5"/>
      <c r="H1435" s="5"/>
      <c r="K1435" s="23"/>
      <c r="L1435" s="5"/>
      <c r="M1435" s="5"/>
      <c r="N1435" s="5"/>
      <c r="P1435" s="5"/>
      <c r="R1435" s="9"/>
      <c r="S1435" s="9"/>
    </row>
    <row r="1436" spans="1:19" ht="12.5">
      <c r="A1436" s="5"/>
      <c r="B1436" s="5"/>
      <c r="C1436" s="5"/>
      <c r="D1436" s="5"/>
      <c r="E1436" s="5"/>
      <c r="F1436" s="5"/>
      <c r="G1436" s="5"/>
      <c r="H1436" s="5"/>
      <c r="K1436" s="23"/>
      <c r="L1436" s="5"/>
      <c r="M1436" s="5"/>
      <c r="N1436" s="5"/>
      <c r="P1436" s="5"/>
      <c r="R1436" s="9"/>
      <c r="S1436" s="9"/>
    </row>
    <row r="1437" spans="1:19" ht="12.5">
      <c r="A1437" s="5"/>
      <c r="B1437" s="5"/>
      <c r="C1437" s="5"/>
      <c r="D1437" s="5"/>
      <c r="E1437" s="5"/>
      <c r="F1437" s="5"/>
      <c r="G1437" s="5"/>
      <c r="H1437" s="5"/>
      <c r="K1437" s="23"/>
      <c r="L1437" s="5"/>
      <c r="M1437" s="5"/>
      <c r="N1437" s="5"/>
      <c r="P1437" s="5"/>
      <c r="R1437" s="9"/>
      <c r="S1437" s="9"/>
    </row>
    <row r="1438" spans="1:19" ht="12.5">
      <c r="A1438" s="5"/>
      <c r="B1438" s="5"/>
      <c r="C1438" s="5"/>
      <c r="D1438" s="5"/>
      <c r="E1438" s="5"/>
      <c r="F1438" s="5"/>
      <c r="G1438" s="5"/>
      <c r="H1438" s="5"/>
      <c r="K1438" s="23"/>
      <c r="L1438" s="5"/>
      <c r="M1438" s="5"/>
      <c r="N1438" s="5"/>
      <c r="P1438" s="5"/>
      <c r="R1438" s="9"/>
      <c r="S1438" s="9"/>
    </row>
    <row r="1439" spans="1:19" ht="12.5">
      <c r="A1439" s="5"/>
      <c r="B1439" s="5"/>
      <c r="C1439" s="5"/>
      <c r="D1439" s="5"/>
      <c r="E1439" s="5"/>
      <c r="F1439" s="5"/>
      <c r="G1439" s="5"/>
      <c r="H1439" s="5"/>
      <c r="K1439" s="23"/>
      <c r="L1439" s="5"/>
      <c r="M1439" s="5"/>
      <c r="N1439" s="5"/>
      <c r="P1439" s="5"/>
      <c r="R1439" s="9"/>
      <c r="S1439" s="9"/>
    </row>
    <row r="1440" spans="1:19" ht="12.5">
      <c r="A1440" s="5"/>
      <c r="B1440" s="5"/>
      <c r="C1440" s="5"/>
      <c r="D1440" s="5"/>
      <c r="E1440" s="5"/>
      <c r="F1440" s="5"/>
      <c r="G1440" s="5"/>
      <c r="H1440" s="5"/>
      <c r="K1440" s="23"/>
      <c r="L1440" s="5"/>
      <c r="M1440" s="5"/>
      <c r="N1440" s="5"/>
      <c r="P1440" s="5"/>
      <c r="R1440" s="9"/>
      <c r="S1440" s="9"/>
    </row>
    <row r="1441" spans="1:19" ht="12.5">
      <c r="A1441" s="5"/>
      <c r="B1441" s="5"/>
      <c r="C1441" s="5"/>
      <c r="D1441" s="5"/>
      <c r="E1441" s="5"/>
      <c r="F1441" s="5"/>
      <c r="G1441" s="5"/>
      <c r="H1441" s="5"/>
      <c r="K1441" s="23"/>
      <c r="L1441" s="5"/>
      <c r="M1441" s="5"/>
      <c r="N1441" s="5"/>
      <c r="P1441" s="5"/>
      <c r="R1441" s="9"/>
      <c r="S1441" s="9"/>
    </row>
    <row r="1442" spans="1:19" ht="12.5">
      <c r="A1442" s="5"/>
      <c r="B1442" s="5"/>
      <c r="C1442" s="5"/>
      <c r="D1442" s="5"/>
      <c r="E1442" s="5"/>
      <c r="F1442" s="5"/>
      <c r="G1442" s="5"/>
      <c r="H1442" s="5"/>
      <c r="K1442" s="23"/>
      <c r="L1442" s="5"/>
      <c r="M1442" s="5"/>
      <c r="N1442" s="5"/>
      <c r="P1442" s="5"/>
      <c r="R1442" s="9"/>
      <c r="S1442" s="9"/>
    </row>
    <row r="1443" spans="1:19" ht="12.5">
      <c r="A1443" s="5"/>
      <c r="B1443" s="5"/>
      <c r="C1443" s="5"/>
      <c r="D1443" s="5"/>
      <c r="E1443" s="5"/>
      <c r="F1443" s="5"/>
      <c r="G1443" s="5"/>
      <c r="H1443" s="5"/>
      <c r="K1443" s="23"/>
      <c r="L1443" s="5"/>
      <c r="M1443" s="5"/>
      <c r="N1443" s="5"/>
      <c r="P1443" s="5"/>
      <c r="R1443" s="9"/>
      <c r="S1443" s="9"/>
    </row>
    <row r="1444" spans="1:19" ht="12.5">
      <c r="A1444" s="5"/>
      <c r="B1444" s="5"/>
      <c r="C1444" s="5"/>
      <c r="D1444" s="5"/>
      <c r="E1444" s="5"/>
      <c r="F1444" s="5"/>
      <c r="G1444" s="5"/>
      <c r="H1444" s="5"/>
      <c r="K1444" s="23"/>
      <c r="L1444" s="5"/>
      <c r="M1444" s="5"/>
      <c r="N1444" s="5"/>
      <c r="P1444" s="5"/>
      <c r="R1444" s="9"/>
      <c r="S1444" s="9"/>
    </row>
    <row r="1445" spans="1:19" ht="12.5">
      <c r="A1445" s="5"/>
      <c r="B1445" s="5"/>
      <c r="C1445" s="5"/>
      <c r="D1445" s="5"/>
      <c r="E1445" s="5"/>
      <c r="F1445" s="5"/>
      <c r="G1445" s="5"/>
      <c r="H1445" s="5"/>
      <c r="K1445" s="23"/>
      <c r="L1445" s="5"/>
      <c r="M1445" s="5"/>
      <c r="N1445" s="5"/>
      <c r="P1445" s="5"/>
      <c r="R1445" s="9"/>
      <c r="S1445" s="9"/>
    </row>
    <row r="1446" spans="1:19" ht="12.5">
      <c r="A1446" s="5"/>
      <c r="B1446" s="5"/>
      <c r="C1446" s="5"/>
      <c r="D1446" s="5"/>
      <c r="E1446" s="5"/>
      <c r="F1446" s="5"/>
      <c r="G1446" s="5"/>
      <c r="H1446" s="5"/>
      <c r="K1446" s="23"/>
      <c r="L1446" s="5"/>
      <c r="M1446" s="5"/>
      <c r="N1446" s="5"/>
      <c r="P1446" s="5"/>
      <c r="R1446" s="9"/>
      <c r="S1446" s="9"/>
    </row>
    <row r="1447" spans="1:19" ht="12.5">
      <c r="A1447" s="5"/>
      <c r="B1447" s="5"/>
      <c r="C1447" s="5"/>
      <c r="D1447" s="5"/>
      <c r="E1447" s="5"/>
      <c r="F1447" s="5"/>
      <c r="G1447" s="5"/>
      <c r="H1447" s="5"/>
      <c r="K1447" s="23"/>
      <c r="L1447" s="5"/>
      <c r="M1447" s="5"/>
      <c r="N1447" s="5"/>
      <c r="P1447" s="5"/>
      <c r="R1447" s="9"/>
      <c r="S1447" s="9"/>
    </row>
    <row r="1448" spans="1:19" ht="12.5">
      <c r="A1448" s="5"/>
      <c r="B1448" s="5"/>
      <c r="C1448" s="5"/>
      <c r="D1448" s="5"/>
      <c r="E1448" s="5"/>
      <c r="F1448" s="5"/>
      <c r="G1448" s="5"/>
      <c r="H1448" s="5"/>
      <c r="K1448" s="23"/>
      <c r="L1448" s="5"/>
      <c r="M1448" s="5"/>
      <c r="N1448" s="5"/>
      <c r="P1448" s="5"/>
      <c r="R1448" s="9"/>
      <c r="S1448" s="9"/>
    </row>
    <row r="1449" spans="1:19" ht="12.5">
      <c r="A1449" s="5"/>
      <c r="B1449" s="5"/>
      <c r="C1449" s="5"/>
      <c r="D1449" s="5"/>
      <c r="E1449" s="5"/>
      <c r="F1449" s="5"/>
      <c r="G1449" s="5"/>
      <c r="H1449" s="5"/>
      <c r="K1449" s="23"/>
      <c r="L1449" s="5"/>
      <c r="M1449" s="5"/>
      <c r="N1449" s="5"/>
      <c r="P1449" s="5"/>
      <c r="R1449" s="9"/>
      <c r="S1449" s="9"/>
    </row>
    <row r="1450" spans="1:19" ht="12.5">
      <c r="A1450" s="5"/>
      <c r="B1450" s="5"/>
      <c r="C1450" s="5"/>
      <c r="D1450" s="5"/>
      <c r="E1450" s="5"/>
      <c r="F1450" s="5"/>
      <c r="G1450" s="5"/>
      <c r="H1450" s="5"/>
      <c r="K1450" s="23"/>
      <c r="L1450" s="5"/>
      <c r="M1450" s="5"/>
      <c r="N1450" s="5"/>
      <c r="P1450" s="5"/>
      <c r="R1450" s="9"/>
      <c r="S1450" s="9"/>
    </row>
    <row r="1451" spans="1:19" ht="12.5">
      <c r="A1451" s="5"/>
      <c r="B1451" s="5"/>
      <c r="C1451" s="5"/>
      <c r="D1451" s="5"/>
      <c r="E1451" s="5"/>
      <c r="F1451" s="5"/>
      <c r="G1451" s="5"/>
      <c r="H1451" s="5"/>
      <c r="K1451" s="23"/>
      <c r="L1451" s="5"/>
      <c r="M1451" s="5"/>
      <c r="N1451" s="5"/>
      <c r="P1451" s="5"/>
      <c r="R1451" s="9"/>
      <c r="S1451" s="9"/>
    </row>
    <row r="1452" spans="1:19" ht="12.5">
      <c r="A1452" s="5"/>
      <c r="B1452" s="5"/>
      <c r="C1452" s="5"/>
      <c r="D1452" s="5"/>
      <c r="E1452" s="5"/>
      <c r="F1452" s="5"/>
      <c r="G1452" s="5"/>
      <c r="H1452" s="5"/>
      <c r="K1452" s="23"/>
      <c r="L1452" s="5"/>
      <c r="M1452" s="5"/>
      <c r="N1452" s="5"/>
      <c r="P1452" s="5"/>
      <c r="R1452" s="9"/>
      <c r="S1452" s="9"/>
    </row>
    <row r="1453" spans="1:19" ht="12.5">
      <c r="A1453" s="5"/>
      <c r="B1453" s="5"/>
      <c r="C1453" s="5"/>
      <c r="D1453" s="5"/>
      <c r="E1453" s="5"/>
      <c r="F1453" s="5"/>
      <c r="G1453" s="5"/>
      <c r="H1453" s="5"/>
      <c r="K1453" s="23"/>
      <c r="L1453" s="5"/>
      <c r="M1453" s="5"/>
      <c r="N1453" s="5"/>
      <c r="P1453" s="5"/>
      <c r="R1453" s="9"/>
      <c r="S1453" s="9"/>
    </row>
    <row r="1454" spans="1:19" ht="12.5">
      <c r="A1454" s="5"/>
      <c r="B1454" s="5"/>
      <c r="C1454" s="5"/>
      <c r="D1454" s="5"/>
      <c r="E1454" s="5"/>
      <c r="F1454" s="5"/>
      <c r="G1454" s="5"/>
      <c r="H1454" s="5"/>
      <c r="K1454" s="23"/>
      <c r="L1454" s="5"/>
      <c r="M1454" s="5"/>
      <c r="N1454" s="5"/>
      <c r="P1454" s="5"/>
      <c r="R1454" s="9"/>
      <c r="S1454" s="9"/>
    </row>
    <row r="1455" spans="1:19" ht="12.5">
      <c r="A1455" s="5"/>
      <c r="B1455" s="5"/>
      <c r="C1455" s="5"/>
      <c r="D1455" s="5"/>
      <c r="E1455" s="5"/>
      <c r="F1455" s="5"/>
      <c r="G1455" s="5"/>
      <c r="H1455" s="5"/>
      <c r="K1455" s="23"/>
      <c r="L1455" s="5"/>
      <c r="M1455" s="5"/>
      <c r="N1455" s="5"/>
      <c r="P1455" s="5"/>
      <c r="R1455" s="9"/>
      <c r="S1455" s="9"/>
    </row>
    <row r="1456" spans="1:19" ht="12.5">
      <c r="A1456" s="5"/>
      <c r="B1456" s="5"/>
      <c r="C1456" s="5"/>
      <c r="D1456" s="5"/>
      <c r="E1456" s="5"/>
      <c r="F1456" s="5"/>
      <c r="G1456" s="5"/>
      <c r="H1456" s="5"/>
      <c r="K1456" s="23"/>
      <c r="L1456" s="5"/>
      <c r="M1456" s="5"/>
      <c r="N1456" s="5"/>
      <c r="P1456" s="5"/>
      <c r="R1456" s="9"/>
      <c r="S1456" s="9"/>
    </row>
    <row r="1457" spans="1:19" ht="12.5">
      <c r="A1457" s="5"/>
      <c r="B1457" s="5"/>
      <c r="C1457" s="5"/>
      <c r="D1457" s="5"/>
      <c r="E1457" s="5"/>
      <c r="F1457" s="5"/>
      <c r="G1457" s="5"/>
      <c r="H1457" s="5"/>
      <c r="K1457" s="23"/>
      <c r="L1457" s="5"/>
      <c r="M1457" s="5"/>
      <c r="N1457" s="5"/>
      <c r="P1457" s="5"/>
      <c r="R1457" s="9"/>
      <c r="S1457" s="9"/>
    </row>
    <row r="1458" spans="1:19" ht="12.5">
      <c r="A1458" s="5"/>
      <c r="B1458" s="5"/>
      <c r="C1458" s="5"/>
      <c r="D1458" s="5"/>
      <c r="E1458" s="5"/>
      <c r="F1458" s="5"/>
      <c r="G1458" s="5"/>
      <c r="H1458" s="5"/>
      <c r="K1458" s="23"/>
      <c r="L1458" s="5"/>
      <c r="M1458" s="5"/>
      <c r="N1458" s="5"/>
      <c r="P1458" s="5"/>
      <c r="R1458" s="9"/>
      <c r="S1458" s="9"/>
    </row>
    <row r="1459" spans="1:19" ht="12.5">
      <c r="A1459" s="5"/>
      <c r="B1459" s="5"/>
      <c r="C1459" s="5"/>
      <c r="D1459" s="5"/>
      <c r="E1459" s="5"/>
      <c r="F1459" s="5"/>
      <c r="G1459" s="5"/>
      <c r="H1459" s="5"/>
      <c r="K1459" s="23"/>
      <c r="L1459" s="5"/>
      <c r="M1459" s="5"/>
      <c r="N1459" s="5"/>
      <c r="P1459" s="5"/>
      <c r="R1459" s="9"/>
      <c r="S1459" s="9"/>
    </row>
    <row r="1460" spans="1:19" ht="12.5">
      <c r="A1460" s="5"/>
      <c r="B1460" s="5"/>
      <c r="C1460" s="5"/>
      <c r="D1460" s="5"/>
      <c r="E1460" s="5"/>
      <c r="F1460" s="5"/>
      <c r="G1460" s="5"/>
      <c r="H1460" s="5"/>
      <c r="K1460" s="23"/>
      <c r="L1460" s="5"/>
      <c r="M1460" s="5"/>
      <c r="N1460" s="5"/>
      <c r="P1460" s="5"/>
      <c r="R1460" s="9"/>
      <c r="S1460" s="9"/>
    </row>
    <row r="1461" spans="1:19" ht="12.5">
      <c r="A1461" s="5"/>
      <c r="B1461" s="5"/>
      <c r="C1461" s="5"/>
      <c r="D1461" s="5"/>
      <c r="E1461" s="5"/>
      <c r="F1461" s="5"/>
      <c r="G1461" s="5"/>
      <c r="H1461" s="5"/>
      <c r="K1461" s="23"/>
      <c r="L1461" s="5"/>
      <c r="M1461" s="5"/>
      <c r="N1461" s="5"/>
      <c r="P1461" s="5"/>
      <c r="R1461" s="9"/>
      <c r="S1461" s="9"/>
    </row>
    <row r="1462" spans="1:19" ht="12.5">
      <c r="A1462" s="5"/>
      <c r="B1462" s="5"/>
      <c r="C1462" s="5"/>
      <c r="D1462" s="5"/>
      <c r="E1462" s="5"/>
      <c r="F1462" s="5"/>
      <c r="G1462" s="5"/>
      <c r="H1462" s="5"/>
      <c r="K1462" s="23"/>
      <c r="L1462" s="5"/>
      <c r="M1462" s="5"/>
      <c r="N1462" s="5"/>
      <c r="P1462" s="5"/>
      <c r="R1462" s="9"/>
      <c r="S1462" s="9"/>
    </row>
    <row r="1463" spans="1:19" ht="12.5">
      <c r="A1463" s="5"/>
      <c r="B1463" s="5"/>
      <c r="C1463" s="5"/>
      <c r="D1463" s="5"/>
      <c r="E1463" s="5"/>
      <c r="F1463" s="5"/>
      <c r="G1463" s="5"/>
      <c r="H1463" s="5"/>
      <c r="K1463" s="23"/>
      <c r="L1463" s="5"/>
      <c r="M1463" s="5"/>
      <c r="N1463" s="5"/>
      <c r="P1463" s="5"/>
      <c r="R1463" s="9"/>
      <c r="S1463" s="9"/>
    </row>
    <row r="1464" spans="1:19" ht="12.5">
      <c r="A1464" s="5"/>
      <c r="B1464" s="5"/>
      <c r="C1464" s="5"/>
      <c r="D1464" s="5"/>
      <c r="E1464" s="5"/>
      <c r="F1464" s="5"/>
      <c r="G1464" s="5"/>
      <c r="H1464" s="5"/>
      <c r="K1464" s="23"/>
      <c r="L1464" s="5"/>
      <c r="M1464" s="5"/>
      <c r="N1464" s="5"/>
      <c r="P1464" s="5"/>
      <c r="R1464" s="9"/>
      <c r="S1464" s="9"/>
    </row>
    <row r="1465" spans="1:19" ht="12.5">
      <c r="A1465" s="5"/>
      <c r="B1465" s="5"/>
      <c r="C1465" s="5"/>
      <c r="D1465" s="5"/>
      <c r="E1465" s="5"/>
      <c r="F1465" s="5"/>
      <c r="G1465" s="5"/>
      <c r="H1465" s="5"/>
      <c r="K1465" s="23"/>
      <c r="L1465" s="5"/>
      <c r="M1465" s="5"/>
      <c r="N1465" s="5"/>
      <c r="P1465" s="5"/>
      <c r="R1465" s="9"/>
      <c r="S1465" s="9"/>
    </row>
    <row r="1466" spans="1:19" ht="12.5">
      <c r="A1466" s="5"/>
      <c r="B1466" s="5"/>
      <c r="C1466" s="5"/>
      <c r="D1466" s="5"/>
      <c r="E1466" s="5"/>
      <c r="F1466" s="5"/>
      <c r="G1466" s="5"/>
      <c r="H1466" s="5"/>
      <c r="K1466" s="23"/>
      <c r="L1466" s="5"/>
      <c r="M1466" s="5"/>
      <c r="N1466" s="5"/>
      <c r="P1466" s="5"/>
      <c r="R1466" s="9"/>
      <c r="S1466" s="9"/>
    </row>
    <row r="1467" spans="1:19" ht="12.5">
      <c r="A1467" s="5"/>
      <c r="B1467" s="5"/>
      <c r="C1467" s="5"/>
      <c r="D1467" s="5"/>
      <c r="E1467" s="5"/>
      <c r="F1467" s="5"/>
      <c r="G1467" s="5"/>
      <c r="H1467" s="5"/>
      <c r="K1467" s="23"/>
      <c r="L1467" s="5"/>
      <c r="M1467" s="5"/>
      <c r="N1467" s="5"/>
      <c r="P1467" s="5"/>
      <c r="R1467" s="9"/>
      <c r="S1467" s="9"/>
    </row>
    <row r="1468" spans="1:19" ht="12.5">
      <c r="A1468" s="5"/>
      <c r="B1468" s="5"/>
      <c r="C1468" s="5"/>
      <c r="D1468" s="5"/>
      <c r="E1468" s="5"/>
      <c r="F1468" s="5"/>
      <c r="G1468" s="5"/>
      <c r="H1468" s="5"/>
      <c r="K1468" s="23"/>
      <c r="L1468" s="5"/>
      <c r="M1468" s="5"/>
      <c r="N1468" s="5"/>
      <c r="P1468" s="5"/>
      <c r="R1468" s="9"/>
      <c r="S1468" s="9"/>
    </row>
    <row r="1469" spans="1:19" ht="12.5">
      <c r="A1469" s="5"/>
      <c r="B1469" s="5"/>
      <c r="C1469" s="5"/>
      <c r="D1469" s="5"/>
      <c r="E1469" s="5"/>
      <c r="F1469" s="5"/>
      <c r="G1469" s="5"/>
      <c r="H1469" s="5"/>
      <c r="K1469" s="23"/>
      <c r="L1469" s="5"/>
      <c r="M1469" s="5"/>
      <c r="N1469" s="5"/>
      <c r="P1469" s="5"/>
      <c r="R1469" s="9"/>
      <c r="S1469" s="9"/>
    </row>
    <row r="1470" spans="1:19" ht="12.5">
      <c r="A1470" s="5"/>
      <c r="B1470" s="5"/>
      <c r="C1470" s="5"/>
      <c r="D1470" s="5"/>
      <c r="E1470" s="5"/>
      <c r="F1470" s="5"/>
      <c r="G1470" s="5"/>
      <c r="H1470" s="5"/>
      <c r="K1470" s="23"/>
      <c r="L1470" s="5"/>
      <c r="M1470" s="5"/>
      <c r="N1470" s="5"/>
      <c r="P1470" s="5"/>
      <c r="R1470" s="9"/>
      <c r="S1470" s="9"/>
    </row>
    <row r="1471" spans="1:19" ht="12.5">
      <c r="A1471" s="5"/>
      <c r="B1471" s="5"/>
      <c r="C1471" s="5"/>
      <c r="D1471" s="5"/>
      <c r="E1471" s="5"/>
      <c r="F1471" s="5"/>
      <c r="G1471" s="5"/>
      <c r="H1471" s="5"/>
      <c r="K1471" s="23"/>
      <c r="L1471" s="5"/>
      <c r="M1471" s="5"/>
      <c r="N1471" s="5"/>
      <c r="P1471" s="5"/>
      <c r="R1471" s="9"/>
      <c r="S1471" s="9"/>
    </row>
    <row r="1472" spans="1:19" ht="12.5">
      <c r="A1472" s="5"/>
      <c r="B1472" s="5"/>
      <c r="C1472" s="5"/>
      <c r="D1472" s="5"/>
      <c r="E1472" s="5"/>
      <c r="F1472" s="5"/>
      <c r="G1472" s="5"/>
      <c r="H1472" s="5"/>
      <c r="K1472" s="23"/>
      <c r="L1472" s="5"/>
      <c r="M1472" s="5"/>
      <c r="N1472" s="5"/>
      <c r="P1472" s="5"/>
      <c r="R1472" s="9"/>
      <c r="S1472" s="9"/>
    </row>
    <row r="1473" spans="1:19" ht="12.5">
      <c r="A1473" s="5"/>
      <c r="B1473" s="5"/>
      <c r="C1473" s="5"/>
      <c r="D1473" s="5"/>
      <c r="E1473" s="5"/>
      <c r="F1473" s="5"/>
      <c r="G1473" s="5"/>
      <c r="H1473" s="5"/>
      <c r="K1473" s="23"/>
      <c r="L1473" s="5"/>
      <c r="M1473" s="5"/>
      <c r="N1473" s="5"/>
      <c r="P1473" s="5"/>
      <c r="R1473" s="9"/>
      <c r="S1473" s="9"/>
    </row>
    <row r="1474" spans="1:19" ht="12.5">
      <c r="A1474" s="5"/>
      <c r="B1474" s="5"/>
      <c r="C1474" s="5"/>
      <c r="D1474" s="5"/>
      <c r="E1474" s="5"/>
      <c r="F1474" s="5"/>
      <c r="G1474" s="5"/>
      <c r="H1474" s="5"/>
      <c r="K1474" s="23"/>
      <c r="L1474" s="5"/>
      <c r="M1474" s="5"/>
      <c r="N1474" s="5"/>
      <c r="P1474" s="5"/>
      <c r="R1474" s="9"/>
      <c r="S1474" s="9"/>
    </row>
    <row r="1475" spans="1:19" ht="12.5">
      <c r="A1475" s="5"/>
      <c r="B1475" s="5"/>
      <c r="C1475" s="5"/>
      <c r="D1475" s="5"/>
      <c r="E1475" s="5"/>
      <c r="F1475" s="5"/>
      <c r="G1475" s="5"/>
      <c r="H1475" s="5"/>
      <c r="K1475" s="23"/>
      <c r="L1475" s="5"/>
      <c r="M1475" s="5"/>
      <c r="N1475" s="5"/>
      <c r="P1475" s="5"/>
      <c r="R1475" s="9"/>
      <c r="S1475" s="9"/>
    </row>
    <row r="1476" spans="1:19" ht="12.5">
      <c r="A1476" s="5"/>
      <c r="B1476" s="5"/>
      <c r="C1476" s="5"/>
      <c r="D1476" s="5"/>
      <c r="E1476" s="5"/>
      <c r="F1476" s="5"/>
      <c r="G1476" s="5"/>
      <c r="H1476" s="5"/>
      <c r="K1476" s="23"/>
      <c r="L1476" s="5"/>
      <c r="M1476" s="5"/>
      <c r="N1476" s="5"/>
      <c r="P1476" s="5"/>
      <c r="R1476" s="9"/>
      <c r="S1476" s="9"/>
    </row>
    <row r="1477" spans="1:19" ht="12.5">
      <c r="A1477" s="5"/>
      <c r="B1477" s="5"/>
      <c r="C1477" s="5"/>
      <c r="D1477" s="5"/>
      <c r="E1477" s="5"/>
      <c r="F1477" s="5"/>
      <c r="G1477" s="5"/>
      <c r="H1477" s="5"/>
      <c r="K1477" s="23"/>
      <c r="L1477" s="5"/>
      <c r="M1477" s="5"/>
      <c r="N1477" s="5"/>
      <c r="P1477" s="5"/>
      <c r="R1477" s="9"/>
      <c r="S1477" s="9"/>
    </row>
    <row r="1478" spans="1:19" ht="12.5">
      <c r="A1478" s="5"/>
      <c r="B1478" s="5"/>
      <c r="C1478" s="5"/>
      <c r="D1478" s="5"/>
      <c r="E1478" s="5"/>
      <c r="F1478" s="5"/>
      <c r="G1478" s="5"/>
      <c r="H1478" s="5"/>
      <c r="K1478" s="23"/>
      <c r="L1478" s="5"/>
      <c r="M1478" s="5"/>
      <c r="N1478" s="5"/>
      <c r="P1478" s="5"/>
      <c r="R1478" s="9"/>
      <c r="S1478" s="9"/>
    </row>
    <row r="1479" spans="1:19" ht="12.5">
      <c r="A1479" s="5"/>
      <c r="B1479" s="5"/>
      <c r="C1479" s="5"/>
      <c r="D1479" s="5"/>
      <c r="E1479" s="5"/>
      <c r="F1479" s="5"/>
      <c r="G1479" s="5"/>
      <c r="H1479" s="5"/>
      <c r="K1479" s="23"/>
      <c r="L1479" s="5"/>
      <c r="M1479" s="5"/>
      <c r="N1479" s="5"/>
      <c r="P1479" s="5"/>
      <c r="R1479" s="9"/>
      <c r="S1479" s="9"/>
    </row>
    <row r="1480" spans="1:19" ht="12.5">
      <c r="A1480" s="5"/>
      <c r="B1480" s="5"/>
      <c r="C1480" s="5"/>
      <c r="D1480" s="5"/>
      <c r="E1480" s="5"/>
      <c r="F1480" s="5"/>
      <c r="G1480" s="5"/>
      <c r="H1480" s="5"/>
      <c r="K1480" s="23"/>
      <c r="L1480" s="5"/>
      <c r="M1480" s="5"/>
      <c r="N1480" s="5"/>
      <c r="P1480" s="5"/>
      <c r="R1480" s="9"/>
      <c r="S1480" s="9"/>
    </row>
    <row r="1481" spans="1:19" ht="12.5">
      <c r="A1481" s="5"/>
      <c r="B1481" s="5"/>
      <c r="C1481" s="5"/>
      <c r="D1481" s="5"/>
      <c r="E1481" s="5"/>
      <c r="F1481" s="5"/>
      <c r="G1481" s="5"/>
      <c r="H1481" s="5"/>
      <c r="K1481" s="23"/>
      <c r="L1481" s="5"/>
      <c r="M1481" s="5"/>
      <c r="N1481" s="5"/>
      <c r="P1481" s="5"/>
      <c r="R1481" s="9"/>
      <c r="S1481" s="9"/>
    </row>
    <row r="1482" spans="1:19" ht="12.5">
      <c r="A1482" s="5"/>
      <c r="B1482" s="5"/>
      <c r="C1482" s="5"/>
      <c r="D1482" s="5"/>
      <c r="E1482" s="5"/>
      <c r="F1482" s="5"/>
      <c r="G1482" s="5"/>
      <c r="H1482" s="5"/>
      <c r="K1482" s="23"/>
      <c r="L1482" s="5"/>
      <c r="M1482" s="5"/>
      <c r="N1482" s="5"/>
      <c r="P1482" s="5"/>
      <c r="R1482" s="9"/>
      <c r="S1482" s="9"/>
    </row>
    <row r="1483" spans="1:19" ht="12.5">
      <c r="A1483" s="5"/>
      <c r="B1483" s="5"/>
      <c r="C1483" s="5"/>
      <c r="D1483" s="5"/>
      <c r="E1483" s="5"/>
      <c r="F1483" s="5"/>
      <c r="G1483" s="5"/>
      <c r="H1483" s="5"/>
      <c r="K1483" s="23"/>
      <c r="L1483" s="5"/>
      <c r="M1483" s="5"/>
      <c r="N1483" s="5"/>
      <c r="P1483" s="5"/>
      <c r="R1483" s="9"/>
      <c r="S1483" s="9"/>
    </row>
    <row r="1484" spans="1:19" ht="12.5">
      <c r="A1484" s="5"/>
      <c r="B1484" s="5"/>
      <c r="C1484" s="5"/>
      <c r="D1484" s="5"/>
      <c r="E1484" s="5"/>
      <c r="F1484" s="5"/>
      <c r="G1484" s="5"/>
      <c r="H1484" s="5"/>
      <c r="K1484" s="23"/>
      <c r="L1484" s="5"/>
      <c r="M1484" s="5"/>
      <c r="N1484" s="5"/>
      <c r="P1484" s="5"/>
      <c r="R1484" s="9"/>
      <c r="S1484" s="9"/>
    </row>
    <row r="1485" spans="1:19" ht="12.5">
      <c r="A1485" s="5"/>
      <c r="B1485" s="5"/>
      <c r="C1485" s="5"/>
      <c r="D1485" s="5"/>
      <c r="E1485" s="5"/>
      <c r="F1485" s="5"/>
      <c r="G1485" s="5"/>
      <c r="H1485" s="5"/>
      <c r="K1485" s="23"/>
      <c r="L1485" s="5"/>
      <c r="M1485" s="5"/>
      <c r="N1485" s="5"/>
      <c r="P1485" s="5"/>
      <c r="R1485" s="9"/>
      <c r="S1485" s="9"/>
    </row>
    <row r="1486" spans="1:19" ht="12.5">
      <c r="A1486" s="5"/>
      <c r="B1486" s="5"/>
      <c r="C1486" s="5"/>
      <c r="D1486" s="5"/>
      <c r="E1486" s="5"/>
      <c r="F1486" s="5"/>
      <c r="G1486" s="5"/>
      <c r="H1486" s="5"/>
      <c r="K1486" s="23"/>
      <c r="L1486" s="5"/>
      <c r="M1486" s="5"/>
      <c r="N1486" s="5"/>
      <c r="P1486" s="5"/>
      <c r="R1486" s="9"/>
      <c r="S1486" s="9"/>
    </row>
    <row r="1487" spans="1:19" ht="12.5">
      <c r="A1487" s="5"/>
      <c r="B1487" s="5"/>
      <c r="C1487" s="5"/>
      <c r="D1487" s="5"/>
      <c r="E1487" s="5"/>
      <c r="F1487" s="5"/>
      <c r="G1487" s="5"/>
      <c r="H1487" s="5"/>
      <c r="K1487" s="23"/>
      <c r="L1487" s="5"/>
      <c r="M1487" s="5"/>
      <c r="N1487" s="5"/>
      <c r="P1487" s="5"/>
      <c r="R1487" s="9"/>
      <c r="S1487" s="9"/>
    </row>
    <row r="1488" spans="1:19" ht="12.5">
      <c r="A1488" s="5"/>
      <c r="B1488" s="5"/>
      <c r="C1488" s="5"/>
      <c r="D1488" s="5"/>
      <c r="E1488" s="5"/>
      <c r="F1488" s="5"/>
      <c r="G1488" s="5"/>
      <c r="H1488" s="5"/>
      <c r="K1488" s="23"/>
      <c r="L1488" s="5"/>
      <c r="M1488" s="5"/>
      <c r="N1488" s="5"/>
      <c r="P1488" s="5"/>
      <c r="R1488" s="9"/>
      <c r="S1488" s="9"/>
    </row>
    <row r="1489" spans="1:19" ht="12.5">
      <c r="A1489" s="5"/>
      <c r="B1489" s="5"/>
      <c r="C1489" s="5"/>
      <c r="D1489" s="5"/>
      <c r="E1489" s="5"/>
      <c r="F1489" s="5"/>
      <c r="G1489" s="5"/>
      <c r="H1489" s="5"/>
      <c r="K1489" s="23"/>
      <c r="L1489" s="5"/>
      <c r="M1489" s="5"/>
      <c r="N1489" s="5"/>
      <c r="P1489" s="5"/>
      <c r="R1489" s="9"/>
      <c r="S1489" s="9"/>
    </row>
    <row r="1490" spans="1:19" ht="12.5">
      <c r="A1490" s="5"/>
      <c r="B1490" s="5"/>
      <c r="C1490" s="5"/>
      <c r="D1490" s="5"/>
      <c r="E1490" s="5"/>
      <c r="F1490" s="5"/>
      <c r="G1490" s="5"/>
      <c r="H1490" s="5"/>
      <c r="K1490" s="23"/>
      <c r="L1490" s="5"/>
      <c r="M1490" s="5"/>
      <c r="N1490" s="5"/>
      <c r="P1490" s="5"/>
      <c r="R1490" s="9"/>
      <c r="S1490" s="9"/>
    </row>
    <row r="1491" spans="1:19" ht="12.5">
      <c r="A1491" s="5"/>
      <c r="B1491" s="5"/>
      <c r="C1491" s="5"/>
      <c r="D1491" s="5"/>
      <c r="E1491" s="5"/>
      <c r="F1491" s="5"/>
      <c r="G1491" s="5"/>
      <c r="H1491" s="5"/>
      <c r="K1491" s="23"/>
      <c r="L1491" s="5"/>
      <c r="M1491" s="5"/>
      <c r="N1491" s="5"/>
      <c r="P1491" s="5"/>
      <c r="R1491" s="9"/>
      <c r="S1491" s="9"/>
    </row>
    <row r="1492" spans="1:19" ht="12.5">
      <c r="A1492" s="5"/>
      <c r="B1492" s="5"/>
      <c r="C1492" s="5"/>
      <c r="D1492" s="5"/>
      <c r="E1492" s="5"/>
      <c r="F1492" s="5"/>
      <c r="G1492" s="5"/>
      <c r="H1492" s="5"/>
      <c r="K1492" s="23"/>
      <c r="L1492" s="5"/>
      <c r="M1492" s="5"/>
      <c r="N1492" s="5"/>
      <c r="P1492" s="5"/>
      <c r="R1492" s="9"/>
      <c r="S1492" s="9"/>
    </row>
    <row r="1493" spans="1:19" ht="12.5">
      <c r="A1493" s="5"/>
      <c r="B1493" s="5"/>
      <c r="C1493" s="5"/>
      <c r="D1493" s="5"/>
      <c r="E1493" s="5"/>
      <c r="F1493" s="5"/>
      <c r="G1493" s="5"/>
      <c r="H1493" s="5"/>
      <c r="K1493" s="23"/>
      <c r="L1493" s="5"/>
      <c r="M1493" s="5"/>
      <c r="N1493" s="5"/>
      <c r="P1493" s="5"/>
      <c r="R1493" s="9"/>
      <c r="S1493" s="9"/>
    </row>
    <row r="1494" spans="1:19" ht="12.5">
      <c r="A1494" s="5"/>
      <c r="B1494" s="5"/>
      <c r="C1494" s="5"/>
      <c r="D1494" s="5"/>
      <c r="E1494" s="5"/>
      <c r="F1494" s="5"/>
      <c r="G1494" s="5"/>
      <c r="H1494" s="5"/>
      <c r="K1494" s="23"/>
      <c r="L1494" s="5"/>
      <c r="M1494" s="5"/>
      <c r="N1494" s="5"/>
      <c r="P1494" s="5"/>
      <c r="R1494" s="9"/>
      <c r="S1494" s="9"/>
    </row>
    <row r="1495" spans="1:19" ht="12.5">
      <c r="A1495" s="5"/>
      <c r="B1495" s="5"/>
      <c r="C1495" s="5"/>
      <c r="D1495" s="5"/>
      <c r="E1495" s="5"/>
      <c r="F1495" s="5"/>
      <c r="G1495" s="5"/>
      <c r="H1495" s="5"/>
      <c r="K1495" s="23"/>
      <c r="L1495" s="5"/>
      <c r="M1495" s="5"/>
      <c r="N1495" s="5"/>
      <c r="P1495" s="5"/>
      <c r="R1495" s="9"/>
      <c r="S1495" s="9"/>
    </row>
    <row r="1496" spans="1:19" ht="12.5">
      <c r="A1496" s="5"/>
      <c r="B1496" s="5"/>
      <c r="C1496" s="5"/>
      <c r="D1496" s="5"/>
      <c r="E1496" s="5"/>
      <c r="F1496" s="5"/>
      <c r="G1496" s="5"/>
      <c r="H1496" s="5"/>
      <c r="K1496" s="23"/>
      <c r="L1496" s="5"/>
      <c r="M1496" s="5"/>
      <c r="N1496" s="5"/>
      <c r="P1496" s="5"/>
      <c r="R1496" s="9"/>
      <c r="S1496" s="9"/>
    </row>
    <row r="1497" spans="1:19" ht="12.5">
      <c r="A1497" s="5"/>
      <c r="B1497" s="5"/>
      <c r="C1497" s="5"/>
      <c r="D1497" s="5"/>
      <c r="E1497" s="5"/>
      <c r="F1497" s="5"/>
      <c r="G1497" s="5"/>
      <c r="H1497" s="5"/>
      <c r="K1497" s="23"/>
      <c r="L1497" s="5"/>
      <c r="M1497" s="5"/>
      <c r="N1497" s="5"/>
      <c r="P1497" s="5"/>
      <c r="R1497" s="9"/>
      <c r="S1497" s="9"/>
    </row>
    <row r="1498" spans="1:19" ht="12.5">
      <c r="A1498" s="5"/>
      <c r="B1498" s="5"/>
      <c r="C1498" s="5"/>
      <c r="D1498" s="5"/>
      <c r="E1498" s="5"/>
      <c r="F1498" s="5"/>
      <c r="G1498" s="5"/>
      <c r="H1498" s="5"/>
      <c r="K1498" s="23"/>
      <c r="L1498" s="5"/>
      <c r="M1498" s="5"/>
      <c r="N1498" s="5"/>
      <c r="P1498" s="5"/>
      <c r="R1498" s="9"/>
      <c r="S1498" s="9"/>
    </row>
    <row r="1499" spans="1:19" ht="12.5">
      <c r="A1499" s="5"/>
      <c r="B1499" s="5"/>
      <c r="C1499" s="5"/>
      <c r="D1499" s="5"/>
      <c r="E1499" s="5"/>
      <c r="F1499" s="5"/>
      <c r="G1499" s="5"/>
      <c r="H1499" s="5"/>
      <c r="K1499" s="23"/>
      <c r="L1499" s="5"/>
      <c r="M1499" s="5"/>
      <c r="N1499" s="5"/>
      <c r="P1499" s="5"/>
      <c r="R1499" s="9"/>
      <c r="S1499" s="9"/>
    </row>
    <row r="1500" spans="1:19" ht="12.5">
      <c r="A1500" s="5"/>
      <c r="B1500" s="5"/>
      <c r="C1500" s="5"/>
      <c r="D1500" s="5"/>
      <c r="E1500" s="5"/>
      <c r="F1500" s="5"/>
      <c r="G1500" s="5"/>
      <c r="H1500" s="5"/>
      <c r="K1500" s="23"/>
      <c r="L1500" s="5"/>
      <c r="M1500" s="5"/>
      <c r="N1500" s="5"/>
      <c r="P1500" s="5"/>
      <c r="R1500" s="9"/>
      <c r="S1500" s="9"/>
    </row>
    <row r="1501" spans="1:19" ht="12.5">
      <c r="A1501" s="5"/>
      <c r="B1501" s="5"/>
      <c r="C1501" s="5"/>
      <c r="D1501" s="5"/>
      <c r="E1501" s="5"/>
      <c r="F1501" s="5"/>
      <c r="G1501" s="5"/>
      <c r="H1501" s="5"/>
      <c r="K1501" s="23"/>
      <c r="L1501" s="5"/>
      <c r="M1501" s="5"/>
      <c r="N1501" s="5"/>
      <c r="P1501" s="5"/>
      <c r="R1501" s="9"/>
      <c r="S1501" s="9"/>
    </row>
    <row r="1502" spans="1:19" ht="12.5">
      <c r="A1502" s="5"/>
      <c r="B1502" s="5"/>
      <c r="C1502" s="5"/>
      <c r="D1502" s="5"/>
      <c r="E1502" s="5"/>
      <c r="F1502" s="5"/>
      <c r="G1502" s="5"/>
      <c r="H1502" s="5"/>
      <c r="K1502" s="23"/>
      <c r="L1502" s="5"/>
      <c r="M1502" s="5"/>
      <c r="N1502" s="5"/>
      <c r="P1502" s="5"/>
      <c r="R1502" s="9"/>
      <c r="S1502" s="9"/>
    </row>
    <row r="1503" spans="1:19" ht="12.5">
      <c r="A1503" s="5"/>
      <c r="B1503" s="5"/>
      <c r="C1503" s="5"/>
      <c r="D1503" s="5"/>
      <c r="E1503" s="5"/>
      <c r="F1503" s="5"/>
      <c r="G1503" s="5"/>
      <c r="H1503" s="5"/>
      <c r="K1503" s="23"/>
      <c r="L1503" s="5"/>
      <c r="M1503" s="5"/>
      <c r="N1503" s="5"/>
      <c r="P1503" s="5"/>
      <c r="R1503" s="9"/>
      <c r="S1503" s="9"/>
    </row>
    <row r="1504" spans="1:19" ht="12.5">
      <c r="A1504" s="5"/>
      <c r="B1504" s="5"/>
      <c r="C1504" s="5"/>
      <c r="D1504" s="5"/>
      <c r="E1504" s="5"/>
      <c r="F1504" s="5"/>
      <c r="G1504" s="5"/>
      <c r="H1504" s="5"/>
      <c r="K1504" s="23"/>
      <c r="L1504" s="5"/>
      <c r="M1504" s="5"/>
      <c r="N1504" s="5"/>
      <c r="P1504" s="5"/>
      <c r="R1504" s="9"/>
      <c r="S1504" s="9"/>
    </row>
    <row r="1505" spans="1:19" ht="12.5">
      <c r="A1505" s="5"/>
      <c r="B1505" s="5"/>
      <c r="C1505" s="5"/>
      <c r="D1505" s="5"/>
      <c r="E1505" s="5"/>
      <c r="F1505" s="5"/>
      <c r="G1505" s="5"/>
      <c r="H1505" s="5"/>
      <c r="K1505" s="23"/>
      <c r="L1505" s="5"/>
      <c r="M1505" s="5"/>
      <c r="N1505" s="5"/>
      <c r="P1505" s="5"/>
      <c r="R1505" s="9"/>
      <c r="S1505" s="9"/>
    </row>
    <row r="1506" spans="1:19" ht="12.5">
      <c r="A1506" s="5"/>
      <c r="B1506" s="5"/>
      <c r="C1506" s="5"/>
      <c r="D1506" s="5"/>
      <c r="E1506" s="5"/>
      <c r="F1506" s="5"/>
      <c r="G1506" s="5"/>
      <c r="H1506" s="5"/>
      <c r="K1506" s="23"/>
      <c r="L1506" s="5"/>
      <c r="M1506" s="5"/>
      <c r="N1506" s="5"/>
      <c r="P1506" s="5"/>
      <c r="R1506" s="9"/>
      <c r="S1506" s="9"/>
    </row>
    <row r="1507" spans="1:19" ht="12.5">
      <c r="A1507" s="5"/>
      <c r="B1507" s="5"/>
      <c r="C1507" s="5"/>
      <c r="D1507" s="5"/>
      <c r="E1507" s="5"/>
      <c r="F1507" s="5"/>
      <c r="G1507" s="5"/>
      <c r="H1507" s="5"/>
      <c r="K1507" s="23"/>
      <c r="L1507" s="5"/>
      <c r="M1507" s="5"/>
      <c r="N1507" s="5"/>
      <c r="P1507" s="5"/>
      <c r="R1507" s="9"/>
      <c r="S1507" s="9"/>
    </row>
    <row r="1508" spans="1:19" ht="12.5">
      <c r="A1508" s="5"/>
      <c r="B1508" s="5"/>
      <c r="C1508" s="5"/>
      <c r="D1508" s="5"/>
      <c r="E1508" s="5"/>
      <c r="F1508" s="5"/>
      <c r="G1508" s="5"/>
      <c r="H1508" s="5"/>
      <c r="K1508" s="23"/>
      <c r="L1508" s="5"/>
      <c r="M1508" s="5"/>
      <c r="N1508" s="5"/>
      <c r="P1508" s="5"/>
      <c r="R1508" s="9"/>
      <c r="S1508" s="9"/>
    </row>
    <row r="1509" spans="1:19" ht="12.5">
      <c r="A1509" s="5"/>
      <c r="B1509" s="5"/>
      <c r="C1509" s="5"/>
      <c r="D1509" s="5"/>
      <c r="E1509" s="5"/>
      <c r="F1509" s="5"/>
      <c r="G1509" s="5"/>
      <c r="H1509" s="5"/>
      <c r="K1509" s="23"/>
      <c r="L1509" s="5"/>
      <c r="M1509" s="5"/>
      <c r="N1509" s="5"/>
      <c r="P1509" s="5"/>
      <c r="R1509" s="9"/>
      <c r="S1509" s="9"/>
    </row>
    <row r="1510" spans="1:19" ht="12.5">
      <c r="A1510" s="5"/>
      <c r="B1510" s="5"/>
      <c r="C1510" s="5"/>
      <c r="D1510" s="5"/>
      <c r="E1510" s="5"/>
      <c r="F1510" s="5"/>
      <c r="G1510" s="5"/>
      <c r="H1510" s="5"/>
      <c r="K1510" s="23"/>
      <c r="L1510" s="5"/>
      <c r="M1510" s="5"/>
      <c r="N1510" s="5"/>
      <c r="P1510" s="5"/>
      <c r="R1510" s="9"/>
      <c r="S1510" s="9"/>
    </row>
    <row r="1511" spans="1:19" ht="12.5">
      <c r="A1511" s="5"/>
      <c r="B1511" s="5"/>
      <c r="C1511" s="5"/>
      <c r="D1511" s="5"/>
      <c r="E1511" s="5"/>
      <c r="F1511" s="5"/>
      <c r="G1511" s="5"/>
      <c r="H1511" s="5"/>
      <c r="K1511" s="23"/>
      <c r="L1511" s="5"/>
      <c r="M1511" s="5"/>
      <c r="N1511" s="5"/>
      <c r="P1511" s="5"/>
      <c r="R1511" s="9"/>
      <c r="S1511" s="9"/>
    </row>
    <row r="1512" spans="1:19" ht="12.5">
      <c r="A1512" s="5"/>
      <c r="B1512" s="5"/>
      <c r="C1512" s="5"/>
      <c r="D1512" s="5"/>
      <c r="E1512" s="5"/>
      <c r="F1512" s="5"/>
      <c r="G1512" s="5"/>
      <c r="H1512" s="5"/>
      <c r="K1512" s="23"/>
      <c r="L1512" s="5"/>
      <c r="M1512" s="5"/>
      <c r="N1512" s="5"/>
      <c r="P1512" s="5"/>
      <c r="R1512" s="9"/>
      <c r="S1512" s="9"/>
    </row>
    <row r="1513" spans="1:19" ht="12.5">
      <c r="A1513" s="5"/>
      <c r="B1513" s="5"/>
      <c r="C1513" s="5"/>
      <c r="D1513" s="5"/>
      <c r="E1513" s="5"/>
      <c r="F1513" s="5"/>
      <c r="G1513" s="5"/>
      <c r="H1513" s="5"/>
      <c r="K1513" s="23"/>
      <c r="L1513" s="5"/>
      <c r="M1513" s="5"/>
      <c r="N1513" s="5"/>
      <c r="P1513" s="5"/>
      <c r="R1513" s="9"/>
      <c r="S1513" s="9"/>
    </row>
    <row r="1514" spans="1:19" ht="12.5">
      <c r="A1514" s="5"/>
      <c r="B1514" s="5"/>
      <c r="C1514" s="5"/>
      <c r="D1514" s="5"/>
      <c r="E1514" s="5"/>
      <c r="F1514" s="5"/>
      <c r="G1514" s="5"/>
      <c r="H1514" s="5"/>
      <c r="K1514" s="23"/>
      <c r="L1514" s="5"/>
      <c r="M1514" s="5"/>
      <c r="N1514" s="5"/>
      <c r="P1514" s="5"/>
      <c r="R1514" s="9"/>
      <c r="S1514" s="9"/>
    </row>
    <row r="1515" spans="1:19" ht="12.5">
      <c r="A1515" s="5"/>
      <c r="B1515" s="5"/>
      <c r="C1515" s="5"/>
      <c r="D1515" s="5"/>
      <c r="E1515" s="5"/>
      <c r="F1515" s="5"/>
      <c r="G1515" s="5"/>
      <c r="H1515" s="5"/>
      <c r="K1515" s="23"/>
      <c r="L1515" s="5"/>
      <c r="M1515" s="5"/>
      <c r="N1515" s="5"/>
      <c r="P1515" s="5"/>
      <c r="R1515" s="9"/>
      <c r="S1515" s="9"/>
    </row>
    <row r="1516" spans="1:19" ht="12.5">
      <c r="A1516" s="5"/>
      <c r="B1516" s="5"/>
      <c r="C1516" s="5"/>
      <c r="D1516" s="5"/>
      <c r="E1516" s="5"/>
      <c r="F1516" s="5"/>
      <c r="G1516" s="5"/>
      <c r="H1516" s="5"/>
      <c r="K1516" s="23"/>
      <c r="L1516" s="5"/>
      <c r="M1516" s="5"/>
      <c r="N1516" s="5"/>
      <c r="P1516" s="5"/>
      <c r="R1516" s="9"/>
      <c r="S1516" s="9"/>
    </row>
    <row r="1517" spans="1:19" ht="12.5">
      <c r="A1517" s="5"/>
      <c r="B1517" s="5"/>
      <c r="C1517" s="5"/>
      <c r="D1517" s="5"/>
      <c r="E1517" s="5"/>
      <c r="F1517" s="5"/>
      <c r="G1517" s="5"/>
      <c r="H1517" s="5"/>
      <c r="K1517" s="23"/>
      <c r="L1517" s="5"/>
      <c r="M1517" s="5"/>
      <c r="N1517" s="5"/>
      <c r="P1517" s="5"/>
      <c r="R1517" s="9"/>
      <c r="S1517" s="9"/>
    </row>
    <row r="1518" spans="1:19" ht="12.5">
      <c r="A1518" s="5"/>
      <c r="B1518" s="5"/>
      <c r="C1518" s="5"/>
      <c r="D1518" s="5"/>
      <c r="E1518" s="5"/>
      <c r="F1518" s="5"/>
      <c r="G1518" s="5"/>
      <c r="H1518" s="5"/>
      <c r="K1518" s="23"/>
      <c r="L1518" s="5"/>
      <c r="M1518" s="5"/>
      <c r="N1518" s="5"/>
      <c r="P1518" s="5"/>
      <c r="R1518" s="9"/>
      <c r="S1518" s="9"/>
    </row>
    <row r="1519" spans="1:19" ht="12.5">
      <c r="A1519" s="5"/>
      <c r="B1519" s="5"/>
      <c r="C1519" s="5"/>
      <c r="D1519" s="5"/>
      <c r="E1519" s="5"/>
      <c r="F1519" s="5"/>
      <c r="G1519" s="5"/>
      <c r="H1519" s="5"/>
      <c r="K1519" s="23"/>
      <c r="L1519" s="5"/>
      <c r="M1519" s="5"/>
      <c r="N1519" s="5"/>
      <c r="P1519" s="5"/>
      <c r="R1519" s="9"/>
      <c r="S1519" s="9"/>
    </row>
    <row r="1520" spans="1:19" ht="12.5">
      <c r="A1520" s="5"/>
      <c r="B1520" s="5"/>
      <c r="C1520" s="5"/>
      <c r="D1520" s="5"/>
      <c r="E1520" s="5"/>
      <c r="F1520" s="5"/>
      <c r="G1520" s="5"/>
      <c r="H1520" s="5"/>
      <c r="K1520" s="23"/>
      <c r="L1520" s="5"/>
      <c r="M1520" s="5"/>
      <c r="N1520" s="5"/>
      <c r="P1520" s="5"/>
      <c r="R1520" s="9"/>
      <c r="S1520" s="9"/>
    </row>
    <row r="1521" spans="1:19" ht="12.5">
      <c r="A1521" s="5"/>
      <c r="B1521" s="5"/>
      <c r="C1521" s="5"/>
      <c r="D1521" s="5"/>
      <c r="E1521" s="5"/>
      <c r="F1521" s="5"/>
      <c r="G1521" s="5"/>
      <c r="H1521" s="5"/>
      <c r="K1521" s="23"/>
      <c r="L1521" s="5"/>
      <c r="M1521" s="5"/>
      <c r="N1521" s="5"/>
      <c r="P1521" s="5"/>
      <c r="R1521" s="9"/>
      <c r="S1521" s="9"/>
    </row>
    <row r="1522" spans="1:19" ht="12.5">
      <c r="A1522" s="5"/>
      <c r="B1522" s="5"/>
      <c r="C1522" s="5"/>
      <c r="D1522" s="5"/>
      <c r="E1522" s="5"/>
      <c r="F1522" s="5"/>
      <c r="G1522" s="5"/>
      <c r="H1522" s="5"/>
      <c r="K1522" s="23"/>
      <c r="L1522" s="5"/>
      <c r="M1522" s="5"/>
      <c r="N1522" s="5"/>
      <c r="P1522" s="5"/>
      <c r="R1522" s="9"/>
      <c r="S1522" s="9"/>
    </row>
    <row r="1523" spans="1:19" ht="12.5">
      <c r="A1523" s="5"/>
      <c r="B1523" s="5"/>
      <c r="C1523" s="5"/>
      <c r="D1523" s="5"/>
      <c r="E1523" s="5"/>
      <c r="F1523" s="5"/>
      <c r="G1523" s="5"/>
      <c r="H1523" s="5"/>
      <c r="K1523" s="23"/>
      <c r="L1523" s="5"/>
      <c r="M1523" s="5"/>
      <c r="N1523" s="5"/>
      <c r="P1523" s="5"/>
      <c r="R1523" s="9"/>
      <c r="S1523" s="9"/>
    </row>
    <row r="1524" spans="1:19" ht="12.5">
      <c r="A1524" s="5"/>
      <c r="B1524" s="5"/>
      <c r="C1524" s="5"/>
      <c r="D1524" s="5"/>
      <c r="E1524" s="5"/>
      <c r="F1524" s="5"/>
      <c r="G1524" s="5"/>
      <c r="H1524" s="5"/>
      <c r="K1524" s="23"/>
      <c r="L1524" s="5"/>
      <c r="M1524" s="5"/>
      <c r="N1524" s="5"/>
      <c r="P1524" s="5"/>
      <c r="R1524" s="9"/>
      <c r="S1524" s="9"/>
    </row>
    <row r="1525" spans="1:19" ht="12.5">
      <c r="A1525" s="5"/>
      <c r="B1525" s="5"/>
      <c r="C1525" s="5"/>
      <c r="D1525" s="5"/>
      <c r="E1525" s="5"/>
      <c r="F1525" s="5"/>
      <c r="G1525" s="5"/>
      <c r="H1525" s="5"/>
      <c r="K1525" s="23"/>
      <c r="L1525" s="5"/>
      <c r="M1525" s="5"/>
      <c r="N1525" s="5"/>
      <c r="P1525" s="5"/>
      <c r="R1525" s="9"/>
      <c r="S1525" s="9"/>
    </row>
    <row r="1526" spans="1:19" ht="12.5">
      <c r="A1526" s="5"/>
      <c r="B1526" s="5"/>
      <c r="C1526" s="5"/>
      <c r="D1526" s="5"/>
      <c r="E1526" s="5"/>
      <c r="F1526" s="5"/>
      <c r="G1526" s="5"/>
      <c r="H1526" s="5"/>
      <c r="K1526" s="23"/>
      <c r="L1526" s="5"/>
      <c r="M1526" s="5"/>
      <c r="N1526" s="5"/>
      <c r="P1526" s="5"/>
      <c r="R1526" s="9"/>
      <c r="S1526" s="9"/>
    </row>
    <row r="1527" spans="1:19" ht="12.5">
      <c r="A1527" s="5"/>
      <c r="B1527" s="5"/>
      <c r="C1527" s="5"/>
      <c r="D1527" s="5"/>
      <c r="E1527" s="5"/>
      <c r="F1527" s="5"/>
      <c r="G1527" s="5"/>
      <c r="H1527" s="5"/>
      <c r="K1527" s="23"/>
      <c r="L1527" s="5"/>
      <c r="M1527" s="5"/>
      <c r="N1527" s="5"/>
      <c r="P1527" s="5"/>
      <c r="R1527" s="9"/>
      <c r="S1527" s="9"/>
    </row>
    <row r="1528" spans="1:19" ht="12.5">
      <c r="A1528" s="5"/>
      <c r="B1528" s="5"/>
      <c r="C1528" s="5"/>
      <c r="D1528" s="5"/>
      <c r="E1528" s="5"/>
      <c r="F1528" s="5"/>
      <c r="G1528" s="5"/>
      <c r="H1528" s="5"/>
      <c r="K1528" s="23"/>
      <c r="L1528" s="5"/>
      <c r="M1528" s="5"/>
      <c r="N1528" s="5"/>
      <c r="P1528" s="5"/>
      <c r="R1528" s="9"/>
      <c r="S1528" s="9"/>
    </row>
    <row r="1529" spans="1:19" ht="12.5">
      <c r="A1529" s="5"/>
      <c r="B1529" s="5"/>
      <c r="C1529" s="5"/>
      <c r="D1529" s="5"/>
      <c r="E1529" s="5"/>
      <c r="F1529" s="5"/>
      <c r="G1529" s="5"/>
      <c r="H1529" s="5"/>
      <c r="K1529" s="23"/>
      <c r="L1529" s="5"/>
      <c r="M1529" s="5"/>
      <c r="N1529" s="5"/>
      <c r="P1529" s="5"/>
      <c r="R1529" s="9"/>
      <c r="S1529" s="9"/>
    </row>
    <row r="1530" spans="1:19" ht="12.5">
      <c r="A1530" s="5"/>
      <c r="B1530" s="5"/>
      <c r="C1530" s="5"/>
      <c r="D1530" s="5"/>
      <c r="E1530" s="5"/>
      <c r="F1530" s="5"/>
      <c r="G1530" s="5"/>
      <c r="H1530" s="5"/>
      <c r="K1530" s="23"/>
      <c r="L1530" s="5"/>
      <c r="M1530" s="5"/>
      <c r="N1530" s="5"/>
      <c r="P1530" s="5"/>
      <c r="R1530" s="9"/>
      <c r="S1530" s="9"/>
    </row>
    <row r="1531" spans="1:19" ht="12.5">
      <c r="A1531" s="5"/>
      <c r="B1531" s="5"/>
      <c r="C1531" s="5"/>
      <c r="D1531" s="5"/>
      <c r="E1531" s="5"/>
      <c r="F1531" s="5"/>
      <c r="G1531" s="5"/>
      <c r="H1531" s="5"/>
      <c r="K1531" s="23"/>
      <c r="L1531" s="5"/>
      <c r="M1531" s="5"/>
      <c r="N1531" s="5"/>
      <c r="P1531" s="5"/>
      <c r="R1531" s="9"/>
      <c r="S1531" s="9"/>
    </row>
    <row r="1532" spans="1:19" ht="12.5">
      <c r="A1532" s="5"/>
      <c r="B1532" s="5"/>
      <c r="C1532" s="5"/>
      <c r="D1532" s="5"/>
      <c r="E1532" s="5"/>
      <c r="F1532" s="5"/>
      <c r="G1532" s="5"/>
      <c r="H1532" s="5"/>
      <c r="K1532" s="23"/>
      <c r="L1532" s="5"/>
      <c r="M1532" s="5"/>
      <c r="N1532" s="5"/>
      <c r="P1532" s="5"/>
      <c r="R1532" s="9"/>
      <c r="S1532" s="9"/>
    </row>
    <row r="1533" spans="1:19" ht="12.5">
      <c r="A1533" s="5"/>
      <c r="B1533" s="5"/>
      <c r="C1533" s="5"/>
      <c r="D1533" s="5"/>
      <c r="E1533" s="5"/>
      <c r="F1533" s="5"/>
      <c r="G1533" s="5"/>
      <c r="H1533" s="5"/>
      <c r="K1533" s="23"/>
      <c r="L1533" s="5"/>
      <c r="M1533" s="5"/>
      <c r="N1533" s="5"/>
      <c r="P1533" s="5"/>
      <c r="R1533" s="9"/>
      <c r="S1533" s="9"/>
    </row>
    <row r="1534" spans="1:19" ht="12.5">
      <c r="A1534" s="5"/>
      <c r="B1534" s="5"/>
      <c r="C1534" s="5"/>
      <c r="D1534" s="5"/>
      <c r="E1534" s="5"/>
      <c r="F1534" s="5"/>
      <c r="G1534" s="5"/>
      <c r="H1534" s="5"/>
      <c r="K1534" s="23"/>
      <c r="L1534" s="5"/>
      <c r="M1534" s="5"/>
      <c r="N1534" s="5"/>
      <c r="P1534" s="5"/>
      <c r="R1534" s="9"/>
      <c r="S1534" s="9"/>
    </row>
    <row r="1535" spans="1:19" ht="12.5">
      <c r="A1535" s="5"/>
      <c r="B1535" s="5"/>
      <c r="C1535" s="5"/>
      <c r="D1535" s="5"/>
      <c r="E1535" s="5"/>
      <c r="F1535" s="5"/>
      <c r="G1535" s="5"/>
      <c r="H1535" s="5"/>
      <c r="K1535" s="23"/>
      <c r="L1535" s="5"/>
      <c r="M1535" s="5"/>
      <c r="N1535" s="5"/>
      <c r="P1535" s="5"/>
      <c r="R1535" s="9"/>
      <c r="S1535" s="9"/>
    </row>
    <row r="1536" spans="1:19" ht="12.5">
      <c r="A1536" s="5"/>
      <c r="B1536" s="5"/>
      <c r="C1536" s="5"/>
      <c r="D1536" s="5"/>
      <c r="E1536" s="5"/>
      <c r="F1536" s="5"/>
      <c r="G1536" s="5"/>
      <c r="H1536" s="5"/>
      <c r="K1536" s="23"/>
      <c r="L1536" s="5"/>
      <c r="M1536" s="5"/>
      <c r="N1536" s="5"/>
      <c r="P1536" s="5"/>
      <c r="R1536" s="9"/>
      <c r="S1536" s="9"/>
    </row>
    <row r="1537" spans="1:19" ht="12.5">
      <c r="A1537" s="5"/>
      <c r="B1537" s="5"/>
      <c r="C1537" s="5"/>
      <c r="D1537" s="5"/>
      <c r="E1537" s="5"/>
      <c r="F1537" s="5"/>
      <c r="G1537" s="5"/>
      <c r="H1537" s="5"/>
      <c r="K1537" s="23"/>
      <c r="L1537" s="5"/>
      <c r="M1537" s="5"/>
      <c r="N1537" s="5"/>
      <c r="P1537" s="5"/>
      <c r="R1537" s="9"/>
      <c r="S1537" s="9"/>
    </row>
    <row r="1538" spans="1:19" ht="12.5">
      <c r="A1538" s="5"/>
      <c r="B1538" s="5"/>
      <c r="C1538" s="5"/>
      <c r="D1538" s="5"/>
      <c r="E1538" s="5"/>
      <c r="F1538" s="5"/>
      <c r="G1538" s="5"/>
      <c r="H1538" s="5"/>
      <c r="K1538" s="23"/>
      <c r="L1538" s="5"/>
      <c r="M1538" s="5"/>
      <c r="N1538" s="5"/>
      <c r="P1538" s="5"/>
      <c r="R1538" s="9"/>
      <c r="S1538" s="9"/>
    </row>
    <row r="1539" spans="1:19" ht="12.5">
      <c r="A1539" s="5"/>
      <c r="B1539" s="5"/>
      <c r="C1539" s="5"/>
      <c r="D1539" s="5"/>
      <c r="E1539" s="5"/>
      <c r="F1539" s="5"/>
      <c r="G1539" s="5"/>
      <c r="H1539" s="5"/>
      <c r="K1539" s="23"/>
      <c r="L1539" s="5"/>
      <c r="M1539" s="5"/>
      <c r="N1539" s="5"/>
      <c r="P1539" s="5"/>
      <c r="R1539" s="9"/>
      <c r="S1539" s="9"/>
    </row>
    <row r="1540" spans="1:19" ht="12.5">
      <c r="A1540" s="5"/>
      <c r="B1540" s="5"/>
      <c r="C1540" s="5"/>
      <c r="D1540" s="5"/>
      <c r="E1540" s="5"/>
      <c r="F1540" s="5"/>
      <c r="G1540" s="5"/>
      <c r="H1540" s="5"/>
      <c r="K1540" s="23"/>
      <c r="L1540" s="5"/>
      <c r="M1540" s="5"/>
      <c r="N1540" s="5"/>
      <c r="P1540" s="5"/>
      <c r="R1540" s="9"/>
      <c r="S1540" s="9"/>
    </row>
    <row r="1541" spans="1:19" ht="12.5">
      <c r="A1541" s="5"/>
      <c r="B1541" s="5"/>
      <c r="C1541" s="5"/>
      <c r="D1541" s="5"/>
      <c r="E1541" s="5"/>
      <c r="F1541" s="5"/>
      <c r="G1541" s="5"/>
      <c r="H1541" s="5"/>
      <c r="K1541" s="23"/>
      <c r="L1541" s="5"/>
      <c r="M1541" s="5"/>
      <c r="N1541" s="5"/>
      <c r="P1541" s="5"/>
      <c r="R1541" s="9"/>
      <c r="S1541" s="9"/>
    </row>
    <row r="1542" spans="1:19" ht="12.5">
      <c r="A1542" s="5"/>
      <c r="B1542" s="5"/>
      <c r="C1542" s="5"/>
      <c r="D1542" s="5"/>
      <c r="E1542" s="5"/>
      <c r="F1542" s="5"/>
      <c r="G1542" s="5"/>
      <c r="H1542" s="5"/>
      <c r="K1542" s="23"/>
      <c r="L1542" s="5"/>
      <c r="M1542" s="5"/>
      <c r="N1542" s="5"/>
      <c r="P1542" s="5"/>
      <c r="R1542" s="9"/>
      <c r="S1542" s="9"/>
    </row>
    <row r="1543" spans="1:19" ht="12.5">
      <c r="A1543" s="5"/>
      <c r="B1543" s="5"/>
      <c r="C1543" s="5"/>
      <c r="D1543" s="5"/>
      <c r="E1543" s="5"/>
      <c r="F1543" s="5"/>
      <c r="G1543" s="5"/>
      <c r="H1543" s="5"/>
      <c r="K1543" s="23"/>
      <c r="L1543" s="5"/>
      <c r="M1543" s="5"/>
      <c r="N1543" s="5"/>
      <c r="P1543" s="5"/>
      <c r="R1543" s="9"/>
      <c r="S1543" s="9"/>
    </row>
    <row r="1544" spans="1:19" ht="12.5">
      <c r="A1544" s="5"/>
      <c r="B1544" s="5"/>
      <c r="C1544" s="5"/>
      <c r="D1544" s="5"/>
      <c r="E1544" s="5"/>
      <c r="F1544" s="5"/>
      <c r="G1544" s="5"/>
      <c r="H1544" s="5"/>
      <c r="K1544" s="23"/>
      <c r="L1544" s="5"/>
      <c r="M1544" s="5"/>
      <c r="N1544" s="5"/>
      <c r="P1544" s="5"/>
      <c r="R1544" s="9"/>
      <c r="S1544" s="9"/>
    </row>
    <row r="1545" spans="1:19" ht="12.5">
      <c r="A1545" s="5"/>
      <c r="B1545" s="5"/>
      <c r="C1545" s="5"/>
      <c r="D1545" s="5"/>
      <c r="E1545" s="5"/>
      <c r="F1545" s="5"/>
      <c r="G1545" s="5"/>
      <c r="H1545" s="5"/>
      <c r="K1545" s="23"/>
      <c r="L1545" s="5"/>
      <c r="M1545" s="5"/>
      <c r="N1545" s="5"/>
      <c r="P1545" s="5"/>
      <c r="R1545" s="9"/>
      <c r="S1545" s="9"/>
    </row>
    <row r="1546" spans="1:19" ht="12.5">
      <c r="A1546" s="5"/>
      <c r="B1546" s="5"/>
      <c r="C1546" s="5"/>
      <c r="D1546" s="5"/>
      <c r="E1546" s="5"/>
      <c r="F1546" s="5"/>
      <c r="G1546" s="5"/>
      <c r="H1546" s="5"/>
      <c r="K1546" s="23"/>
      <c r="L1546" s="5"/>
      <c r="M1546" s="5"/>
      <c r="N1546" s="5"/>
      <c r="P1546" s="5"/>
      <c r="R1546" s="9"/>
      <c r="S1546" s="9"/>
    </row>
    <row r="1547" spans="1:19" ht="12.5">
      <c r="A1547" s="5"/>
      <c r="B1547" s="5"/>
      <c r="C1547" s="5"/>
      <c r="D1547" s="5"/>
      <c r="E1547" s="5"/>
      <c r="F1547" s="5"/>
      <c r="G1547" s="5"/>
      <c r="H1547" s="5"/>
      <c r="K1547" s="23"/>
      <c r="L1547" s="5"/>
      <c r="M1547" s="5"/>
      <c r="N1547" s="5"/>
      <c r="P1547" s="5"/>
      <c r="R1547" s="9"/>
      <c r="S1547" s="9"/>
    </row>
    <row r="1548" spans="1:19" ht="12.5">
      <c r="A1548" s="5"/>
      <c r="B1548" s="5"/>
      <c r="C1548" s="5"/>
      <c r="D1548" s="5"/>
      <c r="E1548" s="5"/>
      <c r="F1548" s="5"/>
      <c r="G1548" s="5"/>
      <c r="H1548" s="5"/>
      <c r="K1548" s="23"/>
      <c r="L1548" s="5"/>
      <c r="M1548" s="5"/>
      <c r="N1548" s="5"/>
      <c r="P1548" s="5"/>
      <c r="R1548" s="9"/>
      <c r="S1548" s="9"/>
    </row>
    <row r="1549" spans="1:19" ht="12.5">
      <c r="A1549" s="5"/>
      <c r="B1549" s="5"/>
      <c r="C1549" s="5"/>
      <c r="D1549" s="5"/>
      <c r="E1549" s="5"/>
      <c r="F1549" s="5"/>
      <c r="G1549" s="5"/>
      <c r="H1549" s="5"/>
      <c r="K1549" s="23"/>
      <c r="L1549" s="5"/>
      <c r="M1549" s="5"/>
      <c r="N1549" s="5"/>
      <c r="P1549" s="5"/>
      <c r="R1549" s="9"/>
      <c r="S1549" s="9"/>
    </row>
    <row r="1550" spans="1:19" ht="12.5">
      <c r="A1550" s="5"/>
      <c r="B1550" s="5"/>
      <c r="C1550" s="5"/>
      <c r="D1550" s="5"/>
      <c r="E1550" s="5"/>
      <c r="F1550" s="5"/>
      <c r="G1550" s="5"/>
      <c r="H1550" s="5"/>
      <c r="K1550" s="23"/>
      <c r="L1550" s="5"/>
      <c r="M1550" s="5"/>
      <c r="N1550" s="5"/>
      <c r="P1550" s="5"/>
      <c r="R1550" s="9"/>
      <c r="S1550" s="9"/>
    </row>
    <row r="1551" spans="1:19" ht="12.5">
      <c r="A1551" s="5"/>
      <c r="B1551" s="5"/>
      <c r="C1551" s="5"/>
      <c r="D1551" s="5"/>
      <c r="E1551" s="5"/>
      <c r="F1551" s="5"/>
      <c r="G1551" s="5"/>
      <c r="H1551" s="5"/>
      <c r="K1551" s="23"/>
      <c r="L1551" s="5"/>
      <c r="M1551" s="5"/>
      <c r="N1551" s="5"/>
      <c r="P1551" s="5"/>
      <c r="R1551" s="9"/>
      <c r="S1551" s="9"/>
    </row>
    <row r="1552" spans="1:19" ht="12.5">
      <c r="A1552" s="5"/>
      <c r="B1552" s="5"/>
      <c r="C1552" s="5"/>
      <c r="D1552" s="5"/>
      <c r="E1552" s="5"/>
      <c r="F1552" s="5"/>
      <c r="G1552" s="5"/>
      <c r="H1552" s="5"/>
      <c r="K1552" s="23"/>
      <c r="L1552" s="5"/>
      <c r="M1552" s="5"/>
      <c r="N1552" s="5"/>
      <c r="P1552" s="5"/>
      <c r="R1552" s="9"/>
      <c r="S1552" s="9"/>
    </row>
    <row r="1553" spans="1:19" ht="12.5">
      <c r="A1553" s="5"/>
      <c r="B1553" s="5"/>
      <c r="C1553" s="5"/>
      <c r="D1553" s="5"/>
      <c r="E1553" s="5"/>
      <c r="F1553" s="5"/>
      <c r="G1553" s="5"/>
      <c r="H1553" s="5"/>
      <c r="K1553" s="23"/>
      <c r="L1553" s="5"/>
      <c r="M1553" s="5"/>
      <c r="N1553" s="5"/>
      <c r="P1553" s="5"/>
      <c r="R1553" s="9"/>
      <c r="S1553" s="9"/>
    </row>
    <row r="1554" spans="1:19" ht="12.5">
      <c r="A1554" s="5"/>
      <c r="B1554" s="5"/>
      <c r="C1554" s="5"/>
      <c r="D1554" s="5"/>
      <c r="E1554" s="5"/>
      <c r="F1554" s="5"/>
      <c r="G1554" s="5"/>
      <c r="H1554" s="5"/>
      <c r="K1554" s="23"/>
      <c r="L1554" s="5"/>
      <c r="M1554" s="5"/>
      <c r="N1554" s="5"/>
      <c r="P1554" s="5"/>
      <c r="R1554" s="9"/>
      <c r="S1554" s="9"/>
    </row>
    <row r="1555" spans="1:19" ht="12.5">
      <c r="A1555" s="5"/>
      <c r="B1555" s="5"/>
      <c r="C1555" s="5"/>
      <c r="D1555" s="5"/>
      <c r="E1555" s="5"/>
      <c r="F1555" s="5"/>
      <c r="G1555" s="5"/>
      <c r="H1555" s="5"/>
      <c r="K1555" s="23"/>
      <c r="L1555" s="5"/>
      <c r="M1555" s="5"/>
      <c r="N1555" s="5"/>
      <c r="P1555" s="5"/>
      <c r="R1555" s="9"/>
      <c r="S1555" s="9"/>
    </row>
    <row r="1556" spans="1:19" ht="12.5">
      <c r="A1556" s="5"/>
      <c r="B1556" s="5"/>
      <c r="C1556" s="5"/>
      <c r="D1556" s="5"/>
      <c r="E1556" s="5"/>
      <c r="F1556" s="5"/>
      <c r="G1556" s="5"/>
      <c r="H1556" s="5"/>
      <c r="K1556" s="23"/>
      <c r="L1556" s="5"/>
      <c r="M1556" s="5"/>
      <c r="N1556" s="5"/>
      <c r="P1556" s="5"/>
      <c r="R1556" s="9"/>
      <c r="S1556" s="9"/>
    </row>
    <row r="1557" spans="1:19" ht="12.5">
      <c r="A1557" s="5"/>
      <c r="B1557" s="5"/>
      <c r="C1557" s="5"/>
      <c r="D1557" s="5"/>
      <c r="E1557" s="5"/>
      <c r="F1557" s="5"/>
      <c r="G1557" s="5"/>
      <c r="H1557" s="5"/>
      <c r="K1557" s="23"/>
      <c r="L1557" s="5"/>
      <c r="M1557" s="5"/>
      <c r="N1557" s="5"/>
      <c r="P1557" s="5"/>
      <c r="R1557" s="9"/>
      <c r="S1557" s="9"/>
    </row>
    <row r="1558" spans="1:19" ht="12.5">
      <c r="A1558" s="5"/>
      <c r="B1558" s="5"/>
      <c r="C1558" s="5"/>
      <c r="D1558" s="5"/>
      <c r="E1558" s="5"/>
      <c r="F1558" s="5"/>
      <c r="G1558" s="5"/>
      <c r="H1558" s="5"/>
      <c r="K1558" s="23"/>
      <c r="L1558" s="5"/>
      <c r="M1558" s="5"/>
      <c r="N1558" s="5"/>
      <c r="P1558" s="5"/>
      <c r="R1558" s="9"/>
      <c r="S1558" s="9"/>
    </row>
    <row r="1559" spans="1:19" ht="12.5">
      <c r="A1559" s="5"/>
      <c r="B1559" s="5"/>
      <c r="C1559" s="5"/>
      <c r="D1559" s="5"/>
      <c r="E1559" s="5"/>
      <c r="F1559" s="5"/>
      <c r="G1559" s="5"/>
      <c r="H1559" s="5"/>
      <c r="K1559" s="23"/>
      <c r="L1559" s="5"/>
      <c r="M1559" s="5"/>
      <c r="N1559" s="5"/>
      <c r="P1559" s="5"/>
      <c r="R1559" s="9"/>
      <c r="S1559" s="9"/>
    </row>
    <row r="1560" spans="1:19" ht="12.5">
      <c r="A1560" s="5"/>
      <c r="B1560" s="5"/>
      <c r="C1560" s="5"/>
      <c r="D1560" s="5"/>
      <c r="E1560" s="5"/>
      <c r="F1560" s="5"/>
      <c r="G1560" s="5"/>
      <c r="H1560" s="5"/>
      <c r="K1560" s="23"/>
      <c r="L1560" s="5"/>
      <c r="M1560" s="5"/>
      <c r="N1560" s="5"/>
      <c r="P1560" s="5"/>
      <c r="R1560" s="9"/>
      <c r="S1560" s="9"/>
    </row>
    <row r="1561" spans="1:19" ht="12.5">
      <c r="A1561" s="5"/>
      <c r="B1561" s="5"/>
      <c r="C1561" s="5"/>
      <c r="D1561" s="5"/>
      <c r="E1561" s="5"/>
      <c r="F1561" s="5"/>
      <c r="G1561" s="5"/>
      <c r="H1561" s="5"/>
      <c r="K1561" s="23"/>
      <c r="L1561" s="5"/>
      <c r="M1561" s="5"/>
      <c r="N1561" s="5"/>
      <c r="P1561" s="5"/>
      <c r="R1561" s="9"/>
      <c r="S1561" s="9"/>
    </row>
    <row r="1562" spans="1:19" ht="12.5">
      <c r="A1562" s="5"/>
      <c r="B1562" s="5"/>
      <c r="C1562" s="5"/>
      <c r="D1562" s="5"/>
      <c r="E1562" s="5"/>
      <c r="F1562" s="5"/>
      <c r="G1562" s="5"/>
      <c r="H1562" s="5"/>
      <c r="K1562" s="23"/>
      <c r="L1562" s="5"/>
      <c r="M1562" s="5"/>
      <c r="N1562" s="5"/>
      <c r="P1562" s="5"/>
      <c r="R1562" s="9"/>
      <c r="S1562" s="9"/>
    </row>
    <row r="1563" spans="1:19" ht="12.5">
      <c r="A1563" s="5"/>
      <c r="B1563" s="5"/>
      <c r="C1563" s="5"/>
      <c r="D1563" s="5"/>
      <c r="E1563" s="5"/>
      <c r="F1563" s="5"/>
      <c r="G1563" s="5"/>
      <c r="H1563" s="5"/>
      <c r="K1563" s="23"/>
      <c r="L1563" s="5"/>
      <c r="M1563" s="5"/>
      <c r="N1563" s="5"/>
      <c r="P1563" s="5"/>
      <c r="R1563" s="9"/>
      <c r="S1563" s="9"/>
    </row>
    <row r="1564" spans="1:19" ht="12.5">
      <c r="A1564" s="5"/>
      <c r="B1564" s="5"/>
      <c r="C1564" s="5"/>
      <c r="D1564" s="5"/>
      <c r="E1564" s="5"/>
      <c r="F1564" s="5"/>
      <c r="G1564" s="5"/>
      <c r="H1564" s="5"/>
      <c r="K1564" s="23"/>
      <c r="L1564" s="5"/>
      <c r="M1564" s="5"/>
      <c r="N1564" s="5"/>
      <c r="P1564" s="5"/>
      <c r="R1564" s="9"/>
      <c r="S1564" s="9"/>
    </row>
    <row r="1565" spans="1:19" ht="12.5">
      <c r="A1565" s="5"/>
      <c r="B1565" s="5"/>
      <c r="C1565" s="5"/>
      <c r="D1565" s="5"/>
      <c r="E1565" s="5"/>
      <c r="F1565" s="5"/>
      <c r="G1565" s="5"/>
      <c r="H1565" s="5"/>
      <c r="K1565" s="23"/>
      <c r="L1565" s="5"/>
      <c r="M1565" s="5"/>
      <c r="N1565" s="5"/>
      <c r="P1565" s="5"/>
      <c r="R1565" s="9"/>
      <c r="S1565" s="9"/>
    </row>
    <row r="1566" spans="1:19" ht="12.5">
      <c r="A1566" s="5"/>
      <c r="B1566" s="5"/>
      <c r="C1566" s="5"/>
      <c r="D1566" s="5"/>
      <c r="E1566" s="5"/>
      <c r="F1566" s="5"/>
      <c r="G1566" s="5"/>
      <c r="H1566" s="5"/>
      <c r="K1566" s="23"/>
      <c r="L1566" s="5"/>
      <c r="M1566" s="5"/>
      <c r="N1566" s="5"/>
      <c r="P1566" s="5"/>
      <c r="R1566" s="9"/>
      <c r="S1566" s="9"/>
    </row>
    <row r="1567" spans="1:19" ht="12.5">
      <c r="A1567" s="5"/>
      <c r="B1567" s="5"/>
      <c r="C1567" s="5"/>
      <c r="D1567" s="5"/>
      <c r="E1567" s="5"/>
      <c r="F1567" s="5"/>
      <c r="G1567" s="5"/>
      <c r="H1567" s="5"/>
      <c r="K1567" s="23"/>
      <c r="L1567" s="5"/>
      <c r="M1567" s="5"/>
      <c r="N1567" s="5"/>
      <c r="P1567" s="5"/>
      <c r="R1567" s="9"/>
      <c r="S1567" s="9"/>
    </row>
    <row r="1568" spans="1:19" ht="12.5">
      <c r="A1568" s="5"/>
      <c r="B1568" s="5"/>
      <c r="C1568" s="5"/>
      <c r="D1568" s="5"/>
      <c r="E1568" s="5"/>
      <c r="F1568" s="5"/>
      <c r="G1568" s="5"/>
      <c r="H1568" s="5"/>
      <c r="K1568" s="23"/>
      <c r="L1568" s="5"/>
      <c r="M1568" s="5"/>
      <c r="N1568" s="5"/>
      <c r="P1568" s="5"/>
      <c r="R1568" s="9"/>
      <c r="S1568" s="9"/>
    </row>
    <row r="1569" spans="1:19" ht="12.5">
      <c r="A1569" s="5"/>
      <c r="B1569" s="5"/>
      <c r="C1569" s="5"/>
      <c r="D1569" s="5"/>
      <c r="E1569" s="5"/>
      <c r="F1569" s="5"/>
      <c r="G1569" s="5"/>
      <c r="H1569" s="5"/>
      <c r="K1569" s="23"/>
      <c r="L1569" s="5"/>
      <c r="M1569" s="5"/>
      <c r="N1569" s="5"/>
      <c r="P1569" s="5"/>
      <c r="R1569" s="9"/>
      <c r="S1569" s="9"/>
    </row>
    <row r="1570" spans="1:19" ht="12.5">
      <c r="A1570" s="5"/>
      <c r="B1570" s="5"/>
      <c r="C1570" s="5"/>
      <c r="D1570" s="5"/>
      <c r="E1570" s="5"/>
      <c r="F1570" s="5"/>
      <c r="G1570" s="5"/>
      <c r="H1570" s="5"/>
      <c r="K1570" s="23"/>
      <c r="L1570" s="5"/>
      <c r="M1570" s="5"/>
      <c r="N1570" s="5"/>
      <c r="P1570" s="5"/>
      <c r="R1570" s="9"/>
      <c r="S1570" s="9"/>
    </row>
    <row r="1571" spans="1:19" ht="12.5">
      <c r="A1571" s="5"/>
      <c r="B1571" s="5"/>
      <c r="C1571" s="5"/>
      <c r="D1571" s="5"/>
      <c r="E1571" s="5"/>
      <c r="F1571" s="5"/>
      <c r="G1571" s="5"/>
      <c r="H1571" s="5"/>
      <c r="K1571" s="23"/>
      <c r="L1571" s="5"/>
      <c r="M1571" s="5"/>
      <c r="N1571" s="5"/>
      <c r="P1571" s="5"/>
      <c r="R1571" s="9"/>
      <c r="S1571" s="9"/>
    </row>
    <row r="1572" spans="1:19" ht="12.5">
      <c r="A1572" s="5"/>
      <c r="B1572" s="5"/>
      <c r="C1572" s="5"/>
      <c r="D1572" s="5"/>
      <c r="E1572" s="5"/>
      <c r="F1572" s="5"/>
      <c r="G1572" s="5"/>
      <c r="H1572" s="5"/>
      <c r="K1572" s="23"/>
      <c r="L1572" s="5"/>
      <c r="M1572" s="5"/>
      <c r="N1572" s="5"/>
      <c r="P1572" s="5"/>
      <c r="R1572" s="9"/>
      <c r="S1572" s="9"/>
    </row>
    <row r="1573" spans="1:19" ht="12.5">
      <c r="A1573" s="5"/>
      <c r="B1573" s="5"/>
      <c r="C1573" s="5"/>
      <c r="D1573" s="5"/>
      <c r="E1573" s="5"/>
      <c r="F1573" s="5"/>
      <c r="G1573" s="5"/>
      <c r="H1573" s="5"/>
      <c r="K1573" s="23"/>
      <c r="L1573" s="5"/>
      <c r="M1573" s="5"/>
      <c r="N1573" s="5"/>
      <c r="P1573" s="5"/>
      <c r="R1573" s="9"/>
      <c r="S1573" s="9"/>
    </row>
    <row r="1574" spans="1:19" ht="12.5">
      <c r="A1574" s="5"/>
      <c r="B1574" s="5"/>
      <c r="C1574" s="5"/>
      <c r="D1574" s="5"/>
      <c r="E1574" s="5"/>
      <c r="F1574" s="5"/>
      <c r="G1574" s="5"/>
      <c r="H1574" s="5"/>
      <c r="K1574" s="23"/>
      <c r="L1574" s="5"/>
      <c r="M1574" s="5"/>
      <c r="N1574" s="5"/>
      <c r="P1574" s="5"/>
      <c r="R1574" s="9"/>
      <c r="S1574" s="9"/>
    </row>
    <row r="1575" spans="1:19" ht="12.5">
      <c r="A1575" s="5"/>
      <c r="B1575" s="5"/>
      <c r="C1575" s="5"/>
      <c r="D1575" s="5"/>
      <c r="E1575" s="5"/>
      <c r="F1575" s="5"/>
      <c r="G1575" s="5"/>
      <c r="H1575" s="5"/>
      <c r="K1575" s="23"/>
      <c r="L1575" s="5"/>
      <c r="M1575" s="5"/>
      <c r="N1575" s="5"/>
      <c r="P1575" s="5"/>
      <c r="R1575" s="9"/>
      <c r="S1575" s="9"/>
    </row>
    <row r="1576" spans="1:19" ht="12.5">
      <c r="A1576" s="5"/>
      <c r="B1576" s="5"/>
      <c r="C1576" s="5"/>
      <c r="D1576" s="5"/>
      <c r="E1576" s="5"/>
      <c r="F1576" s="5"/>
      <c r="G1576" s="5"/>
      <c r="H1576" s="5"/>
      <c r="K1576" s="23"/>
      <c r="L1576" s="5"/>
      <c r="M1576" s="5"/>
      <c r="N1576" s="5"/>
      <c r="P1576" s="5"/>
      <c r="R1576" s="9"/>
      <c r="S1576" s="9"/>
    </row>
    <row r="1577" spans="1:19" ht="12.5">
      <c r="A1577" s="5"/>
      <c r="B1577" s="5"/>
      <c r="C1577" s="5"/>
      <c r="D1577" s="5"/>
      <c r="E1577" s="5"/>
      <c r="F1577" s="5"/>
      <c r="G1577" s="5"/>
      <c r="H1577" s="5"/>
      <c r="K1577" s="23"/>
      <c r="L1577" s="5"/>
      <c r="M1577" s="5"/>
      <c r="N1577" s="5"/>
      <c r="P1577" s="5"/>
      <c r="R1577" s="9"/>
      <c r="S1577" s="9"/>
    </row>
    <row r="1578" spans="1:19" ht="12.5">
      <c r="A1578" s="5"/>
      <c r="B1578" s="5"/>
      <c r="C1578" s="5"/>
      <c r="D1578" s="5"/>
      <c r="E1578" s="5"/>
      <c r="F1578" s="5"/>
      <c r="G1578" s="5"/>
      <c r="H1578" s="5"/>
      <c r="K1578" s="23"/>
      <c r="L1578" s="5"/>
      <c r="M1578" s="5"/>
      <c r="N1578" s="5"/>
      <c r="P1578" s="5"/>
      <c r="R1578" s="9"/>
      <c r="S1578" s="9"/>
    </row>
    <row r="1579" spans="1:19" ht="12.5">
      <c r="A1579" s="5"/>
      <c r="B1579" s="5"/>
      <c r="C1579" s="5"/>
      <c r="D1579" s="5"/>
      <c r="E1579" s="5"/>
      <c r="F1579" s="5"/>
      <c r="G1579" s="5"/>
      <c r="H1579" s="5"/>
      <c r="K1579" s="23"/>
      <c r="L1579" s="5"/>
      <c r="M1579" s="5"/>
      <c r="N1579" s="5"/>
      <c r="P1579" s="5"/>
      <c r="R1579" s="9"/>
      <c r="S1579" s="9"/>
    </row>
    <row r="1580" spans="1:19" ht="12.5">
      <c r="A1580" s="5"/>
      <c r="B1580" s="5"/>
      <c r="C1580" s="5"/>
      <c r="D1580" s="5"/>
      <c r="E1580" s="5"/>
      <c r="F1580" s="5"/>
      <c r="G1580" s="5"/>
      <c r="H1580" s="5"/>
      <c r="K1580" s="23"/>
      <c r="L1580" s="5"/>
      <c r="M1580" s="5"/>
      <c r="N1580" s="5"/>
      <c r="P1580" s="5"/>
      <c r="R1580" s="9"/>
      <c r="S1580" s="9"/>
    </row>
    <row r="1581" spans="1:19" ht="12.5">
      <c r="A1581" s="5"/>
      <c r="B1581" s="5"/>
      <c r="C1581" s="5"/>
      <c r="D1581" s="5"/>
      <c r="E1581" s="5"/>
      <c r="F1581" s="5"/>
      <c r="G1581" s="5"/>
      <c r="H1581" s="5"/>
      <c r="K1581" s="23"/>
      <c r="L1581" s="5"/>
      <c r="M1581" s="5"/>
      <c r="N1581" s="5"/>
      <c r="P1581" s="5"/>
      <c r="R1581" s="9"/>
      <c r="S1581" s="9"/>
    </row>
    <row r="1582" spans="1:19" ht="12.5">
      <c r="A1582" s="5"/>
      <c r="B1582" s="5"/>
      <c r="C1582" s="5"/>
      <c r="D1582" s="5"/>
      <c r="E1582" s="5"/>
      <c r="F1582" s="5"/>
      <c r="G1582" s="5"/>
      <c r="H1582" s="5"/>
      <c r="K1582" s="23"/>
      <c r="L1582" s="5"/>
      <c r="M1582" s="5"/>
      <c r="N1582" s="5"/>
      <c r="P1582" s="5"/>
      <c r="R1582" s="9"/>
      <c r="S1582" s="9"/>
    </row>
    <row r="1583" spans="1:19" ht="12.5">
      <c r="A1583" s="5"/>
      <c r="B1583" s="5"/>
      <c r="C1583" s="5"/>
      <c r="D1583" s="5"/>
      <c r="E1583" s="5"/>
      <c r="F1583" s="5"/>
      <c r="G1583" s="5"/>
      <c r="H1583" s="5"/>
      <c r="K1583" s="23"/>
      <c r="L1583" s="5"/>
      <c r="M1583" s="5"/>
      <c r="N1583" s="5"/>
      <c r="P1583" s="5"/>
      <c r="R1583" s="9"/>
      <c r="S1583" s="9"/>
    </row>
    <row r="1584" spans="1:19" ht="12.5">
      <c r="A1584" s="5"/>
      <c r="B1584" s="5"/>
      <c r="C1584" s="5"/>
      <c r="D1584" s="5"/>
      <c r="E1584" s="5"/>
      <c r="F1584" s="5"/>
      <c r="G1584" s="5"/>
      <c r="H1584" s="5"/>
      <c r="K1584" s="23"/>
      <c r="L1584" s="5"/>
      <c r="M1584" s="5"/>
      <c r="N1584" s="5"/>
      <c r="P1584" s="5"/>
      <c r="R1584" s="9"/>
      <c r="S1584" s="9"/>
    </row>
    <row r="1585" spans="1:19" ht="12.5">
      <c r="A1585" s="5"/>
      <c r="B1585" s="5"/>
      <c r="C1585" s="5"/>
      <c r="D1585" s="5"/>
      <c r="E1585" s="5"/>
      <c r="F1585" s="5"/>
      <c r="G1585" s="5"/>
      <c r="H1585" s="5"/>
      <c r="K1585" s="23"/>
      <c r="L1585" s="5"/>
      <c r="M1585" s="5"/>
      <c r="N1585" s="5"/>
      <c r="P1585" s="5"/>
      <c r="R1585" s="9"/>
      <c r="S1585" s="9"/>
    </row>
    <row r="1586" spans="1:19" ht="12.5">
      <c r="A1586" s="5"/>
      <c r="B1586" s="5"/>
      <c r="C1586" s="5"/>
      <c r="D1586" s="5"/>
      <c r="E1586" s="5"/>
      <c r="F1586" s="5"/>
      <c r="G1586" s="5"/>
      <c r="H1586" s="5"/>
      <c r="K1586" s="23"/>
      <c r="L1586" s="5"/>
      <c r="M1586" s="5"/>
      <c r="N1586" s="5"/>
      <c r="P1586" s="5"/>
      <c r="R1586" s="9"/>
      <c r="S1586" s="9"/>
    </row>
    <row r="1587" spans="1:19" ht="12.5">
      <c r="A1587" s="5"/>
      <c r="B1587" s="5"/>
      <c r="C1587" s="5"/>
      <c r="D1587" s="5"/>
      <c r="E1587" s="5"/>
      <c r="F1587" s="5"/>
      <c r="G1587" s="5"/>
      <c r="H1587" s="5"/>
      <c r="K1587" s="23"/>
      <c r="L1587" s="5"/>
      <c r="M1587" s="5"/>
      <c r="N1587" s="5"/>
      <c r="P1587" s="5"/>
      <c r="R1587" s="9"/>
      <c r="S1587" s="9"/>
    </row>
    <row r="1588" spans="1:19" ht="12.5">
      <c r="A1588" s="5"/>
      <c r="B1588" s="5"/>
      <c r="C1588" s="5"/>
      <c r="D1588" s="5"/>
      <c r="E1588" s="5"/>
      <c r="F1588" s="5"/>
      <c r="G1588" s="5"/>
      <c r="H1588" s="5"/>
      <c r="K1588" s="23"/>
      <c r="L1588" s="5"/>
      <c r="M1588" s="5"/>
      <c r="N1588" s="5"/>
      <c r="P1588" s="5"/>
      <c r="R1588" s="9"/>
      <c r="S1588" s="9"/>
    </row>
    <row r="1589" spans="1:19" ht="12.5">
      <c r="A1589" s="5"/>
      <c r="B1589" s="5"/>
      <c r="C1589" s="5"/>
      <c r="D1589" s="5"/>
      <c r="E1589" s="5"/>
      <c r="F1589" s="5"/>
      <c r="G1589" s="5"/>
      <c r="H1589" s="5"/>
      <c r="K1589" s="23"/>
      <c r="L1589" s="5"/>
      <c r="M1589" s="5"/>
      <c r="N1589" s="5"/>
      <c r="P1589" s="5"/>
      <c r="R1589" s="9"/>
      <c r="S1589" s="9"/>
    </row>
    <row r="1590" spans="1:19" ht="12.5">
      <c r="A1590" s="5"/>
      <c r="B1590" s="5"/>
      <c r="C1590" s="5"/>
      <c r="D1590" s="5"/>
      <c r="E1590" s="5"/>
      <c r="F1590" s="5"/>
      <c r="G1590" s="5"/>
      <c r="H1590" s="5"/>
      <c r="K1590" s="23"/>
      <c r="L1590" s="5"/>
      <c r="M1590" s="5"/>
      <c r="N1590" s="5"/>
      <c r="P1590" s="5"/>
      <c r="R1590" s="9"/>
      <c r="S1590" s="9"/>
    </row>
    <row r="1591" spans="1:19" ht="12.5">
      <c r="A1591" s="5"/>
      <c r="B1591" s="5"/>
      <c r="C1591" s="5"/>
      <c r="D1591" s="5"/>
      <c r="E1591" s="5"/>
      <c r="F1591" s="5"/>
      <c r="G1591" s="5"/>
      <c r="H1591" s="5"/>
      <c r="K1591" s="23"/>
      <c r="L1591" s="5"/>
      <c r="M1591" s="5"/>
      <c r="N1591" s="5"/>
      <c r="P1591" s="5"/>
      <c r="R1591" s="9"/>
      <c r="S1591" s="9"/>
    </row>
    <row r="1592" spans="1:19" ht="12.5">
      <c r="A1592" s="5"/>
      <c r="B1592" s="5"/>
      <c r="C1592" s="5"/>
      <c r="D1592" s="5"/>
      <c r="E1592" s="5"/>
      <c r="F1592" s="5"/>
      <c r="G1592" s="5"/>
      <c r="H1592" s="5"/>
      <c r="K1592" s="23"/>
      <c r="L1592" s="5"/>
      <c r="M1592" s="5"/>
      <c r="N1592" s="5"/>
      <c r="P1592" s="5"/>
      <c r="R1592" s="9"/>
      <c r="S1592" s="9"/>
    </row>
    <row r="1593" spans="1:19" ht="12.5">
      <c r="A1593" s="5"/>
      <c r="B1593" s="5"/>
      <c r="C1593" s="5"/>
      <c r="D1593" s="5"/>
      <c r="E1593" s="5"/>
      <c r="F1593" s="5"/>
      <c r="G1593" s="5"/>
      <c r="H1593" s="5"/>
      <c r="K1593" s="23"/>
      <c r="L1593" s="5"/>
      <c r="M1593" s="5"/>
      <c r="N1593" s="5"/>
      <c r="P1593" s="5"/>
      <c r="R1593" s="9"/>
      <c r="S1593" s="9"/>
    </row>
    <row r="1594" spans="1:19" ht="12.5">
      <c r="A1594" s="5"/>
      <c r="B1594" s="5"/>
      <c r="C1594" s="5"/>
      <c r="D1594" s="5"/>
      <c r="E1594" s="5"/>
      <c r="F1594" s="5"/>
      <c r="G1594" s="5"/>
      <c r="H1594" s="5"/>
      <c r="K1594" s="23"/>
      <c r="L1594" s="5"/>
      <c r="M1594" s="5"/>
      <c r="N1594" s="5"/>
      <c r="P1594" s="5"/>
      <c r="R1594" s="9"/>
      <c r="S1594" s="9"/>
    </row>
    <row r="1595" spans="1:19" ht="12.5">
      <c r="A1595" s="5"/>
      <c r="B1595" s="5"/>
      <c r="C1595" s="5"/>
      <c r="D1595" s="5"/>
      <c r="E1595" s="5"/>
      <c r="F1595" s="5"/>
      <c r="G1595" s="5"/>
      <c r="H1595" s="5"/>
      <c r="K1595" s="23"/>
      <c r="L1595" s="5"/>
      <c r="M1595" s="5"/>
      <c r="N1595" s="5"/>
      <c r="P1595" s="5"/>
      <c r="R1595" s="9"/>
      <c r="S1595" s="9"/>
    </row>
    <row r="1596" spans="1:19" ht="12.5">
      <c r="A1596" s="5"/>
      <c r="B1596" s="5"/>
      <c r="C1596" s="5"/>
      <c r="D1596" s="5"/>
      <c r="E1596" s="5"/>
      <c r="F1596" s="5"/>
      <c r="G1596" s="5"/>
      <c r="H1596" s="5"/>
      <c r="K1596" s="23"/>
      <c r="L1596" s="5"/>
      <c r="M1596" s="5"/>
      <c r="N1596" s="5"/>
      <c r="P1596" s="5"/>
      <c r="R1596" s="9"/>
      <c r="S1596" s="9"/>
    </row>
    <row r="1597" spans="1:19" ht="12.5">
      <c r="A1597" s="5"/>
      <c r="B1597" s="5"/>
      <c r="C1597" s="5"/>
      <c r="D1597" s="5"/>
      <c r="E1597" s="5"/>
      <c r="F1597" s="5"/>
      <c r="G1597" s="5"/>
      <c r="H1597" s="5"/>
      <c r="K1597" s="23"/>
      <c r="L1597" s="5"/>
      <c r="M1597" s="5"/>
      <c r="N1597" s="5"/>
      <c r="P1597" s="5"/>
      <c r="R1597" s="9"/>
      <c r="S1597" s="9"/>
    </row>
    <row r="1598" spans="1:19" ht="12.5">
      <c r="A1598" s="5"/>
      <c r="B1598" s="5"/>
      <c r="C1598" s="5"/>
      <c r="D1598" s="5"/>
      <c r="E1598" s="5"/>
      <c r="F1598" s="5"/>
      <c r="G1598" s="5"/>
      <c r="H1598" s="5"/>
      <c r="K1598" s="23"/>
      <c r="L1598" s="5"/>
      <c r="M1598" s="5"/>
      <c r="N1598" s="5"/>
      <c r="P1598" s="5"/>
      <c r="R1598" s="9"/>
      <c r="S1598" s="9"/>
    </row>
    <row r="1599" spans="1:19" ht="12.5">
      <c r="A1599" s="5"/>
      <c r="B1599" s="5"/>
      <c r="C1599" s="5"/>
      <c r="D1599" s="5"/>
      <c r="E1599" s="5"/>
      <c r="F1599" s="5"/>
      <c r="G1599" s="5"/>
      <c r="H1599" s="5"/>
      <c r="K1599" s="23"/>
      <c r="L1599" s="5"/>
      <c r="M1599" s="5"/>
      <c r="N1599" s="5"/>
      <c r="P1599" s="5"/>
      <c r="R1599" s="9"/>
      <c r="S1599" s="9"/>
    </row>
    <row r="1600" spans="1:19" ht="12.5">
      <c r="A1600" s="5"/>
      <c r="B1600" s="5"/>
      <c r="C1600" s="5"/>
      <c r="D1600" s="5"/>
      <c r="E1600" s="5"/>
      <c r="F1600" s="5"/>
      <c r="G1600" s="5"/>
      <c r="H1600" s="5"/>
      <c r="K1600" s="23"/>
      <c r="L1600" s="5"/>
      <c r="M1600" s="5"/>
      <c r="N1600" s="5"/>
      <c r="P1600" s="5"/>
      <c r="R1600" s="9"/>
      <c r="S1600" s="9"/>
    </row>
    <row r="1601" spans="1:19" ht="12.5">
      <c r="A1601" s="5"/>
      <c r="B1601" s="5"/>
      <c r="C1601" s="5"/>
      <c r="D1601" s="5"/>
      <c r="E1601" s="5"/>
      <c r="F1601" s="5"/>
      <c r="G1601" s="5"/>
      <c r="H1601" s="5"/>
      <c r="K1601" s="23"/>
      <c r="L1601" s="5"/>
      <c r="M1601" s="5"/>
      <c r="N1601" s="5"/>
      <c r="P1601" s="5"/>
      <c r="R1601" s="9"/>
      <c r="S1601" s="9"/>
    </row>
    <row r="1602" spans="1:19" ht="12.5">
      <c r="A1602" s="5"/>
      <c r="B1602" s="5"/>
      <c r="C1602" s="5"/>
      <c r="D1602" s="5"/>
      <c r="E1602" s="5"/>
      <c r="F1602" s="5"/>
      <c r="G1602" s="5"/>
      <c r="H1602" s="5"/>
      <c r="K1602" s="23"/>
      <c r="L1602" s="5"/>
      <c r="M1602" s="5"/>
      <c r="N1602" s="5"/>
      <c r="P1602" s="5"/>
      <c r="R1602" s="9"/>
      <c r="S1602" s="9"/>
    </row>
    <row r="1603" spans="1:19" ht="12.5">
      <c r="A1603" s="5"/>
      <c r="B1603" s="5"/>
      <c r="C1603" s="5"/>
      <c r="D1603" s="5"/>
      <c r="E1603" s="5"/>
      <c r="F1603" s="5"/>
      <c r="G1603" s="5"/>
      <c r="H1603" s="5"/>
      <c r="K1603" s="23"/>
      <c r="L1603" s="5"/>
      <c r="M1603" s="5"/>
      <c r="N1603" s="5"/>
      <c r="P1603" s="5"/>
      <c r="R1603" s="9"/>
      <c r="S1603" s="9"/>
    </row>
    <row r="1604" spans="1:19" ht="12.5">
      <c r="A1604" s="5"/>
      <c r="B1604" s="5"/>
      <c r="C1604" s="5"/>
      <c r="D1604" s="5"/>
      <c r="E1604" s="5"/>
      <c r="F1604" s="5"/>
      <c r="G1604" s="5"/>
      <c r="H1604" s="5"/>
      <c r="K1604" s="23"/>
      <c r="L1604" s="5"/>
      <c r="M1604" s="5"/>
      <c r="N1604" s="5"/>
      <c r="P1604" s="5"/>
      <c r="R1604" s="9"/>
      <c r="S1604" s="9"/>
    </row>
    <row r="1605" spans="1:19" ht="12.5">
      <c r="A1605" s="5"/>
      <c r="B1605" s="5"/>
      <c r="C1605" s="5"/>
      <c r="D1605" s="5"/>
      <c r="E1605" s="5"/>
      <c r="F1605" s="5"/>
      <c r="G1605" s="5"/>
      <c r="H1605" s="5"/>
      <c r="K1605" s="23"/>
      <c r="L1605" s="5"/>
      <c r="M1605" s="5"/>
      <c r="N1605" s="5"/>
      <c r="P1605" s="5"/>
      <c r="R1605" s="9"/>
      <c r="S1605" s="9"/>
    </row>
    <row r="1606" spans="1:19" ht="12.5">
      <c r="A1606" s="5"/>
      <c r="B1606" s="5"/>
      <c r="C1606" s="5"/>
      <c r="D1606" s="5"/>
      <c r="E1606" s="5"/>
      <c r="F1606" s="5"/>
      <c r="G1606" s="5"/>
      <c r="H1606" s="5"/>
      <c r="K1606" s="23"/>
      <c r="L1606" s="5"/>
      <c r="M1606" s="5"/>
      <c r="N1606" s="5"/>
      <c r="P1606" s="5"/>
      <c r="R1606" s="9"/>
      <c r="S1606" s="9"/>
    </row>
    <row r="1607" spans="1:19" ht="12.5">
      <c r="A1607" s="5"/>
      <c r="B1607" s="5"/>
      <c r="C1607" s="5"/>
      <c r="D1607" s="5"/>
      <c r="E1607" s="5"/>
      <c r="F1607" s="5"/>
      <c r="G1607" s="5"/>
      <c r="H1607" s="5"/>
      <c r="K1607" s="23"/>
      <c r="L1607" s="5"/>
      <c r="M1607" s="5"/>
      <c r="N1607" s="5"/>
      <c r="P1607" s="5"/>
      <c r="R1607" s="9"/>
      <c r="S1607" s="9"/>
    </row>
    <row r="1608" spans="1:19" ht="12.5">
      <c r="A1608" s="5"/>
      <c r="B1608" s="5"/>
      <c r="C1608" s="5"/>
      <c r="D1608" s="5"/>
      <c r="E1608" s="5"/>
      <c r="F1608" s="5"/>
      <c r="G1608" s="5"/>
      <c r="H1608" s="5"/>
      <c r="K1608" s="23"/>
      <c r="L1608" s="5"/>
      <c r="M1608" s="5"/>
      <c r="N1608" s="5"/>
      <c r="P1608" s="5"/>
      <c r="R1608" s="9"/>
      <c r="S1608" s="9"/>
    </row>
    <row r="1609" spans="1:19" ht="12.5">
      <c r="A1609" s="5"/>
      <c r="B1609" s="5"/>
      <c r="C1609" s="5"/>
      <c r="D1609" s="5"/>
      <c r="E1609" s="5"/>
      <c r="F1609" s="5"/>
      <c r="G1609" s="5"/>
      <c r="H1609" s="5"/>
      <c r="K1609" s="23"/>
      <c r="L1609" s="5"/>
      <c r="M1609" s="5"/>
      <c r="N1609" s="5"/>
      <c r="P1609" s="5"/>
      <c r="R1609" s="9"/>
      <c r="S1609" s="9"/>
    </row>
    <row r="1610" spans="1:19" ht="12.5">
      <c r="A1610" s="5"/>
      <c r="B1610" s="5"/>
      <c r="C1610" s="5"/>
      <c r="D1610" s="5"/>
      <c r="E1610" s="5"/>
      <c r="F1610" s="5"/>
      <c r="G1610" s="5"/>
      <c r="H1610" s="5"/>
      <c r="K1610" s="23"/>
      <c r="L1610" s="5"/>
      <c r="M1610" s="5"/>
      <c r="N1610" s="5"/>
      <c r="P1610" s="5"/>
      <c r="R1610" s="9"/>
      <c r="S1610" s="9"/>
    </row>
    <row r="1611" spans="1:19" ht="12.5">
      <c r="A1611" s="5"/>
      <c r="B1611" s="5"/>
      <c r="C1611" s="5"/>
      <c r="D1611" s="5"/>
      <c r="E1611" s="5"/>
      <c r="F1611" s="5"/>
      <c r="G1611" s="5"/>
      <c r="H1611" s="5"/>
      <c r="K1611" s="23"/>
      <c r="L1611" s="5"/>
      <c r="M1611" s="5"/>
      <c r="N1611" s="5"/>
      <c r="P1611" s="5"/>
      <c r="R1611" s="9"/>
      <c r="S1611" s="9"/>
    </row>
    <row r="1612" spans="1:19" ht="12.5">
      <c r="A1612" s="5"/>
      <c r="B1612" s="5"/>
      <c r="C1612" s="5"/>
      <c r="D1612" s="5"/>
      <c r="E1612" s="5"/>
      <c r="F1612" s="5"/>
      <c r="G1612" s="5"/>
      <c r="H1612" s="5"/>
      <c r="K1612" s="23"/>
      <c r="L1612" s="5"/>
      <c r="M1612" s="5"/>
      <c r="N1612" s="5"/>
      <c r="P1612" s="5"/>
      <c r="R1612" s="9"/>
      <c r="S1612" s="9"/>
    </row>
    <row r="1613" spans="1:19" ht="12.5">
      <c r="A1613" s="5"/>
      <c r="B1613" s="5"/>
      <c r="C1613" s="5"/>
      <c r="D1613" s="5"/>
      <c r="E1613" s="5"/>
      <c r="F1613" s="5"/>
      <c r="G1613" s="5"/>
      <c r="H1613" s="5"/>
      <c r="K1613" s="23"/>
      <c r="L1613" s="5"/>
      <c r="M1613" s="5"/>
      <c r="N1613" s="5"/>
      <c r="P1613" s="5"/>
      <c r="R1613" s="9"/>
      <c r="S1613" s="9"/>
    </row>
    <row r="1614" spans="1:19" ht="12.5">
      <c r="A1614" s="5"/>
      <c r="B1614" s="5"/>
      <c r="C1614" s="5"/>
      <c r="D1614" s="5"/>
      <c r="E1614" s="5"/>
      <c r="F1614" s="5"/>
      <c r="G1614" s="5"/>
      <c r="H1614" s="5"/>
      <c r="K1614" s="23"/>
      <c r="L1614" s="5"/>
      <c r="M1614" s="5"/>
      <c r="N1614" s="5"/>
      <c r="P1614" s="5"/>
      <c r="R1614" s="9"/>
      <c r="S1614" s="9"/>
    </row>
    <row r="1615" spans="1:19" ht="12.5">
      <c r="A1615" s="5"/>
      <c r="B1615" s="5"/>
      <c r="C1615" s="5"/>
      <c r="D1615" s="5"/>
      <c r="E1615" s="5"/>
      <c r="F1615" s="5"/>
      <c r="G1615" s="5"/>
      <c r="H1615" s="5"/>
      <c r="K1615" s="23"/>
      <c r="L1615" s="5"/>
      <c r="M1615" s="5"/>
      <c r="N1615" s="5"/>
      <c r="P1615" s="5"/>
      <c r="R1615" s="9"/>
      <c r="S1615" s="9"/>
    </row>
    <row r="1616" spans="1:19" ht="12.5">
      <c r="A1616" s="5"/>
      <c r="B1616" s="5"/>
      <c r="C1616" s="5"/>
      <c r="D1616" s="5"/>
      <c r="E1616" s="5"/>
      <c r="F1616" s="5"/>
      <c r="G1616" s="5"/>
      <c r="H1616" s="5"/>
      <c r="K1616" s="23"/>
      <c r="L1616" s="5"/>
      <c r="M1616" s="5"/>
      <c r="N1616" s="5"/>
      <c r="P1616" s="5"/>
      <c r="R1616" s="9"/>
      <c r="S1616" s="9"/>
    </row>
    <row r="1617" spans="1:19" ht="12.5">
      <c r="A1617" s="5"/>
      <c r="B1617" s="5"/>
      <c r="C1617" s="5"/>
      <c r="D1617" s="5"/>
      <c r="E1617" s="5"/>
      <c r="F1617" s="5"/>
      <c r="G1617" s="5"/>
      <c r="H1617" s="5"/>
      <c r="K1617" s="23"/>
      <c r="L1617" s="5"/>
      <c r="M1617" s="5"/>
      <c r="N1617" s="5"/>
      <c r="P1617" s="5"/>
      <c r="R1617" s="9"/>
      <c r="S1617" s="9"/>
    </row>
    <row r="1618" spans="1:19" ht="12.5">
      <c r="A1618" s="5"/>
      <c r="B1618" s="5"/>
      <c r="C1618" s="5"/>
      <c r="D1618" s="5"/>
      <c r="E1618" s="5"/>
      <c r="F1618" s="5"/>
      <c r="G1618" s="5"/>
      <c r="H1618" s="5"/>
      <c r="K1618" s="23"/>
      <c r="L1618" s="5"/>
      <c r="M1618" s="5"/>
      <c r="N1618" s="5"/>
      <c r="P1618" s="5"/>
      <c r="R1618" s="9"/>
      <c r="S1618" s="9"/>
    </row>
    <row r="1619" spans="1:19" ht="12.5">
      <c r="A1619" s="5"/>
      <c r="B1619" s="5"/>
      <c r="C1619" s="5"/>
      <c r="D1619" s="5"/>
      <c r="E1619" s="5"/>
      <c r="F1619" s="5"/>
      <c r="G1619" s="5"/>
      <c r="H1619" s="5"/>
      <c r="K1619" s="23"/>
      <c r="L1619" s="5"/>
      <c r="M1619" s="5"/>
      <c r="N1619" s="5"/>
      <c r="P1619" s="5"/>
      <c r="R1619" s="9"/>
      <c r="S1619" s="9"/>
    </row>
    <row r="1620" spans="1:19" ht="12.5">
      <c r="A1620" s="5"/>
      <c r="B1620" s="5"/>
      <c r="C1620" s="5"/>
      <c r="D1620" s="5"/>
      <c r="E1620" s="5"/>
      <c r="F1620" s="5"/>
      <c r="G1620" s="5"/>
      <c r="H1620" s="5"/>
      <c r="K1620" s="23"/>
      <c r="L1620" s="5"/>
      <c r="M1620" s="5"/>
      <c r="N1620" s="5"/>
      <c r="P1620" s="5"/>
      <c r="R1620" s="9"/>
      <c r="S1620" s="9"/>
    </row>
    <row r="1621" spans="1:19" ht="12.5">
      <c r="A1621" s="5"/>
      <c r="B1621" s="5"/>
      <c r="C1621" s="5"/>
      <c r="D1621" s="5"/>
      <c r="E1621" s="5"/>
      <c r="F1621" s="5"/>
      <c r="G1621" s="5"/>
      <c r="H1621" s="5"/>
      <c r="K1621" s="23"/>
      <c r="L1621" s="5"/>
      <c r="M1621" s="5"/>
      <c r="N1621" s="5"/>
      <c r="P1621" s="5"/>
      <c r="R1621" s="9"/>
      <c r="S1621" s="9"/>
    </row>
    <row r="1622" spans="1:19" ht="12.5">
      <c r="A1622" s="5"/>
      <c r="B1622" s="5"/>
      <c r="C1622" s="5"/>
      <c r="D1622" s="5"/>
      <c r="E1622" s="5"/>
      <c r="F1622" s="5"/>
      <c r="G1622" s="5"/>
      <c r="H1622" s="5"/>
      <c r="K1622" s="23"/>
      <c r="L1622" s="5"/>
      <c r="M1622" s="5"/>
      <c r="N1622" s="5"/>
      <c r="P1622" s="5"/>
      <c r="R1622" s="9"/>
      <c r="S1622" s="9"/>
    </row>
    <row r="1623" spans="1:19" ht="12.5">
      <c r="A1623" s="5"/>
      <c r="B1623" s="5"/>
      <c r="C1623" s="5"/>
      <c r="D1623" s="5"/>
      <c r="E1623" s="5"/>
      <c r="F1623" s="5"/>
      <c r="G1623" s="5"/>
      <c r="H1623" s="5"/>
      <c r="K1623" s="23"/>
      <c r="L1623" s="5"/>
      <c r="M1623" s="5"/>
      <c r="N1623" s="5"/>
      <c r="P1623" s="5"/>
      <c r="R1623" s="9"/>
      <c r="S1623" s="9"/>
    </row>
    <row r="1624" spans="1:19" ht="12.5">
      <c r="A1624" s="5"/>
      <c r="B1624" s="5"/>
      <c r="C1624" s="5"/>
      <c r="D1624" s="5"/>
      <c r="E1624" s="5"/>
      <c r="F1624" s="5"/>
      <c r="G1624" s="5"/>
      <c r="H1624" s="5"/>
      <c r="K1624" s="23"/>
      <c r="L1624" s="5"/>
      <c r="M1624" s="5"/>
      <c r="N1624" s="5"/>
      <c r="P1624" s="5"/>
      <c r="R1624" s="9"/>
      <c r="S1624" s="9"/>
    </row>
    <row r="1625" spans="1:19" ht="12.5">
      <c r="A1625" s="5"/>
      <c r="B1625" s="5"/>
      <c r="C1625" s="5"/>
      <c r="D1625" s="5"/>
      <c r="E1625" s="5"/>
      <c r="F1625" s="5"/>
      <c r="G1625" s="5"/>
      <c r="H1625" s="5"/>
      <c r="K1625" s="23"/>
      <c r="L1625" s="5"/>
      <c r="M1625" s="5"/>
      <c r="N1625" s="5"/>
      <c r="P1625" s="5"/>
      <c r="R1625" s="9"/>
      <c r="S1625" s="9"/>
    </row>
    <row r="1626" spans="1:19" ht="12.5">
      <c r="A1626" s="5"/>
      <c r="B1626" s="5"/>
      <c r="C1626" s="5"/>
      <c r="D1626" s="5"/>
      <c r="E1626" s="5"/>
      <c r="F1626" s="5"/>
      <c r="G1626" s="5"/>
      <c r="H1626" s="5"/>
      <c r="K1626" s="23"/>
      <c r="L1626" s="5"/>
      <c r="M1626" s="5"/>
      <c r="N1626" s="5"/>
      <c r="P1626" s="5"/>
      <c r="R1626" s="9"/>
      <c r="S1626" s="9"/>
    </row>
    <row r="1627" spans="1:19" ht="12.5">
      <c r="A1627" s="5"/>
      <c r="B1627" s="5"/>
      <c r="C1627" s="5"/>
      <c r="D1627" s="5"/>
      <c r="E1627" s="5"/>
      <c r="F1627" s="5"/>
      <c r="G1627" s="5"/>
      <c r="H1627" s="5"/>
      <c r="K1627" s="23"/>
      <c r="L1627" s="5"/>
      <c r="M1627" s="5"/>
      <c r="N1627" s="5"/>
      <c r="P1627" s="5"/>
      <c r="R1627" s="9"/>
      <c r="S1627" s="9"/>
    </row>
    <row r="1628" spans="1:19" ht="12.5">
      <c r="A1628" s="5"/>
      <c r="B1628" s="5"/>
      <c r="C1628" s="5"/>
      <c r="D1628" s="5"/>
      <c r="E1628" s="5"/>
      <c r="F1628" s="5"/>
      <c r="G1628" s="5"/>
      <c r="H1628" s="5"/>
      <c r="K1628" s="23"/>
      <c r="L1628" s="5"/>
      <c r="M1628" s="5"/>
      <c r="N1628" s="5"/>
      <c r="P1628" s="5"/>
      <c r="R1628" s="9"/>
      <c r="S1628" s="9"/>
    </row>
    <row r="1629" spans="1:19" ht="12.5">
      <c r="A1629" s="5"/>
      <c r="B1629" s="5"/>
      <c r="C1629" s="5"/>
      <c r="D1629" s="5"/>
      <c r="E1629" s="5"/>
      <c r="F1629" s="5"/>
      <c r="G1629" s="5"/>
      <c r="H1629" s="5"/>
      <c r="K1629" s="23"/>
      <c r="L1629" s="5"/>
      <c r="M1629" s="5"/>
      <c r="N1629" s="5"/>
      <c r="P1629" s="5"/>
      <c r="R1629" s="9"/>
      <c r="S1629" s="9"/>
    </row>
    <row r="1630" spans="1:19" ht="12.5">
      <c r="A1630" s="5"/>
      <c r="B1630" s="5"/>
      <c r="C1630" s="5"/>
      <c r="D1630" s="5"/>
      <c r="E1630" s="5"/>
      <c r="F1630" s="5"/>
      <c r="G1630" s="5"/>
      <c r="H1630" s="5"/>
      <c r="K1630" s="23"/>
      <c r="L1630" s="5"/>
      <c r="M1630" s="5"/>
      <c r="N1630" s="5"/>
      <c r="P1630" s="5"/>
      <c r="R1630" s="9"/>
      <c r="S1630" s="9"/>
    </row>
    <row r="1631" spans="1:19" ht="12.5">
      <c r="A1631" s="5"/>
      <c r="B1631" s="5"/>
      <c r="C1631" s="5"/>
      <c r="D1631" s="5"/>
      <c r="E1631" s="5"/>
      <c r="F1631" s="5"/>
      <c r="G1631" s="5"/>
      <c r="H1631" s="5"/>
      <c r="K1631" s="23"/>
      <c r="L1631" s="5"/>
      <c r="M1631" s="5"/>
      <c r="N1631" s="5"/>
      <c r="P1631" s="5"/>
      <c r="R1631" s="9"/>
      <c r="S1631" s="9"/>
    </row>
    <row r="1632" spans="1:19" ht="12.5">
      <c r="A1632" s="5"/>
      <c r="B1632" s="5"/>
      <c r="C1632" s="5"/>
      <c r="D1632" s="5"/>
      <c r="E1632" s="5"/>
      <c r="F1632" s="5"/>
      <c r="G1632" s="5"/>
      <c r="H1632" s="5"/>
      <c r="K1632" s="23"/>
      <c r="L1632" s="5"/>
      <c r="M1632" s="5"/>
      <c r="N1632" s="5"/>
      <c r="P1632" s="5"/>
      <c r="R1632" s="9"/>
      <c r="S1632" s="9"/>
    </row>
    <row r="1633" spans="1:19" ht="12.5">
      <c r="A1633" s="5"/>
      <c r="B1633" s="5"/>
      <c r="C1633" s="5"/>
      <c r="D1633" s="5"/>
      <c r="E1633" s="5"/>
      <c r="F1633" s="5"/>
      <c r="G1633" s="5"/>
      <c r="H1633" s="5"/>
      <c r="K1633" s="23"/>
      <c r="L1633" s="5"/>
      <c r="M1633" s="5"/>
      <c r="N1633" s="5"/>
      <c r="P1633" s="5"/>
      <c r="R1633" s="9"/>
      <c r="S1633" s="9"/>
    </row>
    <row r="1634" spans="1:19" ht="12.5">
      <c r="A1634" s="5"/>
      <c r="B1634" s="5"/>
      <c r="C1634" s="5"/>
      <c r="D1634" s="5"/>
      <c r="E1634" s="5"/>
      <c r="F1634" s="5"/>
      <c r="G1634" s="5"/>
      <c r="H1634" s="5"/>
      <c r="K1634" s="23"/>
      <c r="L1634" s="5"/>
      <c r="M1634" s="5"/>
      <c r="N1634" s="5"/>
      <c r="P1634" s="5"/>
      <c r="R1634" s="9"/>
      <c r="S1634" s="9"/>
    </row>
    <row r="1635" spans="1:19" ht="12.5">
      <c r="A1635" s="5"/>
      <c r="B1635" s="5"/>
      <c r="C1635" s="5"/>
      <c r="D1635" s="5"/>
      <c r="E1635" s="5"/>
      <c r="F1635" s="5"/>
      <c r="G1635" s="5"/>
      <c r="H1635" s="5"/>
      <c r="K1635" s="23"/>
      <c r="L1635" s="5"/>
      <c r="M1635" s="5"/>
      <c r="N1635" s="5"/>
      <c r="P1635" s="5"/>
      <c r="R1635" s="9"/>
      <c r="S1635" s="9"/>
    </row>
    <row r="1636" spans="1:19" ht="12.5">
      <c r="A1636" s="5"/>
      <c r="B1636" s="5"/>
      <c r="C1636" s="5"/>
      <c r="D1636" s="5"/>
      <c r="E1636" s="5"/>
      <c r="F1636" s="5"/>
      <c r="G1636" s="5"/>
      <c r="H1636" s="5"/>
      <c r="K1636" s="23"/>
      <c r="L1636" s="5"/>
      <c r="M1636" s="5"/>
      <c r="N1636" s="5"/>
      <c r="P1636" s="5"/>
      <c r="R1636" s="9"/>
      <c r="S1636" s="9"/>
    </row>
    <row r="1637" spans="1:19" ht="12.5">
      <c r="A1637" s="5"/>
      <c r="B1637" s="5"/>
      <c r="C1637" s="5"/>
      <c r="D1637" s="5"/>
      <c r="E1637" s="5"/>
      <c r="F1637" s="5"/>
      <c r="G1637" s="5"/>
      <c r="H1637" s="5"/>
      <c r="K1637" s="23"/>
      <c r="L1637" s="5"/>
      <c r="M1637" s="5"/>
      <c r="N1637" s="5"/>
      <c r="P1637" s="5"/>
      <c r="R1637" s="9"/>
      <c r="S1637" s="9"/>
    </row>
    <row r="1638" spans="1:19" ht="12.5">
      <c r="A1638" s="5"/>
      <c r="B1638" s="5"/>
      <c r="C1638" s="5"/>
      <c r="D1638" s="5"/>
      <c r="E1638" s="5"/>
      <c r="F1638" s="5"/>
      <c r="G1638" s="5"/>
      <c r="H1638" s="5"/>
      <c r="K1638" s="23"/>
      <c r="L1638" s="5"/>
      <c r="M1638" s="5"/>
      <c r="N1638" s="5"/>
      <c r="P1638" s="5"/>
      <c r="R1638" s="9"/>
      <c r="S1638" s="9"/>
    </row>
    <row r="1639" spans="1:19" ht="12.5">
      <c r="A1639" s="5"/>
      <c r="B1639" s="5"/>
      <c r="C1639" s="5"/>
      <c r="D1639" s="5"/>
      <c r="E1639" s="5"/>
      <c r="F1639" s="5"/>
      <c r="G1639" s="5"/>
      <c r="H1639" s="5"/>
      <c r="K1639" s="23"/>
      <c r="L1639" s="5"/>
      <c r="M1639" s="5"/>
      <c r="N1639" s="5"/>
      <c r="P1639" s="5"/>
      <c r="R1639" s="9"/>
      <c r="S1639" s="9"/>
    </row>
    <row r="1640" spans="1:19" ht="12.5">
      <c r="A1640" s="5"/>
      <c r="B1640" s="5"/>
      <c r="C1640" s="5"/>
      <c r="D1640" s="5"/>
      <c r="E1640" s="5"/>
      <c r="F1640" s="5"/>
      <c r="G1640" s="5"/>
      <c r="H1640" s="5"/>
      <c r="K1640" s="23"/>
      <c r="L1640" s="5"/>
      <c r="M1640" s="5"/>
      <c r="N1640" s="5"/>
      <c r="P1640" s="5"/>
      <c r="R1640" s="9"/>
      <c r="S1640" s="9"/>
    </row>
    <row r="1641" spans="1:19" ht="12.5">
      <c r="A1641" s="5"/>
      <c r="B1641" s="5"/>
      <c r="C1641" s="5"/>
      <c r="D1641" s="5"/>
      <c r="E1641" s="5"/>
      <c r="F1641" s="5"/>
      <c r="G1641" s="5"/>
      <c r="H1641" s="5"/>
      <c r="K1641" s="23"/>
      <c r="L1641" s="5"/>
      <c r="M1641" s="5"/>
      <c r="N1641" s="5"/>
      <c r="P1641" s="5"/>
      <c r="R1641" s="9"/>
      <c r="S1641" s="9"/>
    </row>
    <row r="1642" spans="1:19" ht="12.5">
      <c r="A1642" s="5"/>
      <c r="B1642" s="5"/>
      <c r="C1642" s="5"/>
      <c r="D1642" s="5"/>
      <c r="E1642" s="5"/>
      <c r="F1642" s="5"/>
      <c r="G1642" s="5"/>
      <c r="H1642" s="5"/>
      <c r="K1642" s="23"/>
      <c r="L1642" s="5"/>
      <c r="M1642" s="5"/>
      <c r="N1642" s="5"/>
      <c r="P1642" s="5"/>
      <c r="R1642" s="9"/>
      <c r="S1642" s="9"/>
    </row>
    <row r="1643" spans="1:19" ht="12.5">
      <c r="A1643" s="5"/>
      <c r="B1643" s="5"/>
      <c r="C1643" s="5"/>
      <c r="D1643" s="5"/>
      <c r="E1643" s="5"/>
      <c r="F1643" s="5"/>
      <c r="G1643" s="5"/>
      <c r="H1643" s="5"/>
      <c r="K1643" s="23"/>
      <c r="L1643" s="5"/>
      <c r="M1643" s="5"/>
      <c r="N1643" s="5"/>
      <c r="P1643" s="5"/>
      <c r="R1643" s="9"/>
      <c r="S1643" s="9"/>
    </row>
    <row r="1644" spans="1:19" ht="12.5">
      <c r="A1644" s="5"/>
      <c r="B1644" s="5"/>
      <c r="C1644" s="5"/>
      <c r="D1644" s="5"/>
      <c r="E1644" s="5"/>
      <c r="F1644" s="5"/>
      <c r="G1644" s="5"/>
      <c r="H1644" s="5"/>
      <c r="K1644" s="23"/>
      <c r="L1644" s="5"/>
      <c r="M1644" s="5"/>
      <c r="N1644" s="5"/>
      <c r="P1644" s="5"/>
      <c r="R1644" s="9"/>
      <c r="S1644" s="9"/>
    </row>
    <row r="1645" spans="1:19" ht="12.5">
      <c r="A1645" s="5"/>
      <c r="B1645" s="5"/>
      <c r="C1645" s="5"/>
      <c r="D1645" s="5"/>
      <c r="E1645" s="5"/>
      <c r="F1645" s="5"/>
      <c r="G1645" s="5"/>
      <c r="H1645" s="5"/>
      <c r="K1645" s="23"/>
      <c r="L1645" s="5"/>
      <c r="M1645" s="5"/>
      <c r="N1645" s="5"/>
      <c r="P1645" s="5"/>
      <c r="R1645" s="9"/>
      <c r="S1645" s="9"/>
    </row>
    <row r="1646" spans="1:19" ht="12.5">
      <c r="A1646" s="5"/>
      <c r="B1646" s="5"/>
      <c r="C1646" s="5"/>
      <c r="D1646" s="5"/>
      <c r="E1646" s="5"/>
      <c r="F1646" s="5"/>
      <c r="G1646" s="5"/>
      <c r="H1646" s="5"/>
      <c r="K1646" s="23"/>
      <c r="L1646" s="5"/>
      <c r="M1646" s="5"/>
      <c r="N1646" s="5"/>
      <c r="P1646" s="5"/>
      <c r="R1646" s="9"/>
      <c r="S1646" s="9"/>
    </row>
    <row r="1647" spans="1:19" ht="12.5">
      <c r="A1647" s="5"/>
      <c r="B1647" s="5"/>
      <c r="C1647" s="5"/>
      <c r="D1647" s="5"/>
      <c r="E1647" s="5"/>
      <c r="F1647" s="5"/>
      <c r="G1647" s="5"/>
      <c r="H1647" s="5"/>
      <c r="K1647" s="23"/>
      <c r="L1647" s="5"/>
      <c r="M1647" s="5"/>
      <c r="N1647" s="5"/>
      <c r="P1647" s="5"/>
      <c r="R1647" s="9"/>
      <c r="S1647" s="9"/>
    </row>
    <row r="1648" spans="1:19" ht="12.5">
      <c r="A1648" s="5"/>
      <c r="B1648" s="5"/>
      <c r="C1648" s="5"/>
      <c r="D1648" s="5"/>
      <c r="E1648" s="5"/>
      <c r="F1648" s="5"/>
      <c r="G1648" s="5"/>
      <c r="H1648" s="5"/>
      <c r="K1648" s="23"/>
      <c r="L1648" s="5"/>
      <c r="M1648" s="5"/>
      <c r="N1648" s="5"/>
      <c r="P1648" s="5"/>
      <c r="R1648" s="9"/>
      <c r="S1648" s="9"/>
    </row>
    <row r="1649" spans="1:19" ht="12.5">
      <c r="A1649" s="5"/>
      <c r="B1649" s="5"/>
      <c r="C1649" s="5"/>
      <c r="D1649" s="5"/>
      <c r="E1649" s="5"/>
      <c r="F1649" s="5"/>
      <c r="G1649" s="5"/>
      <c r="H1649" s="5"/>
      <c r="K1649" s="23"/>
      <c r="L1649" s="5"/>
      <c r="M1649" s="5"/>
      <c r="N1649" s="5"/>
      <c r="P1649" s="5"/>
      <c r="R1649" s="9"/>
      <c r="S1649" s="9"/>
    </row>
    <row r="1650" spans="1:19" ht="12.5">
      <c r="A1650" s="5"/>
      <c r="B1650" s="5"/>
      <c r="C1650" s="5"/>
      <c r="D1650" s="5"/>
      <c r="E1650" s="5"/>
      <c r="F1650" s="5"/>
      <c r="G1650" s="5"/>
      <c r="H1650" s="5"/>
      <c r="K1650" s="23"/>
      <c r="L1650" s="5"/>
      <c r="M1650" s="5"/>
      <c r="N1650" s="5"/>
      <c r="P1650" s="5"/>
      <c r="R1650" s="9"/>
      <c r="S1650" s="9"/>
    </row>
    <row r="1651" spans="1:19" ht="12.5">
      <c r="A1651" s="5"/>
      <c r="B1651" s="5"/>
      <c r="C1651" s="5"/>
      <c r="D1651" s="5"/>
      <c r="E1651" s="5"/>
      <c r="F1651" s="5"/>
      <c r="G1651" s="5"/>
      <c r="H1651" s="5"/>
      <c r="K1651" s="23"/>
      <c r="L1651" s="5"/>
      <c r="M1651" s="5"/>
      <c r="N1651" s="5"/>
      <c r="P1651" s="5"/>
      <c r="R1651" s="9"/>
      <c r="S1651" s="9"/>
    </row>
    <row r="1652" spans="1:19" ht="12.5">
      <c r="A1652" s="5"/>
      <c r="B1652" s="5"/>
      <c r="C1652" s="5"/>
      <c r="D1652" s="5"/>
      <c r="E1652" s="5"/>
      <c r="F1652" s="5"/>
      <c r="G1652" s="5"/>
      <c r="H1652" s="5"/>
      <c r="K1652" s="23"/>
      <c r="L1652" s="5"/>
      <c r="M1652" s="5"/>
      <c r="N1652" s="5"/>
      <c r="P1652" s="5"/>
      <c r="R1652" s="9"/>
      <c r="S1652" s="9"/>
    </row>
    <row r="1653" spans="1:19" ht="12.5">
      <c r="A1653" s="5"/>
      <c r="B1653" s="5"/>
      <c r="C1653" s="5"/>
      <c r="D1653" s="5"/>
      <c r="E1653" s="5"/>
      <c r="F1653" s="5"/>
      <c r="G1653" s="5"/>
      <c r="H1653" s="5"/>
      <c r="K1653" s="23"/>
      <c r="L1653" s="5"/>
      <c r="M1653" s="5"/>
      <c r="N1653" s="5"/>
      <c r="P1653" s="5"/>
      <c r="R1653" s="9"/>
      <c r="S1653" s="9"/>
    </row>
    <row r="1654" spans="1:19" ht="12.5">
      <c r="A1654" s="5"/>
      <c r="B1654" s="5"/>
      <c r="C1654" s="5"/>
      <c r="D1654" s="5"/>
      <c r="E1654" s="5"/>
      <c r="F1654" s="5"/>
      <c r="G1654" s="5"/>
      <c r="H1654" s="5"/>
      <c r="K1654" s="23"/>
      <c r="L1654" s="5"/>
      <c r="M1654" s="5"/>
      <c r="N1654" s="5"/>
      <c r="P1654" s="5"/>
      <c r="R1654" s="9"/>
      <c r="S1654" s="9"/>
    </row>
    <row r="1655" spans="1:19" ht="12.5">
      <c r="A1655" s="5"/>
      <c r="B1655" s="5"/>
      <c r="C1655" s="5"/>
      <c r="D1655" s="5"/>
      <c r="E1655" s="5"/>
      <c r="F1655" s="5"/>
      <c r="G1655" s="5"/>
      <c r="H1655" s="5"/>
      <c r="K1655" s="23"/>
      <c r="L1655" s="5"/>
      <c r="M1655" s="5"/>
      <c r="N1655" s="5"/>
      <c r="P1655" s="5"/>
      <c r="R1655" s="9"/>
      <c r="S1655" s="9"/>
    </row>
    <row r="1656" spans="1:19" ht="12.5">
      <c r="A1656" s="5"/>
      <c r="B1656" s="5"/>
      <c r="C1656" s="5"/>
      <c r="D1656" s="5"/>
      <c r="E1656" s="5"/>
      <c r="F1656" s="5"/>
      <c r="G1656" s="5"/>
      <c r="H1656" s="5"/>
      <c r="K1656" s="23"/>
      <c r="L1656" s="5"/>
      <c r="M1656" s="5"/>
      <c r="N1656" s="5"/>
      <c r="P1656" s="5"/>
      <c r="R1656" s="9"/>
      <c r="S1656" s="9"/>
    </row>
    <row r="1657" spans="1:19" ht="12.5">
      <c r="A1657" s="5"/>
      <c r="B1657" s="5"/>
      <c r="C1657" s="5"/>
      <c r="D1657" s="5"/>
      <c r="E1657" s="5"/>
      <c r="F1657" s="5"/>
      <c r="G1657" s="5"/>
      <c r="H1657" s="5"/>
      <c r="K1657" s="23"/>
      <c r="L1657" s="5"/>
      <c r="M1657" s="5"/>
      <c r="N1657" s="5"/>
      <c r="P1657" s="5"/>
      <c r="R1657" s="9"/>
      <c r="S1657" s="9"/>
    </row>
    <row r="1658" spans="1:19" ht="12.5">
      <c r="A1658" s="5"/>
      <c r="B1658" s="5"/>
      <c r="C1658" s="5"/>
      <c r="D1658" s="5"/>
      <c r="E1658" s="5"/>
      <c r="F1658" s="5"/>
      <c r="G1658" s="5"/>
      <c r="H1658" s="5"/>
      <c r="K1658" s="23"/>
      <c r="L1658" s="5"/>
      <c r="M1658" s="5"/>
      <c r="N1658" s="5"/>
      <c r="P1658" s="5"/>
      <c r="R1658" s="9"/>
      <c r="S1658" s="9"/>
    </row>
    <row r="1659" spans="1:19" ht="12.5">
      <c r="A1659" s="5"/>
      <c r="B1659" s="5"/>
      <c r="C1659" s="5"/>
      <c r="D1659" s="5"/>
      <c r="E1659" s="5"/>
      <c r="F1659" s="5"/>
      <c r="G1659" s="5"/>
      <c r="H1659" s="5"/>
      <c r="K1659" s="23"/>
      <c r="L1659" s="5"/>
      <c r="M1659" s="5"/>
      <c r="N1659" s="5"/>
      <c r="P1659" s="5"/>
      <c r="R1659" s="9"/>
      <c r="S1659" s="9"/>
    </row>
    <row r="1660" spans="1:19" ht="12.5">
      <c r="A1660" s="5"/>
      <c r="B1660" s="5"/>
      <c r="C1660" s="5"/>
      <c r="D1660" s="5"/>
      <c r="E1660" s="5"/>
      <c r="F1660" s="5"/>
      <c r="G1660" s="5"/>
      <c r="H1660" s="5"/>
      <c r="K1660" s="23"/>
      <c r="L1660" s="5"/>
      <c r="M1660" s="5"/>
      <c r="N1660" s="5"/>
      <c r="P1660" s="5"/>
      <c r="R1660" s="9"/>
      <c r="S1660" s="9"/>
    </row>
    <row r="1661" spans="1:19" ht="12.5">
      <c r="A1661" s="5"/>
      <c r="B1661" s="5"/>
      <c r="C1661" s="5"/>
      <c r="D1661" s="5"/>
      <c r="E1661" s="5"/>
      <c r="F1661" s="5"/>
      <c r="G1661" s="5"/>
      <c r="H1661" s="5"/>
      <c r="K1661" s="23"/>
      <c r="L1661" s="5"/>
      <c r="M1661" s="5"/>
      <c r="N1661" s="5"/>
      <c r="P1661" s="5"/>
      <c r="R1661" s="9"/>
      <c r="S1661" s="9"/>
    </row>
    <row r="1662" spans="1:19" ht="12.5">
      <c r="A1662" s="5"/>
      <c r="B1662" s="5"/>
      <c r="C1662" s="5"/>
      <c r="D1662" s="5"/>
      <c r="E1662" s="5"/>
      <c r="F1662" s="5"/>
      <c r="G1662" s="5"/>
      <c r="H1662" s="5"/>
      <c r="K1662" s="23"/>
      <c r="L1662" s="5"/>
      <c r="M1662" s="5"/>
      <c r="N1662" s="5"/>
      <c r="P1662" s="5"/>
      <c r="R1662" s="9"/>
      <c r="S1662" s="9"/>
    </row>
    <row r="1663" spans="1:19" ht="12.5">
      <c r="A1663" s="5"/>
      <c r="B1663" s="5"/>
      <c r="C1663" s="5"/>
      <c r="D1663" s="5"/>
      <c r="E1663" s="5"/>
      <c r="F1663" s="5"/>
      <c r="G1663" s="5"/>
      <c r="H1663" s="5"/>
      <c r="K1663" s="23"/>
      <c r="L1663" s="5"/>
      <c r="M1663" s="5"/>
      <c r="N1663" s="5"/>
      <c r="P1663" s="5"/>
      <c r="R1663" s="9"/>
      <c r="S1663" s="9"/>
    </row>
    <row r="1664" spans="1:19" ht="12.5">
      <c r="A1664" s="5"/>
      <c r="B1664" s="5"/>
      <c r="C1664" s="5"/>
      <c r="D1664" s="5"/>
      <c r="E1664" s="5"/>
      <c r="F1664" s="5"/>
      <c r="G1664" s="5"/>
      <c r="H1664" s="5"/>
      <c r="K1664" s="23"/>
      <c r="L1664" s="5"/>
      <c r="M1664" s="5"/>
      <c r="N1664" s="5"/>
      <c r="P1664" s="5"/>
      <c r="R1664" s="9"/>
      <c r="S1664" s="9"/>
    </row>
    <row r="1665" spans="1:19" ht="12.5">
      <c r="A1665" s="5"/>
      <c r="B1665" s="5"/>
      <c r="C1665" s="5"/>
      <c r="D1665" s="5"/>
      <c r="E1665" s="5"/>
      <c r="F1665" s="5"/>
      <c r="G1665" s="5"/>
      <c r="H1665" s="5"/>
      <c r="K1665" s="23"/>
      <c r="L1665" s="5"/>
      <c r="M1665" s="5"/>
      <c r="N1665" s="5"/>
      <c r="P1665" s="5"/>
      <c r="R1665" s="9"/>
      <c r="S1665" s="9"/>
    </row>
    <row r="1666" spans="1:19" ht="12.5">
      <c r="A1666" s="5"/>
      <c r="B1666" s="5"/>
      <c r="C1666" s="5"/>
      <c r="D1666" s="5"/>
      <c r="E1666" s="5"/>
      <c r="F1666" s="5"/>
      <c r="G1666" s="5"/>
      <c r="H1666" s="5"/>
      <c r="K1666" s="23"/>
      <c r="L1666" s="5"/>
      <c r="M1666" s="5"/>
      <c r="N1666" s="5"/>
      <c r="P1666" s="5"/>
      <c r="R1666" s="9"/>
      <c r="S1666" s="9"/>
    </row>
    <row r="1667" spans="1:19" ht="12.5">
      <c r="A1667" s="5"/>
      <c r="B1667" s="5"/>
      <c r="C1667" s="5"/>
      <c r="D1667" s="5"/>
      <c r="E1667" s="5"/>
      <c r="F1667" s="5"/>
      <c r="G1667" s="5"/>
      <c r="H1667" s="5"/>
      <c r="K1667" s="23"/>
      <c r="L1667" s="5"/>
      <c r="M1667" s="5"/>
      <c r="N1667" s="5"/>
      <c r="P1667" s="5"/>
      <c r="R1667" s="9"/>
      <c r="S1667" s="9"/>
    </row>
    <row r="1668" spans="1:19" ht="12.5">
      <c r="A1668" s="5"/>
      <c r="B1668" s="5"/>
      <c r="C1668" s="5"/>
      <c r="D1668" s="5"/>
      <c r="E1668" s="5"/>
      <c r="F1668" s="5"/>
      <c r="G1668" s="5"/>
      <c r="H1668" s="5"/>
      <c r="K1668" s="23"/>
      <c r="L1668" s="5"/>
      <c r="M1668" s="5"/>
      <c r="N1668" s="5"/>
      <c r="P1668" s="5"/>
      <c r="R1668" s="9"/>
      <c r="S1668" s="9"/>
    </row>
    <row r="1669" spans="1:19" ht="12.5">
      <c r="A1669" s="5"/>
      <c r="B1669" s="5"/>
      <c r="C1669" s="5"/>
      <c r="D1669" s="5"/>
      <c r="E1669" s="5"/>
      <c r="F1669" s="5"/>
      <c r="G1669" s="5"/>
      <c r="H1669" s="5"/>
      <c r="K1669" s="23"/>
      <c r="L1669" s="5"/>
      <c r="M1669" s="5"/>
      <c r="N1669" s="5"/>
      <c r="P1669" s="5"/>
      <c r="R1669" s="9"/>
      <c r="S1669" s="9"/>
    </row>
    <row r="1670" spans="1:19" ht="12.5">
      <c r="A1670" s="5"/>
      <c r="B1670" s="5"/>
      <c r="C1670" s="5"/>
      <c r="D1670" s="5"/>
      <c r="E1670" s="5"/>
      <c r="F1670" s="5"/>
      <c r="G1670" s="5"/>
      <c r="H1670" s="5"/>
      <c r="K1670" s="23"/>
      <c r="L1670" s="5"/>
      <c r="M1670" s="5"/>
      <c r="N1670" s="5"/>
      <c r="P1670" s="5"/>
      <c r="R1670" s="9"/>
      <c r="S1670" s="9"/>
    </row>
    <row r="1671" spans="1:19" ht="12.5">
      <c r="A1671" s="5"/>
      <c r="B1671" s="5"/>
      <c r="C1671" s="5"/>
      <c r="D1671" s="5"/>
      <c r="E1671" s="5"/>
      <c r="F1671" s="5"/>
      <c r="G1671" s="5"/>
      <c r="H1671" s="5"/>
      <c r="K1671" s="23"/>
      <c r="L1671" s="5"/>
      <c r="M1671" s="5"/>
      <c r="N1671" s="5"/>
      <c r="P1671" s="5"/>
      <c r="R1671" s="9"/>
      <c r="S1671" s="9"/>
    </row>
    <row r="1672" spans="1:19" ht="12.5">
      <c r="A1672" s="5"/>
      <c r="B1672" s="5"/>
      <c r="C1672" s="5"/>
      <c r="D1672" s="5"/>
      <c r="E1672" s="5"/>
      <c r="F1672" s="5"/>
      <c r="G1672" s="5"/>
      <c r="H1672" s="5"/>
      <c r="K1672" s="23"/>
      <c r="L1672" s="5"/>
      <c r="M1672" s="5"/>
      <c r="N1672" s="5"/>
      <c r="P1672" s="5"/>
      <c r="R1672" s="9"/>
      <c r="S1672" s="9"/>
    </row>
    <row r="1673" spans="1:19" ht="12.5">
      <c r="A1673" s="5"/>
      <c r="B1673" s="5"/>
      <c r="C1673" s="5"/>
      <c r="D1673" s="5"/>
      <c r="E1673" s="5"/>
      <c r="F1673" s="5"/>
      <c r="G1673" s="5"/>
      <c r="H1673" s="5"/>
      <c r="K1673" s="23"/>
      <c r="L1673" s="5"/>
      <c r="M1673" s="5"/>
      <c r="N1673" s="5"/>
      <c r="P1673" s="5"/>
      <c r="R1673" s="9"/>
      <c r="S1673" s="9"/>
    </row>
    <row r="1674" spans="1:19" ht="12.5">
      <c r="A1674" s="5"/>
      <c r="B1674" s="5"/>
      <c r="C1674" s="5"/>
      <c r="D1674" s="5"/>
      <c r="E1674" s="5"/>
      <c r="F1674" s="5"/>
      <c r="G1674" s="5"/>
      <c r="H1674" s="5"/>
      <c r="K1674" s="23"/>
      <c r="L1674" s="5"/>
      <c r="M1674" s="5"/>
      <c r="N1674" s="5"/>
      <c r="P1674" s="5"/>
      <c r="R1674" s="9"/>
      <c r="S1674" s="9"/>
    </row>
    <row r="1675" spans="1:19" ht="12.5">
      <c r="A1675" s="5"/>
      <c r="B1675" s="5"/>
      <c r="C1675" s="5"/>
      <c r="D1675" s="5"/>
      <c r="E1675" s="5"/>
      <c r="F1675" s="5"/>
      <c r="G1675" s="5"/>
      <c r="H1675" s="5"/>
      <c r="K1675" s="23"/>
      <c r="L1675" s="5"/>
      <c r="M1675" s="5"/>
      <c r="N1675" s="5"/>
      <c r="P1675" s="5"/>
      <c r="R1675" s="9"/>
      <c r="S1675" s="9"/>
    </row>
    <row r="1676" spans="1:19" ht="12.5">
      <c r="A1676" s="5"/>
      <c r="B1676" s="5"/>
      <c r="C1676" s="5"/>
      <c r="D1676" s="5"/>
      <c r="E1676" s="5"/>
      <c r="F1676" s="5"/>
      <c r="G1676" s="5"/>
      <c r="H1676" s="5"/>
      <c r="K1676" s="23"/>
      <c r="L1676" s="5"/>
      <c r="M1676" s="5"/>
      <c r="N1676" s="5"/>
      <c r="P1676" s="5"/>
      <c r="R1676" s="9"/>
      <c r="S1676" s="9"/>
    </row>
    <row r="1677" spans="1:19" ht="12.5">
      <c r="A1677" s="5"/>
      <c r="B1677" s="5"/>
      <c r="C1677" s="5"/>
      <c r="D1677" s="5"/>
      <c r="E1677" s="5"/>
      <c r="F1677" s="5"/>
      <c r="G1677" s="5"/>
      <c r="H1677" s="5"/>
      <c r="K1677" s="23"/>
      <c r="L1677" s="5"/>
      <c r="M1677" s="5"/>
      <c r="N1677" s="5"/>
      <c r="P1677" s="5"/>
      <c r="R1677" s="9"/>
      <c r="S1677" s="9"/>
    </row>
    <row r="1678" spans="1:19" ht="12.5">
      <c r="A1678" s="5"/>
      <c r="B1678" s="5"/>
      <c r="C1678" s="5"/>
      <c r="D1678" s="5"/>
      <c r="E1678" s="5"/>
      <c r="F1678" s="5"/>
      <c r="G1678" s="5"/>
      <c r="H1678" s="5"/>
      <c r="K1678" s="23"/>
      <c r="L1678" s="5"/>
      <c r="M1678" s="5"/>
      <c r="N1678" s="5"/>
      <c r="P1678" s="5"/>
      <c r="R1678" s="9"/>
      <c r="S1678" s="9"/>
    </row>
    <row r="1679" spans="1:19" ht="12.5">
      <c r="A1679" s="5"/>
      <c r="B1679" s="5"/>
      <c r="C1679" s="5"/>
      <c r="D1679" s="5"/>
      <c r="E1679" s="5"/>
      <c r="F1679" s="5"/>
      <c r="G1679" s="5"/>
      <c r="H1679" s="5"/>
      <c r="K1679" s="23"/>
      <c r="L1679" s="5"/>
      <c r="M1679" s="5"/>
      <c r="N1679" s="5"/>
      <c r="P1679" s="5"/>
      <c r="R1679" s="9"/>
      <c r="S1679" s="9"/>
    </row>
    <row r="1680" spans="1:19" ht="12.5">
      <c r="A1680" s="5"/>
      <c r="B1680" s="5"/>
      <c r="C1680" s="5"/>
      <c r="D1680" s="5"/>
      <c r="E1680" s="5"/>
      <c r="F1680" s="5"/>
      <c r="G1680" s="5"/>
      <c r="H1680" s="5"/>
      <c r="K1680" s="23"/>
      <c r="L1680" s="5"/>
      <c r="M1680" s="5"/>
      <c r="N1680" s="5"/>
      <c r="P1680" s="5"/>
      <c r="R1680" s="9"/>
      <c r="S1680" s="9"/>
    </row>
    <row r="1681" spans="1:19" ht="12.5">
      <c r="A1681" s="5"/>
      <c r="B1681" s="5"/>
      <c r="C1681" s="5"/>
      <c r="D1681" s="5"/>
      <c r="E1681" s="5"/>
      <c r="F1681" s="5"/>
      <c r="G1681" s="5"/>
      <c r="H1681" s="5"/>
      <c r="K1681" s="23"/>
      <c r="L1681" s="5"/>
      <c r="M1681" s="5"/>
      <c r="N1681" s="5"/>
      <c r="P1681" s="5"/>
      <c r="R1681" s="9"/>
      <c r="S1681" s="9"/>
    </row>
    <row r="1682" spans="1:19" ht="12.5">
      <c r="A1682" s="5"/>
      <c r="B1682" s="5"/>
      <c r="C1682" s="5"/>
      <c r="D1682" s="5"/>
      <c r="E1682" s="5"/>
      <c r="F1682" s="5"/>
      <c r="G1682" s="5"/>
      <c r="H1682" s="5"/>
      <c r="K1682" s="23"/>
      <c r="L1682" s="5"/>
      <c r="M1682" s="5"/>
      <c r="N1682" s="5"/>
      <c r="P1682" s="5"/>
      <c r="R1682" s="9"/>
      <c r="S1682" s="9"/>
    </row>
    <row r="1683" spans="1:19" ht="12.5">
      <c r="A1683" s="5"/>
      <c r="B1683" s="5"/>
      <c r="C1683" s="5"/>
      <c r="D1683" s="5"/>
      <c r="E1683" s="5"/>
      <c r="F1683" s="5"/>
      <c r="G1683" s="5"/>
      <c r="H1683" s="5"/>
      <c r="K1683" s="23"/>
      <c r="L1683" s="5"/>
      <c r="M1683" s="5"/>
      <c r="N1683" s="5"/>
      <c r="P1683" s="5"/>
      <c r="R1683" s="9"/>
      <c r="S1683" s="9"/>
    </row>
    <row r="1684" spans="1:19" ht="12.5">
      <c r="A1684" s="5"/>
      <c r="B1684" s="5"/>
      <c r="C1684" s="5"/>
      <c r="D1684" s="5"/>
      <c r="E1684" s="5"/>
      <c r="F1684" s="5"/>
      <c r="G1684" s="5"/>
      <c r="H1684" s="5"/>
      <c r="K1684" s="23"/>
      <c r="L1684" s="5"/>
      <c r="M1684" s="5"/>
      <c r="N1684" s="5"/>
      <c r="P1684" s="5"/>
      <c r="R1684" s="9"/>
      <c r="S1684" s="9"/>
    </row>
    <row r="1685" spans="1:19" ht="12.5">
      <c r="A1685" s="5"/>
      <c r="B1685" s="5"/>
      <c r="C1685" s="5"/>
      <c r="D1685" s="5"/>
      <c r="E1685" s="5"/>
      <c r="F1685" s="5"/>
      <c r="G1685" s="5"/>
      <c r="H1685" s="5"/>
      <c r="K1685" s="23"/>
      <c r="L1685" s="5"/>
      <c r="M1685" s="5"/>
      <c r="N1685" s="5"/>
      <c r="P1685" s="5"/>
      <c r="R1685" s="9"/>
      <c r="S1685" s="9"/>
    </row>
    <row r="1686" spans="1:19" ht="12.5">
      <c r="A1686" s="5"/>
      <c r="B1686" s="5"/>
      <c r="C1686" s="5"/>
      <c r="D1686" s="5"/>
      <c r="E1686" s="5"/>
      <c r="F1686" s="5"/>
      <c r="G1686" s="5"/>
      <c r="H1686" s="5"/>
      <c r="K1686" s="23"/>
      <c r="L1686" s="5"/>
      <c r="M1686" s="5"/>
      <c r="N1686" s="5"/>
      <c r="P1686" s="5"/>
      <c r="R1686" s="9"/>
      <c r="S1686" s="9"/>
    </row>
    <row r="1687" spans="1:19" ht="12.5">
      <c r="A1687" s="5"/>
      <c r="B1687" s="5"/>
      <c r="C1687" s="5"/>
      <c r="D1687" s="5"/>
      <c r="E1687" s="5"/>
      <c r="F1687" s="5"/>
      <c r="G1687" s="5"/>
      <c r="H1687" s="5"/>
      <c r="K1687" s="23"/>
      <c r="L1687" s="5"/>
      <c r="M1687" s="5"/>
      <c r="N1687" s="5"/>
      <c r="P1687" s="5"/>
      <c r="R1687" s="9"/>
      <c r="S1687" s="9"/>
    </row>
    <row r="1688" spans="1:19" ht="12.5">
      <c r="A1688" s="5"/>
      <c r="B1688" s="5"/>
      <c r="C1688" s="5"/>
      <c r="D1688" s="5"/>
      <c r="E1688" s="5"/>
      <c r="F1688" s="5"/>
      <c r="G1688" s="5"/>
      <c r="H1688" s="5"/>
      <c r="K1688" s="23"/>
      <c r="L1688" s="5"/>
      <c r="M1688" s="5"/>
      <c r="N1688" s="5"/>
      <c r="P1688" s="5"/>
      <c r="R1688" s="9"/>
      <c r="S1688" s="9"/>
    </row>
    <row r="1689" spans="1:19" ht="12.5">
      <c r="A1689" s="5"/>
      <c r="B1689" s="5"/>
      <c r="C1689" s="5"/>
      <c r="D1689" s="5"/>
      <c r="E1689" s="5"/>
      <c r="F1689" s="5"/>
      <c r="G1689" s="5"/>
      <c r="H1689" s="5"/>
      <c r="K1689" s="23"/>
      <c r="L1689" s="5"/>
      <c r="M1689" s="5"/>
      <c r="N1689" s="5"/>
      <c r="P1689" s="5"/>
      <c r="R1689" s="9"/>
      <c r="S1689" s="9"/>
    </row>
    <row r="1690" spans="1:19" ht="12.5">
      <c r="A1690" s="5"/>
      <c r="B1690" s="5"/>
      <c r="C1690" s="5"/>
      <c r="D1690" s="5"/>
      <c r="E1690" s="5"/>
      <c r="F1690" s="5"/>
      <c r="G1690" s="5"/>
      <c r="H1690" s="5"/>
      <c r="K1690" s="23"/>
      <c r="L1690" s="5"/>
      <c r="M1690" s="5"/>
      <c r="N1690" s="5"/>
      <c r="P1690" s="5"/>
      <c r="R1690" s="9"/>
      <c r="S1690" s="9"/>
    </row>
    <row r="1691" spans="1:19" ht="12.5">
      <c r="A1691" s="5"/>
      <c r="B1691" s="5"/>
      <c r="C1691" s="5"/>
      <c r="D1691" s="5"/>
      <c r="E1691" s="5"/>
      <c r="F1691" s="5"/>
      <c r="G1691" s="5"/>
      <c r="H1691" s="5"/>
      <c r="K1691" s="23"/>
      <c r="L1691" s="5"/>
      <c r="M1691" s="5"/>
      <c r="N1691" s="5"/>
      <c r="P1691" s="5"/>
      <c r="R1691" s="9"/>
      <c r="S1691" s="9"/>
    </row>
    <row r="1692" spans="1:19" ht="12.5">
      <c r="A1692" s="5"/>
      <c r="B1692" s="5"/>
      <c r="C1692" s="5"/>
      <c r="D1692" s="5"/>
      <c r="E1692" s="5"/>
      <c r="F1692" s="5"/>
      <c r="G1692" s="5"/>
      <c r="H1692" s="5"/>
      <c r="K1692" s="23"/>
      <c r="L1692" s="5"/>
      <c r="M1692" s="5"/>
      <c r="N1692" s="5"/>
      <c r="P1692" s="5"/>
      <c r="R1692" s="9"/>
      <c r="S1692" s="9"/>
    </row>
    <row r="1693" spans="1:19" ht="12.5">
      <c r="A1693" s="5"/>
      <c r="B1693" s="5"/>
      <c r="C1693" s="5"/>
      <c r="D1693" s="5"/>
      <c r="E1693" s="5"/>
      <c r="F1693" s="5"/>
      <c r="G1693" s="5"/>
      <c r="H1693" s="5"/>
      <c r="K1693" s="23"/>
      <c r="L1693" s="5"/>
      <c r="M1693" s="5"/>
      <c r="N1693" s="5"/>
      <c r="P1693" s="5"/>
      <c r="R1693" s="9"/>
      <c r="S1693" s="9"/>
    </row>
    <row r="1694" spans="1:19" ht="12.5">
      <c r="A1694" s="5"/>
      <c r="B1694" s="5"/>
      <c r="C1694" s="5"/>
      <c r="D1694" s="5"/>
      <c r="E1694" s="5"/>
      <c r="F1694" s="5"/>
      <c r="G1694" s="5"/>
      <c r="H1694" s="5"/>
      <c r="K1694" s="23"/>
      <c r="L1694" s="5"/>
      <c r="M1694" s="5"/>
      <c r="N1694" s="5"/>
      <c r="P1694" s="5"/>
      <c r="R1694" s="9"/>
      <c r="S1694" s="9"/>
    </row>
    <row r="1695" spans="1:19" ht="12.5">
      <c r="A1695" s="5"/>
      <c r="B1695" s="5"/>
      <c r="C1695" s="5"/>
      <c r="D1695" s="5"/>
      <c r="E1695" s="5"/>
      <c r="F1695" s="5"/>
      <c r="G1695" s="5"/>
      <c r="H1695" s="5"/>
      <c r="K1695" s="23"/>
      <c r="L1695" s="5"/>
      <c r="M1695" s="5"/>
      <c r="N1695" s="5"/>
      <c r="P1695" s="5"/>
      <c r="R1695" s="9"/>
      <c r="S1695" s="9"/>
    </row>
    <row r="1696" spans="1:19" ht="12.5">
      <c r="A1696" s="5"/>
      <c r="B1696" s="5"/>
      <c r="C1696" s="5"/>
      <c r="D1696" s="5"/>
      <c r="E1696" s="5"/>
      <c r="F1696" s="5"/>
      <c r="G1696" s="5"/>
      <c r="H1696" s="5"/>
      <c r="K1696" s="23"/>
      <c r="L1696" s="5"/>
      <c r="M1696" s="5"/>
      <c r="N1696" s="5"/>
      <c r="P1696" s="5"/>
      <c r="R1696" s="9"/>
      <c r="S1696" s="9"/>
    </row>
    <row r="1697" spans="1:19" ht="12.5">
      <c r="A1697" s="5"/>
      <c r="B1697" s="5"/>
      <c r="C1697" s="5"/>
      <c r="D1697" s="5"/>
      <c r="E1697" s="5"/>
      <c r="F1697" s="5"/>
      <c r="G1697" s="5"/>
      <c r="H1697" s="5"/>
      <c r="K1697" s="23"/>
      <c r="L1697" s="5"/>
      <c r="M1697" s="5"/>
      <c r="N1697" s="5"/>
      <c r="P1697" s="5"/>
      <c r="R1697" s="9"/>
      <c r="S1697" s="9"/>
    </row>
    <row r="1698" spans="1:19" ht="12.5">
      <c r="A1698" s="5"/>
      <c r="B1698" s="5"/>
      <c r="C1698" s="5"/>
      <c r="D1698" s="5"/>
      <c r="E1698" s="5"/>
      <c r="F1698" s="5"/>
      <c r="G1698" s="5"/>
      <c r="H1698" s="5"/>
      <c r="K1698" s="23"/>
      <c r="L1698" s="5"/>
      <c r="M1698" s="5"/>
      <c r="N1698" s="5"/>
      <c r="P1698" s="5"/>
      <c r="R1698" s="9"/>
      <c r="S1698" s="9"/>
    </row>
    <row r="1699" spans="1:19" ht="12.5">
      <c r="A1699" s="5"/>
      <c r="B1699" s="5"/>
      <c r="C1699" s="5"/>
      <c r="D1699" s="5"/>
      <c r="E1699" s="5"/>
      <c r="F1699" s="5"/>
      <c r="G1699" s="5"/>
      <c r="H1699" s="5"/>
      <c r="K1699" s="23"/>
      <c r="L1699" s="5"/>
      <c r="M1699" s="5"/>
      <c r="N1699" s="5"/>
      <c r="P1699" s="5"/>
      <c r="R1699" s="9"/>
      <c r="S1699" s="9"/>
    </row>
    <row r="1700" spans="1:19" ht="12.5">
      <c r="A1700" s="5"/>
      <c r="B1700" s="5"/>
      <c r="C1700" s="5"/>
      <c r="D1700" s="5"/>
      <c r="E1700" s="5"/>
      <c r="F1700" s="5"/>
      <c r="G1700" s="5"/>
      <c r="H1700" s="5"/>
      <c r="K1700" s="23"/>
      <c r="L1700" s="5"/>
      <c r="M1700" s="5"/>
      <c r="N1700" s="5"/>
      <c r="P1700" s="5"/>
      <c r="R1700" s="9"/>
      <c r="S1700" s="9"/>
    </row>
    <row r="1701" spans="1:19" ht="12.5">
      <c r="A1701" s="5"/>
      <c r="B1701" s="5"/>
      <c r="C1701" s="5"/>
      <c r="D1701" s="5"/>
      <c r="E1701" s="5"/>
      <c r="F1701" s="5"/>
      <c r="G1701" s="5"/>
      <c r="H1701" s="5"/>
      <c r="K1701" s="23"/>
      <c r="L1701" s="5"/>
      <c r="M1701" s="5"/>
      <c r="N1701" s="5"/>
      <c r="P1701" s="5"/>
      <c r="R1701" s="9"/>
      <c r="S1701" s="9"/>
    </row>
    <row r="1702" spans="1:19" ht="12.5">
      <c r="A1702" s="5"/>
      <c r="B1702" s="5"/>
      <c r="C1702" s="5"/>
      <c r="D1702" s="5"/>
      <c r="E1702" s="5"/>
      <c r="F1702" s="5"/>
      <c r="G1702" s="5"/>
      <c r="H1702" s="5"/>
      <c r="K1702" s="23"/>
      <c r="L1702" s="5"/>
      <c r="M1702" s="5"/>
      <c r="N1702" s="5"/>
      <c r="P1702" s="5"/>
      <c r="R1702" s="9"/>
      <c r="S1702" s="9"/>
    </row>
    <row r="1703" spans="1:19" ht="12.5">
      <c r="A1703" s="5"/>
      <c r="B1703" s="5"/>
      <c r="C1703" s="5"/>
      <c r="D1703" s="5"/>
      <c r="E1703" s="5"/>
      <c r="F1703" s="5"/>
      <c r="G1703" s="5"/>
      <c r="H1703" s="5"/>
      <c r="K1703" s="23"/>
      <c r="L1703" s="5"/>
      <c r="M1703" s="5"/>
      <c r="N1703" s="5"/>
      <c r="P1703" s="5"/>
      <c r="R1703" s="9"/>
      <c r="S1703" s="9"/>
    </row>
    <row r="1704" spans="1:19" ht="12.5">
      <c r="A1704" s="5"/>
      <c r="B1704" s="5"/>
      <c r="C1704" s="5"/>
      <c r="D1704" s="5"/>
      <c r="E1704" s="5"/>
      <c r="F1704" s="5"/>
      <c r="G1704" s="5"/>
      <c r="H1704" s="5"/>
      <c r="K1704" s="23"/>
      <c r="L1704" s="5"/>
      <c r="M1704" s="5"/>
      <c r="N1704" s="5"/>
      <c r="P1704" s="5"/>
      <c r="R1704" s="9"/>
      <c r="S1704" s="9"/>
    </row>
    <row r="1705" spans="1:19" ht="12.5">
      <c r="A1705" s="5"/>
      <c r="B1705" s="5"/>
      <c r="C1705" s="5"/>
      <c r="D1705" s="5"/>
      <c r="E1705" s="5"/>
      <c r="F1705" s="5"/>
      <c r="G1705" s="5"/>
      <c r="H1705" s="5"/>
      <c r="K1705" s="23"/>
      <c r="L1705" s="5"/>
      <c r="M1705" s="5"/>
      <c r="N1705" s="5"/>
      <c r="P1705" s="5"/>
      <c r="R1705" s="9"/>
      <c r="S1705" s="9"/>
    </row>
    <row r="1706" spans="1:19" ht="12.5">
      <c r="A1706" s="5"/>
      <c r="B1706" s="5"/>
      <c r="C1706" s="5"/>
      <c r="D1706" s="5"/>
      <c r="E1706" s="5"/>
      <c r="F1706" s="5"/>
      <c r="G1706" s="5"/>
      <c r="H1706" s="5"/>
      <c r="K1706" s="23"/>
      <c r="L1706" s="5"/>
      <c r="M1706" s="5"/>
      <c r="N1706" s="5"/>
      <c r="P1706" s="5"/>
      <c r="R1706" s="9"/>
      <c r="S1706" s="9"/>
    </row>
    <row r="1707" spans="1:19" ht="12.5">
      <c r="A1707" s="5"/>
      <c r="B1707" s="5"/>
      <c r="C1707" s="5"/>
      <c r="D1707" s="5"/>
      <c r="E1707" s="5"/>
      <c r="F1707" s="5"/>
      <c r="G1707" s="5"/>
      <c r="H1707" s="5"/>
      <c r="K1707" s="23"/>
      <c r="L1707" s="5"/>
      <c r="M1707" s="5"/>
      <c r="N1707" s="5"/>
      <c r="P1707" s="5"/>
      <c r="R1707" s="9"/>
      <c r="S1707" s="9"/>
    </row>
    <row r="1708" spans="1:19" ht="12.5">
      <c r="A1708" s="5"/>
      <c r="B1708" s="5"/>
      <c r="C1708" s="5"/>
      <c r="D1708" s="5"/>
      <c r="E1708" s="5"/>
      <c r="F1708" s="5"/>
      <c r="G1708" s="5"/>
      <c r="H1708" s="5"/>
      <c r="K1708" s="23"/>
      <c r="L1708" s="5"/>
      <c r="M1708" s="5"/>
      <c r="N1708" s="5"/>
      <c r="P1708" s="5"/>
      <c r="R1708" s="9"/>
      <c r="S1708" s="9"/>
    </row>
    <row r="1709" spans="1:19" ht="12.5">
      <c r="A1709" s="5"/>
      <c r="B1709" s="5"/>
      <c r="C1709" s="5"/>
      <c r="D1709" s="5"/>
      <c r="E1709" s="5"/>
      <c r="F1709" s="5"/>
      <c r="G1709" s="5"/>
      <c r="H1709" s="5"/>
      <c r="K1709" s="23"/>
      <c r="L1709" s="5"/>
      <c r="M1709" s="5"/>
      <c r="N1709" s="5"/>
      <c r="P1709" s="5"/>
      <c r="R1709" s="9"/>
      <c r="S1709" s="9"/>
    </row>
    <row r="1710" spans="1:19" ht="12.5">
      <c r="A1710" s="5"/>
      <c r="B1710" s="5"/>
      <c r="C1710" s="5"/>
      <c r="D1710" s="5"/>
      <c r="E1710" s="5"/>
      <c r="F1710" s="5"/>
      <c r="G1710" s="5"/>
      <c r="H1710" s="5"/>
      <c r="K1710" s="23"/>
      <c r="L1710" s="5"/>
      <c r="M1710" s="5"/>
      <c r="N1710" s="5"/>
      <c r="P1710" s="5"/>
      <c r="R1710" s="9"/>
      <c r="S1710" s="9"/>
    </row>
    <row r="1711" spans="1:19" ht="12.5">
      <c r="A1711" s="5"/>
      <c r="B1711" s="5"/>
      <c r="C1711" s="5"/>
      <c r="D1711" s="5"/>
      <c r="E1711" s="5"/>
      <c r="F1711" s="5"/>
      <c r="G1711" s="5"/>
      <c r="H1711" s="5"/>
      <c r="K1711" s="23"/>
      <c r="L1711" s="5"/>
      <c r="M1711" s="5"/>
      <c r="N1711" s="5"/>
      <c r="P1711" s="5"/>
      <c r="R1711" s="9"/>
      <c r="S1711" s="9"/>
    </row>
    <row r="1712" spans="1:19" ht="12.5">
      <c r="A1712" s="5"/>
      <c r="B1712" s="5"/>
      <c r="C1712" s="5"/>
      <c r="D1712" s="5"/>
      <c r="E1712" s="5"/>
      <c r="F1712" s="5"/>
      <c r="G1712" s="5"/>
      <c r="H1712" s="5"/>
      <c r="K1712" s="23"/>
      <c r="L1712" s="5"/>
      <c r="M1712" s="5"/>
      <c r="N1712" s="5"/>
      <c r="P1712" s="5"/>
      <c r="R1712" s="9"/>
      <c r="S1712" s="9"/>
    </row>
    <row r="1713" spans="1:19" ht="12.5">
      <c r="A1713" s="5"/>
      <c r="B1713" s="5"/>
      <c r="C1713" s="5"/>
      <c r="D1713" s="5"/>
      <c r="E1713" s="5"/>
      <c r="F1713" s="5"/>
      <c r="G1713" s="5"/>
      <c r="H1713" s="5"/>
      <c r="K1713" s="23"/>
      <c r="L1713" s="5"/>
      <c r="M1713" s="5"/>
      <c r="N1713" s="5"/>
      <c r="P1713" s="5"/>
      <c r="R1713" s="9"/>
      <c r="S1713" s="9"/>
    </row>
    <row r="1714" spans="1:19" ht="12.5">
      <c r="A1714" s="5"/>
      <c r="B1714" s="5"/>
      <c r="C1714" s="5"/>
      <c r="D1714" s="5"/>
      <c r="E1714" s="5"/>
      <c r="F1714" s="5"/>
      <c r="G1714" s="5"/>
      <c r="H1714" s="5"/>
      <c r="K1714" s="23"/>
      <c r="L1714" s="5"/>
      <c r="M1714" s="5"/>
      <c r="N1714" s="5"/>
      <c r="P1714" s="5"/>
      <c r="R1714" s="9"/>
      <c r="S1714" s="9"/>
    </row>
    <row r="1715" spans="1:19" ht="12.5">
      <c r="A1715" s="5"/>
      <c r="B1715" s="5"/>
      <c r="C1715" s="5"/>
      <c r="D1715" s="5"/>
      <c r="E1715" s="5"/>
      <c r="F1715" s="5"/>
      <c r="G1715" s="5"/>
      <c r="H1715" s="5"/>
      <c r="K1715" s="23"/>
      <c r="L1715" s="5"/>
      <c r="M1715" s="5"/>
      <c r="N1715" s="5"/>
      <c r="P1715" s="5"/>
      <c r="R1715" s="9"/>
      <c r="S1715" s="9"/>
    </row>
    <row r="1716" spans="1:19" ht="12.5">
      <c r="A1716" s="5"/>
      <c r="B1716" s="5"/>
      <c r="C1716" s="5"/>
      <c r="D1716" s="5"/>
      <c r="E1716" s="5"/>
      <c r="F1716" s="5"/>
      <c r="G1716" s="5"/>
      <c r="H1716" s="5"/>
      <c r="K1716" s="23"/>
      <c r="L1716" s="5"/>
      <c r="M1716" s="5"/>
      <c r="N1716" s="5"/>
      <c r="P1716" s="5"/>
      <c r="R1716" s="9"/>
      <c r="S1716" s="9"/>
    </row>
    <row r="1717" spans="1:19" ht="12.5">
      <c r="A1717" s="5"/>
      <c r="B1717" s="5"/>
      <c r="C1717" s="5"/>
      <c r="D1717" s="5"/>
      <c r="E1717" s="5"/>
      <c r="F1717" s="5"/>
      <c r="G1717" s="5"/>
      <c r="H1717" s="5"/>
      <c r="K1717" s="23"/>
      <c r="L1717" s="5"/>
      <c r="M1717" s="5"/>
      <c r="N1717" s="5"/>
      <c r="P1717" s="5"/>
      <c r="R1717" s="9"/>
      <c r="S1717" s="9"/>
    </row>
    <row r="1718" spans="1:19" ht="12.5">
      <c r="A1718" s="5"/>
      <c r="B1718" s="5"/>
      <c r="C1718" s="5"/>
      <c r="D1718" s="5"/>
      <c r="E1718" s="5"/>
      <c r="F1718" s="5"/>
      <c r="G1718" s="5"/>
      <c r="H1718" s="5"/>
      <c r="K1718" s="23"/>
      <c r="L1718" s="5"/>
      <c r="M1718" s="5"/>
      <c r="N1718" s="5"/>
      <c r="P1718" s="5"/>
      <c r="R1718" s="9"/>
      <c r="S1718" s="9"/>
    </row>
    <row r="1719" spans="1:19" ht="12.5">
      <c r="A1719" s="5"/>
      <c r="B1719" s="5"/>
      <c r="C1719" s="5"/>
      <c r="D1719" s="5"/>
      <c r="E1719" s="5"/>
      <c r="F1719" s="5"/>
      <c r="G1719" s="5"/>
      <c r="H1719" s="5"/>
      <c r="K1719" s="23"/>
      <c r="L1719" s="5"/>
      <c r="M1719" s="5"/>
      <c r="N1719" s="5"/>
      <c r="P1719" s="5"/>
      <c r="R1719" s="9"/>
      <c r="S1719" s="9"/>
    </row>
    <row r="1720" spans="1:19" ht="12.5">
      <c r="A1720" s="5"/>
      <c r="B1720" s="5"/>
      <c r="C1720" s="5"/>
      <c r="D1720" s="5"/>
      <c r="E1720" s="5"/>
      <c r="F1720" s="5"/>
      <c r="G1720" s="5"/>
      <c r="H1720" s="5"/>
      <c r="K1720" s="23"/>
      <c r="L1720" s="5"/>
      <c r="M1720" s="5"/>
      <c r="N1720" s="5"/>
      <c r="P1720" s="5"/>
      <c r="R1720" s="9"/>
      <c r="S1720" s="9"/>
    </row>
    <row r="1721" spans="1:19" ht="12.5">
      <c r="A1721" s="5"/>
      <c r="B1721" s="5"/>
      <c r="C1721" s="5"/>
      <c r="D1721" s="5"/>
      <c r="E1721" s="5"/>
      <c r="F1721" s="5"/>
      <c r="G1721" s="5"/>
      <c r="H1721" s="5"/>
      <c r="K1721" s="23"/>
      <c r="L1721" s="5"/>
      <c r="M1721" s="5"/>
      <c r="N1721" s="5"/>
      <c r="P1721" s="5"/>
      <c r="R1721" s="9"/>
      <c r="S1721" s="9"/>
    </row>
    <row r="1722" spans="1:19" ht="12.5">
      <c r="A1722" s="5"/>
      <c r="B1722" s="5"/>
      <c r="C1722" s="5"/>
      <c r="D1722" s="5"/>
      <c r="E1722" s="5"/>
      <c r="F1722" s="5"/>
      <c r="G1722" s="5"/>
      <c r="H1722" s="5"/>
      <c r="K1722" s="23"/>
      <c r="L1722" s="5"/>
      <c r="M1722" s="5"/>
      <c r="N1722" s="5"/>
      <c r="P1722" s="5"/>
      <c r="R1722" s="9"/>
      <c r="S1722" s="9"/>
    </row>
    <row r="1723" spans="1:19" ht="12.5">
      <c r="A1723" s="5"/>
      <c r="B1723" s="5"/>
      <c r="C1723" s="5"/>
      <c r="D1723" s="5"/>
      <c r="E1723" s="5"/>
      <c r="F1723" s="5"/>
      <c r="G1723" s="5"/>
      <c r="H1723" s="5"/>
      <c r="K1723" s="23"/>
      <c r="L1723" s="5"/>
      <c r="M1723" s="5"/>
      <c r="N1723" s="5"/>
      <c r="P1723" s="5"/>
      <c r="R1723" s="9"/>
      <c r="S1723" s="9"/>
    </row>
    <row r="1724" spans="1:19" ht="12.5">
      <c r="A1724" s="5"/>
      <c r="B1724" s="5"/>
      <c r="C1724" s="5"/>
      <c r="D1724" s="5"/>
      <c r="E1724" s="5"/>
      <c r="F1724" s="5"/>
      <c r="G1724" s="5"/>
      <c r="H1724" s="5"/>
      <c r="K1724" s="23"/>
      <c r="L1724" s="5"/>
      <c r="M1724" s="5"/>
      <c r="N1724" s="5"/>
      <c r="P1724" s="5"/>
      <c r="R1724" s="9"/>
      <c r="S1724" s="9"/>
    </row>
    <row r="1725" spans="1:19" ht="12.5">
      <c r="A1725" s="5"/>
      <c r="B1725" s="5"/>
      <c r="C1725" s="5"/>
      <c r="D1725" s="5"/>
      <c r="E1725" s="5"/>
      <c r="F1725" s="5"/>
      <c r="G1725" s="5"/>
      <c r="H1725" s="5"/>
      <c r="K1725" s="23"/>
      <c r="L1725" s="5"/>
      <c r="M1725" s="5"/>
      <c r="N1725" s="5"/>
      <c r="P1725" s="5"/>
      <c r="R1725" s="9"/>
      <c r="S1725" s="9"/>
    </row>
    <row r="1726" spans="1:19" ht="12.5">
      <c r="A1726" s="5"/>
      <c r="B1726" s="5"/>
      <c r="C1726" s="5"/>
      <c r="D1726" s="5"/>
      <c r="E1726" s="5"/>
      <c r="F1726" s="5"/>
      <c r="G1726" s="5"/>
      <c r="H1726" s="5"/>
      <c r="K1726" s="23"/>
      <c r="L1726" s="5"/>
      <c r="M1726" s="5"/>
      <c r="N1726" s="5"/>
      <c r="P1726" s="5"/>
      <c r="R1726" s="9"/>
      <c r="S1726" s="9"/>
    </row>
    <row r="1727" spans="1:19" ht="12.5">
      <c r="A1727" s="5"/>
      <c r="B1727" s="5"/>
      <c r="C1727" s="5"/>
      <c r="D1727" s="5"/>
      <c r="E1727" s="5"/>
      <c r="F1727" s="5"/>
      <c r="G1727" s="5"/>
      <c r="H1727" s="5"/>
      <c r="K1727" s="23"/>
      <c r="L1727" s="5"/>
      <c r="M1727" s="5"/>
      <c r="N1727" s="5"/>
      <c r="P1727" s="5"/>
      <c r="R1727" s="9"/>
      <c r="S1727" s="9"/>
    </row>
    <row r="1728" spans="1:19" ht="12.5">
      <c r="A1728" s="5"/>
      <c r="B1728" s="5"/>
      <c r="C1728" s="5"/>
      <c r="D1728" s="5"/>
      <c r="E1728" s="5"/>
      <c r="F1728" s="5"/>
      <c r="G1728" s="5"/>
      <c r="H1728" s="5"/>
      <c r="K1728" s="23"/>
      <c r="L1728" s="5"/>
      <c r="M1728" s="5"/>
      <c r="N1728" s="5"/>
      <c r="P1728" s="5"/>
      <c r="R1728" s="9"/>
      <c r="S1728" s="9"/>
    </row>
    <row r="1729" spans="1:19" ht="12.5">
      <c r="A1729" s="5"/>
      <c r="B1729" s="5"/>
      <c r="C1729" s="5"/>
      <c r="D1729" s="5"/>
      <c r="E1729" s="5"/>
      <c r="F1729" s="5"/>
      <c r="G1729" s="5"/>
      <c r="H1729" s="5"/>
      <c r="K1729" s="23"/>
      <c r="L1729" s="5"/>
      <c r="M1729" s="5"/>
      <c r="N1729" s="5"/>
      <c r="P1729" s="5"/>
      <c r="R1729" s="9"/>
      <c r="S1729" s="9"/>
    </row>
    <row r="1730" spans="1:19" ht="12.5">
      <c r="A1730" s="5"/>
      <c r="B1730" s="5"/>
      <c r="C1730" s="5"/>
      <c r="D1730" s="5"/>
      <c r="E1730" s="5"/>
      <c r="F1730" s="5"/>
      <c r="G1730" s="5"/>
      <c r="H1730" s="5"/>
      <c r="K1730" s="23"/>
      <c r="L1730" s="5"/>
      <c r="M1730" s="5"/>
      <c r="N1730" s="5"/>
      <c r="P1730" s="5"/>
      <c r="R1730" s="9"/>
      <c r="S1730" s="9"/>
    </row>
    <row r="1731" spans="1:19" ht="12.5">
      <c r="A1731" s="5"/>
      <c r="B1731" s="5"/>
      <c r="C1731" s="5"/>
      <c r="D1731" s="5"/>
      <c r="E1731" s="5"/>
      <c r="F1731" s="5"/>
      <c r="G1731" s="5"/>
      <c r="H1731" s="5"/>
      <c r="K1731" s="23"/>
      <c r="L1731" s="5"/>
      <c r="M1731" s="5"/>
      <c r="N1731" s="5"/>
      <c r="P1731" s="5"/>
      <c r="R1731" s="9"/>
      <c r="S1731" s="9"/>
    </row>
    <row r="1732" spans="1:19" ht="12.5">
      <c r="A1732" s="5"/>
      <c r="B1732" s="5"/>
      <c r="C1732" s="5"/>
      <c r="D1732" s="5"/>
      <c r="E1732" s="5"/>
      <c r="F1732" s="5"/>
      <c r="G1732" s="5"/>
      <c r="H1732" s="5"/>
      <c r="K1732" s="23"/>
      <c r="L1732" s="5"/>
      <c r="M1732" s="5"/>
      <c r="N1732" s="5"/>
      <c r="P1732" s="5"/>
      <c r="R1732" s="9"/>
      <c r="S1732" s="9"/>
    </row>
    <row r="1733" spans="1:19" ht="12.5">
      <c r="A1733" s="5"/>
      <c r="B1733" s="5"/>
      <c r="C1733" s="5"/>
      <c r="D1733" s="5"/>
      <c r="E1733" s="5"/>
      <c r="F1733" s="5"/>
      <c r="G1733" s="5"/>
      <c r="H1733" s="5"/>
      <c r="K1733" s="23"/>
      <c r="L1733" s="5"/>
      <c r="M1733" s="5"/>
      <c r="N1733" s="5"/>
      <c r="P1733" s="5"/>
      <c r="R1733" s="9"/>
      <c r="S1733" s="9"/>
    </row>
    <row r="1734" spans="1:19" ht="12.5">
      <c r="A1734" s="5"/>
      <c r="B1734" s="5"/>
      <c r="C1734" s="5"/>
      <c r="D1734" s="5"/>
      <c r="E1734" s="5"/>
      <c r="F1734" s="5"/>
      <c r="G1734" s="5"/>
      <c r="H1734" s="5"/>
      <c r="K1734" s="23"/>
      <c r="L1734" s="5"/>
      <c r="M1734" s="5"/>
      <c r="N1734" s="5"/>
      <c r="P1734" s="5"/>
      <c r="R1734" s="9"/>
      <c r="S1734" s="9"/>
    </row>
    <row r="1735" spans="1:19" ht="12.5">
      <c r="A1735" s="5"/>
      <c r="B1735" s="5"/>
      <c r="C1735" s="5"/>
      <c r="D1735" s="5"/>
      <c r="E1735" s="5"/>
      <c r="F1735" s="5"/>
      <c r="G1735" s="5"/>
      <c r="H1735" s="5"/>
      <c r="K1735" s="23"/>
      <c r="L1735" s="5"/>
      <c r="M1735" s="5"/>
      <c r="N1735" s="5"/>
      <c r="P1735" s="5"/>
      <c r="R1735" s="9"/>
      <c r="S1735" s="9"/>
    </row>
    <row r="1736" spans="1:19" ht="12.5">
      <c r="A1736" s="5"/>
      <c r="B1736" s="5"/>
      <c r="C1736" s="5"/>
      <c r="D1736" s="5"/>
      <c r="E1736" s="5"/>
      <c r="F1736" s="5"/>
      <c r="G1736" s="5"/>
      <c r="H1736" s="5"/>
      <c r="K1736" s="23"/>
      <c r="L1736" s="5"/>
      <c r="M1736" s="5"/>
      <c r="N1736" s="5"/>
      <c r="P1736" s="5"/>
      <c r="R1736" s="9"/>
      <c r="S1736" s="9"/>
    </row>
    <row r="1737" spans="1:19" ht="12.5">
      <c r="A1737" s="5"/>
      <c r="B1737" s="5"/>
      <c r="C1737" s="5"/>
      <c r="D1737" s="5"/>
      <c r="E1737" s="5"/>
      <c r="F1737" s="5"/>
      <c r="G1737" s="5"/>
      <c r="H1737" s="5"/>
      <c r="K1737" s="23"/>
      <c r="L1737" s="5"/>
      <c r="M1737" s="5"/>
      <c r="N1737" s="5"/>
      <c r="P1737" s="5"/>
      <c r="R1737" s="9"/>
      <c r="S1737" s="9"/>
    </row>
    <row r="1738" spans="1:19" ht="12.5">
      <c r="A1738" s="5"/>
      <c r="B1738" s="5"/>
      <c r="C1738" s="5"/>
      <c r="D1738" s="5"/>
      <c r="E1738" s="5"/>
      <c r="F1738" s="5"/>
      <c r="G1738" s="5"/>
      <c r="H1738" s="5"/>
      <c r="K1738" s="23"/>
      <c r="L1738" s="5"/>
      <c r="M1738" s="5"/>
      <c r="N1738" s="5"/>
      <c r="P1738" s="5"/>
      <c r="R1738" s="9"/>
      <c r="S1738" s="9"/>
    </row>
    <row r="1739" spans="1:19" ht="12.5">
      <c r="A1739" s="5"/>
      <c r="B1739" s="5"/>
      <c r="C1739" s="5"/>
      <c r="D1739" s="5"/>
      <c r="E1739" s="5"/>
      <c r="F1739" s="5"/>
      <c r="G1739" s="5"/>
      <c r="H1739" s="5"/>
      <c r="K1739" s="23"/>
      <c r="L1739" s="5"/>
      <c r="M1739" s="5"/>
      <c r="N1739" s="5"/>
      <c r="P1739" s="5"/>
      <c r="R1739" s="9"/>
      <c r="S1739" s="9"/>
    </row>
    <row r="1740" spans="1:19" ht="12.5">
      <c r="A1740" s="5"/>
      <c r="B1740" s="5"/>
      <c r="C1740" s="5"/>
      <c r="D1740" s="5"/>
      <c r="E1740" s="5"/>
      <c r="F1740" s="5"/>
      <c r="G1740" s="5"/>
      <c r="H1740" s="5"/>
      <c r="K1740" s="23"/>
      <c r="L1740" s="5"/>
      <c r="M1740" s="5"/>
      <c r="N1740" s="5"/>
      <c r="P1740" s="5"/>
      <c r="R1740" s="9"/>
      <c r="S1740" s="9"/>
    </row>
    <row r="1741" spans="1:19" ht="12.5">
      <c r="A1741" s="5"/>
      <c r="B1741" s="5"/>
      <c r="C1741" s="5"/>
      <c r="D1741" s="5"/>
      <c r="E1741" s="5"/>
      <c r="F1741" s="5"/>
      <c r="G1741" s="5"/>
      <c r="H1741" s="5"/>
      <c r="K1741" s="23"/>
      <c r="L1741" s="5"/>
      <c r="M1741" s="5"/>
      <c r="N1741" s="5"/>
      <c r="P1741" s="5"/>
      <c r="R1741" s="9"/>
      <c r="S1741" s="9"/>
    </row>
    <row r="1742" spans="1:19" ht="12.5">
      <c r="A1742" s="5"/>
      <c r="B1742" s="5"/>
      <c r="C1742" s="5"/>
      <c r="D1742" s="5"/>
      <c r="E1742" s="5"/>
      <c r="F1742" s="5"/>
      <c r="G1742" s="5"/>
      <c r="H1742" s="5"/>
      <c r="K1742" s="23"/>
      <c r="L1742" s="5"/>
      <c r="M1742" s="5"/>
      <c r="N1742" s="5"/>
      <c r="P1742" s="5"/>
      <c r="R1742" s="9"/>
      <c r="S1742" s="9"/>
    </row>
    <row r="1743" spans="1:19" ht="12.5">
      <c r="A1743" s="5"/>
      <c r="B1743" s="5"/>
      <c r="C1743" s="5"/>
      <c r="D1743" s="5"/>
      <c r="E1743" s="5"/>
      <c r="F1743" s="5"/>
      <c r="G1743" s="5"/>
      <c r="H1743" s="5"/>
      <c r="K1743" s="23"/>
      <c r="L1743" s="5"/>
      <c r="M1743" s="5"/>
      <c r="N1743" s="5"/>
      <c r="P1743" s="5"/>
      <c r="R1743" s="9"/>
      <c r="S1743" s="9"/>
    </row>
    <row r="1744" spans="1:19" ht="12.5">
      <c r="A1744" s="5"/>
      <c r="B1744" s="5"/>
      <c r="C1744" s="5"/>
      <c r="D1744" s="5"/>
      <c r="E1744" s="5"/>
      <c r="F1744" s="5"/>
      <c r="G1744" s="5"/>
      <c r="H1744" s="5"/>
      <c r="K1744" s="23"/>
      <c r="L1744" s="5"/>
      <c r="M1744" s="5"/>
      <c r="N1744" s="5"/>
      <c r="P1744" s="5"/>
      <c r="R1744" s="9"/>
      <c r="S1744" s="9"/>
    </row>
    <row r="1745" spans="1:19" ht="12.5">
      <c r="A1745" s="5"/>
      <c r="B1745" s="5"/>
      <c r="C1745" s="5"/>
      <c r="D1745" s="5"/>
      <c r="E1745" s="5"/>
      <c r="F1745" s="5"/>
      <c r="G1745" s="5"/>
      <c r="H1745" s="5"/>
      <c r="K1745" s="23"/>
      <c r="L1745" s="5"/>
      <c r="M1745" s="5"/>
      <c r="N1745" s="5"/>
      <c r="P1745" s="5"/>
      <c r="R1745" s="9"/>
      <c r="S1745" s="9"/>
    </row>
    <row r="1746" spans="1:19" ht="12.5">
      <c r="A1746" s="5"/>
      <c r="B1746" s="5"/>
      <c r="C1746" s="5"/>
      <c r="D1746" s="5"/>
      <c r="E1746" s="5"/>
      <c r="F1746" s="5"/>
      <c r="G1746" s="5"/>
      <c r="H1746" s="5"/>
      <c r="K1746" s="23"/>
      <c r="L1746" s="5"/>
      <c r="M1746" s="5"/>
      <c r="N1746" s="5"/>
      <c r="P1746" s="5"/>
      <c r="R1746" s="9"/>
      <c r="S1746" s="9"/>
    </row>
    <row r="1747" spans="1:19" ht="12.5">
      <c r="A1747" s="5"/>
      <c r="B1747" s="5"/>
      <c r="C1747" s="5"/>
      <c r="D1747" s="5"/>
      <c r="E1747" s="5"/>
      <c r="F1747" s="5"/>
      <c r="G1747" s="5"/>
      <c r="H1747" s="5"/>
      <c r="K1747" s="23"/>
      <c r="L1747" s="5"/>
      <c r="M1747" s="5"/>
      <c r="N1747" s="5"/>
      <c r="P1747" s="5"/>
      <c r="R1747" s="9"/>
      <c r="S1747" s="9"/>
    </row>
    <row r="1748" spans="1:19" ht="12.5">
      <c r="A1748" s="5"/>
      <c r="B1748" s="5"/>
      <c r="C1748" s="5"/>
      <c r="D1748" s="5"/>
      <c r="E1748" s="5"/>
      <c r="F1748" s="5"/>
      <c r="G1748" s="5"/>
      <c r="H1748" s="5"/>
      <c r="K1748" s="23"/>
      <c r="L1748" s="5"/>
      <c r="M1748" s="5"/>
      <c r="N1748" s="5"/>
      <c r="P1748" s="5"/>
      <c r="R1748" s="9"/>
      <c r="S1748" s="9"/>
    </row>
    <row r="1749" spans="1:19" ht="12.5">
      <c r="A1749" s="5"/>
      <c r="B1749" s="5"/>
      <c r="C1749" s="5"/>
      <c r="D1749" s="5"/>
      <c r="E1749" s="5"/>
      <c r="F1749" s="5"/>
      <c r="G1749" s="5"/>
      <c r="H1749" s="5"/>
      <c r="K1749" s="23"/>
      <c r="L1749" s="5"/>
      <c r="M1749" s="5"/>
      <c r="N1749" s="5"/>
      <c r="P1749" s="5"/>
      <c r="R1749" s="9"/>
      <c r="S1749" s="9"/>
    </row>
    <row r="1750" spans="1:19" ht="12.5">
      <c r="A1750" s="5"/>
      <c r="B1750" s="5"/>
      <c r="C1750" s="5"/>
      <c r="D1750" s="5"/>
      <c r="E1750" s="5"/>
      <c r="F1750" s="5"/>
      <c r="G1750" s="5"/>
      <c r="H1750" s="5"/>
      <c r="K1750" s="23"/>
      <c r="L1750" s="5"/>
      <c r="M1750" s="5"/>
      <c r="N1750" s="5"/>
      <c r="P1750" s="5"/>
      <c r="R1750" s="9"/>
      <c r="S1750" s="9"/>
    </row>
    <row r="1751" spans="1:19" ht="12.5">
      <c r="A1751" s="5"/>
      <c r="B1751" s="5"/>
      <c r="C1751" s="5"/>
      <c r="D1751" s="5"/>
      <c r="E1751" s="5"/>
      <c r="F1751" s="5"/>
      <c r="G1751" s="5"/>
      <c r="H1751" s="5"/>
      <c r="K1751" s="23"/>
      <c r="L1751" s="5"/>
      <c r="M1751" s="5"/>
      <c r="N1751" s="5"/>
      <c r="P1751" s="5"/>
      <c r="R1751" s="9"/>
      <c r="S1751" s="9"/>
    </row>
    <row r="1752" spans="1:19" ht="12.5">
      <c r="A1752" s="5"/>
      <c r="B1752" s="5"/>
      <c r="C1752" s="5"/>
      <c r="D1752" s="5"/>
      <c r="E1752" s="5"/>
      <c r="F1752" s="5"/>
      <c r="G1752" s="5"/>
      <c r="H1752" s="5"/>
      <c r="K1752" s="23"/>
      <c r="L1752" s="5"/>
      <c r="M1752" s="5"/>
      <c r="N1752" s="5"/>
      <c r="P1752" s="5"/>
      <c r="R1752" s="9"/>
      <c r="S1752" s="9"/>
    </row>
    <row r="1753" spans="1:19" ht="12.5">
      <c r="A1753" s="5"/>
      <c r="B1753" s="5"/>
      <c r="C1753" s="5"/>
      <c r="D1753" s="5"/>
      <c r="E1753" s="5"/>
      <c r="F1753" s="5"/>
      <c r="G1753" s="5"/>
      <c r="H1753" s="5"/>
      <c r="K1753" s="23"/>
      <c r="L1753" s="5"/>
      <c r="M1753" s="5"/>
      <c r="N1753" s="5"/>
      <c r="P1753" s="5"/>
      <c r="R1753" s="9"/>
      <c r="S1753" s="9"/>
    </row>
    <row r="1754" spans="1:19" ht="12.5">
      <c r="A1754" s="5"/>
      <c r="B1754" s="5"/>
      <c r="C1754" s="5"/>
      <c r="D1754" s="5"/>
      <c r="E1754" s="5"/>
      <c r="F1754" s="5"/>
      <c r="G1754" s="5"/>
      <c r="H1754" s="5"/>
      <c r="K1754" s="23"/>
      <c r="L1754" s="5"/>
      <c r="M1754" s="5"/>
      <c r="N1754" s="5"/>
      <c r="P1754" s="5"/>
      <c r="R1754" s="9"/>
      <c r="S1754" s="9"/>
    </row>
    <row r="1755" spans="1:19" ht="12.5">
      <c r="A1755" s="5"/>
      <c r="B1755" s="5"/>
      <c r="C1755" s="5"/>
      <c r="D1755" s="5"/>
      <c r="E1755" s="5"/>
      <c r="F1755" s="5"/>
      <c r="G1755" s="5"/>
      <c r="H1755" s="5"/>
      <c r="K1755" s="23"/>
      <c r="L1755" s="5"/>
      <c r="M1755" s="5"/>
      <c r="N1755" s="5"/>
      <c r="P1755" s="5"/>
      <c r="R1755" s="9"/>
      <c r="S1755" s="9"/>
    </row>
    <row r="1756" spans="1:19" ht="12.5">
      <c r="A1756" s="5"/>
      <c r="B1756" s="5"/>
      <c r="C1756" s="5"/>
      <c r="D1756" s="5"/>
      <c r="E1756" s="5"/>
      <c r="F1756" s="5"/>
      <c r="G1756" s="5"/>
      <c r="H1756" s="5"/>
      <c r="K1756" s="23"/>
      <c r="L1756" s="5"/>
      <c r="M1756" s="5"/>
      <c r="N1756" s="5"/>
      <c r="P1756" s="5"/>
      <c r="R1756" s="9"/>
      <c r="S1756" s="9"/>
    </row>
    <row r="1757" spans="1:19" ht="12.5">
      <c r="A1757" s="5"/>
      <c r="B1757" s="5"/>
      <c r="C1757" s="5"/>
      <c r="D1757" s="5"/>
      <c r="E1757" s="5"/>
      <c r="F1757" s="5"/>
      <c r="G1757" s="5"/>
      <c r="H1757" s="5"/>
      <c r="K1757" s="23"/>
      <c r="L1757" s="5"/>
      <c r="M1757" s="5"/>
      <c r="N1757" s="5"/>
      <c r="P1757" s="5"/>
      <c r="R1757" s="9"/>
      <c r="S1757" s="9"/>
    </row>
    <row r="1758" spans="1:19" ht="12.5">
      <c r="A1758" s="5"/>
      <c r="B1758" s="5"/>
      <c r="C1758" s="5"/>
      <c r="D1758" s="5"/>
      <c r="E1758" s="5"/>
      <c r="F1758" s="5"/>
      <c r="G1758" s="5"/>
      <c r="H1758" s="5"/>
      <c r="K1758" s="23"/>
      <c r="L1758" s="5"/>
      <c r="M1758" s="5"/>
      <c r="N1758" s="5"/>
      <c r="P1758" s="5"/>
      <c r="R1758" s="9"/>
      <c r="S1758" s="9"/>
    </row>
    <row r="1759" spans="1:19" ht="12.5">
      <c r="A1759" s="5"/>
      <c r="B1759" s="5"/>
      <c r="C1759" s="5"/>
      <c r="D1759" s="5"/>
      <c r="E1759" s="5"/>
      <c r="F1759" s="5"/>
      <c r="G1759" s="5"/>
      <c r="H1759" s="5"/>
      <c r="K1759" s="23"/>
      <c r="L1759" s="5"/>
      <c r="M1759" s="5"/>
      <c r="N1759" s="5"/>
      <c r="P1759" s="5"/>
      <c r="R1759" s="9"/>
      <c r="S1759" s="9"/>
    </row>
    <row r="1760" spans="1:19" ht="12.5">
      <c r="A1760" s="5"/>
      <c r="B1760" s="5"/>
      <c r="C1760" s="5"/>
      <c r="D1760" s="5"/>
      <c r="E1760" s="5"/>
      <c r="F1760" s="5"/>
      <c r="G1760" s="5"/>
      <c r="H1760" s="5"/>
      <c r="K1760" s="23"/>
      <c r="L1760" s="5"/>
      <c r="M1760" s="5"/>
      <c r="N1760" s="5"/>
      <c r="P1760" s="5"/>
      <c r="R1760" s="9"/>
      <c r="S1760" s="9"/>
    </row>
    <row r="1761" spans="1:19" ht="12.5">
      <c r="A1761" s="5"/>
      <c r="B1761" s="5"/>
      <c r="C1761" s="5"/>
      <c r="D1761" s="5"/>
      <c r="E1761" s="5"/>
      <c r="F1761" s="5"/>
      <c r="G1761" s="5"/>
      <c r="H1761" s="5"/>
      <c r="K1761" s="23"/>
      <c r="L1761" s="5"/>
      <c r="M1761" s="5"/>
      <c r="N1761" s="5"/>
      <c r="P1761" s="5"/>
      <c r="R1761" s="9"/>
      <c r="S1761" s="9"/>
    </row>
    <row r="1762" spans="1:19" ht="12.5">
      <c r="A1762" s="5"/>
      <c r="B1762" s="5"/>
      <c r="C1762" s="5"/>
      <c r="D1762" s="5"/>
      <c r="E1762" s="5"/>
      <c r="F1762" s="5"/>
      <c r="G1762" s="5"/>
      <c r="H1762" s="5"/>
      <c r="K1762" s="23"/>
      <c r="L1762" s="5"/>
      <c r="M1762" s="5"/>
      <c r="N1762" s="5"/>
      <c r="P1762" s="5"/>
      <c r="R1762" s="9"/>
      <c r="S1762" s="9"/>
    </row>
    <row r="1763" spans="1:19" ht="12.5">
      <c r="A1763" s="5"/>
      <c r="B1763" s="5"/>
      <c r="C1763" s="5"/>
      <c r="D1763" s="5"/>
      <c r="E1763" s="5"/>
      <c r="F1763" s="5"/>
      <c r="G1763" s="5"/>
      <c r="H1763" s="5"/>
      <c r="K1763" s="23"/>
      <c r="L1763" s="5"/>
      <c r="M1763" s="5"/>
      <c r="N1763" s="5"/>
      <c r="P1763" s="5"/>
      <c r="R1763" s="9"/>
      <c r="S1763" s="9"/>
    </row>
    <row r="1764" spans="1:19" ht="12.5">
      <c r="A1764" s="5"/>
      <c r="B1764" s="5"/>
      <c r="C1764" s="5"/>
      <c r="D1764" s="5"/>
      <c r="E1764" s="5"/>
      <c r="F1764" s="5"/>
      <c r="G1764" s="5"/>
      <c r="H1764" s="5"/>
      <c r="K1764" s="23"/>
      <c r="L1764" s="5"/>
      <c r="M1764" s="5"/>
      <c r="N1764" s="5"/>
      <c r="P1764" s="5"/>
      <c r="R1764" s="9"/>
      <c r="S1764" s="9"/>
    </row>
    <row r="1765" spans="1:19" ht="12.5">
      <c r="A1765" s="5"/>
      <c r="B1765" s="5"/>
      <c r="C1765" s="5"/>
      <c r="D1765" s="5"/>
      <c r="E1765" s="5"/>
      <c r="F1765" s="5"/>
      <c r="G1765" s="5"/>
      <c r="H1765" s="5"/>
      <c r="K1765" s="23"/>
      <c r="L1765" s="5"/>
      <c r="M1765" s="5"/>
      <c r="N1765" s="5"/>
      <c r="P1765" s="5"/>
      <c r="R1765" s="9"/>
      <c r="S1765" s="9"/>
    </row>
    <row r="1766" spans="1:19" ht="12.5">
      <c r="A1766" s="5"/>
      <c r="B1766" s="5"/>
      <c r="C1766" s="5"/>
      <c r="D1766" s="5"/>
      <c r="E1766" s="5"/>
      <c r="F1766" s="5"/>
      <c r="G1766" s="5"/>
      <c r="H1766" s="5"/>
      <c r="K1766" s="23"/>
      <c r="L1766" s="5"/>
      <c r="M1766" s="5"/>
      <c r="N1766" s="5"/>
      <c r="P1766" s="5"/>
      <c r="R1766" s="9"/>
      <c r="S1766" s="9"/>
    </row>
    <row r="1767" spans="1:19" ht="12.5">
      <c r="A1767" s="5"/>
      <c r="B1767" s="5"/>
      <c r="C1767" s="5"/>
      <c r="D1767" s="5"/>
      <c r="E1767" s="5"/>
      <c r="F1767" s="5"/>
      <c r="G1767" s="5"/>
      <c r="H1767" s="5"/>
      <c r="K1767" s="23"/>
      <c r="L1767" s="5"/>
      <c r="M1767" s="5"/>
      <c r="N1767" s="5"/>
      <c r="P1767" s="5"/>
      <c r="R1767" s="9"/>
      <c r="S1767" s="9"/>
    </row>
    <row r="1768" spans="1:19" ht="12.5">
      <c r="A1768" s="5"/>
      <c r="B1768" s="5"/>
      <c r="C1768" s="5"/>
      <c r="D1768" s="5"/>
      <c r="E1768" s="5"/>
      <c r="F1768" s="5"/>
      <c r="G1768" s="5"/>
      <c r="H1768" s="5"/>
      <c r="K1768" s="23"/>
      <c r="L1768" s="5"/>
      <c r="M1768" s="5"/>
      <c r="N1768" s="5"/>
      <c r="P1768" s="5"/>
      <c r="R1768" s="9"/>
      <c r="S1768" s="9"/>
    </row>
    <row r="1769" spans="1:19" ht="12.5">
      <c r="A1769" s="5"/>
      <c r="B1769" s="5"/>
      <c r="C1769" s="5"/>
      <c r="D1769" s="5"/>
      <c r="E1769" s="5"/>
      <c r="F1769" s="5"/>
      <c r="G1769" s="5"/>
      <c r="H1769" s="5"/>
      <c r="K1769" s="23"/>
      <c r="L1769" s="5"/>
      <c r="M1769" s="5"/>
      <c r="N1769" s="5"/>
      <c r="P1769" s="5"/>
      <c r="R1769" s="9"/>
      <c r="S1769" s="9"/>
    </row>
    <row r="1770" spans="1:19" ht="12.5">
      <c r="A1770" s="5"/>
      <c r="B1770" s="5"/>
      <c r="C1770" s="5"/>
      <c r="D1770" s="5"/>
      <c r="E1770" s="5"/>
      <c r="F1770" s="5"/>
      <c r="G1770" s="5"/>
      <c r="H1770" s="5"/>
      <c r="K1770" s="23"/>
      <c r="L1770" s="5"/>
      <c r="M1770" s="5"/>
      <c r="N1770" s="5"/>
      <c r="P1770" s="5"/>
      <c r="R1770" s="9"/>
      <c r="S1770" s="9"/>
    </row>
    <row r="1771" spans="1:19" ht="12.5">
      <c r="A1771" s="5"/>
      <c r="B1771" s="5"/>
      <c r="C1771" s="5"/>
      <c r="D1771" s="5"/>
      <c r="E1771" s="5"/>
      <c r="F1771" s="5"/>
      <c r="G1771" s="5"/>
      <c r="H1771" s="5"/>
      <c r="K1771" s="23"/>
      <c r="L1771" s="5"/>
      <c r="M1771" s="5"/>
      <c r="N1771" s="5"/>
      <c r="P1771" s="5"/>
      <c r="R1771" s="9"/>
      <c r="S1771" s="9"/>
    </row>
    <row r="1772" spans="1:19" ht="12.5">
      <c r="A1772" s="5"/>
      <c r="B1772" s="5"/>
      <c r="C1772" s="5"/>
      <c r="D1772" s="5"/>
      <c r="E1772" s="5"/>
      <c r="F1772" s="5"/>
      <c r="G1772" s="5"/>
      <c r="H1772" s="5"/>
      <c r="K1772" s="23"/>
      <c r="L1772" s="5"/>
      <c r="M1772" s="5"/>
      <c r="N1772" s="5"/>
      <c r="P1772" s="5"/>
      <c r="R1772" s="9"/>
      <c r="S1772" s="9"/>
    </row>
    <row r="1773" spans="1:19" ht="12.5">
      <c r="A1773" s="5"/>
      <c r="B1773" s="5"/>
      <c r="C1773" s="5"/>
      <c r="D1773" s="5"/>
      <c r="E1773" s="5"/>
      <c r="F1773" s="5"/>
      <c r="G1773" s="5"/>
      <c r="H1773" s="5"/>
      <c r="K1773" s="23"/>
      <c r="L1773" s="5"/>
      <c r="M1773" s="5"/>
      <c r="N1773" s="5"/>
      <c r="P1773" s="5"/>
      <c r="R1773" s="9"/>
      <c r="S1773" s="9"/>
    </row>
    <row r="1774" spans="1:19" ht="12.5">
      <c r="A1774" s="5"/>
      <c r="B1774" s="5"/>
      <c r="C1774" s="5"/>
      <c r="D1774" s="5"/>
      <c r="E1774" s="5"/>
      <c r="F1774" s="5"/>
      <c r="G1774" s="5"/>
      <c r="H1774" s="5"/>
      <c r="K1774" s="23"/>
      <c r="L1774" s="5"/>
      <c r="M1774" s="5"/>
      <c r="N1774" s="5"/>
      <c r="P1774" s="5"/>
      <c r="R1774" s="9"/>
      <c r="S1774" s="9"/>
    </row>
    <row r="1775" spans="1:19" ht="12.5">
      <c r="A1775" s="5"/>
      <c r="B1775" s="5"/>
      <c r="C1775" s="5"/>
      <c r="D1775" s="5"/>
      <c r="E1775" s="5"/>
      <c r="F1775" s="5"/>
      <c r="G1775" s="5"/>
      <c r="H1775" s="5"/>
      <c r="K1775" s="23"/>
      <c r="L1775" s="5"/>
      <c r="M1775" s="5"/>
      <c r="N1775" s="5"/>
      <c r="P1775" s="5"/>
      <c r="R1775" s="9"/>
      <c r="S1775" s="9"/>
    </row>
    <row r="1776" spans="1:19" ht="12.5">
      <c r="A1776" s="5"/>
      <c r="B1776" s="5"/>
      <c r="C1776" s="5"/>
      <c r="D1776" s="5"/>
      <c r="E1776" s="5"/>
      <c r="F1776" s="5"/>
      <c r="G1776" s="5"/>
      <c r="H1776" s="5"/>
      <c r="K1776" s="23"/>
      <c r="L1776" s="5"/>
      <c r="M1776" s="5"/>
      <c r="N1776" s="5"/>
      <c r="P1776" s="5"/>
      <c r="R1776" s="9"/>
      <c r="S1776" s="9"/>
    </row>
    <row r="1777" spans="1:19" ht="12.5">
      <c r="A1777" s="5"/>
      <c r="B1777" s="5"/>
      <c r="C1777" s="5"/>
      <c r="D1777" s="5"/>
      <c r="E1777" s="5"/>
      <c r="F1777" s="5"/>
      <c r="G1777" s="5"/>
      <c r="H1777" s="5"/>
      <c r="K1777" s="23"/>
      <c r="L1777" s="5"/>
      <c r="M1777" s="5"/>
      <c r="N1777" s="5"/>
      <c r="P1777" s="5"/>
      <c r="R1777" s="9"/>
      <c r="S1777" s="9"/>
    </row>
    <row r="1778" spans="1:19" ht="12.5">
      <c r="A1778" s="5"/>
      <c r="B1778" s="5"/>
      <c r="C1778" s="5"/>
      <c r="D1778" s="5"/>
      <c r="E1778" s="5"/>
      <c r="F1778" s="5"/>
      <c r="G1778" s="5"/>
      <c r="H1778" s="5"/>
      <c r="K1778" s="23"/>
      <c r="L1778" s="5"/>
      <c r="M1778" s="5"/>
      <c r="N1778" s="5"/>
      <c r="P1778" s="5"/>
      <c r="R1778" s="9"/>
      <c r="S1778" s="9"/>
    </row>
    <row r="1779" spans="1:19" ht="12.5">
      <c r="A1779" s="5"/>
      <c r="B1779" s="5"/>
      <c r="C1779" s="5"/>
      <c r="D1779" s="5"/>
      <c r="E1779" s="5"/>
      <c r="F1779" s="5"/>
      <c r="G1779" s="5"/>
      <c r="H1779" s="5"/>
      <c r="K1779" s="23"/>
      <c r="L1779" s="5"/>
      <c r="M1779" s="5"/>
      <c r="N1779" s="5"/>
      <c r="P1779" s="5"/>
      <c r="R1779" s="9"/>
      <c r="S1779" s="9"/>
    </row>
    <row r="1780" spans="1:19" ht="12.5">
      <c r="A1780" s="5"/>
      <c r="B1780" s="5"/>
      <c r="C1780" s="5"/>
      <c r="D1780" s="5"/>
      <c r="E1780" s="5"/>
      <c r="F1780" s="5"/>
      <c r="G1780" s="5"/>
      <c r="H1780" s="5"/>
      <c r="K1780" s="23"/>
      <c r="L1780" s="5"/>
      <c r="M1780" s="5"/>
      <c r="N1780" s="5"/>
      <c r="P1780" s="5"/>
      <c r="R1780" s="9"/>
      <c r="S1780" s="9"/>
    </row>
    <row r="1781" spans="1:19" ht="12.5">
      <c r="A1781" s="5"/>
      <c r="B1781" s="5"/>
      <c r="C1781" s="5"/>
      <c r="D1781" s="5"/>
      <c r="E1781" s="5"/>
      <c r="F1781" s="5"/>
      <c r="G1781" s="5"/>
      <c r="H1781" s="5"/>
      <c r="K1781" s="23"/>
      <c r="L1781" s="5"/>
      <c r="M1781" s="5"/>
      <c r="N1781" s="5"/>
      <c r="P1781" s="5"/>
      <c r="R1781" s="9"/>
      <c r="S1781" s="9"/>
    </row>
    <row r="1782" spans="1:19" ht="12.5">
      <c r="A1782" s="5"/>
      <c r="B1782" s="5"/>
      <c r="C1782" s="5"/>
      <c r="D1782" s="5"/>
      <c r="E1782" s="5"/>
      <c r="F1782" s="5"/>
      <c r="G1782" s="5"/>
      <c r="H1782" s="5"/>
      <c r="K1782" s="23"/>
      <c r="L1782" s="5"/>
      <c r="M1782" s="5"/>
      <c r="N1782" s="5"/>
      <c r="P1782" s="5"/>
      <c r="R1782" s="9"/>
      <c r="S1782" s="9"/>
    </row>
    <row r="1783" spans="1:19" ht="12.5">
      <c r="A1783" s="5"/>
      <c r="B1783" s="5"/>
      <c r="C1783" s="5"/>
      <c r="D1783" s="5"/>
      <c r="E1783" s="5"/>
      <c r="F1783" s="5"/>
      <c r="G1783" s="5"/>
      <c r="H1783" s="5"/>
      <c r="K1783" s="23"/>
      <c r="L1783" s="5"/>
      <c r="M1783" s="5"/>
      <c r="N1783" s="5"/>
      <c r="P1783" s="5"/>
      <c r="R1783" s="9"/>
      <c r="S1783" s="9"/>
    </row>
    <row r="1784" spans="1:19" ht="12.5">
      <c r="A1784" s="5"/>
      <c r="B1784" s="5"/>
      <c r="C1784" s="5"/>
      <c r="D1784" s="5"/>
      <c r="E1784" s="5"/>
      <c r="F1784" s="5"/>
      <c r="G1784" s="5"/>
      <c r="H1784" s="5"/>
      <c r="K1784" s="23"/>
      <c r="L1784" s="5"/>
      <c r="M1784" s="5"/>
      <c r="N1784" s="5"/>
      <c r="P1784" s="5"/>
      <c r="R1784" s="9"/>
      <c r="S1784" s="9"/>
    </row>
    <row r="1785" spans="1:19" ht="12.5">
      <c r="A1785" s="5"/>
      <c r="B1785" s="5"/>
      <c r="C1785" s="5"/>
      <c r="D1785" s="5"/>
      <c r="E1785" s="5"/>
      <c r="F1785" s="5"/>
      <c r="G1785" s="5"/>
      <c r="H1785" s="5"/>
      <c r="K1785" s="23"/>
      <c r="L1785" s="5"/>
      <c r="M1785" s="5"/>
      <c r="N1785" s="5"/>
      <c r="P1785" s="5"/>
      <c r="R1785" s="9"/>
      <c r="S1785" s="9"/>
    </row>
    <row r="1786" spans="1:19" ht="12.5">
      <c r="A1786" s="5"/>
      <c r="B1786" s="5"/>
      <c r="C1786" s="5"/>
      <c r="D1786" s="5"/>
      <c r="E1786" s="5"/>
      <c r="F1786" s="5"/>
      <c r="G1786" s="5"/>
      <c r="H1786" s="5"/>
      <c r="K1786" s="23"/>
      <c r="L1786" s="5"/>
      <c r="M1786" s="5"/>
      <c r="N1786" s="5"/>
      <c r="P1786" s="5"/>
      <c r="R1786" s="9"/>
      <c r="S1786" s="9"/>
    </row>
    <row r="1787" spans="1:19" ht="12.5">
      <c r="A1787" s="5"/>
      <c r="B1787" s="5"/>
      <c r="C1787" s="5"/>
      <c r="D1787" s="5"/>
      <c r="E1787" s="5"/>
      <c r="F1787" s="5"/>
      <c r="G1787" s="5"/>
      <c r="H1787" s="5"/>
      <c r="K1787" s="23"/>
      <c r="L1787" s="5"/>
      <c r="M1787" s="5"/>
      <c r="N1787" s="5"/>
      <c r="P1787" s="5"/>
      <c r="R1787" s="9"/>
      <c r="S1787" s="9"/>
    </row>
    <row r="1788" spans="1:19" ht="12.5">
      <c r="A1788" s="5"/>
      <c r="B1788" s="5"/>
      <c r="C1788" s="5"/>
      <c r="D1788" s="5"/>
      <c r="E1788" s="5"/>
      <c r="F1788" s="5"/>
      <c r="G1788" s="5"/>
      <c r="H1788" s="5"/>
      <c r="K1788" s="23"/>
      <c r="L1788" s="5"/>
      <c r="M1788" s="5"/>
      <c r="N1788" s="5"/>
      <c r="P1788" s="5"/>
      <c r="R1788" s="9"/>
      <c r="S1788" s="9"/>
    </row>
    <row r="1789" spans="1:19" ht="12.5">
      <c r="A1789" s="5"/>
      <c r="B1789" s="5"/>
      <c r="C1789" s="5"/>
      <c r="D1789" s="5"/>
      <c r="E1789" s="5"/>
      <c r="F1789" s="5"/>
      <c r="G1789" s="5"/>
      <c r="H1789" s="5"/>
      <c r="K1789" s="23"/>
      <c r="L1789" s="5"/>
      <c r="M1789" s="5"/>
      <c r="N1789" s="5"/>
      <c r="P1789" s="5"/>
      <c r="R1789" s="9"/>
      <c r="S1789" s="9"/>
    </row>
    <row r="1790" spans="1:19" ht="12.5">
      <c r="A1790" s="5"/>
      <c r="B1790" s="5"/>
      <c r="C1790" s="5"/>
      <c r="D1790" s="5"/>
      <c r="E1790" s="5"/>
      <c r="F1790" s="5"/>
      <c r="G1790" s="5"/>
      <c r="H1790" s="5"/>
      <c r="K1790" s="23"/>
      <c r="L1790" s="5"/>
      <c r="M1790" s="5"/>
      <c r="N1790" s="5"/>
      <c r="P1790" s="5"/>
      <c r="R1790" s="9"/>
      <c r="S1790" s="9"/>
    </row>
    <row r="1791" spans="1:19" ht="12.5">
      <c r="A1791" s="5"/>
      <c r="B1791" s="5"/>
      <c r="C1791" s="5"/>
      <c r="D1791" s="5"/>
      <c r="E1791" s="5"/>
      <c r="F1791" s="5"/>
      <c r="G1791" s="5"/>
      <c r="H1791" s="5"/>
      <c r="K1791" s="23"/>
      <c r="L1791" s="5"/>
      <c r="M1791" s="5"/>
      <c r="N1791" s="5"/>
      <c r="P1791" s="5"/>
      <c r="R1791" s="9"/>
      <c r="S1791" s="9"/>
    </row>
    <row r="1792" spans="1:19" ht="12.5">
      <c r="A1792" s="5"/>
      <c r="B1792" s="5"/>
      <c r="C1792" s="5"/>
      <c r="D1792" s="5"/>
      <c r="E1792" s="5"/>
      <c r="F1792" s="5"/>
      <c r="G1792" s="5"/>
      <c r="H1792" s="5"/>
      <c r="K1792" s="23"/>
      <c r="L1792" s="5"/>
      <c r="M1792" s="5"/>
      <c r="N1792" s="5"/>
      <c r="P1792" s="5"/>
      <c r="R1792" s="9"/>
      <c r="S1792" s="9"/>
    </row>
    <row r="1793" spans="1:19" ht="12.5">
      <c r="A1793" s="5"/>
      <c r="B1793" s="5"/>
      <c r="C1793" s="5"/>
      <c r="D1793" s="5"/>
      <c r="E1793" s="5"/>
      <c r="F1793" s="5"/>
      <c r="G1793" s="5"/>
      <c r="H1793" s="5"/>
      <c r="K1793" s="23"/>
      <c r="L1793" s="5"/>
      <c r="M1793" s="5"/>
      <c r="N1793" s="5"/>
      <c r="P1793" s="5"/>
      <c r="R1793" s="9"/>
      <c r="S1793" s="9"/>
    </row>
    <row r="1794" spans="1:19" ht="12.5">
      <c r="A1794" s="5"/>
      <c r="B1794" s="5"/>
      <c r="C1794" s="5"/>
      <c r="D1794" s="5"/>
      <c r="E1794" s="5"/>
      <c r="F1794" s="5"/>
      <c r="G1794" s="5"/>
      <c r="H1794" s="5"/>
      <c r="K1794" s="23"/>
      <c r="L1794" s="5"/>
      <c r="M1794" s="5"/>
      <c r="N1794" s="5"/>
      <c r="P1794" s="5"/>
      <c r="R1794" s="9"/>
      <c r="S1794" s="9"/>
    </row>
    <row r="1795" spans="1:19" ht="12.5">
      <c r="A1795" s="5"/>
      <c r="B1795" s="5"/>
      <c r="C1795" s="5"/>
      <c r="D1795" s="5"/>
      <c r="E1795" s="5"/>
      <c r="F1795" s="5"/>
      <c r="G1795" s="5"/>
      <c r="H1795" s="5"/>
      <c r="K1795" s="23"/>
      <c r="L1795" s="5"/>
      <c r="M1795" s="5"/>
      <c r="N1795" s="5"/>
      <c r="P1795" s="5"/>
      <c r="R1795" s="9"/>
      <c r="S1795" s="9"/>
    </row>
    <row r="1796" spans="1:19" ht="12.5">
      <c r="A1796" s="5"/>
      <c r="B1796" s="5"/>
      <c r="C1796" s="5"/>
      <c r="D1796" s="5"/>
      <c r="E1796" s="5"/>
      <c r="F1796" s="5"/>
      <c r="G1796" s="5"/>
      <c r="H1796" s="5"/>
      <c r="K1796" s="23"/>
      <c r="L1796" s="5"/>
      <c r="M1796" s="5"/>
      <c r="N1796" s="5"/>
      <c r="P1796" s="5"/>
      <c r="R1796" s="9"/>
      <c r="S1796" s="9"/>
    </row>
    <row r="1797" spans="1:19" ht="12.5">
      <c r="A1797" s="5"/>
      <c r="B1797" s="5"/>
      <c r="C1797" s="5"/>
      <c r="D1797" s="5"/>
      <c r="E1797" s="5"/>
      <c r="F1797" s="5"/>
      <c r="G1797" s="5"/>
      <c r="H1797" s="5"/>
      <c r="K1797" s="23"/>
      <c r="L1797" s="5"/>
      <c r="M1797" s="5"/>
      <c r="N1797" s="5"/>
      <c r="P1797" s="5"/>
      <c r="R1797" s="9"/>
      <c r="S1797" s="9"/>
    </row>
    <row r="1798" spans="1:19" ht="12.5">
      <c r="A1798" s="5"/>
      <c r="B1798" s="5"/>
      <c r="C1798" s="5"/>
      <c r="D1798" s="5"/>
      <c r="E1798" s="5"/>
      <c r="F1798" s="5"/>
      <c r="G1798" s="5"/>
      <c r="H1798" s="5"/>
      <c r="K1798" s="23"/>
      <c r="L1798" s="5"/>
      <c r="M1798" s="5"/>
      <c r="N1798" s="5"/>
      <c r="P1798" s="5"/>
      <c r="R1798" s="9"/>
      <c r="S1798" s="9"/>
    </row>
    <row r="1799" spans="1:19" ht="12.5">
      <c r="A1799" s="5"/>
      <c r="B1799" s="5"/>
      <c r="C1799" s="5"/>
      <c r="D1799" s="5"/>
      <c r="E1799" s="5"/>
      <c r="F1799" s="5"/>
      <c r="G1799" s="5"/>
      <c r="H1799" s="5"/>
      <c r="K1799" s="23"/>
      <c r="L1799" s="5"/>
      <c r="M1799" s="5"/>
      <c r="N1799" s="5"/>
      <c r="P1799" s="5"/>
      <c r="R1799" s="9"/>
      <c r="S1799" s="9"/>
    </row>
    <row r="1800" spans="1:19" ht="12.5">
      <c r="A1800" s="5"/>
      <c r="B1800" s="5"/>
      <c r="C1800" s="5"/>
      <c r="D1800" s="5"/>
      <c r="E1800" s="5"/>
      <c r="F1800" s="5"/>
      <c r="G1800" s="5"/>
      <c r="H1800" s="5"/>
      <c r="K1800" s="23"/>
      <c r="L1800" s="5"/>
      <c r="M1800" s="5"/>
      <c r="N1800" s="5"/>
      <c r="P1800" s="5"/>
      <c r="R1800" s="9"/>
      <c r="S1800" s="9"/>
    </row>
    <row r="1801" spans="1:19" ht="12.5">
      <c r="A1801" s="5"/>
      <c r="B1801" s="5"/>
      <c r="C1801" s="5"/>
      <c r="D1801" s="5"/>
      <c r="E1801" s="5"/>
      <c r="F1801" s="5"/>
      <c r="G1801" s="5"/>
      <c r="H1801" s="5"/>
      <c r="K1801" s="23"/>
      <c r="L1801" s="5"/>
      <c r="M1801" s="5"/>
      <c r="N1801" s="5"/>
      <c r="P1801" s="5"/>
      <c r="R1801" s="9"/>
      <c r="S1801" s="9"/>
    </row>
    <row r="1802" spans="1:19" ht="12.5">
      <c r="A1802" s="5"/>
      <c r="B1802" s="5"/>
      <c r="C1802" s="5"/>
      <c r="D1802" s="5"/>
      <c r="E1802" s="5"/>
      <c r="F1802" s="5"/>
      <c r="G1802" s="5"/>
      <c r="H1802" s="5"/>
      <c r="K1802" s="23"/>
      <c r="L1802" s="5"/>
      <c r="M1802" s="5"/>
      <c r="N1802" s="5"/>
      <c r="P1802" s="5"/>
      <c r="R1802" s="9"/>
      <c r="S1802" s="9"/>
    </row>
    <row r="1803" spans="1:19" ht="12.5">
      <c r="A1803" s="5"/>
      <c r="B1803" s="5"/>
      <c r="C1803" s="5"/>
      <c r="D1803" s="5"/>
      <c r="E1803" s="5"/>
      <c r="F1803" s="5"/>
      <c r="G1803" s="5"/>
      <c r="H1803" s="5"/>
      <c r="K1803" s="23"/>
      <c r="L1803" s="5"/>
      <c r="M1803" s="5"/>
      <c r="N1803" s="5"/>
      <c r="P1803" s="5"/>
      <c r="R1803" s="9"/>
      <c r="S1803" s="9"/>
    </row>
    <row r="1804" spans="1:19" ht="12.5">
      <c r="A1804" s="5"/>
      <c r="B1804" s="5"/>
      <c r="C1804" s="5"/>
      <c r="D1804" s="5"/>
      <c r="E1804" s="5"/>
      <c r="F1804" s="5"/>
      <c r="G1804" s="5"/>
      <c r="H1804" s="5"/>
      <c r="K1804" s="23"/>
      <c r="L1804" s="5"/>
      <c r="M1804" s="5"/>
      <c r="N1804" s="5"/>
      <c r="P1804" s="5"/>
      <c r="R1804" s="9"/>
      <c r="S1804" s="9"/>
    </row>
    <row r="1805" spans="1:19" ht="12.5">
      <c r="A1805" s="5"/>
      <c r="B1805" s="5"/>
      <c r="C1805" s="5"/>
      <c r="D1805" s="5"/>
      <c r="E1805" s="5"/>
      <c r="F1805" s="5"/>
      <c r="G1805" s="5"/>
      <c r="H1805" s="5"/>
      <c r="K1805" s="23"/>
      <c r="L1805" s="5"/>
      <c r="M1805" s="5"/>
      <c r="N1805" s="5"/>
      <c r="P1805" s="5"/>
      <c r="R1805" s="9"/>
      <c r="S1805" s="9"/>
    </row>
    <row r="1806" spans="1:19" ht="12.5">
      <c r="A1806" s="5"/>
      <c r="B1806" s="5"/>
      <c r="C1806" s="5"/>
      <c r="D1806" s="5"/>
      <c r="E1806" s="5"/>
      <c r="F1806" s="5"/>
      <c r="G1806" s="5"/>
      <c r="H1806" s="5"/>
      <c r="K1806" s="23"/>
      <c r="L1806" s="5"/>
      <c r="M1806" s="5"/>
      <c r="N1806" s="5"/>
      <c r="P1806" s="5"/>
      <c r="R1806" s="9"/>
      <c r="S1806" s="9"/>
    </row>
    <row r="1807" spans="1:19" ht="12.5">
      <c r="A1807" s="5"/>
      <c r="B1807" s="5"/>
      <c r="C1807" s="5"/>
      <c r="D1807" s="5"/>
      <c r="E1807" s="5"/>
      <c r="F1807" s="5"/>
      <c r="G1807" s="5"/>
      <c r="H1807" s="5"/>
      <c r="K1807" s="23"/>
      <c r="L1807" s="5"/>
      <c r="M1807" s="5"/>
      <c r="N1807" s="5"/>
      <c r="P1807" s="5"/>
      <c r="R1807" s="9"/>
      <c r="S1807" s="9"/>
    </row>
    <row r="1808" spans="1:19" ht="12.5">
      <c r="A1808" s="5"/>
      <c r="B1808" s="5"/>
      <c r="C1808" s="5"/>
      <c r="D1808" s="5"/>
      <c r="E1808" s="5"/>
      <c r="F1808" s="5"/>
      <c r="G1808" s="5"/>
      <c r="H1808" s="5"/>
      <c r="K1808" s="23"/>
      <c r="L1808" s="5"/>
      <c r="M1808" s="5"/>
      <c r="N1808" s="5"/>
      <c r="P1808" s="5"/>
      <c r="R1808" s="9"/>
      <c r="S1808" s="9"/>
    </row>
    <row r="1809" spans="1:19" ht="12.5">
      <c r="A1809" s="5"/>
      <c r="B1809" s="5"/>
      <c r="C1809" s="5"/>
      <c r="D1809" s="5"/>
      <c r="E1809" s="5"/>
      <c r="F1809" s="5"/>
      <c r="G1809" s="5"/>
      <c r="H1809" s="5"/>
      <c r="K1809" s="23"/>
      <c r="L1809" s="5"/>
      <c r="M1809" s="5"/>
      <c r="N1809" s="5"/>
      <c r="P1809" s="5"/>
      <c r="R1809" s="9"/>
      <c r="S1809" s="9"/>
    </row>
    <row r="1810" spans="1:19" ht="12.5">
      <c r="A1810" s="5"/>
      <c r="B1810" s="5"/>
      <c r="C1810" s="5"/>
      <c r="D1810" s="5"/>
      <c r="E1810" s="5"/>
      <c r="F1810" s="5"/>
      <c r="G1810" s="5"/>
      <c r="H1810" s="5"/>
      <c r="K1810" s="23"/>
      <c r="L1810" s="5"/>
      <c r="M1810" s="5"/>
      <c r="N1810" s="5"/>
      <c r="P1810" s="5"/>
      <c r="R1810" s="9"/>
      <c r="S1810" s="9"/>
    </row>
    <row r="1811" spans="1:19" ht="12.5">
      <c r="A1811" s="5"/>
      <c r="B1811" s="5"/>
      <c r="C1811" s="5"/>
      <c r="D1811" s="5"/>
      <c r="E1811" s="5"/>
      <c r="F1811" s="5"/>
      <c r="G1811" s="5"/>
      <c r="H1811" s="5"/>
      <c r="K1811" s="23"/>
      <c r="L1811" s="5"/>
      <c r="M1811" s="5"/>
      <c r="N1811" s="5"/>
      <c r="P1811" s="5"/>
      <c r="R1811" s="9"/>
      <c r="S1811" s="9"/>
    </row>
    <row r="1812" spans="1:19" ht="12.5">
      <c r="A1812" s="5"/>
      <c r="B1812" s="5"/>
      <c r="C1812" s="5"/>
      <c r="D1812" s="5"/>
      <c r="E1812" s="5"/>
      <c r="F1812" s="5"/>
      <c r="G1812" s="5"/>
      <c r="H1812" s="5"/>
      <c r="K1812" s="23"/>
      <c r="L1812" s="5"/>
      <c r="M1812" s="5"/>
      <c r="N1812" s="5"/>
      <c r="P1812" s="5"/>
      <c r="R1812" s="9"/>
      <c r="S1812" s="9"/>
    </row>
    <row r="1813" spans="1:19" ht="12.5">
      <c r="A1813" s="5"/>
      <c r="B1813" s="5"/>
      <c r="C1813" s="5"/>
      <c r="D1813" s="5"/>
      <c r="E1813" s="5"/>
      <c r="F1813" s="5"/>
      <c r="G1813" s="5"/>
      <c r="H1813" s="5"/>
      <c r="K1813" s="23"/>
      <c r="L1813" s="5"/>
      <c r="M1813" s="5"/>
      <c r="N1813" s="5"/>
      <c r="P1813" s="5"/>
      <c r="R1813" s="9"/>
      <c r="S1813" s="9"/>
    </row>
    <row r="1814" spans="1:19" ht="12.5">
      <c r="A1814" s="5"/>
      <c r="B1814" s="5"/>
      <c r="C1814" s="5"/>
      <c r="D1814" s="5"/>
      <c r="E1814" s="5"/>
      <c r="F1814" s="5"/>
      <c r="G1814" s="5"/>
      <c r="H1814" s="5"/>
      <c r="K1814" s="23"/>
      <c r="L1814" s="5"/>
      <c r="M1814" s="5"/>
      <c r="N1814" s="5"/>
      <c r="P1814" s="5"/>
      <c r="R1814" s="9"/>
      <c r="S1814" s="9"/>
    </row>
    <row r="1815" spans="1:19" ht="12.5">
      <c r="A1815" s="5"/>
      <c r="B1815" s="5"/>
      <c r="C1815" s="5"/>
      <c r="D1815" s="5"/>
      <c r="E1815" s="5"/>
      <c r="F1815" s="5"/>
      <c r="G1815" s="5"/>
      <c r="H1815" s="5"/>
      <c r="K1815" s="23"/>
      <c r="L1815" s="5"/>
      <c r="M1815" s="5"/>
      <c r="N1815" s="5"/>
      <c r="P1815" s="5"/>
      <c r="R1815" s="9"/>
      <c r="S1815" s="9"/>
    </row>
    <row r="1816" spans="1:19" ht="12.5">
      <c r="A1816" s="5"/>
      <c r="B1816" s="5"/>
      <c r="C1816" s="5"/>
      <c r="D1816" s="5"/>
      <c r="E1816" s="5"/>
      <c r="F1816" s="5"/>
      <c r="G1816" s="5"/>
      <c r="H1816" s="5"/>
      <c r="K1816" s="23"/>
      <c r="L1816" s="5"/>
      <c r="M1816" s="5"/>
      <c r="N1816" s="5"/>
      <c r="P1816" s="5"/>
      <c r="R1816" s="9"/>
      <c r="S1816" s="9"/>
    </row>
    <row r="1817" spans="1:19" ht="12.5">
      <c r="A1817" s="5"/>
      <c r="B1817" s="5"/>
      <c r="C1817" s="5"/>
      <c r="D1817" s="5"/>
      <c r="E1817" s="5"/>
      <c r="F1817" s="5"/>
      <c r="G1817" s="5"/>
      <c r="H1817" s="5"/>
      <c r="K1817" s="23"/>
      <c r="L1817" s="5"/>
      <c r="M1817" s="5"/>
      <c r="N1817" s="5"/>
      <c r="P1817" s="5"/>
      <c r="R1817" s="9"/>
      <c r="S1817" s="9"/>
    </row>
    <row r="1818" spans="1:19" ht="12.5">
      <c r="A1818" s="5"/>
      <c r="B1818" s="5"/>
      <c r="C1818" s="5"/>
      <c r="D1818" s="5"/>
      <c r="E1818" s="5"/>
      <c r="F1818" s="5"/>
      <c r="G1818" s="5"/>
      <c r="H1818" s="5"/>
      <c r="K1818" s="23"/>
      <c r="L1818" s="5"/>
      <c r="M1818" s="5"/>
      <c r="N1818" s="5"/>
      <c r="P1818" s="5"/>
      <c r="R1818" s="9"/>
      <c r="S1818" s="9"/>
    </row>
    <row r="1819" spans="1:19" ht="12.5">
      <c r="A1819" s="5"/>
      <c r="B1819" s="5"/>
      <c r="C1819" s="5"/>
      <c r="D1819" s="5"/>
      <c r="E1819" s="5"/>
      <c r="F1819" s="5"/>
      <c r="G1819" s="5"/>
      <c r="H1819" s="5"/>
      <c r="K1819" s="23"/>
      <c r="L1819" s="5"/>
      <c r="M1819" s="5"/>
      <c r="N1819" s="5"/>
      <c r="P1819" s="5"/>
      <c r="R1819" s="9"/>
      <c r="S1819" s="9"/>
    </row>
    <row r="1820" spans="1:19" ht="12.5">
      <c r="A1820" s="5"/>
      <c r="B1820" s="5"/>
      <c r="C1820" s="5"/>
      <c r="D1820" s="5"/>
      <c r="E1820" s="5"/>
      <c r="F1820" s="5"/>
      <c r="G1820" s="5"/>
      <c r="H1820" s="5"/>
      <c r="K1820" s="23"/>
      <c r="L1820" s="5"/>
      <c r="M1820" s="5"/>
      <c r="N1820" s="5"/>
      <c r="P1820" s="5"/>
      <c r="R1820" s="9"/>
      <c r="S1820" s="9"/>
    </row>
    <row r="1821" spans="1:19" ht="12.5">
      <c r="A1821" s="5"/>
      <c r="B1821" s="5"/>
      <c r="C1821" s="5"/>
      <c r="D1821" s="5"/>
      <c r="E1821" s="5"/>
      <c r="F1821" s="5"/>
      <c r="G1821" s="5"/>
      <c r="H1821" s="5"/>
      <c r="K1821" s="23"/>
      <c r="L1821" s="5"/>
      <c r="M1821" s="5"/>
      <c r="N1821" s="5"/>
      <c r="P1821" s="5"/>
      <c r="R1821" s="9"/>
      <c r="S1821" s="9"/>
    </row>
    <row r="1822" spans="1:19" ht="12.5">
      <c r="A1822" s="5"/>
      <c r="B1822" s="5"/>
      <c r="C1822" s="5"/>
      <c r="D1822" s="5"/>
      <c r="E1822" s="5"/>
      <c r="F1822" s="5"/>
      <c r="G1822" s="5"/>
      <c r="H1822" s="5"/>
      <c r="K1822" s="23"/>
      <c r="L1822" s="5"/>
      <c r="M1822" s="5"/>
      <c r="N1822" s="5"/>
      <c r="P1822" s="5"/>
      <c r="R1822" s="9"/>
      <c r="S1822" s="9"/>
    </row>
    <row r="1823" spans="1:19" ht="12.5">
      <c r="A1823" s="5"/>
      <c r="B1823" s="5"/>
      <c r="C1823" s="5"/>
      <c r="D1823" s="5"/>
      <c r="E1823" s="5"/>
      <c r="F1823" s="5"/>
      <c r="G1823" s="5"/>
      <c r="H1823" s="5"/>
      <c r="K1823" s="23"/>
      <c r="L1823" s="5"/>
      <c r="M1823" s="5"/>
      <c r="N1823" s="5"/>
      <c r="P1823" s="5"/>
      <c r="R1823" s="9"/>
      <c r="S1823" s="9"/>
    </row>
    <row r="1824" spans="1:19" ht="12.5">
      <c r="A1824" s="5"/>
      <c r="B1824" s="5"/>
      <c r="C1824" s="5"/>
      <c r="D1824" s="5"/>
      <c r="E1824" s="5"/>
      <c r="F1824" s="5"/>
      <c r="G1824" s="5"/>
      <c r="H1824" s="5"/>
      <c r="K1824" s="23"/>
      <c r="L1824" s="5"/>
      <c r="M1824" s="5"/>
      <c r="N1824" s="5"/>
      <c r="P1824" s="5"/>
      <c r="R1824" s="9"/>
      <c r="S1824" s="9"/>
    </row>
    <row r="1825" spans="1:19" ht="12.5">
      <c r="A1825" s="5"/>
      <c r="B1825" s="5"/>
      <c r="C1825" s="5"/>
      <c r="D1825" s="5"/>
      <c r="E1825" s="5"/>
      <c r="F1825" s="5"/>
      <c r="G1825" s="5"/>
      <c r="H1825" s="5"/>
      <c r="K1825" s="23"/>
      <c r="L1825" s="5"/>
      <c r="M1825" s="5"/>
      <c r="N1825" s="5"/>
      <c r="P1825" s="5"/>
      <c r="R1825" s="9"/>
      <c r="S1825" s="9"/>
    </row>
    <row r="1826" spans="1:19" ht="12.5">
      <c r="A1826" s="5"/>
      <c r="B1826" s="5"/>
      <c r="C1826" s="5"/>
      <c r="D1826" s="5"/>
      <c r="E1826" s="5"/>
      <c r="F1826" s="5"/>
      <c r="G1826" s="5"/>
      <c r="H1826" s="5"/>
      <c r="K1826" s="23"/>
      <c r="L1826" s="5"/>
      <c r="M1826" s="5"/>
      <c r="N1826" s="5"/>
      <c r="P1826" s="5"/>
      <c r="R1826" s="9"/>
      <c r="S1826" s="9"/>
    </row>
    <row r="1827" spans="1:19" ht="12.5">
      <c r="A1827" s="5"/>
      <c r="B1827" s="5"/>
      <c r="C1827" s="5"/>
      <c r="D1827" s="5"/>
      <c r="E1827" s="5"/>
      <c r="F1827" s="5"/>
      <c r="G1827" s="5"/>
      <c r="H1827" s="5"/>
      <c r="K1827" s="23"/>
      <c r="L1827" s="5"/>
      <c r="M1827" s="5"/>
      <c r="N1827" s="5"/>
      <c r="P1827" s="5"/>
      <c r="R1827" s="9"/>
      <c r="S1827" s="9"/>
    </row>
    <row r="1828" spans="1:19" ht="12.5">
      <c r="A1828" s="5"/>
      <c r="B1828" s="5"/>
      <c r="C1828" s="5"/>
      <c r="D1828" s="5"/>
      <c r="E1828" s="5"/>
      <c r="F1828" s="5"/>
      <c r="G1828" s="5"/>
      <c r="H1828" s="5"/>
      <c r="K1828" s="23"/>
      <c r="L1828" s="5"/>
      <c r="M1828" s="5"/>
      <c r="N1828" s="5"/>
      <c r="P1828" s="5"/>
      <c r="R1828" s="9"/>
      <c r="S1828" s="9"/>
    </row>
    <row r="1829" spans="1:19" ht="12.5">
      <c r="A1829" s="5"/>
      <c r="B1829" s="5"/>
      <c r="C1829" s="5"/>
      <c r="D1829" s="5"/>
      <c r="E1829" s="5"/>
      <c r="F1829" s="5"/>
      <c r="G1829" s="5"/>
      <c r="H1829" s="5"/>
      <c r="K1829" s="23"/>
      <c r="L1829" s="5"/>
      <c r="M1829" s="5"/>
      <c r="N1829" s="5"/>
      <c r="P1829" s="5"/>
      <c r="R1829" s="9"/>
      <c r="S1829" s="9"/>
    </row>
    <row r="1830" spans="1:19" ht="12.5">
      <c r="A1830" s="5"/>
      <c r="B1830" s="5"/>
      <c r="C1830" s="5"/>
      <c r="D1830" s="5"/>
      <c r="E1830" s="5"/>
      <c r="F1830" s="5"/>
      <c r="G1830" s="5"/>
      <c r="H1830" s="5"/>
      <c r="K1830" s="23"/>
      <c r="L1830" s="5"/>
      <c r="M1830" s="5"/>
      <c r="N1830" s="5"/>
      <c r="P1830" s="5"/>
      <c r="R1830" s="9"/>
      <c r="S1830" s="9"/>
    </row>
    <row r="1831" spans="1:19" ht="12.5">
      <c r="A1831" s="5"/>
      <c r="B1831" s="5"/>
      <c r="C1831" s="5"/>
      <c r="D1831" s="5"/>
      <c r="E1831" s="5"/>
      <c r="F1831" s="5"/>
      <c r="G1831" s="5"/>
      <c r="H1831" s="5"/>
      <c r="K1831" s="23"/>
      <c r="L1831" s="5"/>
      <c r="M1831" s="5"/>
      <c r="N1831" s="5"/>
      <c r="P1831" s="5"/>
      <c r="R1831" s="9"/>
      <c r="S1831" s="9"/>
    </row>
    <row r="1832" spans="1:19" ht="12.5">
      <c r="A1832" s="5"/>
      <c r="B1832" s="5"/>
      <c r="C1832" s="5"/>
      <c r="D1832" s="5"/>
      <c r="E1832" s="5"/>
      <c r="F1832" s="5"/>
      <c r="G1832" s="5"/>
      <c r="H1832" s="5"/>
      <c r="K1832" s="23"/>
      <c r="L1832" s="5"/>
      <c r="M1832" s="5"/>
      <c r="N1832" s="5"/>
      <c r="P1832" s="5"/>
      <c r="R1832" s="9"/>
      <c r="S1832" s="9"/>
    </row>
    <row r="1833" spans="1:19" ht="12.5">
      <c r="A1833" s="5"/>
      <c r="B1833" s="5"/>
      <c r="C1833" s="5"/>
      <c r="D1833" s="5"/>
      <c r="E1833" s="5"/>
      <c r="F1833" s="5"/>
      <c r="G1833" s="5"/>
      <c r="H1833" s="5"/>
      <c r="K1833" s="23"/>
      <c r="L1833" s="5"/>
      <c r="M1833" s="5"/>
      <c r="N1833" s="5"/>
      <c r="P1833" s="5"/>
      <c r="R1833" s="9"/>
      <c r="S1833" s="9"/>
    </row>
    <row r="1834" spans="1:19" ht="12.5">
      <c r="A1834" s="5"/>
      <c r="B1834" s="5"/>
      <c r="C1834" s="5"/>
      <c r="D1834" s="5"/>
      <c r="E1834" s="5"/>
      <c r="F1834" s="5"/>
      <c r="G1834" s="5"/>
      <c r="H1834" s="5"/>
      <c r="K1834" s="23"/>
      <c r="L1834" s="5"/>
      <c r="M1834" s="5"/>
      <c r="N1834" s="5"/>
      <c r="P1834" s="5"/>
      <c r="R1834" s="9"/>
      <c r="S1834" s="9"/>
    </row>
    <row r="1835" spans="1:19" ht="12.5">
      <c r="A1835" s="5"/>
      <c r="B1835" s="5"/>
      <c r="C1835" s="5"/>
      <c r="D1835" s="5"/>
      <c r="E1835" s="5"/>
      <c r="F1835" s="5"/>
      <c r="G1835" s="5"/>
      <c r="H1835" s="5"/>
      <c r="K1835" s="23"/>
      <c r="L1835" s="5"/>
      <c r="M1835" s="5"/>
      <c r="N1835" s="5"/>
      <c r="P1835" s="5"/>
      <c r="R1835" s="9"/>
      <c r="S1835" s="9"/>
    </row>
    <row r="1836" spans="1:19" ht="12.5">
      <c r="A1836" s="5"/>
      <c r="B1836" s="5"/>
      <c r="C1836" s="5"/>
      <c r="D1836" s="5"/>
      <c r="E1836" s="5"/>
      <c r="F1836" s="5"/>
      <c r="G1836" s="5"/>
      <c r="H1836" s="5"/>
      <c r="K1836" s="23"/>
      <c r="L1836" s="5"/>
      <c r="M1836" s="5"/>
      <c r="N1836" s="5"/>
      <c r="P1836" s="5"/>
      <c r="R1836" s="9"/>
      <c r="S1836" s="9"/>
    </row>
    <row r="1837" spans="1:19" ht="12.5">
      <c r="A1837" s="5"/>
      <c r="B1837" s="5"/>
      <c r="C1837" s="5"/>
      <c r="D1837" s="5"/>
      <c r="E1837" s="5"/>
      <c r="F1837" s="5"/>
      <c r="G1837" s="5"/>
      <c r="H1837" s="5"/>
      <c r="K1837" s="23"/>
      <c r="L1837" s="5"/>
      <c r="M1837" s="5"/>
      <c r="N1837" s="5"/>
      <c r="P1837" s="5"/>
      <c r="R1837" s="9"/>
      <c r="S1837" s="9"/>
    </row>
    <row r="1838" spans="1:19" ht="12.5">
      <c r="A1838" s="5"/>
      <c r="B1838" s="5"/>
      <c r="C1838" s="5"/>
      <c r="D1838" s="5"/>
      <c r="E1838" s="5"/>
      <c r="F1838" s="5"/>
      <c r="G1838" s="5"/>
      <c r="H1838" s="5"/>
      <c r="K1838" s="23"/>
      <c r="L1838" s="5"/>
      <c r="M1838" s="5"/>
      <c r="N1838" s="5"/>
      <c r="P1838" s="5"/>
      <c r="R1838" s="9"/>
      <c r="S1838" s="9"/>
    </row>
    <row r="1839" spans="1:19" ht="12.5">
      <c r="A1839" s="5"/>
      <c r="B1839" s="5"/>
      <c r="C1839" s="5"/>
      <c r="D1839" s="5"/>
      <c r="E1839" s="5"/>
      <c r="F1839" s="5"/>
      <c r="G1839" s="5"/>
      <c r="H1839" s="5"/>
      <c r="K1839" s="23"/>
      <c r="L1839" s="5"/>
      <c r="M1839" s="5"/>
      <c r="N1839" s="5"/>
      <c r="P1839" s="5"/>
      <c r="R1839" s="9"/>
      <c r="S1839" s="9"/>
    </row>
    <row r="1840" spans="1:19" ht="12.5">
      <c r="A1840" s="5"/>
      <c r="B1840" s="5"/>
      <c r="C1840" s="5"/>
      <c r="D1840" s="5"/>
      <c r="E1840" s="5"/>
      <c r="F1840" s="5"/>
      <c r="G1840" s="5"/>
      <c r="H1840" s="5"/>
      <c r="K1840" s="23"/>
      <c r="L1840" s="5"/>
      <c r="M1840" s="5"/>
      <c r="N1840" s="5"/>
      <c r="P1840" s="5"/>
      <c r="R1840" s="9"/>
      <c r="S1840" s="9"/>
    </row>
    <row r="1841" spans="1:19" ht="12.5">
      <c r="A1841" s="5"/>
      <c r="B1841" s="5"/>
      <c r="C1841" s="5"/>
      <c r="D1841" s="5"/>
      <c r="E1841" s="5"/>
      <c r="F1841" s="5"/>
      <c r="G1841" s="5"/>
      <c r="H1841" s="5"/>
      <c r="K1841" s="23"/>
      <c r="L1841" s="5"/>
      <c r="M1841" s="5"/>
      <c r="N1841" s="5"/>
      <c r="P1841" s="5"/>
      <c r="R1841" s="9"/>
      <c r="S1841" s="9"/>
    </row>
    <row r="1842" spans="1:19" ht="12.5">
      <c r="A1842" s="5"/>
      <c r="B1842" s="5"/>
      <c r="C1842" s="5"/>
      <c r="D1842" s="5"/>
      <c r="E1842" s="5"/>
      <c r="F1842" s="5"/>
      <c r="G1842" s="5"/>
      <c r="H1842" s="5"/>
      <c r="K1842" s="23"/>
      <c r="L1842" s="5"/>
      <c r="M1842" s="5"/>
      <c r="N1842" s="5"/>
      <c r="P1842" s="5"/>
      <c r="R1842" s="9"/>
      <c r="S1842" s="9"/>
    </row>
    <row r="1843" spans="1:19" ht="12.5">
      <c r="A1843" s="5"/>
      <c r="B1843" s="5"/>
      <c r="C1843" s="5"/>
      <c r="D1843" s="5"/>
      <c r="E1843" s="5"/>
      <c r="F1843" s="5"/>
      <c r="G1843" s="5"/>
      <c r="H1843" s="5"/>
      <c r="K1843" s="23"/>
      <c r="L1843" s="5"/>
      <c r="M1843" s="5"/>
      <c r="N1843" s="5"/>
      <c r="P1843" s="5"/>
      <c r="R1843" s="9"/>
      <c r="S1843" s="9"/>
    </row>
    <row r="1844" spans="1:19" ht="12.5">
      <c r="A1844" s="5"/>
      <c r="B1844" s="5"/>
      <c r="C1844" s="5"/>
      <c r="D1844" s="5"/>
      <c r="E1844" s="5"/>
      <c r="F1844" s="5"/>
      <c r="G1844" s="5"/>
      <c r="H1844" s="5"/>
      <c r="K1844" s="23"/>
      <c r="L1844" s="5"/>
      <c r="M1844" s="5"/>
      <c r="N1844" s="5"/>
      <c r="P1844" s="5"/>
      <c r="R1844" s="9"/>
      <c r="S1844" s="9"/>
    </row>
    <row r="1845" spans="1:19" ht="12.5">
      <c r="A1845" s="5"/>
      <c r="B1845" s="5"/>
      <c r="C1845" s="5"/>
      <c r="D1845" s="5"/>
      <c r="E1845" s="5"/>
      <c r="F1845" s="5"/>
      <c r="G1845" s="5"/>
      <c r="H1845" s="5"/>
      <c r="K1845" s="23"/>
      <c r="L1845" s="5"/>
      <c r="M1845" s="5"/>
      <c r="N1845" s="5"/>
      <c r="P1845" s="5"/>
      <c r="R1845" s="9"/>
      <c r="S1845" s="9"/>
    </row>
    <row r="1846" spans="1:19" ht="12.5">
      <c r="A1846" s="5"/>
      <c r="B1846" s="5"/>
      <c r="C1846" s="5"/>
      <c r="D1846" s="5"/>
      <c r="E1846" s="5"/>
      <c r="F1846" s="5"/>
      <c r="G1846" s="5"/>
      <c r="H1846" s="5"/>
      <c r="K1846" s="23"/>
      <c r="L1846" s="5"/>
      <c r="M1846" s="5"/>
      <c r="N1846" s="5"/>
      <c r="P1846" s="5"/>
      <c r="R1846" s="9"/>
      <c r="S1846" s="9"/>
    </row>
    <row r="1847" spans="1:19" ht="12.5">
      <c r="A1847" s="5"/>
      <c r="B1847" s="5"/>
      <c r="C1847" s="5"/>
      <c r="D1847" s="5"/>
      <c r="E1847" s="5"/>
      <c r="F1847" s="5"/>
      <c r="G1847" s="5"/>
      <c r="H1847" s="5"/>
      <c r="K1847" s="23"/>
      <c r="L1847" s="5"/>
      <c r="M1847" s="5"/>
      <c r="N1847" s="5"/>
      <c r="P1847" s="5"/>
      <c r="R1847" s="9"/>
      <c r="S1847" s="9"/>
    </row>
    <row r="1848" spans="1:19" ht="12.5">
      <c r="A1848" s="5"/>
      <c r="B1848" s="5"/>
      <c r="C1848" s="5"/>
      <c r="D1848" s="5"/>
      <c r="E1848" s="5"/>
      <c r="F1848" s="5"/>
      <c r="G1848" s="5"/>
      <c r="H1848" s="5"/>
      <c r="K1848" s="23"/>
      <c r="L1848" s="5"/>
      <c r="M1848" s="5"/>
      <c r="N1848" s="5"/>
      <c r="P1848" s="5"/>
      <c r="R1848" s="9"/>
      <c r="S1848" s="9"/>
    </row>
    <row r="1849" spans="1:19" ht="12.5">
      <c r="A1849" s="5"/>
      <c r="B1849" s="5"/>
      <c r="C1849" s="5"/>
      <c r="D1849" s="5"/>
      <c r="E1849" s="5"/>
      <c r="F1849" s="5"/>
      <c r="G1849" s="5"/>
      <c r="H1849" s="5"/>
      <c r="K1849" s="23"/>
      <c r="L1849" s="5"/>
      <c r="M1849" s="5"/>
      <c r="N1849" s="5"/>
      <c r="P1849" s="5"/>
      <c r="R1849" s="9"/>
      <c r="S1849" s="9"/>
    </row>
    <row r="1850" spans="1:19" ht="12.5">
      <c r="A1850" s="5"/>
      <c r="B1850" s="5"/>
      <c r="C1850" s="5"/>
      <c r="D1850" s="5"/>
      <c r="E1850" s="5"/>
      <c r="F1850" s="5"/>
      <c r="G1850" s="5"/>
      <c r="H1850" s="5"/>
      <c r="K1850" s="23"/>
      <c r="L1850" s="5"/>
      <c r="M1850" s="5"/>
      <c r="N1850" s="5"/>
      <c r="P1850" s="5"/>
      <c r="R1850" s="9"/>
      <c r="S1850" s="9"/>
    </row>
    <row r="1851" spans="1:19" ht="12.5">
      <c r="A1851" s="5"/>
      <c r="B1851" s="5"/>
      <c r="C1851" s="5"/>
      <c r="D1851" s="5"/>
      <c r="E1851" s="5"/>
      <c r="F1851" s="5"/>
      <c r="G1851" s="5"/>
      <c r="H1851" s="5"/>
      <c r="K1851" s="23"/>
      <c r="L1851" s="5"/>
      <c r="M1851" s="5"/>
      <c r="N1851" s="5"/>
      <c r="P1851" s="5"/>
      <c r="R1851" s="9"/>
      <c r="S1851" s="9"/>
    </row>
    <row r="1852" spans="1:19" ht="12.5">
      <c r="A1852" s="5"/>
      <c r="B1852" s="5"/>
      <c r="C1852" s="5"/>
      <c r="D1852" s="5"/>
      <c r="E1852" s="5"/>
      <c r="F1852" s="5"/>
      <c r="G1852" s="5"/>
      <c r="H1852" s="5"/>
      <c r="K1852" s="23"/>
      <c r="L1852" s="5"/>
      <c r="M1852" s="5"/>
      <c r="N1852" s="5"/>
      <c r="P1852" s="5"/>
      <c r="R1852" s="9"/>
      <c r="S1852" s="9"/>
    </row>
  </sheetData>
  <autoFilter ref="A1:P852" xr:uid="{00000000-0009-0000-0000-000002000000}">
    <filterColumn colId="0">
      <filters blank="1">
        <filter val="91700"/>
        <filter val="92128"/>
        <filter val="92228"/>
        <filter val="92257"/>
        <filter val="92267"/>
        <filter val="92269"/>
        <filter val="92270"/>
        <filter val="92272"/>
        <filter val="92273"/>
        <filter val="92274"/>
        <filter val="92275"/>
        <filter val="92276"/>
        <filter val="92277"/>
        <filter val="92278"/>
        <filter val="92279"/>
        <filter val="92283"/>
        <filter val="92284"/>
        <filter val="92286"/>
        <filter val="92287"/>
        <filter val="92288"/>
        <filter val="92289"/>
        <filter val="92290"/>
        <filter val="92293"/>
        <filter val="92296"/>
        <filter val="92300"/>
        <filter val="92302"/>
        <filter val="92304"/>
        <filter val="92306"/>
        <filter val="92307"/>
        <filter val="92309"/>
        <filter val="92310"/>
        <filter val="92312"/>
        <filter val="92313"/>
        <filter val="92314"/>
        <filter val="92315"/>
        <filter val="92316"/>
        <filter val="92318"/>
        <filter val="92320"/>
        <filter val="92321"/>
        <filter val="92322"/>
        <filter val="92323"/>
        <filter val="92324"/>
        <filter val="92325"/>
        <filter val="92326"/>
        <filter val="92329"/>
        <filter val="92330"/>
        <filter val="92331"/>
        <filter val="92332"/>
        <filter val="92333"/>
        <filter val="92334"/>
        <filter val="92335"/>
        <filter val="92337"/>
        <filter val="92338"/>
        <filter val="92340"/>
        <filter val="92341"/>
        <filter val="92342"/>
        <filter val="92343"/>
        <filter val="92344"/>
        <filter val="92345"/>
        <filter val="92347"/>
        <filter val="92348"/>
        <filter val="92349"/>
        <filter val="92350"/>
        <filter val="92351"/>
        <filter val="92353"/>
        <filter val="92354"/>
        <filter val="92355"/>
        <filter val="92356"/>
        <filter val="92358"/>
        <filter val="92359"/>
        <filter val="92360"/>
        <filter val="92363"/>
        <filter val="92364"/>
        <filter val="92366"/>
        <filter val="92367"/>
        <filter val="92368"/>
        <filter val="92369"/>
        <filter val="92370"/>
        <filter val="92371"/>
        <filter val="92372"/>
        <filter val="92373"/>
        <filter val="92374"/>
        <filter val="92375"/>
        <filter val="92376"/>
        <filter val="92377"/>
        <filter val="92380"/>
        <filter val="92381"/>
        <filter val="92382"/>
        <filter val="92383"/>
        <filter val="92384"/>
        <filter val="92385"/>
        <filter val="92386"/>
        <filter val="92387"/>
        <filter val="92388"/>
        <filter val="92389"/>
        <filter val="92390"/>
        <filter val="92391"/>
        <filter val="92392"/>
        <filter val="92393"/>
        <filter val="92394"/>
        <filter val="92395"/>
        <filter val="92396"/>
        <filter val="92397"/>
        <filter val="92399"/>
        <filter val="92400"/>
        <filter val="92401"/>
        <filter val="92402"/>
        <filter val="92403"/>
        <filter val="92404"/>
        <filter val="92405"/>
        <filter val="92407"/>
        <filter val="92408"/>
        <filter val="92409"/>
        <filter val="92410"/>
        <filter val="92415"/>
        <filter val="92416"/>
        <filter val="92417"/>
        <filter val="92419"/>
        <filter val="92420"/>
        <filter val="92421"/>
        <filter val="92424"/>
        <filter val="92425"/>
        <filter val="92426"/>
        <filter val="92427"/>
        <filter val="92429"/>
        <filter val="92430"/>
        <filter val="92431"/>
        <filter val="92433"/>
        <filter val="92434"/>
        <filter val="92435"/>
        <filter val="92436"/>
        <filter val="92437"/>
        <filter val="92439"/>
        <filter val="92440"/>
        <filter val="92441"/>
        <filter val="92442"/>
        <filter val="92443"/>
        <filter val="92444"/>
        <filter val="92448"/>
        <filter val="92449"/>
        <filter val="92450"/>
        <filter val="92452"/>
        <filter val="92453"/>
        <filter val="92455"/>
        <filter val="92456"/>
        <filter val="92461"/>
        <filter val="92462"/>
        <filter val="92463"/>
        <filter val="92464"/>
        <filter val="92465"/>
        <filter val="92466"/>
        <filter val="92468"/>
        <filter val="92469"/>
        <filter val="92470"/>
        <filter val="92473"/>
        <filter val="92475"/>
        <filter val="92477"/>
        <filter val="92478"/>
        <filter val="92479"/>
        <filter val="92480"/>
        <filter val="92482"/>
        <filter val="92483"/>
        <filter val="92484"/>
        <filter val="92485"/>
        <filter val="92486"/>
        <filter val="92487"/>
        <filter val="92492"/>
        <filter val="92493"/>
        <filter val="92496"/>
        <filter val="92497"/>
        <filter val="92498"/>
        <filter val="92499"/>
        <filter val="92500"/>
        <filter val="92501"/>
        <filter val="92502"/>
        <filter val="92503"/>
        <filter val="92504"/>
        <filter val="92505"/>
        <filter val="92506"/>
        <filter val="92507"/>
        <filter val="92508"/>
        <filter val="92509"/>
        <filter val="92511"/>
        <filter val="92512"/>
        <filter val="92513"/>
        <filter val="92514"/>
        <filter val="92516"/>
        <filter val="92517"/>
        <filter val="92521"/>
        <filter val="92522"/>
        <filter val="92525"/>
        <filter val="92526"/>
        <filter val="92527"/>
        <filter val="92528"/>
        <filter val="92529"/>
        <filter val="92530"/>
        <filter val="92531"/>
        <filter val="92532"/>
        <filter val="92533"/>
        <filter val="92534"/>
        <filter val="92535"/>
        <filter val="92536"/>
        <filter val="92537"/>
        <filter val="92538"/>
        <filter val="92539"/>
        <filter val="92540"/>
        <filter val="92541"/>
        <filter val="92542"/>
        <filter val="92543"/>
        <filter val="92545"/>
        <filter val="92546"/>
        <filter val="92548"/>
        <filter val="92549"/>
        <filter val="92550"/>
        <filter val="92551"/>
        <filter val="92552"/>
        <filter val="92553"/>
        <filter val="92554"/>
        <filter val="92555"/>
        <filter val="92557"/>
        <filter val="92558"/>
        <filter val="92559"/>
        <filter val="92560"/>
        <filter val="92561"/>
        <filter val="92562"/>
        <filter val="92563"/>
        <filter val="92564"/>
        <filter val="92565"/>
        <filter val="92566"/>
        <filter val="92567"/>
        <filter val="92568"/>
        <filter val="92570"/>
        <filter val="92571"/>
        <filter val="92573"/>
        <filter val="92574"/>
        <filter val="92575"/>
        <filter val="92576"/>
        <filter val="92577"/>
        <filter val="92578"/>
        <filter val="92579"/>
        <filter val="92581"/>
        <filter val="92582"/>
        <filter val="92583"/>
        <filter val="92584"/>
        <filter val="92585"/>
        <filter val="92586"/>
        <filter val="92588"/>
        <filter val="92589"/>
        <filter val="92590"/>
        <filter val="92591"/>
        <filter val="92592"/>
        <filter val="92593"/>
        <filter val="92594"/>
        <filter val="92595"/>
        <filter val="92596"/>
        <filter val="92597"/>
        <filter val="92598"/>
        <filter val="92599"/>
        <filter val="92600"/>
        <filter val="92602"/>
        <filter val="92603"/>
        <filter val="92604"/>
        <filter val="92605"/>
        <filter val="92606"/>
        <filter val="92607"/>
        <filter val="92609"/>
        <filter val="92610"/>
        <filter val="92611"/>
        <filter val="92612"/>
        <filter val="92613"/>
        <filter val="92614"/>
        <filter val="92615"/>
        <filter val="92616"/>
        <filter val="92617"/>
        <filter val="92618"/>
        <filter val="92619"/>
        <filter val="92620"/>
        <filter val="92621"/>
        <filter val="92622"/>
        <filter val="92623"/>
        <filter val="92624"/>
        <filter val="92625"/>
        <filter val="92626"/>
        <filter val="92627"/>
        <filter val="92628"/>
        <filter val="92629"/>
        <filter val="92630"/>
        <filter val="92631"/>
        <filter val="92632"/>
        <filter val="92633"/>
        <filter val="92634"/>
        <filter val="92635"/>
        <filter val="92636"/>
        <filter val="92637"/>
        <filter val="92638"/>
        <filter val="92639"/>
        <filter val="92640"/>
        <filter val="92641"/>
        <filter val="92642"/>
        <filter val="92643"/>
        <filter val="92644"/>
        <filter val="92645"/>
        <filter val="92646"/>
        <filter val="92647"/>
        <filter val="92648"/>
        <filter val="92649"/>
        <filter val="92650"/>
        <filter val="92651"/>
        <filter val="92652"/>
        <filter val="92653"/>
        <filter val="92654"/>
        <filter val="92655"/>
        <filter val="92656"/>
        <filter val="92657"/>
        <filter val="92658"/>
        <filter val="92659"/>
        <filter val="92660"/>
        <filter val="92661"/>
        <filter val="92662"/>
        <filter val="92663"/>
        <filter val="92664"/>
        <filter val="92665"/>
        <filter val="92666"/>
        <filter val="92668"/>
        <filter val="92669"/>
        <filter val="92670"/>
        <filter val="92671"/>
        <filter val="92673"/>
        <filter val="92674"/>
        <filter val="92675"/>
        <filter val="92676"/>
        <filter val="92678"/>
        <filter val="92680"/>
        <filter val="92683"/>
        <filter val="92685"/>
        <filter val="92686"/>
        <filter val="92687"/>
        <filter val="92688"/>
        <filter val="92689"/>
        <filter val="92690"/>
        <filter val="92691"/>
        <filter val="92692"/>
        <filter val="92693"/>
        <filter val="92694"/>
        <filter val="92696"/>
        <filter val="92697"/>
        <filter val="92698"/>
        <filter val="92699"/>
        <filter val="92700"/>
        <filter val="92701"/>
        <filter val="92702"/>
        <filter val="92703"/>
        <filter val="92704"/>
        <filter val="92705"/>
        <filter val="92706"/>
        <filter val="92707"/>
        <filter val="92708"/>
        <filter val="92709"/>
        <filter val="92710"/>
        <filter val="92711"/>
        <filter val="92712"/>
        <filter val="92713"/>
        <filter val="92714"/>
        <filter val="92715"/>
        <filter val="92716"/>
        <filter val="92717"/>
        <filter val="92719"/>
        <filter val="92720"/>
        <filter val="92721"/>
        <filter val="92722"/>
        <filter val="92723"/>
        <filter val="92725"/>
        <filter val="92726"/>
        <filter val="92727"/>
        <filter val="92728"/>
        <filter val="92729"/>
        <filter val="92730"/>
        <filter val="92731"/>
        <filter val="92732"/>
        <filter val="92733"/>
        <filter val="92734"/>
        <filter val="92735"/>
        <filter val="92736"/>
        <filter val="92738"/>
        <filter val="92739"/>
        <filter val="92740"/>
        <filter val="92741"/>
        <filter val="92742"/>
        <filter val="92743"/>
        <filter val="92744"/>
        <filter val="92745"/>
        <filter val="92746"/>
        <filter val="92747"/>
        <filter val="92748"/>
        <filter val="92749"/>
        <filter val="92750"/>
        <filter val="92751"/>
        <filter val="92752"/>
        <filter val="92753"/>
        <filter val="92754"/>
        <filter val="92755"/>
        <filter val="92756"/>
        <filter val="92757"/>
        <filter val="92758"/>
        <filter val="92759"/>
        <filter val="92760"/>
        <filter val="92761"/>
        <filter val="92762"/>
        <filter val="92763"/>
        <filter val="92764"/>
        <filter val="92765"/>
        <filter val="92766"/>
        <filter val="92767"/>
        <filter val="92768"/>
        <filter val="92769"/>
        <filter val="92772"/>
        <filter val="92774"/>
        <filter val="92775"/>
        <filter val="92776"/>
        <filter val="92777"/>
        <filter val="92778"/>
        <filter val="92779"/>
        <filter val="92780"/>
        <filter val="92781"/>
        <filter val="92782"/>
        <filter val="92783"/>
        <filter val="92784"/>
        <filter val="92785"/>
        <filter val="92786"/>
        <filter val="92787"/>
        <filter val="92788"/>
        <filter val="92789"/>
        <filter val="92790"/>
        <filter val="92791"/>
        <filter val="92792"/>
        <filter val="92793"/>
        <filter val="92794"/>
        <filter val="92795"/>
        <filter val="92796"/>
        <filter val="92797"/>
        <filter val="92798"/>
        <filter val="92799"/>
        <filter val="92800"/>
        <filter val="92801"/>
        <filter val="92802"/>
        <filter val="92803"/>
        <filter val="92804"/>
        <filter val="92805"/>
        <filter val="92806"/>
        <filter val="92807"/>
        <filter val="92808"/>
        <filter val="92809"/>
        <filter val="92810"/>
        <filter val="92811"/>
        <filter val="92812"/>
        <filter val="92813"/>
        <filter val="92814"/>
        <filter val="92815"/>
        <filter val="92816"/>
        <filter val="92817"/>
        <filter val="92818"/>
        <filter val="92819"/>
        <filter val="92820"/>
        <filter val="92822"/>
        <filter val="92823"/>
        <filter val="92824"/>
        <filter val="92825"/>
        <filter val="92826"/>
        <filter val="92827"/>
        <filter val="92828"/>
        <filter val="92829"/>
        <filter val="92830"/>
        <filter val="92831"/>
        <filter val="92832"/>
        <filter val="92833"/>
        <filter val="92834"/>
        <filter val="92835"/>
        <filter val="92836"/>
        <filter val="92837"/>
        <filter val="92838"/>
        <filter val="92839"/>
        <filter val="92840"/>
        <filter val="92841"/>
        <filter val="92842"/>
        <filter val="92843"/>
        <filter val="92844"/>
        <filter val="92845"/>
        <filter val="92846"/>
        <filter val="92847"/>
        <filter val="92848"/>
        <filter val="92849"/>
        <filter val="92850"/>
        <filter val="92851"/>
        <filter val="92852"/>
        <filter val="92853"/>
        <filter val="92854"/>
        <filter val="92855"/>
        <filter val="92856"/>
        <filter val="92857"/>
        <filter val="92858"/>
        <filter val="92859"/>
        <filter val="92860"/>
        <filter val="92861"/>
        <filter val="92862"/>
        <filter val="92863"/>
        <filter val="92864"/>
        <filter val="92865"/>
        <filter val="92866"/>
        <filter val="92867"/>
        <filter val="92868"/>
        <filter val="92869"/>
        <filter val="92870"/>
        <filter val="92871"/>
        <filter val="92872"/>
        <filter val="92873"/>
        <filter val="92874"/>
        <filter val="92875"/>
        <filter val="92876"/>
        <filter val="92877"/>
        <filter val="92878"/>
        <filter val="92879"/>
        <filter val="92880"/>
        <filter val="92881"/>
        <filter val="92882"/>
        <filter val="92883"/>
        <filter val="92884"/>
        <filter val="92885"/>
        <filter val="92886"/>
        <filter val="92887"/>
        <filter val="92888"/>
        <filter val="92889"/>
        <filter val="92890"/>
        <filter val="92891"/>
        <filter val="92892"/>
        <filter val="92893"/>
        <filter val="92894"/>
        <filter val="92895"/>
        <filter val="92896"/>
        <filter val="92897"/>
        <filter val="92898"/>
        <filter val="92899"/>
        <filter val="92900"/>
        <filter val="92901"/>
        <filter val="92903"/>
        <filter val="92904"/>
        <filter val="92905"/>
        <filter val="92906"/>
        <filter val="92907"/>
        <filter val="92908"/>
        <filter val="92909"/>
        <filter val="92910"/>
        <filter val="92911"/>
        <filter val="92912"/>
        <filter val="92913"/>
        <filter val="92914"/>
        <filter val="92915"/>
        <filter val="92916"/>
        <filter val="92917"/>
        <filter val="92919"/>
        <filter val="92920"/>
        <filter val="92921"/>
        <filter val="92922"/>
        <filter val="92924"/>
        <filter val="92925"/>
        <filter val="92926"/>
        <filter val="92927"/>
        <filter val="92928"/>
        <filter val="92929"/>
        <filter val="92931"/>
        <filter val="92932"/>
        <filter val="92933"/>
        <filter val="92934"/>
        <filter val="92935"/>
        <filter val="92936"/>
        <filter val="92937"/>
        <filter val="92938"/>
        <filter val="92939"/>
        <filter val="92940"/>
        <filter val="92941"/>
        <filter val="92942"/>
        <filter val="92943"/>
        <filter val="92945"/>
        <filter val="92946"/>
        <filter val="92947"/>
        <filter val="92948"/>
        <filter val="92949"/>
        <filter val="92950"/>
        <filter val="92951"/>
        <filter val="92952"/>
        <filter val="92953"/>
        <filter val="92954"/>
        <filter val="92955"/>
        <filter val="92956"/>
        <filter val="92957"/>
        <filter val="92958"/>
        <filter val="92959"/>
        <filter val="92960"/>
        <filter val="92961"/>
        <filter val="92962"/>
        <filter val="92963"/>
        <filter val="92964"/>
        <filter val="92965"/>
        <filter val="92966"/>
        <filter val="92967"/>
        <filter val="92968"/>
        <filter val="92969"/>
        <filter val="92970"/>
        <filter val="92971"/>
        <filter val="92972"/>
        <filter val="92973"/>
        <filter val="92974"/>
        <filter val="92975"/>
        <filter val="92976"/>
        <filter val="92977"/>
        <filter val="92978"/>
        <filter val="92979"/>
        <filter val="92980"/>
        <filter val="92981"/>
        <filter val="92982"/>
        <filter val="92983"/>
        <filter val="92984"/>
        <filter val="92985"/>
        <filter val="92986"/>
        <filter val="92987"/>
        <filter val="92988"/>
        <filter val="92989"/>
        <filter val="92990"/>
        <filter val="92991"/>
        <filter val="92992"/>
        <filter val="92993"/>
        <filter val="92994"/>
        <filter val="92995"/>
        <filter val="92996"/>
        <filter val="92997"/>
        <filter val="92998"/>
        <filter val="92999"/>
        <filter val="93000"/>
        <filter val="93001"/>
        <filter val="93002"/>
        <filter val="93003"/>
        <filter val="93004"/>
        <filter val="93005"/>
        <filter val="93006"/>
        <filter val="93007"/>
        <filter val="93008"/>
        <filter val="93009"/>
        <filter val="93010"/>
        <filter val="93011"/>
        <filter val="93012"/>
        <filter val="93013"/>
        <filter val="93014"/>
        <filter val="93015"/>
        <filter val="93016"/>
        <filter val="93017"/>
        <filter val="93018"/>
        <filter val="93020"/>
        <filter val="93021"/>
        <filter val="93022"/>
        <filter val="93023"/>
        <filter val="93024"/>
        <filter val="93025"/>
        <filter val="93028"/>
        <filter val="93029"/>
        <filter val="93031"/>
        <filter val="93035"/>
        <filter val="93036"/>
        <filter val="93038"/>
        <filter val="93040"/>
        <filter val="93043"/>
        <filter val="93044"/>
        <filter val="93045"/>
        <filter val="93046"/>
        <filter val="93048"/>
        <filter val="93049"/>
        <filter val="93053"/>
        <filter val="93054"/>
        <filter val="93055"/>
        <filter val="93056"/>
        <filter val="93057"/>
        <filter val="93058"/>
        <filter val="93059"/>
        <filter val="93060"/>
        <filter val="93061"/>
        <filter val="93062"/>
        <filter val="93063"/>
        <filter val="93064"/>
        <filter val="93065"/>
        <filter val="93068"/>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3"/>
  <sheetViews>
    <sheetView workbookViewId="0"/>
  </sheetViews>
  <sheetFormatPr baseColWidth="10" defaultColWidth="12.6328125" defaultRowHeight="15.75" customHeight="1"/>
  <cols>
    <col min="2" max="2" width="17.90625" customWidth="1"/>
    <col min="3" max="3" width="20.453125" customWidth="1"/>
  </cols>
  <sheetData>
    <row r="1" spans="1:10" ht="15.75" customHeight="1">
      <c r="A1" s="5" t="s">
        <v>22834</v>
      </c>
      <c r="B1" s="5" t="s">
        <v>22835</v>
      </c>
      <c r="C1" s="5" t="s">
        <v>22836</v>
      </c>
      <c r="D1" s="5" t="s">
        <v>22837</v>
      </c>
      <c r="E1" s="5" t="s">
        <v>22838</v>
      </c>
      <c r="H1" s="5" t="s">
        <v>22839</v>
      </c>
      <c r="I1" s="5" t="s">
        <v>22840</v>
      </c>
      <c r="J1" s="5" t="s">
        <v>22841</v>
      </c>
    </row>
    <row r="2" spans="1:10" ht="15.75" customHeight="1">
      <c r="A2" s="5">
        <v>1</v>
      </c>
      <c r="B2" s="5">
        <v>90000</v>
      </c>
      <c r="C2" s="5" t="s">
        <v>22842</v>
      </c>
      <c r="D2" s="5">
        <v>100000</v>
      </c>
      <c r="H2" s="5">
        <v>300000</v>
      </c>
      <c r="I2" s="5">
        <v>100000</v>
      </c>
      <c r="J2" s="5">
        <v>200000</v>
      </c>
    </row>
    <row r="3" spans="1:10" ht="15.75" customHeight="1">
      <c r="A3" s="5">
        <v>2</v>
      </c>
      <c r="B3" s="5">
        <v>90000</v>
      </c>
      <c r="C3" s="5" t="s">
        <v>22843</v>
      </c>
      <c r="D3" s="5">
        <v>200000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5"/>
  <sheetViews>
    <sheetView workbookViewId="0"/>
  </sheetViews>
  <sheetFormatPr baseColWidth="10" defaultColWidth="12.6328125" defaultRowHeight="15.75" customHeight="1"/>
  <sheetData>
    <row r="1" spans="1:7" ht="15.75" customHeight="1">
      <c r="A1" s="5" t="s">
        <v>0</v>
      </c>
      <c r="B1" s="5" t="s">
        <v>22844</v>
      </c>
      <c r="C1" s="5" t="s">
        <v>196</v>
      </c>
      <c r="D1" s="5" t="s">
        <v>22845</v>
      </c>
      <c r="E1" s="5" t="s">
        <v>22846</v>
      </c>
      <c r="F1" s="5" t="s">
        <v>22847</v>
      </c>
      <c r="G1" s="5" t="s">
        <v>22848</v>
      </c>
    </row>
    <row r="2" spans="1:7" ht="15.75" customHeight="1">
      <c r="A2" s="12">
        <v>46017</v>
      </c>
      <c r="B2" s="5">
        <v>76000</v>
      </c>
      <c r="C2" s="5">
        <v>305000</v>
      </c>
      <c r="D2" s="5">
        <v>148500</v>
      </c>
      <c r="E2" s="5">
        <v>232500</v>
      </c>
      <c r="F2" s="5">
        <v>39000</v>
      </c>
    </row>
    <row r="3" spans="1:7" ht="15.75" customHeight="1">
      <c r="A3" s="12">
        <v>46018</v>
      </c>
      <c r="B3" s="5">
        <v>39000</v>
      </c>
      <c r="C3" s="5">
        <v>890000</v>
      </c>
      <c r="E3" s="5">
        <v>929000</v>
      </c>
    </row>
    <row r="4" spans="1:7" ht="15.75" customHeight="1">
      <c r="A4" s="12">
        <v>46021</v>
      </c>
      <c r="B4" s="5">
        <v>50600</v>
      </c>
      <c r="D4" s="5">
        <v>27000</v>
      </c>
      <c r="E4" s="5">
        <v>23600</v>
      </c>
      <c r="F4" s="5">
        <v>23600</v>
      </c>
    </row>
    <row r="5" spans="1:7" ht="15.75" customHeight="1">
      <c r="A5" s="13">
        <v>46027</v>
      </c>
      <c r="B5" s="5">
        <v>126600</v>
      </c>
      <c r="C5" s="5">
        <v>470000</v>
      </c>
      <c r="D5" s="5">
        <v>201200</v>
      </c>
      <c r="E5" s="5">
        <v>395400</v>
      </c>
      <c r="F5" s="5">
        <v>95400</v>
      </c>
    </row>
    <row r="6" spans="1:7" ht="15.75" customHeight="1">
      <c r="A6" s="13">
        <v>46028</v>
      </c>
      <c r="B6" s="5">
        <v>95400</v>
      </c>
      <c r="C6" s="5">
        <v>111000</v>
      </c>
      <c r="D6" s="5">
        <v>44500</v>
      </c>
      <c r="E6" s="5">
        <v>161900</v>
      </c>
      <c r="F6" s="5">
        <v>70200</v>
      </c>
    </row>
    <row r="7" spans="1:7" ht="15.75" customHeight="1">
      <c r="A7" s="13">
        <v>46029</v>
      </c>
      <c r="B7" s="5">
        <v>70200</v>
      </c>
      <c r="C7" s="5">
        <v>190000</v>
      </c>
      <c r="D7" s="5">
        <v>42000</v>
      </c>
      <c r="E7" s="5">
        <v>218200</v>
      </c>
      <c r="F7" s="5">
        <v>69200</v>
      </c>
    </row>
    <row r="8" spans="1:7" ht="15.75" customHeight="1">
      <c r="A8" s="13">
        <v>46030</v>
      </c>
      <c r="B8" s="5">
        <v>69200</v>
      </c>
      <c r="C8" s="5">
        <v>296000</v>
      </c>
      <c r="D8" s="5">
        <v>24000</v>
      </c>
      <c r="E8" s="5">
        <v>341200</v>
      </c>
      <c r="F8" s="5">
        <v>41200</v>
      </c>
    </row>
    <row r="9" spans="1:7" ht="15.75" customHeight="1">
      <c r="A9" s="13">
        <v>46031</v>
      </c>
      <c r="B9" s="5">
        <v>41200</v>
      </c>
      <c r="C9" s="5">
        <v>18000</v>
      </c>
      <c r="D9" s="5">
        <v>20000</v>
      </c>
      <c r="E9" s="5">
        <v>39200</v>
      </c>
      <c r="F9" s="5">
        <v>39200</v>
      </c>
    </row>
    <row r="10" spans="1:7" ht="15.75" customHeight="1">
      <c r="A10" s="13">
        <v>46037</v>
      </c>
      <c r="B10" s="5">
        <v>104100</v>
      </c>
      <c r="C10" s="5">
        <v>277000</v>
      </c>
      <c r="D10" s="5">
        <v>206800</v>
      </c>
      <c r="E10" s="5">
        <v>174300</v>
      </c>
      <c r="F10" s="5">
        <v>75000</v>
      </c>
      <c r="G10" s="5">
        <v>100000</v>
      </c>
    </row>
    <row r="11" spans="1:7" ht="15.75" customHeight="1">
      <c r="A11" s="13">
        <v>46038</v>
      </c>
      <c r="B11" s="5">
        <v>75000</v>
      </c>
      <c r="C11" s="5">
        <v>0</v>
      </c>
      <c r="D11" s="5"/>
      <c r="E11" s="5">
        <v>75000</v>
      </c>
      <c r="G11" s="5">
        <v>0</v>
      </c>
    </row>
    <row r="12" spans="1:7" ht="15.75" customHeight="1">
      <c r="A12" s="13">
        <v>46039</v>
      </c>
      <c r="B12" s="5">
        <v>100000</v>
      </c>
      <c r="C12" s="5">
        <v>34000</v>
      </c>
      <c r="D12" s="5">
        <v>65000</v>
      </c>
      <c r="E12" s="5">
        <v>69000</v>
      </c>
      <c r="F12" s="5">
        <v>69000</v>
      </c>
      <c r="G12" s="5">
        <v>0</v>
      </c>
    </row>
    <row r="13" spans="1:7" ht="15.75" customHeight="1">
      <c r="A13" s="13">
        <v>46041</v>
      </c>
      <c r="B13" s="5">
        <v>69000</v>
      </c>
      <c r="C13" s="5">
        <v>598000</v>
      </c>
      <c r="D13" s="5">
        <v>220800</v>
      </c>
      <c r="E13" s="5">
        <v>446200</v>
      </c>
      <c r="F13" s="5">
        <v>102300</v>
      </c>
      <c r="G13" s="5">
        <v>400000</v>
      </c>
    </row>
    <row r="14" spans="1:7" ht="15.75" customHeight="1">
      <c r="A14" s="13">
        <v>46042</v>
      </c>
      <c r="B14" s="5">
        <v>102300</v>
      </c>
      <c r="C14" s="5">
        <v>627000</v>
      </c>
      <c r="D14" s="5">
        <v>60600</v>
      </c>
      <c r="E14" s="5">
        <v>668700</v>
      </c>
      <c r="F14" s="5">
        <v>101700</v>
      </c>
      <c r="G14" s="5">
        <v>550000</v>
      </c>
    </row>
    <row r="15" spans="1:7" ht="15.75" customHeight="1">
      <c r="A15" s="13">
        <v>46043</v>
      </c>
      <c r="B15" s="5">
        <v>101700</v>
      </c>
      <c r="C15" s="5">
        <v>38000</v>
      </c>
      <c r="D15" s="5">
        <v>45000</v>
      </c>
      <c r="E15" s="5">
        <v>94700</v>
      </c>
      <c r="F15" s="5">
        <v>92700</v>
      </c>
      <c r="G15" s="5">
        <v>0</v>
      </c>
    </row>
    <row r="16" spans="1:7" ht="15.75" customHeight="1">
      <c r="A16" s="13">
        <v>46044</v>
      </c>
      <c r="B16" s="5">
        <v>92700</v>
      </c>
      <c r="C16" s="5">
        <v>150000</v>
      </c>
      <c r="D16" s="5">
        <v>37000</v>
      </c>
      <c r="E16" s="5">
        <v>205700</v>
      </c>
      <c r="F16" s="5">
        <v>56200</v>
      </c>
      <c r="G16" s="5">
        <v>150000</v>
      </c>
    </row>
    <row r="17" spans="1:7" ht="15.75" customHeight="1">
      <c r="A17" s="13">
        <v>46045</v>
      </c>
      <c r="B17" s="5">
        <v>56200</v>
      </c>
      <c r="D17" s="5">
        <v>41900</v>
      </c>
      <c r="E17" s="5">
        <v>14300</v>
      </c>
      <c r="F17" s="5">
        <v>14300</v>
      </c>
      <c r="G17" s="5">
        <v>0</v>
      </c>
    </row>
    <row r="18" spans="1:7" ht="15.75" customHeight="1">
      <c r="A18" s="13">
        <v>46046</v>
      </c>
      <c r="B18" s="5">
        <v>0</v>
      </c>
      <c r="C18" s="5">
        <v>0</v>
      </c>
      <c r="D18" s="5">
        <v>0</v>
      </c>
      <c r="E18" s="5">
        <v>0</v>
      </c>
      <c r="F18" s="5">
        <v>156300</v>
      </c>
      <c r="G18" s="5">
        <v>0</v>
      </c>
    </row>
    <row r="19" spans="1:7" ht="15.75" customHeight="1">
      <c r="A19" s="13">
        <v>46048</v>
      </c>
      <c r="B19" s="5">
        <v>156300</v>
      </c>
      <c r="C19" s="5">
        <v>474000</v>
      </c>
      <c r="D19" s="5">
        <v>64000</v>
      </c>
      <c r="E19" s="5">
        <v>566300</v>
      </c>
      <c r="F19" s="5">
        <v>76300</v>
      </c>
      <c r="G19" s="5">
        <v>490000</v>
      </c>
    </row>
    <row r="20" spans="1:7" ht="15.75" customHeight="1">
      <c r="A20" s="13">
        <v>46049</v>
      </c>
      <c r="B20" s="5">
        <v>76300</v>
      </c>
      <c r="C20" s="5">
        <v>30000</v>
      </c>
      <c r="D20" s="5">
        <v>71500</v>
      </c>
      <c r="E20" s="5">
        <v>34800</v>
      </c>
      <c r="F20" s="5">
        <v>37800</v>
      </c>
      <c r="G20" s="5">
        <v>0</v>
      </c>
    </row>
    <row r="21" spans="1:7" ht="15.75" customHeight="1">
      <c r="A21" s="13">
        <v>46050</v>
      </c>
      <c r="B21" s="5">
        <v>37800</v>
      </c>
      <c r="C21" s="5">
        <v>640000</v>
      </c>
      <c r="D21" s="5">
        <v>213000</v>
      </c>
      <c r="E21" s="5">
        <v>464800</v>
      </c>
      <c r="F21" s="5">
        <v>64800</v>
      </c>
      <c r="G21" s="5">
        <v>400000</v>
      </c>
    </row>
    <row r="22" spans="1:7" ht="12.5">
      <c r="A22" s="13">
        <v>46051</v>
      </c>
      <c r="B22" s="5">
        <v>64800</v>
      </c>
      <c r="C22" s="5">
        <v>518000</v>
      </c>
      <c r="D22" s="5">
        <v>68000</v>
      </c>
      <c r="E22" s="5">
        <v>514800</v>
      </c>
      <c r="F22" s="5">
        <v>74800</v>
      </c>
      <c r="G22" s="5">
        <v>440000</v>
      </c>
    </row>
    <row r="23" spans="1:7" ht="12.5">
      <c r="A23" s="13">
        <v>46052</v>
      </c>
      <c r="B23" s="5">
        <v>90800</v>
      </c>
      <c r="C23" s="5">
        <v>0</v>
      </c>
      <c r="D23" s="5">
        <v>63000</v>
      </c>
      <c r="E23" s="5">
        <v>27800</v>
      </c>
      <c r="F23" s="5">
        <v>29800</v>
      </c>
      <c r="G23" s="5">
        <v>0</v>
      </c>
    </row>
    <row r="24" spans="1:7" ht="12.5">
      <c r="A24" s="13">
        <v>46056</v>
      </c>
      <c r="B24" s="5">
        <v>10800</v>
      </c>
      <c r="C24" s="5">
        <v>115000</v>
      </c>
      <c r="D24" s="5">
        <v>6000</v>
      </c>
      <c r="E24" s="5">
        <v>119800</v>
      </c>
      <c r="F24" s="5">
        <v>120000</v>
      </c>
      <c r="G24" s="5">
        <v>0</v>
      </c>
    </row>
    <row r="25" spans="1:7" ht="12.5">
      <c r="A25" s="13">
        <v>46057</v>
      </c>
      <c r="B25" s="5">
        <v>120000</v>
      </c>
      <c r="C25" s="5">
        <v>270000</v>
      </c>
      <c r="D25" s="5">
        <v>220000</v>
      </c>
      <c r="E25" s="5">
        <v>170000</v>
      </c>
      <c r="F25" s="5">
        <v>124000</v>
      </c>
      <c r="G25" s="5">
        <v>160000</v>
      </c>
    </row>
    <row r="26" spans="1:7" ht="12.5">
      <c r="A26" s="13">
        <v>46058</v>
      </c>
      <c r="B26" s="5">
        <v>124000</v>
      </c>
      <c r="C26" s="5">
        <v>400000</v>
      </c>
      <c r="D26" s="5">
        <v>118000</v>
      </c>
      <c r="E26" s="5">
        <v>406000</v>
      </c>
      <c r="F26" s="5">
        <v>56000</v>
      </c>
      <c r="G26" s="5">
        <v>350000</v>
      </c>
    </row>
    <row r="27" spans="1:7" ht="12.5">
      <c r="A27" s="13">
        <v>46059</v>
      </c>
      <c r="B27" s="5">
        <v>56000</v>
      </c>
      <c r="C27" s="5">
        <v>125000</v>
      </c>
      <c r="D27" s="5">
        <v>17000</v>
      </c>
      <c r="E27" s="5">
        <v>164000</v>
      </c>
      <c r="F27" s="5">
        <v>161300</v>
      </c>
      <c r="G27" s="5">
        <v>0</v>
      </c>
    </row>
    <row r="28" spans="1:7" ht="12.5">
      <c r="A28" s="13">
        <v>46060</v>
      </c>
      <c r="B28" s="5">
        <v>161300</v>
      </c>
      <c r="C28" s="5">
        <v>292000</v>
      </c>
      <c r="D28" s="5">
        <v>105000</v>
      </c>
      <c r="E28" s="5">
        <v>348300</v>
      </c>
      <c r="F28" s="5">
        <v>68300</v>
      </c>
      <c r="G28" s="5">
        <v>280000</v>
      </c>
    </row>
    <row r="29" spans="1:7" ht="12.5">
      <c r="A29" s="13">
        <v>46062</v>
      </c>
      <c r="B29" s="5">
        <v>68300</v>
      </c>
      <c r="C29" s="5">
        <v>0</v>
      </c>
      <c r="D29" s="5">
        <v>56000</v>
      </c>
      <c r="E29" s="5">
        <v>12300</v>
      </c>
      <c r="F29" s="5">
        <v>12300</v>
      </c>
      <c r="G29" s="5">
        <v>0</v>
      </c>
    </row>
    <row r="30" spans="1:7" ht="12.5">
      <c r="A30" s="13">
        <v>46063</v>
      </c>
      <c r="B30" s="5">
        <v>12300</v>
      </c>
      <c r="C30" s="5">
        <v>0</v>
      </c>
      <c r="D30" s="5">
        <v>9000</v>
      </c>
      <c r="E30" s="5">
        <v>3300</v>
      </c>
      <c r="F30" s="5">
        <v>3300</v>
      </c>
      <c r="G30" s="5">
        <v>0</v>
      </c>
    </row>
    <row r="31" spans="1:7" ht="12.5">
      <c r="A31" s="13">
        <v>46064</v>
      </c>
      <c r="B31" s="5">
        <v>3300</v>
      </c>
      <c r="C31" s="5">
        <v>0</v>
      </c>
      <c r="D31" s="5">
        <v>0</v>
      </c>
      <c r="E31" s="5">
        <v>3300</v>
      </c>
      <c r="F31" s="5">
        <v>3300</v>
      </c>
      <c r="G31" s="5">
        <v>0</v>
      </c>
    </row>
    <row r="32" spans="1:7" ht="12.5">
      <c r="A32" s="13">
        <v>46065</v>
      </c>
      <c r="B32" s="5">
        <v>3300</v>
      </c>
      <c r="C32" s="5">
        <v>216000</v>
      </c>
      <c r="D32" s="5">
        <v>108000</v>
      </c>
      <c r="E32" s="5">
        <v>111300</v>
      </c>
      <c r="F32" s="5">
        <v>111300</v>
      </c>
      <c r="G32" s="5">
        <v>0</v>
      </c>
    </row>
    <row r="33" spans="1:7" ht="12.5">
      <c r="A33" s="13">
        <v>46066</v>
      </c>
      <c r="B33" s="5">
        <v>111300</v>
      </c>
      <c r="C33" s="5">
        <v>668000</v>
      </c>
      <c r="D33" s="5">
        <v>84000</v>
      </c>
      <c r="E33" s="5">
        <v>695300</v>
      </c>
      <c r="F33" s="5">
        <v>95400</v>
      </c>
      <c r="G33" s="5">
        <v>610000</v>
      </c>
    </row>
    <row r="34" spans="1:7" ht="12.5">
      <c r="A34" s="13">
        <v>46067</v>
      </c>
      <c r="B34" s="5">
        <v>95400</v>
      </c>
      <c r="C34" s="5">
        <v>320000</v>
      </c>
      <c r="D34" s="5">
        <v>169000</v>
      </c>
      <c r="E34" s="5">
        <v>246400</v>
      </c>
      <c r="F34" s="5">
        <v>106300</v>
      </c>
      <c r="G34" s="5">
        <v>0</v>
      </c>
    </row>
    <row r="35" spans="1:7" ht="12.5">
      <c r="A35" s="13">
        <v>46071</v>
      </c>
      <c r="B35" s="5">
        <v>106300</v>
      </c>
      <c r="C35" s="5">
        <v>145000</v>
      </c>
      <c r="D35" s="5">
        <v>192200</v>
      </c>
      <c r="E35" s="5">
        <v>59100</v>
      </c>
      <c r="F35" s="5">
        <v>59100</v>
      </c>
      <c r="G35" s="5">
        <v>0</v>
      </c>
    </row>
    <row r="36" spans="1:7" ht="12.5">
      <c r="A36" s="13">
        <v>46072</v>
      </c>
      <c r="B36" s="5">
        <v>59100</v>
      </c>
      <c r="C36" s="5">
        <v>275000</v>
      </c>
      <c r="D36" s="5">
        <v>46000</v>
      </c>
      <c r="E36" s="5">
        <v>288100</v>
      </c>
      <c r="F36" s="5">
        <v>77100</v>
      </c>
      <c r="G36" s="5">
        <v>211000</v>
      </c>
    </row>
    <row r="37" spans="1:7" ht="12.5">
      <c r="A37" s="13">
        <v>46073</v>
      </c>
      <c r="B37" s="5">
        <v>77100</v>
      </c>
      <c r="C37" s="5">
        <v>53000</v>
      </c>
      <c r="D37" s="5">
        <v>15000</v>
      </c>
      <c r="E37" s="5">
        <v>115100</v>
      </c>
      <c r="F37" s="5">
        <v>115100</v>
      </c>
      <c r="G37" s="5">
        <v>0</v>
      </c>
    </row>
    <row r="38" spans="1:7" ht="12.5">
      <c r="A38" s="13">
        <v>46074</v>
      </c>
      <c r="B38" s="5">
        <v>115100</v>
      </c>
      <c r="C38" s="5">
        <v>270000</v>
      </c>
      <c r="D38" s="5">
        <v>163000</v>
      </c>
      <c r="E38" s="5">
        <v>222100</v>
      </c>
      <c r="F38" s="5">
        <v>70100</v>
      </c>
      <c r="G38" s="5">
        <v>150000</v>
      </c>
    </row>
    <row r="39" spans="1:7" ht="12.5">
      <c r="A39" s="13">
        <v>46076</v>
      </c>
      <c r="B39" s="5">
        <v>70100</v>
      </c>
      <c r="C39" s="5">
        <v>262500</v>
      </c>
      <c r="D39" s="5">
        <v>137500</v>
      </c>
      <c r="E39" s="5">
        <v>195100</v>
      </c>
      <c r="F39" s="5">
        <v>95100</v>
      </c>
      <c r="G39" s="5">
        <v>100000</v>
      </c>
    </row>
    <row r="40" spans="1:7" ht="12.5">
      <c r="A40" s="13">
        <v>46077</v>
      </c>
      <c r="B40" s="5">
        <v>95100</v>
      </c>
      <c r="C40" s="5">
        <v>247000</v>
      </c>
      <c r="D40" s="5">
        <v>144000</v>
      </c>
      <c r="E40" s="5">
        <v>198100</v>
      </c>
      <c r="F40" s="5">
        <v>104100</v>
      </c>
      <c r="G40" s="5">
        <v>100000</v>
      </c>
    </row>
    <row r="41" spans="1:7" ht="12.5">
      <c r="A41" s="13">
        <v>46079</v>
      </c>
      <c r="B41" s="5">
        <v>70000</v>
      </c>
      <c r="C41" s="5">
        <v>467000</v>
      </c>
      <c r="D41" s="5">
        <v>243850</v>
      </c>
      <c r="E41" s="5">
        <v>293150</v>
      </c>
      <c r="F41" s="5">
        <v>43200</v>
      </c>
      <c r="G41" s="5">
        <v>200000</v>
      </c>
    </row>
    <row r="42" spans="1:7" ht="12.5">
      <c r="A42" s="13">
        <v>46081</v>
      </c>
      <c r="B42" s="5">
        <v>2000</v>
      </c>
      <c r="C42" s="5">
        <v>274000</v>
      </c>
      <c r="D42" s="5">
        <v>184100</v>
      </c>
      <c r="E42" s="5">
        <v>91900</v>
      </c>
      <c r="F42" s="5">
        <v>91900</v>
      </c>
      <c r="G42" s="5">
        <v>0</v>
      </c>
    </row>
    <row r="43" spans="1:7" ht="12.5">
      <c r="A43" s="13">
        <v>46084</v>
      </c>
      <c r="B43" s="5">
        <v>121400</v>
      </c>
      <c r="C43" s="5">
        <v>15000</v>
      </c>
      <c r="D43" s="5">
        <v>111900</v>
      </c>
      <c r="E43" s="5">
        <v>24500</v>
      </c>
      <c r="F43" s="5">
        <v>24500</v>
      </c>
      <c r="G43" s="5">
        <v>0</v>
      </c>
    </row>
    <row r="44" spans="1:7" ht="12.5">
      <c r="A44" s="13">
        <v>46087</v>
      </c>
      <c r="B44" s="5">
        <v>22400</v>
      </c>
      <c r="C44" s="5">
        <v>0</v>
      </c>
      <c r="D44" s="5">
        <v>0</v>
      </c>
      <c r="E44" s="5">
        <v>22400</v>
      </c>
      <c r="F44" s="5">
        <v>0</v>
      </c>
      <c r="G44" s="5">
        <v>0</v>
      </c>
    </row>
    <row r="45" spans="1:7" ht="12.5">
      <c r="A45" s="13">
        <v>46090</v>
      </c>
      <c r="B45" s="5">
        <v>63600</v>
      </c>
      <c r="C45" s="5">
        <v>27000</v>
      </c>
      <c r="D45" s="5">
        <v>90000</v>
      </c>
      <c r="E45" s="5">
        <v>600</v>
      </c>
      <c r="F45" s="5">
        <v>3600</v>
      </c>
      <c r="G45" s="5">
        <v>3600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2"/>
  <sheetViews>
    <sheetView workbookViewId="0"/>
  </sheetViews>
  <sheetFormatPr baseColWidth="10" defaultColWidth="12.6328125" defaultRowHeight="15.75" customHeight="1"/>
  <cols>
    <col min="1" max="1" width="12.90625" customWidth="1"/>
    <col min="2" max="2" width="18.90625" customWidth="1"/>
  </cols>
  <sheetData>
    <row r="1" spans="1:5" ht="15.75" customHeight="1">
      <c r="A1" s="16" t="s">
        <v>22849</v>
      </c>
      <c r="B1" s="16" t="s">
        <v>22850</v>
      </c>
      <c r="C1" s="16" t="s">
        <v>22851</v>
      </c>
      <c r="D1" s="5" t="s">
        <v>7</v>
      </c>
      <c r="E1" s="5" t="s">
        <v>20638</v>
      </c>
    </row>
    <row r="2" spans="1:5" ht="15.75" customHeight="1">
      <c r="A2" s="16" t="s">
        <v>22852</v>
      </c>
      <c r="B2" s="16" t="s">
        <v>20688</v>
      </c>
      <c r="C2" s="16" t="s">
        <v>14574</v>
      </c>
      <c r="D2" s="5">
        <v>3110925692</v>
      </c>
      <c r="E2" s="5" t="s">
        <v>12325</v>
      </c>
    </row>
    <row r="3" spans="1:5" ht="15.75" customHeight="1">
      <c r="A3" s="16" t="s">
        <v>22853</v>
      </c>
      <c r="B3" s="16" t="s">
        <v>3962</v>
      </c>
      <c r="C3" s="16" t="s">
        <v>14574</v>
      </c>
      <c r="D3" s="5">
        <v>3183858712</v>
      </c>
      <c r="E3" s="5" t="s">
        <v>12325</v>
      </c>
    </row>
    <row r="4" spans="1:5" ht="15.75" customHeight="1">
      <c r="A4" s="16" t="s">
        <v>22854</v>
      </c>
      <c r="B4" s="16" t="s">
        <v>1864</v>
      </c>
      <c r="C4" s="16" t="s">
        <v>14574</v>
      </c>
      <c r="D4" s="15">
        <v>3505830273</v>
      </c>
      <c r="E4" s="5" t="s">
        <v>12325</v>
      </c>
    </row>
    <row r="5" spans="1:5" ht="15.75" customHeight="1">
      <c r="A5" s="16" t="s">
        <v>22855</v>
      </c>
      <c r="B5" s="16" t="s">
        <v>20667</v>
      </c>
      <c r="C5" s="16" t="s">
        <v>14574</v>
      </c>
      <c r="D5" s="15">
        <v>3006666911</v>
      </c>
      <c r="E5" s="5" t="s">
        <v>22856</v>
      </c>
    </row>
    <row r="6" spans="1:5" ht="15.75" customHeight="1">
      <c r="A6" s="16" t="s">
        <v>22857</v>
      </c>
      <c r="B6" s="16" t="s">
        <v>21005</v>
      </c>
      <c r="C6" s="16" t="s">
        <v>14574</v>
      </c>
      <c r="D6" s="15">
        <v>3045805246</v>
      </c>
      <c r="E6" s="5" t="s">
        <v>22856</v>
      </c>
    </row>
    <row r="7" spans="1:5" ht="15.75" customHeight="1">
      <c r="A7" s="16" t="s">
        <v>22858</v>
      </c>
      <c r="B7" s="16" t="s">
        <v>22345</v>
      </c>
      <c r="C7" s="16" t="s">
        <v>14574</v>
      </c>
      <c r="D7" s="15">
        <v>3013970888</v>
      </c>
      <c r="E7" s="5" t="s">
        <v>22856</v>
      </c>
    </row>
    <row r="8" spans="1:5" ht="15.75" customHeight="1">
      <c r="A8" s="16" t="s">
        <v>22859</v>
      </c>
      <c r="B8" s="16" t="s">
        <v>21063</v>
      </c>
      <c r="C8" s="16" t="s">
        <v>14574</v>
      </c>
      <c r="D8" s="15">
        <v>3117317875</v>
      </c>
      <c r="E8" s="5" t="s">
        <v>22856</v>
      </c>
    </row>
    <row r="9" spans="1:5" ht="15.75" customHeight="1">
      <c r="A9" s="16" t="s">
        <v>22860</v>
      </c>
      <c r="B9" s="16" t="s">
        <v>22861</v>
      </c>
      <c r="C9" s="16" t="s">
        <v>14574</v>
      </c>
      <c r="D9" s="5">
        <v>3505830273</v>
      </c>
      <c r="E9" s="5" t="s">
        <v>22856</v>
      </c>
    </row>
    <row r="10" spans="1:5" ht="15.75" customHeight="1">
      <c r="A10" s="16" t="s">
        <v>22862</v>
      </c>
      <c r="B10" s="16" t="s">
        <v>22863</v>
      </c>
      <c r="C10" s="5" t="s">
        <v>22856</v>
      </c>
      <c r="D10" s="5">
        <v>3166180703</v>
      </c>
      <c r="E10" s="5" t="s">
        <v>22856</v>
      </c>
    </row>
    <row r="11" spans="1:5" ht="15.75" customHeight="1">
      <c r="A11" s="16"/>
      <c r="B11" s="16"/>
    </row>
    <row r="12" spans="1:5" ht="15.75" customHeight="1">
      <c r="A12"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9"/>
  <sheetViews>
    <sheetView workbookViewId="0"/>
  </sheetViews>
  <sheetFormatPr baseColWidth="10" defaultColWidth="12.6328125" defaultRowHeight="15.75" customHeight="1"/>
  <cols>
    <col min="1" max="1" width="9.6328125" customWidth="1"/>
    <col min="2" max="2" width="34.7265625" customWidth="1"/>
    <col min="3" max="3" width="18.36328125" customWidth="1"/>
    <col min="4" max="4" width="62.453125" customWidth="1"/>
    <col min="5" max="5" width="15.453125" customWidth="1"/>
  </cols>
  <sheetData>
    <row r="1" spans="1:6" ht="13">
      <c r="A1" s="16" t="s">
        <v>22864</v>
      </c>
      <c r="B1" s="16" t="s">
        <v>22865</v>
      </c>
      <c r="C1" s="16" t="s">
        <v>22866</v>
      </c>
      <c r="D1" s="16" t="s">
        <v>22867</v>
      </c>
      <c r="E1" s="31" t="s">
        <v>22868</v>
      </c>
      <c r="F1" s="3" t="s">
        <v>22869</v>
      </c>
    </row>
    <row r="2" spans="1:6" ht="12.5">
      <c r="A2" s="32"/>
      <c r="B2" s="16"/>
      <c r="C2" s="16"/>
      <c r="D2" s="33"/>
    </row>
    <row r="3" spans="1:6" ht="12.5">
      <c r="A3" s="32">
        <v>95</v>
      </c>
      <c r="B3" s="16" t="s">
        <v>22870</v>
      </c>
      <c r="C3" s="16">
        <v>0</v>
      </c>
      <c r="D3" s="33" t="s">
        <v>22871</v>
      </c>
      <c r="E3" s="5" t="s">
        <v>22872</v>
      </c>
      <c r="F3" s="5" t="b">
        <v>1</v>
      </c>
    </row>
    <row r="4" spans="1:6" ht="14.5">
      <c r="A4" s="32">
        <v>1</v>
      </c>
      <c r="B4" s="16" t="s">
        <v>22873</v>
      </c>
      <c r="C4" s="34">
        <v>350000</v>
      </c>
      <c r="D4" s="35" t="s">
        <v>22874</v>
      </c>
      <c r="E4" s="5" t="s">
        <v>22875</v>
      </c>
      <c r="F4" s="5" t="b">
        <v>1</v>
      </c>
    </row>
    <row r="5" spans="1:6" ht="14.5">
      <c r="A5" s="32">
        <v>2</v>
      </c>
      <c r="B5" s="16" t="s">
        <v>22876</v>
      </c>
      <c r="C5" s="34">
        <v>580000</v>
      </c>
      <c r="D5" s="35" t="s">
        <v>22877</v>
      </c>
      <c r="E5" s="5" t="s">
        <v>22875</v>
      </c>
      <c r="F5" s="5" t="b">
        <v>1</v>
      </c>
    </row>
    <row r="6" spans="1:6" ht="14.5">
      <c r="A6" s="32">
        <v>3</v>
      </c>
      <c r="B6" s="16" t="s">
        <v>22878</v>
      </c>
      <c r="C6" s="34">
        <v>410000</v>
      </c>
      <c r="D6" s="35" t="s">
        <v>22879</v>
      </c>
      <c r="E6" s="5" t="s">
        <v>22875</v>
      </c>
      <c r="F6" s="5" t="b">
        <v>1</v>
      </c>
    </row>
    <row r="7" spans="1:6" ht="14.5">
      <c r="A7" s="32">
        <v>4</v>
      </c>
      <c r="B7" s="16" t="s">
        <v>22880</v>
      </c>
      <c r="C7" s="34">
        <v>410000</v>
      </c>
      <c r="D7" s="33" t="s">
        <v>22881</v>
      </c>
      <c r="E7" s="5" t="s">
        <v>22875</v>
      </c>
      <c r="F7" s="5" t="b">
        <v>1</v>
      </c>
    </row>
    <row r="8" spans="1:6" ht="14.5">
      <c r="A8" s="32">
        <v>5</v>
      </c>
      <c r="B8" s="16" t="s">
        <v>22882</v>
      </c>
      <c r="C8" s="34">
        <v>220000</v>
      </c>
      <c r="D8" s="33" t="s">
        <v>22883</v>
      </c>
      <c r="E8" s="5" t="s">
        <v>22875</v>
      </c>
      <c r="F8" s="5" t="b">
        <v>1</v>
      </c>
    </row>
    <row r="9" spans="1:6" ht="12.5">
      <c r="A9" s="36">
        <v>104</v>
      </c>
      <c r="B9" s="16" t="s">
        <v>22882</v>
      </c>
      <c r="C9" s="5">
        <v>220000</v>
      </c>
      <c r="D9" s="37" t="s">
        <v>22884</v>
      </c>
      <c r="E9" s="5" t="s">
        <v>22875</v>
      </c>
      <c r="F9" s="5" t="b">
        <v>0</v>
      </c>
    </row>
    <row r="10" spans="1:6" ht="14.5">
      <c r="A10" s="32">
        <v>103</v>
      </c>
      <c r="B10" s="16" t="s">
        <v>22885</v>
      </c>
      <c r="C10" s="34">
        <v>150000</v>
      </c>
      <c r="D10" s="33" t="s">
        <v>22883</v>
      </c>
      <c r="E10" s="5" t="s">
        <v>22875</v>
      </c>
      <c r="F10" s="5" t="b">
        <v>0</v>
      </c>
    </row>
    <row r="11" spans="1:6" ht="14.5">
      <c r="A11" s="32">
        <v>6</v>
      </c>
      <c r="B11" s="16" t="s">
        <v>22886</v>
      </c>
      <c r="C11" s="34">
        <v>300000</v>
      </c>
      <c r="D11" s="33" t="s">
        <v>22887</v>
      </c>
      <c r="E11" s="5" t="s">
        <v>22875</v>
      </c>
      <c r="F11" s="5" t="b">
        <v>1</v>
      </c>
    </row>
    <row r="12" spans="1:6" ht="14.5">
      <c r="A12" s="32">
        <v>7</v>
      </c>
      <c r="B12" s="16" t="s">
        <v>22888</v>
      </c>
      <c r="C12" s="34">
        <v>300000</v>
      </c>
      <c r="D12" s="33" t="s">
        <v>22889</v>
      </c>
      <c r="E12" s="5" t="s">
        <v>22875</v>
      </c>
      <c r="F12" s="5" t="b">
        <v>1</v>
      </c>
    </row>
    <row r="13" spans="1:6" ht="14.5">
      <c r="A13" s="32">
        <v>8</v>
      </c>
      <c r="B13" s="16" t="s">
        <v>22890</v>
      </c>
      <c r="C13" s="34">
        <v>350000</v>
      </c>
      <c r="D13" s="35" t="s">
        <v>22891</v>
      </c>
      <c r="E13" s="5" t="s">
        <v>22875</v>
      </c>
      <c r="F13" s="5" t="b">
        <v>1</v>
      </c>
    </row>
    <row r="14" spans="1:6" ht="14.5">
      <c r="A14" s="32">
        <v>9</v>
      </c>
      <c r="B14" s="16" t="s">
        <v>22892</v>
      </c>
      <c r="C14" s="34">
        <v>310000</v>
      </c>
      <c r="D14" s="35" t="s">
        <v>22893</v>
      </c>
      <c r="E14" s="5" t="s">
        <v>22875</v>
      </c>
      <c r="F14" s="5" t="b">
        <v>1</v>
      </c>
    </row>
    <row r="15" spans="1:6" ht="14.5">
      <c r="A15" s="32">
        <v>10</v>
      </c>
      <c r="B15" s="16" t="s">
        <v>22894</v>
      </c>
      <c r="C15" s="34">
        <v>340000</v>
      </c>
      <c r="D15" s="35" t="s">
        <v>22895</v>
      </c>
      <c r="E15" s="5" t="s">
        <v>22875</v>
      </c>
      <c r="F15" s="5" t="b">
        <v>1</v>
      </c>
    </row>
    <row r="16" spans="1:6" ht="14.5">
      <c r="A16" s="32">
        <v>11</v>
      </c>
      <c r="B16" s="5" t="s">
        <v>22896</v>
      </c>
      <c r="C16" s="34">
        <v>420000</v>
      </c>
      <c r="D16" s="37" t="s">
        <v>22897</v>
      </c>
      <c r="E16" s="5" t="s">
        <v>22875</v>
      </c>
      <c r="F16" s="5" t="b">
        <v>1</v>
      </c>
    </row>
    <row r="17" spans="1:6" ht="14.5">
      <c r="A17" s="32">
        <v>12</v>
      </c>
      <c r="B17" s="5" t="s">
        <v>22898</v>
      </c>
      <c r="C17" s="34">
        <v>420000</v>
      </c>
      <c r="D17" s="37" t="s">
        <v>22899</v>
      </c>
      <c r="E17" s="5" t="s">
        <v>22875</v>
      </c>
      <c r="F17" s="5" t="b">
        <v>1</v>
      </c>
    </row>
    <row r="18" spans="1:6" ht="14.5">
      <c r="A18" s="32">
        <v>13</v>
      </c>
      <c r="B18" s="5" t="s">
        <v>22900</v>
      </c>
      <c r="C18" s="34">
        <v>890000</v>
      </c>
      <c r="D18" s="37" t="s">
        <v>22901</v>
      </c>
      <c r="E18" s="5" t="s">
        <v>22875</v>
      </c>
      <c r="F18" s="5" t="b">
        <v>1</v>
      </c>
    </row>
    <row r="19" spans="1:6" ht="14.5">
      <c r="A19" s="32">
        <v>14</v>
      </c>
      <c r="B19" s="5" t="s">
        <v>22902</v>
      </c>
      <c r="C19" s="34">
        <v>600000</v>
      </c>
      <c r="D19" s="37" t="s">
        <v>22903</v>
      </c>
      <c r="E19" s="5" t="s">
        <v>22875</v>
      </c>
      <c r="F19" s="5" t="b">
        <v>1</v>
      </c>
    </row>
    <row r="20" spans="1:6" ht="14.5">
      <c r="A20" s="32">
        <v>15</v>
      </c>
      <c r="B20" s="5" t="s">
        <v>22904</v>
      </c>
      <c r="C20" s="34">
        <v>360000</v>
      </c>
      <c r="D20" s="37" t="s">
        <v>22905</v>
      </c>
      <c r="E20" s="5" t="s">
        <v>22875</v>
      </c>
      <c r="F20" s="5" t="b">
        <v>1</v>
      </c>
    </row>
    <row r="21" spans="1:6" ht="14.5">
      <c r="A21" s="32">
        <v>16</v>
      </c>
      <c r="B21" s="5" t="s">
        <v>22906</v>
      </c>
      <c r="C21" s="34">
        <v>400000</v>
      </c>
      <c r="D21" s="38" t="s">
        <v>22907</v>
      </c>
      <c r="E21" s="5" t="s">
        <v>22875</v>
      </c>
      <c r="F21" s="5" t="b">
        <v>1</v>
      </c>
    </row>
    <row r="22" spans="1:6" ht="14.5">
      <c r="A22" s="32">
        <v>17</v>
      </c>
      <c r="B22" s="5" t="s">
        <v>22908</v>
      </c>
      <c r="C22" s="34">
        <v>290000</v>
      </c>
      <c r="D22" s="37" t="s">
        <v>22909</v>
      </c>
      <c r="E22" s="5" t="s">
        <v>22875</v>
      </c>
      <c r="F22" s="5" t="b">
        <v>1</v>
      </c>
    </row>
    <row r="23" spans="1:6" ht="14.5">
      <c r="A23" s="15">
        <v>18</v>
      </c>
      <c r="B23" s="5" t="s">
        <v>22910</v>
      </c>
      <c r="C23" s="34">
        <v>290000</v>
      </c>
      <c r="D23" s="37" t="s">
        <v>22911</v>
      </c>
      <c r="E23" s="5" t="s">
        <v>22875</v>
      </c>
      <c r="F23" s="5" t="b">
        <v>1</v>
      </c>
    </row>
    <row r="24" spans="1:6" ht="14.5">
      <c r="A24" s="15">
        <v>19</v>
      </c>
      <c r="B24" s="5" t="s">
        <v>22912</v>
      </c>
      <c r="C24" s="34">
        <v>230000</v>
      </c>
      <c r="D24" s="37" t="s">
        <v>22913</v>
      </c>
      <c r="E24" s="5" t="s">
        <v>22875</v>
      </c>
      <c r="F24" s="5" t="b">
        <v>1</v>
      </c>
    </row>
    <row r="25" spans="1:6" ht="14.5">
      <c r="A25" s="15">
        <v>20</v>
      </c>
      <c r="B25" s="5" t="s">
        <v>22914</v>
      </c>
      <c r="C25" s="34">
        <v>220000</v>
      </c>
      <c r="D25" s="37" t="s">
        <v>22915</v>
      </c>
      <c r="E25" s="5" t="s">
        <v>22875</v>
      </c>
      <c r="F25" s="5" t="b">
        <v>1</v>
      </c>
    </row>
    <row r="26" spans="1:6" ht="14.5">
      <c r="A26" s="15">
        <v>21</v>
      </c>
      <c r="B26" s="5" t="s">
        <v>22916</v>
      </c>
      <c r="C26" s="34">
        <v>200000</v>
      </c>
      <c r="D26" s="37" t="s">
        <v>22917</v>
      </c>
      <c r="E26" s="5" t="s">
        <v>22875</v>
      </c>
      <c r="F26" s="5" t="b">
        <v>1</v>
      </c>
    </row>
    <row r="27" spans="1:6" ht="14.5">
      <c r="A27" s="15">
        <v>22</v>
      </c>
      <c r="B27" s="5" t="s">
        <v>22918</v>
      </c>
      <c r="C27" s="34">
        <v>230000</v>
      </c>
      <c r="D27" s="37" t="s">
        <v>22919</v>
      </c>
      <c r="E27" s="5" t="s">
        <v>22875</v>
      </c>
      <c r="F27" s="5" t="b">
        <v>1</v>
      </c>
    </row>
    <row r="28" spans="1:6" ht="14.5">
      <c r="A28" s="15">
        <v>23</v>
      </c>
      <c r="B28" s="5" t="s">
        <v>22920</v>
      </c>
      <c r="C28" s="34">
        <v>220000</v>
      </c>
      <c r="D28" s="37" t="s">
        <v>22921</v>
      </c>
      <c r="E28" s="5" t="s">
        <v>22875</v>
      </c>
      <c r="F28" s="5" t="b">
        <v>1</v>
      </c>
    </row>
    <row r="29" spans="1:6" ht="14.5">
      <c r="A29" s="15">
        <v>24</v>
      </c>
      <c r="B29" s="5" t="s">
        <v>22922</v>
      </c>
      <c r="C29" s="34">
        <v>190000</v>
      </c>
      <c r="D29" s="37" t="s">
        <v>22923</v>
      </c>
      <c r="E29" s="5" t="s">
        <v>22875</v>
      </c>
      <c r="F29" s="5" t="b">
        <v>1</v>
      </c>
    </row>
    <row r="30" spans="1:6" ht="14.5">
      <c r="A30" s="15">
        <v>25</v>
      </c>
      <c r="B30" s="5" t="s">
        <v>22924</v>
      </c>
      <c r="C30" s="34">
        <v>160000</v>
      </c>
      <c r="D30" s="37" t="s">
        <v>22925</v>
      </c>
      <c r="E30" s="5" t="s">
        <v>22875</v>
      </c>
      <c r="F30" s="5" t="b">
        <v>1</v>
      </c>
    </row>
    <row r="31" spans="1:6" ht="14.5">
      <c r="A31" s="15">
        <v>26</v>
      </c>
      <c r="B31" s="5" t="s">
        <v>22926</v>
      </c>
      <c r="C31" s="34">
        <v>150000</v>
      </c>
      <c r="D31" s="37" t="s">
        <v>22927</v>
      </c>
      <c r="E31" s="5" t="s">
        <v>22875</v>
      </c>
      <c r="F31" s="5" t="b">
        <v>1</v>
      </c>
    </row>
    <row r="32" spans="1:6" ht="15" customHeight="1">
      <c r="A32" s="5">
        <v>105</v>
      </c>
      <c r="B32" s="39" t="s">
        <v>22926</v>
      </c>
      <c r="C32" s="5">
        <v>150000</v>
      </c>
      <c r="D32" s="37" t="s">
        <v>22928</v>
      </c>
      <c r="E32" s="5" t="s">
        <v>22875</v>
      </c>
      <c r="F32" s="5" t="b">
        <v>0</v>
      </c>
    </row>
    <row r="33" spans="1:6" ht="14.5">
      <c r="A33" s="15">
        <v>27</v>
      </c>
      <c r="B33" s="5" t="s">
        <v>22929</v>
      </c>
      <c r="C33" s="34">
        <v>80000</v>
      </c>
      <c r="D33" s="37" t="s">
        <v>22930</v>
      </c>
      <c r="E33" s="5" t="s">
        <v>22875</v>
      </c>
      <c r="F33" s="5" t="b">
        <v>1</v>
      </c>
    </row>
    <row r="34" spans="1:6" ht="14.5">
      <c r="A34" s="15">
        <v>28</v>
      </c>
      <c r="B34" s="5" t="s">
        <v>22931</v>
      </c>
      <c r="C34" s="34">
        <v>65000</v>
      </c>
      <c r="D34" s="37" t="s">
        <v>22932</v>
      </c>
      <c r="E34" s="5" t="s">
        <v>22875</v>
      </c>
      <c r="F34" s="5" t="b">
        <v>1</v>
      </c>
    </row>
    <row r="35" spans="1:6" ht="14.5">
      <c r="A35" s="15">
        <v>29</v>
      </c>
      <c r="B35" s="5" t="s">
        <v>22933</v>
      </c>
      <c r="C35" s="34">
        <v>88000</v>
      </c>
      <c r="D35" s="37" t="s">
        <v>22934</v>
      </c>
      <c r="E35" s="5" t="s">
        <v>22875</v>
      </c>
      <c r="F35" s="5" t="b">
        <v>1</v>
      </c>
    </row>
    <row r="36" spans="1:6" ht="14.5">
      <c r="A36" s="15">
        <v>30</v>
      </c>
      <c r="B36" s="5" t="s">
        <v>22935</v>
      </c>
      <c r="C36" s="34">
        <v>80000</v>
      </c>
      <c r="D36" s="37" t="s">
        <v>22936</v>
      </c>
      <c r="E36" s="5" t="s">
        <v>22875</v>
      </c>
      <c r="F36" s="5" t="b">
        <v>1</v>
      </c>
    </row>
    <row r="37" spans="1:6" ht="14.5">
      <c r="A37" s="15">
        <v>31</v>
      </c>
      <c r="B37" s="5" t="s">
        <v>22937</v>
      </c>
      <c r="C37" s="34">
        <v>80000</v>
      </c>
      <c r="D37" s="37" t="s">
        <v>22938</v>
      </c>
      <c r="E37" s="5" t="s">
        <v>22875</v>
      </c>
      <c r="F37" s="5" t="b">
        <v>1</v>
      </c>
    </row>
    <row r="38" spans="1:6" ht="14.5">
      <c r="A38" s="15">
        <v>32</v>
      </c>
      <c r="B38" s="5" t="s">
        <v>16189</v>
      </c>
      <c r="C38" s="34">
        <v>80000</v>
      </c>
      <c r="D38" s="37" t="s">
        <v>22939</v>
      </c>
      <c r="E38" s="5" t="s">
        <v>22875</v>
      </c>
      <c r="F38" s="5" t="b">
        <v>1</v>
      </c>
    </row>
    <row r="39" spans="1:6" ht="14.5">
      <c r="A39" s="15">
        <v>33</v>
      </c>
      <c r="B39" s="5" t="s">
        <v>22940</v>
      </c>
      <c r="C39" s="34">
        <v>570000</v>
      </c>
      <c r="D39" s="37" t="s">
        <v>22941</v>
      </c>
      <c r="E39" s="5" t="s">
        <v>22942</v>
      </c>
      <c r="F39" s="5" t="b">
        <v>1</v>
      </c>
    </row>
    <row r="40" spans="1:6" ht="14.5">
      <c r="A40" s="15">
        <v>34</v>
      </c>
      <c r="B40" s="5" t="s">
        <v>22943</v>
      </c>
      <c r="C40" s="34">
        <v>450000</v>
      </c>
      <c r="D40" s="37" t="s">
        <v>22944</v>
      </c>
      <c r="E40" s="5" t="s">
        <v>22942</v>
      </c>
      <c r="F40" s="5" t="b">
        <v>1</v>
      </c>
    </row>
    <row r="41" spans="1:6" ht="14.5">
      <c r="A41" s="15">
        <v>35</v>
      </c>
      <c r="B41" s="5" t="s">
        <v>22945</v>
      </c>
      <c r="C41" s="34">
        <v>350000</v>
      </c>
      <c r="D41" s="37" t="s">
        <v>22946</v>
      </c>
      <c r="E41" s="5" t="s">
        <v>22942</v>
      </c>
      <c r="F41" s="5" t="b">
        <v>1</v>
      </c>
    </row>
    <row r="42" spans="1:6" ht="14.5">
      <c r="A42" s="15">
        <v>36</v>
      </c>
      <c r="B42" s="5" t="s">
        <v>22947</v>
      </c>
      <c r="C42" s="34">
        <v>350000</v>
      </c>
      <c r="D42" s="37" t="s">
        <v>22948</v>
      </c>
      <c r="E42" s="5" t="s">
        <v>22942</v>
      </c>
      <c r="F42" s="5" t="b">
        <v>1</v>
      </c>
    </row>
    <row r="43" spans="1:6" ht="14.5">
      <c r="A43" s="15">
        <v>37</v>
      </c>
      <c r="B43" s="5" t="s">
        <v>22949</v>
      </c>
      <c r="C43" s="34">
        <v>800000</v>
      </c>
      <c r="D43" s="37" t="s">
        <v>22950</v>
      </c>
      <c r="E43" s="5" t="s">
        <v>22942</v>
      </c>
      <c r="F43" s="5" t="b">
        <v>1</v>
      </c>
    </row>
    <row r="44" spans="1:6" ht="14.5">
      <c r="A44" s="15">
        <v>38</v>
      </c>
      <c r="B44" s="5" t="s">
        <v>22951</v>
      </c>
      <c r="C44" s="34">
        <v>360000</v>
      </c>
      <c r="D44" s="37" t="s">
        <v>22952</v>
      </c>
      <c r="E44" s="5" t="s">
        <v>22942</v>
      </c>
      <c r="F44" s="5" t="b">
        <v>1</v>
      </c>
    </row>
    <row r="45" spans="1:6" ht="14.5">
      <c r="A45" s="15">
        <v>39</v>
      </c>
      <c r="B45" s="5" t="s">
        <v>22953</v>
      </c>
      <c r="C45" s="34">
        <v>250000</v>
      </c>
      <c r="D45" s="38" t="s">
        <v>22954</v>
      </c>
      <c r="E45" s="5" t="s">
        <v>22942</v>
      </c>
      <c r="F45" s="5" t="b">
        <v>1</v>
      </c>
    </row>
    <row r="46" spans="1:6" ht="14.5">
      <c r="A46" s="15">
        <v>40</v>
      </c>
      <c r="B46" s="5" t="s">
        <v>22955</v>
      </c>
      <c r="C46" s="34">
        <v>300000</v>
      </c>
      <c r="D46" s="37" t="s">
        <v>22956</v>
      </c>
      <c r="E46" s="5" t="s">
        <v>22942</v>
      </c>
      <c r="F46" s="5" t="b">
        <v>1</v>
      </c>
    </row>
    <row r="47" spans="1:6" ht="14.5">
      <c r="A47" s="15">
        <v>41</v>
      </c>
      <c r="B47" s="5" t="s">
        <v>22957</v>
      </c>
      <c r="C47" s="34">
        <v>170000</v>
      </c>
      <c r="D47" s="37" t="s">
        <v>22958</v>
      </c>
      <c r="E47" s="5" t="s">
        <v>22942</v>
      </c>
      <c r="F47" s="5" t="b">
        <v>1</v>
      </c>
    </row>
    <row r="48" spans="1:6" ht="14.5">
      <c r="A48" s="15">
        <v>42</v>
      </c>
      <c r="B48" s="5" t="s">
        <v>22959</v>
      </c>
      <c r="C48" s="34">
        <v>200000</v>
      </c>
      <c r="D48" s="38" t="s">
        <v>22960</v>
      </c>
      <c r="E48" s="5" t="s">
        <v>22961</v>
      </c>
      <c r="F48" s="5" t="b">
        <v>1</v>
      </c>
    </row>
    <row r="49" spans="1:6" ht="14.5">
      <c r="A49" s="15">
        <v>43</v>
      </c>
      <c r="B49" s="5" t="s">
        <v>22962</v>
      </c>
      <c r="C49" s="34">
        <v>200000</v>
      </c>
      <c r="D49" s="37" t="s">
        <v>22963</v>
      </c>
      <c r="E49" s="5" t="s">
        <v>22961</v>
      </c>
      <c r="F49" s="5" t="b">
        <v>1</v>
      </c>
    </row>
    <row r="50" spans="1:6" ht="14.5">
      <c r="A50" s="15">
        <v>44</v>
      </c>
      <c r="B50" s="5" t="s">
        <v>22964</v>
      </c>
      <c r="C50" s="34">
        <v>150000</v>
      </c>
      <c r="D50" s="37" t="s">
        <v>22965</v>
      </c>
      <c r="E50" s="5" t="s">
        <v>22961</v>
      </c>
      <c r="F50" s="5" t="b">
        <v>1</v>
      </c>
    </row>
    <row r="51" spans="1:6" ht="14.5">
      <c r="A51" s="15">
        <v>45</v>
      </c>
      <c r="B51" s="5" t="s">
        <v>22966</v>
      </c>
      <c r="C51" s="34">
        <v>170000</v>
      </c>
      <c r="D51" s="37" t="s">
        <v>22967</v>
      </c>
      <c r="E51" s="5" t="s">
        <v>22961</v>
      </c>
      <c r="F51" s="5" t="b">
        <v>1</v>
      </c>
    </row>
    <row r="52" spans="1:6" ht="14.5">
      <c r="A52" s="15">
        <v>46</v>
      </c>
      <c r="B52" s="5" t="s">
        <v>22968</v>
      </c>
      <c r="C52" s="34">
        <v>340000</v>
      </c>
      <c r="D52" s="37" t="s">
        <v>22969</v>
      </c>
      <c r="E52" s="5" t="s">
        <v>22961</v>
      </c>
      <c r="F52" s="5" t="b">
        <v>1</v>
      </c>
    </row>
    <row r="53" spans="1:6" ht="14.5">
      <c r="A53" s="15">
        <v>47</v>
      </c>
      <c r="B53" s="5" t="s">
        <v>22970</v>
      </c>
      <c r="C53" s="34">
        <v>230000</v>
      </c>
      <c r="D53" s="37" t="s">
        <v>22971</v>
      </c>
      <c r="E53" s="5" t="s">
        <v>22961</v>
      </c>
      <c r="F53" s="5" t="b">
        <v>1</v>
      </c>
    </row>
    <row r="54" spans="1:6" ht="14.5">
      <c r="A54" s="15">
        <v>48</v>
      </c>
      <c r="B54" s="5" t="s">
        <v>22972</v>
      </c>
      <c r="C54" s="34">
        <v>620000</v>
      </c>
      <c r="D54" s="37" t="s">
        <v>22973</v>
      </c>
      <c r="E54" s="5" t="s">
        <v>22961</v>
      </c>
      <c r="F54" s="5" t="b">
        <v>1</v>
      </c>
    </row>
    <row r="55" spans="1:6" ht="14.5">
      <c r="A55" s="15">
        <v>49</v>
      </c>
      <c r="B55" s="5" t="s">
        <v>22974</v>
      </c>
      <c r="C55" s="34">
        <v>340000</v>
      </c>
      <c r="D55" s="37" t="s">
        <v>22975</v>
      </c>
      <c r="E55" s="5" t="s">
        <v>22961</v>
      </c>
      <c r="F55" s="5" t="b">
        <v>1</v>
      </c>
    </row>
    <row r="56" spans="1:6" ht="14.5">
      <c r="A56" s="15">
        <v>50</v>
      </c>
      <c r="B56" s="5" t="s">
        <v>22976</v>
      </c>
      <c r="C56" s="34">
        <v>250000</v>
      </c>
      <c r="D56" s="38" t="s">
        <v>22977</v>
      </c>
      <c r="E56" s="5" t="s">
        <v>22961</v>
      </c>
      <c r="F56" s="5" t="b">
        <v>1</v>
      </c>
    </row>
    <row r="57" spans="1:6" ht="14.5">
      <c r="A57" s="15">
        <v>51</v>
      </c>
      <c r="B57" s="5" t="s">
        <v>22978</v>
      </c>
      <c r="C57" s="34">
        <v>200000</v>
      </c>
      <c r="D57" s="37" t="s">
        <v>22979</v>
      </c>
      <c r="E57" s="5" t="s">
        <v>22961</v>
      </c>
      <c r="F57" s="5" t="b">
        <v>1</v>
      </c>
    </row>
    <row r="58" spans="1:6" ht="14.5">
      <c r="A58" s="15">
        <v>52</v>
      </c>
      <c r="B58" s="5" t="s">
        <v>22980</v>
      </c>
      <c r="C58" s="34">
        <v>110000</v>
      </c>
      <c r="D58" s="37" t="s">
        <v>22981</v>
      </c>
      <c r="E58" s="5" t="s">
        <v>22961</v>
      </c>
      <c r="F58" s="5" t="b">
        <v>1</v>
      </c>
    </row>
    <row r="59" spans="1:6" ht="14.5">
      <c r="A59" s="15">
        <v>53</v>
      </c>
      <c r="B59" s="5" t="s">
        <v>22982</v>
      </c>
      <c r="C59" s="34">
        <v>80000</v>
      </c>
      <c r="D59" s="37" t="s">
        <v>22983</v>
      </c>
      <c r="E59" s="5" t="s">
        <v>22961</v>
      </c>
      <c r="F59" s="5" t="b">
        <v>1</v>
      </c>
    </row>
    <row r="60" spans="1:6" ht="14.5">
      <c r="A60" s="15">
        <v>54</v>
      </c>
      <c r="B60" s="5" t="s">
        <v>22984</v>
      </c>
      <c r="C60" s="34">
        <v>750000</v>
      </c>
      <c r="D60" s="38" t="s">
        <v>22985</v>
      </c>
      <c r="E60" s="5" t="s">
        <v>22986</v>
      </c>
      <c r="F60" s="5" t="b">
        <v>1</v>
      </c>
    </row>
    <row r="61" spans="1:6" ht="14.5">
      <c r="A61" s="15">
        <v>55</v>
      </c>
      <c r="B61" s="5" t="s">
        <v>22987</v>
      </c>
      <c r="C61" s="34">
        <v>300000</v>
      </c>
      <c r="D61" s="37" t="s">
        <v>22988</v>
      </c>
      <c r="E61" s="5" t="s">
        <v>22986</v>
      </c>
      <c r="F61" s="5" t="b">
        <v>1</v>
      </c>
    </row>
    <row r="62" spans="1:6" ht="14.5">
      <c r="A62" s="15">
        <v>56</v>
      </c>
      <c r="B62" s="5" t="s">
        <v>22989</v>
      </c>
      <c r="C62" s="34">
        <v>220000</v>
      </c>
      <c r="D62" s="37" t="s">
        <v>22990</v>
      </c>
      <c r="E62" s="5" t="s">
        <v>22986</v>
      </c>
      <c r="F62" s="5" t="b">
        <v>1</v>
      </c>
    </row>
    <row r="63" spans="1:6" ht="14.5">
      <c r="A63" s="15">
        <v>57</v>
      </c>
      <c r="B63" s="5" t="s">
        <v>22991</v>
      </c>
      <c r="C63" s="34">
        <v>130000</v>
      </c>
      <c r="D63" s="37" t="s">
        <v>22992</v>
      </c>
      <c r="E63" s="5" t="s">
        <v>22986</v>
      </c>
      <c r="F63" s="5" t="b">
        <v>1</v>
      </c>
    </row>
    <row r="64" spans="1:6" ht="14.5">
      <c r="A64" s="15">
        <v>58</v>
      </c>
      <c r="B64" s="5" t="s">
        <v>22993</v>
      </c>
      <c r="C64" s="34">
        <v>120000</v>
      </c>
      <c r="D64" s="38" t="s">
        <v>22994</v>
      </c>
      <c r="E64" s="5" t="s">
        <v>22986</v>
      </c>
      <c r="F64" s="5" t="b">
        <v>1</v>
      </c>
    </row>
    <row r="65" spans="1:6" ht="14.5">
      <c r="A65" s="15">
        <v>59</v>
      </c>
      <c r="B65" s="5" t="s">
        <v>22995</v>
      </c>
      <c r="C65" s="34">
        <v>220000</v>
      </c>
      <c r="D65" s="37" t="s">
        <v>22996</v>
      </c>
      <c r="E65" s="5" t="s">
        <v>22986</v>
      </c>
      <c r="F65" s="5" t="b">
        <v>1</v>
      </c>
    </row>
    <row r="66" spans="1:6" ht="14.5">
      <c r="A66" s="15">
        <v>60</v>
      </c>
      <c r="B66" s="5" t="s">
        <v>22997</v>
      </c>
      <c r="C66" s="34">
        <v>380000</v>
      </c>
      <c r="D66" s="37" t="s">
        <v>22998</v>
      </c>
      <c r="E66" s="5" t="s">
        <v>22999</v>
      </c>
      <c r="F66" s="5" t="b">
        <v>1</v>
      </c>
    </row>
    <row r="67" spans="1:6" ht="14.5">
      <c r="A67" s="15">
        <v>61</v>
      </c>
      <c r="B67" s="5" t="s">
        <v>23000</v>
      </c>
      <c r="C67" s="34">
        <v>230000</v>
      </c>
      <c r="D67" s="37" t="s">
        <v>23001</v>
      </c>
      <c r="E67" s="5" t="s">
        <v>22999</v>
      </c>
      <c r="F67" s="5" t="b">
        <v>1</v>
      </c>
    </row>
    <row r="68" spans="1:6" ht="14.5">
      <c r="A68" s="15">
        <v>62</v>
      </c>
      <c r="B68" s="5" t="s">
        <v>23002</v>
      </c>
      <c r="C68" s="34">
        <v>190000</v>
      </c>
      <c r="D68" s="37" t="s">
        <v>23003</v>
      </c>
      <c r="E68" s="5" t="s">
        <v>22999</v>
      </c>
      <c r="F68" s="5" t="b">
        <v>1</v>
      </c>
    </row>
    <row r="69" spans="1:6" ht="14.5">
      <c r="A69" s="15">
        <v>63</v>
      </c>
      <c r="B69" s="5" t="s">
        <v>23004</v>
      </c>
      <c r="C69" s="34">
        <v>180000</v>
      </c>
      <c r="D69" s="37" t="s">
        <v>23005</v>
      </c>
      <c r="E69" s="5" t="s">
        <v>22999</v>
      </c>
      <c r="F69" s="5" t="b">
        <v>1</v>
      </c>
    </row>
    <row r="70" spans="1:6" ht="14.5">
      <c r="A70" s="15">
        <v>64</v>
      </c>
      <c r="B70" s="5" t="s">
        <v>23006</v>
      </c>
      <c r="C70" s="34">
        <v>150000</v>
      </c>
      <c r="D70" s="37" t="s">
        <v>23007</v>
      </c>
      <c r="E70" s="5" t="s">
        <v>22999</v>
      </c>
      <c r="F70" s="5" t="b">
        <v>1</v>
      </c>
    </row>
    <row r="71" spans="1:6" ht="14.5">
      <c r="A71" s="15">
        <v>65</v>
      </c>
      <c r="B71" s="5" t="s">
        <v>23008</v>
      </c>
      <c r="C71" s="34">
        <v>135000</v>
      </c>
      <c r="D71" s="37" t="s">
        <v>23009</v>
      </c>
      <c r="E71" s="5" t="s">
        <v>22999</v>
      </c>
      <c r="F71" s="5" t="b">
        <v>1</v>
      </c>
    </row>
    <row r="72" spans="1:6" ht="14.5">
      <c r="A72" s="15">
        <v>66</v>
      </c>
      <c r="B72" s="5" t="s">
        <v>23010</v>
      </c>
      <c r="C72" s="34">
        <v>140000</v>
      </c>
      <c r="D72" s="37" t="s">
        <v>23011</v>
      </c>
      <c r="E72" s="5" t="s">
        <v>22999</v>
      </c>
      <c r="F72" s="5" t="b">
        <v>1</v>
      </c>
    </row>
    <row r="73" spans="1:6" ht="14.5">
      <c r="A73" s="15">
        <v>67</v>
      </c>
      <c r="B73" s="5" t="s">
        <v>23012</v>
      </c>
      <c r="C73" s="34">
        <v>150000</v>
      </c>
      <c r="D73" s="37" t="s">
        <v>23013</v>
      </c>
      <c r="E73" s="5" t="s">
        <v>22999</v>
      </c>
      <c r="F73" s="5" t="b">
        <v>1</v>
      </c>
    </row>
    <row r="74" spans="1:6" ht="14.5">
      <c r="A74" s="15">
        <v>68</v>
      </c>
      <c r="B74" s="5" t="s">
        <v>23014</v>
      </c>
      <c r="C74" s="34">
        <v>200000</v>
      </c>
      <c r="D74" s="37" t="s">
        <v>23015</v>
      </c>
      <c r="E74" s="5" t="s">
        <v>23016</v>
      </c>
      <c r="F74" s="5" t="b">
        <v>1</v>
      </c>
    </row>
    <row r="75" spans="1:6" ht="14.5">
      <c r="A75" s="15">
        <v>69</v>
      </c>
      <c r="B75" s="5" t="s">
        <v>23017</v>
      </c>
      <c r="C75" s="34">
        <v>120000</v>
      </c>
      <c r="D75" s="37" t="s">
        <v>23018</v>
      </c>
      <c r="E75" s="5" t="s">
        <v>23016</v>
      </c>
      <c r="F75" s="5" t="b">
        <v>1</v>
      </c>
    </row>
    <row r="76" spans="1:6" ht="14.5">
      <c r="A76" s="15">
        <v>70</v>
      </c>
      <c r="B76" s="5" t="s">
        <v>23019</v>
      </c>
      <c r="C76" s="34">
        <v>99000</v>
      </c>
      <c r="D76" s="37" t="s">
        <v>23020</v>
      </c>
      <c r="E76" s="5" t="s">
        <v>23016</v>
      </c>
      <c r="F76" s="5" t="b">
        <v>1</v>
      </c>
    </row>
    <row r="77" spans="1:6" ht="14.5">
      <c r="A77" s="15">
        <v>71</v>
      </c>
      <c r="B77" s="5" t="s">
        <v>23021</v>
      </c>
      <c r="C77" s="34">
        <v>99000</v>
      </c>
      <c r="D77" s="37" t="s">
        <v>23022</v>
      </c>
      <c r="E77" s="5" t="s">
        <v>23016</v>
      </c>
      <c r="F77" s="5" t="b">
        <v>1</v>
      </c>
    </row>
    <row r="78" spans="1:6" ht="14.5">
      <c r="A78" s="15">
        <v>72</v>
      </c>
      <c r="B78" s="5" t="s">
        <v>23023</v>
      </c>
      <c r="C78" s="34">
        <v>350000</v>
      </c>
      <c r="D78" s="37" t="s">
        <v>23024</v>
      </c>
      <c r="E78" s="5" t="s">
        <v>23025</v>
      </c>
      <c r="F78" s="5" t="b">
        <v>1</v>
      </c>
    </row>
    <row r="79" spans="1:6" ht="14.5">
      <c r="A79" s="15">
        <v>73</v>
      </c>
      <c r="B79" s="5" t="s">
        <v>23026</v>
      </c>
      <c r="C79" s="34">
        <v>250000</v>
      </c>
      <c r="D79" s="37" t="s">
        <v>23027</v>
      </c>
      <c r="E79" s="5" t="s">
        <v>23025</v>
      </c>
      <c r="F79" s="5" t="b">
        <v>1</v>
      </c>
    </row>
    <row r="80" spans="1:6" ht="14.5">
      <c r="A80" s="15">
        <v>74</v>
      </c>
      <c r="B80" s="5" t="s">
        <v>23028</v>
      </c>
      <c r="C80" s="34">
        <v>450000</v>
      </c>
      <c r="D80" s="37" t="s">
        <v>23029</v>
      </c>
      <c r="E80" s="5" t="s">
        <v>23025</v>
      </c>
      <c r="F80" s="5" t="b">
        <v>1</v>
      </c>
    </row>
    <row r="81" spans="1:6" ht="14.5">
      <c r="A81" s="15">
        <v>75</v>
      </c>
      <c r="B81" s="5" t="s">
        <v>23030</v>
      </c>
      <c r="C81" s="34">
        <v>650000</v>
      </c>
      <c r="D81" s="37" t="s">
        <v>23031</v>
      </c>
      <c r="E81" s="5" t="s">
        <v>23032</v>
      </c>
      <c r="F81" s="5" t="b">
        <v>1</v>
      </c>
    </row>
    <row r="82" spans="1:6" ht="14.5">
      <c r="A82" s="15">
        <v>76</v>
      </c>
      <c r="B82" s="5" t="s">
        <v>23033</v>
      </c>
      <c r="C82" s="34">
        <v>480000</v>
      </c>
      <c r="D82" s="37" t="s">
        <v>23034</v>
      </c>
      <c r="E82" s="5" t="s">
        <v>23032</v>
      </c>
      <c r="F82" s="5" t="b">
        <v>1</v>
      </c>
    </row>
    <row r="83" spans="1:6" ht="14.5">
      <c r="A83" s="15">
        <v>77</v>
      </c>
      <c r="B83" s="5" t="s">
        <v>23035</v>
      </c>
      <c r="C83" s="34">
        <v>270000</v>
      </c>
      <c r="D83" s="37" t="s">
        <v>23036</v>
      </c>
      <c r="E83" s="5" t="s">
        <v>23032</v>
      </c>
      <c r="F83" s="5" t="b">
        <v>1</v>
      </c>
    </row>
    <row r="84" spans="1:6" ht="14.5">
      <c r="A84" s="15">
        <v>78</v>
      </c>
      <c r="B84" s="5" t="s">
        <v>23035</v>
      </c>
      <c r="C84" s="34">
        <v>300000</v>
      </c>
      <c r="D84" s="37" t="s">
        <v>23037</v>
      </c>
      <c r="E84" s="5" t="s">
        <v>23032</v>
      </c>
      <c r="F84" s="5" t="b">
        <v>1</v>
      </c>
    </row>
    <row r="85" spans="1:6" ht="14.5">
      <c r="A85" s="15">
        <v>79</v>
      </c>
      <c r="B85" s="5" t="s">
        <v>23038</v>
      </c>
      <c r="C85" s="34">
        <v>260000</v>
      </c>
      <c r="D85" s="37" t="s">
        <v>23039</v>
      </c>
      <c r="E85" s="5" t="s">
        <v>23032</v>
      </c>
      <c r="F85" s="5" t="b">
        <v>1</v>
      </c>
    </row>
    <row r="86" spans="1:6" ht="12.5">
      <c r="A86" s="5">
        <v>96</v>
      </c>
      <c r="B86" s="5" t="s">
        <v>23040</v>
      </c>
      <c r="C86" s="5">
        <v>360000</v>
      </c>
      <c r="D86" s="37" t="s">
        <v>23041</v>
      </c>
      <c r="E86" s="5" t="s">
        <v>23042</v>
      </c>
      <c r="F86" s="5" t="b">
        <v>0</v>
      </c>
    </row>
    <row r="87" spans="1:6" ht="12.5">
      <c r="A87" s="5">
        <v>97</v>
      </c>
      <c r="B87" s="5" t="s">
        <v>23043</v>
      </c>
      <c r="C87" s="5">
        <v>170000</v>
      </c>
      <c r="D87" s="37" t="s">
        <v>22958</v>
      </c>
      <c r="E87" s="5" t="s">
        <v>23042</v>
      </c>
      <c r="F87" s="5" t="b">
        <v>0</v>
      </c>
    </row>
    <row r="88" spans="1:6" ht="12.5">
      <c r="A88" s="5">
        <v>98</v>
      </c>
      <c r="B88" s="5" t="s">
        <v>23044</v>
      </c>
      <c r="C88" s="5">
        <v>120000</v>
      </c>
      <c r="D88" s="37" t="s">
        <v>23045</v>
      </c>
      <c r="E88" s="5" t="s">
        <v>23042</v>
      </c>
      <c r="F88" s="5" t="b">
        <v>0</v>
      </c>
    </row>
    <row r="89" spans="1:6" ht="12.5">
      <c r="A89" s="5">
        <v>99</v>
      </c>
      <c r="B89" s="5" t="s">
        <v>23046</v>
      </c>
      <c r="C89" s="5">
        <v>190000</v>
      </c>
      <c r="D89" s="37" t="s">
        <v>23003</v>
      </c>
      <c r="E89" s="5" t="s">
        <v>23042</v>
      </c>
      <c r="F89" s="5" t="b">
        <v>0</v>
      </c>
    </row>
    <row r="90" spans="1:6" ht="12.5">
      <c r="A90" s="5">
        <v>100</v>
      </c>
      <c r="B90" s="5" t="s">
        <v>23047</v>
      </c>
      <c r="C90" s="5">
        <v>150000</v>
      </c>
      <c r="D90" s="37" t="s">
        <v>23048</v>
      </c>
      <c r="E90" s="5" t="s">
        <v>23042</v>
      </c>
      <c r="F90" s="5" t="b">
        <v>0</v>
      </c>
    </row>
    <row r="91" spans="1:6" ht="12.5">
      <c r="A91" s="5">
        <v>101</v>
      </c>
      <c r="B91" s="5" t="s">
        <v>23049</v>
      </c>
      <c r="C91" s="5">
        <v>150000</v>
      </c>
      <c r="D91" s="37" t="s">
        <v>23050</v>
      </c>
      <c r="E91" s="5" t="s">
        <v>23042</v>
      </c>
      <c r="F91" s="5" t="b">
        <v>0</v>
      </c>
    </row>
    <row r="92" spans="1:6" ht="12.5">
      <c r="A92" s="5">
        <v>103</v>
      </c>
      <c r="B92" s="5" t="s">
        <v>23051</v>
      </c>
      <c r="C92" s="5">
        <v>150000</v>
      </c>
      <c r="D92" s="37" t="s">
        <v>23052</v>
      </c>
      <c r="E92" s="5" t="s">
        <v>23042</v>
      </c>
      <c r="F92" s="5" t="b">
        <v>0</v>
      </c>
    </row>
    <row r="93" spans="1:6" ht="15" customHeight="1">
      <c r="A93" s="5">
        <v>102</v>
      </c>
      <c r="B93" s="5" t="s">
        <v>23053</v>
      </c>
      <c r="C93" s="5">
        <v>150000</v>
      </c>
      <c r="D93" s="37" t="s">
        <v>23054</v>
      </c>
      <c r="E93" s="5" t="s">
        <v>23042</v>
      </c>
      <c r="F93" s="5" t="b">
        <v>0</v>
      </c>
    </row>
    <row r="94" spans="1:6" ht="15" customHeight="1">
      <c r="A94" s="5">
        <v>106</v>
      </c>
      <c r="B94" s="5" t="s">
        <v>23055</v>
      </c>
      <c r="C94" s="5">
        <v>80000</v>
      </c>
      <c r="D94" s="37" t="s">
        <v>23056</v>
      </c>
      <c r="E94" s="5" t="s">
        <v>23042</v>
      </c>
      <c r="F94" s="5" t="b">
        <v>0</v>
      </c>
    </row>
    <row r="95" spans="1:6" ht="14.5">
      <c r="A95" s="40">
        <v>80</v>
      </c>
      <c r="B95" s="5" t="s">
        <v>23057</v>
      </c>
      <c r="C95" s="34">
        <v>25000</v>
      </c>
      <c r="D95" s="35" t="s">
        <v>23058</v>
      </c>
      <c r="E95" s="5" t="s">
        <v>23059</v>
      </c>
      <c r="F95" s="5" t="b">
        <v>1</v>
      </c>
    </row>
    <row r="96" spans="1:6" ht="14.5">
      <c r="A96" s="40">
        <v>81</v>
      </c>
      <c r="B96" s="5" t="s">
        <v>23060</v>
      </c>
      <c r="C96" s="34">
        <v>50000</v>
      </c>
      <c r="D96" s="33" t="s">
        <v>23061</v>
      </c>
      <c r="E96" s="5" t="s">
        <v>23059</v>
      </c>
      <c r="F96" s="5" t="b">
        <v>1</v>
      </c>
    </row>
    <row r="97" spans="1:6" ht="14.5">
      <c r="A97" s="40">
        <v>82</v>
      </c>
      <c r="B97" s="5" t="s">
        <v>23062</v>
      </c>
      <c r="C97" s="34">
        <v>70000</v>
      </c>
      <c r="D97" s="33" t="s">
        <v>23063</v>
      </c>
      <c r="E97" s="5" t="s">
        <v>23059</v>
      </c>
      <c r="F97" s="5" t="b">
        <v>1</v>
      </c>
    </row>
    <row r="98" spans="1:6" ht="14.5">
      <c r="A98" s="40">
        <v>83</v>
      </c>
      <c r="B98" s="5" t="s">
        <v>23064</v>
      </c>
      <c r="C98" s="34">
        <v>40000</v>
      </c>
      <c r="D98" s="33" t="s">
        <v>23065</v>
      </c>
      <c r="E98" s="5" t="s">
        <v>23059</v>
      </c>
      <c r="F98" s="5" t="b">
        <v>1</v>
      </c>
    </row>
    <row r="99" spans="1:6" ht="14.5">
      <c r="A99" s="40">
        <v>84</v>
      </c>
      <c r="B99" s="5" t="s">
        <v>23066</v>
      </c>
      <c r="C99" s="34">
        <v>65000</v>
      </c>
      <c r="D99" s="33" t="s">
        <v>23067</v>
      </c>
      <c r="E99" s="5" t="s">
        <v>23059</v>
      </c>
      <c r="F99" s="5" t="b">
        <v>1</v>
      </c>
    </row>
    <row r="100" spans="1:6" ht="14.5">
      <c r="A100" s="40">
        <v>85</v>
      </c>
      <c r="B100" s="5" t="s">
        <v>23068</v>
      </c>
      <c r="C100" s="34">
        <v>65000</v>
      </c>
      <c r="D100" s="35" t="s">
        <v>23069</v>
      </c>
      <c r="E100" s="5" t="s">
        <v>23059</v>
      </c>
      <c r="F100" s="5" t="b">
        <v>1</v>
      </c>
    </row>
    <row r="101" spans="1:6" ht="14.5">
      <c r="A101" s="40">
        <v>86</v>
      </c>
      <c r="B101" s="5" t="s">
        <v>23070</v>
      </c>
      <c r="C101" s="34">
        <v>20000</v>
      </c>
      <c r="D101" s="35" t="s">
        <v>23071</v>
      </c>
      <c r="E101" s="5" t="s">
        <v>23059</v>
      </c>
      <c r="F101" s="5" t="b">
        <v>1</v>
      </c>
    </row>
    <row r="102" spans="1:6" ht="14.5">
      <c r="A102" s="40">
        <v>87</v>
      </c>
      <c r="B102" s="5" t="s">
        <v>23072</v>
      </c>
      <c r="C102" s="34">
        <v>20000</v>
      </c>
      <c r="D102" s="35" t="s">
        <v>23073</v>
      </c>
      <c r="E102" s="5" t="s">
        <v>23059</v>
      </c>
      <c r="F102" s="5" t="b">
        <v>1</v>
      </c>
    </row>
    <row r="103" spans="1:6" ht="14.5">
      <c r="A103" s="40">
        <v>88</v>
      </c>
      <c r="B103" s="5" t="s">
        <v>23074</v>
      </c>
      <c r="C103" s="34">
        <v>20000</v>
      </c>
      <c r="D103" s="35" t="s">
        <v>23075</v>
      </c>
      <c r="E103" s="5" t="s">
        <v>23059</v>
      </c>
      <c r="F103" s="5" t="b">
        <v>1</v>
      </c>
    </row>
    <row r="104" spans="1:6" ht="14.5">
      <c r="A104" s="40">
        <v>89</v>
      </c>
      <c r="B104" s="5" t="s">
        <v>23076</v>
      </c>
      <c r="C104" s="34">
        <v>20000</v>
      </c>
      <c r="D104" s="35" t="s">
        <v>23077</v>
      </c>
      <c r="E104" s="5" t="s">
        <v>23059</v>
      </c>
      <c r="F104" s="5" t="b">
        <v>1</v>
      </c>
    </row>
    <row r="105" spans="1:6" ht="14.5">
      <c r="A105" s="40">
        <v>90</v>
      </c>
      <c r="B105" s="5" t="s">
        <v>23078</v>
      </c>
      <c r="C105" s="34">
        <v>20000</v>
      </c>
      <c r="D105" s="37" t="s">
        <v>23079</v>
      </c>
      <c r="E105" s="5" t="s">
        <v>23059</v>
      </c>
      <c r="F105" s="5" t="b">
        <v>1</v>
      </c>
    </row>
    <row r="106" spans="1:6" ht="14.5">
      <c r="A106" s="40">
        <v>91</v>
      </c>
      <c r="B106" s="5" t="s">
        <v>23080</v>
      </c>
      <c r="C106" s="34">
        <v>20000</v>
      </c>
      <c r="D106" s="37" t="s">
        <v>23081</v>
      </c>
      <c r="E106" s="5" t="s">
        <v>23059</v>
      </c>
      <c r="F106" s="5" t="b">
        <v>1</v>
      </c>
    </row>
    <row r="107" spans="1:6" ht="14.5">
      <c r="A107" s="40">
        <v>92</v>
      </c>
      <c r="B107" s="5" t="s">
        <v>23082</v>
      </c>
      <c r="C107" s="34">
        <v>20000</v>
      </c>
      <c r="D107" s="38" t="s">
        <v>23083</v>
      </c>
      <c r="E107" s="5" t="s">
        <v>23059</v>
      </c>
      <c r="F107" s="5" t="b">
        <v>1</v>
      </c>
    </row>
    <row r="108" spans="1:6" ht="14.5">
      <c r="A108" s="40">
        <v>93</v>
      </c>
      <c r="B108" s="5" t="s">
        <v>23084</v>
      </c>
      <c r="C108" s="34">
        <v>20000</v>
      </c>
      <c r="D108" s="37" t="s">
        <v>23085</v>
      </c>
      <c r="E108" s="5" t="s">
        <v>23059</v>
      </c>
      <c r="F108" s="5" t="b">
        <v>1</v>
      </c>
    </row>
    <row r="109" spans="1:6" ht="14.5">
      <c r="A109" s="40">
        <v>94</v>
      </c>
      <c r="B109" s="5" t="s">
        <v>23086</v>
      </c>
      <c r="C109" s="34">
        <v>40000</v>
      </c>
      <c r="D109" s="37" t="s">
        <v>23087</v>
      </c>
      <c r="E109" s="5" t="s">
        <v>23059</v>
      </c>
      <c r="F109" s="5" t="b">
        <v>1</v>
      </c>
    </row>
  </sheetData>
  <autoFilter ref="A1:E109" xr:uid="{00000000-0009-0000-0000-000006000000}"/>
  <hyperlinks>
    <hyperlink ref="D3" r:id="rId1" xr:uid="{00000000-0004-0000-0600-000000000000}"/>
    <hyperlink ref="D4" r:id="rId2" xr:uid="{00000000-0004-0000-0600-000001000000}"/>
    <hyperlink ref="D5" r:id="rId3" xr:uid="{00000000-0004-0000-0600-000002000000}"/>
    <hyperlink ref="D6" r:id="rId4" xr:uid="{00000000-0004-0000-0600-000003000000}"/>
    <hyperlink ref="D7" r:id="rId5" xr:uid="{00000000-0004-0000-0600-000004000000}"/>
    <hyperlink ref="D8" r:id="rId6" xr:uid="{00000000-0004-0000-0600-000005000000}"/>
    <hyperlink ref="D9" r:id="rId7" xr:uid="{00000000-0004-0000-0600-000006000000}"/>
    <hyperlink ref="D10" r:id="rId8" xr:uid="{00000000-0004-0000-0600-000007000000}"/>
    <hyperlink ref="D11" r:id="rId9" xr:uid="{00000000-0004-0000-0600-000008000000}"/>
    <hyperlink ref="D12" r:id="rId10" xr:uid="{00000000-0004-0000-0600-000009000000}"/>
    <hyperlink ref="D13" r:id="rId11" xr:uid="{00000000-0004-0000-0600-00000A000000}"/>
    <hyperlink ref="D14" r:id="rId12" xr:uid="{00000000-0004-0000-0600-00000B000000}"/>
    <hyperlink ref="D15" r:id="rId13" xr:uid="{00000000-0004-0000-0600-00000C000000}"/>
    <hyperlink ref="D16" r:id="rId14" xr:uid="{00000000-0004-0000-0600-00000D000000}"/>
    <hyperlink ref="D17" r:id="rId15" xr:uid="{00000000-0004-0000-0600-00000E000000}"/>
    <hyperlink ref="D18" r:id="rId16" xr:uid="{00000000-0004-0000-0600-00000F000000}"/>
    <hyperlink ref="D19" r:id="rId17" xr:uid="{00000000-0004-0000-0600-000010000000}"/>
    <hyperlink ref="D20" r:id="rId18" xr:uid="{00000000-0004-0000-0600-000011000000}"/>
    <hyperlink ref="D21" r:id="rId19" xr:uid="{00000000-0004-0000-0600-000012000000}"/>
    <hyperlink ref="D22" r:id="rId20" xr:uid="{00000000-0004-0000-0600-000013000000}"/>
    <hyperlink ref="D23" r:id="rId21" xr:uid="{00000000-0004-0000-0600-000014000000}"/>
    <hyperlink ref="D24" r:id="rId22" xr:uid="{00000000-0004-0000-0600-000015000000}"/>
    <hyperlink ref="D25" r:id="rId23" xr:uid="{00000000-0004-0000-0600-000016000000}"/>
    <hyperlink ref="D26" r:id="rId24" xr:uid="{00000000-0004-0000-0600-000017000000}"/>
    <hyperlink ref="D27" r:id="rId25" xr:uid="{00000000-0004-0000-0600-000018000000}"/>
    <hyperlink ref="D28" r:id="rId26" xr:uid="{00000000-0004-0000-0600-000019000000}"/>
    <hyperlink ref="D29" r:id="rId27" xr:uid="{00000000-0004-0000-0600-00001A000000}"/>
    <hyperlink ref="D30" r:id="rId28" xr:uid="{00000000-0004-0000-0600-00001B000000}"/>
    <hyperlink ref="D31" r:id="rId29" xr:uid="{00000000-0004-0000-0600-00001C000000}"/>
    <hyperlink ref="D32" r:id="rId30" xr:uid="{00000000-0004-0000-0600-00001D000000}"/>
    <hyperlink ref="D33" r:id="rId31" xr:uid="{00000000-0004-0000-0600-00001E000000}"/>
    <hyperlink ref="D34" r:id="rId32" xr:uid="{00000000-0004-0000-0600-00001F000000}"/>
    <hyperlink ref="D35" r:id="rId33" xr:uid="{00000000-0004-0000-0600-000020000000}"/>
    <hyperlink ref="D36" r:id="rId34" xr:uid="{00000000-0004-0000-0600-000021000000}"/>
    <hyperlink ref="D37" r:id="rId35" xr:uid="{00000000-0004-0000-0600-000022000000}"/>
    <hyperlink ref="D38" r:id="rId36" xr:uid="{00000000-0004-0000-0600-000023000000}"/>
    <hyperlink ref="D39" r:id="rId37" xr:uid="{00000000-0004-0000-0600-000024000000}"/>
    <hyperlink ref="D40" r:id="rId38" xr:uid="{00000000-0004-0000-0600-000025000000}"/>
    <hyperlink ref="D41" r:id="rId39" xr:uid="{00000000-0004-0000-0600-000026000000}"/>
    <hyperlink ref="D42" r:id="rId40" xr:uid="{00000000-0004-0000-0600-000027000000}"/>
    <hyperlink ref="D43" r:id="rId41" xr:uid="{00000000-0004-0000-0600-000028000000}"/>
    <hyperlink ref="D44" r:id="rId42" xr:uid="{00000000-0004-0000-0600-000029000000}"/>
    <hyperlink ref="D45" r:id="rId43" xr:uid="{00000000-0004-0000-0600-00002A000000}"/>
    <hyperlink ref="D46" r:id="rId44" xr:uid="{00000000-0004-0000-0600-00002B000000}"/>
    <hyperlink ref="D47" r:id="rId45" xr:uid="{00000000-0004-0000-0600-00002C000000}"/>
    <hyperlink ref="D48" r:id="rId46" xr:uid="{00000000-0004-0000-0600-00002D000000}"/>
    <hyperlink ref="D49" r:id="rId47" xr:uid="{00000000-0004-0000-0600-00002E000000}"/>
    <hyperlink ref="D50" r:id="rId48" xr:uid="{00000000-0004-0000-0600-00002F000000}"/>
    <hyperlink ref="D51" r:id="rId49" xr:uid="{00000000-0004-0000-0600-000030000000}"/>
    <hyperlink ref="D52" r:id="rId50" xr:uid="{00000000-0004-0000-0600-000031000000}"/>
    <hyperlink ref="D53" r:id="rId51" xr:uid="{00000000-0004-0000-0600-000032000000}"/>
    <hyperlink ref="D54" r:id="rId52" xr:uid="{00000000-0004-0000-0600-000033000000}"/>
    <hyperlink ref="D55" r:id="rId53" xr:uid="{00000000-0004-0000-0600-000034000000}"/>
    <hyperlink ref="D56" r:id="rId54" xr:uid="{00000000-0004-0000-0600-000035000000}"/>
    <hyperlink ref="D57" r:id="rId55" xr:uid="{00000000-0004-0000-0600-000036000000}"/>
    <hyperlink ref="D58" r:id="rId56" xr:uid="{00000000-0004-0000-0600-000037000000}"/>
    <hyperlink ref="D59" r:id="rId57" xr:uid="{00000000-0004-0000-0600-000038000000}"/>
    <hyperlink ref="D60" r:id="rId58" xr:uid="{00000000-0004-0000-0600-000039000000}"/>
    <hyperlink ref="D61" r:id="rId59" xr:uid="{00000000-0004-0000-0600-00003A000000}"/>
    <hyperlink ref="D62" r:id="rId60" xr:uid="{00000000-0004-0000-0600-00003B000000}"/>
    <hyperlink ref="D63" r:id="rId61" xr:uid="{00000000-0004-0000-0600-00003C000000}"/>
    <hyperlink ref="D64" r:id="rId62" xr:uid="{00000000-0004-0000-0600-00003D000000}"/>
    <hyperlink ref="D65" r:id="rId63" xr:uid="{00000000-0004-0000-0600-00003E000000}"/>
    <hyperlink ref="D66" r:id="rId64" xr:uid="{00000000-0004-0000-0600-00003F000000}"/>
    <hyperlink ref="D67" r:id="rId65" xr:uid="{00000000-0004-0000-0600-000040000000}"/>
    <hyperlink ref="D68" r:id="rId66" xr:uid="{00000000-0004-0000-0600-000041000000}"/>
    <hyperlink ref="D69" r:id="rId67" xr:uid="{00000000-0004-0000-0600-000042000000}"/>
    <hyperlink ref="D70" r:id="rId68" xr:uid="{00000000-0004-0000-0600-000043000000}"/>
    <hyperlink ref="D71" r:id="rId69" xr:uid="{00000000-0004-0000-0600-000044000000}"/>
    <hyperlink ref="D72" r:id="rId70" xr:uid="{00000000-0004-0000-0600-000045000000}"/>
    <hyperlink ref="D73" r:id="rId71" xr:uid="{00000000-0004-0000-0600-000046000000}"/>
    <hyperlink ref="D74" r:id="rId72" xr:uid="{00000000-0004-0000-0600-000047000000}"/>
    <hyperlink ref="D75" r:id="rId73" xr:uid="{00000000-0004-0000-0600-000048000000}"/>
    <hyperlink ref="D76" r:id="rId74" xr:uid="{00000000-0004-0000-0600-000049000000}"/>
    <hyperlink ref="D77" r:id="rId75" xr:uid="{00000000-0004-0000-0600-00004A000000}"/>
    <hyperlink ref="D78" r:id="rId76" xr:uid="{00000000-0004-0000-0600-00004B000000}"/>
    <hyperlink ref="D79" r:id="rId77" xr:uid="{00000000-0004-0000-0600-00004C000000}"/>
    <hyperlink ref="D80" r:id="rId78" xr:uid="{00000000-0004-0000-0600-00004D000000}"/>
    <hyperlink ref="D81" r:id="rId79" xr:uid="{00000000-0004-0000-0600-00004E000000}"/>
    <hyperlink ref="D82" r:id="rId80" xr:uid="{00000000-0004-0000-0600-00004F000000}"/>
    <hyperlink ref="D83" r:id="rId81" xr:uid="{00000000-0004-0000-0600-000050000000}"/>
    <hyperlink ref="D84" r:id="rId82" xr:uid="{00000000-0004-0000-0600-000051000000}"/>
    <hyperlink ref="D85" r:id="rId83" xr:uid="{00000000-0004-0000-0600-000052000000}"/>
    <hyperlink ref="D86" r:id="rId84" xr:uid="{00000000-0004-0000-0600-000053000000}"/>
    <hyperlink ref="D87" r:id="rId85" xr:uid="{00000000-0004-0000-0600-000054000000}"/>
    <hyperlink ref="D88" r:id="rId86" xr:uid="{00000000-0004-0000-0600-000055000000}"/>
    <hyperlink ref="D89" r:id="rId87" xr:uid="{00000000-0004-0000-0600-000056000000}"/>
    <hyperlink ref="D90" r:id="rId88" xr:uid="{00000000-0004-0000-0600-000057000000}"/>
    <hyperlink ref="D91" r:id="rId89" xr:uid="{00000000-0004-0000-0600-000058000000}"/>
    <hyperlink ref="D92" r:id="rId90" xr:uid="{00000000-0004-0000-0600-000059000000}"/>
    <hyperlink ref="D93" r:id="rId91" xr:uid="{00000000-0004-0000-0600-00005A000000}"/>
    <hyperlink ref="D94" r:id="rId92" xr:uid="{00000000-0004-0000-0600-00005B000000}"/>
    <hyperlink ref="D95" r:id="rId93" xr:uid="{00000000-0004-0000-0600-00005C000000}"/>
    <hyperlink ref="D96" r:id="rId94" xr:uid="{00000000-0004-0000-0600-00005D000000}"/>
    <hyperlink ref="D97" r:id="rId95" xr:uid="{00000000-0004-0000-0600-00005E000000}"/>
    <hyperlink ref="D98" r:id="rId96" xr:uid="{00000000-0004-0000-0600-00005F000000}"/>
    <hyperlink ref="D99" r:id="rId97" xr:uid="{00000000-0004-0000-0600-000060000000}"/>
    <hyperlink ref="D100" r:id="rId98" xr:uid="{00000000-0004-0000-0600-000061000000}"/>
    <hyperlink ref="D101" r:id="rId99" xr:uid="{00000000-0004-0000-0600-000062000000}"/>
    <hyperlink ref="D102" r:id="rId100" xr:uid="{00000000-0004-0000-0600-000063000000}"/>
    <hyperlink ref="D103" r:id="rId101" xr:uid="{00000000-0004-0000-0600-000064000000}"/>
    <hyperlink ref="D104" r:id="rId102" xr:uid="{00000000-0004-0000-0600-000065000000}"/>
    <hyperlink ref="D105" r:id="rId103" xr:uid="{00000000-0004-0000-0600-000066000000}"/>
    <hyperlink ref="D106" r:id="rId104" xr:uid="{00000000-0004-0000-0600-000067000000}"/>
    <hyperlink ref="D107" r:id="rId105" xr:uid="{00000000-0004-0000-0600-000068000000}"/>
    <hyperlink ref="D108" r:id="rId106" xr:uid="{00000000-0004-0000-0600-000069000000}"/>
    <hyperlink ref="D109" r:id="rId107" xr:uid="{00000000-0004-0000-0600-00006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8"/>
  <sheetViews>
    <sheetView workbookViewId="0"/>
  </sheetViews>
  <sheetFormatPr baseColWidth="10" defaultColWidth="12.6328125" defaultRowHeight="15.75" customHeight="1"/>
  <cols>
    <col min="1" max="1" width="7.90625" customWidth="1"/>
    <col min="2" max="2" width="23.26953125" customWidth="1"/>
    <col min="3" max="3" width="9.08984375" customWidth="1"/>
    <col min="4" max="4" width="57.36328125" customWidth="1"/>
    <col min="5" max="5" width="13" customWidth="1"/>
  </cols>
  <sheetData>
    <row r="1" spans="1:8">
      <c r="A1" s="41" t="s">
        <v>22864</v>
      </c>
      <c r="B1" s="1" t="s">
        <v>22865</v>
      </c>
      <c r="C1" s="1" t="s">
        <v>22866</v>
      </c>
      <c r="D1" s="1" t="s">
        <v>22867</v>
      </c>
      <c r="E1" s="31" t="s">
        <v>23088</v>
      </c>
      <c r="F1" s="3" t="s">
        <v>23089</v>
      </c>
      <c r="G1" s="3" t="s">
        <v>23090</v>
      </c>
      <c r="H1" s="5" t="s">
        <v>23091</v>
      </c>
    </row>
    <row r="2" spans="1:8" ht="15.75" customHeight="1">
      <c r="A2" s="5">
        <v>54</v>
      </c>
      <c r="B2" s="42" t="s">
        <v>23092</v>
      </c>
      <c r="C2" s="43">
        <v>750000</v>
      </c>
      <c r="D2" s="35" t="s">
        <v>23093</v>
      </c>
      <c r="F2" s="44"/>
      <c r="G2" s="5">
        <v>54</v>
      </c>
      <c r="H2" s="5">
        <f t="array" aca="1" ref="H2" ca="1">IFERROR(_xludf.XLOOKUP(G2, CATALOGO_ARREGLOS!A:A, CATALOGO_ARREGLOS!F:F), 0)</f>
        <v>0</v>
      </c>
    </row>
    <row r="3" spans="1:8" ht="15.75" customHeight="1">
      <c r="A3" s="5">
        <v>55</v>
      </c>
      <c r="B3" s="42" t="s">
        <v>23094</v>
      </c>
      <c r="C3" s="43">
        <v>300000</v>
      </c>
      <c r="D3" s="35" t="s">
        <v>23095</v>
      </c>
      <c r="F3" s="44"/>
      <c r="G3" s="5">
        <v>55</v>
      </c>
      <c r="H3" s="5">
        <f t="array" aca="1" ref="H3" ca="1">IFERROR(_xludf.XLOOKUP(G3, CATALOGO_ARREGLOS!A:A, CATALOGO_ARREGLOS!F:F), 0)</f>
        <v>0</v>
      </c>
    </row>
    <row r="4" spans="1:8" ht="15.75" customHeight="1">
      <c r="A4" s="5">
        <v>56</v>
      </c>
      <c r="B4" s="42" t="s">
        <v>23096</v>
      </c>
      <c r="C4" s="43">
        <v>220000</v>
      </c>
      <c r="D4" s="35" t="s">
        <v>23097</v>
      </c>
      <c r="F4" s="44"/>
      <c r="G4" s="5">
        <v>56</v>
      </c>
      <c r="H4" s="5">
        <f t="array" aca="1" ref="H4" ca="1">IFERROR(_xludf.XLOOKUP(G4, CATALOGO_ARREGLOS!A:A, CATALOGO_ARREGLOS!F:F), 0)</f>
        <v>0</v>
      </c>
    </row>
    <row r="5" spans="1:8" ht="15.75" customHeight="1">
      <c r="A5" s="5">
        <v>57</v>
      </c>
      <c r="B5" s="42" t="s">
        <v>23098</v>
      </c>
      <c r="C5" s="43">
        <v>130000</v>
      </c>
      <c r="D5" s="35" t="s">
        <v>23099</v>
      </c>
      <c r="F5" s="44"/>
      <c r="G5" s="5">
        <v>57</v>
      </c>
      <c r="H5" s="5">
        <f t="array" aca="1" ref="H5" ca="1">IFERROR(_xludf.XLOOKUP(G5, CATALOGO_ARREGLOS!A:A, CATALOGO_ARREGLOS!F:F), 0)</f>
        <v>0</v>
      </c>
    </row>
    <row r="6" spans="1:8" ht="15.75" customHeight="1">
      <c r="A6" s="5">
        <v>58</v>
      </c>
      <c r="B6" s="42" t="s">
        <v>23100</v>
      </c>
      <c r="C6" s="43">
        <v>120000</v>
      </c>
      <c r="D6" s="35" t="s">
        <v>23101</v>
      </c>
      <c r="F6" s="44"/>
      <c r="G6" s="5">
        <v>58</v>
      </c>
      <c r="H6" s="5">
        <f t="array" aca="1" ref="H6" ca="1">IFERROR(_xludf.XLOOKUP(G6, CATALOGO_ARREGLOS!A:A, CATALOGO_ARREGLOS!F:F), 0)</f>
        <v>0</v>
      </c>
    </row>
    <row r="7" spans="1:8" ht="15.75" customHeight="1">
      <c r="A7" s="5">
        <v>48</v>
      </c>
      <c r="B7" s="45" t="s">
        <v>23102</v>
      </c>
      <c r="C7" s="43">
        <v>600000</v>
      </c>
      <c r="D7" s="35" t="s">
        <v>23103</v>
      </c>
      <c r="F7" s="44"/>
      <c r="G7" s="5">
        <v>48</v>
      </c>
      <c r="H7" s="5">
        <f t="array" aca="1" ref="H7" ca="1">IFERROR(_xludf.XLOOKUP(G7, CATALOGO_ARREGLOS!A:A, CATALOGO_ARREGLOS!F:F), 0)</f>
        <v>0</v>
      </c>
    </row>
    <row r="8" spans="1:8" ht="15.75" customHeight="1">
      <c r="A8" s="5">
        <v>49</v>
      </c>
      <c r="B8" s="45" t="s">
        <v>23104</v>
      </c>
      <c r="C8" s="43">
        <v>320000</v>
      </c>
      <c r="D8" s="35" t="s">
        <v>23105</v>
      </c>
      <c r="F8" s="44"/>
      <c r="G8" s="5">
        <v>49</v>
      </c>
      <c r="H8" s="5">
        <f t="array" aca="1" ref="H8" ca="1">IFERROR(_xludf.XLOOKUP(G8, CATALOGO_ARREGLOS!A:A, CATALOGO_ARREGLOS!F:F), 0)</f>
        <v>0</v>
      </c>
    </row>
    <row r="9" spans="1:8" ht="15.75" customHeight="1">
      <c r="A9" s="5">
        <v>50</v>
      </c>
      <c r="B9" s="45" t="s">
        <v>23106</v>
      </c>
      <c r="C9" s="43">
        <v>250000</v>
      </c>
      <c r="D9" s="35" t="s">
        <v>22977</v>
      </c>
      <c r="F9" s="44"/>
      <c r="G9" s="5">
        <v>50</v>
      </c>
      <c r="H9" s="5">
        <f t="array" aca="1" ref="H9" ca="1">IFERROR(_xludf.XLOOKUP(G9, CATALOGO_ARREGLOS!A:A, CATALOGO_ARREGLOS!F:F), 0)</f>
        <v>0</v>
      </c>
    </row>
    <row r="10" spans="1:8" ht="15.75" customHeight="1">
      <c r="A10" s="5">
        <v>51</v>
      </c>
      <c r="B10" s="45" t="s">
        <v>23107</v>
      </c>
      <c r="C10" s="43">
        <v>200000</v>
      </c>
      <c r="D10" s="35" t="s">
        <v>23108</v>
      </c>
      <c r="F10" s="44"/>
      <c r="G10" s="5">
        <v>51</v>
      </c>
      <c r="H10" s="5">
        <f t="array" aca="1" ref="H10" ca="1">IFERROR(_xludf.XLOOKUP(G10, CATALOGO_ARREGLOS!A:A, CATALOGO_ARREGLOS!F:F), 0)</f>
        <v>0</v>
      </c>
    </row>
    <row r="11" spans="1:8" ht="15.75" customHeight="1">
      <c r="A11" s="5">
        <v>52</v>
      </c>
      <c r="B11" s="45" t="s">
        <v>23109</v>
      </c>
      <c r="C11" s="43">
        <v>120000</v>
      </c>
      <c r="D11" s="35" t="s">
        <v>23110</v>
      </c>
      <c r="F11" s="44"/>
      <c r="G11" s="5">
        <v>52</v>
      </c>
      <c r="H11" s="5">
        <f t="array" aca="1" ref="H11" ca="1">IFERROR(_xludf.XLOOKUP(G11, CATALOGO_ARREGLOS!A:A, CATALOGO_ARREGLOS!F:F), 0)</f>
        <v>0</v>
      </c>
    </row>
    <row r="12" spans="1:8" ht="15.75" customHeight="1">
      <c r="A12" s="5">
        <v>53</v>
      </c>
      <c r="B12" s="45" t="s">
        <v>23111</v>
      </c>
      <c r="C12" s="43">
        <v>90000</v>
      </c>
      <c r="D12" s="35" t="s">
        <v>23112</v>
      </c>
      <c r="F12" s="44"/>
      <c r="G12" s="5">
        <v>53</v>
      </c>
      <c r="H12" s="5">
        <f t="array" aca="1" ref="H12" ca="1">IFERROR(_xludf.XLOOKUP(G12, CATALOGO_ARREGLOS!A:A, CATALOGO_ARREGLOS!F:F), 0)</f>
        <v>0</v>
      </c>
    </row>
    <row r="13" spans="1:8" ht="15.75" customHeight="1">
      <c r="A13" s="5">
        <v>37</v>
      </c>
      <c r="B13" s="45" t="s">
        <v>23113</v>
      </c>
      <c r="C13" s="43">
        <v>800000</v>
      </c>
      <c r="D13" s="35" t="s">
        <v>23114</v>
      </c>
      <c r="F13" s="44"/>
      <c r="G13" s="5">
        <v>37</v>
      </c>
      <c r="H13" s="5">
        <f t="array" aca="1" ref="H13" ca="1">IFERROR(_xludf.XLOOKUP(G13, CATALOGO_ARREGLOS!A:A, CATALOGO_ARREGLOS!F:F), 0)</f>
        <v>0</v>
      </c>
    </row>
    <row r="14" spans="1:8" ht="15.75" customHeight="1">
      <c r="A14" s="5">
        <v>38</v>
      </c>
      <c r="B14" s="45" t="s">
        <v>22951</v>
      </c>
      <c r="C14" s="43">
        <v>360000</v>
      </c>
      <c r="D14" s="35" t="s">
        <v>23115</v>
      </c>
      <c r="F14" s="44"/>
      <c r="G14" s="5">
        <v>38</v>
      </c>
      <c r="H14" s="5">
        <f t="array" aca="1" ref="H14" ca="1">IFERROR(_xludf.XLOOKUP(G14, CATALOGO_ARREGLOS!A:A, CATALOGO_ARREGLOS!F:F), 0)</f>
        <v>0</v>
      </c>
    </row>
    <row r="15" spans="1:8" ht="15.75" customHeight="1">
      <c r="A15" s="5">
        <v>96</v>
      </c>
      <c r="B15" s="45" t="s">
        <v>23116</v>
      </c>
      <c r="C15" s="46">
        <v>280000</v>
      </c>
      <c r="D15" s="35" t="s">
        <v>23117</v>
      </c>
      <c r="F15" s="44"/>
      <c r="G15" s="5">
        <v>96</v>
      </c>
      <c r="H15" s="5">
        <f t="array" aca="1" ref="H15" ca="1">IFERROR(_xludf.XLOOKUP(G15, CATALOGO_ARREGLOS!A:A, CATALOGO_ARREGLOS!F:F), 0)</f>
        <v>0</v>
      </c>
    </row>
    <row r="16" spans="1:8" ht="15.75" customHeight="1">
      <c r="A16" s="5">
        <v>67</v>
      </c>
      <c r="B16" s="45" t="s">
        <v>23118</v>
      </c>
      <c r="C16" s="43">
        <v>150000</v>
      </c>
      <c r="D16" s="35" t="s">
        <v>23119</v>
      </c>
      <c r="F16" s="44"/>
      <c r="G16" s="5">
        <v>67</v>
      </c>
      <c r="H16" s="5">
        <f t="array" aca="1" ref="H16" ca="1">IFERROR(_xludf.XLOOKUP(G16, CATALOGO_ARREGLOS!A:A, CATALOGO_ARREGLOS!F:F), 0)</f>
        <v>0</v>
      </c>
    </row>
    <row r="17" spans="1:8" ht="15.75" customHeight="1">
      <c r="A17" s="5">
        <v>98</v>
      </c>
      <c r="B17" s="45" t="s">
        <v>23120</v>
      </c>
      <c r="C17" s="43">
        <v>250000</v>
      </c>
      <c r="D17" s="35" t="s">
        <v>23121</v>
      </c>
      <c r="F17" s="44"/>
      <c r="G17" s="5">
        <v>98</v>
      </c>
      <c r="H17" s="5">
        <f t="array" aca="1" ref="H17" ca="1">IFERROR(_xludf.XLOOKUP(G17, CATALOGO_ARREGLOS!A:A, CATALOGO_ARREGLOS!F:F), 0)</f>
        <v>0</v>
      </c>
    </row>
    <row r="18" spans="1:8" ht="15.75" customHeight="1">
      <c r="A18" s="5">
        <v>99</v>
      </c>
      <c r="B18" s="45" t="s">
        <v>23122</v>
      </c>
      <c r="C18" s="43">
        <v>220000</v>
      </c>
      <c r="D18" s="35" t="s">
        <v>23123</v>
      </c>
      <c r="F18" s="44"/>
      <c r="G18" s="5">
        <v>99</v>
      </c>
      <c r="H18" s="5">
        <f t="array" aca="1" ref="H18" ca="1">IFERROR(_xludf.XLOOKUP(G18, CATALOGO_ARREGLOS!A:A, CATALOGO_ARREGLOS!F:F), 0)</f>
        <v>0</v>
      </c>
    </row>
    <row r="19" spans="1:8" ht="15.75" customHeight="1">
      <c r="A19" s="5">
        <v>100</v>
      </c>
      <c r="B19" s="45" t="s">
        <v>23124</v>
      </c>
      <c r="C19" s="46">
        <v>180000</v>
      </c>
      <c r="D19" s="35" t="s">
        <v>23125</v>
      </c>
      <c r="F19" s="44"/>
      <c r="G19" s="5">
        <v>100</v>
      </c>
      <c r="H19" s="5">
        <f t="array" aca="1" ref="H19" ca="1">IFERROR(_xludf.XLOOKUP(G19, CATALOGO_ARREGLOS!A:A, CATALOGO_ARREGLOS!F:F), 0)</f>
        <v>0</v>
      </c>
    </row>
    <row r="20" spans="1:8" ht="15.75" customHeight="1">
      <c r="A20" s="5">
        <v>23</v>
      </c>
      <c r="B20" s="45" t="s">
        <v>22920</v>
      </c>
      <c r="C20" s="43">
        <v>220000</v>
      </c>
      <c r="D20" s="35" t="s">
        <v>23126</v>
      </c>
      <c r="F20" s="44"/>
      <c r="G20" s="5">
        <v>23</v>
      </c>
      <c r="H20" s="5">
        <f t="array" aca="1" ref="H20" ca="1">IFERROR(_xludf.XLOOKUP(G20, CATALOGO_ARREGLOS!A:A, CATALOGO_ARREGLOS!F:F), 0)</f>
        <v>0</v>
      </c>
    </row>
    <row r="21" spans="1:8" ht="15.75" customHeight="1">
      <c r="A21" s="5">
        <v>102</v>
      </c>
      <c r="B21" s="45" t="s">
        <v>23127</v>
      </c>
      <c r="C21" s="43">
        <v>190000</v>
      </c>
      <c r="D21" s="35" t="s">
        <v>23128</v>
      </c>
      <c r="F21" s="44"/>
      <c r="G21" s="5">
        <v>102</v>
      </c>
      <c r="H21" s="5">
        <f t="array" aca="1" ref="H21" ca="1">IFERROR(_xludf.XLOOKUP(G21, CATALOGO_ARREGLOS!A:A, CATALOGO_ARREGLOS!F:F), 0)</f>
        <v>0</v>
      </c>
    </row>
    <row r="22" spans="1:8" ht="14.5">
      <c r="A22" s="5">
        <v>103</v>
      </c>
      <c r="B22" s="45" t="s">
        <v>23129</v>
      </c>
      <c r="C22" s="46">
        <v>200000</v>
      </c>
      <c r="D22" s="35" t="s">
        <v>23130</v>
      </c>
      <c r="F22" s="44"/>
      <c r="G22" s="5">
        <v>103</v>
      </c>
      <c r="H22" s="5">
        <f t="array" aca="1" ref="H22" ca="1">IFERROR(_xludf.XLOOKUP(G22, CATALOGO_ARREGLOS!A:A, CATALOGO_ARREGLOS!F:F), 0)</f>
        <v>0</v>
      </c>
    </row>
    <row r="23" spans="1:8" ht="14.5">
      <c r="A23" s="5">
        <v>29</v>
      </c>
      <c r="B23" s="45" t="s">
        <v>22933</v>
      </c>
      <c r="C23" s="43">
        <v>90000</v>
      </c>
      <c r="D23" s="35" t="s">
        <v>23131</v>
      </c>
      <c r="F23" s="44"/>
      <c r="G23" s="5">
        <v>29</v>
      </c>
      <c r="H23" s="5">
        <f t="array" aca="1" ref="H23" ca="1">IFERROR(_xludf.XLOOKUP(G23, CATALOGO_ARREGLOS!A:A, CATALOGO_ARREGLOS!F:F), 0)</f>
        <v>0</v>
      </c>
    </row>
    <row r="24" spans="1:8" ht="14.5">
      <c r="A24" s="5">
        <v>104</v>
      </c>
      <c r="B24" s="45" t="s">
        <v>23132</v>
      </c>
      <c r="C24" s="43">
        <v>95000</v>
      </c>
      <c r="D24" s="35" t="s">
        <v>23133</v>
      </c>
      <c r="F24" s="44"/>
      <c r="G24" s="5">
        <v>104</v>
      </c>
      <c r="H24" s="5">
        <f t="array" aca="1" ref="H24" ca="1">IFERROR(_xludf.XLOOKUP(G24, CATALOGO_ARREGLOS!A:A, CATALOGO_ARREGLOS!F:F), 0)</f>
        <v>0</v>
      </c>
    </row>
    <row r="25" spans="1:8" ht="14.5">
      <c r="A25" s="5">
        <v>28</v>
      </c>
      <c r="B25" s="45" t="s">
        <v>23134</v>
      </c>
      <c r="C25" s="43">
        <v>65000</v>
      </c>
      <c r="D25" s="35" t="s">
        <v>23135</v>
      </c>
      <c r="F25" s="44"/>
      <c r="G25" s="5">
        <v>28</v>
      </c>
      <c r="H25" s="5">
        <f t="array" aca="1" ref="H25" ca="1">IFERROR(_xludf.XLOOKUP(G25, CATALOGO_ARREGLOS!A:A, CATALOGO_ARREGLOS!F:F), 0)</f>
        <v>0</v>
      </c>
    </row>
    <row r="26" spans="1:8" ht="14.5">
      <c r="A26" s="5">
        <v>80</v>
      </c>
      <c r="B26" s="47" t="s">
        <v>23057</v>
      </c>
      <c r="C26" s="48">
        <v>25000</v>
      </c>
      <c r="D26" s="35" t="s">
        <v>23136</v>
      </c>
      <c r="F26" s="44"/>
      <c r="G26" s="5">
        <v>80</v>
      </c>
      <c r="H26" s="5">
        <f t="array" aca="1" ref="H26" ca="1">IFERROR(_xludf.XLOOKUP(G26, CATALOGO_ARREGLOS!A:A, CATALOGO_ARREGLOS!F:F), 0)</f>
        <v>0</v>
      </c>
    </row>
    <row r="27" spans="1:8" ht="14.5">
      <c r="A27" s="5">
        <v>81</v>
      </c>
      <c r="B27" s="47" t="s">
        <v>23060</v>
      </c>
      <c r="C27" s="48">
        <v>50000</v>
      </c>
      <c r="D27" s="33" t="s">
        <v>23137</v>
      </c>
      <c r="F27" s="44"/>
      <c r="G27" s="5">
        <v>81</v>
      </c>
      <c r="H27" s="5">
        <f t="array" aca="1" ref="H27" ca="1">IFERROR(_xludf.XLOOKUP(G27, CATALOGO_ARREGLOS!A:A, CATALOGO_ARREGLOS!F:F), 0)</f>
        <v>0</v>
      </c>
    </row>
    <row r="28" spans="1:8" ht="14.5">
      <c r="A28" s="5">
        <v>82</v>
      </c>
      <c r="B28" s="47" t="s">
        <v>23062</v>
      </c>
      <c r="C28" s="48">
        <v>70000</v>
      </c>
      <c r="D28" s="33" t="s">
        <v>23138</v>
      </c>
      <c r="F28" s="44"/>
      <c r="G28" s="5">
        <v>82</v>
      </c>
      <c r="H28" s="5">
        <f t="array" aca="1" ref="H28" ca="1">IFERROR(_xludf.XLOOKUP(G28, CATALOGO_ARREGLOS!A:A, CATALOGO_ARREGLOS!F:F), 0)</f>
        <v>0</v>
      </c>
    </row>
    <row r="29" spans="1:8" ht="14.5">
      <c r="A29" s="5">
        <v>83</v>
      </c>
      <c r="B29" s="47" t="s">
        <v>23139</v>
      </c>
      <c r="C29" s="48">
        <v>40000</v>
      </c>
      <c r="D29" s="33" t="s">
        <v>23140</v>
      </c>
      <c r="F29" s="44"/>
      <c r="G29" s="5">
        <v>83</v>
      </c>
      <c r="H29" s="5">
        <f t="array" aca="1" ref="H29" ca="1">IFERROR(_xludf.XLOOKUP(G29, CATALOGO_ARREGLOS!A:A, CATALOGO_ARREGLOS!F:F), 0)</f>
        <v>0</v>
      </c>
    </row>
    <row r="30" spans="1:8" ht="14.5">
      <c r="A30" s="5">
        <v>84</v>
      </c>
      <c r="B30" s="47" t="s">
        <v>23066</v>
      </c>
      <c r="C30" s="48">
        <v>65000</v>
      </c>
      <c r="D30" s="33" t="s">
        <v>23141</v>
      </c>
      <c r="F30" s="44"/>
      <c r="G30" s="5">
        <v>84</v>
      </c>
      <c r="H30" s="5">
        <f t="array" aca="1" ref="H30" ca="1">IFERROR(_xludf.XLOOKUP(G30, CATALOGO_ARREGLOS!A:A, CATALOGO_ARREGLOS!F:F), 0)</f>
        <v>0</v>
      </c>
    </row>
    <row r="31" spans="1:8" ht="14.5">
      <c r="A31" s="5">
        <v>85</v>
      </c>
      <c r="B31" s="47" t="s">
        <v>23068</v>
      </c>
      <c r="C31" s="48">
        <v>65000</v>
      </c>
      <c r="D31" s="35" t="s">
        <v>23142</v>
      </c>
      <c r="F31" s="44"/>
      <c r="G31" s="5">
        <v>85</v>
      </c>
      <c r="H31" s="5">
        <f t="array" aca="1" ref="H31" ca="1">IFERROR(_xludf.XLOOKUP(G31, CATALOGO_ARREGLOS!A:A, CATALOGO_ARREGLOS!F:F), 0)</f>
        <v>0</v>
      </c>
    </row>
    <row r="32" spans="1:8" ht="14.5">
      <c r="A32" s="5">
        <v>86</v>
      </c>
      <c r="B32" s="47" t="s">
        <v>23070</v>
      </c>
      <c r="C32" s="48">
        <v>30000</v>
      </c>
      <c r="D32" s="35" t="s">
        <v>23143</v>
      </c>
      <c r="F32" s="44"/>
      <c r="G32" s="5">
        <v>86</v>
      </c>
      <c r="H32" s="5">
        <f t="array" aca="1" ref="H32" ca="1">IFERROR(_xludf.XLOOKUP(G32, CATALOGO_ARREGLOS!A:A, CATALOGO_ARREGLOS!F:F), 0)</f>
        <v>0</v>
      </c>
    </row>
    <row r="33" spans="1:8" ht="14.5">
      <c r="A33" s="5">
        <v>87</v>
      </c>
      <c r="B33" s="47" t="s">
        <v>23072</v>
      </c>
      <c r="C33" s="48">
        <v>30000</v>
      </c>
      <c r="D33" s="35" t="s">
        <v>23144</v>
      </c>
      <c r="F33" s="44"/>
      <c r="G33" s="5">
        <v>87</v>
      </c>
      <c r="H33" s="5">
        <f t="array" aca="1" ref="H33" ca="1">IFERROR(_xludf.XLOOKUP(G33, CATALOGO_ARREGLOS!A:A, CATALOGO_ARREGLOS!F:F), 0)</f>
        <v>0</v>
      </c>
    </row>
    <row r="34" spans="1:8" ht="14.5">
      <c r="A34" s="5">
        <v>94</v>
      </c>
      <c r="B34" s="5" t="s">
        <v>23086</v>
      </c>
      <c r="C34" s="48">
        <v>40000</v>
      </c>
      <c r="D34" s="37" t="s">
        <v>23145</v>
      </c>
      <c r="F34" s="44"/>
      <c r="G34" s="5">
        <v>94</v>
      </c>
      <c r="H34" s="5">
        <f t="array" aca="1" ref="H34" ca="1">IFERROR(_xludf.XLOOKUP(G34, CATALOGO_ARREGLOS!A:A, CATALOGO_ARREGLOS!F:F), 0)</f>
        <v>0</v>
      </c>
    </row>
    <row r="35" spans="1:8" ht="14.5">
      <c r="A35" s="15"/>
      <c r="C35" s="34"/>
      <c r="F35" s="44"/>
    </row>
    <row r="36" spans="1:8" ht="14.5">
      <c r="A36" s="15"/>
      <c r="C36" s="34"/>
      <c r="F36" s="44"/>
    </row>
    <row r="37" spans="1:8" ht="14.5">
      <c r="A37" s="15"/>
      <c r="C37" s="34"/>
      <c r="F37" s="44"/>
    </row>
    <row r="38" spans="1:8" ht="14.5">
      <c r="A38" s="15"/>
      <c r="C38" s="34"/>
      <c r="F38" s="44"/>
    </row>
    <row r="39" spans="1:8" ht="14.5">
      <c r="A39" s="15"/>
      <c r="C39" s="34"/>
      <c r="F39" s="44"/>
    </row>
    <row r="40" spans="1:8" ht="14.5">
      <c r="A40" s="15"/>
      <c r="C40" s="34"/>
      <c r="F40" s="44"/>
    </row>
    <row r="41" spans="1:8" ht="14.5">
      <c r="A41" s="15"/>
      <c r="C41" s="34"/>
      <c r="F41" s="44"/>
    </row>
    <row r="42" spans="1:8" ht="14.5">
      <c r="A42" s="15"/>
      <c r="C42" s="34"/>
      <c r="F42" s="44"/>
    </row>
    <row r="43" spans="1:8" ht="14.5">
      <c r="A43" s="15"/>
      <c r="C43" s="34"/>
      <c r="D43" s="5"/>
      <c r="F43" s="44"/>
    </row>
    <row r="44" spans="1:8" ht="14.5">
      <c r="A44" s="15"/>
      <c r="C44" s="34"/>
      <c r="F44" s="44"/>
    </row>
    <row r="45" spans="1:8" ht="14.5">
      <c r="A45" s="15"/>
      <c r="C45" s="34"/>
      <c r="F45" s="44"/>
    </row>
    <row r="46" spans="1:8" ht="14.5">
      <c r="A46" s="15"/>
      <c r="C46" s="34"/>
      <c r="F46" s="44"/>
    </row>
    <row r="47" spans="1:8" ht="14.5">
      <c r="A47" s="15"/>
      <c r="C47" s="34"/>
      <c r="F47" s="44"/>
    </row>
    <row r="48" spans="1:8" ht="14.5">
      <c r="A48" s="15"/>
      <c r="C48" s="34"/>
      <c r="F48" s="44"/>
    </row>
    <row r="49" spans="1:6" ht="14.5">
      <c r="A49" s="15"/>
      <c r="C49" s="34"/>
      <c r="F49" s="44"/>
    </row>
    <row r="50" spans="1:6" ht="14.5">
      <c r="A50" s="15"/>
      <c r="C50" s="34"/>
      <c r="F50" s="44"/>
    </row>
    <row r="51" spans="1:6" ht="14.5">
      <c r="A51" s="15"/>
      <c r="C51" s="34"/>
      <c r="F51" s="44"/>
    </row>
    <row r="52" spans="1:6" ht="14.5">
      <c r="A52" s="15"/>
      <c r="C52" s="34"/>
      <c r="F52" s="44"/>
    </row>
    <row r="53" spans="1:6" ht="14.5">
      <c r="A53" s="15"/>
      <c r="C53" s="34"/>
      <c r="F53" s="44"/>
    </row>
    <row r="54" spans="1:6" ht="14.5">
      <c r="A54" s="15"/>
      <c r="C54" s="34"/>
      <c r="F54" s="44"/>
    </row>
    <row r="55" spans="1:6" ht="14.5">
      <c r="A55" s="15"/>
      <c r="C55" s="34"/>
      <c r="F55" s="44"/>
    </row>
    <row r="56" spans="1:6" ht="14.5">
      <c r="A56" s="15"/>
      <c r="C56" s="34"/>
      <c r="F56" s="44"/>
    </row>
    <row r="57" spans="1:6" ht="14.5">
      <c r="A57" s="15"/>
      <c r="C57" s="34"/>
      <c r="F57" s="44"/>
    </row>
    <row r="58" spans="1:6" ht="14.5">
      <c r="A58" s="15"/>
      <c r="C58" s="34"/>
      <c r="F58" s="44"/>
    </row>
    <row r="59" spans="1:6" ht="14.5">
      <c r="A59" s="15"/>
      <c r="C59" s="34"/>
      <c r="F59" s="44"/>
    </row>
    <row r="60" spans="1:6" ht="14.5">
      <c r="A60" s="15"/>
      <c r="C60" s="34"/>
      <c r="F60" s="44"/>
    </row>
    <row r="61" spans="1:6" ht="14.5">
      <c r="A61" s="15"/>
      <c r="C61" s="34"/>
      <c r="F61" s="44"/>
    </row>
    <row r="62" spans="1:6" ht="14.5">
      <c r="A62" s="15"/>
      <c r="C62" s="34"/>
      <c r="D62" s="5"/>
      <c r="F62" s="44"/>
    </row>
    <row r="63" spans="1:6" ht="14.5">
      <c r="A63" s="15"/>
      <c r="C63" s="34"/>
      <c r="F63" s="44"/>
    </row>
    <row r="64" spans="1:6" ht="14.5">
      <c r="A64" s="15"/>
      <c r="C64" s="34"/>
      <c r="F64" s="44"/>
    </row>
    <row r="65" spans="1:6" ht="14.5">
      <c r="A65" s="15"/>
      <c r="C65" s="34"/>
      <c r="F65" s="44"/>
    </row>
    <row r="66" spans="1:6" ht="14.5">
      <c r="A66" s="15"/>
      <c r="C66" s="34"/>
      <c r="F66" s="44"/>
    </row>
    <row r="67" spans="1:6" ht="14.5">
      <c r="A67" s="15"/>
      <c r="C67" s="34"/>
      <c r="F67" s="44"/>
    </row>
    <row r="68" spans="1:6" ht="14.5">
      <c r="A68" s="15"/>
      <c r="C68" s="34"/>
      <c r="F68" s="44"/>
    </row>
    <row r="69" spans="1:6" ht="14.5">
      <c r="A69" s="15"/>
      <c r="C69" s="34"/>
      <c r="F69" s="44"/>
    </row>
    <row r="70" spans="1:6" ht="14.5">
      <c r="A70" s="15"/>
      <c r="C70" s="34"/>
      <c r="F70" s="44"/>
    </row>
    <row r="71" spans="1:6" ht="14.5">
      <c r="A71" s="15"/>
      <c r="C71" s="34"/>
      <c r="F71" s="44"/>
    </row>
    <row r="72" spans="1:6" ht="14.5">
      <c r="A72" s="15"/>
      <c r="C72" s="34"/>
      <c r="F72" s="44"/>
    </row>
    <row r="73" spans="1:6" ht="14.5">
      <c r="A73" s="15"/>
      <c r="C73" s="34"/>
      <c r="F73" s="44"/>
    </row>
    <row r="74" spans="1:6" ht="14.5">
      <c r="A74" s="15"/>
      <c r="C74" s="34"/>
      <c r="F74" s="44"/>
    </row>
    <row r="75" spans="1:6" ht="14.5">
      <c r="A75" s="15"/>
      <c r="C75" s="34"/>
      <c r="F75" s="44"/>
    </row>
    <row r="76" spans="1:6" ht="14.5">
      <c r="A76" s="15"/>
      <c r="C76" s="34"/>
      <c r="F76" s="44"/>
    </row>
    <row r="77" spans="1:6" ht="14.5">
      <c r="A77" s="15"/>
      <c r="C77" s="34"/>
      <c r="F77" s="44"/>
    </row>
    <row r="78" spans="1:6" ht="14.5">
      <c r="A78" s="15"/>
      <c r="C78" s="34"/>
      <c r="F78" s="44"/>
    </row>
    <row r="79" spans="1:6" ht="14.5">
      <c r="A79" s="15"/>
      <c r="C79" s="34"/>
      <c r="F79" s="44"/>
    </row>
    <row r="80" spans="1:6" ht="14.5">
      <c r="A80" s="15"/>
      <c r="C80" s="34"/>
      <c r="F80" s="44"/>
    </row>
    <row r="81" spans="1:6" ht="14.5">
      <c r="A81" s="15"/>
      <c r="C81" s="34"/>
      <c r="F81" s="44"/>
    </row>
    <row r="82" spans="1:6" ht="14.5">
      <c r="A82" s="15"/>
      <c r="C82" s="34"/>
      <c r="F82" s="44"/>
    </row>
    <row r="83" spans="1:6" ht="14.5">
      <c r="A83" s="15"/>
      <c r="C83" s="34"/>
      <c r="F83" s="44"/>
    </row>
    <row r="84" spans="1:6" ht="14.5">
      <c r="C84" s="34"/>
      <c r="D84" s="16"/>
      <c r="F84" s="44"/>
    </row>
    <row r="85" spans="1:6" ht="14.5">
      <c r="C85" s="34"/>
      <c r="D85" s="33"/>
      <c r="F85" s="44"/>
    </row>
    <row r="86" spans="1:6" ht="14.5">
      <c r="C86" s="34"/>
      <c r="D86" s="33"/>
      <c r="F86" s="44"/>
    </row>
    <row r="87" spans="1:6" ht="14.5">
      <c r="C87" s="34"/>
      <c r="D87" s="33"/>
      <c r="F87" s="44"/>
    </row>
    <row r="88" spans="1:6" ht="14.5">
      <c r="C88" s="34"/>
      <c r="D88" s="33"/>
      <c r="F88" s="44"/>
    </row>
    <row r="89" spans="1:6" ht="14.5">
      <c r="C89" s="34"/>
      <c r="D89" s="16"/>
      <c r="F89" s="44"/>
    </row>
    <row r="90" spans="1:6" ht="14.5">
      <c r="C90" s="34"/>
      <c r="D90" s="16"/>
      <c r="F90" s="44"/>
    </row>
    <row r="91" spans="1:6" ht="14.5">
      <c r="C91" s="34"/>
      <c r="D91" s="16"/>
      <c r="F91" s="44"/>
    </row>
    <row r="92" spans="1:6" ht="14.5">
      <c r="C92" s="34"/>
      <c r="D92" s="16"/>
      <c r="F92" s="44"/>
    </row>
    <row r="93" spans="1:6" ht="14.5">
      <c r="C93" s="34"/>
      <c r="D93" s="16"/>
      <c r="F93" s="44"/>
    </row>
    <row r="94" spans="1:6" ht="14.5">
      <c r="C94" s="34"/>
      <c r="F94" s="44"/>
    </row>
    <row r="95" spans="1:6" ht="14.5">
      <c r="C95" s="34"/>
      <c r="F95" s="44"/>
    </row>
    <row r="96" spans="1:6" ht="14.5">
      <c r="C96" s="34"/>
      <c r="D96" s="5"/>
      <c r="F96" s="44"/>
    </row>
    <row r="97" spans="3:6" ht="14.5">
      <c r="C97" s="34"/>
      <c r="F97" s="44"/>
    </row>
    <row r="98" spans="3:6" ht="14.5">
      <c r="C98" s="34"/>
      <c r="F98" s="44"/>
    </row>
  </sheetData>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 ref="D20" r:id="rId19" xr:uid="{00000000-0004-0000-0700-000012000000}"/>
    <hyperlink ref="D21" r:id="rId20" xr:uid="{00000000-0004-0000-0700-000013000000}"/>
    <hyperlink ref="D22" r:id="rId21" xr:uid="{00000000-0004-0000-0700-000014000000}"/>
    <hyperlink ref="D23" r:id="rId22" xr:uid="{00000000-0004-0000-0700-000015000000}"/>
    <hyperlink ref="D24" r:id="rId23" xr:uid="{00000000-0004-0000-0700-000016000000}"/>
    <hyperlink ref="D25" r:id="rId24" xr:uid="{00000000-0004-0000-0700-000017000000}"/>
    <hyperlink ref="D26" r:id="rId25" xr:uid="{00000000-0004-0000-0700-000018000000}"/>
    <hyperlink ref="D27" r:id="rId26" xr:uid="{00000000-0004-0000-0700-000019000000}"/>
    <hyperlink ref="D28" r:id="rId27" xr:uid="{00000000-0004-0000-0700-00001A000000}"/>
    <hyperlink ref="D29" r:id="rId28" xr:uid="{00000000-0004-0000-0700-00001B000000}"/>
    <hyperlink ref="D30" r:id="rId29" xr:uid="{00000000-0004-0000-0700-00001C000000}"/>
    <hyperlink ref="D31" r:id="rId30" xr:uid="{00000000-0004-0000-0700-00001D000000}"/>
    <hyperlink ref="D32" r:id="rId31" xr:uid="{00000000-0004-0000-0700-00001E000000}"/>
    <hyperlink ref="D33" r:id="rId32" xr:uid="{00000000-0004-0000-0700-00001F000000}"/>
    <hyperlink ref="D34" r:id="rId33" xr:uid="{00000000-0004-0000-0700-00002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00"/>
  <sheetViews>
    <sheetView workbookViewId="0"/>
  </sheetViews>
  <sheetFormatPr baseColWidth="10" defaultColWidth="12.6328125" defaultRowHeight="15.75" customHeight="1"/>
  <cols>
    <col min="2" max="3" width="19.90625" customWidth="1"/>
    <col min="7" max="7" width="17.36328125" customWidth="1"/>
  </cols>
  <sheetData>
    <row r="1" spans="1:11">
      <c r="A1" s="41" t="s">
        <v>23146</v>
      </c>
      <c r="B1" s="49" t="s">
        <v>14557</v>
      </c>
      <c r="C1" s="41" t="s">
        <v>23147</v>
      </c>
      <c r="D1" s="16" t="s">
        <v>23148</v>
      </c>
      <c r="E1" s="16" t="s">
        <v>23149</v>
      </c>
      <c r="F1" s="41" t="s">
        <v>23150</v>
      </c>
      <c r="G1" s="16" t="s">
        <v>23151</v>
      </c>
      <c r="H1" s="16" t="s">
        <v>22</v>
      </c>
      <c r="I1" s="5" t="s">
        <v>23152</v>
      </c>
      <c r="J1" s="5" t="s">
        <v>23153</v>
      </c>
      <c r="K1" s="5" t="s">
        <v>23154</v>
      </c>
    </row>
    <row r="2" spans="1:11" ht="15.75" customHeight="1">
      <c r="A2" s="5">
        <v>1</v>
      </c>
      <c r="B2" s="50" t="s">
        <v>23155</v>
      </c>
      <c r="C2" s="5" t="s">
        <v>11084</v>
      </c>
      <c r="D2" s="15" t="s">
        <v>23156</v>
      </c>
      <c r="E2" s="15">
        <v>10</v>
      </c>
      <c r="F2" s="15">
        <v>82</v>
      </c>
      <c r="G2" s="51">
        <v>45981</v>
      </c>
      <c r="H2" s="16" t="s">
        <v>23157</v>
      </c>
      <c r="I2" s="5" t="s">
        <v>23158</v>
      </c>
    </row>
    <row r="3" spans="1:11" ht="15.75" customHeight="1">
      <c r="A3" s="5">
        <v>2</v>
      </c>
      <c r="B3" s="50" t="s">
        <v>23159</v>
      </c>
      <c r="C3" s="5" t="s">
        <v>23160</v>
      </c>
      <c r="D3" s="15" t="s">
        <v>23161</v>
      </c>
      <c r="E3" s="15">
        <v>10</v>
      </c>
      <c r="F3" s="15">
        <v>240</v>
      </c>
      <c r="G3" s="51">
        <v>45981</v>
      </c>
      <c r="H3" s="16" t="s">
        <v>23162</v>
      </c>
    </row>
    <row r="4" spans="1:11" ht="15.75" customHeight="1">
      <c r="A4" s="5">
        <v>3</v>
      </c>
      <c r="B4" s="52" t="s">
        <v>23163</v>
      </c>
      <c r="C4" s="5" t="s">
        <v>23164</v>
      </c>
      <c r="D4" s="15" t="s">
        <v>23156</v>
      </c>
      <c r="E4" s="15"/>
      <c r="F4" s="15">
        <v>5</v>
      </c>
      <c r="G4" s="51">
        <v>45938</v>
      </c>
      <c r="H4" s="16" t="s">
        <v>23165</v>
      </c>
    </row>
    <row r="5" spans="1:11" ht="15.75" customHeight="1">
      <c r="A5" s="5">
        <v>4</v>
      </c>
      <c r="B5" s="52" t="s">
        <v>23166</v>
      </c>
      <c r="C5" s="5" t="s">
        <v>23164</v>
      </c>
      <c r="D5" s="15" t="s">
        <v>23156</v>
      </c>
      <c r="E5" s="15"/>
      <c r="F5" s="15">
        <v>20</v>
      </c>
      <c r="G5" s="51">
        <v>45938</v>
      </c>
      <c r="H5" s="16" t="s">
        <v>23157</v>
      </c>
    </row>
    <row r="6" spans="1:11" ht="15.75" customHeight="1">
      <c r="A6" s="5">
        <v>5</v>
      </c>
      <c r="B6" s="52" t="s">
        <v>23167</v>
      </c>
      <c r="C6" s="5" t="s">
        <v>23168</v>
      </c>
      <c r="D6" s="15" t="s">
        <v>23156</v>
      </c>
      <c r="E6" s="15"/>
      <c r="F6" s="15">
        <v>1</v>
      </c>
      <c r="G6" s="51">
        <v>45938</v>
      </c>
      <c r="H6" s="16" t="s">
        <v>23165</v>
      </c>
    </row>
    <row r="7" spans="1:11" ht="15.75" customHeight="1">
      <c r="A7" s="5">
        <v>6</v>
      </c>
      <c r="B7" s="50" t="s">
        <v>23169</v>
      </c>
      <c r="C7" s="5" t="s">
        <v>23170</v>
      </c>
      <c r="D7" s="15" t="s">
        <v>23171</v>
      </c>
      <c r="E7" s="15"/>
      <c r="F7" s="15"/>
      <c r="G7" s="51"/>
      <c r="H7" s="16"/>
    </row>
    <row r="8" spans="1:11" ht="15.75" customHeight="1">
      <c r="A8" s="5">
        <v>7</v>
      </c>
      <c r="B8" s="50" t="s">
        <v>23172</v>
      </c>
      <c r="C8" s="5" t="s">
        <v>23173</v>
      </c>
      <c r="D8" s="15" t="s">
        <v>23173</v>
      </c>
      <c r="E8" s="15">
        <v>20</v>
      </c>
      <c r="F8" s="5">
        <v>340</v>
      </c>
    </row>
    <row r="9" spans="1:11" ht="15.75" customHeight="1">
      <c r="A9" s="5">
        <v>8</v>
      </c>
      <c r="B9" s="52" t="s">
        <v>23174</v>
      </c>
      <c r="C9" s="5" t="s">
        <v>23175</v>
      </c>
      <c r="D9" s="15" t="s">
        <v>356</v>
      </c>
      <c r="E9" s="15">
        <v>1</v>
      </c>
      <c r="F9" s="5">
        <v>22</v>
      </c>
      <c r="G9" s="13">
        <v>45968</v>
      </c>
      <c r="H9" s="5" t="s">
        <v>23157</v>
      </c>
    </row>
    <row r="10" spans="1:11" ht="15.75" customHeight="1">
      <c r="B10" s="50"/>
      <c r="G10" s="13"/>
    </row>
    <row r="11" spans="1:11">
      <c r="B11" s="50"/>
      <c r="G11" s="3"/>
    </row>
    <row r="12" spans="1:11" ht="15.75" customHeight="1">
      <c r="B12" s="50"/>
    </row>
    <row r="13" spans="1:11" ht="15.75" customHeight="1">
      <c r="B13" s="50"/>
    </row>
    <row r="14" spans="1:11" ht="15.75" customHeight="1">
      <c r="B14" s="50"/>
    </row>
    <row r="15" spans="1:11" ht="15.75" customHeight="1">
      <c r="B15" s="50"/>
    </row>
    <row r="16" spans="1:11" ht="15.75" customHeight="1">
      <c r="B16" s="50"/>
    </row>
    <row r="17" spans="2:2" ht="15.75" customHeight="1">
      <c r="B17" s="50"/>
    </row>
    <row r="18" spans="2:2" ht="15.75" customHeight="1">
      <c r="B18" s="50"/>
    </row>
    <row r="19" spans="2:2" ht="15.75" customHeight="1">
      <c r="B19" s="50"/>
    </row>
    <row r="20" spans="2:2" ht="15.75" customHeight="1">
      <c r="B20" s="50"/>
    </row>
    <row r="21" spans="2:2" ht="15.75" customHeight="1">
      <c r="B21" s="50"/>
    </row>
    <row r="22" spans="2:2" ht="12.5">
      <c r="B22" s="50"/>
    </row>
    <row r="23" spans="2:2" ht="12.5">
      <c r="B23" s="50"/>
    </row>
    <row r="24" spans="2:2" ht="12.5">
      <c r="B24" s="50"/>
    </row>
    <row r="25" spans="2:2" ht="12.5">
      <c r="B25" s="50"/>
    </row>
    <row r="26" spans="2:2" ht="12.5">
      <c r="B26" s="50"/>
    </row>
    <row r="27" spans="2:2" ht="12.5">
      <c r="B27" s="50"/>
    </row>
    <row r="28" spans="2:2" ht="12.5">
      <c r="B28" s="50"/>
    </row>
    <row r="29" spans="2:2" ht="12.5">
      <c r="B29" s="50"/>
    </row>
    <row r="30" spans="2:2" ht="12.5">
      <c r="B30" s="50"/>
    </row>
    <row r="31" spans="2:2" ht="12.5">
      <c r="B31" s="50"/>
    </row>
    <row r="32" spans="2:2" ht="12.5">
      <c r="B32" s="50"/>
    </row>
    <row r="33" spans="2:2" ht="12.5">
      <c r="B33" s="50"/>
    </row>
    <row r="34" spans="2:2" ht="12.5">
      <c r="B34" s="50"/>
    </row>
    <row r="35" spans="2:2" ht="12.5">
      <c r="B35" s="50"/>
    </row>
    <row r="36" spans="2:2" ht="12.5">
      <c r="B36" s="50"/>
    </row>
    <row r="37" spans="2:2" ht="12.5">
      <c r="B37" s="50"/>
    </row>
    <row r="38" spans="2:2" ht="12.5">
      <c r="B38" s="50"/>
    </row>
    <row r="39" spans="2:2" ht="12.5">
      <c r="B39" s="50"/>
    </row>
    <row r="40" spans="2:2" ht="12.5">
      <c r="B40" s="50"/>
    </row>
    <row r="41" spans="2:2" ht="12.5">
      <c r="B41" s="50"/>
    </row>
    <row r="42" spans="2:2" ht="12.5">
      <c r="B42" s="50"/>
    </row>
    <row r="43" spans="2:2" ht="12.5">
      <c r="B43" s="50"/>
    </row>
    <row r="44" spans="2:2" ht="12.5">
      <c r="B44" s="50"/>
    </row>
    <row r="45" spans="2:2" ht="12.5">
      <c r="B45" s="50"/>
    </row>
    <row r="46" spans="2:2" ht="12.5">
      <c r="B46" s="50"/>
    </row>
    <row r="47" spans="2:2" ht="12.5">
      <c r="B47" s="50"/>
    </row>
    <row r="48" spans="2:2" ht="12.5">
      <c r="B48" s="50"/>
    </row>
    <row r="49" spans="2:2" ht="12.5">
      <c r="B49" s="50"/>
    </row>
    <row r="50" spans="2:2" ht="12.5">
      <c r="B50" s="50"/>
    </row>
    <row r="51" spans="2:2" ht="12.5">
      <c r="B51" s="50"/>
    </row>
    <row r="52" spans="2:2" ht="12.5">
      <c r="B52" s="50"/>
    </row>
    <row r="53" spans="2:2" ht="12.5">
      <c r="B53" s="50"/>
    </row>
    <row r="54" spans="2:2" ht="12.5">
      <c r="B54" s="50"/>
    </row>
    <row r="55" spans="2:2" ht="12.5">
      <c r="B55" s="50"/>
    </row>
    <row r="56" spans="2:2" ht="12.5">
      <c r="B56" s="50"/>
    </row>
    <row r="57" spans="2:2" ht="12.5">
      <c r="B57" s="50"/>
    </row>
    <row r="58" spans="2:2" ht="12.5">
      <c r="B58" s="50"/>
    </row>
    <row r="59" spans="2:2" ht="12.5">
      <c r="B59" s="50"/>
    </row>
    <row r="60" spans="2:2" ht="12.5">
      <c r="B60" s="50"/>
    </row>
    <row r="61" spans="2:2" ht="12.5">
      <c r="B61" s="50"/>
    </row>
    <row r="62" spans="2:2" ht="12.5">
      <c r="B62" s="50"/>
    </row>
    <row r="63" spans="2:2" ht="12.5">
      <c r="B63" s="50"/>
    </row>
    <row r="64" spans="2:2" ht="12.5">
      <c r="B64" s="50"/>
    </row>
    <row r="65" spans="2:2" ht="12.5">
      <c r="B65" s="50"/>
    </row>
    <row r="66" spans="2:2" ht="12.5">
      <c r="B66" s="50"/>
    </row>
    <row r="67" spans="2:2" ht="12.5">
      <c r="B67" s="50"/>
    </row>
    <row r="68" spans="2:2" ht="12.5">
      <c r="B68" s="50"/>
    </row>
    <row r="69" spans="2:2" ht="12.5">
      <c r="B69" s="50"/>
    </row>
    <row r="70" spans="2:2" ht="12.5">
      <c r="B70" s="50"/>
    </row>
    <row r="71" spans="2:2" ht="12.5">
      <c r="B71" s="50"/>
    </row>
    <row r="72" spans="2:2" ht="12.5">
      <c r="B72" s="50"/>
    </row>
    <row r="73" spans="2:2" ht="12.5">
      <c r="B73" s="50"/>
    </row>
    <row r="74" spans="2:2" ht="12.5">
      <c r="B74" s="50"/>
    </row>
    <row r="75" spans="2:2" ht="12.5">
      <c r="B75" s="50"/>
    </row>
    <row r="76" spans="2:2" ht="12.5">
      <c r="B76" s="50"/>
    </row>
    <row r="77" spans="2:2" ht="12.5">
      <c r="B77" s="50"/>
    </row>
    <row r="78" spans="2:2" ht="12.5">
      <c r="B78" s="50"/>
    </row>
    <row r="79" spans="2:2" ht="12.5">
      <c r="B79" s="50"/>
    </row>
    <row r="80" spans="2:2" ht="12.5">
      <c r="B80" s="50"/>
    </row>
    <row r="81" spans="2:2" ht="12.5">
      <c r="B81" s="50"/>
    </row>
    <row r="82" spans="2:2" ht="12.5">
      <c r="B82" s="50"/>
    </row>
    <row r="83" spans="2:2" ht="12.5">
      <c r="B83" s="50"/>
    </row>
    <row r="84" spans="2:2" ht="12.5">
      <c r="B84" s="50"/>
    </row>
    <row r="85" spans="2:2" ht="12.5">
      <c r="B85" s="50"/>
    </row>
    <row r="86" spans="2:2" ht="12.5">
      <c r="B86" s="50"/>
    </row>
    <row r="87" spans="2:2" ht="12.5">
      <c r="B87" s="50"/>
    </row>
    <row r="88" spans="2:2" ht="12.5">
      <c r="B88" s="50"/>
    </row>
    <row r="89" spans="2:2" ht="12.5">
      <c r="B89" s="50"/>
    </row>
    <row r="90" spans="2:2" ht="12.5">
      <c r="B90" s="50"/>
    </row>
    <row r="91" spans="2:2" ht="12.5">
      <c r="B91" s="50"/>
    </row>
    <row r="92" spans="2:2" ht="12.5">
      <c r="B92" s="50"/>
    </row>
    <row r="93" spans="2:2" ht="12.5">
      <c r="B93" s="50"/>
    </row>
    <row r="94" spans="2:2" ht="12.5">
      <c r="B94" s="50"/>
    </row>
    <row r="95" spans="2:2" ht="12.5">
      <c r="B95" s="50"/>
    </row>
    <row r="96" spans="2:2" ht="12.5">
      <c r="B96" s="50"/>
    </row>
    <row r="97" spans="2:2" ht="12.5">
      <c r="B97" s="50"/>
    </row>
    <row r="98" spans="2:2" ht="12.5">
      <c r="B98" s="50"/>
    </row>
    <row r="99" spans="2:2" ht="12.5">
      <c r="B99" s="50"/>
    </row>
    <row r="100" spans="2:2" ht="12.5">
      <c r="B100" s="50"/>
    </row>
    <row r="101" spans="2:2" ht="12.5">
      <c r="B101" s="50"/>
    </row>
    <row r="102" spans="2:2" ht="12.5">
      <c r="B102" s="50"/>
    </row>
    <row r="103" spans="2:2" ht="12.5">
      <c r="B103" s="50"/>
    </row>
    <row r="104" spans="2:2" ht="12.5">
      <c r="B104" s="50"/>
    </row>
    <row r="105" spans="2:2" ht="12.5">
      <c r="B105" s="50"/>
    </row>
    <row r="106" spans="2:2" ht="12.5">
      <c r="B106" s="50"/>
    </row>
    <row r="107" spans="2:2" ht="12.5">
      <c r="B107" s="50"/>
    </row>
    <row r="108" spans="2:2" ht="12.5">
      <c r="B108" s="50"/>
    </row>
    <row r="109" spans="2:2" ht="12.5">
      <c r="B109" s="50"/>
    </row>
    <row r="110" spans="2:2" ht="12.5">
      <c r="B110" s="50"/>
    </row>
    <row r="111" spans="2:2" ht="12.5">
      <c r="B111" s="50"/>
    </row>
    <row r="112" spans="2:2" ht="12.5">
      <c r="B112" s="50"/>
    </row>
    <row r="113" spans="2:2" ht="12.5">
      <c r="B113" s="50"/>
    </row>
    <row r="114" spans="2:2" ht="12.5">
      <c r="B114" s="50"/>
    </row>
    <row r="115" spans="2:2" ht="12.5">
      <c r="B115" s="50"/>
    </row>
    <row r="116" spans="2:2" ht="12.5">
      <c r="B116" s="50"/>
    </row>
    <row r="117" spans="2:2" ht="12.5">
      <c r="B117" s="50"/>
    </row>
    <row r="118" spans="2:2" ht="12.5">
      <c r="B118" s="50"/>
    </row>
    <row r="119" spans="2:2" ht="12.5">
      <c r="B119" s="50"/>
    </row>
    <row r="120" spans="2:2" ht="12.5">
      <c r="B120" s="50"/>
    </row>
    <row r="121" spans="2:2" ht="12.5">
      <c r="B121" s="50"/>
    </row>
    <row r="122" spans="2:2" ht="12.5">
      <c r="B122" s="50"/>
    </row>
    <row r="123" spans="2:2" ht="12.5">
      <c r="B123" s="50"/>
    </row>
    <row r="124" spans="2:2" ht="12.5">
      <c r="B124" s="50"/>
    </row>
    <row r="125" spans="2:2" ht="12.5">
      <c r="B125" s="50"/>
    </row>
    <row r="126" spans="2:2" ht="12.5">
      <c r="B126" s="50"/>
    </row>
    <row r="127" spans="2:2" ht="12.5">
      <c r="B127" s="50"/>
    </row>
    <row r="128" spans="2:2" ht="12.5">
      <c r="B128" s="50"/>
    </row>
    <row r="129" spans="2:2" ht="12.5">
      <c r="B129" s="50"/>
    </row>
    <row r="130" spans="2:2" ht="12.5">
      <c r="B130" s="50"/>
    </row>
    <row r="131" spans="2:2" ht="12.5">
      <c r="B131" s="50"/>
    </row>
    <row r="132" spans="2:2" ht="12.5">
      <c r="B132" s="50"/>
    </row>
    <row r="133" spans="2:2" ht="12.5">
      <c r="B133" s="50"/>
    </row>
    <row r="134" spans="2:2" ht="12.5">
      <c r="B134" s="50"/>
    </row>
    <row r="135" spans="2:2" ht="12.5">
      <c r="B135" s="50"/>
    </row>
    <row r="136" spans="2:2" ht="12.5">
      <c r="B136" s="50"/>
    </row>
    <row r="137" spans="2:2" ht="12.5">
      <c r="B137" s="50"/>
    </row>
    <row r="138" spans="2:2" ht="12.5">
      <c r="B138" s="50"/>
    </row>
    <row r="139" spans="2:2" ht="12.5">
      <c r="B139" s="50"/>
    </row>
    <row r="140" spans="2:2" ht="12.5">
      <c r="B140" s="50"/>
    </row>
    <row r="141" spans="2:2" ht="12.5">
      <c r="B141" s="50"/>
    </row>
    <row r="142" spans="2:2" ht="12.5">
      <c r="B142" s="50"/>
    </row>
    <row r="143" spans="2:2" ht="12.5">
      <c r="B143" s="50"/>
    </row>
    <row r="144" spans="2:2" ht="12.5">
      <c r="B144" s="50"/>
    </row>
    <row r="145" spans="2:2" ht="12.5">
      <c r="B145" s="50"/>
    </row>
    <row r="146" spans="2:2" ht="12.5">
      <c r="B146" s="50"/>
    </row>
    <row r="147" spans="2:2" ht="12.5">
      <c r="B147" s="50"/>
    </row>
    <row r="148" spans="2:2" ht="12.5">
      <c r="B148" s="50"/>
    </row>
    <row r="149" spans="2:2" ht="12.5">
      <c r="B149" s="50"/>
    </row>
    <row r="150" spans="2:2" ht="12.5">
      <c r="B150" s="50"/>
    </row>
    <row r="151" spans="2:2" ht="12.5">
      <c r="B151" s="50"/>
    </row>
    <row r="152" spans="2:2" ht="12.5">
      <c r="B152" s="50"/>
    </row>
    <row r="153" spans="2:2" ht="12.5">
      <c r="B153" s="50"/>
    </row>
    <row r="154" spans="2:2" ht="12.5">
      <c r="B154" s="50"/>
    </row>
    <row r="155" spans="2:2" ht="12.5">
      <c r="B155" s="50"/>
    </row>
    <row r="156" spans="2:2" ht="12.5">
      <c r="B156" s="50"/>
    </row>
    <row r="157" spans="2:2" ht="12.5">
      <c r="B157" s="50"/>
    </row>
    <row r="158" spans="2:2" ht="12.5">
      <c r="B158" s="50"/>
    </row>
    <row r="159" spans="2:2" ht="12.5">
      <c r="B159" s="50"/>
    </row>
    <row r="160" spans="2:2" ht="12.5">
      <c r="B160" s="50"/>
    </row>
    <row r="161" spans="2:2" ht="12.5">
      <c r="B161" s="50"/>
    </row>
    <row r="162" spans="2:2" ht="12.5">
      <c r="B162" s="50"/>
    </row>
    <row r="163" spans="2:2" ht="12.5">
      <c r="B163" s="50"/>
    </row>
    <row r="164" spans="2:2" ht="12.5">
      <c r="B164" s="50"/>
    </row>
    <row r="165" spans="2:2" ht="12.5">
      <c r="B165" s="50"/>
    </row>
    <row r="166" spans="2:2" ht="12.5">
      <c r="B166" s="50"/>
    </row>
    <row r="167" spans="2:2" ht="12.5">
      <c r="B167" s="50"/>
    </row>
    <row r="168" spans="2:2" ht="12.5">
      <c r="B168" s="50"/>
    </row>
    <row r="169" spans="2:2" ht="12.5">
      <c r="B169" s="50"/>
    </row>
    <row r="170" spans="2:2" ht="12.5">
      <c r="B170" s="50"/>
    </row>
    <row r="171" spans="2:2" ht="12.5">
      <c r="B171" s="50"/>
    </row>
    <row r="172" spans="2:2" ht="12.5">
      <c r="B172" s="50"/>
    </row>
    <row r="173" spans="2:2" ht="12.5">
      <c r="B173" s="50"/>
    </row>
    <row r="174" spans="2:2" ht="12.5">
      <c r="B174" s="50"/>
    </row>
    <row r="175" spans="2:2" ht="12.5">
      <c r="B175" s="50"/>
    </row>
    <row r="176" spans="2:2" ht="12.5">
      <c r="B176" s="50"/>
    </row>
    <row r="177" spans="2:2" ht="12.5">
      <c r="B177" s="50"/>
    </row>
    <row r="178" spans="2:2" ht="12.5">
      <c r="B178" s="50"/>
    </row>
    <row r="179" spans="2:2" ht="12.5">
      <c r="B179" s="50"/>
    </row>
    <row r="180" spans="2:2" ht="12.5">
      <c r="B180" s="50"/>
    </row>
    <row r="181" spans="2:2" ht="12.5">
      <c r="B181" s="50"/>
    </row>
    <row r="182" spans="2:2" ht="12.5">
      <c r="B182" s="50"/>
    </row>
    <row r="183" spans="2:2" ht="12.5">
      <c r="B183" s="50"/>
    </row>
    <row r="184" spans="2:2" ht="12.5">
      <c r="B184" s="50"/>
    </row>
    <row r="185" spans="2:2" ht="12.5">
      <c r="B185" s="50"/>
    </row>
    <row r="186" spans="2:2" ht="12.5">
      <c r="B186" s="50"/>
    </row>
    <row r="187" spans="2:2" ht="12.5">
      <c r="B187" s="50"/>
    </row>
    <row r="188" spans="2:2" ht="12.5">
      <c r="B188" s="50"/>
    </row>
    <row r="189" spans="2:2" ht="12.5">
      <c r="B189" s="50"/>
    </row>
    <row r="190" spans="2:2" ht="12.5">
      <c r="B190" s="50"/>
    </row>
    <row r="191" spans="2:2" ht="12.5">
      <c r="B191" s="50"/>
    </row>
    <row r="192" spans="2:2" ht="12.5">
      <c r="B192" s="50"/>
    </row>
    <row r="193" spans="2:2" ht="12.5">
      <c r="B193" s="50"/>
    </row>
    <row r="194" spans="2:2" ht="12.5">
      <c r="B194" s="50"/>
    </row>
    <row r="195" spans="2:2" ht="12.5">
      <c r="B195" s="50"/>
    </row>
    <row r="196" spans="2:2" ht="12.5">
      <c r="B196" s="50"/>
    </row>
    <row r="197" spans="2:2" ht="12.5">
      <c r="B197" s="50"/>
    </row>
    <row r="198" spans="2:2" ht="12.5">
      <c r="B198" s="50"/>
    </row>
    <row r="199" spans="2:2" ht="12.5">
      <c r="B199" s="50"/>
    </row>
    <row r="200" spans="2:2" ht="12.5">
      <c r="B200" s="50"/>
    </row>
    <row r="201" spans="2:2" ht="12.5">
      <c r="B201" s="50"/>
    </row>
    <row r="202" spans="2:2" ht="12.5">
      <c r="B202" s="50"/>
    </row>
    <row r="203" spans="2:2" ht="12.5">
      <c r="B203" s="50"/>
    </row>
    <row r="204" spans="2:2" ht="12.5">
      <c r="B204" s="50"/>
    </row>
    <row r="205" spans="2:2" ht="12.5">
      <c r="B205" s="50"/>
    </row>
    <row r="206" spans="2:2" ht="12.5">
      <c r="B206" s="50"/>
    </row>
    <row r="207" spans="2:2" ht="12.5">
      <c r="B207" s="50"/>
    </row>
    <row r="208" spans="2:2" ht="12.5">
      <c r="B208" s="50"/>
    </row>
    <row r="209" spans="2:2" ht="12.5">
      <c r="B209" s="50"/>
    </row>
    <row r="210" spans="2:2" ht="12.5">
      <c r="B210" s="50"/>
    </row>
    <row r="211" spans="2:2" ht="12.5">
      <c r="B211" s="50"/>
    </row>
    <row r="212" spans="2:2" ht="12.5">
      <c r="B212" s="50"/>
    </row>
    <row r="213" spans="2:2" ht="12.5">
      <c r="B213" s="50"/>
    </row>
    <row r="214" spans="2:2" ht="12.5">
      <c r="B214" s="50"/>
    </row>
    <row r="215" spans="2:2" ht="12.5">
      <c r="B215" s="50"/>
    </row>
    <row r="216" spans="2:2" ht="12.5">
      <c r="B216" s="50"/>
    </row>
    <row r="217" spans="2:2" ht="12.5">
      <c r="B217" s="50"/>
    </row>
    <row r="218" spans="2:2" ht="12.5">
      <c r="B218" s="50"/>
    </row>
    <row r="219" spans="2:2" ht="12.5">
      <c r="B219" s="50"/>
    </row>
    <row r="220" spans="2:2" ht="12.5">
      <c r="B220" s="50"/>
    </row>
    <row r="221" spans="2:2" ht="12.5">
      <c r="B221" s="50"/>
    </row>
    <row r="222" spans="2:2" ht="12.5">
      <c r="B222" s="50"/>
    </row>
    <row r="223" spans="2:2" ht="12.5">
      <c r="B223" s="50"/>
    </row>
    <row r="224" spans="2:2" ht="12.5">
      <c r="B224" s="50"/>
    </row>
    <row r="225" spans="2:2" ht="12.5">
      <c r="B225" s="50"/>
    </row>
    <row r="226" spans="2:2" ht="12.5">
      <c r="B226" s="50"/>
    </row>
    <row r="227" spans="2:2" ht="12.5">
      <c r="B227" s="50"/>
    </row>
    <row r="228" spans="2:2" ht="12.5">
      <c r="B228" s="50"/>
    </row>
    <row r="229" spans="2:2" ht="12.5">
      <c r="B229" s="50"/>
    </row>
    <row r="230" spans="2:2" ht="12.5">
      <c r="B230" s="50"/>
    </row>
    <row r="231" spans="2:2" ht="12.5">
      <c r="B231" s="50"/>
    </row>
    <row r="232" spans="2:2" ht="12.5">
      <c r="B232" s="50"/>
    </row>
    <row r="233" spans="2:2" ht="12.5">
      <c r="B233" s="50"/>
    </row>
    <row r="234" spans="2:2" ht="12.5">
      <c r="B234" s="50"/>
    </row>
    <row r="235" spans="2:2" ht="12.5">
      <c r="B235" s="50"/>
    </row>
    <row r="236" spans="2:2" ht="12.5">
      <c r="B236" s="50"/>
    </row>
    <row r="237" spans="2:2" ht="12.5">
      <c r="B237" s="50"/>
    </row>
    <row r="238" spans="2:2" ht="12.5">
      <c r="B238" s="50"/>
    </row>
    <row r="239" spans="2:2" ht="12.5">
      <c r="B239" s="50"/>
    </row>
    <row r="240" spans="2:2" ht="12.5">
      <c r="B240" s="50"/>
    </row>
    <row r="241" spans="2:2" ht="12.5">
      <c r="B241" s="50"/>
    </row>
    <row r="242" spans="2:2" ht="12.5">
      <c r="B242" s="50"/>
    </row>
    <row r="243" spans="2:2" ht="12.5">
      <c r="B243" s="50"/>
    </row>
    <row r="244" spans="2:2" ht="12.5">
      <c r="B244" s="50"/>
    </row>
    <row r="245" spans="2:2" ht="12.5">
      <c r="B245" s="50"/>
    </row>
    <row r="246" spans="2:2" ht="12.5">
      <c r="B246" s="50"/>
    </row>
    <row r="247" spans="2:2" ht="12.5">
      <c r="B247" s="50"/>
    </row>
    <row r="248" spans="2:2" ht="12.5">
      <c r="B248" s="50"/>
    </row>
    <row r="249" spans="2:2" ht="12.5">
      <c r="B249" s="50"/>
    </row>
    <row r="250" spans="2:2" ht="12.5">
      <c r="B250" s="50"/>
    </row>
    <row r="251" spans="2:2" ht="12.5">
      <c r="B251" s="50"/>
    </row>
    <row r="252" spans="2:2" ht="12.5">
      <c r="B252" s="50"/>
    </row>
    <row r="253" spans="2:2" ht="12.5">
      <c r="B253" s="50"/>
    </row>
    <row r="254" spans="2:2" ht="12.5">
      <c r="B254" s="50"/>
    </row>
    <row r="255" spans="2:2" ht="12.5">
      <c r="B255" s="50"/>
    </row>
    <row r="256" spans="2:2" ht="12.5">
      <c r="B256" s="50"/>
    </row>
    <row r="257" spans="2:2" ht="12.5">
      <c r="B257" s="50"/>
    </row>
    <row r="258" spans="2:2" ht="12.5">
      <c r="B258" s="50"/>
    </row>
    <row r="259" spans="2:2" ht="12.5">
      <c r="B259" s="50"/>
    </row>
    <row r="260" spans="2:2" ht="12.5">
      <c r="B260" s="50"/>
    </row>
    <row r="261" spans="2:2" ht="12.5">
      <c r="B261" s="50"/>
    </row>
    <row r="262" spans="2:2" ht="12.5">
      <c r="B262" s="50"/>
    </row>
    <row r="263" spans="2:2" ht="12.5">
      <c r="B263" s="50"/>
    </row>
    <row r="264" spans="2:2" ht="12.5">
      <c r="B264" s="50"/>
    </row>
    <row r="265" spans="2:2" ht="12.5">
      <c r="B265" s="50"/>
    </row>
    <row r="266" spans="2:2" ht="12.5">
      <c r="B266" s="50"/>
    </row>
    <row r="267" spans="2:2" ht="12.5">
      <c r="B267" s="50"/>
    </row>
    <row r="268" spans="2:2" ht="12.5">
      <c r="B268" s="50"/>
    </row>
    <row r="269" spans="2:2" ht="12.5">
      <c r="B269" s="50"/>
    </row>
    <row r="270" spans="2:2" ht="12.5">
      <c r="B270" s="50"/>
    </row>
    <row r="271" spans="2:2" ht="12.5">
      <c r="B271" s="50"/>
    </row>
    <row r="272" spans="2:2" ht="12.5">
      <c r="B272" s="50"/>
    </row>
    <row r="273" spans="2:2" ht="12.5">
      <c r="B273" s="50"/>
    </row>
    <row r="274" spans="2:2" ht="12.5">
      <c r="B274" s="50"/>
    </row>
    <row r="275" spans="2:2" ht="12.5">
      <c r="B275" s="50"/>
    </row>
    <row r="276" spans="2:2" ht="12.5">
      <c r="B276" s="50"/>
    </row>
    <row r="277" spans="2:2" ht="12.5">
      <c r="B277" s="50"/>
    </row>
    <row r="278" spans="2:2" ht="12.5">
      <c r="B278" s="50"/>
    </row>
    <row r="279" spans="2:2" ht="12.5">
      <c r="B279" s="50"/>
    </row>
    <row r="280" spans="2:2" ht="12.5">
      <c r="B280" s="50"/>
    </row>
    <row r="281" spans="2:2" ht="12.5">
      <c r="B281" s="50"/>
    </row>
    <row r="282" spans="2:2" ht="12.5">
      <c r="B282" s="50"/>
    </row>
    <row r="283" spans="2:2" ht="12.5">
      <c r="B283" s="50"/>
    </row>
    <row r="284" spans="2:2" ht="12.5">
      <c r="B284" s="50"/>
    </row>
    <row r="285" spans="2:2" ht="12.5">
      <c r="B285" s="50"/>
    </row>
    <row r="286" spans="2:2" ht="12.5">
      <c r="B286" s="50"/>
    </row>
    <row r="287" spans="2:2" ht="12.5">
      <c r="B287" s="50"/>
    </row>
    <row r="288" spans="2:2" ht="12.5">
      <c r="B288" s="50"/>
    </row>
    <row r="289" spans="2:2" ht="12.5">
      <c r="B289" s="50"/>
    </row>
    <row r="290" spans="2:2" ht="12.5">
      <c r="B290" s="50"/>
    </row>
    <row r="291" spans="2:2" ht="12.5">
      <c r="B291" s="50"/>
    </row>
    <row r="292" spans="2:2" ht="12.5">
      <c r="B292" s="50"/>
    </row>
    <row r="293" spans="2:2" ht="12.5">
      <c r="B293" s="50"/>
    </row>
    <row r="294" spans="2:2" ht="12.5">
      <c r="B294" s="50"/>
    </row>
    <row r="295" spans="2:2" ht="12.5">
      <c r="B295" s="50"/>
    </row>
    <row r="296" spans="2:2" ht="12.5">
      <c r="B296" s="50"/>
    </row>
    <row r="297" spans="2:2" ht="12.5">
      <c r="B297" s="50"/>
    </row>
    <row r="298" spans="2:2" ht="12.5">
      <c r="B298" s="50"/>
    </row>
    <row r="299" spans="2:2" ht="12.5">
      <c r="B299" s="50"/>
    </row>
    <row r="300" spans="2:2" ht="12.5">
      <c r="B300" s="50"/>
    </row>
    <row r="301" spans="2:2" ht="12.5">
      <c r="B301" s="50"/>
    </row>
    <row r="302" spans="2:2" ht="12.5">
      <c r="B302" s="50"/>
    </row>
    <row r="303" spans="2:2" ht="12.5">
      <c r="B303" s="50"/>
    </row>
    <row r="304" spans="2:2" ht="12.5">
      <c r="B304" s="50"/>
    </row>
    <row r="305" spans="2:2" ht="12.5">
      <c r="B305" s="50"/>
    </row>
    <row r="306" spans="2:2" ht="12.5">
      <c r="B306" s="50"/>
    </row>
    <row r="307" spans="2:2" ht="12.5">
      <c r="B307" s="50"/>
    </row>
    <row r="308" spans="2:2" ht="12.5">
      <c r="B308" s="50"/>
    </row>
    <row r="309" spans="2:2" ht="12.5">
      <c r="B309" s="50"/>
    </row>
    <row r="310" spans="2:2" ht="12.5">
      <c r="B310" s="50"/>
    </row>
    <row r="311" spans="2:2" ht="12.5">
      <c r="B311" s="50"/>
    </row>
    <row r="312" spans="2:2" ht="12.5">
      <c r="B312" s="50"/>
    </row>
    <row r="313" spans="2:2" ht="12.5">
      <c r="B313" s="50"/>
    </row>
    <row r="314" spans="2:2" ht="12.5">
      <c r="B314" s="50"/>
    </row>
    <row r="315" spans="2:2" ht="12.5">
      <c r="B315" s="50"/>
    </row>
    <row r="316" spans="2:2" ht="12.5">
      <c r="B316" s="50"/>
    </row>
    <row r="317" spans="2:2" ht="12.5">
      <c r="B317" s="50"/>
    </row>
    <row r="318" spans="2:2" ht="12.5">
      <c r="B318" s="50"/>
    </row>
    <row r="319" spans="2:2" ht="12.5">
      <c r="B319" s="50"/>
    </row>
    <row r="320" spans="2:2" ht="12.5">
      <c r="B320" s="50"/>
    </row>
    <row r="321" spans="2:2" ht="12.5">
      <c r="B321" s="50"/>
    </row>
    <row r="322" spans="2:2" ht="12.5">
      <c r="B322" s="50"/>
    </row>
    <row r="323" spans="2:2" ht="12.5">
      <c r="B323" s="50"/>
    </row>
    <row r="324" spans="2:2" ht="12.5">
      <c r="B324" s="50"/>
    </row>
    <row r="325" spans="2:2" ht="12.5">
      <c r="B325" s="50"/>
    </row>
    <row r="326" spans="2:2" ht="12.5">
      <c r="B326" s="50"/>
    </row>
    <row r="327" spans="2:2" ht="12.5">
      <c r="B327" s="50"/>
    </row>
    <row r="328" spans="2:2" ht="12.5">
      <c r="B328" s="50"/>
    </row>
    <row r="329" spans="2:2" ht="12.5">
      <c r="B329" s="50"/>
    </row>
    <row r="330" spans="2:2" ht="12.5">
      <c r="B330" s="50"/>
    </row>
    <row r="331" spans="2:2" ht="12.5">
      <c r="B331" s="50"/>
    </row>
    <row r="332" spans="2:2" ht="12.5">
      <c r="B332" s="50"/>
    </row>
    <row r="333" spans="2:2" ht="12.5">
      <c r="B333" s="50"/>
    </row>
    <row r="334" spans="2:2" ht="12.5">
      <c r="B334" s="50"/>
    </row>
    <row r="335" spans="2:2" ht="12.5">
      <c r="B335" s="50"/>
    </row>
    <row r="336" spans="2:2" ht="12.5">
      <c r="B336" s="50"/>
    </row>
    <row r="337" spans="2:2" ht="12.5">
      <c r="B337" s="50"/>
    </row>
    <row r="338" spans="2:2" ht="12.5">
      <c r="B338" s="50"/>
    </row>
    <row r="339" spans="2:2" ht="12.5">
      <c r="B339" s="50"/>
    </row>
    <row r="340" spans="2:2" ht="12.5">
      <c r="B340" s="50"/>
    </row>
    <row r="341" spans="2:2" ht="12.5">
      <c r="B341" s="50"/>
    </row>
    <row r="342" spans="2:2" ht="12.5">
      <c r="B342" s="50"/>
    </row>
    <row r="343" spans="2:2" ht="12.5">
      <c r="B343" s="50"/>
    </row>
    <row r="344" spans="2:2" ht="12.5">
      <c r="B344" s="50"/>
    </row>
    <row r="345" spans="2:2" ht="12.5">
      <c r="B345" s="50"/>
    </row>
    <row r="346" spans="2:2" ht="12.5">
      <c r="B346" s="50"/>
    </row>
    <row r="347" spans="2:2" ht="12.5">
      <c r="B347" s="50"/>
    </row>
    <row r="348" spans="2:2" ht="12.5">
      <c r="B348" s="50"/>
    </row>
    <row r="349" spans="2:2" ht="12.5">
      <c r="B349" s="50"/>
    </row>
    <row r="350" spans="2:2" ht="12.5">
      <c r="B350" s="50"/>
    </row>
    <row r="351" spans="2:2" ht="12.5">
      <c r="B351" s="50"/>
    </row>
    <row r="352" spans="2:2" ht="12.5">
      <c r="B352" s="50"/>
    </row>
    <row r="353" spans="2:2" ht="12.5">
      <c r="B353" s="50"/>
    </row>
    <row r="354" spans="2:2" ht="12.5">
      <c r="B354" s="50"/>
    </row>
    <row r="355" spans="2:2" ht="12.5">
      <c r="B355" s="50"/>
    </row>
    <row r="356" spans="2:2" ht="12.5">
      <c r="B356" s="50"/>
    </row>
    <row r="357" spans="2:2" ht="12.5">
      <c r="B357" s="50"/>
    </row>
    <row r="358" spans="2:2" ht="12.5">
      <c r="B358" s="50"/>
    </row>
    <row r="359" spans="2:2" ht="12.5">
      <c r="B359" s="50"/>
    </row>
    <row r="360" spans="2:2" ht="12.5">
      <c r="B360" s="50"/>
    </row>
    <row r="361" spans="2:2" ht="12.5">
      <c r="B361" s="50"/>
    </row>
    <row r="362" spans="2:2" ht="12.5">
      <c r="B362" s="50"/>
    </row>
    <row r="363" spans="2:2" ht="12.5">
      <c r="B363" s="50"/>
    </row>
    <row r="364" spans="2:2" ht="12.5">
      <c r="B364" s="50"/>
    </row>
    <row r="365" spans="2:2" ht="12.5">
      <c r="B365" s="50"/>
    </row>
    <row r="366" spans="2:2" ht="12.5">
      <c r="B366" s="50"/>
    </row>
    <row r="367" spans="2:2" ht="12.5">
      <c r="B367" s="50"/>
    </row>
    <row r="368" spans="2:2" ht="12.5">
      <c r="B368" s="50"/>
    </row>
    <row r="369" spans="2:2" ht="12.5">
      <c r="B369" s="50"/>
    </row>
    <row r="370" spans="2:2" ht="12.5">
      <c r="B370" s="50"/>
    </row>
    <row r="371" spans="2:2" ht="12.5">
      <c r="B371" s="50"/>
    </row>
    <row r="372" spans="2:2" ht="12.5">
      <c r="B372" s="50"/>
    </row>
    <row r="373" spans="2:2" ht="12.5">
      <c r="B373" s="50"/>
    </row>
    <row r="374" spans="2:2" ht="12.5">
      <c r="B374" s="50"/>
    </row>
    <row r="375" spans="2:2" ht="12.5">
      <c r="B375" s="50"/>
    </row>
    <row r="376" spans="2:2" ht="12.5">
      <c r="B376" s="50"/>
    </row>
    <row r="377" spans="2:2" ht="12.5">
      <c r="B377" s="50"/>
    </row>
    <row r="378" spans="2:2" ht="12.5">
      <c r="B378" s="50"/>
    </row>
    <row r="379" spans="2:2" ht="12.5">
      <c r="B379" s="50"/>
    </row>
    <row r="380" spans="2:2" ht="12.5">
      <c r="B380" s="50"/>
    </row>
    <row r="381" spans="2:2" ht="12.5">
      <c r="B381" s="50"/>
    </row>
    <row r="382" spans="2:2" ht="12.5">
      <c r="B382" s="50"/>
    </row>
    <row r="383" spans="2:2" ht="12.5">
      <c r="B383" s="50"/>
    </row>
    <row r="384" spans="2:2" ht="12.5">
      <c r="B384" s="50"/>
    </row>
    <row r="385" spans="2:2" ht="12.5">
      <c r="B385" s="50"/>
    </row>
    <row r="386" spans="2:2" ht="12.5">
      <c r="B386" s="50"/>
    </row>
    <row r="387" spans="2:2" ht="12.5">
      <c r="B387" s="50"/>
    </row>
    <row r="388" spans="2:2" ht="12.5">
      <c r="B388" s="50"/>
    </row>
    <row r="389" spans="2:2" ht="12.5">
      <c r="B389" s="50"/>
    </row>
    <row r="390" spans="2:2" ht="12.5">
      <c r="B390" s="50"/>
    </row>
    <row r="391" spans="2:2" ht="12.5">
      <c r="B391" s="50"/>
    </row>
    <row r="392" spans="2:2" ht="12.5">
      <c r="B392" s="50"/>
    </row>
    <row r="393" spans="2:2" ht="12.5">
      <c r="B393" s="50"/>
    </row>
    <row r="394" spans="2:2" ht="12.5">
      <c r="B394" s="50"/>
    </row>
    <row r="395" spans="2:2" ht="12.5">
      <c r="B395" s="50"/>
    </row>
    <row r="396" spans="2:2" ht="12.5">
      <c r="B396" s="50"/>
    </row>
    <row r="397" spans="2:2" ht="12.5">
      <c r="B397" s="50"/>
    </row>
    <row r="398" spans="2:2" ht="12.5">
      <c r="B398" s="50"/>
    </row>
    <row r="399" spans="2:2" ht="12.5">
      <c r="B399" s="50"/>
    </row>
    <row r="400" spans="2:2" ht="12.5">
      <c r="B400" s="50"/>
    </row>
    <row r="401" spans="2:2" ht="12.5">
      <c r="B401" s="50"/>
    </row>
    <row r="402" spans="2:2" ht="12.5">
      <c r="B402" s="50"/>
    </row>
    <row r="403" spans="2:2" ht="12.5">
      <c r="B403" s="50"/>
    </row>
    <row r="404" spans="2:2" ht="12.5">
      <c r="B404" s="50"/>
    </row>
    <row r="405" spans="2:2" ht="12.5">
      <c r="B405" s="50"/>
    </row>
    <row r="406" spans="2:2" ht="12.5">
      <c r="B406" s="50"/>
    </row>
    <row r="407" spans="2:2" ht="12.5">
      <c r="B407" s="50"/>
    </row>
    <row r="408" spans="2:2" ht="12.5">
      <c r="B408" s="50"/>
    </row>
    <row r="409" spans="2:2" ht="12.5">
      <c r="B409" s="50"/>
    </row>
    <row r="410" spans="2:2" ht="12.5">
      <c r="B410" s="50"/>
    </row>
    <row r="411" spans="2:2" ht="12.5">
      <c r="B411" s="50"/>
    </row>
    <row r="412" spans="2:2" ht="12.5">
      <c r="B412" s="50"/>
    </row>
    <row r="413" spans="2:2" ht="12.5">
      <c r="B413" s="50"/>
    </row>
    <row r="414" spans="2:2" ht="12.5">
      <c r="B414" s="50"/>
    </row>
    <row r="415" spans="2:2" ht="12.5">
      <c r="B415" s="50"/>
    </row>
    <row r="416" spans="2:2" ht="12.5">
      <c r="B416" s="50"/>
    </row>
    <row r="417" spans="2:2" ht="12.5">
      <c r="B417" s="50"/>
    </row>
    <row r="418" spans="2:2" ht="12.5">
      <c r="B418" s="50"/>
    </row>
    <row r="419" spans="2:2" ht="12.5">
      <c r="B419" s="50"/>
    </row>
    <row r="420" spans="2:2" ht="12.5">
      <c r="B420" s="50"/>
    </row>
    <row r="421" spans="2:2" ht="12.5">
      <c r="B421" s="50"/>
    </row>
    <row r="422" spans="2:2" ht="12.5">
      <c r="B422" s="50"/>
    </row>
    <row r="423" spans="2:2" ht="12.5">
      <c r="B423" s="50"/>
    </row>
    <row r="424" spans="2:2" ht="12.5">
      <c r="B424" s="50"/>
    </row>
    <row r="425" spans="2:2" ht="12.5">
      <c r="B425" s="50"/>
    </row>
    <row r="426" spans="2:2" ht="12.5">
      <c r="B426" s="50"/>
    </row>
    <row r="427" spans="2:2" ht="12.5">
      <c r="B427" s="50"/>
    </row>
    <row r="428" spans="2:2" ht="12.5">
      <c r="B428" s="50"/>
    </row>
    <row r="429" spans="2:2" ht="12.5">
      <c r="B429" s="50"/>
    </row>
    <row r="430" spans="2:2" ht="12.5">
      <c r="B430" s="50"/>
    </row>
    <row r="431" spans="2:2" ht="12.5">
      <c r="B431" s="50"/>
    </row>
    <row r="432" spans="2:2" ht="12.5">
      <c r="B432" s="50"/>
    </row>
    <row r="433" spans="2:2" ht="12.5">
      <c r="B433" s="50"/>
    </row>
    <row r="434" spans="2:2" ht="12.5">
      <c r="B434" s="50"/>
    </row>
    <row r="435" spans="2:2" ht="12.5">
      <c r="B435" s="50"/>
    </row>
    <row r="436" spans="2:2" ht="12.5">
      <c r="B436" s="50"/>
    </row>
    <row r="437" spans="2:2" ht="12.5">
      <c r="B437" s="50"/>
    </row>
    <row r="438" spans="2:2" ht="12.5">
      <c r="B438" s="50"/>
    </row>
    <row r="439" spans="2:2" ht="12.5">
      <c r="B439" s="50"/>
    </row>
    <row r="440" spans="2:2" ht="12.5">
      <c r="B440" s="50"/>
    </row>
    <row r="441" spans="2:2" ht="12.5">
      <c r="B441" s="50"/>
    </row>
    <row r="442" spans="2:2" ht="12.5">
      <c r="B442" s="50"/>
    </row>
    <row r="443" spans="2:2" ht="12.5">
      <c r="B443" s="50"/>
    </row>
    <row r="444" spans="2:2" ht="12.5">
      <c r="B444" s="50"/>
    </row>
    <row r="445" spans="2:2" ht="12.5">
      <c r="B445" s="50"/>
    </row>
    <row r="446" spans="2:2" ht="12.5">
      <c r="B446" s="50"/>
    </row>
    <row r="447" spans="2:2" ht="12.5">
      <c r="B447" s="50"/>
    </row>
    <row r="448" spans="2:2" ht="12.5">
      <c r="B448" s="50"/>
    </row>
    <row r="449" spans="2:2" ht="12.5">
      <c r="B449" s="50"/>
    </row>
    <row r="450" spans="2:2" ht="12.5">
      <c r="B450" s="50"/>
    </row>
    <row r="451" spans="2:2" ht="12.5">
      <c r="B451" s="50"/>
    </row>
    <row r="452" spans="2:2" ht="12.5">
      <c r="B452" s="50"/>
    </row>
    <row r="453" spans="2:2" ht="12.5">
      <c r="B453" s="50"/>
    </row>
    <row r="454" spans="2:2" ht="12.5">
      <c r="B454" s="50"/>
    </row>
    <row r="455" spans="2:2" ht="12.5">
      <c r="B455" s="50"/>
    </row>
    <row r="456" spans="2:2" ht="12.5">
      <c r="B456" s="50"/>
    </row>
    <row r="457" spans="2:2" ht="12.5">
      <c r="B457" s="50"/>
    </row>
    <row r="458" spans="2:2" ht="12.5">
      <c r="B458" s="50"/>
    </row>
    <row r="459" spans="2:2" ht="12.5">
      <c r="B459" s="50"/>
    </row>
    <row r="460" spans="2:2" ht="12.5">
      <c r="B460" s="50"/>
    </row>
    <row r="461" spans="2:2" ht="12.5">
      <c r="B461" s="50"/>
    </row>
    <row r="462" spans="2:2" ht="12.5">
      <c r="B462" s="50"/>
    </row>
    <row r="463" spans="2:2" ht="12.5">
      <c r="B463" s="50"/>
    </row>
    <row r="464" spans="2:2" ht="12.5">
      <c r="B464" s="50"/>
    </row>
    <row r="465" spans="2:2" ht="12.5">
      <c r="B465" s="50"/>
    </row>
    <row r="466" spans="2:2" ht="12.5">
      <c r="B466" s="50"/>
    </row>
    <row r="467" spans="2:2" ht="12.5">
      <c r="B467" s="50"/>
    </row>
    <row r="468" spans="2:2" ht="12.5">
      <c r="B468" s="50"/>
    </row>
    <row r="469" spans="2:2" ht="12.5">
      <c r="B469" s="50"/>
    </row>
    <row r="470" spans="2:2" ht="12.5">
      <c r="B470" s="50"/>
    </row>
    <row r="471" spans="2:2" ht="12.5">
      <c r="B471" s="50"/>
    </row>
    <row r="472" spans="2:2" ht="12.5">
      <c r="B472" s="50"/>
    </row>
    <row r="473" spans="2:2" ht="12.5">
      <c r="B473" s="50"/>
    </row>
    <row r="474" spans="2:2" ht="12.5">
      <c r="B474" s="50"/>
    </row>
    <row r="475" spans="2:2" ht="12.5">
      <c r="B475" s="50"/>
    </row>
    <row r="476" spans="2:2" ht="12.5">
      <c r="B476" s="50"/>
    </row>
    <row r="477" spans="2:2" ht="12.5">
      <c r="B477" s="50"/>
    </row>
    <row r="478" spans="2:2" ht="12.5">
      <c r="B478" s="50"/>
    </row>
    <row r="479" spans="2:2" ht="12.5">
      <c r="B479" s="50"/>
    </row>
    <row r="480" spans="2:2" ht="12.5">
      <c r="B480" s="50"/>
    </row>
    <row r="481" spans="2:2" ht="12.5">
      <c r="B481" s="50"/>
    </row>
    <row r="482" spans="2:2" ht="12.5">
      <c r="B482" s="50"/>
    </row>
    <row r="483" spans="2:2" ht="12.5">
      <c r="B483" s="50"/>
    </row>
    <row r="484" spans="2:2" ht="12.5">
      <c r="B484" s="50"/>
    </row>
    <row r="485" spans="2:2" ht="12.5">
      <c r="B485" s="50"/>
    </row>
    <row r="486" spans="2:2" ht="12.5">
      <c r="B486" s="50"/>
    </row>
    <row r="487" spans="2:2" ht="12.5">
      <c r="B487" s="50"/>
    </row>
    <row r="488" spans="2:2" ht="12.5">
      <c r="B488" s="50"/>
    </row>
    <row r="489" spans="2:2" ht="12.5">
      <c r="B489" s="50"/>
    </row>
    <row r="490" spans="2:2" ht="12.5">
      <c r="B490" s="50"/>
    </row>
    <row r="491" spans="2:2" ht="12.5">
      <c r="B491" s="50"/>
    </row>
    <row r="492" spans="2:2" ht="12.5">
      <c r="B492" s="50"/>
    </row>
    <row r="493" spans="2:2" ht="12.5">
      <c r="B493" s="50"/>
    </row>
    <row r="494" spans="2:2" ht="12.5">
      <c r="B494" s="50"/>
    </row>
    <row r="495" spans="2:2" ht="12.5">
      <c r="B495" s="50"/>
    </row>
    <row r="496" spans="2:2" ht="12.5">
      <c r="B496" s="50"/>
    </row>
    <row r="497" spans="2:2" ht="12.5">
      <c r="B497" s="50"/>
    </row>
    <row r="498" spans="2:2" ht="12.5">
      <c r="B498" s="50"/>
    </row>
    <row r="499" spans="2:2" ht="12.5">
      <c r="B499" s="50"/>
    </row>
    <row r="500" spans="2:2" ht="12.5">
      <c r="B500" s="50"/>
    </row>
    <row r="501" spans="2:2" ht="12.5">
      <c r="B501" s="50"/>
    </row>
    <row r="502" spans="2:2" ht="12.5">
      <c r="B502" s="50"/>
    </row>
    <row r="503" spans="2:2" ht="12.5">
      <c r="B503" s="50"/>
    </row>
    <row r="504" spans="2:2" ht="12.5">
      <c r="B504" s="50"/>
    </row>
    <row r="505" spans="2:2" ht="12.5">
      <c r="B505" s="50"/>
    </row>
    <row r="506" spans="2:2" ht="12.5">
      <c r="B506" s="50"/>
    </row>
    <row r="507" spans="2:2" ht="12.5">
      <c r="B507" s="50"/>
    </row>
    <row r="508" spans="2:2" ht="12.5">
      <c r="B508" s="50"/>
    </row>
    <row r="509" spans="2:2" ht="12.5">
      <c r="B509" s="50"/>
    </row>
    <row r="510" spans="2:2" ht="12.5">
      <c r="B510" s="50"/>
    </row>
    <row r="511" spans="2:2" ht="12.5">
      <c r="B511" s="50"/>
    </row>
    <row r="512" spans="2:2" ht="12.5">
      <c r="B512" s="50"/>
    </row>
    <row r="513" spans="2:2" ht="12.5">
      <c r="B513" s="50"/>
    </row>
    <row r="514" spans="2:2" ht="12.5">
      <c r="B514" s="50"/>
    </row>
    <row r="515" spans="2:2" ht="12.5">
      <c r="B515" s="50"/>
    </row>
    <row r="516" spans="2:2" ht="12.5">
      <c r="B516" s="50"/>
    </row>
    <row r="517" spans="2:2" ht="12.5">
      <c r="B517" s="50"/>
    </row>
    <row r="518" spans="2:2" ht="12.5">
      <c r="B518" s="50"/>
    </row>
    <row r="519" spans="2:2" ht="12.5">
      <c r="B519" s="50"/>
    </row>
    <row r="520" spans="2:2" ht="12.5">
      <c r="B520" s="50"/>
    </row>
    <row r="521" spans="2:2" ht="12.5">
      <c r="B521" s="50"/>
    </row>
    <row r="522" spans="2:2" ht="12.5">
      <c r="B522" s="50"/>
    </row>
    <row r="523" spans="2:2" ht="12.5">
      <c r="B523" s="50"/>
    </row>
    <row r="524" spans="2:2" ht="12.5">
      <c r="B524" s="50"/>
    </row>
    <row r="525" spans="2:2" ht="12.5">
      <c r="B525" s="50"/>
    </row>
    <row r="526" spans="2:2" ht="12.5">
      <c r="B526" s="50"/>
    </row>
    <row r="527" spans="2:2" ht="12.5">
      <c r="B527" s="50"/>
    </row>
    <row r="528" spans="2:2" ht="12.5">
      <c r="B528" s="50"/>
    </row>
    <row r="529" spans="2:2" ht="12.5">
      <c r="B529" s="50"/>
    </row>
    <row r="530" spans="2:2" ht="12.5">
      <c r="B530" s="50"/>
    </row>
    <row r="531" spans="2:2" ht="12.5">
      <c r="B531" s="50"/>
    </row>
    <row r="532" spans="2:2" ht="12.5">
      <c r="B532" s="50"/>
    </row>
    <row r="533" spans="2:2" ht="12.5">
      <c r="B533" s="50"/>
    </row>
    <row r="534" spans="2:2" ht="12.5">
      <c r="B534" s="50"/>
    </row>
    <row r="535" spans="2:2" ht="12.5">
      <c r="B535" s="50"/>
    </row>
    <row r="536" spans="2:2" ht="12.5">
      <c r="B536" s="50"/>
    </row>
    <row r="537" spans="2:2" ht="12.5">
      <c r="B537" s="50"/>
    </row>
    <row r="538" spans="2:2" ht="12.5">
      <c r="B538" s="50"/>
    </row>
    <row r="539" spans="2:2" ht="12.5">
      <c r="B539" s="50"/>
    </row>
    <row r="540" spans="2:2" ht="12.5">
      <c r="B540" s="50"/>
    </row>
    <row r="541" spans="2:2" ht="12.5">
      <c r="B541" s="50"/>
    </row>
    <row r="542" spans="2:2" ht="12.5">
      <c r="B542" s="50"/>
    </row>
    <row r="543" spans="2:2" ht="12.5">
      <c r="B543" s="50"/>
    </row>
    <row r="544" spans="2:2" ht="12.5">
      <c r="B544" s="50"/>
    </row>
    <row r="545" spans="2:2" ht="12.5">
      <c r="B545" s="50"/>
    </row>
    <row r="546" spans="2:2" ht="12.5">
      <c r="B546" s="50"/>
    </row>
    <row r="547" spans="2:2" ht="12.5">
      <c r="B547" s="50"/>
    </row>
    <row r="548" spans="2:2" ht="12.5">
      <c r="B548" s="50"/>
    </row>
    <row r="549" spans="2:2" ht="12.5">
      <c r="B549" s="50"/>
    </row>
    <row r="550" spans="2:2" ht="12.5">
      <c r="B550" s="50"/>
    </row>
    <row r="551" spans="2:2" ht="12.5">
      <c r="B551" s="50"/>
    </row>
    <row r="552" spans="2:2" ht="12.5">
      <c r="B552" s="50"/>
    </row>
    <row r="553" spans="2:2" ht="12.5">
      <c r="B553" s="50"/>
    </row>
    <row r="554" spans="2:2" ht="12.5">
      <c r="B554" s="50"/>
    </row>
    <row r="555" spans="2:2" ht="12.5">
      <c r="B555" s="50"/>
    </row>
    <row r="556" spans="2:2" ht="12.5">
      <c r="B556" s="50"/>
    </row>
    <row r="557" spans="2:2" ht="12.5">
      <c r="B557" s="50"/>
    </row>
    <row r="558" spans="2:2" ht="12.5">
      <c r="B558" s="50"/>
    </row>
    <row r="559" spans="2:2" ht="12.5">
      <c r="B559" s="50"/>
    </row>
    <row r="560" spans="2:2" ht="12.5">
      <c r="B560" s="50"/>
    </row>
    <row r="561" spans="2:2" ht="12.5">
      <c r="B561" s="50"/>
    </row>
    <row r="562" spans="2:2" ht="12.5">
      <c r="B562" s="50"/>
    </row>
    <row r="563" spans="2:2" ht="12.5">
      <c r="B563" s="50"/>
    </row>
    <row r="564" spans="2:2" ht="12.5">
      <c r="B564" s="50"/>
    </row>
    <row r="565" spans="2:2" ht="12.5">
      <c r="B565" s="50"/>
    </row>
    <row r="566" spans="2:2" ht="12.5">
      <c r="B566" s="50"/>
    </row>
    <row r="567" spans="2:2" ht="12.5">
      <c r="B567" s="50"/>
    </row>
    <row r="568" spans="2:2" ht="12.5">
      <c r="B568" s="50"/>
    </row>
    <row r="569" spans="2:2" ht="12.5">
      <c r="B569" s="50"/>
    </row>
    <row r="570" spans="2:2" ht="12.5">
      <c r="B570" s="50"/>
    </row>
    <row r="571" spans="2:2" ht="12.5">
      <c r="B571" s="50"/>
    </row>
    <row r="572" spans="2:2" ht="12.5">
      <c r="B572" s="50"/>
    </row>
    <row r="573" spans="2:2" ht="12.5">
      <c r="B573" s="50"/>
    </row>
    <row r="574" spans="2:2" ht="12.5">
      <c r="B574" s="50"/>
    </row>
    <row r="575" spans="2:2" ht="12.5">
      <c r="B575" s="50"/>
    </row>
    <row r="576" spans="2:2" ht="12.5">
      <c r="B576" s="50"/>
    </row>
    <row r="577" spans="2:2" ht="12.5">
      <c r="B577" s="50"/>
    </row>
    <row r="578" spans="2:2" ht="12.5">
      <c r="B578" s="50"/>
    </row>
    <row r="579" spans="2:2" ht="12.5">
      <c r="B579" s="50"/>
    </row>
    <row r="580" spans="2:2" ht="12.5">
      <c r="B580" s="50"/>
    </row>
    <row r="581" spans="2:2" ht="12.5">
      <c r="B581" s="50"/>
    </row>
    <row r="582" spans="2:2" ht="12.5">
      <c r="B582" s="50"/>
    </row>
    <row r="583" spans="2:2" ht="12.5">
      <c r="B583" s="50"/>
    </row>
    <row r="584" spans="2:2" ht="12.5">
      <c r="B584" s="50"/>
    </row>
    <row r="585" spans="2:2" ht="12.5">
      <c r="B585" s="50"/>
    </row>
    <row r="586" spans="2:2" ht="12.5">
      <c r="B586" s="50"/>
    </row>
    <row r="587" spans="2:2" ht="12.5">
      <c r="B587" s="50"/>
    </row>
    <row r="588" spans="2:2" ht="12.5">
      <c r="B588" s="50"/>
    </row>
    <row r="589" spans="2:2" ht="12.5">
      <c r="B589" s="50"/>
    </row>
    <row r="590" spans="2:2" ht="12.5">
      <c r="B590" s="50"/>
    </row>
    <row r="591" spans="2:2" ht="12.5">
      <c r="B591" s="50"/>
    </row>
    <row r="592" spans="2:2" ht="12.5">
      <c r="B592" s="50"/>
    </row>
    <row r="593" spans="2:2" ht="12.5">
      <c r="B593" s="50"/>
    </row>
    <row r="594" spans="2:2" ht="12.5">
      <c r="B594" s="50"/>
    </row>
    <row r="595" spans="2:2" ht="12.5">
      <c r="B595" s="50"/>
    </row>
    <row r="596" spans="2:2" ht="12.5">
      <c r="B596" s="50"/>
    </row>
    <row r="597" spans="2:2" ht="12.5">
      <c r="B597" s="50"/>
    </row>
    <row r="598" spans="2:2" ht="12.5">
      <c r="B598" s="50"/>
    </row>
    <row r="599" spans="2:2" ht="12.5">
      <c r="B599" s="50"/>
    </row>
    <row r="600" spans="2:2" ht="12.5">
      <c r="B600" s="50"/>
    </row>
    <row r="601" spans="2:2" ht="12.5">
      <c r="B601" s="50"/>
    </row>
    <row r="602" spans="2:2" ht="12.5">
      <c r="B602" s="50"/>
    </row>
    <row r="603" spans="2:2" ht="12.5">
      <c r="B603" s="50"/>
    </row>
    <row r="604" spans="2:2" ht="12.5">
      <c r="B604" s="50"/>
    </row>
    <row r="605" spans="2:2" ht="12.5">
      <c r="B605" s="50"/>
    </row>
    <row r="606" spans="2:2" ht="12.5">
      <c r="B606" s="50"/>
    </row>
    <row r="607" spans="2:2" ht="12.5">
      <c r="B607" s="50"/>
    </row>
    <row r="608" spans="2:2" ht="12.5">
      <c r="B608" s="50"/>
    </row>
    <row r="609" spans="2:2" ht="12.5">
      <c r="B609" s="50"/>
    </row>
    <row r="610" spans="2:2" ht="12.5">
      <c r="B610" s="50"/>
    </row>
    <row r="611" spans="2:2" ht="12.5">
      <c r="B611" s="50"/>
    </row>
    <row r="612" spans="2:2" ht="12.5">
      <c r="B612" s="50"/>
    </row>
    <row r="613" spans="2:2" ht="12.5">
      <c r="B613" s="50"/>
    </row>
    <row r="614" spans="2:2" ht="12.5">
      <c r="B614" s="50"/>
    </row>
    <row r="615" spans="2:2" ht="12.5">
      <c r="B615" s="50"/>
    </row>
    <row r="616" spans="2:2" ht="12.5">
      <c r="B616" s="50"/>
    </row>
    <row r="617" spans="2:2" ht="12.5">
      <c r="B617" s="50"/>
    </row>
    <row r="618" spans="2:2" ht="12.5">
      <c r="B618" s="50"/>
    </row>
    <row r="619" spans="2:2" ht="12.5">
      <c r="B619" s="50"/>
    </row>
    <row r="620" spans="2:2" ht="12.5">
      <c r="B620" s="50"/>
    </row>
    <row r="621" spans="2:2" ht="12.5">
      <c r="B621" s="50"/>
    </row>
    <row r="622" spans="2:2" ht="12.5">
      <c r="B622" s="50"/>
    </row>
    <row r="623" spans="2:2" ht="12.5">
      <c r="B623" s="50"/>
    </row>
    <row r="624" spans="2:2" ht="12.5">
      <c r="B624" s="50"/>
    </row>
    <row r="625" spans="2:2" ht="12.5">
      <c r="B625" s="50"/>
    </row>
    <row r="626" spans="2:2" ht="12.5">
      <c r="B626" s="50"/>
    </row>
    <row r="627" spans="2:2" ht="12.5">
      <c r="B627" s="50"/>
    </row>
    <row r="628" spans="2:2" ht="12.5">
      <c r="B628" s="50"/>
    </row>
    <row r="629" spans="2:2" ht="12.5">
      <c r="B629" s="50"/>
    </row>
    <row r="630" spans="2:2" ht="12.5">
      <c r="B630" s="50"/>
    </row>
    <row r="631" spans="2:2" ht="12.5">
      <c r="B631" s="50"/>
    </row>
    <row r="632" spans="2:2" ht="12.5">
      <c r="B632" s="50"/>
    </row>
    <row r="633" spans="2:2" ht="12.5">
      <c r="B633" s="50"/>
    </row>
    <row r="634" spans="2:2" ht="12.5">
      <c r="B634" s="50"/>
    </row>
    <row r="635" spans="2:2" ht="12.5">
      <c r="B635" s="50"/>
    </row>
    <row r="636" spans="2:2" ht="12.5">
      <c r="B636" s="50"/>
    </row>
    <row r="637" spans="2:2" ht="12.5">
      <c r="B637" s="50"/>
    </row>
    <row r="638" spans="2:2" ht="12.5">
      <c r="B638" s="50"/>
    </row>
    <row r="639" spans="2:2" ht="12.5">
      <c r="B639" s="50"/>
    </row>
    <row r="640" spans="2:2" ht="12.5">
      <c r="B640" s="50"/>
    </row>
    <row r="641" spans="2:2" ht="12.5">
      <c r="B641" s="50"/>
    </row>
    <row r="642" spans="2:2" ht="12.5">
      <c r="B642" s="50"/>
    </row>
    <row r="643" spans="2:2" ht="12.5">
      <c r="B643" s="50"/>
    </row>
    <row r="644" spans="2:2" ht="12.5">
      <c r="B644" s="50"/>
    </row>
    <row r="645" spans="2:2" ht="12.5">
      <c r="B645" s="50"/>
    </row>
    <row r="646" spans="2:2" ht="12.5">
      <c r="B646" s="50"/>
    </row>
    <row r="647" spans="2:2" ht="12.5">
      <c r="B647" s="50"/>
    </row>
    <row r="648" spans="2:2" ht="12.5">
      <c r="B648" s="50"/>
    </row>
    <row r="649" spans="2:2" ht="12.5">
      <c r="B649" s="50"/>
    </row>
    <row r="650" spans="2:2" ht="12.5">
      <c r="B650" s="50"/>
    </row>
    <row r="651" spans="2:2" ht="12.5">
      <c r="B651" s="50"/>
    </row>
    <row r="652" spans="2:2" ht="12.5">
      <c r="B652" s="50"/>
    </row>
    <row r="653" spans="2:2" ht="12.5">
      <c r="B653" s="50"/>
    </row>
    <row r="654" spans="2:2" ht="12.5">
      <c r="B654" s="50"/>
    </row>
    <row r="655" spans="2:2" ht="12.5">
      <c r="B655" s="50"/>
    </row>
    <row r="656" spans="2:2" ht="12.5">
      <c r="B656" s="50"/>
    </row>
    <row r="657" spans="2:2" ht="12.5">
      <c r="B657" s="50"/>
    </row>
    <row r="658" spans="2:2" ht="12.5">
      <c r="B658" s="50"/>
    </row>
    <row r="659" spans="2:2" ht="12.5">
      <c r="B659" s="50"/>
    </row>
    <row r="660" spans="2:2" ht="12.5">
      <c r="B660" s="50"/>
    </row>
    <row r="661" spans="2:2" ht="12.5">
      <c r="B661" s="50"/>
    </row>
    <row r="662" spans="2:2" ht="12.5">
      <c r="B662" s="50"/>
    </row>
    <row r="663" spans="2:2" ht="12.5">
      <c r="B663" s="50"/>
    </row>
    <row r="664" spans="2:2" ht="12.5">
      <c r="B664" s="50"/>
    </row>
    <row r="665" spans="2:2" ht="12.5">
      <c r="B665" s="50"/>
    </row>
    <row r="666" spans="2:2" ht="12.5">
      <c r="B666" s="50"/>
    </row>
    <row r="667" spans="2:2" ht="12.5">
      <c r="B667" s="50"/>
    </row>
    <row r="668" spans="2:2" ht="12.5">
      <c r="B668" s="50"/>
    </row>
    <row r="669" spans="2:2" ht="12.5">
      <c r="B669" s="50"/>
    </row>
    <row r="670" spans="2:2" ht="12.5">
      <c r="B670" s="50"/>
    </row>
    <row r="671" spans="2:2" ht="12.5">
      <c r="B671" s="50"/>
    </row>
    <row r="672" spans="2:2" ht="12.5">
      <c r="B672" s="50"/>
    </row>
    <row r="673" spans="2:2" ht="12.5">
      <c r="B673" s="50"/>
    </row>
    <row r="674" spans="2:2" ht="12.5">
      <c r="B674" s="50"/>
    </row>
    <row r="675" spans="2:2" ht="12.5">
      <c r="B675" s="50"/>
    </row>
    <row r="676" spans="2:2" ht="12.5">
      <c r="B676" s="50"/>
    </row>
    <row r="677" spans="2:2" ht="12.5">
      <c r="B677" s="50"/>
    </row>
    <row r="678" spans="2:2" ht="12.5">
      <c r="B678" s="50"/>
    </row>
    <row r="679" spans="2:2" ht="12.5">
      <c r="B679" s="50"/>
    </row>
    <row r="680" spans="2:2" ht="12.5">
      <c r="B680" s="50"/>
    </row>
    <row r="681" spans="2:2" ht="12.5">
      <c r="B681" s="50"/>
    </row>
    <row r="682" spans="2:2" ht="12.5">
      <c r="B682" s="50"/>
    </row>
    <row r="683" spans="2:2" ht="12.5">
      <c r="B683" s="50"/>
    </row>
    <row r="684" spans="2:2" ht="12.5">
      <c r="B684" s="50"/>
    </row>
    <row r="685" spans="2:2" ht="12.5">
      <c r="B685" s="50"/>
    </row>
    <row r="686" spans="2:2" ht="12.5">
      <c r="B686" s="50"/>
    </row>
    <row r="687" spans="2:2" ht="12.5">
      <c r="B687" s="50"/>
    </row>
    <row r="688" spans="2:2" ht="12.5">
      <c r="B688" s="50"/>
    </row>
    <row r="689" spans="2:2" ht="12.5">
      <c r="B689" s="50"/>
    </row>
    <row r="690" spans="2:2" ht="12.5">
      <c r="B690" s="50"/>
    </row>
    <row r="691" spans="2:2" ht="12.5">
      <c r="B691" s="50"/>
    </row>
    <row r="692" spans="2:2" ht="12.5">
      <c r="B692" s="50"/>
    </row>
    <row r="693" spans="2:2" ht="12.5">
      <c r="B693" s="50"/>
    </row>
    <row r="694" spans="2:2" ht="12.5">
      <c r="B694" s="50"/>
    </row>
    <row r="695" spans="2:2" ht="12.5">
      <c r="B695" s="50"/>
    </row>
    <row r="696" spans="2:2" ht="12.5">
      <c r="B696" s="50"/>
    </row>
    <row r="697" spans="2:2" ht="12.5">
      <c r="B697" s="50"/>
    </row>
    <row r="698" spans="2:2" ht="12.5">
      <c r="B698" s="50"/>
    </row>
    <row r="699" spans="2:2" ht="12.5">
      <c r="B699" s="50"/>
    </row>
    <row r="700" spans="2:2" ht="12.5">
      <c r="B700" s="50"/>
    </row>
    <row r="701" spans="2:2" ht="12.5">
      <c r="B701" s="50"/>
    </row>
    <row r="702" spans="2:2" ht="12.5">
      <c r="B702" s="50"/>
    </row>
    <row r="703" spans="2:2" ht="12.5">
      <c r="B703" s="50"/>
    </row>
    <row r="704" spans="2:2" ht="12.5">
      <c r="B704" s="50"/>
    </row>
    <row r="705" spans="2:2" ht="12.5">
      <c r="B705" s="50"/>
    </row>
    <row r="706" spans="2:2" ht="12.5">
      <c r="B706" s="50"/>
    </row>
    <row r="707" spans="2:2" ht="12.5">
      <c r="B707" s="50"/>
    </row>
    <row r="708" spans="2:2" ht="12.5">
      <c r="B708" s="50"/>
    </row>
    <row r="709" spans="2:2" ht="12.5">
      <c r="B709" s="50"/>
    </row>
    <row r="710" spans="2:2" ht="12.5">
      <c r="B710" s="50"/>
    </row>
    <row r="711" spans="2:2" ht="12.5">
      <c r="B711" s="50"/>
    </row>
    <row r="712" spans="2:2" ht="12.5">
      <c r="B712" s="50"/>
    </row>
    <row r="713" spans="2:2" ht="12.5">
      <c r="B713" s="50"/>
    </row>
    <row r="714" spans="2:2" ht="12.5">
      <c r="B714" s="50"/>
    </row>
    <row r="715" spans="2:2" ht="12.5">
      <c r="B715" s="50"/>
    </row>
    <row r="716" spans="2:2" ht="12.5">
      <c r="B716" s="50"/>
    </row>
    <row r="717" spans="2:2" ht="12.5">
      <c r="B717" s="50"/>
    </row>
    <row r="718" spans="2:2" ht="12.5">
      <c r="B718" s="50"/>
    </row>
    <row r="719" spans="2:2" ht="12.5">
      <c r="B719" s="50"/>
    </row>
    <row r="720" spans="2:2" ht="12.5">
      <c r="B720" s="50"/>
    </row>
    <row r="721" spans="2:2" ht="12.5">
      <c r="B721" s="50"/>
    </row>
    <row r="722" spans="2:2" ht="12.5">
      <c r="B722" s="50"/>
    </row>
    <row r="723" spans="2:2" ht="12.5">
      <c r="B723" s="50"/>
    </row>
    <row r="724" spans="2:2" ht="12.5">
      <c r="B724" s="50"/>
    </row>
    <row r="725" spans="2:2" ht="12.5">
      <c r="B725" s="50"/>
    </row>
    <row r="726" spans="2:2" ht="12.5">
      <c r="B726" s="50"/>
    </row>
    <row r="727" spans="2:2" ht="12.5">
      <c r="B727" s="50"/>
    </row>
    <row r="728" spans="2:2" ht="12.5">
      <c r="B728" s="50"/>
    </row>
    <row r="729" spans="2:2" ht="12.5">
      <c r="B729" s="50"/>
    </row>
    <row r="730" spans="2:2" ht="12.5">
      <c r="B730" s="50"/>
    </row>
    <row r="731" spans="2:2" ht="12.5">
      <c r="B731" s="50"/>
    </row>
    <row r="732" spans="2:2" ht="12.5">
      <c r="B732" s="50"/>
    </row>
    <row r="733" spans="2:2" ht="12.5">
      <c r="B733" s="50"/>
    </row>
    <row r="734" spans="2:2" ht="12.5">
      <c r="B734" s="50"/>
    </row>
    <row r="735" spans="2:2" ht="12.5">
      <c r="B735" s="50"/>
    </row>
    <row r="736" spans="2:2" ht="12.5">
      <c r="B736" s="50"/>
    </row>
    <row r="737" spans="2:2" ht="12.5">
      <c r="B737" s="50"/>
    </row>
    <row r="738" spans="2:2" ht="12.5">
      <c r="B738" s="50"/>
    </row>
    <row r="739" spans="2:2" ht="12.5">
      <c r="B739" s="50"/>
    </row>
    <row r="740" spans="2:2" ht="12.5">
      <c r="B740" s="50"/>
    </row>
    <row r="741" spans="2:2" ht="12.5">
      <c r="B741" s="50"/>
    </row>
    <row r="742" spans="2:2" ht="12.5">
      <c r="B742" s="50"/>
    </row>
    <row r="743" spans="2:2" ht="12.5">
      <c r="B743" s="50"/>
    </row>
    <row r="744" spans="2:2" ht="12.5">
      <c r="B744" s="50"/>
    </row>
    <row r="745" spans="2:2" ht="12.5">
      <c r="B745" s="50"/>
    </row>
    <row r="746" spans="2:2" ht="12.5">
      <c r="B746" s="50"/>
    </row>
    <row r="747" spans="2:2" ht="12.5">
      <c r="B747" s="50"/>
    </row>
    <row r="748" spans="2:2" ht="12.5">
      <c r="B748" s="50"/>
    </row>
    <row r="749" spans="2:2" ht="12.5">
      <c r="B749" s="50"/>
    </row>
    <row r="750" spans="2:2" ht="12.5">
      <c r="B750" s="50"/>
    </row>
    <row r="751" spans="2:2" ht="12.5">
      <c r="B751" s="50"/>
    </row>
    <row r="752" spans="2:2" ht="12.5">
      <c r="B752" s="50"/>
    </row>
    <row r="753" spans="2:2" ht="12.5">
      <c r="B753" s="50"/>
    </row>
    <row r="754" spans="2:2" ht="12.5">
      <c r="B754" s="50"/>
    </row>
    <row r="755" spans="2:2" ht="12.5">
      <c r="B755" s="50"/>
    </row>
    <row r="756" spans="2:2" ht="12.5">
      <c r="B756" s="50"/>
    </row>
    <row r="757" spans="2:2" ht="12.5">
      <c r="B757" s="50"/>
    </row>
    <row r="758" spans="2:2" ht="12.5">
      <c r="B758" s="50"/>
    </row>
    <row r="759" spans="2:2" ht="12.5">
      <c r="B759" s="50"/>
    </row>
    <row r="760" spans="2:2" ht="12.5">
      <c r="B760" s="50"/>
    </row>
    <row r="761" spans="2:2" ht="12.5">
      <c r="B761" s="50"/>
    </row>
    <row r="762" spans="2:2" ht="12.5">
      <c r="B762" s="50"/>
    </row>
    <row r="763" spans="2:2" ht="12.5">
      <c r="B763" s="50"/>
    </row>
    <row r="764" spans="2:2" ht="12.5">
      <c r="B764" s="50"/>
    </row>
    <row r="765" spans="2:2" ht="12.5">
      <c r="B765" s="50"/>
    </row>
    <row r="766" spans="2:2" ht="12.5">
      <c r="B766" s="50"/>
    </row>
    <row r="767" spans="2:2" ht="12.5">
      <c r="B767" s="50"/>
    </row>
    <row r="768" spans="2:2" ht="12.5">
      <c r="B768" s="50"/>
    </row>
    <row r="769" spans="2:2" ht="12.5">
      <c r="B769" s="50"/>
    </row>
    <row r="770" spans="2:2" ht="12.5">
      <c r="B770" s="50"/>
    </row>
    <row r="771" spans="2:2" ht="12.5">
      <c r="B771" s="50"/>
    </row>
    <row r="772" spans="2:2" ht="12.5">
      <c r="B772" s="50"/>
    </row>
    <row r="773" spans="2:2" ht="12.5">
      <c r="B773" s="50"/>
    </row>
    <row r="774" spans="2:2" ht="12.5">
      <c r="B774" s="50"/>
    </row>
    <row r="775" spans="2:2" ht="12.5">
      <c r="B775" s="50"/>
    </row>
    <row r="776" spans="2:2" ht="12.5">
      <c r="B776" s="50"/>
    </row>
    <row r="777" spans="2:2" ht="12.5">
      <c r="B777" s="50"/>
    </row>
    <row r="778" spans="2:2" ht="12.5">
      <c r="B778" s="50"/>
    </row>
    <row r="779" spans="2:2" ht="12.5">
      <c r="B779" s="50"/>
    </row>
    <row r="780" spans="2:2" ht="12.5">
      <c r="B780" s="50"/>
    </row>
    <row r="781" spans="2:2" ht="12.5">
      <c r="B781" s="50"/>
    </row>
    <row r="782" spans="2:2" ht="12.5">
      <c r="B782" s="50"/>
    </row>
    <row r="783" spans="2:2" ht="12.5">
      <c r="B783" s="50"/>
    </row>
    <row r="784" spans="2:2" ht="12.5">
      <c r="B784" s="50"/>
    </row>
    <row r="785" spans="2:2" ht="12.5">
      <c r="B785" s="50"/>
    </row>
    <row r="786" spans="2:2" ht="12.5">
      <c r="B786" s="50"/>
    </row>
    <row r="787" spans="2:2" ht="12.5">
      <c r="B787" s="50"/>
    </row>
    <row r="788" spans="2:2" ht="12.5">
      <c r="B788" s="50"/>
    </row>
    <row r="789" spans="2:2" ht="12.5">
      <c r="B789" s="50"/>
    </row>
    <row r="790" spans="2:2" ht="12.5">
      <c r="B790" s="50"/>
    </row>
    <row r="791" spans="2:2" ht="12.5">
      <c r="B791" s="50"/>
    </row>
    <row r="792" spans="2:2" ht="12.5">
      <c r="B792" s="50"/>
    </row>
    <row r="793" spans="2:2" ht="12.5">
      <c r="B793" s="50"/>
    </row>
    <row r="794" spans="2:2" ht="12.5">
      <c r="B794" s="50"/>
    </row>
    <row r="795" spans="2:2" ht="12.5">
      <c r="B795" s="50"/>
    </row>
    <row r="796" spans="2:2" ht="12.5">
      <c r="B796" s="50"/>
    </row>
    <row r="797" spans="2:2" ht="12.5">
      <c r="B797" s="50"/>
    </row>
    <row r="798" spans="2:2" ht="12.5">
      <c r="B798" s="50"/>
    </row>
    <row r="799" spans="2:2" ht="12.5">
      <c r="B799" s="50"/>
    </row>
    <row r="800" spans="2:2" ht="12.5">
      <c r="B800" s="50"/>
    </row>
    <row r="801" spans="2:2" ht="12.5">
      <c r="B801" s="50"/>
    </row>
    <row r="802" spans="2:2" ht="12.5">
      <c r="B802" s="50"/>
    </row>
    <row r="803" spans="2:2" ht="12.5">
      <c r="B803" s="50"/>
    </row>
    <row r="804" spans="2:2" ht="12.5">
      <c r="B804" s="50"/>
    </row>
    <row r="805" spans="2:2" ht="12.5">
      <c r="B805" s="50"/>
    </row>
    <row r="806" spans="2:2" ht="12.5">
      <c r="B806" s="50"/>
    </row>
    <row r="807" spans="2:2" ht="12.5">
      <c r="B807" s="50"/>
    </row>
    <row r="808" spans="2:2" ht="12.5">
      <c r="B808" s="50"/>
    </row>
    <row r="809" spans="2:2" ht="12.5">
      <c r="B809" s="50"/>
    </row>
    <row r="810" spans="2:2" ht="12.5">
      <c r="B810" s="50"/>
    </row>
    <row r="811" spans="2:2" ht="12.5">
      <c r="B811" s="50"/>
    </row>
    <row r="812" spans="2:2" ht="12.5">
      <c r="B812" s="50"/>
    </row>
    <row r="813" spans="2:2" ht="12.5">
      <c r="B813" s="50"/>
    </row>
    <row r="814" spans="2:2" ht="12.5">
      <c r="B814" s="50"/>
    </row>
    <row r="815" spans="2:2" ht="12.5">
      <c r="B815" s="50"/>
    </row>
    <row r="816" spans="2:2" ht="12.5">
      <c r="B816" s="50"/>
    </row>
    <row r="817" spans="2:2" ht="12.5">
      <c r="B817" s="50"/>
    </row>
    <row r="818" spans="2:2" ht="12.5">
      <c r="B818" s="50"/>
    </row>
    <row r="819" spans="2:2" ht="12.5">
      <c r="B819" s="50"/>
    </row>
    <row r="820" spans="2:2" ht="12.5">
      <c r="B820" s="50"/>
    </row>
    <row r="821" spans="2:2" ht="12.5">
      <c r="B821" s="50"/>
    </row>
    <row r="822" spans="2:2" ht="12.5">
      <c r="B822" s="50"/>
    </row>
    <row r="823" spans="2:2" ht="12.5">
      <c r="B823" s="50"/>
    </row>
    <row r="824" spans="2:2" ht="12.5">
      <c r="B824" s="50"/>
    </row>
    <row r="825" spans="2:2" ht="12.5">
      <c r="B825" s="50"/>
    </row>
    <row r="826" spans="2:2" ht="12.5">
      <c r="B826" s="50"/>
    </row>
    <row r="827" spans="2:2" ht="12.5">
      <c r="B827" s="50"/>
    </row>
    <row r="828" spans="2:2" ht="12.5">
      <c r="B828" s="50"/>
    </row>
    <row r="829" spans="2:2" ht="12.5">
      <c r="B829" s="50"/>
    </row>
    <row r="830" spans="2:2" ht="12.5">
      <c r="B830" s="50"/>
    </row>
    <row r="831" spans="2:2" ht="12.5">
      <c r="B831" s="50"/>
    </row>
    <row r="832" spans="2:2" ht="12.5">
      <c r="B832" s="50"/>
    </row>
    <row r="833" spans="2:2" ht="12.5">
      <c r="B833" s="50"/>
    </row>
    <row r="834" spans="2:2" ht="12.5">
      <c r="B834" s="50"/>
    </row>
    <row r="835" spans="2:2" ht="12.5">
      <c r="B835" s="50"/>
    </row>
    <row r="836" spans="2:2" ht="12.5">
      <c r="B836" s="50"/>
    </row>
    <row r="837" spans="2:2" ht="12.5">
      <c r="B837" s="50"/>
    </row>
    <row r="838" spans="2:2" ht="12.5">
      <c r="B838" s="50"/>
    </row>
    <row r="839" spans="2:2" ht="12.5">
      <c r="B839" s="50"/>
    </row>
    <row r="840" spans="2:2" ht="12.5">
      <c r="B840" s="50"/>
    </row>
    <row r="841" spans="2:2" ht="12.5">
      <c r="B841" s="50"/>
    </row>
    <row r="842" spans="2:2" ht="12.5">
      <c r="B842" s="50"/>
    </row>
    <row r="843" spans="2:2" ht="12.5">
      <c r="B843" s="50"/>
    </row>
    <row r="844" spans="2:2" ht="12.5">
      <c r="B844" s="50"/>
    </row>
    <row r="845" spans="2:2" ht="12.5">
      <c r="B845" s="50"/>
    </row>
    <row r="846" spans="2:2" ht="12.5">
      <c r="B846" s="50"/>
    </row>
    <row r="847" spans="2:2" ht="12.5">
      <c r="B847" s="50"/>
    </row>
    <row r="848" spans="2:2" ht="12.5">
      <c r="B848" s="50"/>
    </row>
    <row r="849" spans="2:2" ht="12.5">
      <c r="B849" s="50"/>
    </row>
    <row r="850" spans="2:2" ht="12.5">
      <c r="B850" s="50"/>
    </row>
    <row r="851" spans="2:2" ht="12.5">
      <c r="B851" s="50"/>
    </row>
    <row r="852" spans="2:2" ht="12.5">
      <c r="B852" s="50"/>
    </row>
    <row r="853" spans="2:2" ht="12.5">
      <c r="B853" s="50"/>
    </row>
    <row r="854" spans="2:2" ht="12.5">
      <c r="B854" s="50"/>
    </row>
    <row r="855" spans="2:2" ht="12.5">
      <c r="B855" s="50"/>
    </row>
    <row r="856" spans="2:2" ht="12.5">
      <c r="B856" s="50"/>
    </row>
    <row r="857" spans="2:2" ht="12.5">
      <c r="B857" s="50"/>
    </row>
    <row r="858" spans="2:2" ht="12.5">
      <c r="B858" s="50"/>
    </row>
    <row r="859" spans="2:2" ht="12.5">
      <c r="B859" s="50"/>
    </row>
    <row r="860" spans="2:2" ht="12.5">
      <c r="B860" s="50"/>
    </row>
    <row r="861" spans="2:2" ht="12.5">
      <c r="B861" s="50"/>
    </row>
    <row r="862" spans="2:2" ht="12.5">
      <c r="B862" s="50"/>
    </row>
    <row r="863" spans="2:2" ht="12.5">
      <c r="B863" s="50"/>
    </row>
    <row r="864" spans="2:2" ht="12.5">
      <c r="B864" s="50"/>
    </row>
    <row r="865" spans="2:2" ht="12.5">
      <c r="B865" s="50"/>
    </row>
    <row r="866" spans="2:2" ht="12.5">
      <c r="B866" s="50"/>
    </row>
    <row r="867" spans="2:2" ht="12.5">
      <c r="B867" s="50"/>
    </row>
    <row r="868" spans="2:2" ht="12.5">
      <c r="B868" s="50"/>
    </row>
    <row r="869" spans="2:2" ht="12.5">
      <c r="B869" s="50"/>
    </row>
    <row r="870" spans="2:2" ht="12.5">
      <c r="B870" s="50"/>
    </row>
    <row r="871" spans="2:2" ht="12.5">
      <c r="B871" s="50"/>
    </row>
    <row r="872" spans="2:2" ht="12.5">
      <c r="B872" s="50"/>
    </row>
    <row r="873" spans="2:2" ht="12.5">
      <c r="B873" s="50"/>
    </row>
    <row r="874" spans="2:2" ht="12.5">
      <c r="B874" s="50"/>
    </row>
    <row r="875" spans="2:2" ht="12.5">
      <c r="B875" s="50"/>
    </row>
    <row r="876" spans="2:2" ht="12.5">
      <c r="B876" s="50"/>
    </row>
    <row r="877" spans="2:2" ht="12.5">
      <c r="B877" s="50"/>
    </row>
    <row r="878" spans="2:2" ht="12.5">
      <c r="B878" s="50"/>
    </row>
    <row r="879" spans="2:2" ht="12.5">
      <c r="B879" s="50"/>
    </row>
    <row r="880" spans="2:2" ht="12.5">
      <c r="B880" s="50"/>
    </row>
    <row r="881" spans="2:2" ht="12.5">
      <c r="B881" s="50"/>
    </row>
    <row r="882" spans="2:2" ht="12.5">
      <c r="B882" s="50"/>
    </row>
    <row r="883" spans="2:2" ht="12.5">
      <c r="B883" s="50"/>
    </row>
    <row r="884" spans="2:2" ht="12.5">
      <c r="B884" s="50"/>
    </row>
    <row r="885" spans="2:2" ht="12.5">
      <c r="B885" s="50"/>
    </row>
    <row r="886" spans="2:2" ht="12.5">
      <c r="B886" s="50"/>
    </row>
    <row r="887" spans="2:2" ht="12.5">
      <c r="B887" s="50"/>
    </row>
    <row r="888" spans="2:2" ht="12.5">
      <c r="B888" s="50"/>
    </row>
    <row r="889" spans="2:2" ht="12.5">
      <c r="B889" s="50"/>
    </row>
    <row r="890" spans="2:2" ht="12.5">
      <c r="B890" s="50"/>
    </row>
    <row r="891" spans="2:2" ht="12.5">
      <c r="B891" s="50"/>
    </row>
    <row r="892" spans="2:2" ht="12.5">
      <c r="B892" s="50"/>
    </row>
    <row r="893" spans="2:2" ht="12.5">
      <c r="B893" s="50"/>
    </row>
    <row r="894" spans="2:2" ht="12.5">
      <c r="B894" s="50"/>
    </row>
    <row r="895" spans="2:2" ht="12.5">
      <c r="B895" s="50"/>
    </row>
    <row r="896" spans="2:2" ht="12.5">
      <c r="B896" s="50"/>
    </row>
    <row r="897" spans="2:2" ht="12.5">
      <c r="B897" s="50"/>
    </row>
    <row r="898" spans="2:2" ht="12.5">
      <c r="B898" s="50"/>
    </row>
    <row r="899" spans="2:2" ht="12.5">
      <c r="B899" s="50"/>
    </row>
    <row r="900" spans="2:2" ht="12.5">
      <c r="B900" s="50"/>
    </row>
    <row r="901" spans="2:2" ht="12.5">
      <c r="B901" s="50"/>
    </row>
    <row r="902" spans="2:2" ht="12.5">
      <c r="B902" s="50"/>
    </row>
    <row r="903" spans="2:2" ht="12.5">
      <c r="B903" s="50"/>
    </row>
    <row r="904" spans="2:2" ht="12.5">
      <c r="B904" s="50"/>
    </row>
    <row r="905" spans="2:2" ht="12.5">
      <c r="B905" s="50"/>
    </row>
    <row r="906" spans="2:2" ht="12.5">
      <c r="B906" s="50"/>
    </row>
    <row r="907" spans="2:2" ht="12.5">
      <c r="B907" s="50"/>
    </row>
    <row r="908" spans="2:2" ht="12.5">
      <c r="B908" s="50"/>
    </row>
    <row r="909" spans="2:2" ht="12.5">
      <c r="B909" s="50"/>
    </row>
    <row r="910" spans="2:2" ht="12.5">
      <c r="B910" s="50"/>
    </row>
    <row r="911" spans="2:2" ht="12.5">
      <c r="B911" s="50"/>
    </row>
    <row r="912" spans="2:2" ht="12.5">
      <c r="B912" s="50"/>
    </row>
    <row r="913" spans="2:2" ht="12.5">
      <c r="B913" s="50"/>
    </row>
    <row r="914" spans="2:2" ht="12.5">
      <c r="B914" s="50"/>
    </row>
    <row r="915" spans="2:2" ht="12.5">
      <c r="B915" s="50"/>
    </row>
    <row r="916" spans="2:2" ht="12.5">
      <c r="B916" s="50"/>
    </row>
    <row r="917" spans="2:2" ht="12.5">
      <c r="B917" s="50"/>
    </row>
    <row r="918" spans="2:2" ht="12.5">
      <c r="B918" s="50"/>
    </row>
    <row r="919" spans="2:2" ht="12.5">
      <c r="B919" s="50"/>
    </row>
    <row r="920" spans="2:2" ht="12.5">
      <c r="B920" s="50"/>
    </row>
    <row r="921" spans="2:2" ht="12.5">
      <c r="B921" s="50"/>
    </row>
    <row r="922" spans="2:2" ht="12.5">
      <c r="B922" s="50"/>
    </row>
    <row r="923" spans="2:2" ht="12.5">
      <c r="B923" s="50"/>
    </row>
    <row r="924" spans="2:2" ht="12.5">
      <c r="B924" s="50"/>
    </row>
    <row r="925" spans="2:2" ht="12.5">
      <c r="B925" s="50"/>
    </row>
    <row r="926" spans="2:2" ht="12.5">
      <c r="B926" s="50"/>
    </row>
    <row r="927" spans="2:2" ht="12.5">
      <c r="B927" s="50"/>
    </row>
    <row r="928" spans="2:2" ht="12.5">
      <c r="B928" s="50"/>
    </row>
    <row r="929" spans="2:2" ht="12.5">
      <c r="B929" s="50"/>
    </row>
    <row r="930" spans="2:2" ht="12.5">
      <c r="B930" s="50"/>
    </row>
    <row r="931" spans="2:2" ht="12.5">
      <c r="B931" s="50"/>
    </row>
    <row r="932" spans="2:2" ht="12.5">
      <c r="B932" s="50"/>
    </row>
    <row r="933" spans="2:2" ht="12.5">
      <c r="B933" s="50"/>
    </row>
    <row r="934" spans="2:2" ht="12.5">
      <c r="B934" s="50"/>
    </row>
    <row r="935" spans="2:2" ht="12.5">
      <c r="B935" s="50"/>
    </row>
    <row r="936" spans="2:2" ht="12.5">
      <c r="B936" s="50"/>
    </row>
    <row r="937" spans="2:2" ht="12.5">
      <c r="B937" s="50"/>
    </row>
    <row r="938" spans="2:2" ht="12.5">
      <c r="B938" s="50"/>
    </row>
    <row r="939" spans="2:2" ht="12.5">
      <c r="B939" s="50"/>
    </row>
    <row r="940" spans="2:2" ht="12.5">
      <c r="B940" s="50"/>
    </row>
    <row r="941" spans="2:2" ht="12.5">
      <c r="B941" s="50"/>
    </row>
    <row r="942" spans="2:2" ht="12.5">
      <c r="B942" s="50"/>
    </row>
    <row r="943" spans="2:2" ht="12.5">
      <c r="B943" s="50"/>
    </row>
    <row r="944" spans="2:2" ht="12.5">
      <c r="B944" s="50"/>
    </row>
    <row r="945" spans="2:2" ht="12.5">
      <c r="B945" s="50"/>
    </row>
    <row r="946" spans="2:2" ht="12.5">
      <c r="B946" s="50"/>
    </row>
    <row r="947" spans="2:2" ht="12.5">
      <c r="B947" s="50"/>
    </row>
    <row r="948" spans="2:2" ht="12.5">
      <c r="B948" s="50"/>
    </row>
    <row r="949" spans="2:2" ht="12.5">
      <c r="B949" s="50"/>
    </row>
    <row r="950" spans="2:2" ht="12.5">
      <c r="B950" s="50"/>
    </row>
    <row r="951" spans="2:2" ht="12.5">
      <c r="B951" s="50"/>
    </row>
    <row r="952" spans="2:2" ht="12.5">
      <c r="B952" s="50"/>
    </row>
    <row r="953" spans="2:2" ht="12.5">
      <c r="B953" s="50"/>
    </row>
    <row r="954" spans="2:2" ht="12.5">
      <c r="B954" s="50"/>
    </row>
    <row r="955" spans="2:2" ht="12.5">
      <c r="B955" s="50"/>
    </row>
    <row r="956" spans="2:2" ht="12.5">
      <c r="B956" s="50"/>
    </row>
    <row r="957" spans="2:2" ht="12.5">
      <c r="B957" s="50"/>
    </row>
    <row r="958" spans="2:2" ht="12.5">
      <c r="B958" s="50"/>
    </row>
    <row r="959" spans="2:2" ht="12.5">
      <c r="B959" s="50"/>
    </row>
    <row r="960" spans="2:2" ht="12.5">
      <c r="B960" s="50"/>
    </row>
    <row r="961" spans="2:2" ht="12.5">
      <c r="B961" s="50"/>
    </row>
    <row r="962" spans="2:2" ht="12.5">
      <c r="B962" s="50"/>
    </row>
    <row r="963" spans="2:2" ht="12.5">
      <c r="B963" s="50"/>
    </row>
    <row r="964" spans="2:2" ht="12.5">
      <c r="B964" s="50"/>
    </row>
    <row r="965" spans="2:2" ht="12.5">
      <c r="B965" s="50"/>
    </row>
    <row r="966" spans="2:2" ht="12.5">
      <c r="B966" s="50"/>
    </row>
    <row r="967" spans="2:2" ht="12.5">
      <c r="B967" s="50"/>
    </row>
    <row r="968" spans="2:2" ht="12.5">
      <c r="B968" s="50"/>
    </row>
    <row r="969" spans="2:2" ht="12.5">
      <c r="B969" s="50"/>
    </row>
    <row r="970" spans="2:2" ht="12.5">
      <c r="B970" s="50"/>
    </row>
    <row r="971" spans="2:2" ht="12.5">
      <c r="B971" s="50"/>
    </row>
    <row r="972" spans="2:2" ht="12.5">
      <c r="B972" s="50"/>
    </row>
    <row r="973" spans="2:2" ht="12.5">
      <c r="B973" s="50"/>
    </row>
    <row r="974" spans="2:2" ht="12.5">
      <c r="B974" s="50"/>
    </row>
    <row r="975" spans="2:2" ht="12.5">
      <c r="B975" s="50"/>
    </row>
    <row r="976" spans="2:2" ht="12.5">
      <c r="B976" s="50"/>
    </row>
    <row r="977" spans="2:2" ht="12.5">
      <c r="B977" s="50"/>
    </row>
    <row r="978" spans="2:2" ht="12.5">
      <c r="B978" s="50"/>
    </row>
    <row r="979" spans="2:2" ht="12.5">
      <c r="B979" s="50"/>
    </row>
    <row r="980" spans="2:2" ht="12.5">
      <c r="B980" s="50"/>
    </row>
    <row r="981" spans="2:2" ht="12.5">
      <c r="B981" s="50"/>
    </row>
    <row r="982" spans="2:2" ht="12.5">
      <c r="B982" s="50"/>
    </row>
    <row r="983" spans="2:2" ht="12.5">
      <c r="B983" s="50"/>
    </row>
    <row r="984" spans="2:2" ht="12.5">
      <c r="B984" s="50"/>
    </row>
    <row r="985" spans="2:2" ht="12.5">
      <c r="B985" s="50"/>
    </row>
    <row r="986" spans="2:2" ht="12.5">
      <c r="B986" s="50"/>
    </row>
    <row r="987" spans="2:2" ht="12.5">
      <c r="B987" s="50"/>
    </row>
    <row r="988" spans="2:2" ht="12.5">
      <c r="B988" s="50"/>
    </row>
    <row r="989" spans="2:2" ht="12.5">
      <c r="B989" s="50"/>
    </row>
    <row r="990" spans="2:2" ht="12.5">
      <c r="B990" s="50"/>
    </row>
    <row r="991" spans="2:2" ht="12.5">
      <c r="B991" s="50"/>
    </row>
    <row r="992" spans="2:2" ht="12.5">
      <c r="B992" s="50"/>
    </row>
    <row r="993" spans="2:2" ht="12.5">
      <c r="B993" s="50"/>
    </row>
    <row r="994" spans="2:2" ht="12.5">
      <c r="B994" s="50"/>
    </row>
    <row r="995" spans="2:2" ht="12.5">
      <c r="B995" s="50"/>
    </row>
    <row r="996" spans="2:2" ht="12.5">
      <c r="B996" s="50"/>
    </row>
    <row r="997" spans="2:2" ht="12.5">
      <c r="B997" s="50"/>
    </row>
    <row r="998" spans="2:2" ht="12.5">
      <c r="B998" s="50"/>
    </row>
    <row r="999" spans="2:2" ht="12.5">
      <c r="B999" s="50"/>
    </row>
    <row r="1000" spans="2:2" ht="12.5">
      <c r="B1000" s="5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000"/>
  <sheetViews>
    <sheetView workbookViewId="0"/>
  </sheetViews>
  <sheetFormatPr baseColWidth="10" defaultColWidth="12.6328125" defaultRowHeight="15.75" customHeight="1"/>
  <cols>
    <col min="2" max="2" width="24.453125" customWidth="1"/>
    <col min="3" max="3" width="19.90625" customWidth="1"/>
    <col min="5" max="5" width="18.453125" customWidth="1"/>
    <col min="6" max="6" width="17.90625" customWidth="1"/>
    <col min="7" max="7" width="25.90625" customWidth="1"/>
  </cols>
  <sheetData>
    <row r="1" spans="1:11" ht="15.75" customHeight="1">
      <c r="A1" s="53" t="s">
        <v>23176</v>
      </c>
      <c r="B1" s="54" t="s">
        <v>23177</v>
      </c>
      <c r="C1" s="53" t="s">
        <v>23178</v>
      </c>
      <c r="D1" s="53" t="s">
        <v>23179</v>
      </c>
      <c r="E1" s="53" t="s">
        <v>23180</v>
      </c>
      <c r="F1" s="53" t="s">
        <v>23181</v>
      </c>
      <c r="G1" s="53" t="s">
        <v>23182</v>
      </c>
      <c r="H1" s="16" t="s">
        <v>23183</v>
      </c>
      <c r="I1" s="16" t="s">
        <v>23184</v>
      </c>
      <c r="J1" s="53" t="s">
        <v>23185</v>
      </c>
      <c r="K1" s="53" t="s">
        <v>23186</v>
      </c>
    </row>
    <row r="2" spans="1:11" ht="15.75" customHeight="1">
      <c r="A2" s="53" t="s">
        <v>23187</v>
      </c>
      <c r="B2" s="54" t="s">
        <v>23188</v>
      </c>
      <c r="C2" s="53" t="s">
        <v>23189</v>
      </c>
      <c r="D2" s="53"/>
      <c r="E2" s="53" t="s">
        <v>23190</v>
      </c>
      <c r="F2" s="5" t="str">
        <f ca="1">IFERROR(__xludf.DUMMYFUNCTION("IFERROR(
  TEXTJOIN("" | "", TRUE,
    UNIQUE(
      FILTER(
        Movimientos_Inventario!G:G,
        TRIM(CLEAN(Movimientos_Inventario!C:C)) = TRIM(CLEAN(A2)),
        Movimientos_Inventario!G:G &lt;&gt; """"
      )
    )
  ),
"""")"),"")</f>
        <v/>
      </c>
      <c r="G2" s="53" t="s">
        <v>23191</v>
      </c>
      <c r="H2" s="55">
        <v>0</v>
      </c>
      <c r="I2" s="16" t="str">
        <f t="shared" ref="I2:I231" si="0">IF(H2=0,"AGOTADO",IF(H2&lt;=10,"CASI AGOTADO","DISPONIBLE"))</f>
        <v>AGOTADO</v>
      </c>
      <c r="J2" s="16"/>
      <c r="K2" s="16"/>
    </row>
    <row r="3" spans="1:11" ht="15.75" customHeight="1">
      <c r="A3" s="53" t="s">
        <v>23192</v>
      </c>
      <c r="B3" s="54" t="s">
        <v>23193</v>
      </c>
      <c r="C3" s="53" t="s">
        <v>23189</v>
      </c>
      <c r="D3" s="53"/>
      <c r="E3" s="53" t="s">
        <v>23194</v>
      </c>
      <c r="F3" s="5" t="str">
        <f ca="1">IFERROR(__xludf.DUMMYFUNCTION("IFERROR(
  TEXTJOIN("" | "", TRUE,
    UNIQUE(
      FILTER(
        Movimientos_Inventario!G:G,
        TRIM(CLEAN(Movimientos_Inventario!C:C)) = TRIM(CLEAN(A3)),
        Movimientos_Inventario!G:G &lt;&gt; """"
      )
    )
  ),
"""")"),"CATALAGO MUJER")</f>
        <v>CATALAGO MUJER</v>
      </c>
      <c r="G3" s="53" t="s">
        <v>23191</v>
      </c>
      <c r="H3" s="55">
        <v>12</v>
      </c>
      <c r="I3" s="16" t="str">
        <f t="shared" si="0"/>
        <v>DISPONIBLE</v>
      </c>
      <c r="J3" s="16"/>
      <c r="K3" s="16"/>
    </row>
    <row r="4" spans="1:11" ht="15.75" customHeight="1">
      <c r="A4" s="53" t="s">
        <v>23195</v>
      </c>
      <c r="B4" s="54" t="s">
        <v>23196</v>
      </c>
      <c r="C4" s="53" t="s">
        <v>23189</v>
      </c>
      <c r="D4" s="53"/>
      <c r="E4" s="53" t="s">
        <v>23197</v>
      </c>
      <c r="F4" s="5" t="str">
        <f ca="1">IFERROR(__xludf.DUMMYFUNCTION("IFERROR(
  TEXTJOIN("" | "", TRUE,
    UNIQUE(
      FILTER(
        Movimientos_Inventario!G:G,
        TRIM(CLEAN(Movimientos_Inventario!C:C)) = TRIM(CLEAN(A4)),
        Movimientos_Inventario!G:G &lt;&gt; """"
      )
    )
  ),
"""")"),"")</f>
        <v/>
      </c>
      <c r="G4" s="53" t="s">
        <v>23191</v>
      </c>
      <c r="H4" s="16"/>
      <c r="I4" s="16" t="str">
        <f t="shared" si="0"/>
        <v>AGOTADO</v>
      </c>
      <c r="J4" s="16"/>
      <c r="K4" s="16"/>
    </row>
    <row r="5" spans="1:11" ht="15.75" customHeight="1">
      <c r="A5" s="53" t="s">
        <v>23198</v>
      </c>
      <c r="B5" s="54" t="s">
        <v>23199</v>
      </c>
      <c r="C5" s="53" t="s">
        <v>23189</v>
      </c>
      <c r="D5" s="53"/>
      <c r="E5" s="53" t="s">
        <v>1999</v>
      </c>
      <c r="F5" s="5" t="str">
        <f ca="1">IFERROR(__xludf.DUMMYFUNCTION("IFERROR(
  TEXTJOIN("" | "", TRUE,
    UNIQUE(
      FILTER(
        Movimientos_Inventario!G:G,
        TRIM(CLEAN(Movimientos_Inventario!C:C)) = TRIM(CLEAN(A5)),
        Movimientos_Inventario!G:G &lt;&gt; """"
      )
    )
  ),
"""")"),"CATALOGO MUJER")</f>
        <v>CATALOGO MUJER</v>
      </c>
      <c r="G5" s="53" t="s">
        <v>23191</v>
      </c>
      <c r="H5" s="16">
        <v>5</v>
      </c>
      <c r="I5" s="16" t="str">
        <f t="shared" si="0"/>
        <v>CASI AGOTADO</v>
      </c>
      <c r="J5" s="16"/>
      <c r="K5" s="16"/>
    </row>
    <row r="6" spans="1:11" ht="15.75" customHeight="1">
      <c r="A6" s="53" t="s">
        <v>23200</v>
      </c>
      <c r="B6" s="54" t="s">
        <v>23201</v>
      </c>
      <c r="C6" s="53" t="s">
        <v>23189</v>
      </c>
      <c r="D6" s="53"/>
      <c r="E6" s="53" t="s">
        <v>23202</v>
      </c>
      <c r="F6" s="5" t="s">
        <v>23203</v>
      </c>
      <c r="G6" s="53" t="s">
        <v>23191</v>
      </c>
      <c r="H6" s="16">
        <v>10</v>
      </c>
      <c r="I6" s="16" t="str">
        <f t="shared" si="0"/>
        <v>CASI AGOTADO</v>
      </c>
      <c r="J6" s="16"/>
      <c r="K6" s="16"/>
    </row>
    <row r="7" spans="1:11" ht="15.75" customHeight="1">
      <c r="A7" s="53" t="s">
        <v>23204</v>
      </c>
      <c r="B7" s="54" t="s">
        <v>23205</v>
      </c>
      <c r="C7" s="53" t="s">
        <v>23189</v>
      </c>
      <c r="D7" s="53"/>
      <c r="E7" s="53" t="s">
        <v>23194</v>
      </c>
      <c r="F7" s="5" t="str">
        <f ca="1">IFERROR(__xludf.DUMMYFUNCTION("IFERROR(
  TEXTJOIN("" | "", TRUE,
    UNIQUE(
      FILTER(
        Movimientos_Inventario!G:G,
        TRIM(CLEAN(Movimientos_Inventario!C:C)) = TRIM(CLEAN(A7)),
        Movimientos_Inventario!G:G &lt;&gt; """"
      )
    )
  ),
"""")"),"")</f>
        <v/>
      </c>
      <c r="G7" s="53" t="s">
        <v>23191</v>
      </c>
      <c r="H7" s="16"/>
      <c r="I7" s="16" t="str">
        <f t="shared" si="0"/>
        <v>AGOTADO</v>
      </c>
      <c r="J7" s="16"/>
      <c r="K7" s="16"/>
    </row>
    <row r="8" spans="1:11" ht="15.75" customHeight="1">
      <c r="A8" s="55" t="s">
        <v>23206</v>
      </c>
      <c r="B8" s="54" t="s">
        <v>23207</v>
      </c>
      <c r="C8" s="53" t="s">
        <v>23189</v>
      </c>
      <c r="D8" s="16"/>
      <c r="E8" s="53" t="s">
        <v>23208</v>
      </c>
      <c r="F8" s="5" t="str">
        <f ca="1">IFERROR(__xludf.DUMMYFUNCTION("IFERROR(
  TEXTJOIN("" | "", TRUE,
    UNIQUE(
      FILTER(
        Movimientos_Inventario!G:G,
        TRIM(CLEAN(Movimientos_Inventario!C:C)) = TRIM(CLEAN(A8)),
        Movimientos_Inventario!G:G &lt;&gt; """"
      )
    )
  ),
"""")"),"")</f>
        <v/>
      </c>
      <c r="G8" s="53" t="s">
        <v>23191</v>
      </c>
      <c r="H8" s="16"/>
      <c r="I8" s="16" t="str">
        <f t="shared" si="0"/>
        <v>AGOTADO</v>
      </c>
      <c r="J8" s="16"/>
      <c r="K8" s="16"/>
    </row>
    <row r="9" spans="1:11" ht="15.75" customHeight="1">
      <c r="A9" s="55" t="s">
        <v>23209</v>
      </c>
      <c r="B9" s="54" t="s">
        <v>23210</v>
      </c>
      <c r="C9" s="53" t="s">
        <v>23189</v>
      </c>
      <c r="D9" s="16"/>
      <c r="E9" s="53" t="s">
        <v>23211</v>
      </c>
      <c r="F9" s="5" t="str">
        <f ca="1">IFERROR(__xludf.DUMMYFUNCTION("IFERROR(
  TEXTJOIN("" | "", TRUE,
    UNIQUE(
      FILTER(
        Movimientos_Inventario!G:G,
        TRIM(CLEAN(Movimientos_Inventario!C:C)) = TRIM(CLEAN(A9)),
        Movimientos_Inventario!G:G &lt;&gt; """"
      )
    )
  ),
"""")"),"")</f>
        <v/>
      </c>
      <c r="G9" s="53" t="s">
        <v>23191</v>
      </c>
      <c r="H9" s="16"/>
      <c r="I9" s="16" t="str">
        <f t="shared" si="0"/>
        <v>AGOTADO</v>
      </c>
      <c r="J9" s="16"/>
      <c r="K9" s="16"/>
    </row>
    <row r="10" spans="1:11" ht="15.75" customHeight="1">
      <c r="A10" s="53" t="s">
        <v>23212</v>
      </c>
      <c r="B10" s="54" t="s">
        <v>23213</v>
      </c>
      <c r="C10" s="53" t="s">
        <v>23189</v>
      </c>
      <c r="D10" s="16"/>
      <c r="E10" s="53" t="s">
        <v>23197</v>
      </c>
      <c r="F10" s="5" t="str">
        <f ca="1">IFERROR(__xludf.DUMMYFUNCTION("IFERROR(
  TEXTJOIN("" | "", TRUE,
    UNIQUE(
      FILTER(
        Movimientos_Inventario!G:G,
        TRIM(CLEAN(Movimientos_Inventario!C:C)) = TRIM(CLEAN(A10)),
        Movimientos_Inventario!G:G &lt;&gt; """"
      )
    )
  ),
"""")"),"CATALOGO MUJER")</f>
        <v>CATALOGO MUJER</v>
      </c>
      <c r="G10" s="53" t="s">
        <v>23191</v>
      </c>
      <c r="H10" s="16">
        <v>20</v>
      </c>
      <c r="I10" s="16" t="str">
        <f t="shared" si="0"/>
        <v>DISPONIBLE</v>
      </c>
      <c r="J10" s="16"/>
      <c r="K10" s="16"/>
    </row>
    <row r="11" spans="1:11" ht="15.75" customHeight="1">
      <c r="A11" s="53" t="s">
        <v>23214</v>
      </c>
      <c r="B11" s="54" t="s">
        <v>23215</v>
      </c>
      <c r="C11" s="53" t="s">
        <v>23189</v>
      </c>
      <c r="D11" s="16"/>
      <c r="E11" s="53" t="s">
        <v>23216</v>
      </c>
      <c r="F11" s="5" t="str">
        <f ca="1">IFERROR(__xludf.DUMMYFUNCTION("IFERROR(
  TEXTJOIN("" | "", TRUE,
    UNIQUE(
      FILTER(
        Movimientos_Inventario!G:G,
        TRIM(CLEAN(Movimientos_Inventario!C:C)) = TRIM(CLEAN(A11)),
        Movimientos_Inventario!G:G &lt;&gt; """"
      )
    )
  ),
"""")"),"")</f>
        <v/>
      </c>
      <c r="G11" s="53" t="s">
        <v>23217</v>
      </c>
      <c r="H11" s="16"/>
      <c r="I11" s="16" t="str">
        <f t="shared" si="0"/>
        <v>AGOTADO</v>
      </c>
      <c r="J11" s="16"/>
      <c r="K11" s="16"/>
    </row>
    <row r="12" spans="1:11" ht="15.75" customHeight="1">
      <c r="A12" s="5" t="s">
        <v>23218</v>
      </c>
      <c r="B12" s="50" t="s">
        <v>23219</v>
      </c>
      <c r="C12" s="53" t="s">
        <v>23189</v>
      </c>
      <c r="E12" s="5" t="s">
        <v>23220</v>
      </c>
      <c r="F12" s="5" t="str">
        <f ca="1">IFERROR(__xludf.DUMMYFUNCTION("IFERROR(
  TEXTJOIN("" | "", TRUE,
    UNIQUE(
      FILTER(
        Movimientos_Inventario!G:G,
        TRIM(CLEAN(Movimientos_Inventario!C:C)) = TRIM(CLEAN(A12)),
        Movimientos_Inventario!G:G &lt;&gt; """"
      )
    )
  ),
"""")"),"")</f>
        <v/>
      </c>
      <c r="G12" s="5" t="s">
        <v>23191</v>
      </c>
      <c r="I12" s="16" t="str">
        <f t="shared" si="0"/>
        <v>AGOTADO</v>
      </c>
    </row>
    <row r="13" spans="1:11" ht="15.75" customHeight="1">
      <c r="A13" s="5" t="s">
        <v>23221</v>
      </c>
      <c r="B13" s="50" t="s">
        <v>23222</v>
      </c>
      <c r="C13" s="53" t="s">
        <v>23189</v>
      </c>
      <c r="F13" s="5" t="str">
        <f ca="1">IFERROR(__xludf.DUMMYFUNCTION("IFERROR(
  TEXTJOIN("" | "", TRUE,
    UNIQUE(
      FILTER(
        Movimientos_Inventario!G:G,
        TRIM(CLEAN(Movimientos_Inventario!C:C)) = TRIM(CLEAN(A13)),
        Movimientos_Inventario!G:G &lt;&gt; """"
      )
    )
  ),
"""")"),"")</f>
        <v/>
      </c>
      <c r="G13" s="5" t="s">
        <v>23191</v>
      </c>
      <c r="I13" s="16" t="str">
        <f t="shared" si="0"/>
        <v>AGOTADO</v>
      </c>
    </row>
    <row r="14" spans="1:11" ht="15.75" customHeight="1">
      <c r="A14" s="5" t="s">
        <v>23223</v>
      </c>
      <c r="B14" s="50" t="s">
        <v>23224</v>
      </c>
      <c r="C14" s="53" t="s">
        <v>23189</v>
      </c>
      <c r="E14" s="5" t="s">
        <v>23225</v>
      </c>
      <c r="F14" s="5" t="str">
        <f ca="1">IFERROR(__xludf.DUMMYFUNCTION("IFERROR(
  TEXTJOIN("" | "", TRUE,
    UNIQUE(
      FILTER(
        Movimientos_Inventario!G:G,
        TRIM(CLEAN(Movimientos_Inventario!C:C)) = TRIM(CLEAN(A14)),
        Movimientos_Inventario!G:G &lt;&gt; """"
      )
    )
  ),
"""")"),"")</f>
        <v/>
      </c>
      <c r="G14" s="5" t="s">
        <v>23191</v>
      </c>
      <c r="I14" s="16" t="str">
        <f t="shared" si="0"/>
        <v>AGOTADO</v>
      </c>
    </row>
    <row r="15" spans="1:11" ht="15.75" customHeight="1">
      <c r="A15" s="5" t="s">
        <v>23226</v>
      </c>
      <c r="B15" s="50" t="s">
        <v>23227</v>
      </c>
      <c r="C15" s="53" t="s">
        <v>23189</v>
      </c>
      <c r="E15" s="5" t="s">
        <v>23228</v>
      </c>
      <c r="F15" s="5" t="s">
        <v>23203</v>
      </c>
      <c r="G15" s="5" t="s">
        <v>23191</v>
      </c>
      <c r="H15" s="5">
        <v>30</v>
      </c>
      <c r="I15" s="16" t="str">
        <f t="shared" si="0"/>
        <v>DISPONIBLE</v>
      </c>
    </row>
    <row r="16" spans="1:11" ht="15.75" customHeight="1">
      <c r="A16" s="5" t="s">
        <v>23229</v>
      </c>
      <c r="B16" s="50" t="s">
        <v>23230</v>
      </c>
      <c r="C16" s="53" t="s">
        <v>23189</v>
      </c>
      <c r="E16" s="5" t="s">
        <v>23231</v>
      </c>
      <c r="F16" s="5" t="str">
        <f ca="1">IFERROR(__xludf.DUMMYFUNCTION("IFERROR(
  TEXTJOIN("" | "", TRUE,
    UNIQUE(
      FILTER(
        Movimientos_Inventario!G:G,
        TRIM(CLEAN(Movimientos_Inventario!C:C)) = TRIM(CLEAN(A16)),
        Movimientos_Inventario!G:G &lt;&gt; """"
      )
    )
  ),
"""")"),"")</f>
        <v/>
      </c>
      <c r="G16" s="5" t="s">
        <v>23191</v>
      </c>
      <c r="I16" s="16" t="str">
        <f t="shared" si="0"/>
        <v>AGOTADO</v>
      </c>
    </row>
    <row r="17" spans="1:9" ht="15.75" customHeight="1">
      <c r="A17" s="5" t="s">
        <v>23232</v>
      </c>
      <c r="B17" s="50" t="s">
        <v>23233</v>
      </c>
      <c r="C17" s="53" t="s">
        <v>23189</v>
      </c>
      <c r="E17" s="5" t="s">
        <v>23234</v>
      </c>
      <c r="F17" s="5" t="str">
        <f ca="1">IFERROR(__xludf.DUMMYFUNCTION("IFERROR(
  TEXTJOIN("" | "", TRUE,
    UNIQUE(
      FILTER(
        Movimientos_Inventario!G:G,
        TRIM(CLEAN(Movimientos_Inventario!C:C)) = TRIM(CLEAN(A17)),
        Movimientos_Inventario!G:G &lt;&gt; """"
      )
    )
  ),
"""")"),"")</f>
        <v/>
      </c>
      <c r="G17" s="5" t="s">
        <v>23191</v>
      </c>
      <c r="I17" s="16" t="str">
        <f t="shared" si="0"/>
        <v>AGOTADO</v>
      </c>
    </row>
    <row r="18" spans="1:9" ht="15.75" customHeight="1">
      <c r="A18" s="5" t="s">
        <v>23235</v>
      </c>
      <c r="B18" s="50" t="s">
        <v>23236</v>
      </c>
      <c r="C18" s="53" t="s">
        <v>23189</v>
      </c>
      <c r="E18" s="5" t="s">
        <v>23237</v>
      </c>
      <c r="F18" s="5" t="str">
        <f ca="1">IFERROR(__xludf.DUMMYFUNCTION("IFERROR(
  TEXTJOIN("" | "", TRUE,
    UNIQUE(
      FILTER(
        Movimientos_Inventario!G:G,
        TRIM(CLEAN(Movimientos_Inventario!C:C)) = TRIM(CLEAN(A18)),
        Movimientos_Inventario!G:G &lt;&gt; """"
      )
    )
  ),
"""")"),"")</f>
        <v/>
      </c>
      <c r="G18" s="5" t="s">
        <v>23191</v>
      </c>
      <c r="I18" s="16" t="str">
        <f t="shared" si="0"/>
        <v>AGOTADO</v>
      </c>
    </row>
    <row r="19" spans="1:9" ht="15.75" customHeight="1">
      <c r="A19" s="5" t="s">
        <v>23238</v>
      </c>
      <c r="B19" s="50" t="s">
        <v>23239</v>
      </c>
      <c r="C19" s="53" t="s">
        <v>23189</v>
      </c>
      <c r="E19" s="5" t="s">
        <v>23240</v>
      </c>
      <c r="F19" s="5" t="str">
        <f ca="1">IFERROR(__xludf.DUMMYFUNCTION("IFERROR(
  TEXTJOIN("" | "", TRUE,
    UNIQUE(
      FILTER(
        Movimientos_Inventario!G:G,
        TRIM(CLEAN(Movimientos_Inventario!C:C)) = TRIM(CLEAN(A19)),
        Movimientos_Inventario!G:G &lt;&gt; """"
      )
    )
  ),
"""")"),"CATALOGO MUJER")</f>
        <v>CATALOGO MUJER</v>
      </c>
      <c r="G19" s="5" t="s">
        <v>23191</v>
      </c>
      <c r="H19" s="5">
        <v>2</v>
      </c>
      <c r="I19" s="16" t="str">
        <f t="shared" si="0"/>
        <v>CASI AGOTADO</v>
      </c>
    </row>
    <row r="20" spans="1:9" ht="15.75" customHeight="1">
      <c r="A20" s="5" t="s">
        <v>23241</v>
      </c>
      <c r="B20" s="50" t="s">
        <v>23242</v>
      </c>
      <c r="C20" s="53" t="s">
        <v>23189</v>
      </c>
      <c r="E20" s="5" t="s">
        <v>23243</v>
      </c>
      <c r="F20" s="5" t="str">
        <f ca="1">IFERROR(__xludf.DUMMYFUNCTION("IFERROR(
  TEXTJOIN("" | "", TRUE,
    UNIQUE(
      FILTER(
        Movimientos_Inventario!G:G,
        TRIM(CLEAN(Movimientos_Inventario!C:C)) = TRIM(CLEAN(A20)),
        Movimientos_Inventario!G:G &lt;&gt; """"
      )
    )
  ),
"""")"),"")</f>
        <v/>
      </c>
      <c r="G20" s="5" t="s">
        <v>23191</v>
      </c>
      <c r="I20" s="16" t="str">
        <f t="shared" si="0"/>
        <v>AGOTADO</v>
      </c>
    </row>
    <row r="21" spans="1:9" ht="15.75" customHeight="1">
      <c r="A21" s="5" t="s">
        <v>23244</v>
      </c>
      <c r="B21" s="50" t="s">
        <v>23245</v>
      </c>
      <c r="C21" s="53" t="s">
        <v>23189</v>
      </c>
      <c r="E21" s="5" t="s">
        <v>23246</v>
      </c>
      <c r="F21" s="5" t="str">
        <f ca="1">IFERROR(__xludf.DUMMYFUNCTION("IFERROR(
  TEXTJOIN("" | "", TRUE,
    UNIQUE(
      FILTER(
        Movimientos_Inventario!G:G,
        TRIM(CLEAN(Movimientos_Inventario!C:C)) = TRIM(CLEAN(A21)),
        Movimientos_Inventario!G:G &lt;&gt; """"
      )
    )
  ),
"""")"),"")</f>
        <v/>
      </c>
      <c r="G21" s="5" t="s">
        <v>23191</v>
      </c>
      <c r="I21" s="16" t="str">
        <f t="shared" si="0"/>
        <v>AGOTADO</v>
      </c>
    </row>
    <row r="22" spans="1:9" ht="14.5">
      <c r="A22" s="5" t="s">
        <v>23247</v>
      </c>
      <c r="B22" s="50" t="s">
        <v>23248</v>
      </c>
      <c r="C22" s="53" t="s">
        <v>23189</v>
      </c>
      <c r="E22" s="5" t="s">
        <v>23197</v>
      </c>
      <c r="F22" s="5" t="str">
        <f ca="1">IFERROR(__xludf.DUMMYFUNCTION("IFERROR(
  TEXTJOIN("" | "", TRUE,
    UNIQUE(
      FILTER(
        Movimientos_Inventario!G:G,
        TRIM(CLEAN(Movimientos_Inventario!C:C)) = TRIM(CLEAN(A22)),
        Movimientos_Inventario!G:G &lt;&gt; """"
      )
    )
  ),
"""")"),"CATALOGO MUJER")</f>
        <v>CATALOGO MUJER</v>
      </c>
      <c r="G22" s="5" t="s">
        <v>23191</v>
      </c>
      <c r="H22" s="5">
        <v>0</v>
      </c>
      <c r="I22" s="16" t="str">
        <f t="shared" si="0"/>
        <v>AGOTADO</v>
      </c>
    </row>
    <row r="23" spans="1:9" ht="14.5">
      <c r="A23" s="5" t="s">
        <v>23249</v>
      </c>
      <c r="B23" s="50" t="s">
        <v>23250</v>
      </c>
      <c r="C23" s="53" t="s">
        <v>23189</v>
      </c>
      <c r="E23" s="5" t="s">
        <v>23251</v>
      </c>
      <c r="F23" s="5" t="str">
        <f ca="1">IFERROR(__xludf.DUMMYFUNCTION("IFERROR(
  TEXTJOIN("" | "", TRUE,
    UNIQUE(
      FILTER(
        Movimientos_Inventario!G:G,
        TRIM(CLEAN(Movimientos_Inventario!C:C)) = TRIM(CLEAN(A23)),
        Movimientos_Inventario!G:G &lt;&gt; """"
      )
    )
  ),
"""")"),"")</f>
        <v/>
      </c>
      <c r="G23" s="5" t="s">
        <v>23252</v>
      </c>
      <c r="I23" s="16" t="str">
        <f t="shared" si="0"/>
        <v>AGOTADO</v>
      </c>
    </row>
    <row r="24" spans="1:9" ht="14.5">
      <c r="A24" s="5" t="s">
        <v>23253</v>
      </c>
      <c r="B24" s="50" t="s">
        <v>23254</v>
      </c>
      <c r="C24" s="53" t="s">
        <v>23189</v>
      </c>
      <c r="F24" s="5" t="str">
        <f ca="1">IFERROR(__xludf.DUMMYFUNCTION("IFERROR(
  TEXTJOIN("" | "", TRUE,
    UNIQUE(
      FILTER(
        Movimientos_Inventario!G:G,
        TRIM(CLEAN(Movimientos_Inventario!C:C)) = TRIM(CLEAN(A24)),
        Movimientos_Inventario!G:G &lt;&gt; """"
      )
    )
  ),
"""")"),"")</f>
        <v/>
      </c>
      <c r="G24" s="5" t="s">
        <v>23191</v>
      </c>
      <c r="I24" s="16" t="str">
        <f t="shared" si="0"/>
        <v>AGOTADO</v>
      </c>
    </row>
    <row r="25" spans="1:9" ht="14.5">
      <c r="A25" s="5" t="s">
        <v>23255</v>
      </c>
      <c r="B25" s="50" t="s">
        <v>23256</v>
      </c>
      <c r="C25" s="53" t="s">
        <v>23189</v>
      </c>
      <c r="E25" s="5" t="s">
        <v>23257</v>
      </c>
      <c r="F25" s="5" t="str">
        <f ca="1">IFERROR(__xludf.DUMMYFUNCTION("IFERROR(
  TEXTJOIN("" | "", TRUE,
    UNIQUE(
      FILTER(
        Movimientos_Inventario!G:G,
        TRIM(CLEAN(Movimientos_Inventario!C:C)) = TRIM(CLEAN(A25)),
        Movimientos_Inventario!G:G &lt;&gt; """"
      )
    )
  ),
"""")"),"")</f>
        <v/>
      </c>
      <c r="G25" s="5" t="s">
        <v>23191</v>
      </c>
      <c r="I25" s="16" t="str">
        <f t="shared" si="0"/>
        <v>AGOTADO</v>
      </c>
    </row>
    <row r="26" spans="1:9" ht="14.5">
      <c r="A26" s="5" t="s">
        <v>23258</v>
      </c>
      <c r="B26" s="50" t="s">
        <v>23259</v>
      </c>
      <c r="C26" s="53" t="s">
        <v>23189</v>
      </c>
      <c r="E26" s="5" t="s">
        <v>23197</v>
      </c>
      <c r="F26" s="5" t="str">
        <f ca="1">IFERROR(__xludf.DUMMYFUNCTION("IFERROR(
  TEXTJOIN("" | "", TRUE,
    UNIQUE(
      FILTER(
        Movimientos_Inventario!G:G,
        TRIM(CLEAN(Movimientos_Inventario!C:C)) = TRIM(CLEAN(A26)),
        Movimientos_Inventario!G:G &lt;&gt; """"
      )
    )
  ),
"""")"),"")</f>
        <v/>
      </c>
      <c r="G26" s="5" t="s">
        <v>23191</v>
      </c>
      <c r="I26" s="16" t="str">
        <f t="shared" si="0"/>
        <v>AGOTADO</v>
      </c>
    </row>
    <row r="27" spans="1:9" ht="14.5">
      <c r="A27" s="5" t="s">
        <v>23260</v>
      </c>
      <c r="B27" s="50" t="s">
        <v>23261</v>
      </c>
      <c r="C27" s="53" t="s">
        <v>23189</v>
      </c>
      <c r="F27" s="5" t="str">
        <f ca="1">IFERROR(__xludf.DUMMYFUNCTION("IFERROR(
  TEXTJOIN("" | "", TRUE,
    UNIQUE(
      FILTER(
        Movimientos_Inventario!G:G,
        TRIM(CLEAN(Movimientos_Inventario!C:C)) = TRIM(CLEAN(A27)),
        Movimientos_Inventario!G:G &lt;&gt; """"
      )
    )
  ),
"""")"),"")</f>
        <v/>
      </c>
      <c r="G27" s="5" t="s">
        <v>23191</v>
      </c>
      <c r="I27" s="16" t="str">
        <f t="shared" si="0"/>
        <v>AGOTADO</v>
      </c>
    </row>
    <row r="28" spans="1:9" ht="14.5">
      <c r="A28" s="5" t="s">
        <v>23262</v>
      </c>
      <c r="B28" s="50" t="s">
        <v>23263</v>
      </c>
      <c r="C28" s="53" t="s">
        <v>23189</v>
      </c>
      <c r="E28" s="5" t="s">
        <v>23264</v>
      </c>
      <c r="F28" s="5" t="str">
        <f ca="1">IFERROR(__xludf.DUMMYFUNCTION("IFERROR(
  TEXTJOIN("" | "", TRUE,
    UNIQUE(
      FILTER(
        Movimientos_Inventario!G:G,
        TRIM(CLEAN(Movimientos_Inventario!C:C)) = TRIM(CLEAN(A28)),
        Movimientos_Inventario!G:G &lt;&gt; """"
      )
    )
  ),
"""")"),"")</f>
        <v/>
      </c>
      <c r="G28" s="5" t="s">
        <v>23191</v>
      </c>
      <c r="I28" s="16" t="str">
        <f t="shared" si="0"/>
        <v>AGOTADO</v>
      </c>
    </row>
    <row r="29" spans="1:9" ht="14.5">
      <c r="A29" s="5" t="s">
        <v>23265</v>
      </c>
      <c r="B29" s="50" t="s">
        <v>23266</v>
      </c>
      <c r="C29" s="53" t="s">
        <v>23189</v>
      </c>
      <c r="E29" s="5" t="s">
        <v>23267</v>
      </c>
      <c r="F29" s="5" t="str">
        <f ca="1">IFERROR(__xludf.DUMMYFUNCTION("IFERROR(
  TEXTJOIN("" | "", TRUE,
    UNIQUE(
      FILTER(
        Movimientos_Inventario!G:G,
        TRIM(CLEAN(Movimientos_Inventario!C:C)) = TRIM(CLEAN(A29)),
        Movimientos_Inventario!G:G &lt;&gt; """"
      )
    )
  ),
"""")"),"")</f>
        <v/>
      </c>
      <c r="G29" s="5" t="s">
        <v>23191</v>
      </c>
      <c r="I29" s="16" t="str">
        <f t="shared" si="0"/>
        <v>AGOTADO</v>
      </c>
    </row>
    <row r="30" spans="1:9" ht="14.5">
      <c r="A30" s="5" t="s">
        <v>23268</v>
      </c>
      <c r="B30" s="50" t="s">
        <v>23269</v>
      </c>
      <c r="C30" s="53" t="s">
        <v>23189</v>
      </c>
      <c r="E30" s="5" t="s">
        <v>23190</v>
      </c>
      <c r="F30" s="5" t="str">
        <f ca="1">IFERROR(__xludf.DUMMYFUNCTION("IFERROR(
  TEXTJOIN("" | "", TRUE,
    UNIQUE(
      FILTER(
        Movimientos_Inventario!G:G,
        TRIM(CLEAN(Movimientos_Inventario!C:C)) = TRIM(CLEAN(A30)),
        Movimientos_Inventario!G:G &lt;&gt; """"
      )
    )
  ),
"""")"),"")</f>
        <v/>
      </c>
      <c r="G30" s="5" t="s">
        <v>23191</v>
      </c>
      <c r="I30" s="16" t="str">
        <f t="shared" si="0"/>
        <v>AGOTADO</v>
      </c>
    </row>
    <row r="31" spans="1:9" ht="14.5">
      <c r="A31" s="5" t="s">
        <v>23270</v>
      </c>
      <c r="B31" s="50" t="s">
        <v>23271</v>
      </c>
      <c r="C31" s="53" t="s">
        <v>23189</v>
      </c>
      <c r="E31" s="5" t="s">
        <v>23202</v>
      </c>
      <c r="F31" s="5" t="str">
        <f ca="1">IFERROR(__xludf.DUMMYFUNCTION("IFERROR(
  TEXTJOIN("" | "", TRUE,
    UNIQUE(
      FILTER(
        Movimientos_Inventario!G:G,
        TRIM(CLEAN(Movimientos_Inventario!C:C)) = TRIM(CLEAN(A31)),
        Movimientos_Inventario!G:G &lt;&gt; """"
      )
    )
  ),
"""")"),"CATALOGO MUJER")</f>
        <v>CATALOGO MUJER</v>
      </c>
      <c r="G31" s="5" t="s">
        <v>23191</v>
      </c>
      <c r="H31" s="5">
        <v>15</v>
      </c>
      <c r="I31" s="16" t="str">
        <f t="shared" si="0"/>
        <v>DISPONIBLE</v>
      </c>
    </row>
    <row r="32" spans="1:9" ht="14.5">
      <c r="A32" s="5" t="s">
        <v>23272</v>
      </c>
      <c r="B32" s="50" t="s">
        <v>23273</v>
      </c>
      <c r="C32" s="53" t="s">
        <v>23189</v>
      </c>
      <c r="E32" s="5" t="s">
        <v>23274</v>
      </c>
      <c r="F32" s="5" t="str">
        <f ca="1">IFERROR(__xludf.DUMMYFUNCTION("IFERROR(
  TEXTJOIN("" | "", TRUE,
    UNIQUE(
      FILTER(
        Movimientos_Inventario!G:G,
        TRIM(CLEAN(Movimientos_Inventario!C:C)) = TRIM(CLEAN(A32)),
        Movimientos_Inventario!G:G &lt;&gt; """"
      )
    )
  ),
"""")"),"CATALOGO MUJER")</f>
        <v>CATALOGO MUJER</v>
      </c>
      <c r="G32" s="5" t="s">
        <v>23191</v>
      </c>
      <c r="H32" s="5">
        <v>8</v>
      </c>
      <c r="I32" s="16" t="str">
        <f t="shared" si="0"/>
        <v>CASI AGOTADO</v>
      </c>
    </row>
    <row r="33" spans="1:9" ht="14.5">
      <c r="A33" s="5" t="s">
        <v>23275</v>
      </c>
      <c r="B33" s="50" t="s">
        <v>23276</v>
      </c>
      <c r="C33" s="53" t="s">
        <v>23189</v>
      </c>
      <c r="E33" s="5" t="s">
        <v>23208</v>
      </c>
      <c r="F33" s="5" t="str">
        <f ca="1">IFERROR(__xludf.DUMMYFUNCTION("IFERROR(
  TEXTJOIN("" | "", TRUE,
    UNIQUE(
      FILTER(
        Movimientos_Inventario!G:G,
        TRIM(CLEAN(Movimientos_Inventario!C:C)) = TRIM(CLEAN(A33)),
        Movimientos_Inventario!G:G &lt;&gt; """"
      )
    )
  ),
"""")"),"")</f>
        <v/>
      </c>
      <c r="G33" s="5" t="s">
        <v>23191</v>
      </c>
      <c r="I33" s="16" t="str">
        <f t="shared" si="0"/>
        <v>AGOTADO</v>
      </c>
    </row>
    <row r="34" spans="1:9" ht="14.5">
      <c r="A34" s="5" t="s">
        <v>23277</v>
      </c>
      <c r="B34" s="50" t="s">
        <v>23278</v>
      </c>
      <c r="C34" s="53" t="s">
        <v>23189</v>
      </c>
      <c r="E34" s="5" t="s">
        <v>23279</v>
      </c>
      <c r="F34" s="5" t="str">
        <f ca="1">IFERROR(__xludf.DUMMYFUNCTION("IFERROR(
  TEXTJOIN("" | "", TRUE,
    UNIQUE(
      FILTER(
        Movimientos_Inventario!G:G,
        TRIM(CLEAN(Movimientos_Inventario!C:C)) = TRIM(CLEAN(A34)),
        Movimientos_Inventario!G:G &lt;&gt; """"
      )
    )
  ),
"""")"),"")</f>
        <v/>
      </c>
      <c r="G34" s="5" t="s">
        <v>23191</v>
      </c>
      <c r="I34" s="16" t="str">
        <f t="shared" si="0"/>
        <v>AGOTADO</v>
      </c>
    </row>
    <row r="35" spans="1:9" ht="14.5">
      <c r="A35" s="5" t="s">
        <v>23280</v>
      </c>
      <c r="B35" s="50" t="s">
        <v>23281</v>
      </c>
      <c r="C35" s="53" t="s">
        <v>23189</v>
      </c>
      <c r="E35" s="5" t="s">
        <v>23282</v>
      </c>
      <c r="F35" s="5" t="str">
        <f ca="1">IFERROR(__xludf.DUMMYFUNCTION("IFERROR(
  TEXTJOIN("" | "", TRUE,
    UNIQUE(
      FILTER(
        Movimientos_Inventario!G:G,
        TRIM(CLEAN(Movimientos_Inventario!C:C)) = TRIM(CLEAN(A35)),
        Movimientos_Inventario!G:G &lt;&gt; """"
      )
    )
  ),
"""")"),"")</f>
        <v/>
      </c>
      <c r="G35" s="5" t="s">
        <v>23191</v>
      </c>
      <c r="I35" s="16" t="str">
        <f t="shared" si="0"/>
        <v>AGOTADO</v>
      </c>
    </row>
    <row r="36" spans="1:9" ht="14.5">
      <c r="A36" s="5" t="s">
        <v>23283</v>
      </c>
      <c r="B36" s="50" t="s">
        <v>23284</v>
      </c>
      <c r="C36" s="53" t="s">
        <v>23189</v>
      </c>
      <c r="E36" s="5" t="s">
        <v>23285</v>
      </c>
      <c r="F36" s="5" t="str">
        <f ca="1">IFERROR(__xludf.DUMMYFUNCTION("IFERROR(
  TEXTJOIN("" | "", TRUE,
    UNIQUE(
      FILTER(
        Movimientos_Inventario!G:G,
        TRIM(CLEAN(Movimientos_Inventario!C:C)) = TRIM(CLEAN(A36)),
        Movimientos_Inventario!G:G &lt;&gt; """"
      )
    )
  ),
"""")"),"CATALOGO MUJER")</f>
        <v>CATALOGO MUJER</v>
      </c>
      <c r="G36" s="5" t="s">
        <v>23191</v>
      </c>
      <c r="H36" s="5">
        <v>26</v>
      </c>
      <c r="I36" s="16" t="str">
        <f t="shared" si="0"/>
        <v>DISPONIBLE</v>
      </c>
    </row>
    <row r="37" spans="1:9" ht="14.5">
      <c r="A37" s="5" t="s">
        <v>23286</v>
      </c>
      <c r="B37" s="50" t="s">
        <v>23287</v>
      </c>
      <c r="C37" s="53" t="s">
        <v>23189</v>
      </c>
      <c r="E37" s="5" t="s">
        <v>23288</v>
      </c>
      <c r="F37" s="5" t="str">
        <f ca="1">IFERROR(__xludf.DUMMYFUNCTION("IFERROR(
  TEXTJOIN("" | "", TRUE,
    UNIQUE(
      FILTER(
        Movimientos_Inventario!G:G,
        TRIM(CLEAN(Movimientos_Inventario!C:C)) = TRIM(CLEAN(A37)),
        Movimientos_Inventario!G:G &lt;&gt; """"
      )
    )
  ),
"""")"),"")</f>
        <v/>
      </c>
      <c r="G37" s="5" t="s">
        <v>23191</v>
      </c>
      <c r="I37" s="16" t="str">
        <f t="shared" si="0"/>
        <v>AGOTADO</v>
      </c>
    </row>
    <row r="38" spans="1:9" ht="14.5">
      <c r="A38" s="5" t="s">
        <v>23289</v>
      </c>
      <c r="B38" s="50" t="s">
        <v>23290</v>
      </c>
      <c r="C38" s="53" t="s">
        <v>23189</v>
      </c>
      <c r="E38" s="5" t="s">
        <v>23291</v>
      </c>
      <c r="F38" s="5" t="str">
        <f ca="1">IFERROR(__xludf.DUMMYFUNCTION("IFERROR(
  TEXTJOIN("" | "", TRUE,
    UNIQUE(
      FILTER(
        Movimientos_Inventario!G:G,
        TRIM(CLEAN(Movimientos_Inventario!C:C)) = TRIM(CLEAN(A38)),
        Movimientos_Inventario!G:G &lt;&gt; """"
      )
    )
  ),
"""")"),"")</f>
        <v/>
      </c>
      <c r="G38" s="5" t="s">
        <v>23191</v>
      </c>
      <c r="I38" s="16" t="str">
        <f t="shared" si="0"/>
        <v>AGOTADO</v>
      </c>
    </row>
    <row r="39" spans="1:9" ht="14.5">
      <c r="A39" s="5" t="s">
        <v>23292</v>
      </c>
      <c r="B39" s="50" t="s">
        <v>23293</v>
      </c>
      <c r="C39" s="53" t="s">
        <v>23189</v>
      </c>
      <c r="E39" s="5" t="s">
        <v>23294</v>
      </c>
      <c r="F39" s="5" t="str">
        <f ca="1">IFERROR(__xludf.DUMMYFUNCTION("IFERROR(
  TEXTJOIN("" | "", TRUE,
    UNIQUE(
      FILTER(
        Movimientos_Inventario!G:G,
        TRIM(CLEAN(Movimientos_Inventario!C:C)) = TRIM(CLEAN(A39)),
        Movimientos_Inventario!G:G &lt;&gt; """"
      )
    )
  ),
"""")"),"")</f>
        <v/>
      </c>
      <c r="G39" s="5" t="s">
        <v>23191</v>
      </c>
      <c r="I39" s="16" t="str">
        <f t="shared" si="0"/>
        <v>AGOTADO</v>
      </c>
    </row>
    <row r="40" spans="1:9" ht="14.5">
      <c r="A40" s="5" t="s">
        <v>23295</v>
      </c>
      <c r="B40" s="50" t="s">
        <v>23296</v>
      </c>
      <c r="C40" s="53" t="s">
        <v>23189</v>
      </c>
      <c r="E40" s="5" t="s">
        <v>23297</v>
      </c>
      <c r="F40" s="5" t="str">
        <f ca="1">IFERROR(__xludf.DUMMYFUNCTION("IFERROR(
  TEXTJOIN("" | "", TRUE,
    UNIQUE(
      FILTER(
        Movimientos_Inventario!G:G,
        TRIM(CLEAN(Movimientos_Inventario!C:C)) = TRIM(CLEAN(A40)),
        Movimientos_Inventario!G:G &lt;&gt; """"
      )
    )
  ),
"""")"),"CATALOGO MUJER")</f>
        <v>CATALOGO MUJER</v>
      </c>
      <c r="G40" s="5" t="s">
        <v>23191</v>
      </c>
      <c r="H40" s="5">
        <v>3</v>
      </c>
      <c r="I40" s="16" t="str">
        <f t="shared" si="0"/>
        <v>CASI AGOTADO</v>
      </c>
    </row>
    <row r="41" spans="1:9" ht="14.5">
      <c r="A41" s="5" t="s">
        <v>23298</v>
      </c>
      <c r="B41" s="50" t="s">
        <v>23299</v>
      </c>
      <c r="C41" s="53" t="s">
        <v>23189</v>
      </c>
      <c r="E41" s="5" t="s">
        <v>1999</v>
      </c>
      <c r="F41" s="5" t="str">
        <f ca="1">IFERROR(__xludf.DUMMYFUNCTION("IFERROR(
  TEXTJOIN("" | "", TRUE,
    UNIQUE(
      FILTER(
        Movimientos_Inventario!G:G,
        TRIM(CLEAN(Movimientos_Inventario!C:C)) = TRIM(CLEAN(A41)),
        Movimientos_Inventario!G:G &lt;&gt; """"
      )
    )
  ),
"""")"),"")</f>
        <v/>
      </c>
      <c r="G41" s="5" t="s">
        <v>23191</v>
      </c>
      <c r="H41" s="5">
        <v>7</v>
      </c>
      <c r="I41" s="16" t="str">
        <f t="shared" si="0"/>
        <v>CASI AGOTADO</v>
      </c>
    </row>
    <row r="42" spans="1:9" ht="14.5">
      <c r="A42" s="5" t="s">
        <v>23300</v>
      </c>
      <c r="B42" s="50" t="s">
        <v>23301</v>
      </c>
      <c r="C42" s="53" t="s">
        <v>23189</v>
      </c>
      <c r="E42" s="5" t="s">
        <v>23202</v>
      </c>
      <c r="F42" s="5" t="s">
        <v>23203</v>
      </c>
      <c r="G42" s="5" t="s">
        <v>23191</v>
      </c>
      <c r="H42" s="5">
        <v>5</v>
      </c>
      <c r="I42" s="16" t="str">
        <f t="shared" si="0"/>
        <v>CASI AGOTADO</v>
      </c>
    </row>
    <row r="43" spans="1:9" ht="14.5">
      <c r="A43" s="5" t="s">
        <v>23302</v>
      </c>
      <c r="B43" s="50" t="s">
        <v>23303</v>
      </c>
      <c r="C43" s="53" t="s">
        <v>23189</v>
      </c>
      <c r="E43" s="5" t="s">
        <v>23246</v>
      </c>
      <c r="F43" s="5" t="str">
        <f ca="1">IFERROR(__xludf.DUMMYFUNCTION("IFERROR(
  TEXTJOIN("" | "", TRUE,
    UNIQUE(
      FILTER(
        Movimientos_Inventario!G:G,
        TRIM(CLEAN(Movimientos_Inventario!C:C)) = TRIM(CLEAN(A43)),
        Movimientos_Inventario!G:G &lt;&gt; """"
      )
    )
  ),
"""")"),"")</f>
        <v/>
      </c>
      <c r="G43" s="5" t="s">
        <v>23191</v>
      </c>
      <c r="I43" s="16" t="str">
        <f t="shared" si="0"/>
        <v>AGOTADO</v>
      </c>
    </row>
    <row r="44" spans="1:9" ht="14.5">
      <c r="A44" s="5" t="s">
        <v>23304</v>
      </c>
      <c r="B44" s="50" t="s">
        <v>23305</v>
      </c>
      <c r="C44" s="53" t="s">
        <v>23189</v>
      </c>
      <c r="E44" s="5" t="s">
        <v>23208</v>
      </c>
      <c r="F44" s="5" t="str">
        <f ca="1">IFERROR(__xludf.DUMMYFUNCTION("IFERROR(
  TEXTJOIN("" | "", TRUE,
    UNIQUE(
      FILTER(
        Movimientos_Inventario!G:G,
        TRIM(CLEAN(Movimientos_Inventario!C:C)) = TRIM(CLEAN(A44)),
        Movimientos_Inventario!G:G &lt;&gt; """"
      )
    )
  ),
"""")"),"")</f>
        <v/>
      </c>
      <c r="G44" s="5" t="s">
        <v>23191</v>
      </c>
      <c r="I44" s="16" t="str">
        <f t="shared" si="0"/>
        <v>AGOTADO</v>
      </c>
    </row>
    <row r="45" spans="1:9" ht="14.5">
      <c r="A45" s="5" t="s">
        <v>23306</v>
      </c>
      <c r="B45" s="50" t="s">
        <v>23307</v>
      </c>
      <c r="C45" s="53" t="s">
        <v>23189</v>
      </c>
      <c r="E45" s="5" t="s">
        <v>23211</v>
      </c>
      <c r="F45" s="5" t="str">
        <f ca="1">IFERROR(__xludf.DUMMYFUNCTION("IFERROR(
  TEXTJOIN("" | "", TRUE,
    UNIQUE(
      FILTER(
        Movimientos_Inventario!G:G,
        TRIM(CLEAN(Movimientos_Inventario!C:C)) = TRIM(CLEAN(A45)),
        Movimientos_Inventario!G:G &lt;&gt; """"
      )
    )
  ),
"""")"),"")</f>
        <v/>
      </c>
      <c r="G45" s="5" t="s">
        <v>23191</v>
      </c>
      <c r="I45" s="16" t="str">
        <f t="shared" si="0"/>
        <v>AGOTADO</v>
      </c>
    </row>
    <row r="46" spans="1:9" ht="14.5">
      <c r="A46" s="5" t="s">
        <v>23308</v>
      </c>
      <c r="B46" s="50" t="s">
        <v>23309</v>
      </c>
      <c r="C46" s="53" t="s">
        <v>23189</v>
      </c>
      <c r="E46" s="5" t="s">
        <v>23197</v>
      </c>
      <c r="F46" s="5" t="s">
        <v>23203</v>
      </c>
      <c r="G46" s="5" t="s">
        <v>23191</v>
      </c>
      <c r="H46" s="5">
        <v>34</v>
      </c>
      <c r="I46" s="16" t="str">
        <f t="shared" si="0"/>
        <v>DISPONIBLE</v>
      </c>
    </row>
    <row r="47" spans="1:9" ht="14.5">
      <c r="A47" s="5" t="s">
        <v>23310</v>
      </c>
      <c r="B47" s="50" t="s">
        <v>23311</v>
      </c>
      <c r="C47" s="53" t="s">
        <v>23189</v>
      </c>
      <c r="E47" s="5" t="s">
        <v>23267</v>
      </c>
      <c r="F47" s="5" t="str">
        <f ca="1">IFERROR(__xludf.DUMMYFUNCTION("IFERROR(
  TEXTJOIN("" | "", TRUE,
    UNIQUE(
      FILTER(
        Movimientos_Inventario!G:G,
        TRIM(CLEAN(Movimientos_Inventario!C:C)) = TRIM(CLEAN(A47)),
        Movimientos_Inventario!G:G &lt;&gt; """"
      )
    )
  ),
"""")"),"")</f>
        <v/>
      </c>
      <c r="G47" s="5" t="s">
        <v>23191</v>
      </c>
      <c r="I47" s="16" t="str">
        <f t="shared" si="0"/>
        <v>AGOTADO</v>
      </c>
    </row>
    <row r="48" spans="1:9" ht="14.5">
      <c r="A48" s="5" t="s">
        <v>23312</v>
      </c>
      <c r="B48" s="50" t="s">
        <v>23313</v>
      </c>
      <c r="C48" s="53" t="s">
        <v>23189</v>
      </c>
      <c r="E48" s="5" t="s">
        <v>23314</v>
      </c>
      <c r="F48" s="5" t="str">
        <f ca="1">IFERROR(__xludf.DUMMYFUNCTION("IFERROR(
  TEXTJOIN("" | "", TRUE,
    UNIQUE(
      FILTER(
        Movimientos_Inventario!G:G,
        TRIM(CLEAN(Movimientos_Inventario!C:C)) = TRIM(CLEAN(A48)),
        Movimientos_Inventario!G:G &lt;&gt; """"
      )
    )
  ),
"""")"),"")</f>
        <v/>
      </c>
      <c r="G48" s="5" t="s">
        <v>23217</v>
      </c>
      <c r="I48" s="16" t="str">
        <f t="shared" si="0"/>
        <v>AGOTADO</v>
      </c>
    </row>
    <row r="49" spans="1:9" ht="14.5">
      <c r="A49" s="5" t="s">
        <v>23315</v>
      </c>
      <c r="B49" s="50" t="s">
        <v>23316</v>
      </c>
      <c r="C49" s="53" t="s">
        <v>23189</v>
      </c>
      <c r="E49" s="5" t="s">
        <v>23317</v>
      </c>
      <c r="F49" s="5" t="str">
        <f ca="1">IFERROR(__xludf.DUMMYFUNCTION("IFERROR(
  TEXTJOIN("" | "", TRUE,
    UNIQUE(
      FILTER(
        Movimientos_Inventario!G:G,
        TRIM(CLEAN(Movimientos_Inventario!C:C)) = TRIM(CLEAN(A49)),
        Movimientos_Inventario!G:G &lt;&gt; """"
      )
    )
  ),
"""")"),"")</f>
        <v/>
      </c>
      <c r="G49" s="5" t="s">
        <v>23191</v>
      </c>
      <c r="I49" s="16" t="str">
        <f t="shared" si="0"/>
        <v>AGOTADO</v>
      </c>
    </row>
    <row r="50" spans="1:9" ht="14.5">
      <c r="A50" s="5" t="s">
        <v>23318</v>
      </c>
      <c r="B50" s="50" t="s">
        <v>23319</v>
      </c>
      <c r="C50" s="53" t="s">
        <v>23189</v>
      </c>
      <c r="F50" s="5" t="str">
        <f ca="1">IFERROR(__xludf.DUMMYFUNCTION("IFERROR(
  TEXTJOIN("" | "", TRUE,
    UNIQUE(
      FILTER(
        Movimientos_Inventario!G:G,
        TRIM(CLEAN(Movimientos_Inventario!C:C)) = TRIM(CLEAN(A50)),
        Movimientos_Inventario!G:G &lt;&gt; """"
      )
    )
  ),
"""")"),"")</f>
        <v/>
      </c>
      <c r="G50" s="5" t="s">
        <v>23252</v>
      </c>
      <c r="I50" s="16" t="str">
        <f t="shared" si="0"/>
        <v>AGOTADO</v>
      </c>
    </row>
    <row r="51" spans="1:9" ht="14.5">
      <c r="A51" s="5" t="s">
        <v>23320</v>
      </c>
      <c r="B51" s="50" t="s">
        <v>23321</v>
      </c>
      <c r="C51" s="53" t="s">
        <v>23189</v>
      </c>
      <c r="E51" s="5" t="s">
        <v>23285</v>
      </c>
      <c r="F51" s="5" t="str">
        <f ca="1">IFERROR(__xludf.DUMMYFUNCTION("IFERROR(
  TEXTJOIN("" | "", TRUE,
    UNIQUE(
      FILTER(
        Movimientos_Inventario!G:G,
        TRIM(CLEAN(Movimientos_Inventario!C:C)) = TRIM(CLEAN(A51)),
        Movimientos_Inventario!G:G &lt;&gt; """"
      )
    )
  ),
"""")"),"")</f>
        <v/>
      </c>
      <c r="G51" s="5" t="s">
        <v>23252</v>
      </c>
      <c r="I51" s="16" t="str">
        <f t="shared" si="0"/>
        <v>AGOTADO</v>
      </c>
    </row>
    <row r="52" spans="1:9" ht="14.5">
      <c r="A52" s="5" t="s">
        <v>23322</v>
      </c>
      <c r="B52" s="50" t="s">
        <v>23323</v>
      </c>
      <c r="C52" s="53" t="s">
        <v>23189</v>
      </c>
      <c r="E52" s="5" t="s">
        <v>23190</v>
      </c>
      <c r="F52" s="5" t="str">
        <f ca="1">IFERROR(__xludf.DUMMYFUNCTION("IFERROR(
  TEXTJOIN("" | "", TRUE,
    UNIQUE(
      FILTER(
        Movimientos_Inventario!G:G,
        TRIM(CLEAN(Movimientos_Inventario!C:C)) = TRIM(CLEAN(A52)),
        Movimientos_Inventario!G:G &lt;&gt; """"
      )
    )
  ),
"""")"),"")</f>
        <v/>
      </c>
      <c r="G52" s="5" t="s">
        <v>23217</v>
      </c>
      <c r="I52" s="16" t="str">
        <f t="shared" si="0"/>
        <v>AGOTADO</v>
      </c>
    </row>
    <row r="53" spans="1:9" ht="14.5">
      <c r="A53" s="5" t="s">
        <v>23324</v>
      </c>
      <c r="B53" s="50" t="s">
        <v>23325</v>
      </c>
      <c r="C53" s="53" t="s">
        <v>23189</v>
      </c>
      <c r="E53" s="5" t="s">
        <v>23194</v>
      </c>
      <c r="F53" s="5" t="str">
        <f ca="1">IFERROR(__xludf.DUMMYFUNCTION("IFERROR(
  TEXTJOIN("" | "", TRUE,
    UNIQUE(
      FILTER(
        Movimientos_Inventario!G:G,
        TRIM(CLEAN(Movimientos_Inventario!C:C)) = TRIM(CLEAN(A53)),
        Movimientos_Inventario!G:G &lt;&gt; """"
      )
    )
  ),
"""")"),"")</f>
        <v/>
      </c>
      <c r="G53" s="5" t="s">
        <v>23217</v>
      </c>
      <c r="I53" s="16" t="str">
        <f t="shared" si="0"/>
        <v>AGOTADO</v>
      </c>
    </row>
    <row r="54" spans="1:9" ht="14.5">
      <c r="A54" s="5" t="s">
        <v>23326</v>
      </c>
      <c r="B54" s="50" t="s">
        <v>23327</v>
      </c>
      <c r="C54" s="53" t="s">
        <v>23189</v>
      </c>
      <c r="E54" s="5" t="s">
        <v>23314</v>
      </c>
      <c r="F54" s="5" t="str">
        <f ca="1">IFERROR(__xludf.DUMMYFUNCTION("IFERROR(
  TEXTJOIN("" | "", TRUE,
    UNIQUE(
      FILTER(
        Movimientos_Inventario!G:G,
        TRIM(CLEAN(Movimientos_Inventario!C:C)) = TRIM(CLEAN(A54)),
        Movimientos_Inventario!G:G &lt;&gt; """"
      )
    )
  ),
"""")"),"")</f>
        <v/>
      </c>
      <c r="G54" s="5" t="s">
        <v>23191</v>
      </c>
      <c r="I54" s="16" t="str">
        <f t="shared" si="0"/>
        <v>AGOTADO</v>
      </c>
    </row>
    <row r="55" spans="1:9" ht="14.5">
      <c r="A55" s="5" t="s">
        <v>23328</v>
      </c>
      <c r="B55" s="50" t="s">
        <v>23329</v>
      </c>
      <c r="C55" s="53" t="s">
        <v>23189</v>
      </c>
      <c r="E55" s="5" t="s">
        <v>23330</v>
      </c>
      <c r="F55" s="5" t="str">
        <f ca="1">IFERROR(__xludf.DUMMYFUNCTION("IFERROR(
  TEXTJOIN("" | "", TRUE,
    UNIQUE(
      FILTER(
        Movimientos_Inventario!G:G,
        TRIM(CLEAN(Movimientos_Inventario!C:C)) = TRIM(CLEAN(A55)),
        Movimientos_Inventario!G:G &lt;&gt; """"
      )
    )
  ),
"""")"),"")</f>
        <v/>
      </c>
      <c r="G55" s="5" t="s">
        <v>23191</v>
      </c>
      <c r="I55" s="16" t="str">
        <f t="shared" si="0"/>
        <v>AGOTADO</v>
      </c>
    </row>
    <row r="56" spans="1:9" ht="14.5">
      <c r="A56" s="5" t="s">
        <v>23331</v>
      </c>
      <c r="B56" s="50" t="s">
        <v>23332</v>
      </c>
      <c r="C56" s="53" t="s">
        <v>23189</v>
      </c>
      <c r="E56" s="5" t="s">
        <v>23190</v>
      </c>
      <c r="F56" s="5" t="str">
        <f ca="1">IFERROR(__xludf.DUMMYFUNCTION("IFERROR(
  TEXTJOIN("" | "", TRUE,
    UNIQUE(
      FILTER(
        Movimientos_Inventario!G:G,
        TRIM(CLEAN(Movimientos_Inventario!C:C)) = TRIM(CLEAN(A56)),
        Movimientos_Inventario!G:G &lt;&gt; """"
      )
    )
  ),
"""")"),"")</f>
        <v/>
      </c>
      <c r="G56" s="5" t="s">
        <v>23191</v>
      </c>
      <c r="I56" s="16" t="str">
        <f t="shared" si="0"/>
        <v>AGOTADO</v>
      </c>
    </row>
    <row r="57" spans="1:9" ht="14.5">
      <c r="A57" s="5" t="s">
        <v>23333</v>
      </c>
      <c r="B57" s="50" t="s">
        <v>23334</v>
      </c>
      <c r="C57" s="53" t="s">
        <v>23189</v>
      </c>
      <c r="E57" s="5" t="s">
        <v>23194</v>
      </c>
      <c r="F57" s="5" t="str">
        <f ca="1">IFERROR(__xludf.DUMMYFUNCTION("IFERROR(
  TEXTJOIN("" | "", TRUE,
    UNIQUE(
      FILTER(
        Movimientos_Inventario!G:G,
        TRIM(CLEAN(Movimientos_Inventario!C:C)) = TRIM(CLEAN(A57)),
        Movimientos_Inventario!G:G &lt;&gt; """"
      )
    )
  ),
"""")"),"")</f>
        <v/>
      </c>
      <c r="G57" s="5" t="s">
        <v>23191</v>
      </c>
      <c r="I57" s="16" t="str">
        <f t="shared" si="0"/>
        <v>AGOTADO</v>
      </c>
    </row>
    <row r="58" spans="1:9" ht="14.5">
      <c r="A58" s="5" t="s">
        <v>23335</v>
      </c>
      <c r="B58" s="50" t="s">
        <v>23336</v>
      </c>
      <c r="C58" s="53" t="s">
        <v>23189</v>
      </c>
      <c r="E58" s="5" t="s">
        <v>23197</v>
      </c>
      <c r="F58" s="5" t="str">
        <f ca="1">IFERROR(__xludf.DUMMYFUNCTION("IFERROR(
  TEXTJOIN("" | "", TRUE,
    UNIQUE(
      FILTER(
        Movimientos_Inventario!G:G,
        TRIM(CLEAN(Movimientos_Inventario!C:C)) = TRIM(CLEAN(A58)),
        Movimientos_Inventario!G:G &lt;&gt; """"
      )
    )
  ),
"""")"),"CATALOGO MUJER")</f>
        <v>CATALOGO MUJER</v>
      </c>
      <c r="G58" s="5" t="s">
        <v>23191</v>
      </c>
      <c r="H58" s="5">
        <v>2</v>
      </c>
      <c r="I58" s="16" t="str">
        <f t="shared" si="0"/>
        <v>CASI AGOTADO</v>
      </c>
    </row>
    <row r="59" spans="1:9" ht="14.5">
      <c r="A59" s="5" t="s">
        <v>23337</v>
      </c>
      <c r="B59" s="50" t="s">
        <v>23338</v>
      </c>
      <c r="C59" s="53" t="s">
        <v>23189</v>
      </c>
      <c r="E59" s="5" t="s">
        <v>23339</v>
      </c>
      <c r="F59" s="5" t="str">
        <f ca="1">IFERROR(__xludf.DUMMYFUNCTION("IFERROR(
  TEXTJOIN("" | "", TRUE,
    UNIQUE(
      FILTER(
        Movimientos_Inventario!G:G,
        TRIM(CLEAN(Movimientos_Inventario!C:C)) = TRIM(CLEAN(A59)),
        Movimientos_Inventario!G:G &lt;&gt; """"
      )
    )
  ),
"""")"),"")</f>
        <v/>
      </c>
      <c r="G59" s="5" t="s">
        <v>23191</v>
      </c>
      <c r="I59" s="16" t="str">
        <f t="shared" si="0"/>
        <v>AGOTADO</v>
      </c>
    </row>
    <row r="60" spans="1:9" ht="14.5">
      <c r="A60" s="5" t="s">
        <v>23340</v>
      </c>
      <c r="B60" s="50" t="s">
        <v>23341</v>
      </c>
      <c r="C60" s="53" t="s">
        <v>23189</v>
      </c>
      <c r="E60" s="5" t="s">
        <v>23297</v>
      </c>
      <c r="F60" s="5" t="str">
        <f ca="1">IFERROR(__xludf.DUMMYFUNCTION("IFERROR(
  TEXTJOIN("" | "", TRUE,
    UNIQUE(
      FILTER(
        Movimientos_Inventario!G:G,
        TRIM(CLEAN(Movimientos_Inventario!C:C)) = TRIM(CLEAN(A60)),
        Movimientos_Inventario!G:G &lt;&gt; """"
      )
    )
  ),
"""")"),"")</f>
        <v/>
      </c>
      <c r="G60" s="5" t="s">
        <v>23191</v>
      </c>
      <c r="I60" s="16" t="str">
        <f t="shared" si="0"/>
        <v>AGOTADO</v>
      </c>
    </row>
    <row r="61" spans="1:9" ht="14.5">
      <c r="A61" s="5" t="s">
        <v>23342</v>
      </c>
      <c r="B61" s="50" t="s">
        <v>23343</v>
      </c>
      <c r="C61" s="53" t="s">
        <v>23189</v>
      </c>
      <c r="E61" s="5" t="s">
        <v>23246</v>
      </c>
      <c r="F61" s="5" t="str">
        <f ca="1">IFERROR(__xludf.DUMMYFUNCTION("IFERROR(
  TEXTJOIN("" | "", TRUE,
    UNIQUE(
      FILTER(
        Movimientos_Inventario!G:G,
        TRIM(CLEAN(Movimientos_Inventario!C:C)) = TRIM(CLEAN(A61)),
        Movimientos_Inventario!G:G &lt;&gt; """"
      )
    )
  ),
"""")"),"")</f>
        <v/>
      </c>
      <c r="G61" s="5" t="s">
        <v>23191</v>
      </c>
      <c r="I61" s="16" t="str">
        <f t="shared" si="0"/>
        <v>AGOTADO</v>
      </c>
    </row>
    <row r="62" spans="1:9" ht="14.5">
      <c r="A62" s="5" t="s">
        <v>23344</v>
      </c>
      <c r="B62" s="50" t="s">
        <v>23345</v>
      </c>
      <c r="C62" s="53" t="s">
        <v>23189</v>
      </c>
      <c r="E62" s="5" t="s">
        <v>23190</v>
      </c>
      <c r="F62" s="5" t="str">
        <f ca="1">IFERROR(__xludf.DUMMYFUNCTION("IFERROR(
  TEXTJOIN("" | "", TRUE,
    UNIQUE(
      FILTER(
        Movimientos_Inventario!G:G,
        TRIM(CLEAN(Movimientos_Inventario!C:C)) = TRIM(CLEAN(A62)),
        Movimientos_Inventario!G:G &lt;&gt; """"
      )
    )
  ),
"""")"),"")</f>
        <v/>
      </c>
      <c r="G62" s="5" t="s">
        <v>23191</v>
      </c>
      <c r="I62" s="16" t="str">
        <f t="shared" si="0"/>
        <v>AGOTADO</v>
      </c>
    </row>
    <row r="63" spans="1:9" ht="14.5">
      <c r="A63" s="5" t="s">
        <v>23346</v>
      </c>
      <c r="B63" s="50" t="s">
        <v>23347</v>
      </c>
      <c r="C63" s="53" t="s">
        <v>23189</v>
      </c>
      <c r="E63" s="5" t="s">
        <v>23264</v>
      </c>
      <c r="F63" s="5" t="str">
        <f ca="1">IFERROR(__xludf.DUMMYFUNCTION("IFERROR(
  TEXTJOIN("" | "", TRUE,
    UNIQUE(
      FILTER(
        Movimientos_Inventario!G:G,
        TRIM(CLEAN(Movimientos_Inventario!C:C)) = TRIM(CLEAN(A63)),
        Movimientos_Inventario!G:G &lt;&gt; """"
      )
    )
  ),
"""")"),"")</f>
        <v/>
      </c>
      <c r="G63" s="5" t="s">
        <v>23217</v>
      </c>
      <c r="I63" s="16" t="str">
        <f t="shared" si="0"/>
        <v>AGOTADO</v>
      </c>
    </row>
    <row r="64" spans="1:9" ht="14.5">
      <c r="A64" s="5" t="s">
        <v>23348</v>
      </c>
      <c r="B64" s="50" t="s">
        <v>23349</v>
      </c>
      <c r="C64" s="53" t="s">
        <v>23189</v>
      </c>
      <c r="E64" s="5" t="s">
        <v>23314</v>
      </c>
      <c r="F64" s="5" t="str">
        <f ca="1">IFERROR(__xludf.DUMMYFUNCTION("IFERROR(
  TEXTJOIN("" | "", TRUE,
    UNIQUE(
      FILTER(
        Movimientos_Inventario!G:G,
        TRIM(CLEAN(Movimientos_Inventario!C:C)) = TRIM(CLEAN(A64)),
        Movimientos_Inventario!G:G &lt;&gt; """"
      )
    )
  ),
"""")"),"")</f>
        <v/>
      </c>
      <c r="G64" s="5" t="s">
        <v>23217</v>
      </c>
      <c r="I64" s="16" t="str">
        <f t="shared" si="0"/>
        <v>AGOTADO</v>
      </c>
    </row>
    <row r="65" spans="1:9" ht="14.5">
      <c r="A65" s="5" t="s">
        <v>23350</v>
      </c>
      <c r="B65" s="50" t="s">
        <v>23351</v>
      </c>
      <c r="C65" s="53" t="s">
        <v>23189</v>
      </c>
      <c r="E65" s="5" t="s">
        <v>23194</v>
      </c>
      <c r="F65" s="5" t="str">
        <f ca="1">IFERROR(__xludf.DUMMYFUNCTION("IFERROR(
  TEXTJOIN("" | "", TRUE,
    UNIQUE(
      FILTER(
        Movimientos_Inventario!G:G,
        TRIM(CLEAN(Movimientos_Inventario!C:C)) = TRIM(CLEAN(A65)),
        Movimientos_Inventario!G:G &lt;&gt; """"
      )
    )
  ),
"""")"),"")</f>
        <v/>
      </c>
      <c r="G65" s="5" t="s">
        <v>23217</v>
      </c>
      <c r="I65" s="16" t="str">
        <f t="shared" si="0"/>
        <v>AGOTADO</v>
      </c>
    </row>
    <row r="66" spans="1:9" ht="14.5">
      <c r="A66" s="5" t="s">
        <v>23352</v>
      </c>
      <c r="B66" s="50" t="s">
        <v>23353</v>
      </c>
      <c r="C66" s="53" t="s">
        <v>23189</v>
      </c>
      <c r="E66" s="5" t="s">
        <v>23317</v>
      </c>
      <c r="F66" s="5" t="str">
        <f ca="1">IFERROR(__xludf.DUMMYFUNCTION("IFERROR(
  TEXTJOIN("" | "", TRUE,
    UNIQUE(
      FILTER(
        Movimientos_Inventario!G:G,
        TRIM(CLEAN(Movimientos_Inventario!C:C)) = TRIM(CLEAN(A66)),
        Movimientos_Inventario!G:G &lt;&gt; """"
      )
    )
  ),
"""")"),"")</f>
        <v/>
      </c>
      <c r="G66" s="5" t="s">
        <v>23217</v>
      </c>
      <c r="I66" s="16" t="str">
        <f t="shared" si="0"/>
        <v>AGOTADO</v>
      </c>
    </row>
    <row r="67" spans="1:9" ht="14.5">
      <c r="A67" s="5" t="s">
        <v>23354</v>
      </c>
      <c r="B67" s="50" t="s">
        <v>23355</v>
      </c>
      <c r="C67" s="53" t="s">
        <v>23189</v>
      </c>
      <c r="E67" s="5" t="s">
        <v>23297</v>
      </c>
      <c r="F67" s="5" t="str">
        <f ca="1">IFERROR(__xludf.DUMMYFUNCTION("IFERROR(
  TEXTJOIN("" | "", TRUE,
    UNIQUE(
      FILTER(
        Movimientos_Inventario!G:G,
        TRIM(CLEAN(Movimientos_Inventario!C:C)) = TRIM(CLEAN(A67)),
        Movimientos_Inventario!G:G &lt;&gt; """"
      )
    )
  ),
"""")"),"")</f>
        <v/>
      </c>
      <c r="G67" s="5" t="s">
        <v>23217</v>
      </c>
      <c r="I67" s="16" t="str">
        <f t="shared" si="0"/>
        <v>AGOTADO</v>
      </c>
    </row>
    <row r="68" spans="1:9" ht="14.5">
      <c r="A68" s="5" t="s">
        <v>23356</v>
      </c>
      <c r="B68" s="50" t="s">
        <v>23357</v>
      </c>
      <c r="C68" s="53" t="s">
        <v>23189</v>
      </c>
      <c r="E68" s="5" t="s">
        <v>1999</v>
      </c>
      <c r="F68" s="5" t="s">
        <v>23203</v>
      </c>
      <c r="G68" s="5" t="s">
        <v>23217</v>
      </c>
      <c r="H68" s="5">
        <v>2</v>
      </c>
      <c r="I68" s="16" t="str">
        <f t="shared" si="0"/>
        <v>CASI AGOTADO</v>
      </c>
    </row>
    <row r="69" spans="1:9" ht="14.5">
      <c r="A69" s="5" t="s">
        <v>23358</v>
      </c>
      <c r="B69" s="50" t="s">
        <v>23359</v>
      </c>
      <c r="C69" s="53" t="s">
        <v>23189</v>
      </c>
      <c r="E69" s="5" t="s">
        <v>23202</v>
      </c>
      <c r="F69" s="5" t="str">
        <f ca="1">IFERROR(__xludf.DUMMYFUNCTION("IFERROR(
  TEXTJOIN("" | "", TRUE,
    UNIQUE(
      FILTER(
        Movimientos_Inventario!G:G,
        TRIM(CLEAN(Movimientos_Inventario!C:C)) = TRIM(CLEAN(A69)),
        Movimientos_Inventario!G:G &lt;&gt; """"
      )
    )
  ),
"""")"),"")</f>
        <v/>
      </c>
      <c r="G69" s="5" t="s">
        <v>23217</v>
      </c>
      <c r="I69" s="16" t="str">
        <f t="shared" si="0"/>
        <v>AGOTADO</v>
      </c>
    </row>
    <row r="70" spans="1:9" ht="14.5">
      <c r="A70" s="5" t="s">
        <v>23360</v>
      </c>
      <c r="B70" s="50" t="s">
        <v>23361</v>
      </c>
      <c r="C70" s="53" t="s">
        <v>23189</v>
      </c>
      <c r="E70" s="5" t="s">
        <v>23208</v>
      </c>
      <c r="F70" s="5" t="str">
        <f ca="1">IFERROR(__xludf.DUMMYFUNCTION("IFERROR(
  TEXTJOIN("" | "", TRUE,
    UNIQUE(
      FILTER(
        Movimientos_Inventario!G:G,
        TRIM(CLEAN(Movimientos_Inventario!C:C)) = TRIM(CLEAN(A70)),
        Movimientos_Inventario!G:G &lt;&gt; """"
      )
    )
  ),
"""")"),"")</f>
        <v/>
      </c>
      <c r="G70" s="5" t="s">
        <v>23217</v>
      </c>
      <c r="I70" s="16" t="str">
        <f t="shared" si="0"/>
        <v>AGOTADO</v>
      </c>
    </row>
    <row r="71" spans="1:9" ht="14.5">
      <c r="A71" s="5" t="s">
        <v>23362</v>
      </c>
      <c r="B71" s="50" t="s">
        <v>23363</v>
      </c>
      <c r="C71" s="53" t="s">
        <v>23189</v>
      </c>
      <c r="E71" s="5" t="s">
        <v>23197</v>
      </c>
      <c r="F71" s="5" t="s">
        <v>23203</v>
      </c>
      <c r="G71" s="5" t="s">
        <v>23217</v>
      </c>
      <c r="H71" s="5">
        <v>9</v>
      </c>
      <c r="I71" s="16" t="str">
        <f t="shared" si="0"/>
        <v>CASI AGOTADO</v>
      </c>
    </row>
    <row r="72" spans="1:9" ht="14.5">
      <c r="A72" s="5" t="s">
        <v>23364</v>
      </c>
      <c r="B72" s="50" t="s">
        <v>23365</v>
      </c>
      <c r="C72" s="53" t="s">
        <v>23189</v>
      </c>
      <c r="E72" s="5" t="s">
        <v>23366</v>
      </c>
      <c r="F72" s="5" t="str">
        <f ca="1">IFERROR(__xludf.DUMMYFUNCTION("IFERROR(
  TEXTJOIN("" | "", TRUE,
    UNIQUE(
      FILTER(
        Movimientos_Inventario!G:G,
        TRIM(CLEAN(Movimientos_Inventario!C:C)) = TRIM(CLEAN(A72)),
        Movimientos_Inventario!G:G &lt;&gt; """"
      )
    )
  ),
"""")"),"")</f>
        <v/>
      </c>
      <c r="G72" s="5" t="s">
        <v>23217</v>
      </c>
      <c r="I72" s="16" t="str">
        <f t="shared" si="0"/>
        <v>AGOTADO</v>
      </c>
    </row>
    <row r="73" spans="1:9" ht="14.5">
      <c r="A73" s="5" t="s">
        <v>23367</v>
      </c>
      <c r="B73" s="50" t="s">
        <v>23368</v>
      </c>
      <c r="C73" s="53" t="s">
        <v>23189</v>
      </c>
      <c r="E73" s="5" t="s">
        <v>23264</v>
      </c>
      <c r="F73" s="5" t="str">
        <f ca="1">IFERROR(__xludf.DUMMYFUNCTION("IFERROR(
  TEXTJOIN("" | "", TRUE,
    UNIQUE(
      FILTER(
        Movimientos_Inventario!G:G,
        TRIM(CLEAN(Movimientos_Inventario!C:C)) = TRIM(CLEAN(A73)),
        Movimientos_Inventario!G:G &lt;&gt; """"
      )
    )
  ),
"""")"),"")</f>
        <v/>
      </c>
      <c r="G73" s="5" t="s">
        <v>23191</v>
      </c>
      <c r="I73" s="16" t="str">
        <f t="shared" si="0"/>
        <v>AGOTADO</v>
      </c>
    </row>
    <row r="74" spans="1:9" ht="14.5">
      <c r="A74" s="5" t="s">
        <v>23369</v>
      </c>
      <c r="B74" s="50" t="s">
        <v>23370</v>
      </c>
      <c r="C74" s="53" t="s">
        <v>23189</v>
      </c>
      <c r="E74" s="5" t="s">
        <v>23190</v>
      </c>
      <c r="G74" s="5" t="s">
        <v>23191</v>
      </c>
      <c r="I74" s="16" t="str">
        <f t="shared" si="0"/>
        <v>AGOTADO</v>
      </c>
    </row>
    <row r="75" spans="1:9" ht="14.5">
      <c r="A75" s="5" t="s">
        <v>23371</v>
      </c>
      <c r="B75" s="50" t="s">
        <v>23372</v>
      </c>
      <c r="C75" s="53" t="s">
        <v>23189</v>
      </c>
      <c r="E75" s="5" t="s">
        <v>23285</v>
      </c>
      <c r="F75" s="5" t="str">
        <f ca="1">IFERROR(__xludf.DUMMYFUNCTION("IFERROR(
  TEXTJOIN("" | "", TRUE,
    UNIQUE(
      FILTER(
        Movimientos_Inventario!G:G,
        TRIM(CLEAN(Movimientos_Inventario!C:C)) = TRIM(CLEAN(A75)),
        Movimientos_Inventario!G:G &lt;&gt; """"
      )
    )
  ),
"""")"),"")</f>
        <v/>
      </c>
      <c r="G75" s="5" t="s">
        <v>23191</v>
      </c>
      <c r="H75" s="5">
        <v>1</v>
      </c>
      <c r="I75" s="16" t="str">
        <f t="shared" si="0"/>
        <v>CASI AGOTADO</v>
      </c>
    </row>
    <row r="76" spans="1:9" ht="14.5">
      <c r="A76" s="5" t="s">
        <v>23373</v>
      </c>
      <c r="B76" s="50" t="s">
        <v>23374</v>
      </c>
      <c r="C76" s="53" t="s">
        <v>23189</v>
      </c>
      <c r="E76" s="5" t="s">
        <v>23282</v>
      </c>
      <c r="F76" s="5" t="str">
        <f ca="1">IFERROR(__xludf.DUMMYFUNCTION("IFERROR(
  TEXTJOIN("" | "", TRUE,
    UNIQUE(
      FILTER(
        Movimientos_Inventario!G:G,
        TRIM(CLEAN(Movimientos_Inventario!C:C)) = TRIM(CLEAN(A76)),
        Movimientos_Inventario!G:G &lt;&gt; """"
      )
    )
  ),
"""")"),"")</f>
        <v/>
      </c>
      <c r="G76" s="5" t="s">
        <v>23191</v>
      </c>
      <c r="I76" s="16" t="str">
        <f t="shared" si="0"/>
        <v>AGOTADO</v>
      </c>
    </row>
    <row r="77" spans="1:9" ht="14.5">
      <c r="A77" s="5" t="s">
        <v>23375</v>
      </c>
      <c r="B77" s="50" t="s">
        <v>23376</v>
      </c>
      <c r="C77" s="53" t="s">
        <v>23189</v>
      </c>
      <c r="E77" s="5" t="s">
        <v>23257</v>
      </c>
      <c r="F77" s="5" t="str">
        <f ca="1">IFERROR(__xludf.DUMMYFUNCTION("IFERROR(
  TEXTJOIN("" | "", TRUE,
    UNIQUE(
      FILTER(
        Movimientos_Inventario!G:G,
        TRIM(CLEAN(Movimientos_Inventario!C:C)) = TRIM(CLEAN(A77)),
        Movimientos_Inventario!G:G &lt;&gt; """"
      )
    )
  ),
"""")"),"")</f>
        <v/>
      </c>
      <c r="G77" s="5" t="s">
        <v>23191</v>
      </c>
      <c r="I77" s="16" t="str">
        <f t="shared" si="0"/>
        <v>AGOTADO</v>
      </c>
    </row>
    <row r="78" spans="1:9" ht="14.5">
      <c r="A78" s="5" t="s">
        <v>23377</v>
      </c>
      <c r="B78" s="50" t="s">
        <v>23378</v>
      </c>
      <c r="C78" s="53" t="s">
        <v>23189</v>
      </c>
      <c r="E78" s="5" t="s">
        <v>23197</v>
      </c>
      <c r="F78" s="5" t="s">
        <v>23203</v>
      </c>
      <c r="G78" s="5" t="s">
        <v>23191</v>
      </c>
      <c r="H78" s="5">
        <v>2</v>
      </c>
      <c r="I78" s="16" t="str">
        <f t="shared" si="0"/>
        <v>CASI AGOTADO</v>
      </c>
    </row>
    <row r="79" spans="1:9" ht="14.5">
      <c r="A79" s="5" t="s">
        <v>23379</v>
      </c>
      <c r="B79" s="50" t="s">
        <v>23380</v>
      </c>
      <c r="C79" s="53" t="s">
        <v>23189</v>
      </c>
      <c r="E79" s="5" t="s">
        <v>23257</v>
      </c>
      <c r="F79" s="5" t="str">
        <f ca="1">IFERROR(__xludf.DUMMYFUNCTION("IFERROR(
  TEXTJOIN("" | "", TRUE,
    UNIQUE(
      FILTER(
        Movimientos_Inventario!G:G,
        TRIM(CLEAN(Movimientos_Inventario!C:C)) = TRIM(CLEAN(A79)),
        Movimientos_Inventario!G:G &lt;&gt; """"
      )
    )
  ),
"""")"),"")</f>
        <v/>
      </c>
      <c r="G79" s="5" t="s">
        <v>23191</v>
      </c>
      <c r="I79" s="16" t="str">
        <f t="shared" si="0"/>
        <v>AGOTADO</v>
      </c>
    </row>
    <row r="80" spans="1:9" ht="14.5">
      <c r="A80" s="5" t="s">
        <v>23381</v>
      </c>
      <c r="B80" s="50" t="s">
        <v>23382</v>
      </c>
      <c r="C80" s="53" t="s">
        <v>23189</v>
      </c>
      <c r="E80" s="5" t="s">
        <v>1999</v>
      </c>
      <c r="F80" s="5" t="str">
        <f ca="1">IFERROR(__xludf.DUMMYFUNCTION("IFERROR(
  TEXTJOIN("" | "", TRUE,
    UNIQUE(
      FILTER(
        Movimientos_Inventario!G:G,
        TRIM(CLEAN(Movimientos_Inventario!C:C)) = TRIM(CLEAN(A80)),
        Movimientos_Inventario!G:G &lt;&gt; """"
      )
    )
  ),
"""")"),"")</f>
        <v/>
      </c>
      <c r="G80" s="5" t="s">
        <v>23191</v>
      </c>
      <c r="I80" s="16" t="str">
        <f t="shared" si="0"/>
        <v>AGOTADO</v>
      </c>
    </row>
    <row r="81" spans="1:9" ht="14.5">
      <c r="A81" s="5" t="s">
        <v>23383</v>
      </c>
      <c r="B81" s="50" t="s">
        <v>23384</v>
      </c>
      <c r="C81" s="53" t="s">
        <v>23189</v>
      </c>
      <c r="E81" s="5" t="s">
        <v>23190</v>
      </c>
      <c r="F81" s="5" t="str">
        <f ca="1">IFERROR(__xludf.DUMMYFUNCTION("IFERROR(
  TEXTJOIN("" | "", TRUE,
    UNIQUE(
      FILTER(
        Movimientos_Inventario!G:G,
        TRIM(CLEAN(Movimientos_Inventario!C:C)) = TRIM(CLEAN(A81)),
        Movimientos_Inventario!G:G &lt;&gt; """"
      )
    )
  ),
"""")"),"CATALOGO MUJER")</f>
        <v>CATALOGO MUJER</v>
      </c>
      <c r="G81" s="5" t="s">
        <v>23252</v>
      </c>
      <c r="H81" s="5">
        <v>3</v>
      </c>
      <c r="I81" s="16" t="str">
        <f t="shared" si="0"/>
        <v>CASI AGOTADO</v>
      </c>
    </row>
    <row r="82" spans="1:9" ht="14.5">
      <c r="A82" s="5" t="s">
        <v>23385</v>
      </c>
      <c r="B82" s="50" t="s">
        <v>23386</v>
      </c>
      <c r="C82" s="53" t="s">
        <v>23189</v>
      </c>
      <c r="E82" s="5" t="s">
        <v>23387</v>
      </c>
      <c r="F82" s="5" t="str">
        <f ca="1">IFERROR(__xludf.DUMMYFUNCTION("IFERROR(
  TEXTJOIN("" | "", TRUE,
    UNIQUE(
      FILTER(
        Movimientos_Inventario!G:G,
        TRIM(CLEAN(Movimientos_Inventario!C:C)) = TRIM(CLEAN(A82)),
        Movimientos_Inventario!G:G &lt;&gt; """"
      )
    )
  ),
"""")"),"")</f>
        <v/>
      </c>
      <c r="G82" s="5" t="s">
        <v>23217</v>
      </c>
      <c r="I82" s="16" t="str">
        <f t="shared" si="0"/>
        <v>AGOTADO</v>
      </c>
    </row>
    <row r="83" spans="1:9" ht="14.5">
      <c r="A83" s="5" t="s">
        <v>23388</v>
      </c>
      <c r="B83" s="50" t="s">
        <v>23389</v>
      </c>
      <c r="C83" s="53" t="s">
        <v>23189</v>
      </c>
      <c r="E83" s="5" t="s">
        <v>23390</v>
      </c>
      <c r="F83" s="5" t="str">
        <f ca="1">IFERROR(__xludf.DUMMYFUNCTION("IFERROR(
  TEXTJOIN("" | "", TRUE,
    UNIQUE(
      FILTER(
        Movimientos_Inventario!G:G,
        TRIM(CLEAN(Movimientos_Inventario!C:C)) = TRIM(CLEAN(A83)),
        Movimientos_Inventario!G:G &lt;&gt; """"
      )
    )
  ),
"""")"),"")</f>
        <v/>
      </c>
      <c r="G83" s="5" t="s">
        <v>23217</v>
      </c>
      <c r="I83" s="16" t="str">
        <f t="shared" si="0"/>
        <v>AGOTADO</v>
      </c>
    </row>
    <row r="84" spans="1:9" ht="14.5">
      <c r="A84" s="5" t="s">
        <v>23391</v>
      </c>
      <c r="B84" s="50" t="s">
        <v>23392</v>
      </c>
      <c r="C84" s="53" t="s">
        <v>23189</v>
      </c>
      <c r="E84" s="5" t="s">
        <v>23330</v>
      </c>
      <c r="F84" s="5" t="s">
        <v>23203</v>
      </c>
      <c r="G84" s="5" t="s">
        <v>23217</v>
      </c>
      <c r="H84" s="5">
        <v>20</v>
      </c>
      <c r="I84" s="16" t="str">
        <f t="shared" si="0"/>
        <v>DISPONIBLE</v>
      </c>
    </row>
    <row r="85" spans="1:9" ht="14.5">
      <c r="A85" s="5" t="s">
        <v>23393</v>
      </c>
      <c r="B85" s="50" t="s">
        <v>23394</v>
      </c>
      <c r="C85" s="53" t="s">
        <v>23189</v>
      </c>
      <c r="E85" s="5" t="s">
        <v>1999</v>
      </c>
      <c r="F85" s="5" t="s">
        <v>23203</v>
      </c>
      <c r="G85" s="5" t="s">
        <v>23217</v>
      </c>
      <c r="H85" s="5">
        <v>20</v>
      </c>
      <c r="I85" s="16" t="str">
        <f t="shared" si="0"/>
        <v>DISPONIBLE</v>
      </c>
    </row>
    <row r="86" spans="1:9" ht="14.5">
      <c r="A86" s="5" t="s">
        <v>23395</v>
      </c>
      <c r="B86" s="50" t="s">
        <v>23396</v>
      </c>
      <c r="C86" s="53" t="s">
        <v>23189</v>
      </c>
      <c r="E86" s="5" t="s">
        <v>23317</v>
      </c>
      <c r="F86" s="5" t="str">
        <f ca="1">IFERROR(__xludf.DUMMYFUNCTION("IFERROR(
  TEXTJOIN("" | "", TRUE,
    UNIQUE(
      FILTER(
        Movimientos_Inventario!G:G,
        TRIM(CLEAN(Movimientos_Inventario!C:C)) = TRIM(CLEAN(A86)),
        Movimientos_Inventario!G:G &lt;&gt; """"
      )
    )
  ),
"""")"),"")</f>
        <v/>
      </c>
      <c r="G86" s="5" t="s">
        <v>23217</v>
      </c>
      <c r="I86" s="16" t="str">
        <f t="shared" si="0"/>
        <v>AGOTADO</v>
      </c>
    </row>
    <row r="87" spans="1:9" ht="14.5">
      <c r="A87" s="5" t="s">
        <v>23397</v>
      </c>
      <c r="B87" s="50" t="s">
        <v>23398</v>
      </c>
      <c r="C87" s="53" t="s">
        <v>23189</v>
      </c>
      <c r="E87" s="5" t="s">
        <v>23246</v>
      </c>
      <c r="F87" s="5" t="str">
        <f ca="1">IFERROR(__xludf.DUMMYFUNCTION("IFERROR(
  TEXTJOIN("" | "", TRUE,
    UNIQUE(
      FILTER(
        Movimientos_Inventario!G:G,
        TRIM(CLEAN(Movimientos_Inventario!C:C)) = TRIM(CLEAN(A87)),
        Movimientos_Inventario!G:G &lt;&gt; """"
      )
    )
  ),
"""")"),"")</f>
        <v/>
      </c>
      <c r="G87" s="5" t="s">
        <v>23217</v>
      </c>
      <c r="I87" s="16" t="str">
        <f t="shared" si="0"/>
        <v>AGOTADO</v>
      </c>
    </row>
    <row r="88" spans="1:9" ht="14.5">
      <c r="A88" s="5" t="s">
        <v>23399</v>
      </c>
      <c r="B88" s="50" t="s">
        <v>23400</v>
      </c>
      <c r="C88" s="53" t="s">
        <v>23189</v>
      </c>
      <c r="E88" s="5" t="s">
        <v>23401</v>
      </c>
      <c r="F88" s="5" t="s">
        <v>23203</v>
      </c>
      <c r="G88" s="5" t="s">
        <v>23217</v>
      </c>
      <c r="H88" s="5">
        <v>10</v>
      </c>
      <c r="I88" s="16" t="str">
        <f t="shared" si="0"/>
        <v>CASI AGOTADO</v>
      </c>
    </row>
    <row r="89" spans="1:9" ht="14.5">
      <c r="A89" s="5" t="s">
        <v>23402</v>
      </c>
      <c r="B89" s="50" t="s">
        <v>23403</v>
      </c>
      <c r="C89" s="53" t="s">
        <v>23189</v>
      </c>
      <c r="E89" s="5" t="s">
        <v>23197</v>
      </c>
      <c r="F89" s="5" t="str">
        <f ca="1">IFERROR(__xludf.DUMMYFUNCTION("IFERROR(
  TEXTJOIN("" | "", TRUE,
    UNIQUE(
      FILTER(
        Movimientos_Inventario!G:G,
        TRIM(CLEAN(Movimientos_Inventario!C:C)) = TRIM(CLEAN(A89)),
        Movimientos_Inventario!G:G &lt;&gt; """"
      )
    )
  ),
"""")"),"")</f>
        <v/>
      </c>
      <c r="G89" s="5" t="s">
        <v>23217</v>
      </c>
      <c r="I89" s="16" t="str">
        <f t="shared" si="0"/>
        <v>AGOTADO</v>
      </c>
    </row>
    <row r="90" spans="1:9" ht="14.5">
      <c r="A90" s="5" t="s">
        <v>23404</v>
      </c>
      <c r="B90" s="50" t="s">
        <v>23405</v>
      </c>
      <c r="C90" s="53" t="s">
        <v>23189</v>
      </c>
      <c r="E90" s="5" t="s">
        <v>23406</v>
      </c>
      <c r="F90" s="5" t="str">
        <f ca="1">IFERROR(__xludf.DUMMYFUNCTION("IFERROR(
  TEXTJOIN("" | "", TRUE,
    UNIQUE(
      FILTER(
        Movimientos_Inventario!G:G,
        TRIM(CLEAN(Movimientos_Inventario!C:C)) = TRIM(CLEAN(A90)),
        Movimientos_Inventario!G:G &lt;&gt; """"
      )
    )
  ),
"""")"),"")</f>
        <v/>
      </c>
      <c r="G90" s="5" t="s">
        <v>23217</v>
      </c>
      <c r="I90" s="16" t="str">
        <f t="shared" si="0"/>
        <v>AGOTADO</v>
      </c>
    </row>
    <row r="91" spans="1:9" ht="14.5">
      <c r="A91" s="5" t="s">
        <v>23407</v>
      </c>
      <c r="B91" s="50" t="s">
        <v>23408</v>
      </c>
      <c r="C91" s="53" t="s">
        <v>23189</v>
      </c>
      <c r="F91" s="5" t="str">
        <f ca="1">IFERROR(__xludf.DUMMYFUNCTION("IFERROR(
  TEXTJOIN("" | "", TRUE,
    UNIQUE(
      FILTER(
        Movimientos_Inventario!G:G,
        TRIM(CLEAN(Movimientos_Inventario!C:C)) = TRIM(CLEAN(A91)),
        Movimientos_Inventario!G:G &lt;&gt; """"
      )
    )
  ),
"""")"),"")</f>
        <v/>
      </c>
      <c r="G91" s="5" t="s">
        <v>23191</v>
      </c>
      <c r="I91" s="16" t="str">
        <f t="shared" si="0"/>
        <v>AGOTADO</v>
      </c>
    </row>
    <row r="92" spans="1:9" ht="14.5">
      <c r="A92" s="5" t="s">
        <v>23409</v>
      </c>
      <c r="B92" s="50" t="s">
        <v>23410</v>
      </c>
      <c r="C92" s="53" t="s">
        <v>23189</v>
      </c>
      <c r="E92" s="5" t="s">
        <v>23264</v>
      </c>
      <c r="F92" s="5" t="str">
        <f ca="1">IFERROR(__xludf.DUMMYFUNCTION("IFERROR(
  TEXTJOIN("" | "", TRUE,
    UNIQUE(
      FILTER(
        Movimientos_Inventario!G:G,
        TRIM(CLEAN(Movimientos_Inventario!C:C)) = TRIM(CLEAN(A92)),
        Movimientos_Inventario!G:G &lt;&gt; """"
      )
    )
  ),
"""")"),"")</f>
        <v/>
      </c>
      <c r="G92" s="5" t="s">
        <v>23191</v>
      </c>
      <c r="I92" s="16" t="str">
        <f t="shared" si="0"/>
        <v>AGOTADO</v>
      </c>
    </row>
    <row r="93" spans="1:9" ht="14.5">
      <c r="A93" s="5" t="s">
        <v>23411</v>
      </c>
      <c r="B93" s="50" t="s">
        <v>23412</v>
      </c>
      <c r="C93" s="53" t="s">
        <v>23189</v>
      </c>
      <c r="E93" s="5" t="s">
        <v>23190</v>
      </c>
      <c r="F93" s="5" t="str">
        <f ca="1">IFERROR(__xludf.DUMMYFUNCTION("IFERROR(
  TEXTJOIN("" | "", TRUE,
    UNIQUE(
      FILTER(
        Movimientos_Inventario!G:G,
        TRIM(CLEAN(Movimientos_Inventario!C:C)) = TRIM(CLEAN(A93)),
        Movimientos_Inventario!G:G &lt;&gt; """"
      )
    )
  ),
"""")"),"")</f>
        <v/>
      </c>
      <c r="G93" s="5" t="s">
        <v>23191</v>
      </c>
      <c r="I93" s="16" t="str">
        <f t="shared" si="0"/>
        <v>AGOTADO</v>
      </c>
    </row>
    <row r="94" spans="1:9" ht="14.5">
      <c r="A94" s="5" t="s">
        <v>23413</v>
      </c>
      <c r="B94" s="50" t="s">
        <v>23414</v>
      </c>
      <c r="C94" s="53" t="s">
        <v>23189</v>
      </c>
      <c r="E94" s="5" t="s">
        <v>23202</v>
      </c>
      <c r="F94" s="5" t="str">
        <f ca="1">IFERROR(__xludf.DUMMYFUNCTION("IFERROR(
  TEXTJOIN("" | "", TRUE,
    UNIQUE(
      FILTER(
        Movimientos_Inventario!G:G,
        TRIM(CLEAN(Movimientos_Inventario!C:C)) = TRIM(CLEAN(A94)),
        Movimientos_Inventario!G:G &lt;&gt; """"
      )
    )
  ),
"""")"),"")</f>
        <v/>
      </c>
      <c r="G94" s="5" t="s">
        <v>23191</v>
      </c>
      <c r="I94" s="16" t="str">
        <f t="shared" si="0"/>
        <v>AGOTADO</v>
      </c>
    </row>
    <row r="95" spans="1:9" ht="14.5">
      <c r="A95" s="5" t="s">
        <v>23415</v>
      </c>
      <c r="B95" s="50" t="s">
        <v>23416</v>
      </c>
      <c r="C95" s="53" t="s">
        <v>23189</v>
      </c>
      <c r="E95" s="5" t="s">
        <v>23208</v>
      </c>
      <c r="F95" s="5" t="str">
        <f ca="1">IFERROR(__xludf.DUMMYFUNCTION("IFERROR(
  TEXTJOIN("" | "", TRUE,
    UNIQUE(
      FILTER(
        Movimientos_Inventario!G:G,
        TRIM(CLEAN(Movimientos_Inventario!C:C)) = TRIM(CLEAN(A95)),
        Movimientos_Inventario!G:G &lt;&gt; """"
      )
    )
  ),
"""")"),"")</f>
        <v/>
      </c>
      <c r="G95" s="5" t="s">
        <v>23191</v>
      </c>
      <c r="I95" s="16" t="str">
        <f t="shared" si="0"/>
        <v>AGOTADO</v>
      </c>
    </row>
    <row r="96" spans="1:9" ht="14.5">
      <c r="A96" s="5" t="s">
        <v>23417</v>
      </c>
      <c r="B96" s="50" t="s">
        <v>23418</v>
      </c>
      <c r="C96" s="53" t="s">
        <v>23189</v>
      </c>
      <c r="E96" s="5" t="s">
        <v>23285</v>
      </c>
      <c r="F96" s="5" t="str">
        <f ca="1">IFERROR(__xludf.DUMMYFUNCTION("IFERROR(
  TEXTJOIN("" | "", TRUE,
    UNIQUE(
      FILTER(
        Movimientos_Inventario!G:G,
        TRIM(CLEAN(Movimientos_Inventario!C:C)) = TRIM(CLEAN(A96)),
        Movimientos_Inventario!G:G &lt;&gt; """"
      )
    )
  ),
"""")"),"")</f>
        <v/>
      </c>
      <c r="G96" s="5" t="s">
        <v>23191</v>
      </c>
      <c r="I96" s="16" t="str">
        <f t="shared" si="0"/>
        <v>AGOTADO</v>
      </c>
    </row>
    <row r="97" spans="1:9" ht="14.5">
      <c r="A97" s="5" t="s">
        <v>23419</v>
      </c>
      <c r="B97" s="50" t="s">
        <v>23420</v>
      </c>
      <c r="C97" s="53" t="s">
        <v>23189</v>
      </c>
      <c r="E97" s="5" t="s">
        <v>23297</v>
      </c>
      <c r="F97" s="5" t="str">
        <f ca="1">IFERROR(__xludf.DUMMYFUNCTION("IFERROR(
  TEXTJOIN("" | "", TRUE,
    UNIQUE(
      FILTER(
        Movimientos_Inventario!G:G,
        TRIM(CLEAN(Movimientos_Inventario!C:C)) = TRIM(CLEAN(A97)),
        Movimientos_Inventario!G:G &lt;&gt; """"
      )
    )
  ),
"""")"),"")</f>
        <v/>
      </c>
      <c r="G97" s="5" t="s">
        <v>23217</v>
      </c>
      <c r="I97" s="16" t="str">
        <f t="shared" si="0"/>
        <v>AGOTADO</v>
      </c>
    </row>
    <row r="98" spans="1:9" ht="14.5">
      <c r="A98" s="5" t="s">
        <v>23421</v>
      </c>
      <c r="B98" s="50" t="s">
        <v>23422</v>
      </c>
      <c r="C98" s="53" t="s">
        <v>23189</v>
      </c>
      <c r="E98" s="5" t="s">
        <v>1999</v>
      </c>
      <c r="F98" s="5" t="str">
        <f ca="1">IFERROR(__xludf.DUMMYFUNCTION("IFERROR(
  TEXTJOIN("" | "", TRUE,
    UNIQUE(
      FILTER(
        Movimientos_Inventario!G:G,
        TRIM(CLEAN(Movimientos_Inventario!C:C)) = TRIM(CLEAN(A98)),
        Movimientos_Inventario!G:G &lt;&gt; """"
      )
    )
  ),
"""")"),"")</f>
        <v/>
      </c>
      <c r="G98" s="5" t="s">
        <v>23217</v>
      </c>
      <c r="I98" s="16" t="str">
        <f t="shared" si="0"/>
        <v>AGOTADO</v>
      </c>
    </row>
    <row r="99" spans="1:9" ht="14.5">
      <c r="A99" s="5" t="s">
        <v>23423</v>
      </c>
      <c r="B99" s="50" t="s">
        <v>23424</v>
      </c>
      <c r="C99" s="53" t="s">
        <v>23189</v>
      </c>
      <c r="E99" s="5" t="s">
        <v>23194</v>
      </c>
      <c r="F99" s="5" t="s">
        <v>23203</v>
      </c>
      <c r="G99" s="5" t="s">
        <v>23217</v>
      </c>
      <c r="H99" s="5">
        <v>14</v>
      </c>
      <c r="I99" s="16" t="str">
        <f t="shared" si="0"/>
        <v>DISPONIBLE</v>
      </c>
    </row>
    <row r="100" spans="1:9" ht="14.5">
      <c r="A100" s="5" t="s">
        <v>23425</v>
      </c>
      <c r="B100" s="50" t="s">
        <v>23426</v>
      </c>
      <c r="C100" s="53" t="s">
        <v>23189</v>
      </c>
      <c r="E100" s="5" t="s">
        <v>23202</v>
      </c>
      <c r="F100" s="5" t="str">
        <f ca="1">IFERROR(__xludf.DUMMYFUNCTION("IFERROR(
  TEXTJOIN("" | "", TRUE,
    UNIQUE(
      FILTER(
        Movimientos_Inventario!G:G,
        TRIM(CLEAN(Movimientos_Inventario!C:C)) = TRIM(CLEAN(A100)),
        Movimientos_Inventario!G:G &lt;&gt; """"
      )
    )
  ),
"""")"),"")</f>
        <v/>
      </c>
      <c r="G100" s="5" t="s">
        <v>23217</v>
      </c>
      <c r="I100" s="16" t="str">
        <f t="shared" si="0"/>
        <v>AGOTADO</v>
      </c>
    </row>
    <row r="101" spans="1:9" ht="14.5">
      <c r="A101" s="5" t="s">
        <v>23427</v>
      </c>
      <c r="B101" s="50" t="s">
        <v>23428</v>
      </c>
      <c r="C101" s="53" t="s">
        <v>23189</v>
      </c>
      <c r="E101" s="5" t="s">
        <v>23429</v>
      </c>
      <c r="F101" s="5" t="str">
        <f ca="1">IFERROR(__xludf.DUMMYFUNCTION("IFERROR(
  TEXTJOIN("" | "", TRUE,
    UNIQUE(
      FILTER(
        Movimientos_Inventario!G:G,
        TRIM(CLEAN(Movimientos_Inventario!C:C)) = TRIM(CLEAN(A101)),
        Movimientos_Inventario!G:G &lt;&gt; """"
      )
    )
  ),
"""")"),"")</f>
        <v/>
      </c>
      <c r="G101" s="5" t="s">
        <v>23217</v>
      </c>
      <c r="I101" s="16" t="str">
        <f t="shared" si="0"/>
        <v>AGOTADO</v>
      </c>
    </row>
    <row r="102" spans="1:9" ht="14.5">
      <c r="A102" s="5" t="s">
        <v>23430</v>
      </c>
      <c r="B102" s="50" t="s">
        <v>23431</v>
      </c>
      <c r="C102" s="53" t="s">
        <v>23189</v>
      </c>
      <c r="E102" s="5" t="s">
        <v>23432</v>
      </c>
      <c r="F102" s="5" t="str">
        <f ca="1">IFERROR(__xludf.DUMMYFUNCTION("IFERROR(
  TEXTJOIN("" | "", TRUE,
    UNIQUE(
      FILTER(
        Movimientos_Inventario!G:G,
        TRIM(CLEAN(Movimientos_Inventario!C:C)) = TRIM(CLEAN(A102)),
        Movimientos_Inventario!G:G &lt;&gt; """"
      )
    )
  ),
"""")"),"")</f>
        <v/>
      </c>
      <c r="G102" s="5" t="s">
        <v>23217</v>
      </c>
      <c r="I102" s="16" t="str">
        <f t="shared" si="0"/>
        <v>AGOTADO</v>
      </c>
    </row>
    <row r="103" spans="1:9" ht="14.5">
      <c r="A103" s="5" t="s">
        <v>23433</v>
      </c>
      <c r="B103" s="50" t="s">
        <v>23434</v>
      </c>
      <c r="C103" s="53" t="s">
        <v>23189</v>
      </c>
      <c r="E103" s="5" t="s">
        <v>23435</v>
      </c>
      <c r="F103" s="5" t="str">
        <f ca="1">IFERROR(__xludf.DUMMYFUNCTION("IFERROR(
  TEXTJOIN("" | "", TRUE,
    UNIQUE(
      FILTER(
        Movimientos_Inventario!G:G,
        TRIM(CLEAN(Movimientos_Inventario!C:C)) = TRIM(CLEAN(A103)),
        Movimientos_Inventario!G:G &lt;&gt; """"
      )
    )
  ),
"""")"),"")</f>
        <v/>
      </c>
      <c r="G103" s="5" t="s">
        <v>23217</v>
      </c>
      <c r="I103" s="16" t="str">
        <f t="shared" si="0"/>
        <v>AGOTADO</v>
      </c>
    </row>
    <row r="104" spans="1:9" ht="14.5">
      <c r="A104" s="5" t="s">
        <v>23436</v>
      </c>
      <c r="B104" s="50" t="s">
        <v>23437</v>
      </c>
      <c r="C104" s="53" t="s">
        <v>23189</v>
      </c>
      <c r="E104" s="5" t="s">
        <v>23368</v>
      </c>
      <c r="F104" s="5" t="str">
        <f ca="1">IFERROR(__xludf.DUMMYFUNCTION("IFERROR(
  TEXTJOIN("" | "", TRUE,
    UNIQUE(
      FILTER(
        Movimientos_Inventario!G:G,
        TRIM(CLEAN(Movimientos_Inventario!C:C)) = TRIM(CLEAN(A104)),
        Movimientos_Inventario!G:G &lt;&gt; """"
      )
    )
  ),
"""")"),"")</f>
        <v/>
      </c>
      <c r="G104" s="5" t="s">
        <v>23217</v>
      </c>
      <c r="I104" s="16" t="str">
        <f t="shared" si="0"/>
        <v>AGOTADO</v>
      </c>
    </row>
    <row r="105" spans="1:9" ht="14.5">
      <c r="A105" s="5" t="s">
        <v>23438</v>
      </c>
      <c r="B105" s="50" t="s">
        <v>23439</v>
      </c>
      <c r="C105" s="53" t="s">
        <v>23189</v>
      </c>
      <c r="F105" s="5" t="str">
        <f ca="1">IFERROR(__xludf.DUMMYFUNCTION("IFERROR(
  TEXTJOIN("" | "", TRUE,
    UNIQUE(
      FILTER(
        Movimientos_Inventario!G:G,
        TRIM(CLEAN(Movimientos_Inventario!C:C)) = TRIM(CLEAN(A105)),
        Movimientos_Inventario!G:G &lt;&gt; """"
      )
    )
  ),
"""")"),"")</f>
        <v/>
      </c>
      <c r="G105" s="5" t="s">
        <v>23191</v>
      </c>
      <c r="I105" s="16" t="str">
        <f t="shared" si="0"/>
        <v>AGOTADO</v>
      </c>
    </row>
    <row r="106" spans="1:9" ht="14.5">
      <c r="A106" s="5" t="s">
        <v>23440</v>
      </c>
      <c r="B106" s="50" t="s">
        <v>23441</v>
      </c>
      <c r="C106" s="53" t="s">
        <v>23189</v>
      </c>
      <c r="E106" s="5" t="s">
        <v>1999</v>
      </c>
      <c r="F106" s="5" t="str">
        <f ca="1">IFERROR(__xludf.DUMMYFUNCTION("IFERROR(
  TEXTJOIN("" | "", TRUE,
    UNIQUE(
      FILTER(
        Movimientos_Inventario!G:G,
        TRIM(CLEAN(Movimientos_Inventario!C:C)) = TRIM(CLEAN(A106)),
        Movimientos_Inventario!G:G &lt;&gt; """"
      )
    )
  ),
"""")"),"")</f>
        <v/>
      </c>
      <c r="G106" s="5" t="s">
        <v>23442</v>
      </c>
      <c r="I106" s="16" t="str">
        <f t="shared" si="0"/>
        <v>AGOTADO</v>
      </c>
    </row>
    <row r="107" spans="1:9" ht="14.5">
      <c r="A107" s="5" t="s">
        <v>23443</v>
      </c>
      <c r="B107" s="50" t="s">
        <v>23444</v>
      </c>
      <c r="C107" s="53" t="s">
        <v>23189</v>
      </c>
      <c r="E107" s="5" t="s">
        <v>23197</v>
      </c>
      <c r="F107" s="5" t="str">
        <f ca="1">IFERROR(__xludf.DUMMYFUNCTION("IFERROR(
  TEXTJOIN("" | "", TRUE,
    UNIQUE(
      FILTER(
        Movimientos_Inventario!G:G,
        TRIM(CLEAN(Movimientos_Inventario!C:C)) = TRIM(CLEAN(A107)),
        Movimientos_Inventario!G:G &lt;&gt; """"
      )
    )
  ),
"""")"),"")</f>
        <v/>
      </c>
      <c r="I107" s="16" t="str">
        <f t="shared" si="0"/>
        <v>AGOTADO</v>
      </c>
    </row>
    <row r="108" spans="1:9" ht="14.5">
      <c r="A108" s="5" t="s">
        <v>23445</v>
      </c>
      <c r="B108" s="50" t="s">
        <v>23446</v>
      </c>
      <c r="C108" s="53" t="s">
        <v>23189</v>
      </c>
      <c r="E108" s="5" t="s">
        <v>23447</v>
      </c>
      <c r="F108" s="5" t="str">
        <f ca="1">IFERROR(__xludf.DUMMYFUNCTION("IFERROR(
  TEXTJOIN("" | "", TRUE,
    UNIQUE(
      FILTER(
        Movimientos_Inventario!G:G,
        TRIM(CLEAN(Movimientos_Inventario!C:C)) = TRIM(CLEAN(A108)),
        Movimientos_Inventario!G:G &lt;&gt; """"
      )
    )
  ),
"""")"),"")</f>
        <v/>
      </c>
      <c r="I108" s="16" t="str">
        <f t="shared" si="0"/>
        <v>AGOTADO</v>
      </c>
    </row>
    <row r="109" spans="1:9" ht="14.5">
      <c r="A109" s="5" t="s">
        <v>23448</v>
      </c>
      <c r="B109" s="50" t="s">
        <v>23449</v>
      </c>
      <c r="C109" s="53" t="s">
        <v>23189</v>
      </c>
      <c r="E109" s="5" t="s">
        <v>23297</v>
      </c>
      <c r="F109" s="5" t="str">
        <f ca="1">IFERROR(__xludf.DUMMYFUNCTION("IFERROR(
  TEXTJOIN("" | "", TRUE,
    UNIQUE(
      FILTER(
        Movimientos_Inventario!G:G,
        TRIM(CLEAN(Movimientos_Inventario!C:C)) = TRIM(CLEAN(A109)),
        Movimientos_Inventario!G:G &lt;&gt; """"
      )
    )
  ),
"""")"),"")</f>
        <v/>
      </c>
      <c r="I109" s="16" t="str">
        <f t="shared" si="0"/>
        <v>AGOTADO</v>
      </c>
    </row>
    <row r="110" spans="1:9" ht="14.5">
      <c r="A110" s="5" t="s">
        <v>23450</v>
      </c>
      <c r="B110" s="50" t="s">
        <v>23451</v>
      </c>
      <c r="C110" s="53" t="s">
        <v>23189</v>
      </c>
      <c r="E110" s="5" t="s">
        <v>23317</v>
      </c>
      <c r="F110" s="5" t="str">
        <f ca="1">IFERROR(__xludf.DUMMYFUNCTION("IFERROR(
  TEXTJOIN("" | "", TRUE,
    UNIQUE(
      FILTER(
        Movimientos_Inventario!G:G,
        TRIM(CLEAN(Movimientos_Inventario!C:C)) = TRIM(CLEAN(A110)),
        Movimientos_Inventario!G:G &lt;&gt; """"
      )
    )
  ),
"""")"),"")</f>
        <v/>
      </c>
      <c r="I110" s="16" t="str">
        <f t="shared" si="0"/>
        <v>AGOTADO</v>
      </c>
    </row>
    <row r="111" spans="1:9" ht="14.5">
      <c r="A111" s="5" t="s">
        <v>23452</v>
      </c>
      <c r="B111" s="50" t="s">
        <v>23453</v>
      </c>
      <c r="C111" s="53" t="s">
        <v>23189</v>
      </c>
      <c r="E111" s="5" t="s">
        <v>23454</v>
      </c>
      <c r="F111" s="5" t="str">
        <f ca="1">IFERROR(__xludf.DUMMYFUNCTION("IFERROR(
  TEXTJOIN("" | "", TRUE,
    UNIQUE(
      FILTER(
        Movimientos_Inventario!G:G,
        TRIM(CLEAN(Movimientos_Inventario!C:C)) = TRIM(CLEAN(A111)),
        Movimientos_Inventario!G:G &lt;&gt; """"
      )
    )
  ),
"""")"),"CATALOGO MUJER")</f>
        <v>CATALOGO MUJER</v>
      </c>
      <c r="H111" s="5">
        <v>1</v>
      </c>
      <c r="I111" s="16" t="str">
        <f t="shared" si="0"/>
        <v>CASI AGOTADO</v>
      </c>
    </row>
    <row r="112" spans="1:9" ht="14.5">
      <c r="A112" s="5" t="s">
        <v>23455</v>
      </c>
      <c r="B112" s="50" t="s">
        <v>23456</v>
      </c>
      <c r="C112" s="53" t="s">
        <v>23189</v>
      </c>
      <c r="E112" s="5" t="s">
        <v>23317</v>
      </c>
      <c r="F112" s="5" t="s">
        <v>23203</v>
      </c>
      <c r="G112" s="5" t="s">
        <v>23217</v>
      </c>
      <c r="H112" s="5">
        <v>7</v>
      </c>
      <c r="I112" s="16" t="str">
        <f t="shared" si="0"/>
        <v>CASI AGOTADO</v>
      </c>
    </row>
    <row r="113" spans="1:9" ht="14.5">
      <c r="A113" s="5" t="s">
        <v>23457</v>
      </c>
      <c r="B113" s="50" t="s">
        <v>23458</v>
      </c>
      <c r="C113" s="53" t="s">
        <v>23189</v>
      </c>
      <c r="E113" s="5" t="s">
        <v>23264</v>
      </c>
      <c r="F113" s="5" t="str">
        <f ca="1">IFERROR(__xludf.DUMMYFUNCTION("IFERROR(
  TEXTJOIN("" | "", TRUE,
    UNIQUE(
      FILTER(
        Movimientos_Inventario!G:G,
        TRIM(CLEAN(Movimientos_Inventario!C:C)) = TRIM(CLEAN(A113)),
        Movimientos_Inventario!G:G &lt;&gt; """"
      )
    )
  ),
"""")"),"")</f>
        <v/>
      </c>
      <c r="G113" s="5" t="s">
        <v>23217</v>
      </c>
      <c r="I113" s="16" t="str">
        <f t="shared" si="0"/>
        <v>AGOTADO</v>
      </c>
    </row>
    <row r="114" spans="1:9" ht="14.5">
      <c r="A114" s="5" t="s">
        <v>23459</v>
      </c>
      <c r="B114" s="50" t="s">
        <v>23460</v>
      </c>
      <c r="C114" s="53" t="s">
        <v>23189</v>
      </c>
      <c r="E114" s="5" t="s">
        <v>23190</v>
      </c>
      <c r="F114" s="5" t="s">
        <v>23203</v>
      </c>
      <c r="G114" s="5" t="s">
        <v>23217</v>
      </c>
      <c r="H114" s="5">
        <v>8</v>
      </c>
      <c r="I114" s="16" t="str">
        <f t="shared" si="0"/>
        <v>CASI AGOTADO</v>
      </c>
    </row>
    <row r="115" spans="1:9" ht="14.5">
      <c r="A115" s="5" t="s">
        <v>23461</v>
      </c>
      <c r="B115" s="50" t="s">
        <v>23462</v>
      </c>
      <c r="C115" s="53" t="s">
        <v>23189</v>
      </c>
      <c r="E115" s="5" t="s">
        <v>23194</v>
      </c>
      <c r="F115" s="5" t="s">
        <v>23203</v>
      </c>
      <c r="G115" s="5" t="s">
        <v>23217</v>
      </c>
      <c r="H115" s="5">
        <v>11</v>
      </c>
      <c r="I115" s="16" t="str">
        <f t="shared" si="0"/>
        <v>DISPONIBLE</v>
      </c>
    </row>
    <row r="116" spans="1:9" ht="14.5">
      <c r="A116" s="5" t="s">
        <v>23463</v>
      </c>
      <c r="B116" s="50" t="s">
        <v>23464</v>
      </c>
      <c r="C116" s="53" t="s">
        <v>23189</v>
      </c>
      <c r="E116" s="5" t="s">
        <v>23465</v>
      </c>
      <c r="G116" s="5" t="s">
        <v>23217</v>
      </c>
      <c r="I116" s="16" t="str">
        <f t="shared" si="0"/>
        <v>AGOTADO</v>
      </c>
    </row>
    <row r="117" spans="1:9" ht="14.5">
      <c r="A117" s="5" t="s">
        <v>23466</v>
      </c>
      <c r="B117" s="50" t="s">
        <v>23467</v>
      </c>
      <c r="C117" s="53" t="s">
        <v>23189</v>
      </c>
      <c r="E117" s="5" t="s">
        <v>23468</v>
      </c>
      <c r="F117" s="5" t="str">
        <f ca="1">IFERROR(__xludf.DUMMYFUNCTION("IFERROR(
  TEXTJOIN("" | "", TRUE,
    UNIQUE(
      FILTER(
        Movimientos_Inventario!G:G,
        TRIM(CLEAN(Movimientos_Inventario!C:C)) = TRIM(CLEAN(A117)),
        Movimientos_Inventario!G:G &lt;&gt; """"
      )
    )
  ),
"""")"),"")</f>
        <v/>
      </c>
      <c r="G117" s="5" t="s">
        <v>23217</v>
      </c>
      <c r="I117" s="16" t="str">
        <f t="shared" si="0"/>
        <v>AGOTADO</v>
      </c>
    </row>
    <row r="118" spans="1:9" ht="14.5">
      <c r="A118" s="5" t="s">
        <v>23469</v>
      </c>
      <c r="B118" s="50" t="s">
        <v>23470</v>
      </c>
      <c r="C118" s="53" t="s">
        <v>23189</v>
      </c>
      <c r="E118" s="5" t="s">
        <v>23471</v>
      </c>
      <c r="F118" s="5" t="str">
        <f ca="1">IFERROR(__xludf.DUMMYFUNCTION("IFERROR(
  TEXTJOIN("" | "", TRUE,
    UNIQUE(
      FILTER(
        Movimientos_Inventario!G:G,
        TRIM(CLEAN(Movimientos_Inventario!C:C)) = TRIM(CLEAN(A118)),
        Movimientos_Inventario!G:G &lt;&gt; """"
      )
    )
  ),
"""")"),"")</f>
        <v/>
      </c>
      <c r="G118" s="5" t="s">
        <v>23217</v>
      </c>
      <c r="I118" s="16" t="str">
        <f t="shared" si="0"/>
        <v>AGOTADO</v>
      </c>
    </row>
    <row r="119" spans="1:9" ht="14.5">
      <c r="A119" s="5" t="s">
        <v>23472</v>
      </c>
      <c r="B119" s="50" t="s">
        <v>23473</v>
      </c>
      <c r="C119" s="53" t="s">
        <v>23189</v>
      </c>
      <c r="E119" s="5" t="s">
        <v>23246</v>
      </c>
      <c r="F119" s="5" t="str">
        <f ca="1">IFERROR(__xludf.DUMMYFUNCTION("IFERROR(
  TEXTJOIN("" | "", TRUE,
    UNIQUE(
      FILTER(
        Movimientos_Inventario!G:G,
        TRIM(CLEAN(Movimientos_Inventario!C:C)) = TRIM(CLEAN(A119)),
        Movimientos_Inventario!G:G &lt;&gt; """"
      )
    )
  ),
"""")"),"")</f>
        <v/>
      </c>
      <c r="G119" s="5" t="s">
        <v>23191</v>
      </c>
      <c r="I119" s="16" t="str">
        <f t="shared" si="0"/>
        <v>AGOTADO</v>
      </c>
    </row>
    <row r="120" spans="1:9" ht="14.5">
      <c r="A120" s="5" t="s">
        <v>23474</v>
      </c>
      <c r="B120" s="50" t="s">
        <v>23475</v>
      </c>
      <c r="C120" s="53" t="s">
        <v>23189</v>
      </c>
      <c r="E120" s="5" t="s">
        <v>23317</v>
      </c>
      <c r="F120" s="5" t="str">
        <f ca="1">IFERROR(__xludf.DUMMYFUNCTION("IFERROR(
  TEXTJOIN("" | "", TRUE,
    UNIQUE(
      FILTER(
        Movimientos_Inventario!G:G,
        TRIM(CLEAN(Movimientos_Inventario!C:C)) = TRIM(CLEAN(A120)),
        Movimientos_Inventario!G:G &lt;&gt; """"
      )
    )
  ),
"""")"),"")</f>
        <v/>
      </c>
      <c r="G120" s="5" t="s">
        <v>23191</v>
      </c>
      <c r="I120" s="16" t="str">
        <f t="shared" si="0"/>
        <v>AGOTADO</v>
      </c>
    </row>
    <row r="121" spans="1:9" ht="14.5">
      <c r="A121" s="5" t="s">
        <v>23476</v>
      </c>
      <c r="B121" s="50" t="s">
        <v>23477</v>
      </c>
      <c r="C121" s="53" t="s">
        <v>23189</v>
      </c>
      <c r="E121" s="5" t="s">
        <v>23285</v>
      </c>
      <c r="F121" s="5" t="str">
        <f ca="1">IFERROR(__xludf.DUMMYFUNCTION("IFERROR(
  TEXTJOIN("" | "", TRUE,
    UNIQUE(
      FILTER(
        Movimientos_Inventario!G:G,
        TRIM(CLEAN(Movimientos_Inventario!C:C)) = TRIM(CLEAN(A121)),
        Movimientos_Inventario!G:G &lt;&gt; """"
      )
    )
  ),
"""")"),"")</f>
        <v/>
      </c>
      <c r="G121" s="5" t="s">
        <v>23191</v>
      </c>
      <c r="I121" s="16" t="str">
        <f t="shared" si="0"/>
        <v>AGOTADO</v>
      </c>
    </row>
    <row r="122" spans="1:9" ht="14.5">
      <c r="A122" s="5" t="s">
        <v>23478</v>
      </c>
      <c r="B122" s="50" t="s">
        <v>23479</v>
      </c>
      <c r="C122" s="53" t="s">
        <v>23189</v>
      </c>
      <c r="E122" s="5" t="s">
        <v>23194</v>
      </c>
      <c r="F122" s="5" t="str">
        <f ca="1">IFERROR(__xludf.DUMMYFUNCTION("IFERROR(
  TEXTJOIN("" | "", TRUE,
    UNIQUE(
      FILTER(
        Movimientos_Inventario!G:G,
        TRIM(CLEAN(Movimientos_Inventario!C:C)) = TRIM(CLEAN(A122)),
        Movimientos_Inventario!G:G &lt;&gt; """"
      )
    )
  ),
"""")"),"CATALOGO MUJER")</f>
        <v>CATALOGO MUJER</v>
      </c>
      <c r="G122" s="5" t="s">
        <v>23191</v>
      </c>
      <c r="H122" s="5">
        <v>4</v>
      </c>
      <c r="I122" s="16" t="str">
        <f t="shared" si="0"/>
        <v>CASI AGOTADO</v>
      </c>
    </row>
    <row r="123" spans="1:9" ht="14.5">
      <c r="A123" s="5" t="s">
        <v>23480</v>
      </c>
      <c r="B123" s="50" t="s">
        <v>23481</v>
      </c>
      <c r="C123" s="53" t="s">
        <v>23189</v>
      </c>
      <c r="E123" s="5" t="s">
        <v>23314</v>
      </c>
      <c r="F123" s="5" t="str">
        <f ca="1">IFERROR(__xludf.DUMMYFUNCTION("IFERROR(
  TEXTJOIN("" | "", TRUE,
    UNIQUE(
      FILTER(
        Movimientos_Inventario!G:G,
        TRIM(CLEAN(Movimientos_Inventario!C:C)) = TRIM(CLEAN(A123)),
        Movimientos_Inventario!G:G &lt;&gt; """"
      )
    )
  ),
"""")"),"")</f>
        <v/>
      </c>
      <c r="G123" s="5" t="s">
        <v>23191</v>
      </c>
      <c r="I123" s="16" t="str">
        <f t="shared" si="0"/>
        <v>AGOTADO</v>
      </c>
    </row>
    <row r="124" spans="1:9" ht="14.5">
      <c r="A124" s="5" t="s">
        <v>23482</v>
      </c>
      <c r="B124" s="50" t="s">
        <v>23483</v>
      </c>
      <c r="C124" s="53" t="s">
        <v>23189</v>
      </c>
      <c r="E124" s="5" t="s">
        <v>23317</v>
      </c>
      <c r="F124" s="5" t="str">
        <f ca="1">IFERROR(__xludf.DUMMYFUNCTION("IFERROR(
  TEXTJOIN("" | "", TRUE,
    UNIQUE(
      FILTER(
        Movimientos_Inventario!G:G,
        TRIM(CLEAN(Movimientos_Inventario!C:C)) = TRIM(CLEAN(A124)),
        Movimientos_Inventario!G:G &lt;&gt; """"
      )
    )
  ),
"""")"),"CATALOGO MUJER")</f>
        <v>CATALOGO MUJER</v>
      </c>
      <c r="G124" s="5" t="s">
        <v>23191</v>
      </c>
      <c r="H124" s="5">
        <v>3</v>
      </c>
      <c r="I124" s="16" t="str">
        <f t="shared" si="0"/>
        <v>CASI AGOTADO</v>
      </c>
    </row>
    <row r="125" spans="1:9" ht="14.5">
      <c r="A125" s="5" t="s">
        <v>23484</v>
      </c>
      <c r="B125" s="50" t="s">
        <v>23485</v>
      </c>
      <c r="C125" s="53" t="s">
        <v>23189</v>
      </c>
      <c r="E125" s="5" t="s">
        <v>23190</v>
      </c>
      <c r="F125" s="5" t="str">
        <f ca="1">IFERROR(__xludf.DUMMYFUNCTION("IFERROR(
  TEXTJOIN("" | "", TRUE,
    UNIQUE(
      FILTER(
        Movimientos_Inventario!G:G,
        TRIM(CLEAN(Movimientos_Inventario!C:C)) = TRIM(CLEAN(A125)),
        Movimientos_Inventario!G:G &lt;&gt; """"
      )
    )
  ),
"""")"),"")</f>
        <v/>
      </c>
      <c r="G125" s="5" t="s">
        <v>23191</v>
      </c>
      <c r="I125" s="16" t="str">
        <f t="shared" si="0"/>
        <v>AGOTADO</v>
      </c>
    </row>
    <row r="126" spans="1:9" ht="14.5">
      <c r="A126" s="5" t="s">
        <v>23486</v>
      </c>
      <c r="B126" s="50" t="s">
        <v>23487</v>
      </c>
      <c r="C126" s="53" t="s">
        <v>23189</v>
      </c>
      <c r="E126" s="5" t="s">
        <v>23190</v>
      </c>
      <c r="F126" s="5" t="str">
        <f ca="1">IFERROR(__xludf.DUMMYFUNCTION("IFERROR(
  TEXTJOIN("" | "", TRUE,
    UNIQUE(
      FILTER(
        Movimientos_Inventario!G:G,
        TRIM(CLEAN(Movimientos_Inventario!C:C)) = TRIM(CLEAN(A126)),
        Movimientos_Inventario!G:G &lt;&gt; """"
      )
    )
  ),
"""")"),"")</f>
        <v/>
      </c>
      <c r="G126" s="5" t="s">
        <v>23191</v>
      </c>
      <c r="I126" s="16" t="str">
        <f t="shared" si="0"/>
        <v>AGOTADO</v>
      </c>
    </row>
    <row r="127" spans="1:9" ht="14.5">
      <c r="A127" s="5" t="s">
        <v>23488</v>
      </c>
      <c r="B127" s="50" t="s">
        <v>23489</v>
      </c>
      <c r="C127" s="53" t="s">
        <v>23189</v>
      </c>
      <c r="E127" s="5" t="s">
        <v>23194</v>
      </c>
      <c r="F127" s="5" t="str">
        <f ca="1">IFERROR(__xludf.DUMMYFUNCTION("IFERROR(
  TEXTJOIN("" | "", TRUE,
    UNIQUE(
      FILTER(
        Movimientos_Inventario!G:G,
        TRIM(CLEAN(Movimientos_Inventario!C:C)) = TRIM(CLEAN(A127)),
        Movimientos_Inventario!G:G &lt;&gt; """"
      )
    )
  ),
"""")"),"CATALOGO MUJER")</f>
        <v>CATALOGO MUJER</v>
      </c>
      <c r="G127" s="5" t="s">
        <v>23191</v>
      </c>
      <c r="H127" s="5">
        <v>3</v>
      </c>
      <c r="I127" s="16" t="str">
        <f t="shared" si="0"/>
        <v>CASI AGOTADO</v>
      </c>
    </row>
    <row r="128" spans="1:9" ht="14.5">
      <c r="A128" s="5" t="s">
        <v>23490</v>
      </c>
      <c r="B128" s="50" t="s">
        <v>23491</v>
      </c>
      <c r="C128" s="53" t="s">
        <v>23189</v>
      </c>
      <c r="E128" s="5" t="s">
        <v>23208</v>
      </c>
      <c r="F128" s="5" t="str">
        <f ca="1">IFERROR(__xludf.DUMMYFUNCTION("IFERROR(
  TEXTJOIN("" | "", TRUE,
    UNIQUE(
      FILTER(
        Movimientos_Inventario!G:G,
        TRIM(CLEAN(Movimientos_Inventario!C:C)) = TRIM(CLEAN(A128)),
        Movimientos_Inventario!G:G &lt;&gt; """"
      )
    )
  ),
"""")"),"")</f>
        <v/>
      </c>
      <c r="G128" s="5" t="s">
        <v>23191</v>
      </c>
      <c r="I128" s="16" t="str">
        <f t="shared" si="0"/>
        <v>AGOTADO</v>
      </c>
    </row>
    <row r="129" spans="1:9" ht="14.5">
      <c r="A129" s="5" t="s">
        <v>23492</v>
      </c>
      <c r="B129" s="50" t="s">
        <v>23493</v>
      </c>
      <c r="C129" s="53" t="s">
        <v>23189</v>
      </c>
      <c r="E129" s="5" t="s">
        <v>23282</v>
      </c>
      <c r="F129" s="5" t="str">
        <f ca="1">IFERROR(__xludf.DUMMYFUNCTION("IFERROR(
  TEXTJOIN("" | "", TRUE,
    UNIQUE(
      FILTER(
        Movimientos_Inventario!G:G,
        TRIM(CLEAN(Movimientos_Inventario!C:C)) = TRIM(CLEAN(A129)),
        Movimientos_Inventario!G:G &lt;&gt; """"
      )
    )
  ),
"""")"),"")</f>
        <v/>
      </c>
      <c r="G129" s="5" t="s">
        <v>23191</v>
      </c>
      <c r="I129" s="16" t="str">
        <f t="shared" si="0"/>
        <v>AGOTADO</v>
      </c>
    </row>
    <row r="130" spans="1:9" ht="14.5">
      <c r="A130" s="5" t="s">
        <v>23494</v>
      </c>
      <c r="B130" s="50" t="s">
        <v>23495</v>
      </c>
      <c r="C130" s="53" t="s">
        <v>23189</v>
      </c>
      <c r="E130" s="5" t="s">
        <v>23285</v>
      </c>
      <c r="F130" s="5" t="str">
        <f ca="1">IFERROR(__xludf.DUMMYFUNCTION("IFERROR(
  TEXTJOIN("" | "", TRUE,
    UNIQUE(
      FILTER(
        Movimientos_Inventario!G:G,
        TRIM(CLEAN(Movimientos_Inventario!C:C)) = TRIM(CLEAN(A130)),
        Movimientos_Inventario!G:G &lt;&gt; """"
      )
    )
  ),
"""")"),"CATALOGO MUJER")</f>
        <v>CATALOGO MUJER</v>
      </c>
      <c r="G130" s="5" t="s">
        <v>23191</v>
      </c>
      <c r="H130" s="5">
        <v>5</v>
      </c>
      <c r="I130" s="16" t="str">
        <f t="shared" si="0"/>
        <v>CASI AGOTADO</v>
      </c>
    </row>
    <row r="131" spans="1:9" ht="14.5">
      <c r="A131" s="5" t="s">
        <v>23496</v>
      </c>
      <c r="B131" s="50" t="s">
        <v>23497</v>
      </c>
      <c r="C131" s="53" t="s">
        <v>23189</v>
      </c>
      <c r="E131" s="5" t="s">
        <v>23314</v>
      </c>
      <c r="F131" s="5" t="str">
        <f ca="1">IFERROR(__xludf.DUMMYFUNCTION("IFERROR(
  TEXTJOIN("" | "", TRUE,
    UNIQUE(
      FILTER(
        Movimientos_Inventario!G:G,
        TRIM(CLEAN(Movimientos_Inventario!C:C)) = TRIM(CLEAN(A131)),
        Movimientos_Inventario!G:G &lt;&gt; """"
      )
    )
  ),
"""")"),"")</f>
        <v/>
      </c>
      <c r="G131" s="5" t="s">
        <v>23217</v>
      </c>
      <c r="I131" s="16" t="str">
        <f t="shared" si="0"/>
        <v>AGOTADO</v>
      </c>
    </row>
    <row r="132" spans="1:9" ht="14.5">
      <c r="A132" s="5" t="s">
        <v>23498</v>
      </c>
      <c r="B132" s="50" t="s">
        <v>23499</v>
      </c>
      <c r="C132" s="53" t="s">
        <v>23189</v>
      </c>
      <c r="E132" s="5" t="s">
        <v>1999</v>
      </c>
      <c r="F132" s="5" t="str">
        <f ca="1">IFERROR(__xludf.DUMMYFUNCTION("IFERROR(
  TEXTJOIN("" | "", TRUE,
    UNIQUE(
      FILTER(
        Movimientos_Inventario!G:G,
        TRIM(CLEAN(Movimientos_Inventario!C:C)) = TRIM(CLEAN(A132)),
        Movimientos_Inventario!G:G &lt;&gt; """"
      )
    )
  ),
"""")"),"")</f>
        <v/>
      </c>
      <c r="G132" s="5" t="s">
        <v>23217</v>
      </c>
      <c r="I132" s="16" t="str">
        <f t="shared" si="0"/>
        <v>AGOTADO</v>
      </c>
    </row>
    <row r="133" spans="1:9" ht="14.5">
      <c r="A133" s="5" t="s">
        <v>23500</v>
      </c>
      <c r="B133" s="50" t="s">
        <v>23501</v>
      </c>
      <c r="C133" s="53" t="s">
        <v>23189</v>
      </c>
      <c r="E133" s="5" t="s">
        <v>23502</v>
      </c>
      <c r="F133" s="5" t="str">
        <f ca="1">IFERROR(__xludf.DUMMYFUNCTION("IFERROR(
  TEXTJOIN("" | "", TRUE,
    UNIQUE(
      FILTER(
        Movimientos_Inventario!G:G,
        TRIM(CLEAN(Movimientos_Inventario!C:C)) = TRIM(CLEAN(A133)),
        Movimientos_Inventario!G:G &lt;&gt; """"
      )
    )
  ),
"""")"),"")</f>
        <v/>
      </c>
      <c r="G133" s="5" t="s">
        <v>23503</v>
      </c>
      <c r="I133" s="16" t="str">
        <f t="shared" si="0"/>
        <v>AGOTADO</v>
      </c>
    </row>
    <row r="134" spans="1:9" ht="14.5">
      <c r="A134" s="5" t="s">
        <v>23504</v>
      </c>
      <c r="B134" s="50" t="s">
        <v>23505</v>
      </c>
      <c r="C134" s="53" t="s">
        <v>23189</v>
      </c>
      <c r="E134" s="5" t="s">
        <v>23506</v>
      </c>
      <c r="F134" s="5" t="str">
        <f ca="1">IFERROR(__xludf.DUMMYFUNCTION("IFERROR(
  TEXTJOIN("" | "", TRUE,
    UNIQUE(
      FILTER(
        Movimientos_Inventario!G:G,
        TRIM(CLEAN(Movimientos_Inventario!C:C)) = TRIM(CLEAN(A134)),
        Movimientos_Inventario!G:G &lt;&gt; """"
      )
    )
  ),
"""")"),"")</f>
        <v/>
      </c>
      <c r="G134" s="5" t="s">
        <v>23503</v>
      </c>
      <c r="I134" s="16" t="str">
        <f t="shared" si="0"/>
        <v>AGOTADO</v>
      </c>
    </row>
    <row r="135" spans="1:9" ht="14.5">
      <c r="A135" s="5" t="s">
        <v>23507</v>
      </c>
      <c r="B135" s="50" t="s">
        <v>23508</v>
      </c>
      <c r="C135" s="53" t="s">
        <v>23189</v>
      </c>
      <c r="E135" s="5" t="s">
        <v>23243</v>
      </c>
      <c r="F135" s="5" t="str">
        <f ca="1">IFERROR(__xludf.DUMMYFUNCTION("IFERROR(
  TEXTJOIN("" | "", TRUE,
    UNIQUE(
      FILTER(
        Movimientos_Inventario!G:G,
        TRIM(CLEAN(Movimientos_Inventario!C:C)) = TRIM(CLEAN(A135)),
        Movimientos_Inventario!G:G &lt;&gt; """"
      )
    )
  ),
"""")"),"")</f>
        <v/>
      </c>
      <c r="G135" s="5" t="s">
        <v>23191</v>
      </c>
      <c r="I135" s="16" t="str">
        <f t="shared" si="0"/>
        <v>AGOTADO</v>
      </c>
    </row>
    <row r="136" spans="1:9" ht="14.5">
      <c r="A136" s="5" t="s">
        <v>23509</v>
      </c>
      <c r="B136" s="50" t="s">
        <v>23510</v>
      </c>
      <c r="C136" s="53" t="s">
        <v>23189</v>
      </c>
      <c r="E136" s="5" t="s">
        <v>23511</v>
      </c>
      <c r="F136" s="5" t="str">
        <f ca="1">IFERROR(__xludf.DUMMYFUNCTION("IFERROR(
  TEXTJOIN("" | "", TRUE,
    UNIQUE(
      FILTER(
        Movimientos_Inventario!G:G,
        TRIM(CLEAN(Movimientos_Inventario!C:C)) = TRIM(CLEAN(A136)),
        Movimientos_Inventario!G:G &lt;&gt; """"
      )
    )
  ),
"""")"),"")</f>
        <v/>
      </c>
      <c r="G136" s="5" t="s">
        <v>23191</v>
      </c>
      <c r="I136" s="16" t="str">
        <f t="shared" si="0"/>
        <v>AGOTADO</v>
      </c>
    </row>
    <row r="137" spans="1:9" ht="14.5">
      <c r="A137" s="5" t="s">
        <v>23512</v>
      </c>
      <c r="B137" s="50" t="s">
        <v>23513</v>
      </c>
      <c r="C137" s="53" t="s">
        <v>23189</v>
      </c>
      <c r="E137" s="5" t="s">
        <v>23297</v>
      </c>
      <c r="F137" s="5" t="str">
        <f ca="1">IFERROR(__xludf.DUMMYFUNCTION("IFERROR(
  TEXTJOIN("" | "", TRUE,
    UNIQUE(
      FILTER(
        Movimientos_Inventario!G:G,
        TRIM(CLEAN(Movimientos_Inventario!C:C)) = TRIM(CLEAN(A137)),
        Movimientos_Inventario!G:G &lt;&gt; """"
      )
    )
  ),
"""")"),"")</f>
        <v/>
      </c>
      <c r="G137" s="5" t="s">
        <v>23191</v>
      </c>
      <c r="I137" s="16" t="str">
        <f t="shared" si="0"/>
        <v>AGOTADO</v>
      </c>
    </row>
    <row r="138" spans="1:9" ht="14.5">
      <c r="A138" s="5" t="s">
        <v>23514</v>
      </c>
      <c r="B138" s="50" t="s">
        <v>23513</v>
      </c>
      <c r="C138" s="53" t="s">
        <v>23189</v>
      </c>
      <c r="E138" s="5" t="s">
        <v>23297</v>
      </c>
      <c r="F138" s="5" t="str">
        <f ca="1">IFERROR(__xludf.DUMMYFUNCTION("IFERROR(
  TEXTJOIN("" | "", TRUE,
    UNIQUE(
      FILTER(
        Movimientos_Inventario!G:G,
        TRIM(CLEAN(Movimientos_Inventario!C:C)) = TRIM(CLEAN(A138)),
        Movimientos_Inventario!G:G &lt;&gt; """"
      )
    )
  ),
"""")"),"")</f>
        <v/>
      </c>
      <c r="G138" s="5" t="s">
        <v>23515</v>
      </c>
      <c r="I138" s="16" t="str">
        <f t="shared" si="0"/>
        <v>AGOTADO</v>
      </c>
    </row>
    <row r="139" spans="1:9" ht="14.5">
      <c r="A139" s="5" t="s">
        <v>23516</v>
      </c>
      <c r="B139" s="50" t="s">
        <v>23517</v>
      </c>
      <c r="C139" s="53" t="s">
        <v>23189</v>
      </c>
      <c r="E139" s="5" t="s">
        <v>1999</v>
      </c>
      <c r="F139" s="5" t="str">
        <f ca="1">IFERROR(__xludf.DUMMYFUNCTION("IFERROR(
  TEXTJOIN("" | "", TRUE,
    UNIQUE(
      FILTER(
        Movimientos_Inventario!G:G,
        TRIM(CLEAN(Movimientos_Inventario!C:C)) = TRIM(CLEAN(A139)),
        Movimientos_Inventario!G:G &lt;&gt; """"
      )
    )
  ),
"""")"),"")</f>
        <v/>
      </c>
      <c r="G139" s="5" t="s">
        <v>23191</v>
      </c>
      <c r="I139" s="16" t="str">
        <f t="shared" si="0"/>
        <v>AGOTADO</v>
      </c>
    </row>
    <row r="140" spans="1:9" ht="14.5">
      <c r="A140" s="5" t="s">
        <v>23518</v>
      </c>
      <c r="B140" s="50" t="s">
        <v>23517</v>
      </c>
      <c r="C140" s="53" t="s">
        <v>23189</v>
      </c>
      <c r="E140" s="5" t="s">
        <v>1999</v>
      </c>
      <c r="F140" s="5" t="str">
        <f ca="1">IFERROR(__xludf.DUMMYFUNCTION("IFERROR(
  TEXTJOIN("" | "", TRUE,
    UNIQUE(
      FILTER(
        Movimientos_Inventario!G:G,
        TRIM(CLEAN(Movimientos_Inventario!C:C)) = TRIM(CLEAN(A140)),
        Movimientos_Inventario!G:G &lt;&gt; """"
      )
    )
  ),
"""")"),"")</f>
        <v/>
      </c>
      <c r="G140" s="5" t="s">
        <v>23515</v>
      </c>
      <c r="I140" s="16" t="str">
        <f t="shared" si="0"/>
        <v>AGOTADO</v>
      </c>
    </row>
    <row r="141" spans="1:9" ht="14.5">
      <c r="A141" s="5" t="s">
        <v>23519</v>
      </c>
      <c r="B141" s="50" t="s">
        <v>23520</v>
      </c>
      <c r="C141" s="53" t="s">
        <v>23189</v>
      </c>
      <c r="E141" s="5" t="s">
        <v>23257</v>
      </c>
      <c r="F141" s="5" t="str">
        <f ca="1">IFERROR(__xludf.DUMMYFUNCTION("IFERROR(
  TEXTJOIN("" | "", TRUE,
    UNIQUE(
      FILTER(
        Movimientos_Inventario!G:G,
        TRIM(CLEAN(Movimientos_Inventario!C:C)) = TRIM(CLEAN(A141)),
        Movimientos_Inventario!G:G &lt;&gt; """"
      )
    )
  ),
"""")"),"")</f>
        <v/>
      </c>
      <c r="G141" s="5" t="s">
        <v>23515</v>
      </c>
      <c r="I141" s="16" t="str">
        <f t="shared" si="0"/>
        <v>AGOTADO</v>
      </c>
    </row>
    <row r="142" spans="1:9" ht="14.5">
      <c r="A142" s="5" t="s">
        <v>23521</v>
      </c>
      <c r="B142" s="50" t="s">
        <v>23522</v>
      </c>
      <c r="C142" s="53" t="s">
        <v>23189</v>
      </c>
      <c r="E142" s="5" t="s">
        <v>23197</v>
      </c>
      <c r="F142" s="5" t="str">
        <f ca="1">IFERROR(__xludf.DUMMYFUNCTION("IFERROR(
  TEXTJOIN("" | "", TRUE,
    UNIQUE(
      FILTER(
        Movimientos_Inventario!G:G,
        TRIM(CLEAN(Movimientos_Inventario!C:C)) = TRIM(CLEAN(A142)),
        Movimientos_Inventario!G:G &lt;&gt; """"
      )
    )
  ),
"""")"),"")</f>
        <v/>
      </c>
      <c r="G142" s="5" t="s">
        <v>23191</v>
      </c>
      <c r="I142" s="16" t="str">
        <f t="shared" si="0"/>
        <v>AGOTADO</v>
      </c>
    </row>
    <row r="143" spans="1:9" ht="14.5">
      <c r="A143" s="5" t="s">
        <v>23523</v>
      </c>
      <c r="B143" s="50" t="s">
        <v>23522</v>
      </c>
      <c r="C143" s="53" t="s">
        <v>23189</v>
      </c>
      <c r="E143" s="5" t="s">
        <v>23197</v>
      </c>
      <c r="F143" s="5" t="str">
        <f ca="1">IFERROR(__xludf.DUMMYFUNCTION("IFERROR(
  TEXTJOIN("" | "", TRUE,
    UNIQUE(
      FILTER(
        Movimientos_Inventario!G:G,
        TRIM(CLEAN(Movimientos_Inventario!C:C)) = TRIM(CLEAN(A143)),
        Movimientos_Inventario!G:G &lt;&gt; """"
      )
    )
  ),
"""")"),"")</f>
        <v/>
      </c>
      <c r="G143" s="5" t="s">
        <v>23515</v>
      </c>
      <c r="I143" s="16" t="str">
        <f t="shared" si="0"/>
        <v>AGOTADO</v>
      </c>
    </row>
    <row r="144" spans="1:9" ht="14.5">
      <c r="A144" s="5" t="s">
        <v>23524</v>
      </c>
      <c r="B144" s="50" t="s">
        <v>23525</v>
      </c>
      <c r="C144" s="53" t="s">
        <v>23189</v>
      </c>
      <c r="E144" s="5" t="s">
        <v>23297</v>
      </c>
      <c r="F144" s="5" t="str">
        <f ca="1">IFERROR(__xludf.DUMMYFUNCTION("IFERROR(
  TEXTJOIN("" | "", TRUE,
    UNIQUE(
      FILTER(
        Movimientos_Inventario!G:G,
        TRIM(CLEAN(Movimientos_Inventario!C:C)) = TRIM(CLEAN(A144)),
        Movimientos_Inventario!G:G &lt;&gt; """"
      )
    )
  ),
"""")"),"")</f>
        <v/>
      </c>
      <c r="G144" s="5" t="s">
        <v>23515</v>
      </c>
      <c r="I144" s="16" t="str">
        <f t="shared" si="0"/>
        <v>AGOTADO</v>
      </c>
    </row>
    <row r="145" spans="1:9" ht="14.5">
      <c r="A145" s="5" t="s">
        <v>23526</v>
      </c>
      <c r="B145" s="50" t="s">
        <v>23525</v>
      </c>
      <c r="C145" s="53" t="s">
        <v>23189</v>
      </c>
      <c r="E145" s="5" t="s">
        <v>23297</v>
      </c>
      <c r="F145" s="5" t="str">
        <f ca="1">IFERROR(__xludf.DUMMYFUNCTION("IFERROR(
  TEXTJOIN("" | "", TRUE,
    UNIQUE(
      FILTER(
        Movimientos_Inventario!G:G,
        TRIM(CLEAN(Movimientos_Inventario!C:C)) = TRIM(CLEAN(A145)),
        Movimientos_Inventario!G:G &lt;&gt; """"
      )
    )
  ),
"""")"),"CATALOGO MUJER")</f>
        <v>CATALOGO MUJER</v>
      </c>
      <c r="G145" s="5" t="s">
        <v>23527</v>
      </c>
      <c r="H145" s="5">
        <v>10</v>
      </c>
      <c r="I145" s="16" t="str">
        <f t="shared" si="0"/>
        <v>CASI AGOTADO</v>
      </c>
    </row>
    <row r="146" spans="1:9" ht="14.5">
      <c r="A146" s="5" t="s">
        <v>23528</v>
      </c>
      <c r="B146" s="50" t="s">
        <v>23529</v>
      </c>
      <c r="C146" s="53" t="s">
        <v>23189</v>
      </c>
      <c r="E146" s="5" t="s">
        <v>1999</v>
      </c>
      <c r="F146" s="5" t="str">
        <f ca="1">IFERROR(__xludf.DUMMYFUNCTION("IFERROR(
  TEXTJOIN("" | "", TRUE,
    UNIQUE(
      FILTER(
        Movimientos_Inventario!G:G,
        TRIM(CLEAN(Movimientos_Inventario!C:C)) = TRIM(CLEAN(A146)),
        Movimientos_Inventario!G:G &lt;&gt; """"
      )
    )
  ),
"""")"),"")</f>
        <v/>
      </c>
      <c r="G146" s="5" t="s">
        <v>23515</v>
      </c>
      <c r="I146" s="16" t="str">
        <f t="shared" si="0"/>
        <v>AGOTADO</v>
      </c>
    </row>
    <row r="147" spans="1:9" ht="14.5">
      <c r="A147" s="5" t="s">
        <v>23530</v>
      </c>
      <c r="B147" s="50" t="s">
        <v>23529</v>
      </c>
      <c r="C147" s="53" t="s">
        <v>23189</v>
      </c>
      <c r="E147" s="5" t="s">
        <v>1999</v>
      </c>
      <c r="F147" s="5" t="s">
        <v>23203</v>
      </c>
      <c r="G147" s="5" t="s">
        <v>23527</v>
      </c>
      <c r="H147" s="5">
        <v>1</v>
      </c>
      <c r="I147" s="16" t="str">
        <f t="shared" si="0"/>
        <v>CASI AGOTADO</v>
      </c>
    </row>
    <row r="148" spans="1:9" ht="14.5">
      <c r="A148" s="5" t="s">
        <v>23531</v>
      </c>
      <c r="B148" s="50" t="s">
        <v>23532</v>
      </c>
      <c r="C148" s="53" t="s">
        <v>23189</v>
      </c>
      <c r="E148" s="5" t="s">
        <v>23267</v>
      </c>
      <c r="F148" s="5" t="str">
        <f ca="1">IFERROR(__xludf.DUMMYFUNCTION("IFERROR(
  TEXTJOIN("" | "", TRUE,
    UNIQUE(
      FILTER(
        Movimientos_Inventario!G:G,
        TRIM(CLEAN(Movimientos_Inventario!C:C)) = TRIM(CLEAN(A148)),
        Movimientos_Inventario!G:G &lt;&gt; """"
      )
    )
  ),
"""")"),"")</f>
        <v/>
      </c>
      <c r="G148" s="5" t="s">
        <v>23515</v>
      </c>
      <c r="I148" s="16" t="str">
        <f t="shared" si="0"/>
        <v>AGOTADO</v>
      </c>
    </row>
    <row r="149" spans="1:9" ht="14.5">
      <c r="A149" s="5" t="s">
        <v>23533</v>
      </c>
      <c r="B149" s="50" t="s">
        <v>23532</v>
      </c>
      <c r="C149" s="53" t="s">
        <v>23189</v>
      </c>
      <c r="E149" s="5" t="s">
        <v>23267</v>
      </c>
      <c r="F149" s="5" t="str">
        <f ca="1">IFERROR(__xludf.DUMMYFUNCTION("IFERROR(
  TEXTJOIN("" | "", TRUE,
    UNIQUE(
      FILTER(
        Movimientos_Inventario!G:G,
        TRIM(CLEAN(Movimientos_Inventario!C:C)) = TRIM(CLEAN(A149)),
        Movimientos_Inventario!G:G &lt;&gt; """"
      )
    )
  ),
"""")"),"CATALOGO MUJER")</f>
        <v>CATALOGO MUJER</v>
      </c>
      <c r="G149" s="5" t="s">
        <v>23527</v>
      </c>
      <c r="H149" s="5">
        <v>14</v>
      </c>
      <c r="I149" s="16" t="str">
        <f t="shared" si="0"/>
        <v>DISPONIBLE</v>
      </c>
    </row>
    <row r="150" spans="1:9" ht="14.5">
      <c r="A150" s="5" t="s">
        <v>23534</v>
      </c>
      <c r="B150" s="50" t="s">
        <v>23535</v>
      </c>
      <c r="C150" s="53" t="s">
        <v>23189</v>
      </c>
      <c r="E150" s="5" t="s">
        <v>23257</v>
      </c>
      <c r="F150" s="5" t="str">
        <f ca="1">IFERROR(__xludf.DUMMYFUNCTION("IFERROR(
  TEXTJOIN("" | "", TRUE,
    UNIQUE(
      FILTER(
        Movimientos_Inventario!G:G,
        TRIM(CLEAN(Movimientos_Inventario!C:C)) = TRIM(CLEAN(A150)),
        Movimientos_Inventario!G:G &lt;&gt; """"
      )
    )
  ),
"""")"),"CATALOGO MUJER")</f>
        <v>CATALOGO MUJER</v>
      </c>
      <c r="G150" s="5" t="s">
        <v>23515</v>
      </c>
      <c r="H150" s="5">
        <v>12</v>
      </c>
      <c r="I150" s="16" t="str">
        <f t="shared" si="0"/>
        <v>DISPONIBLE</v>
      </c>
    </row>
    <row r="151" spans="1:9" ht="14.5">
      <c r="A151" s="5" t="s">
        <v>23536</v>
      </c>
      <c r="B151" s="50" t="s">
        <v>23535</v>
      </c>
      <c r="C151" s="53" t="s">
        <v>23189</v>
      </c>
      <c r="E151" s="5" t="s">
        <v>23257</v>
      </c>
      <c r="F151" s="5" t="str">
        <f ca="1">IFERROR(__xludf.DUMMYFUNCTION("IFERROR(
  TEXTJOIN("" | "", TRUE,
    UNIQUE(
      FILTER(
        Movimientos_Inventario!G:G,
        TRIM(CLEAN(Movimientos_Inventario!C:C)) = TRIM(CLEAN(A151)),
        Movimientos_Inventario!G:G &lt;&gt; """"
      )
    )
  ),
"""")"),"CATALOGO MUJER")</f>
        <v>CATALOGO MUJER</v>
      </c>
      <c r="G151" s="5" t="s">
        <v>23527</v>
      </c>
      <c r="H151" s="5">
        <v>0</v>
      </c>
      <c r="I151" s="16" t="str">
        <f t="shared" si="0"/>
        <v>AGOTADO</v>
      </c>
    </row>
    <row r="152" spans="1:9" ht="14.5">
      <c r="A152" s="5" t="s">
        <v>23537</v>
      </c>
      <c r="B152" s="50" t="s">
        <v>23538</v>
      </c>
      <c r="C152" s="53" t="s">
        <v>23189</v>
      </c>
      <c r="D152" s="5" t="s">
        <v>23539</v>
      </c>
      <c r="E152" s="5" t="s">
        <v>23208</v>
      </c>
      <c r="F152" s="5" t="str">
        <f ca="1">IFERROR(__xludf.DUMMYFUNCTION("IFERROR(
  TEXTJOIN("" | "", TRUE,
    UNIQUE(
      FILTER(
        Movimientos_Inventario!G:G,
        TRIM(CLEAN(Movimientos_Inventario!C:C)) = TRIM(CLEAN(A152)),
        Movimientos_Inventario!G:G &lt;&gt; """"
      )
    )
  ),
"""")"),"")</f>
        <v/>
      </c>
      <c r="G152" s="5" t="s">
        <v>23515</v>
      </c>
      <c r="I152" s="16" t="str">
        <f t="shared" si="0"/>
        <v>AGOTADO</v>
      </c>
    </row>
    <row r="153" spans="1:9" ht="14.5">
      <c r="A153" s="5" t="s">
        <v>23540</v>
      </c>
      <c r="B153" s="50" t="s">
        <v>23541</v>
      </c>
      <c r="C153" s="53" t="s">
        <v>23189</v>
      </c>
      <c r="E153" s="5" t="s">
        <v>23194</v>
      </c>
      <c r="F153" s="5" t="str">
        <f ca="1">IFERROR(__xludf.DUMMYFUNCTION("IFERROR(
  TEXTJOIN("" | "", TRUE,
    UNIQUE(
      FILTER(
        Movimientos_Inventario!G:G,
        TRIM(CLEAN(Movimientos_Inventario!C:C)) = TRIM(CLEAN(A153)),
        Movimientos_Inventario!G:G &lt;&gt; """"
      )
    )
  ),
"""")"),"")</f>
        <v/>
      </c>
      <c r="G153" s="5" t="s">
        <v>23515</v>
      </c>
      <c r="I153" s="16" t="str">
        <f t="shared" si="0"/>
        <v>AGOTADO</v>
      </c>
    </row>
    <row r="154" spans="1:9" ht="14.5">
      <c r="A154" s="5" t="s">
        <v>23542</v>
      </c>
      <c r="B154" s="50" t="s">
        <v>23541</v>
      </c>
      <c r="C154" s="53" t="s">
        <v>23189</v>
      </c>
      <c r="E154" s="5" t="s">
        <v>23194</v>
      </c>
      <c r="F154" s="5" t="s">
        <v>23203</v>
      </c>
      <c r="G154" s="5" t="s">
        <v>23527</v>
      </c>
      <c r="H154" s="5">
        <v>5</v>
      </c>
      <c r="I154" s="16" t="str">
        <f t="shared" si="0"/>
        <v>CASI AGOTADO</v>
      </c>
    </row>
    <row r="155" spans="1:9" ht="14.5">
      <c r="A155" s="5" t="s">
        <v>23543</v>
      </c>
      <c r="B155" s="50" t="s">
        <v>23544</v>
      </c>
      <c r="C155" s="53" t="s">
        <v>23189</v>
      </c>
      <c r="D155" s="5" t="s">
        <v>23545</v>
      </c>
      <c r="E155" s="5" t="s">
        <v>23279</v>
      </c>
      <c r="F155" s="5" t="str">
        <f ca="1">IFERROR(__xludf.DUMMYFUNCTION("IFERROR(
  TEXTJOIN("" | "", TRUE,
    UNIQUE(
      FILTER(
        Movimientos_Inventario!G:G,
        TRIM(CLEAN(Movimientos_Inventario!C:C)) = TRIM(CLEAN(A155)),
        Movimientos_Inventario!G:G &lt;&gt; """"
      )
    )
  ),
"""")"),"")</f>
        <v/>
      </c>
      <c r="G155" s="5" t="s">
        <v>23515</v>
      </c>
      <c r="I155" s="16" t="str">
        <f t="shared" si="0"/>
        <v>AGOTADO</v>
      </c>
    </row>
    <row r="156" spans="1:9" ht="14.5">
      <c r="A156" s="5" t="s">
        <v>23546</v>
      </c>
      <c r="B156" s="50" t="s">
        <v>23547</v>
      </c>
      <c r="C156" s="53" t="s">
        <v>23189</v>
      </c>
      <c r="D156" s="5" t="s">
        <v>23548</v>
      </c>
      <c r="E156" s="5" t="s">
        <v>23197</v>
      </c>
      <c r="F156" s="5" t="str">
        <f ca="1">IFERROR(__xludf.DUMMYFUNCTION("IFERROR(
  TEXTJOIN("" | "", TRUE,
    UNIQUE(
      FILTER(
        Movimientos_Inventario!G:G,
        TRIM(CLEAN(Movimientos_Inventario!C:C)) = TRIM(CLEAN(A156)),
        Movimientos_Inventario!G:G &lt;&gt; """"
      )
    )
  ),
"""")"),"")</f>
        <v/>
      </c>
      <c r="G156" s="5" t="s">
        <v>23515</v>
      </c>
      <c r="I156" s="16" t="str">
        <f t="shared" si="0"/>
        <v>AGOTADO</v>
      </c>
    </row>
    <row r="157" spans="1:9" ht="14.5">
      <c r="A157" s="5" t="s">
        <v>23549</v>
      </c>
      <c r="B157" s="50" t="s">
        <v>23550</v>
      </c>
      <c r="C157" s="53" t="s">
        <v>23189</v>
      </c>
      <c r="D157" s="5" t="s">
        <v>23551</v>
      </c>
      <c r="E157" s="5" t="s">
        <v>23211</v>
      </c>
      <c r="F157" s="5" t="s">
        <v>23203</v>
      </c>
      <c r="G157" s="5" t="s">
        <v>23515</v>
      </c>
      <c r="H157" s="5">
        <v>23</v>
      </c>
      <c r="I157" s="16" t="str">
        <f t="shared" si="0"/>
        <v>DISPONIBLE</v>
      </c>
    </row>
    <row r="158" spans="1:9" ht="14.5">
      <c r="A158" s="5" t="s">
        <v>23552</v>
      </c>
      <c r="B158" s="50" t="s">
        <v>23553</v>
      </c>
      <c r="C158" s="53" t="s">
        <v>23189</v>
      </c>
      <c r="D158" s="5" t="s">
        <v>23554</v>
      </c>
      <c r="E158" s="5" t="s">
        <v>23211</v>
      </c>
      <c r="F158" s="5" t="str">
        <f ca="1">IFERROR(__xludf.DUMMYFUNCTION("IFERROR(
  TEXTJOIN("" | "", TRUE,
    UNIQUE(
      FILTER(
        Movimientos_Inventario!G:G,
        TRIM(CLEAN(Movimientos_Inventario!C:C)) = TRIM(CLEAN(A158)),
        Movimientos_Inventario!G:G &lt;&gt; """"
      )
    )
  ),
"""")"),"")</f>
        <v/>
      </c>
      <c r="G158" s="5" t="s">
        <v>23515</v>
      </c>
      <c r="I158" s="16" t="str">
        <f t="shared" si="0"/>
        <v>AGOTADO</v>
      </c>
    </row>
    <row r="159" spans="1:9" ht="14.5">
      <c r="A159" s="5" t="s">
        <v>23555</v>
      </c>
      <c r="B159" s="50" t="s">
        <v>23556</v>
      </c>
      <c r="C159" s="53" t="s">
        <v>23189</v>
      </c>
      <c r="D159" s="5" t="s">
        <v>23554</v>
      </c>
      <c r="E159" s="5" t="s">
        <v>23211</v>
      </c>
      <c r="F159" s="5" t="s">
        <v>23203</v>
      </c>
      <c r="G159" s="5" t="s">
        <v>23527</v>
      </c>
      <c r="H159" s="5">
        <v>30</v>
      </c>
      <c r="I159" s="16" t="str">
        <f t="shared" si="0"/>
        <v>DISPONIBLE</v>
      </c>
    </row>
    <row r="160" spans="1:9" ht="14.5">
      <c r="A160" s="5" t="s">
        <v>23557</v>
      </c>
      <c r="B160" s="50" t="s">
        <v>23558</v>
      </c>
      <c r="C160" s="53" t="s">
        <v>23189</v>
      </c>
      <c r="D160" s="5" t="s">
        <v>23559</v>
      </c>
      <c r="E160" s="5" t="s">
        <v>23211</v>
      </c>
      <c r="F160" s="5" t="str">
        <f ca="1">IFERROR(__xludf.DUMMYFUNCTION("IFERROR(
  TEXTJOIN("" | "", TRUE,
    UNIQUE(
      FILTER(
        Movimientos_Inventario!G:G,
        TRIM(CLEAN(Movimientos_Inventario!C:C)) = TRIM(CLEAN(A160)),
        Movimientos_Inventario!G:G &lt;&gt; """"
      )
    )
  ),
"""")"),"")</f>
        <v/>
      </c>
      <c r="G160" s="5" t="s">
        <v>23515</v>
      </c>
      <c r="I160" s="16" t="str">
        <f t="shared" si="0"/>
        <v>AGOTADO</v>
      </c>
    </row>
    <row r="161" spans="1:9" ht="14.5">
      <c r="A161" s="5" t="s">
        <v>23560</v>
      </c>
      <c r="B161" s="50" t="s">
        <v>23561</v>
      </c>
      <c r="C161" s="53" t="s">
        <v>23189</v>
      </c>
      <c r="D161" s="5" t="s">
        <v>23562</v>
      </c>
      <c r="E161" s="5" t="s">
        <v>23197</v>
      </c>
      <c r="F161" s="5" t="str">
        <f ca="1">IFERROR(__xludf.DUMMYFUNCTION("IFERROR(
  TEXTJOIN("" | "", TRUE,
    UNIQUE(
      FILTER(
        Movimientos_Inventario!G:G,
        TRIM(CLEAN(Movimientos_Inventario!C:C)) = TRIM(CLEAN(A161)),
        Movimientos_Inventario!G:G &lt;&gt; """"
      )
    )
  ),
"""")"),"CATALOGO MUJER")</f>
        <v>CATALOGO MUJER</v>
      </c>
      <c r="G161" s="5" t="s">
        <v>23515</v>
      </c>
      <c r="H161" s="5">
        <v>11</v>
      </c>
      <c r="I161" s="16" t="str">
        <f t="shared" si="0"/>
        <v>DISPONIBLE</v>
      </c>
    </row>
    <row r="162" spans="1:9" ht="14.5">
      <c r="A162" s="5" t="s">
        <v>23563</v>
      </c>
      <c r="B162" s="50" t="s">
        <v>23564</v>
      </c>
      <c r="C162" s="53" t="s">
        <v>23189</v>
      </c>
      <c r="D162" s="5" t="s">
        <v>23565</v>
      </c>
      <c r="E162" s="5" t="s">
        <v>23197</v>
      </c>
      <c r="F162" s="5" t="str">
        <f ca="1">IFERROR(__xludf.DUMMYFUNCTION("IFERROR(
  TEXTJOIN("" | "", TRUE,
    UNIQUE(
      FILTER(
        Movimientos_Inventario!G:G,
        TRIM(CLEAN(Movimientos_Inventario!C:C)) = TRIM(CLEAN(A162)),
        Movimientos_Inventario!G:G &lt;&gt; """"
      )
    )
  ),
"""")"),"")</f>
        <v/>
      </c>
      <c r="G162" s="5" t="s">
        <v>23515</v>
      </c>
      <c r="I162" s="16" t="str">
        <f t="shared" si="0"/>
        <v>AGOTADO</v>
      </c>
    </row>
    <row r="163" spans="1:9" ht="14.5">
      <c r="A163" s="5" t="s">
        <v>23566</v>
      </c>
      <c r="B163" s="50" t="s">
        <v>23567</v>
      </c>
      <c r="C163" s="53" t="s">
        <v>23189</v>
      </c>
      <c r="E163" s="5" t="s">
        <v>23197</v>
      </c>
      <c r="F163" s="5" t="str">
        <f ca="1">IFERROR(__xludf.DUMMYFUNCTION("IFERROR(
  TEXTJOIN("" | "", TRUE,
    UNIQUE(
      FILTER(
        Movimientos_Inventario!G:G,
        TRIM(CLEAN(Movimientos_Inventario!C:C)) = TRIM(CLEAN(A163)),
        Movimientos_Inventario!G:G &lt;&gt; """"
      )
    )
  ),
"""")"),"")</f>
        <v/>
      </c>
      <c r="G163" s="5" t="s">
        <v>23515</v>
      </c>
      <c r="I163" s="16" t="str">
        <f t="shared" si="0"/>
        <v>AGOTADO</v>
      </c>
    </row>
    <row r="164" spans="1:9" ht="14.5">
      <c r="A164" s="5" t="s">
        <v>23568</v>
      </c>
      <c r="B164" s="50" t="s">
        <v>23567</v>
      </c>
      <c r="C164" s="53" t="s">
        <v>23189</v>
      </c>
      <c r="E164" s="5" t="s">
        <v>23197</v>
      </c>
      <c r="F164" s="5" t="s">
        <v>23203</v>
      </c>
      <c r="G164" s="5" t="s">
        <v>23527</v>
      </c>
      <c r="H164" s="5">
        <v>6</v>
      </c>
      <c r="I164" s="16" t="str">
        <f t="shared" si="0"/>
        <v>CASI AGOTADO</v>
      </c>
    </row>
    <row r="165" spans="1:9" ht="12.5">
      <c r="A165" s="5" t="s">
        <v>23569</v>
      </c>
      <c r="B165" s="50" t="s">
        <v>23570</v>
      </c>
      <c r="C165" s="5" t="s">
        <v>23571</v>
      </c>
      <c r="D165" s="5" t="s">
        <v>23572</v>
      </c>
      <c r="E165" s="5" t="s">
        <v>23317</v>
      </c>
      <c r="F165" s="5" t="str">
        <f ca="1">IFERROR(__xludf.DUMMYFUNCTION("IFERROR(
  TEXTJOIN("" | "", TRUE,
    UNIQUE(
      FILTER(
        Movimientos_Inventario!G:G,
        TRIM(CLEAN(Movimientos_Inventario!C:C)) = TRIM(CLEAN(A165)),
        Movimientos_Inventario!G:G &lt;&gt; """"
      )
    )
  ),
"""")"),"")</f>
        <v/>
      </c>
      <c r="I165" s="16" t="str">
        <f t="shared" si="0"/>
        <v>AGOTADO</v>
      </c>
    </row>
    <row r="166" spans="1:9" ht="12.5">
      <c r="A166" s="5" t="s">
        <v>23573</v>
      </c>
      <c r="B166" s="50" t="s">
        <v>23574</v>
      </c>
      <c r="C166" s="5" t="s">
        <v>23571</v>
      </c>
      <c r="D166" s="5" t="s">
        <v>23572</v>
      </c>
      <c r="E166" s="5" t="s">
        <v>23317</v>
      </c>
      <c r="F166" s="5" t="str">
        <f ca="1">IFERROR(__xludf.DUMMYFUNCTION("IFERROR(
  TEXTJOIN("" | "", TRUE,
    UNIQUE(
      FILTER(
        Movimientos_Inventario!G:G,
        TRIM(CLEAN(Movimientos_Inventario!C:C)) = TRIM(CLEAN(A166)),
        Movimientos_Inventario!G:G &lt;&gt; """"
      )
    )
  ),
"""")"),"")</f>
        <v/>
      </c>
      <c r="I166" s="16" t="str">
        <f t="shared" si="0"/>
        <v>AGOTADO</v>
      </c>
    </row>
    <row r="167" spans="1:9" ht="12.5">
      <c r="A167" s="5" t="s">
        <v>23575</v>
      </c>
      <c r="B167" s="50" t="s">
        <v>23576</v>
      </c>
      <c r="C167" s="5" t="s">
        <v>23571</v>
      </c>
      <c r="D167" s="5" t="s">
        <v>23577</v>
      </c>
      <c r="E167" s="5" t="s">
        <v>23314</v>
      </c>
      <c r="F167" s="5" t="s">
        <v>23203</v>
      </c>
      <c r="H167" s="5">
        <v>4</v>
      </c>
      <c r="I167" s="16" t="str">
        <f t="shared" si="0"/>
        <v>CASI AGOTADO</v>
      </c>
    </row>
    <row r="168" spans="1:9" ht="12.5">
      <c r="A168" s="5" t="s">
        <v>23578</v>
      </c>
      <c r="B168" s="50" t="s">
        <v>23579</v>
      </c>
      <c r="C168" s="5" t="s">
        <v>23571</v>
      </c>
      <c r="D168" s="5" t="s">
        <v>23577</v>
      </c>
      <c r="E168" s="5" t="s">
        <v>23190</v>
      </c>
      <c r="F168" s="5" t="str">
        <f ca="1">IFERROR(__xludf.DUMMYFUNCTION("IFERROR(
  TEXTJOIN("" | "", TRUE,
    UNIQUE(
      FILTER(
        Movimientos_Inventario!G:G,
        TRIM(CLEAN(Movimientos_Inventario!C:C)) = TRIM(CLEAN(A168)),
        Movimientos_Inventario!G:G &lt;&gt; """"
      )
    )
  ),
"""")"),"")</f>
        <v/>
      </c>
      <c r="I168" s="16" t="str">
        <f t="shared" si="0"/>
        <v>AGOTADO</v>
      </c>
    </row>
    <row r="169" spans="1:9" ht="12.5">
      <c r="A169" s="5" t="s">
        <v>23580</v>
      </c>
      <c r="B169" s="50" t="s">
        <v>23581</v>
      </c>
      <c r="C169" s="5" t="s">
        <v>23571</v>
      </c>
      <c r="D169" s="5" t="s">
        <v>23572</v>
      </c>
      <c r="E169" s="5" t="s">
        <v>23317</v>
      </c>
      <c r="F169" s="5" t="str">
        <f ca="1">IFERROR(__xludf.DUMMYFUNCTION("IFERROR(
  TEXTJOIN("" | "", TRUE,
    UNIQUE(
      FILTER(
        Movimientos_Inventario!G:G,
        TRIM(CLEAN(Movimientos_Inventario!C:C)) = TRIM(CLEAN(A169)),
        Movimientos_Inventario!G:G &lt;&gt; """"
      )
    )
  ),
"""")"),"")</f>
        <v/>
      </c>
      <c r="I169" s="16" t="str">
        <f t="shared" si="0"/>
        <v>AGOTADO</v>
      </c>
    </row>
    <row r="170" spans="1:9" ht="12.5">
      <c r="A170" s="5" t="s">
        <v>23582</v>
      </c>
      <c r="B170" s="50" t="s">
        <v>23583</v>
      </c>
      <c r="C170" s="5" t="s">
        <v>23571</v>
      </c>
      <c r="D170" s="5" t="s">
        <v>23572</v>
      </c>
      <c r="E170" s="5" t="s">
        <v>23317</v>
      </c>
      <c r="F170" s="5" t="str">
        <f ca="1">IFERROR(__xludf.DUMMYFUNCTION("IFERROR(
  TEXTJOIN("" | "", TRUE,
    UNIQUE(
      FILTER(
        Movimientos_Inventario!G:G,
        TRIM(CLEAN(Movimientos_Inventario!C:C)) = TRIM(CLEAN(A170)),
        Movimientos_Inventario!G:G &lt;&gt; """"
      )
    )
  ),
"""")"),"")</f>
        <v/>
      </c>
      <c r="I170" s="16" t="str">
        <f t="shared" si="0"/>
        <v>AGOTADO</v>
      </c>
    </row>
    <row r="171" spans="1:9" ht="12.5">
      <c r="A171" s="5" t="s">
        <v>23584</v>
      </c>
      <c r="B171" s="50" t="s">
        <v>23585</v>
      </c>
      <c r="C171" s="5" t="s">
        <v>23571</v>
      </c>
      <c r="D171" s="5" t="s">
        <v>23572</v>
      </c>
      <c r="E171" s="5" t="s">
        <v>23317</v>
      </c>
      <c r="F171" s="5" t="str">
        <f ca="1">IFERROR(__xludf.DUMMYFUNCTION("IFERROR(
  TEXTJOIN("" | "", TRUE,
    UNIQUE(
      FILTER(
        Movimientos_Inventario!G:G,
        TRIM(CLEAN(Movimientos_Inventario!C:C)) = TRIM(CLEAN(A171)),
        Movimientos_Inventario!G:G &lt;&gt; """"
      )
    )
  ),
"""")"),"")</f>
        <v/>
      </c>
      <c r="I171" s="16" t="str">
        <f t="shared" si="0"/>
        <v>AGOTADO</v>
      </c>
    </row>
    <row r="172" spans="1:9" ht="12.5">
      <c r="A172" s="5" t="s">
        <v>23586</v>
      </c>
      <c r="B172" s="50" t="s">
        <v>23587</v>
      </c>
      <c r="C172" s="5" t="s">
        <v>23571</v>
      </c>
      <c r="D172" s="5" t="s">
        <v>23572</v>
      </c>
      <c r="E172" s="5" t="s">
        <v>23317</v>
      </c>
      <c r="F172" s="5" t="str">
        <f ca="1">IFERROR(__xludf.DUMMYFUNCTION("IFERROR(
  TEXTJOIN("" | "", TRUE,
    UNIQUE(
      FILTER(
        Movimientos_Inventario!G:G,
        TRIM(CLEAN(Movimientos_Inventario!C:C)) = TRIM(CLEAN(A172)),
        Movimientos_Inventario!G:G &lt;&gt; """"
      )
    )
  ),
"""")"),"")</f>
        <v/>
      </c>
      <c r="I172" s="16" t="str">
        <f t="shared" si="0"/>
        <v>AGOTADO</v>
      </c>
    </row>
    <row r="173" spans="1:9" ht="12.5">
      <c r="A173" s="5" t="s">
        <v>23588</v>
      </c>
      <c r="B173" s="50" t="s">
        <v>23589</v>
      </c>
      <c r="C173" s="5" t="s">
        <v>23571</v>
      </c>
      <c r="D173" s="5" t="s">
        <v>23590</v>
      </c>
      <c r="E173" s="5" t="s">
        <v>23208</v>
      </c>
      <c r="F173" s="5" t="str">
        <f ca="1">IFERROR(__xludf.DUMMYFUNCTION("IFERROR(
  TEXTJOIN("" | "", TRUE,
    UNIQUE(
      FILTER(
        Movimientos_Inventario!G:G,
        TRIM(CLEAN(Movimientos_Inventario!C:C)) = TRIM(CLEAN(A173)),
        Movimientos_Inventario!G:G &lt;&gt; """"
      )
    )
  ),
"""")"),"")</f>
        <v/>
      </c>
      <c r="I173" s="16" t="str">
        <f t="shared" si="0"/>
        <v>AGOTADO</v>
      </c>
    </row>
    <row r="174" spans="1:9" ht="12.5">
      <c r="A174" s="5" t="s">
        <v>23591</v>
      </c>
      <c r="B174" s="50" t="s">
        <v>23592</v>
      </c>
      <c r="C174" s="5" t="s">
        <v>23571</v>
      </c>
      <c r="D174" s="5" t="s">
        <v>23577</v>
      </c>
      <c r="E174" s="5" t="s">
        <v>23317</v>
      </c>
      <c r="F174" s="5" t="str">
        <f ca="1">IFERROR(__xludf.DUMMYFUNCTION("IFERROR(
  TEXTJOIN("" | "", TRUE,
    UNIQUE(
      FILTER(
        Movimientos_Inventario!G:G,
        TRIM(CLEAN(Movimientos_Inventario!C:C)) = TRIM(CLEAN(A174)),
        Movimientos_Inventario!G:G &lt;&gt; """"
      )
    )
  ),
"""")"),"CATALOGO MUJER")</f>
        <v>CATALOGO MUJER</v>
      </c>
      <c r="H174" s="5">
        <v>29</v>
      </c>
      <c r="I174" s="16" t="str">
        <f t="shared" si="0"/>
        <v>DISPONIBLE</v>
      </c>
    </row>
    <row r="175" spans="1:9" ht="12.5">
      <c r="A175" s="5" t="s">
        <v>23593</v>
      </c>
      <c r="B175" s="50" t="s">
        <v>23594</v>
      </c>
      <c r="C175" s="5" t="s">
        <v>23571</v>
      </c>
      <c r="D175" s="5" t="s">
        <v>23572</v>
      </c>
      <c r="E175" s="5" t="s">
        <v>23317</v>
      </c>
      <c r="F175" s="5" t="str">
        <f ca="1">IFERROR(__xludf.DUMMYFUNCTION("IFERROR(
  TEXTJOIN("" | "", TRUE,
    UNIQUE(
      FILTER(
        Movimientos_Inventario!G:G,
        TRIM(CLEAN(Movimientos_Inventario!C:C)) = TRIM(CLEAN(A175)),
        Movimientos_Inventario!G:G &lt;&gt; """"
      )
    )
  ),
"""")"),"")</f>
        <v/>
      </c>
      <c r="I175" s="16" t="str">
        <f t="shared" si="0"/>
        <v>AGOTADO</v>
      </c>
    </row>
    <row r="176" spans="1:9" ht="12.5">
      <c r="A176" s="5" t="s">
        <v>23595</v>
      </c>
      <c r="B176" s="50" t="s">
        <v>23596</v>
      </c>
      <c r="C176" s="5" t="s">
        <v>23571</v>
      </c>
      <c r="D176" s="5" t="s">
        <v>23572</v>
      </c>
      <c r="E176" s="5" t="s">
        <v>23317</v>
      </c>
      <c r="F176" s="5" t="str">
        <f ca="1">IFERROR(__xludf.DUMMYFUNCTION("IFERROR(
  TEXTJOIN("" | "", TRUE,
    UNIQUE(
      FILTER(
        Movimientos_Inventario!G:G,
        TRIM(CLEAN(Movimientos_Inventario!C:C)) = TRIM(CLEAN(A176)),
        Movimientos_Inventario!G:G &lt;&gt; """"
      )
    )
  ),
"""")"),"CATALOGO MUJER")</f>
        <v>CATALOGO MUJER</v>
      </c>
      <c r="H176" s="5">
        <v>91</v>
      </c>
      <c r="I176" s="16" t="str">
        <f t="shared" si="0"/>
        <v>DISPONIBLE</v>
      </c>
    </row>
    <row r="177" spans="1:9" ht="12.5">
      <c r="A177" s="5" t="s">
        <v>23597</v>
      </c>
      <c r="B177" s="50" t="s">
        <v>23598</v>
      </c>
      <c r="C177" s="5" t="s">
        <v>23571</v>
      </c>
      <c r="D177" s="5" t="s">
        <v>23572</v>
      </c>
      <c r="E177" s="5" t="s">
        <v>23317</v>
      </c>
      <c r="F177" s="5" t="str">
        <f ca="1">IFERROR(__xludf.DUMMYFUNCTION("IFERROR(
  TEXTJOIN("" | "", TRUE,
    UNIQUE(
      FILTER(
        Movimientos_Inventario!G:G,
        TRIM(CLEAN(Movimientos_Inventario!C:C)) = TRIM(CLEAN(A177)),
        Movimientos_Inventario!G:G &lt;&gt; """"
      )
    )
  ),
"""")"),"")</f>
        <v/>
      </c>
      <c r="I177" s="16" t="str">
        <f t="shared" si="0"/>
        <v>AGOTADO</v>
      </c>
    </row>
    <row r="178" spans="1:9" ht="12.5">
      <c r="A178" s="5" t="s">
        <v>23599</v>
      </c>
      <c r="B178" s="50" t="s">
        <v>23600</v>
      </c>
      <c r="C178" s="5" t="s">
        <v>23571</v>
      </c>
      <c r="D178" s="5" t="s">
        <v>23577</v>
      </c>
      <c r="E178" s="5" t="s">
        <v>23601</v>
      </c>
      <c r="F178" s="5" t="str">
        <f ca="1">IFERROR(__xludf.DUMMYFUNCTION("IFERROR(
  TEXTJOIN("" | "", TRUE,
    UNIQUE(
      FILTER(
        Movimientos_Inventario!G:G,
        TRIM(CLEAN(Movimientos_Inventario!C:C)) = TRIM(CLEAN(A178)),
        Movimientos_Inventario!G:G &lt;&gt; """"
      )
    )
  ),
"""")"),"")</f>
        <v/>
      </c>
      <c r="I178" s="16" t="str">
        <f t="shared" si="0"/>
        <v>AGOTADO</v>
      </c>
    </row>
    <row r="179" spans="1:9" ht="12.5">
      <c r="A179" s="5" t="s">
        <v>23602</v>
      </c>
      <c r="B179" s="50" t="s">
        <v>23603</v>
      </c>
      <c r="C179" s="5" t="s">
        <v>23571</v>
      </c>
      <c r="D179" s="5" t="s">
        <v>23572</v>
      </c>
      <c r="E179" s="5" t="s">
        <v>23317</v>
      </c>
      <c r="F179" s="5" t="s">
        <v>23203</v>
      </c>
      <c r="H179" s="5">
        <v>5</v>
      </c>
      <c r="I179" s="16" t="str">
        <f t="shared" si="0"/>
        <v>CASI AGOTADO</v>
      </c>
    </row>
    <row r="180" spans="1:9" ht="12.5">
      <c r="A180" s="5" t="s">
        <v>23604</v>
      </c>
      <c r="B180" s="50" t="s">
        <v>23605</v>
      </c>
      <c r="C180" s="5" t="s">
        <v>23571</v>
      </c>
      <c r="D180" s="5" t="s">
        <v>23572</v>
      </c>
      <c r="E180" s="5" t="s">
        <v>23317</v>
      </c>
      <c r="F180" s="5" t="s">
        <v>23203</v>
      </c>
      <c r="H180" s="5">
        <v>14</v>
      </c>
      <c r="I180" s="16" t="str">
        <f t="shared" si="0"/>
        <v>DISPONIBLE</v>
      </c>
    </row>
    <row r="181" spans="1:9" ht="12.5">
      <c r="A181" s="5" t="s">
        <v>23606</v>
      </c>
      <c r="B181" s="50" t="s">
        <v>23607</v>
      </c>
      <c r="C181" s="5" t="s">
        <v>23571</v>
      </c>
      <c r="D181" s="5" t="s">
        <v>23572</v>
      </c>
      <c r="E181" s="5" t="s">
        <v>23317</v>
      </c>
      <c r="F181" s="5" t="s">
        <v>23203</v>
      </c>
      <c r="H181" s="5">
        <v>13</v>
      </c>
      <c r="I181" s="16" t="str">
        <f t="shared" si="0"/>
        <v>DISPONIBLE</v>
      </c>
    </row>
    <row r="182" spans="1:9" ht="12.5">
      <c r="A182" s="5" t="s">
        <v>23608</v>
      </c>
      <c r="B182" s="50" t="s">
        <v>23609</v>
      </c>
      <c r="C182" s="5" t="s">
        <v>23571</v>
      </c>
      <c r="D182" s="5" t="s">
        <v>23572</v>
      </c>
      <c r="E182" s="5" t="s">
        <v>23317</v>
      </c>
      <c r="F182" s="5" t="str">
        <f ca="1">IFERROR(__xludf.DUMMYFUNCTION("IFERROR(
  TEXTJOIN("" | "", TRUE,
    UNIQUE(
      FILTER(
        Movimientos_Inventario!G:G,
        TRIM(CLEAN(Movimientos_Inventario!C:C)) = TRIM(CLEAN(A182)),
        Movimientos_Inventario!G:G &lt;&gt; """"
      )
    )
  ),
"""")"),"")</f>
        <v/>
      </c>
      <c r="I182" s="16" t="str">
        <f t="shared" si="0"/>
        <v>AGOTADO</v>
      </c>
    </row>
    <row r="183" spans="1:9" ht="12.5">
      <c r="A183" s="5" t="s">
        <v>23610</v>
      </c>
      <c r="B183" s="50" t="s">
        <v>23611</v>
      </c>
      <c r="C183" s="5" t="s">
        <v>23571</v>
      </c>
      <c r="D183" s="5" t="s">
        <v>23577</v>
      </c>
      <c r="E183" s="5" t="s">
        <v>23317</v>
      </c>
      <c r="F183" s="5" t="str">
        <f ca="1">IFERROR(__xludf.DUMMYFUNCTION("IFERROR(
  TEXTJOIN("" | "", TRUE,
    UNIQUE(
      FILTER(
        Movimientos_Inventario!G:G,
        TRIM(CLEAN(Movimientos_Inventario!C:C)) = TRIM(CLEAN(A183)),
        Movimientos_Inventario!G:G &lt;&gt; """"
      )
    )
  ),
"""")"),"")</f>
        <v/>
      </c>
      <c r="I183" s="16" t="str">
        <f t="shared" si="0"/>
        <v>AGOTADO</v>
      </c>
    </row>
    <row r="184" spans="1:9" ht="12.5">
      <c r="A184" s="5" t="s">
        <v>23612</v>
      </c>
      <c r="B184" s="50" t="s">
        <v>23613</v>
      </c>
      <c r="C184" s="5" t="s">
        <v>23571</v>
      </c>
      <c r="D184" s="5" t="s">
        <v>23572</v>
      </c>
      <c r="E184" s="5" t="s">
        <v>23317</v>
      </c>
      <c r="F184" s="5" t="str">
        <f ca="1">IFERROR(__xludf.DUMMYFUNCTION("IFERROR(
  TEXTJOIN("" | "", TRUE,
    UNIQUE(
      FILTER(
        Movimientos_Inventario!G:G,
        TRIM(CLEAN(Movimientos_Inventario!C:C)) = TRIM(CLEAN(A184)),
        Movimientos_Inventario!G:G &lt;&gt; """"
      )
    )
  ),
"""")"),"CATALOGO MUJER")</f>
        <v>CATALOGO MUJER</v>
      </c>
      <c r="H184" s="5">
        <v>23</v>
      </c>
      <c r="I184" s="16" t="str">
        <f t="shared" si="0"/>
        <v>DISPONIBLE</v>
      </c>
    </row>
    <row r="185" spans="1:9" ht="12.5">
      <c r="A185" s="5" t="s">
        <v>23614</v>
      </c>
      <c r="B185" s="50" t="s">
        <v>23615</v>
      </c>
      <c r="C185" s="5" t="s">
        <v>23571</v>
      </c>
      <c r="D185" s="5" t="s">
        <v>23572</v>
      </c>
      <c r="E185" s="5" t="s">
        <v>23572</v>
      </c>
      <c r="F185" s="5" t="str">
        <f ca="1">IFERROR(__xludf.DUMMYFUNCTION("IFERROR(
  TEXTJOIN("" | "", TRUE,
    UNIQUE(
      FILTER(
        Movimientos_Inventario!G:G,
        TRIM(CLEAN(Movimientos_Inventario!C:C)) = TRIM(CLEAN(A185)),
        Movimientos_Inventario!G:G &lt;&gt; """"
      )
    )
  ),
"""")"),"")</f>
        <v/>
      </c>
      <c r="I185" s="16" t="str">
        <f t="shared" si="0"/>
        <v>AGOTADO</v>
      </c>
    </row>
    <row r="186" spans="1:9" ht="12.5">
      <c r="A186" s="5" t="s">
        <v>23616</v>
      </c>
      <c r="B186" s="50" t="s">
        <v>23617</v>
      </c>
      <c r="C186" s="5" t="s">
        <v>23571</v>
      </c>
      <c r="D186" s="5" t="s">
        <v>23590</v>
      </c>
      <c r="E186" s="5" t="s">
        <v>23190</v>
      </c>
      <c r="F186" s="5" t="str">
        <f ca="1">IFERROR(__xludf.DUMMYFUNCTION("IFERROR(
  TEXTJOIN("" | "", TRUE,
    UNIQUE(
      FILTER(
        Movimientos_Inventario!G:G,
        TRIM(CLEAN(Movimientos_Inventario!C:C)) = TRIM(CLEAN(A186)),
        Movimientos_Inventario!G:G &lt;&gt; """"
      )
    )
  ),
"""")"),"")</f>
        <v/>
      </c>
      <c r="I186" s="16" t="str">
        <f t="shared" si="0"/>
        <v>AGOTADO</v>
      </c>
    </row>
    <row r="187" spans="1:9" ht="12.5">
      <c r="A187" s="5" t="s">
        <v>23618</v>
      </c>
      <c r="B187" s="50" t="s">
        <v>23619</v>
      </c>
      <c r="C187" s="5" t="s">
        <v>23571</v>
      </c>
      <c r="D187" s="5" t="s">
        <v>23590</v>
      </c>
      <c r="E187" s="5" t="s">
        <v>23282</v>
      </c>
      <c r="F187" s="5" t="str">
        <f ca="1">IFERROR(__xludf.DUMMYFUNCTION("IFERROR(
  TEXTJOIN("" | "", TRUE,
    UNIQUE(
      FILTER(
        Movimientos_Inventario!G:G,
        TRIM(CLEAN(Movimientos_Inventario!C:C)) = TRIM(CLEAN(A187)),
        Movimientos_Inventario!G:G &lt;&gt; """"
      )
    )
  ),
"""")"),"")</f>
        <v/>
      </c>
      <c r="I187" s="16" t="str">
        <f t="shared" si="0"/>
        <v>AGOTADO</v>
      </c>
    </row>
    <row r="188" spans="1:9" ht="12.5">
      <c r="A188" s="5" t="s">
        <v>23620</v>
      </c>
      <c r="B188" s="50" t="s">
        <v>23621</v>
      </c>
      <c r="C188" s="5" t="s">
        <v>23571</v>
      </c>
      <c r="D188" s="5" t="s">
        <v>23590</v>
      </c>
      <c r="E188" s="5" t="s">
        <v>23285</v>
      </c>
      <c r="F188" s="5" t="str">
        <f ca="1">IFERROR(__xludf.DUMMYFUNCTION("IFERROR(
  TEXTJOIN("" | "", TRUE,
    UNIQUE(
      FILTER(
        Movimientos_Inventario!G:G,
        TRIM(CLEAN(Movimientos_Inventario!C:C)) = TRIM(CLEAN(A188)),
        Movimientos_Inventario!G:G &lt;&gt; """"
      )
    )
  ),
"""")"),"")</f>
        <v/>
      </c>
      <c r="I188" s="16" t="str">
        <f t="shared" si="0"/>
        <v>AGOTADO</v>
      </c>
    </row>
    <row r="189" spans="1:9" ht="12.5">
      <c r="A189" s="5" t="s">
        <v>23622</v>
      </c>
      <c r="B189" s="50" t="s">
        <v>23623</v>
      </c>
      <c r="C189" s="5" t="s">
        <v>23571</v>
      </c>
      <c r="D189" s="5" t="s">
        <v>23590</v>
      </c>
      <c r="E189" s="5" t="s">
        <v>23317</v>
      </c>
      <c r="F189" s="5" t="str">
        <f ca="1">IFERROR(__xludf.DUMMYFUNCTION("IFERROR(
  TEXTJOIN("" | "", TRUE,
    UNIQUE(
      FILTER(
        Movimientos_Inventario!G:G,
        TRIM(CLEAN(Movimientos_Inventario!C:C)) = TRIM(CLEAN(A189)),
        Movimientos_Inventario!G:G &lt;&gt; """"
      )
    )
  ),
"""")"),"")</f>
        <v/>
      </c>
      <c r="I189" s="16" t="str">
        <f t="shared" si="0"/>
        <v>AGOTADO</v>
      </c>
    </row>
    <row r="190" spans="1:9" ht="12.5">
      <c r="A190" s="5" t="s">
        <v>23624</v>
      </c>
      <c r="B190" s="50" t="s">
        <v>23625</v>
      </c>
      <c r="C190" s="5" t="s">
        <v>23571</v>
      </c>
      <c r="D190" s="5" t="s">
        <v>23626</v>
      </c>
      <c r="E190" s="5" t="s">
        <v>23317</v>
      </c>
      <c r="F190" s="5" t="str">
        <f ca="1">IFERROR(__xludf.DUMMYFUNCTION("IFERROR(
  TEXTJOIN("" | "", TRUE,
    UNIQUE(
      FILTER(
        Movimientos_Inventario!G:G,
        TRIM(CLEAN(Movimientos_Inventario!C:C)) = TRIM(CLEAN(A190)),
        Movimientos_Inventario!G:G &lt;&gt; """"
      )
    )
  ),
"""")"),"")</f>
        <v/>
      </c>
      <c r="I190" s="16" t="str">
        <f t="shared" si="0"/>
        <v>AGOTADO</v>
      </c>
    </row>
    <row r="191" spans="1:9" ht="12.5">
      <c r="A191" s="5" t="s">
        <v>23627</v>
      </c>
      <c r="B191" s="50" t="s">
        <v>23628</v>
      </c>
      <c r="C191" s="5" t="s">
        <v>23571</v>
      </c>
      <c r="D191" s="5" t="s">
        <v>23626</v>
      </c>
      <c r="E191" s="5" t="s">
        <v>23317</v>
      </c>
      <c r="F191" s="5" t="str">
        <f ca="1">IFERROR(__xludf.DUMMYFUNCTION("IFERROR(
  TEXTJOIN("" | "", TRUE,
    UNIQUE(
      FILTER(
        Movimientos_Inventario!G:G,
        TRIM(CLEAN(Movimientos_Inventario!C:C)) = TRIM(CLEAN(A191)),
        Movimientos_Inventario!G:G &lt;&gt; """"
      )
    )
  ),
"""")"),"")</f>
        <v/>
      </c>
      <c r="I191" s="16" t="str">
        <f t="shared" si="0"/>
        <v>AGOTADO</v>
      </c>
    </row>
    <row r="192" spans="1:9" ht="12.5">
      <c r="A192" s="5" t="s">
        <v>23629</v>
      </c>
      <c r="B192" s="50" t="s">
        <v>23630</v>
      </c>
      <c r="C192" s="5" t="s">
        <v>23571</v>
      </c>
      <c r="D192" s="5" t="s">
        <v>23626</v>
      </c>
      <c r="E192" s="5" t="s">
        <v>23267</v>
      </c>
      <c r="F192" s="5" t="str">
        <f ca="1">IFERROR(__xludf.DUMMYFUNCTION("IFERROR(
  TEXTJOIN("" | "", TRUE,
    UNIQUE(
      FILTER(
        Movimientos_Inventario!G:G,
        TRIM(CLEAN(Movimientos_Inventario!C:C)) = TRIM(CLEAN(A192)),
        Movimientos_Inventario!G:G &lt;&gt; """"
      )
    )
  ),
"""")"),"")</f>
        <v/>
      </c>
      <c r="I192" s="16" t="str">
        <f t="shared" si="0"/>
        <v>AGOTADO</v>
      </c>
    </row>
    <row r="193" spans="1:9" ht="12.5">
      <c r="A193" s="5" t="s">
        <v>23631</v>
      </c>
      <c r="B193" s="50" t="s">
        <v>23632</v>
      </c>
      <c r="C193" s="5" t="s">
        <v>23571</v>
      </c>
      <c r="D193" s="5" t="s">
        <v>23577</v>
      </c>
      <c r="E193" s="5" t="s">
        <v>23633</v>
      </c>
      <c r="F193" s="5" t="str">
        <f ca="1">IFERROR(__xludf.DUMMYFUNCTION("IFERROR(
  TEXTJOIN("" | "", TRUE,
    UNIQUE(
      FILTER(
        Movimientos_Inventario!G:G,
        TRIM(CLEAN(Movimientos_Inventario!C:C)) = TRIM(CLEAN(A193)),
        Movimientos_Inventario!G:G &lt;&gt; """"
      )
    )
  ),
"""")"),"")</f>
        <v/>
      </c>
      <c r="I193" s="16" t="str">
        <f t="shared" si="0"/>
        <v>AGOTADO</v>
      </c>
    </row>
    <row r="194" spans="1:9" ht="12.5">
      <c r="A194" s="5" t="s">
        <v>23634</v>
      </c>
      <c r="B194" s="50" t="s">
        <v>23635</v>
      </c>
      <c r="C194" s="5" t="s">
        <v>23571</v>
      </c>
      <c r="D194" s="5" t="s">
        <v>23577</v>
      </c>
      <c r="E194" s="5" t="s">
        <v>23317</v>
      </c>
      <c r="F194" s="5" t="str">
        <f ca="1">IFERROR(__xludf.DUMMYFUNCTION("IFERROR(
  TEXTJOIN("" | "", TRUE,
    UNIQUE(
      FILTER(
        Movimientos_Inventario!G:G,
        TRIM(CLEAN(Movimientos_Inventario!C:C)) = TRIM(CLEAN(A194)),
        Movimientos_Inventario!G:G &lt;&gt; """"
      )
    )
  ),
"""")"),"")</f>
        <v/>
      </c>
      <c r="I194" s="16" t="str">
        <f t="shared" si="0"/>
        <v>AGOTADO</v>
      </c>
    </row>
    <row r="195" spans="1:9" ht="12.5">
      <c r="A195" s="5" t="s">
        <v>23636</v>
      </c>
      <c r="B195" s="50" t="s">
        <v>23637</v>
      </c>
      <c r="C195" s="5" t="s">
        <v>23571</v>
      </c>
      <c r="D195" s="5" t="s">
        <v>23577</v>
      </c>
      <c r="E195" s="5" t="s">
        <v>23317</v>
      </c>
      <c r="F195" s="5" t="str">
        <f ca="1">IFERROR(__xludf.DUMMYFUNCTION("IFERROR(
  TEXTJOIN("" | "", TRUE,
    UNIQUE(
      FILTER(
        Movimientos_Inventario!G:G,
        TRIM(CLEAN(Movimientos_Inventario!C:C)) = TRIM(CLEAN(A195)),
        Movimientos_Inventario!G:G &lt;&gt; """"
      )
    )
  ),
"""")"),"")</f>
        <v/>
      </c>
      <c r="I195" s="16" t="str">
        <f t="shared" si="0"/>
        <v>AGOTADO</v>
      </c>
    </row>
    <row r="196" spans="1:9" ht="12.5">
      <c r="A196" s="5" t="s">
        <v>23638</v>
      </c>
      <c r="B196" s="50" t="s">
        <v>23639</v>
      </c>
      <c r="C196" s="5" t="s">
        <v>23571</v>
      </c>
      <c r="D196" s="5" t="s">
        <v>23572</v>
      </c>
      <c r="E196" s="5" t="s">
        <v>1999</v>
      </c>
      <c r="F196" s="5" t="str">
        <f ca="1">IFERROR(__xludf.DUMMYFUNCTION("IFERROR(
  TEXTJOIN("" | "", TRUE,
    UNIQUE(
      FILTER(
        Movimientos_Inventario!G:G,
        TRIM(CLEAN(Movimientos_Inventario!C:C)) = TRIM(CLEAN(A196)),
        Movimientos_Inventario!G:G &lt;&gt; """"
      )
    )
  ),
"""")"),"")</f>
        <v/>
      </c>
      <c r="I196" s="16" t="str">
        <f t="shared" si="0"/>
        <v>AGOTADO</v>
      </c>
    </row>
    <row r="197" spans="1:9" ht="12.5">
      <c r="A197" s="5" t="s">
        <v>23640</v>
      </c>
      <c r="B197" s="50" t="s">
        <v>23641</v>
      </c>
      <c r="C197" s="5" t="s">
        <v>23571</v>
      </c>
      <c r="D197" s="5" t="s">
        <v>23572</v>
      </c>
      <c r="E197" s="5" t="s">
        <v>23317</v>
      </c>
      <c r="F197" s="5" t="str">
        <f ca="1">IFERROR(__xludf.DUMMYFUNCTION("IFERROR(
  TEXTJOIN("" | "", TRUE,
    UNIQUE(
      FILTER(
        Movimientos_Inventario!G:G,
        TRIM(CLEAN(Movimientos_Inventario!C:C)) = TRIM(CLEAN(A197)),
        Movimientos_Inventario!G:G &lt;&gt; """"
      )
    )
  ),
"""")"),"")</f>
        <v/>
      </c>
      <c r="I197" s="16" t="str">
        <f t="shared" si="0"/>
        <v>AGOTADO</v>
      </c>
    </row>
    <row r="198" spans="1:9" ht="12.5">
      <c r="A198" s="5" t="s">
        <v>23642</v>
      </c>
      <c r="B198" s="50" t="s">
        <v>23643</v>
      </c>
      <c r="C198" s="5" t="s">
        <v>23571</v>
      </c>
      <c r="D198" s="5" t="s">
        <v>23572</v>
      </c>
      <c r="E198" s="5" t="s">
        <v>23317</v>
      </c>
      <c r="F198" s="5" t="str">
        <f ca="1">IFERROR(__xludf.DUMMYFUNCTION("IFERROR(
  TEXTJOIN("" | "", TRUE,
    UNIQUE(
      FILTER(
        Movimientos_Inventario!G:G,
        TRIM(CLEAN(Movimientos_Inventario!C:C)) = TRIM(CLEAN(A198)),
        Movimientos_Inventario!G:G &lt;&gt; """"
      )
    )
  ),
"""")"),"")</f>
        <v/>
      </c>
      <c r="I198" s="16" t="str">
        <f t="shared" si="0"/>
        <v>AGOTADO</v>
      </c>
    </row>
    <row r="199" spans="1:9" ht="12.5">
      <c r="A199" s="5" t="s">
        <v>23644</v>
      </c>
      <c r="B199" s="50" t="s">
        <v>23645</v>
      </c>
      <c r="C199" s="5" t="s">
        <v>23571</v>
      </c>
      <c r="D199" s="5" t="s">
        <v>23572</v>
      </c>
      <c r="E199" s="5" t="s">
        <v>23317</v>
      </c>
      <c r="F199" s="5" t="str">
        <f ca="1">IFERROR(__xludf.DUMMYFUNCTION("IFERROR(
  TEXTJOIN("" | "", TRUE,
    UNIQUE(
      FILTER(
        Movimientos_Inventario!G:G,
        TRIM(CLEAN(Movimientos_Inventario!C:C)) = TRIM(CLEAN(A199)),
        Movimientos_Inventario!G:G &lt;&gt; """"
      )
    )
  ),
"""")"),"")</f>
        <v/>
      </c>
      <c r="I199" s="16" t="str">
        <f t="shared" si="0"/>
        <v>AGOTADO</v>
      </c>
    </row>
    <row r="200" spans="1:9" ht="12.5">
      <c r="A200" s="5" t="s">
        <v>23646</v>
      </c>
      <c r="B200" s="50" t="s">
        <v>23647</v>
      </c>
      <c r="C200" s="5" t="s">
        <v>23571</v>
      </c>
      <c r="D200" s="5" t="s">
        <v>23572</v>
      </c>
      <c r="E200" s="5" t="s">
        <v>23317</v>
      </c>
      <c r="F200" s="5" t="s">
        <v>23203</v>
      </c>
      <c r="H200" s="5">
        <v>43</v>
      </c>
      <c r="I200" s="16" t="str">
        <f t="shared" si="0"/>
        <v>DISPONIBLE</v>
      </c>
    </row>
    <row r="201" spans="1:9" ht="12.5">
      <c r="A201" s="5" t="s">
        <v>23648</v>
      </c>
      <c r="B201" s="50" t="s">
        <v>23649</v>
      </c>
      <c r="C201" s="5" t="s">
        <v>23571</v>
      </c>
      <c r="D201" s="5" t="s">
        <v>23577</v>
      </c>
      <c r="E201" s="5" t="s">
        <v>23264</v>
      </c>
      <c r="F201" s="5" t="str">
        <f ca="1">IFERROR(__xludf.DUMMYFUNCTION("IFERROR(
  TEXTJOIN("" | "", TRUE,
    UNIQUE(
      FILTER(
        Movimientos_Inventario!G:G,
        TRIM(CLEAN(Movimientos_Inventario!C:C)) = TRIM(CLEAN(A201)),
        Movimientos_Inventario!G:G &lt;&gt; """"
      )
    )
  ),
"""")"),"")</f>
        <v/>
      </c>
      <c r="I201" s="16" t="str">
        <f t="shared" si="0"/>
        <v>AGOTADO</v>
      </c>
    </row>
    <row r="202" spans="1:9" ht="12.5">
      <c r="A202" s="5" t="s">
        <v>23650</v>
      </c>
      <c r="B202" s="50" t="s">
        <v>23651</v>
      </c>
      <c r="C202" s="5" t="s">
        <v>23571</v>
      </c>
      <c r="D202" s="5" t="s">
        <v>23652</v>
      </c>
      <c r="E202" s="5" t="s">
        <v>23285</v>
      </c>
      <c r="F202" s="5" t="str">
        <f ca="1">IFERROR(__xludf.DUMMYFUNCTION("IFERROR(
  TEXTJOIN("" | "", TRUE,
    UNIQUE(
      FILTER(
        Movimientos_Inventario!G:G,
        TRIM(CLEAN(Movimientos_Inventario!C:C)) = TRIM(CLEAN(A202)),
        Movimientos_Inventario!G:G &lt;&gt; """"
      )
    )
  ),
"""")"),"")</f>
        <v/>
      </c>
      <c r="I202" s="16" t="str">
        <f t="shared" si="0"/>
        <v>AGOTADO</v>
      </c>
    </row>
    <row r="203" spans="1:9" ht="12.5">
      <c r="A203" s="5" t="s">
        <v>23653</v>
      </c>
      <c r="B203" s="50" t="s">
        <v>23654</v>
      </c>
      <c r="C203" s="5" t="s">
        <v>23571</v>
      </c>
      <c r="D203" s="5" t="s">
        <v>23652</v>
      </c>
      <c r="E203" s="5" t="s">
        <v>23190</v>
      </c>
      <c r="F203" s="5" t="str">
        <f ca="1">IFERROR(__xludf.DUMMYFUNCTION("IFERROR(
  TEXTJOIN("" | "", TRUE,
    UNIQUE(
      FILTER(
        Movimientos_Inventario!G:G,
        TRIM(CLEAN(Movimientos_Inventario!C:C)) = TRIM(CLEAN(A203)),
        Movimientos_Inventario!G:G &lt;&gt; """"
      )
    )
  ),
"""")"),"")</f>
        <v/>
      </c>
      <c r="I203" s="16" t="str">
        <f t="shared" si="0"/>
        <v>AGOTADO</v>
      </c>
    </row>
    <row r="204" spans="1:9" ht="12.5">
      <c r="A204" s="5" t="s">
        <v>23655</v>
      </c>
      <c r="B204" s="50" t="s">
        <v>23656</v>
      </c>
      <c r="C204" s="5" t="s">
        <v>23571</v>
      </c>
      <c r="D204" s="5" t="s">
        <v>23657</v>
      </c>
      <c r="E204" s="5" t="s">
        <v>23317</v>
      </c>
      <c r="F204" s="5" t="str">
        <f ca="1">IFERROR(__xludf.DUMMYFUNCTION("IFERROR(
  TEXTJOIN("" | "", TRUE,
    UNIQUE(
      FILTER(
        Movimientos_Inventario!G:G,
        TRIM(CLEAN(Movimientos_Inventario!C:C)) = TRIM(CLEAN(A204)),
        Movimientos_Inventario!G:G &lt;&gt; """"
      )
    )
  ),
"""")"),"")</f>
        <v/>
      </c>
      <c r="I204" s="16" t="str">
        <f t="shared" si="0"/>
        <v>AGOTADO</v>
      </c>
    </row>
    <row r="205" spans="1:9" ht="12.5">
      <c r="B205" s="50"/>
      <c r="G205" s="5"/>
      <c r="I205" s="16" t="str">
        <f t="shared" si="0"/>
        <v>AGOTADO</v>
      </c>
    </row>
    <row r="206" spans="1:9" ht="12.5">
      <c r="B206" s="50"/>
      <c r="F206" s="5" t="str">
        <f ca="1">IFERROR(__xludf.DUMMYFUNCTION("IFERROR(
  TEXTJOIN("" | "", TRUE,
    UNIQUE(
      FILTER(
        Movimientos_Inventario!G:G,
        TRIM(CLEAN(Movimientos_Inventario!C:C)) = TRIM(CLEAN(A206)),
        Movimientos_Inventario!G:G &lt;&gt; """"
      )
    )
  ),
"""")"),"")</f>
        <v/>
      </c>
      <c r="I206" s="16" t="str">
        <f t="shared" si="0"/>
        <v>AGOTADO</v>
      </c>
    </row>
    <row r="207" spans="1:9" ht="12.5">
      <c r="B207" s="50"/>
      <c r="F207" s="5" t="str">
        <f ca="1">IFERROR(__xludf.DUMMYFUNCTION("IFERROR(
  TEXTJOIN("" | "", TRUE,
    UNIQUE(
      FILTER(
        Movimientos_Inventario!G:G,
        TRIM(CLEAN(Movimientos_Inventario!C:C)) = TRIM(CLEAN(A207)),
        Movimientos_Inventario!G:G &lt;&gt; """"
      )
    )
  ),
"""")"),"")</f>
        <v/>
      </c>
      <c r="I207" s="16" t="str">
        <f t="shared" si="0"/>
        <v>AGOTADO</v>
      </c>
    </row>
    <row r="208" spans="1:9" ht="12.5">
      <c r="B208" s="50"/>
      <c r="F208" s="5" t="str">
        <f ca="1">IFERROR(__xludf.DUMMYFUNCTION("IFERROR(
  TEXTJOIN("" | "", TRUE,
    UNIQUE(
      FILTER(
        Movimientos_Inventario!G:G,
        TRIM(CLEAN(Movimientos_Inventario!C:C)) = TRIM(CLEAN(A208)),
        Movimientos_Inventario!G:G &lt;&gt; """"
      )
    )
  ),
"""")"),"")</f>
        <v/>
      </c>
      <c r="I208" s="16" t="str">
        <f t="shared" si="0"/>
        <v>AGOTADO</v>
      </c>
    </row>
    <row r="209" spans="2:9" ht="12.5">
      <c r="B209" s="50"/>
      <c r="F209" s="5" t="str">
        <f ca="1">IFERROR(__xludf.DUMMYFUNCTION("IFERROR(
  TEXTJOIN("" | "", TRUE,
    UNIQUE(
      FILTER(
        Movimientos_Inventario!G:G,
        TRIM(CLEAN(Movimientos_Inventario!C:C)) = TRIM(CLEAN(A209)),
        Movimientos_Inventario!G:G &lt;&gt; """"
      )
    )
  ),
"""")"),"")</f>
        <v/>
      </c>
      <c r="I209" s="16" t="str">
        <f t="shared" si="0"/>
        <v>AGOTADO</v>
      </c>
    </row>
    <row r="210" spans="2:9" ht="12.5">
      <c r="B210" s="50"/>
      <c r="F210" s="5" t="str">
        <f ca="1">IFERROR(__xludf.DUMMYFUNCTION("IFERROR(
  TEXTJOIN("" | "", TRUE,
    UNIQUE(
      FILTER(
        Movimientos_Inventario!G:G,
        TRIM(CLEAN(Movimientos_Inventario!C:C)) = TRIM(CLEAN(A210)),
        Movimientos_Inventario!G:G &lt;&gt; """"
      )
    )
  ),
"""")"),"")</f>
        <v/>
      </c>
      <c r="I210" s="16" t="str">
        <f t="shared" si="0"/>
        <v>AGOTADO</v>
      </c>
    </row>
    <row r="211" spans="2:9" ht="12.5">
      <c r="B211" s="50"/>
      <c r="F211" s="5" t="str">
        <f ca="1">IFERROR(__xludf.DUMMYFUNCTION("IFERROR(
  TEXTJOIN("" | "", TRUE,
    UNIQUE(
      FILTER(
        Movimientos_Inventario!G:G,
        TRIM(CLEAN(Movimientos_Inventario!C:C)) = TRIM(CLEAN(A211)),
        Movimientos_Inventario!G:G &lt;&gt; """"
      )
    )
  ),
"""")"),"")</f>
        <v/>
      </c>
      <c r="I211" s="16" t="str">
        <f t="shared" si="0"/>
        <v>AGOTADO</v>
      </c>
    </row>
    <row r="212" spans="2:9" ht="12.5">
      <c r="B212" s="50"/>
      <c r="F212" s="5" t="str">
        <f ca="1">IFERROR(__xludf.DUMMYFUNCTION("IFERROR(
  TEXTJOIN("" | "", TRUE,
    UNIQUE(
      FILTER(
        Movimientos_Inventario!G:G,
        TRIM(CLEAN(Movimientos_Inventario!C:C)) = TRIM(CLEAN(A212)),
        Movimientos_Inventario!G:G &lt;&gt; """"
      )
    )
  ),
"""")"),"")</f>
        <v/>
      </c>
      <c r="I212" s="16" t="str">
        <f t="shared" si="0"/>
        <v>AGOTADO</v>
      </c>
    </row>
    <row r="213" spans="2:9" ht="12.5">
      <c r="B213" s="50"/>
      <c r="F213" s="5" t="str">
        <f ca="1">IFERROR(__xludf.DUMMYFUNCTION("IFERROR(
  TEXTJOIN("" | "", TRUE,
    UNIQUE(
      FILTER(
        Movimientos_Inventario!G:G,
        TRIM(CLEAN(Movimientos_Inventario!C:C)) = TRIM(CLEAN(A213)),
        Movimientos_Inventario!G:G &lt;&gt; """"
      )
    )
  ),
"""")"),"")</f>
        <v/>
      </c>
      <c r="I213" s="16" t="str">
        <f t="shared" si="0"/>
        <v>AGOTADO</v>
      </c>
    </row>
    <row r="214" spans="2:9" ht="12.5">
      <c r="B214" s="50"/>
      <c r="F214" s="5" t="str">
        <f ca="1">IFERROR(__xludf.DUMMYFUNCTION("IFERROR(
  TEXTJOIN("" | "", TRUE,
    UNIQUE(
      FILTER(
        Movimientos_Inventario!G:G,
        TRIM(CLEAN(Movimientos_Inventario!C:C)) = TRIM(CLEAN(A214)),
        Movimientos_Inventario!G:G &lt;&gt; """"
      )
    )
  ),
"""")"),"")</f>
        <v/>
      </c>
      <c r="I214" s="16" t="str">
        <f t="shared" si="0"/>
        <v>AGOTADO</v>
      </c>
    </row>
    <row r="215" spans="2:9" ht="12.5">
      <c r="B215" s="50"/>
      <c r="F215" s="5" t="str">
        <f ca="1">IFERROR(__xludf.DUMMYFUNCTION("IFERROR(
  TEXTJOIN("" | "", TRUE,
    UNIQUE(
      FILTER(
        Movimientos_Inventario!G:G,
        TRIM(CLEAN(Movimientos_Inventario!C:C)) = TRIM(CLEAN(A215)),
        Movimientos_Inventario!G:G &lt;&gt; """"
      )
    )
  ),
"""")"),"")</f>
        <v/>
      </c>
      <c r="I215" s="16" t="str">
        <f t="shared" si="0"/>
        <v>AGOTADO</v>
      </c>
    </row>
    <row r="216" spans="2:9" ht="12.5">
      <c r="B216" s="50"/>
      <c r="F216" s="5" t="str">
        <f ca="1">IFERROR(__xludf.DUMMYFUNCTION("IFERROR(
  TEXTJOIN("" | "", TRUE,
    UNIQUE(
      FILTER(
        Movimientos_Inventario!G:G,
        TRIM(CLEAN(Movimientos_Inventario!C:C)) = TRIM(CLEAN(A216)),
        Movimientos_Inventario!G:G &lt;&gt; """"
      )
    )
  ),
"""")"),"")</f>
        <v/>
      </c>
      <c r="I216" s="16" t="str">
        <f t="shared" si="0"/>
        <v>AGOTADO</v>
      </c>
    </row>
    <row r="217" spans="2:9" ht="12.5">
      <c r="B217" s="50"/>
      <c r="F217" s="5" t="str">
        <f ca="1">IFERROR(__xludf.DUMMYFUNCTION("IFERROR(
  TEXTJOIN("" | "", TRUE,
    UNIQUE(
      FILTER(
        Movimientos_Inventario!G:G,
        TRIM(CLEAN(Movimientos_Inventario!C:C)) = TRIM(CLEAN(A217)),
        Movimientos_Inventario!G:G &lt;&gt; """"
      )
    )
  ),
"""")"),"")</f>
        <v/>
      </c>
      <c r="I217" s="16" t="str">
        <f t="shared" si="0"/>
        <v>AGOTADO</v>
      </c>
    </row>
    <row r="218" spans="2:9" ht="12.5">
      <c r="B218" s="50"/>
      <c r="F218" s="5" t="str">
        <f ca="1">IFERROR(__xludf.DUMMYFUNCTION("IFERROR(
  TEXTJOIN("" | "", TRUE,
    UNIQUE(
      FILTER(
        Movimientos_Inventario!G:G,
        TRIM(CLEAN(Movimientos_Inventario!C:C)) = TRIM(CLEAN(A218)),
        Movimientos_Inventario!G:G &lt;&gt; """"
      )
    )
  ),
"""")"),"")</f>
        <v/>
      </c>
      <c r="I218" s="16" t="str">
        <f t="shared" si="0"/>
        <v>AGOTADO</v>
      </c>
    </row>
    <row r="219" spans="2:9" ht="12.5">
      <c r="B219" s="50"/>
      <c r="F219" s="5" t="str">
        <f ca="1">IFERROR(__xludf.DUMMYFUNCTION("IFERROR(
  TEXTJOIN("" | "", TRUE,
    UNIQUE(
      FILTER(
        Movimientos_Inventario!G:G,
        TRIM(CLEAN(Movimientos_Inventario!C:C)) = TRIM(CLEAN(A219)),
        Movimientos_Inventario!G:G &lt;&gt; """"
      )
    )
  ),
"""")"),"")</f>
        <v/>
      </c>
      <c r="I219" s="16" t="str">
        <f t="shared" si="0"/>
        <v>AGOTADO</v>
      </c>
    </row>
    <row r="220" spans="2:9" ht="12.5">
      <c r="B220" s="50"/>
      <c r="F220" s="5" t="str">
        <f ca="1">IFERROR(__xludf.DUMMYFUNCTION("IFERROR(
  TEXTJOIN("" | "", TRUE,
    UNIQUE(
      FILTER(
        Movimientos_Inventario!G:G,
        TRIM(CLEAN(Movimientos_Inventario!C:C)) = TRIM(CLEAN(A220)),
        Movimientos_Inventario!G:G &lt;&gt; """"
      )
    )
  ),
"""")"),"")</f>
        <v/>
      </c>
      <c r="I220" s="16" t="str">
        <f t="shared" si="0"/>
        <v>AGOTADO</v>
      </c>
    </row>
    <row r="221" spans="2:9" ht="12.5">
      <c r="B221" s="50"/>
      <c r="F221" s="5" t="str">
        <f ca="1">IFERROR(__xludf.DUMMYFUNCTION("IFERROR(
  TEXTJOIN("" | "", TRUE,
    UNIQUE(
      FILTER(
        Movimientos_Inventario!G:G,
        TRIM(CLEAN(Movimientos_Inventario!C:C)) = TRIM(CLEAN(A221)),
        Movimientos_Inventario!G:G &lt;&gt; """"
      )
    )
  ),
"""")"),"")</f>
        <v/>
      </c>
      <c r="I221" s="16" t="str">
        <f t="shared" si="0"/>
        <v>AGOTADO</v>
      </c>
    </row>
    <row r="222" spans="2:9" ht="12.5">
      <c r="B222" s="50"/>
      <c r="F222" s="5" t="str">
        <f ca="1">IFERROR(__xludf.DUMMYFUNCTION("IFERROR(
  TEXTJOIN("" | "", TRUE,
    UNIQUE(
      FILTER(
        Movimientos_Inventario!G:G,
        TRIM(CLEAN(Movimientos_Inventario!C:C)) = TRIM(CLEAN(A222)),
        Movimientos_Inventario!G:G &lt;&gt; """"
      )
    )
  ),
"""")"),"")</f>
        <v/>
      </c>
      <c r="I222" s="16" t="str">
        <f t="shared" si="0"/>
        <v>AGOTADO</v>
      </c>
    </row>
    <row r="223" spans="2:9" ht="12.5">
      <c r="B223" s="50"/>
      <c r="F223" s="5" t="str">
        <f ca="1">IFERROR(__xludf.DUMMYFUNCTION("IFERROR(
  TEXTJOIN("" | "", TRUE,
    UNIQUE(
      FILTER(
        Movimientos_Inventario!G:G,
        TRIM(CLEAN(Movimientos_Inventario!C:C)) = TRIM(CLEAN(A223)),
        Movimientos_Inventario!G:G &lt;&gt; """"
      )
    )
  ),
"""")"),"")</f>
        <v/>
      </c>
      <c r="I223" s="16" t="str">
        <f t="shared" si="0"/>
        <v>AGOTADO</v>
      </c>
    </row>
    <row r="224" spans="2:9" ht="12.5">
      <c r="B224" s="50"/>
      <c r="F224" s="5" t="str">
        <f ca="1">IFERROR(__xludf.DUMMYFUNCTION("IFERROR(
  TEXTJOIN("" | "", TRUE,
    UNIQUE(
      FILTER(
        Movimientos_Inventario!G:G,
        TRIM(CLEAN(Movimientos_Inventario!C:C)) = TRIM(CLEAN(A224)),
        Movimientos_Inventario!G:G &lt;&gt; """"
      )
    )
  ),
"""")"),"")</f>
        <v/>
      </c>
      <c r="I224" s="16" t="str">
        <f t="shared" si="0"/>
        <v>AGOTADO</v>
      </c>
    </row>
    <row r="225" spans="2:9" ht="12.5">
      <c r="B225" s="50"/>
      <c r="F225" s="5" t="str">
        <f ca="1">IFERROR(__xludf.DUMMYFUNCTION("IFERROR(
  TEXTJOIN("" | "", TRUE,
    UNIQUE(
      FILTER(
        Movimientos_Inventario!G:G,
        TRIM(CLEAN(Movimientos_Inventario!C:C)) = TRIM(CLEAN(A225)),
        Movimientos_Inventario!G:G &lt;&gt; """"
      )
    )
  ),
"""")"),"")</f>
        <v/>
      </c>
      <c r="I225" s="16" t="str">
        <f t="shared" si="0"/>
        <v>AGOTADO</v>
      </c>
    </row>
    <row r="226" spans="2:9" ht="12.5">
      <c r="B226" s="50"/>
      <c r="F226" s="5" t="str">
        <f ca="1">IFERROR(__xludf.DUMMYFUNCTION("IFERROR(
  TEXTJOIN("" | "", TRUE,
    UNIQUE(
      FILTER(
        Movimientos_Inventario!G:G,
        TRIM(CLEAN(Movimientos_Inventario!C:C)) = TRIM(CLEAN(A226)),
        Movimientos_Inventario!G:G &lt;&gt; """"
      )
    )
  ),
"""")"),"")</f>
        <v/>
      </c>
      <c r="I226" s="16" t="str">
        <f t="shared" si="0"/>
        <v>AGOTADO</v>
      </c>
    </row>
    <row r="227" spans="2:9" ht="12.5">
      <c r="B227" s="50"/>
      <c r="F227" s="5" t="str">
        <f ca="1">IFERROR(__xludf.DUMMYFUNCTION("IFERROR(
  TEXTJOIN("" | "", TRUE,
    UNIQUE(
      FILTER(
        Movimientos_Inventario!G:G,
        TRIM(CLEAN(Movimientos_Inventario!C:C)) = TRIM(CLEAN(A227)),
        Movimientos_Inventario!G:G &lt;&gt; """"
      )
    )
  ),
"""")"),"")</f>
        <v/>
      </c>
      <c r="I227" s="16" t="str">
        <f t="shared" si="0"/>
        <v>AGOTADO</v>
      </c>
    </row>
    <row r="228" spans="2:9" ht="12.5">
      <c r="B228" s="50"/>
      <c r="F228" s="5" t="str">
        <f ca="1">IFERROR(__xludf.DUMMYFUNCTION("IFERROR(
  TEXTJOIN("" | "", TRUE,
    UNIQUE(
      FILTER(
        Movimientos_Inventario!G:G,
        TRIM(CLEAN(Movimientos_Inventario!C:C)) = TRIM(CLEAN(A228)),
        Movimientos_Inventario!G:G &lt;&gt; """"
      )
    )
  ),
"""")"),"")</f>
        <v/>
      </c>
      <c r="I228" s="16" t="str">
        <f t="shared" si="0"/>
        <v>AGOTADO</v>
      </c>
    </row>
    <row r="229" spans="2:9" ht="12.5">
      <c r="B229" s="50"/>
      <c r="F229" s="5" t="str">
        <f ca="1">IFERROR(__xludf.DUMMYFUNCTION("IFERROR(
  TEXTJOIN("" | "", TRUE,
    UNIQUE(
      FILTER(
        Movimientos_Inventario!G:G,
        TRIM(CLEAN(Movimientos_Inventario!C:C)) = TRIM(CLEAN(A229)),
        Movimientos_Inventario!G:G &lt;&gt; """"
      )
    )
  ),
"""")"),"")</f>
        <v/>
      </c>
      <c r="I229" s="16" t="str">
        <f t="shared" si="0"/>
        <v>AGOTADO</v>
      </c>
    </row>
    <row r="230" spans="2:9" ht="12.5">
      <c r="B230" s="50"/>
      <c r="F230" s="5" t="str">
        <f ca="1">IFERROR(__xludf.DUMMYFUNCTION("IFERROR(
  TEXTJOIN("" | "", TRUE,
    UNIQUE(
      FILTER(
        Movimientos_Inventario!G:G,
        TRIM(CLEAN(Movimientos_Inventario!C:C)) = TRIM(CLEAN(A230)),
        Movimientos_Inventario!G:G &lt;&gt; """"
      )
    )
  ),
"""")"),"")</f>
        <v/>
      </c>
      <c r="I230" s="16" t="str">
        <f t="shared" si="0"/>
        <v>AGOTADO</v>
      </c>
    </row>
    <row r="231" spans="2:9" ht="12.5">
      <c r="B231" s="50"/>
      <c r="F231" s="5" t="str">
        <f ca="1">IFERROR(__xludf.DUMMYFUNCTION("IFERROR(
  TEXTJOIN("" | "", TRUE,
    UNIQUE(
      FILTER(
        Movimientos_Inventario!G:G,
        TRIM(CLEAN(Movimientos_Inventario!C:C)) = TRIM(CLEAN(A231)),
        Movimientos_Inventario!G:G &lt;&gt; """"
      )
    )
  ),
"""")"),"")</f>
        <v/>
      </c>
      <c r="I231" s="16" t="str">
        <f t="shared" si="0"/>
        <v>AGOTADO</v>
      </c>
    </row>
    <row r="232" spans="2:9" ht="12.5">
      <c r="B232" s="50"/>
      <c r="F232" s="5" t="str">
        <f ca="1">IFERROR(__xludf.DUMMYFUNCTION("IFERROR(
  TEXTJOIN("" | "", TRUE,
    UNIQUE(
      FILTER(
        Movimientos_Inventario!G:G,
        TRIM(CLEAN(Movimientos_Inventario!C:C)) = TRIM(CLEAN(A232)),
        Movimientos_Inventario!G:G &lt;&gt; """"
      )
    )
  ),
"""")"),"")</f>
        <v/>
      </c>
    </row>
    <row r="233" spans="2:9" ht="12.5">
      <c r="B233" s="50"/>
      <c r="F233" s="5" t="str">
        <f ca="1">IFERROR(__xludf.DUMMYFUNCTION("IFERROR(
  TEXTJOIN("" | "", TRUE,
    UNIQUE(
      FILTER(
        Movimientos_Inventario!G:G,
        TRIM(CLEAN(Movimientos_Inventario!C:C)) = TRIM(CLEAN(A233)),
        Movimientos_Inventario!G:G &lt;&gt; """"
      )
    )
  ),
"""")"),"")</f>
        <v/>
      </c>
    </row>
    <row r="234" spans="2:9" ht="12.5">
      <c r="B234" s="50"/>
      <c r="F234" s="5" t="str">
        <f ca="1">IFERROR(__xludf.DUMMYFUNCTION("IFERROR(
  TEXTJOIN("" | "", TRUE,
    UNIQUE(
      FILTER(
        Movimientos_Inventario!G:G,
        TRIM(CLEAN(Movimientos_Inventario!C:C)) = TRIM(CLEAN(A234)),
        Movimientos_Inventario!G:G &lt;&gt; """"
      )
    )
  ),
"""")"),"")</f>
        <v/>
      </c>
    </row>
    <row r="235" spans="2:9" ht="12.5">
      <c r="B235" s="50"/>
      <c r="F235" s="5" t="str">
        <f ca="1">IFERROR(__xludf.DUMMYFUNCTION("IFERROR(
  TEXTJOIN("" | "", TRUE,
    UNIQUE(
      FILTER(
        Movimientos_Inventario!G:G,
        TRIM(CLEAN(Movimientos_Inventario!C:C)) = TRIM(CLEAN(A235)),
        Movimientos_Inventario!G:G &lt;&gt; """"
      )
    )
  ),
"""")"),"")</f>
        <v/>
      </c>
    </row>
    <row r="236" spans="2:9" ht="12.5">
      <c r="B236" s="50"/>
      <c r="F236" s="5" t="str">
        <f ca="1">IFERROR(__xludf.DUMMYFUNCTION("IFERROR(
  TEXTJOIN("" | "", TRUE,
    UNIQUE(
      FILTER(
        Movimientos_Inventario!G:G,
        TRIM(CLEAN(Movimientos_Inventario!C:C)) = TRIM(CLEAN(A236)),
        Movimientos_Inventario!G:G &lt;&gt; """"
      )
    )
  ),
"""")"),"")</f>
        <v/>
      </c>
    </row>
    <row r="237" spans="2:9" ht="12.5">
      <c r="B237" s="50"/>
      <c r="F237" s="5" t="str">
        <f ca="1">IFERROR(__xludf.DUMMYFUNCTION("IFERROR(
  TEXTJOIN("" | "", TRUE,
    UNIQUE(
      FILTER(
        Movimientos_Inventario!G:G,
        TRIM(CLEAN(Movimientos_Inventario!C:C)) = TRIM(CLEAN(A237)),
        Movimientos_Inventario!G:G &lt;&gt; """"
      )
    )
  ),
"""")"),"")</f>
        <v/>
      </c>
    </row>
    <row r="238" spans="2:9" ht="12.5">
      <c r="B238" s="50"/>
      <c r="F238" s="5" t="str">
        <f ca="1">IFERROR(__xludf.DUMMYFUNCTION("IFERROR(
  TEXTJOIN("" | "", TRUE,
    UNIQUE(
      FILTER(
        Movimientos_Inventario!G:G,
        TRIM(CLEAN(Movimientos_Inventario!C:C)) = TRIM(CLEAN(A238)),
        Movimientos_Inventario!G:G &lt;&gt; """"
      )
    )
  ),
"""")"),"")</f>
        <v/>
      </c>
    </row>
    <row r="239" spans="2:9" ht="12.5">
      <c r="B239" s="50"/>
      <c r="F239" s="5" t="str">
        <f ca="1">IFERROR(__xludf.DUMMYFUNCTION("IFERROR(
  TEXTJOIN("" | "", TRUE,
    UNIQUE(
      FILTER(
        Movimientos_Inventario!G:G,
        TRIM(CLEAN(Movimientos_Inventario!C:C)) = TRIM(CLEAN(A239)),
        Movimientos_Inventario!G:G &lt;&gt; """"
      )
    )
  ),
"""")"),"")</f>
        <v/>
      </c>
    </row>
    <row r="240" spans="2:9" ht="12.5">
      <c r="B240" s="50"/>
      <c r="F240" s="5" t="str">
        <f ca="1">IFERROR(__xludf.DUMMYFUNCTION("IFERROR(
  TEXTJOIN("" | "", TRUE,
    UNIQUE(
      FILTER(
        Movimientos_Inventario!G:G,
        TRIM(CLEAN(Movimientos_Inventario!C:C)) = TRIM(CLEAN(A240)),
        Movimientos_Inventario!G:G &lt;&gt; """"
      )
    )
  ),
"""")"),"")</f>
        <v/>
      </c>
    </row>
    <row r="241" spans="2:6" ht="12.5">
      <c r="B241" s="50"/>
      <c r="F241" s="5" t="str">
        <f ca="1">IFERROR(__xludf.DUMMYFUNCTION("IFERROR(
  TEXTJOIN("" | "", TRUE,
    UNIQUE(
      FILTER(
        Movimientos_Inventario!G:G,
        TRIM(CLEAN(Movimientos_Inventario!C:C)) = TRIM(CLEAN(A241)),
        Movimientos_Inventario!G:G &lt;&gt; """"
      )
    )
  ),
"""")"),"")</f>
        <v/>
      </c>
    </row>
    <row r="242" spans="2:6" ht="12.5">
      <c r="B242" s="50"/>
      <c r="F242" s="5" t="str">
        <f ca="1">IFERROR(__xludf.DUMMYFUNCTION("IFERROR(
  TEXTJOIN("" | "", TRUE,
    UNIQUE(
      FILTER(
        Movimientos_Inventario!G:G,
        TRIM(CLEAN(Movimientos_Inventario!C:C)) = TRIM(CLEAN(A242)),
        Movimientos_Inventario!G:G &lt;&gt; """"
      )
    )
  ),
"""")"),"")</f>
        <v/>
      </c>
    </row>
    <row r="243" spans="2:6" ht="12.5">
      <c r="B243" s="50"/>
      <c r="F243" s="5" t="str">
        <f ca="1">IFERROR(__xludf.DUMMYFUNCTION("IFERROR(
  TEXTJOIN("" | "", TRUE,
    UNIQUE(
      FILTER(
        Movimientos_Inventario!G:G,
        TRIM(CLEAN(Movimientos_Inventario!C:C)) = TRIM(CLEAN(A243)),
        Movimientos_Inventario!G:G &lt;&gt; """"
      )
    )
  ),
"""")"),"")</f>
        <v/>
      </c>
    </row>
    <row r="244" spans="2:6" ht="12.5">
      <c r="B244" s="50"/>
      <c r="F244" s="5" t="str">
        <f ca="1">IFERROR(__xludf.DUMMYFUNCTION("IFERROR(
  TEXTJOIN("" | "", TRUE,
    UNIQUE(
      FILTER(
        Movimientos_Inventario!G:G,
        TRIM(CLEAN(Movimientos_Inventario!C:C)) = TRIM(CLEAN(A244)),
        Movimientos_Inventario!G:G &lt;&gt; """"
      )
    )
  ),
"""")"),"")</f>
        <v/>
      </c>
    </row>
    <row r="245" spans="2:6" ht="12.5">
      <c r="B245" s="50"/>
      <c r="F245" s="5" t="str">
        <f ca="1">IFERROR(__xludf.DUMMYFUNCTION("IFERROR(
  TEXTJOIN("" | "", TRUE,
    UNIQUE(
      FILTER(
        Movimientos_Inventario!G:G,
        TRIM(CLEAN(Movimientos_Inventario!C:C)) = TRIM(CLEAN(A245)),
        Movimientos_Inventario!G:G &lt;&gt; """"
      )
    )
  ),
"""")"),"")</f>
        <v/>
      </c>
    </row>
    <row r="246" spans="2:6" ht="12.5">
      <c r="B246" s="50"/>
      <c r="F246" s="5" t="str">
        <f ca="1">IFERROR(__xludf.DUMMYFUNCTION("IFERROR(
  TEXTJOIN("" | "", TRUE,
    UNIQUE(
      FILTER(
        Movimientos_Inventario!G:G,
        TRIM(CLEAN(Movimientos_Inventario!C:C)) = TRIM(CLEAN(A246)),
        Movimientos_Inventario!G:G &lt;&gt; """"
      )
    )
  ),
"""")"),"")</f>
        <v/>
      </c>
    </row>
    <row r="247" spans="2:6" ht="12.5">
      <c r="B247" s="50"/>
      <c r="F247" s="5" t="str">
        <f ca="1">IFERROR(__xludf.DUMMYFUNCTION("IFERROR(
  TEXTJOIN("" | "", TRUE,
    UNIQUE(
      FILTER(
        Movimientos_Inventario!G:G,
        TRIM(CLEAN(Movimientos_Inventario!C:C)) = TRIM(CLEAN(A247)),
        Movimientos_Inventario!G:G &lt;&gt; """"
      )
    )
  ),
"""")"),"")</f>
        <v/>
      </c>
    </row>
    <row r="248" spans="2:6" ht="12.5">
      <c r="B248" s="50"/>
      <c r="F248" s="5" t="str">
        <f ca="1">IFERROR(__xludf.DUMMYFUNCTION("IFERROR(
  TEXTJOIN("" | "", TRUE,
    UNIQUE(
      FILTER(
        Movimientos_Inventario!G:G,
        TRIM(CLEAN(Movimientos_Inventario!C:C)) = TRIM(CLEAN(A248)),
        Movimientos_Inventario!G:G &lt;&gt; """"
      )
    )
  ),
"""")"),"")</f>
        <v/>
      </c>
    </row>
    <row r="249" spans="2:6" ht="12.5">
      <c r="B249" s="50"/>
      <c r="F249" s="5" t="str">
        <f ca="1">IFERROR(__xludf.DUMMYFUNCTION("IFERROR(
  TEXTJOIN("" | "", TRUE,
    UNIQUE(
      FILTER(
        Movimientos_Inventario!G:G,
        TRIM(CLEAN(Movimientos_Inventario!C:C)) = TRIM(CLEAN(A249)),
        Movimientos_Inventario!G:G &lt;&gt; """"
      )
    )
  ),
"""")"),"")</f>
        <v/>
      </c>
    </row>
    <row r="250" spans="2:6" ht="12.5">
      <c r="B250" s="50"/>
      <c r="F250" s="5" t="str">
        <f ca="1">IFERROR(__xludf.DUMMYFUNCTION("IFERROR(
  TEXTJOIN("" | "", TRUE,
    UNIQUE(
      FILTER(
        Movimientos_Inventario!G:G,
        TRIM(CLEAN(Movimientos_Inventario!C:C)) = TRIM(CLEAN(A250)),
        Movimientos_Inventario!G:G &lt;&gt; """"
      )
    )
  ),
"""")"),"")</f>
        <v/>
      </c>
    </row>
    <row r="251" spans="2:6" ht="12.5">
      <c r="B251" s="50"/>
      <c r="F251" s="5" t="str">
        <f ca="1">IFERROR(__xludf.DUMMYFUNCTION("IFERROR(
  TEXTJOIN("" | "", TRUE,
    UNIQUE(
      FILTER(
        Movimientos_Inventario!G:G,
        TRIM(CLEAN(Movimientos_Inventario!C:C)) = TRIM(CLEAN(A251)),
        Movimientos_Inventario!G:G &lt;&gt; """"
      )
    )
  ),
"""")"),"")</f>
        <v/>
      </c>
    </row>
    <row r="252" spans="2:6" ht="12.5">
      <c r="B252" s="50"/>
      <c r="F252" s="5" t="str">
        <f ca="1">IFERROR(__xludf.DUMMYFUNCTION("IFERROR(
  TEXTJOIN("" | "", TRUE,
    UNIQUE(
      FILTER(
        Movimientos_Inventario!G:G,
        TRIM(CLEAN(Movimientos_Inventario!C:C)) = TRIM(CLEAN(A252)),
        Movimientos_Inventario!G:G &lt;&gt; """"
      )
    )
  ),
"""")"),"")</f>
        <v/>
      </c>
    </row>
    <row r="253" spans="2:6" ht="12.5">
      <c r="B253" s="50"/>
      <c r="F253" s="5" t="str">
        <f ca="1">IFERROR(__xludf.DUMMYFUNCTION("IFERROR(
  TEXTJOIN("" | "", TRUE,
    UNIQUE(
      FILTER(
        Movimientos_Inventario!G:G,
        TRIM(CLEAN(Movimientos_Inventario!C:C)) = TRIM(CLEAN(A253)),
        Movimientos_Inventario!G:G &lt;&gt; """"
      )
    )
  ),
"""")"),"")</f>
        <v/>
      </c>
    </row>
    <row r="254" spans="2:6" ht="12.5">
      <c r="B254" s="50"/>
      <c r="F254" s="5" t="str">
        <f ca="1">IFERROR(__xludf.DUMMYFUNCTION("IFERROR(
  TEXTJOIN("" | "", TRUE,
    UNIQUE(
      FILTER(
        Movimientos_Inventario!G:G,
        TRIM(CLEAN(Movimientos_Inventario!C:C)) = TRIM(CLEAN(A254)),
        Movimientos_Inventario!G:G &lt;&gt; """"
      )
    )
  ),
"""")"),"")</f>
        <v/>
      </c>
    </row>
    <row r="255" spans="2:6" ht="12.5">
      <c r="B255" s="50"/>
      <c r="F255" s="5" t="str">
        <f ca="1">IFERROR(__xludf.DUMMYFUNCTION("IFERROR(
  TEXTJOIN("" | "", TRUE,
    UNIQUE(
      FILTER(
        Movimientos_Inventario!G:G,
        TRIM(CLEAN(Movimientos_Inventario!C:C)) = TRIM(CLEAN(A255)),
        Movimientos_Inventario!G:G &lt;&gt; """"
      )
    )
  ),
"""")"),"")</f>
        <v/>
      </c>
    </row>
    <row r="256" spans="2:6" ht="12.5">
      <c r="B256" s="50"/>
      <c r="F256" s="5" t="str">
        <f ca="1">IFERROR(__xludf.DUMMYFUNCTION("IFERROR(
  TEXTJOIN("" | "", TRUE,
    UNIQUE(
      FILTER(
        Movimientos_Inventario!G:G,
        TRIM(CLEAN(Movimientos_Inventario!C:C)) = TRIM(CLEAN(A256)),
        Movimientos_Inventario!G:G &lt;&gt; """"
      )
    )
  ),
"""")"),"")</f>
        <v/>
      </c>
    </row>
    <row r="257" spans="2:6" ht="12.5">
      <c r="B257" s="50"/>
      <c r="F257" s="5" t="str">
        <f ca="1">IFERROR(__xludf.DUMMYFUNCTION("IFERROR(
  TEXTJOIN("" | "", TRUE,
    UNIQUE(
      FILTER(
        Movimientos_Inventario!G:G,
        TRIM(CLEAN(Movimientos_Inventario!C:C)) = TRIM(CLEAN(A257)),
        Movimientos_Inventario!G:G &lt;&gt; """"
      )
    )
  ),
"""")"),"")</f>
        <v/>
      </c>
    </row>
    <row r="258" spans="2:6" ht="12.5">
      <c r="B258" s="50"/>
      <c r="F258" s="5" t="str">
        <f ca="1">IFERROR(__xludf.DUMMYFUNCTION("IFERROR(
  TEXTJOIN("" | "", TRUE,
    UNIQUE(
      FILTER(
        Movimientos_Inventario!G:G,
        TRIM(CLEAN(Movimientos_Inventario!C:C)) = TRIM(CLEAN(A258)),
        Movimientos_Inventario!G:G &lt;&gt; """"
      )
    )
  ),
"""")"),"")</f>
        <v/>
      </c>
    </row>
    <row r="259" spans="2:6" ht="12.5">
      <c r="B259" s="50"/>
      <c r="F259" s="5" t="str">
        <f ca="1">IFERROR(__xludf.DUMMYFUNCTION("IFERROR(
  TEXTJOIN("" | "", TRUE,
    UNIQUE(
      FILTER(
        Movimientos_Inventario!G:G,
        TRIM(CLEAN(Movimientos_Inventario!C:C)) = TRIM(CLEAN(A259)),
        Movimientos_Inventario!G:G &lt;&gt; """"
      )
    )
  ),
"""")"),"")</f>
        <v/>
      </c>
    </row>
    <row r="260" spans="2:6" ht="12.5">
      <c r="B260" s="50"/>
      <c r="F260" s="5" t="str">
        <f ca="1">IFERROR(__xludf.DUMMYFUNCTION("IFERROR(
  TEXTJOIN("" | "", TRUE,
    UNIQUE(
      FILTER(
        Movimientos_Inventario!G:G,
        TRIM(CLEAN(Movimientos_Inventario!C:C)) = TRIM(CLEAN(A260)),
        Movimientos_Inventario!G:G &lt;&gt; """"
      )
    )
  ),
"""")"),"")</f>
        <v/>
      </c>
    </row>
    <row r="261" spans="2:6" ht="12.5">
      <c r="B261" s="50"/>
      <c r="F261" s="5" t="str">
        <f ca="1">IFERROR(__xludf.DUMMYFUNCTION("IFERROR(
  TEXTJOIN("" | "", TRUE,
    UNIQUE(
      FILTER(
        Movimientos_Inventario!G:G,
        TRIM(CLEAN(Movimientos_Inventario!C:C)) = TRIM(CLEAN(A261)),
        Movimientos_Inventario!G:G &lt;&gt; """"
      )
    )
  ),
"""")"),"")</f>
        <v/>
      </c>
    </row>
    <row r="262" spans="2:6" ht="12.5">
      <c r="B262" s="50"/>
      <c r="F262" s="5" t="str">
        <f ca="1">IFERROR(__xludf.DUMMYFUNCTION("IFERROR(
  TEXTJOIN("" | "", TRUE,
    UNIQUE(
      FILTER(
        Movimientos_Inventario!G:G,
        TRIM(CLEAN(Movimientos_Inventario!C:C)) = TRIM(CLEAN(A262)),
        Movimientos_Inventario!G:G &lt;&gt; """"
      )
    )
  ),
"""")"),"")</f>
        <v/>
      </c>
    </row>
    <row r="263" spans="2:6" ht="12.5">
      <c r="B263" s="50"/>
      <c r="F263" s="5" t="str">
        <f ca="1">IFERROR(__xludf.DUMMYFUNCTION("IFERROR(
  TEXTJOIN("" | "", TRUE,
    UNIQUE(
      FILTER(
        Movimientos_Inventario!G:G,
        TRIM(CLEAN(Movimientos_Inventario!C:C)) = TRIM(CLEAN(A263)),
        Movimientos_Inventario!G:G &lt;&gt; """"
      )
    )
  ),
"""")"),"")</f>
        <v/>
      </c>
    </row>
    <row r="264" spans="2:6" ht="12.5">
      <c r="B264" s="50"/>
      <c r="F264" s="5" t="str">
        <f ca="1">IFERROR(__xludf.DUMMYFUNCTION("IFERROR(
  TEXTJOIN("" | "", TRUE,
    UNIQUE(
      FILTER(
        Movimientos_Inventario!G:G,
        TRIM(CLEAN(Movimientos_Inventario!C:C)) = TRIM(CLEAN(A264)),
        Movimientos_Inventario!G:G &lt;&gt; """"
      )
    )
  ),
"""")"),"")</f>
        <v/>
      </c>
    </row>
    <row r="265" spans="2:6" ht="12.5">
      <c r="B265" s="50"/>
      <c r="F265" s="5" t="str">
        <f ca="1">IFERROR(__xludf.DUMMYFUNCTION("IFERROR(
  TEXTJOIN("" | "", TRUE,
    UNIQUE(
      FILTER(
        Movimientos_Inventario!G:G,
        TRIM(CLEAN(Movimientos_Inventario!C:C)) = TRIM(CLEAN(A265)),
        Movimientos_Inventario!G:G &lt;&gt; """"
      )
    )
  ),
"""")"),"")</f>
        <v/>
      </c>
    </row>
    <row r="266" spans="2:6" ht="12.5">
      <c r="B266" s="50"/>
      <c r="F266" s="5" t="str">
        <f ca="1">IFERROR(__xludf.DUMMYFUNCTION("IFERROR(
  TEXTJOIN("" | "", TRUE,
    UNIQUE(
      FILTER(
        Movimientos_Inventario!G:G,
        TRIM(CLEAN(Movimientos_Inventario!C:C)) = TRIM(CLEAN(A266)),
        Movimientos_Inventario!G:G &lt;&gt; """"
      )
    )
  ),
"""")"),"")</f>
        <v/>
      </c>
    </row>
    <row r="267" spans="2:6" ht="12.5">
      <c r="B267" s="50"/>
      <c r="F267" s="5" t="str">
        <f ca="1">IFERROR(__xludf.DUMMYFUNCTION("IFERROR(
  TEXTJOIN("" | "", TRUE,
    UNIQUE(
      FILTER(
        Movimientos_Inventario!G:G,
        TRIM(CLEAN(Movimientos_Inventario!C:C)) = TRIM(CLEAN(A267)),
        Movimientos_Inventario!G:G &lt;&gt; """"
      )
    )
  ),
"""")"),"")</f>
        <v/>
      </c>
    </row>
    <row r="268" spans="2:6" ht="12.5">
      <c r="B268" s="50"/>
      <c r="F268" s="5" t="str">
        <f ca="1">IFERROR(__xludf.DUMMYFUNCTION("IFERROR(
  TEXTJOIN("" | "", TRUE,
    UNIQUE(
      FILTER(
        Movimientos_Inventario!G:G,
        TRIM(CLEAN(Movimientos_Inventario!C:C)) = TRIM(CLEAN(A268)),
        Movimientos_Inventario!G:G &lt;&gt; """"
      )
    )
  ),
"""")"),"")</f>
        <v/>
      </c>
    </row>
    <row r="269" spans="2:6" ht="12.5">
      <c r="B269" s="50"/>
      <c r="F269" s="5" t="str">
        <f ca="1">IFERROR(__xludf.DUMMYFUNCTION("IFERROR(
  TEXTJOIN("" | "", TRUE,
    UNIQUE(
      FILTER(
        Movimientos_Inventario!G:G,
        TRIM(CLEAN(Movimientos_Inventario!C:C)) = TRIM(CLEAN(A269)),
        Movimientos_Inventario!G:G &lt;&gt; """"
      )
    )
  ),
"""")"),"")</f>
        <v/>
      </c>
    </row>
    <row r="270" spans="2:6" ht="12.5">
      <c r="B270" s="50"/>
      <c r="F270" s="5" t="str">
        <f ca="1">IFERROR(__xludf.DUMMYFUNCTION("IFERROR(
  TEXTJOIN("" | "", TRUE,
    UNIQUE(
      FILTER(
        Movimientos_Inventario!G:G,
        TRIM(CLEAN(Movimientos_Inventario!C:C)) = TRIM(CLEAN(A270)),
        Movimientos_Inventario!G:G &lt;&gt; """"
      )
    )
  ),
"""")"),"")</f>
        <v/>
      </c>
    </row>
    <row r="271" spans="2:6" ht="12.5">
      <c r="B271" s="50"/>
      <c r="F271" s="5" t="str">
        <f ca="1">IFERROR(__xludf.DUMMYFUNCTION("IFERROR(
  TEXTJOIN("" | "", TRUE,
    UNIQUE(
      FILTER(
        Movimientos_Inventario!G:G,
        TRIM(CLEAN(Movimientos_Inventario!C:C)) = TRIM(CLEAN(A271)),
        Movimientos_Inventario!G:G &lt;&gt; """"
      )
    )
  ),
"""")"),"")</f>
        <v/>
      </c>
    </row>
    <row r="272" spans="2:6" ht="12.5">
      <c r="B272" s="50"/>
      <c r="F272" s="5" t="str">
        <f ca="1">IFERROR(__xludf.DUMMYFUNCTION("IFERROR(
  TEXTJOIN("" | "", TRUE,
    UNIQUE(
      FILTER(
        Movimientos_Inventario!G:G,
        TRIM(CLEAN(Movimientos_Inventario!C:C)) = TRIM(CLEAN(A272)),
        Movimientos_Inventario!G:G &lt;&gt; """"
      )
    )
  ),
"""")"),"")</f>
        <v/>
      </c>
    </row>
    <row r="273" spans="2:6" ht="12.5">
      <c r="B273" s="50"/>
      <c r="F273" s="5" t="str">
        <f ca="1">IFERROR(__xludf.DUMMYFUNCTION("IFERROR(
  TEXTJOIN("" | "", TRUE,
    UNIQUE(
      FILTER(
        Movimientos_Inventario!G:G,
        TRIM(CLEAN(Movimientos_Inventario!C:C)) = TRIM(CLEAN(A273)),
        Movimientos_Inventario!G:G &lt;&gt; """"
      )
    )
  ),
"""")"),"")</f>
        <v/>
      </c>
    </row>
    <row r="274" spans="2:6" ht="12.5">
      <c r="B274" s="50"/>
      <c r="F274" s="5" t="str">
        <f ca="1">IFERROR(__xludf.DUMMYFUNCTION("IFERROR(
  TEXTJOIN("" | "", TRUE,
    UNIQUE(
      FILTER(
        Movimientos_Inventario!G:G,
        TRIM(CLEAN(Movimientos_Inventario!C:C)) = TRIM(CLEAN(A274)),
        Movimientos_Inventario!G:G &lt;&gt; """"
      )
    )
  ),
"""")"),"")</f>
        <v/>
      </c>
    </row>
    <row r="275" spans="2:6" ht="12.5">
      <c r="B275" s="50"/>
      <c r="F275" s="5" t="str">
        <f ca="1">IFERROR(__xludf.DUMMYFUNCTION("IFERROR(
  TEXTJOIN("" | "", TRUE,
    UNIQUE(
      FILTER(
        Movimientos_Inventario!G:G,
        TRIM(CLEAN(Movimientos_Inventario!C:C)) = TRIM(CLEAN(A275)),
        Movimientos_Inventario!G:G &lt;&gt; """"
      )
    )
  ),
"""")"),"")</f>
        <v/>
      </c>
    </row>
    <row r="276" spans="2:6" ht="12.5">
      <c r="B276" s="50"/>
      <c r="F276" s="5" t="str">
        <f ca="1">IFERROR(__xludf.DUMMYFUNCTION("IFERROR(
  TEXTJOIN("" | "", TRUE,
    UNIQUE(
      FILTER(
        Movimientos_Inventario!G:G,
        TRIM(CLEAN(Movimientos_Inventario!C:C)) = TRIM(CLEAN(A276)),
        Movimientos_Inventario!G:G &lt;&gt; """"
      )
    )
  ),
"""")"),"")</f>
        <v/>
      </c>
    </row>
    <row r="277" spans="2:6" ht="12.5">
      <c r="B277" s="50"/>
      <c r="F277" s="5" t="str">
        <f ca="1">IFERROR(__xludf.DUMMYFUNCTION("IFERROR(
  TEXTJOIN("" | "", TRUE,
    UNIQUE(
      FILTER(
        Movimientos_Inventario!G:G,
        TRIM(CLEAN(Movimientos_Inventario!C:C)) = TRIM(CLEAN(A277)),
        Movimientos_Inventario!G:G &lt;&gt; """"
      )
    )
  ),
"""")"),"")</f>
        <v/>
      </c>
    </row>
    <row r="278" spans="2:6" ht="12.5">
      <c r="B278" s="50"/>
      <c r="F278" s="5" t="str">
        <f ca="1">IFERROR(__xludf.DUMMYFUNCTION("IFERROR(
  TEXTJOIN("" | "", TRUE,
    UNIQUE(
      FILTER(
        Movimientos_Inventario!G:G,
        TRIM(CLEAN(Movimientos_Inventario!C:C)) = TRIM(CLEAN(A278)),
        Movimientos_Inventario!G:G &lt;&gt; """"
      )
    )
  ),
"""")"),"")</f>
        <v/>
      </c>
    </row>
    <row r="279" spans="2:6" ht="12.5">
      <c r="B279" s="50"/>
      <c r="F279" s="5" t="str">
        <f ca="1">IFERROR(__xludf.DUMMYFUNCTION("IFERROR(
  TEXTJOIN("" | "", TRUE,
    UNIQUE(
      FILTER(
        Movimientos_Inventario!G:G,
        TRIM(CLEAN(Movimientos_Inventario!C:C)) = TRIM(CLEAN(A279)),
        Movimientos_Inventario!G:G &lt;&gt; """"
      )
    )
  ),
"""")"),"")</f>
        <v/>
      </c>
    </row>
    <row r="280" spans="2:6" ht="12.5">
      <c r="B280" s="50"/>
    </row>
    <row r="281" spans="2:6" ht="12.5">
      <c r="B281" s="50"/>
    </row>
    <row r="282" spans="2:6" ht="12.5">
      <c r="B282" s="50"/>
    </row>
    <row r="283" spans="2:6" ht="12.5">
      <c r="B283" s="50"/>
    </row>
    <row r="284" spans="2:6" ht="12.5">
      <c r="B284" s="50"/>
    </row>
    <row r="285" spans="2:6" ht="12.5">
      <c r="B285" s="50"/>
    </row>
    <row r="286" spans="2:6" ht="12.5">
      <c r="B286" s="50"/>
    </row>
    <row r="287" spans="2:6" ht="12.5">
      <c r="B287" s="50"/>
    </row>
    <row r="288" spans="2:6" ht="12.5">
      <c r="B288" s="50"/>
    </row>
    <row r="289" spans="2:2" ht="12.5">
      <c r="B289" s="50"/>
    </row>
    <row r="290" spans="2:2" ht="12.5">
      <c r="B290" s="50"/>
    </row>
    <row r="291" spans="2:2" ht="12.5">
      <c r="B291" s="50"/>
    </row>
    <row r="292" spans="2:2" ht="12.5">
      <c r="B292" s="50"/>
    </row>
    <row r="293" spans="2:2" ht="12.5">
      <c r="B293" s="50"/>
    </row>
    <row r="294" spans="2:2" ht="12.5">
      <c r="B294" s="50"/>
    </row>
    <row r="295" spans="2:2" ht="12.5">
      <c r="B295" s="50"/>
    </row>
    <row r="296" spans="2:2" ht="12.5">
      <c r="B296" s="50"/>
    </row>
    <row r="297" spans="2:2" ht="12.5">
      <c r="B297" s="50"/>
    </row>
    <row r="298" spans="2:2" ht="12.5">
      <c r="B298" s="50"/>
    </row>
    <row r="299" spans="2:2" ht="12.5">
      <c r="B299" s="50"/>
    </row>
    <row r="300" spans="2:2" ht="12.5">
      <c r="B300" s="50"/>
    </row>
    <row r="301" spans="2:2" ht="12.5">
      <c r="B301" s="50"/>
    </row>
    <row r="302" spans="2:2" ht="12.5">
      <c r="B302" s="50"/>
    </row>
    <row r="303" spans="2:2" ht="12.5">
      <c r="B303" s="50"/>
    </row>
    <row r="304" spans="2:2" ht="12.5">
      <c r="B304" s="50"/>
    </row>
    <row r="305" spans="2:2" ht="12.5">
      <c r="B305" s="50"/>
    </row>
    <row r="306" spans="2:2" ht="12.5">
      <c r="B306" s="50"/>
    </row>
    <row r="307" spans="2:2" ht="12.5">
      <c r="B307" s="50"/>
    </row>
    <row r="308" spans="2:2" ht="12.5">
      <c r="B308" s="50"/>
    </row>
    <row r="309" spans="2:2" ht="12.5">
      <c r="B309" s="50"/>
    </row>
    <row r="310" spans="2:2" ht="12.5">
      <c r="B310" s="50"/>
    </row>
    <row r="311" spans="2:2" ht="12.5">
      <c r="B311" s="50"/>
    </row>
    <row r="312" spans="2:2" ht="12.5">
      <c r="B312" s="50"/>
    </row>
    <row r="313" spans="2:2" ht="12.5">
      <c r="B313" s="50"/>
    </row>
    <row r="314" spans="2:2" ht="12.5">
      <c r="B314" s="50"/>
    </row>
    <row r="315" spans="2:2" ht="12.5">
      <c r="B315" s="50"/>
    </row>
    <row r="316" spans="2:2" ht="12.5">
      <c r="B316" s="50"/>
    </row>
    <row r="317" spans="2:2" ht="12.5">
      <c r="B317" s="50"/>
    </row>
    <row r="318" spans="2:2" ht="12.5">
      <c r="B318" s="50"/>
    </row>
    <row r="319" spans="2:2" ht="12.5">
      <c r="B319" s="50"/>
    </row>
    <row r="320" spans="2:2" ht="12.5">
      <c r="B320" s="50"/>
    </row>
    <row r="321" spans="2:2" ht="12.5">
      <c r="B321" s="50"/>
    </row>
    <row r="322" spans="2:2" ht="12.5">
      <c r="B322" s="50"/>
    </row>
    <row r="323" spans="2:2" ht="12.5">
      <c r="B323" s="50"/>
    </row>
    <row r="324" spans="2:2" ht="12.5">
      <c r="B324" s="50"/>
    </row>
    <row r="325" spans="2:2" ht="12.5">
      <c r="B325" s="50"/>
    </row>
    <row r="326" spans="2:2" ht="12.5">
      <c r="B326" s="50"/>
    </row>
    <row r="327" spans="2:2" ht="12.5">
      <c r="B327" s="50"/>
    </row>
    <row r="328" spans="2:2" ht="12.5">
      <c r="B328" s="50"/>
    </row>
    <row r="329" spans="2:2" ht="12.5">
      <c r="B329" s="50"/>
    </row>
    <row r="330" spans="2:2" ht="12.5">
      <c r="B330" s="50"/>
    </row>
    <row r="331" spans="2:2" ht="12.5">
      <c r="B331" s="50"/>
    </row>
    <row r="332" spans="2:2" ht="12.5">
      <c r="B332" s="50"/>
    </row>
    <row r="333" spans="2:2" ht="12.5">
      <c r="B333" s="50"/>
    </row>
    <row r="334" spans="2:2" ht="12.5">
      <c r="B334" s="50"/>
    </row>
    <row r="335" spans="2:2" ht="12.5">
      <c r="B335" s="50"/>
    </row>
    <row r="336" spans="2:2" ht="12.5">
      <c r="B336" s="50"/>
    </row>
    <row r="337" spans="2:2" ht="12.5">
      <c r="B337" s="50"/>
    </row>
    <row r="338" spans="2:2" ht="12.5">
      <c r="B338" s="50"/>
    </row>
    <row r="339" spans="2:2" ht="12.5">
      <c r="B339" s="50"/>
    </row>
    <row r="340" spans="2:2" ht="12.5">
      <c r="B340" s="50"/>
    </row>
    <row r="341" spans="2:2" ht="12.5">
      <c r="B341" s="50"/>
    </row>
    <row r="342" spans="2:2" ht="12.5">
      <c r="B342" s="50"/>
    </row>
    <row r="343" spans="2:2" ht="12.5">
      <c r="B343" s="50"/>
    </row>
    <row r="344" spans="2:2" ht="12.5">
      <c r="B344" s="50"/>
    </row>
    <row r="345" spans="2:2" ht="12.5">
      <c r="B345" s="50"/>
    </row>
    <row r="346" spans="2:2" ht="12.5">
      <c r="B346" s="50"/>
    </row>
    <row r="347" spans="2:2" ht="12.5">
      <c r="B347" s="50"/>
    </row>
    <row r="348" spans="2:2" ht="12.5">
      <c r="B348" s="50"/>
    </row>
    <row r="349" spans="2:2" ht="12.5">
      <c r="B349" s="50"/>
    </row>
    <row r="350" spans="2:2" ht="12.5">
      <c r="B350" s="50"/>
    </row>
    <row r="351" spans="2:2" ht="12.5">
      <c r="B351" s="50"/>
    </row>
    <row r="352" spans="2:2" ht="12.5">
      <c r="B352" s="50"/>
    </row>
    <row r="353" spans="2:2" ht="12.5">
      <c r="B353" s="50"/>
    </row>
    <row r="354" spans="2:2" ht="12.5">
      <c r="B354" s="50"/>
    </row>
    <row r="355" spans="2:2" ht="12.5">
      <c r="B355" s="50"/>
    </row>
    <row r="356" spans="2:2" ht="12.5">
      <c r="B356" s="50"/>
    </row>
    <row r="357" spans="2:2" ht="12.5">
      <c r="B357" s="50"/>
    </row>
    <row r="358" spans="2:2" ht="12.5">
      <c r="B358" s="50"/>
    </row>
    <row r="359" spans="2:2" ht="12.5">
      <c r="B359" s="50"/>
    </row>
    <row r="360" spans="2:2" ht="12.5">
      <c r="B360" s="50"/>
    </row>
    <row r="361" spans="2:2" ht="12.5">
      <c r="B361" s="50"/>
    </row>
    <row r="362" spans="2:2" ht="12.5">
      <c r="B362" s="50"/>
    </row>
    <row r="363" spans="2:2" ht="12.5">
      <c r="B363" s="50"/>
    </row>
    <row r="364" spans="2:2" ht="12.5">
      <c r="B364" s="50"/>
    </row>
    <row r="365" spans="2:2" ht="12.5">
      <c r="B365" s="50"/>
    </row>
    <row r="366" spans="2:2" ht="12.5">
      <c r="B366" s="50"/>
    </row>
    <row r="367" spans="2:2" ht="12.5">
      <c r="B367" s="50"/>
    </row>
    <row r="368" spans="2:2" ht="12.5">
      <c r="B368" s="50"/>
    </row>
    <row r="369" spans="2:2" ht="12.5">
      <c r="B369" s="50"/>
    </row>
    <row r="370" spans="2:2" ht="12.5">
      <c r="B370" s="50"/>
    </row>
    <row r="371" spans="2:2" ht="12.5">
      <c r="B371" s="50"/>
    </row>
    <row r="372" spans="2:2" ht="12.5">
      <c r="B372" s="50"/>
    </row>
    <row r="373" spans="2:2" ht="12.5">
      <c r="B373" s="50"/>
    </row>
    <row r="374" spans="2:2" ht="12.5">
      <c r="B374" s="50"/>
    </row>
    <row r="375" spans="2:2" ht="12.5">
      <c r="B375" s="50"/>
    </row>
    <row r="376" spans="2:2" ht="12.5">
      <c r="B376" s="50"/>
    </row>
    <row r="377" spans="2:2" ht="12.5">
      <c r="B377" s="50"/>
    </row>
    <row r="378" spans="2:2" ht="12.5">
      <c r="B378" s="50"/>
    </row>
    <row r="379" spans="2:2" ht="12.5">
      <c r="B379" s="50"/>
    </row>
    <row r="380" spans="2:2" ht="12.5">
      <c r="B380" s="50"/>
    </row>
    <row r="381" spans="2:2" ht="12.5">
      <c r="B381" s="50"/>
    </row>
    <row r="382" spans="2:2" ht="12.5">
      <c r="B382" s="50"/>
    </row>
    <row r="383" spans="2:2" ht="12.5">
      <c r="B383" s="50"/>
    </row>
    <row r="384" spans="2:2" ht="12.5">
      <c r="B384" s="50"/>
    </row>
    <row r="385" spans="2:2" ht="12.5">
      <c r="B385" s="50"/>
    </row>
    <row r="386" spans="2:2" ht="12.5">
      <c r="B386" s="50"/>
    </row>
    <row r="387" spans="2:2" ht="12.5">
      <c r="B387" s="50"/>
    </row>
    <row r="388" spans="2:2" ht="12.5">
      <c r="B388" s="50"/>
    </row>
    <row r="389" spans="2:2" ht="12.5">
      <c r="B389" s="50"/>
    </row>
    <row r="390" spans="2:2" ht="12.5">
      <c r="B390" s="50"/>
    </row>
    <row r="391" spans="2:2" ht="12.5">
      <c r="B391" s="50"/>
    </row>
    <row r="392" spans="2:2" ht="12.5">
      <c r="B392" s="50"/>
    </row>
    <row r="393" spans="2:2" ht="12.5">
      <c r="B393" s="50"/>
    </row>
    <row r="394" spans="2:2" ht="12.5">
      <c r="B394" s="50"/>
    </row>
    <row r="395" spans="2:2" ht="12.5">
      <c r="B395" s="50"/>
    </row>
    <row r="396" spans="2:2" ht="12.5">
      <c r="B396" s="50"/>
    </row>
    <row r="397" spans="2:2" ht="12.5">
      <c r="B397" s="50"/>
    </row>
    <row r="398" spans="2:2" ht="12.5">
      <c r="B398" s="50"/>
    </row>
    <row r="399" spans="2:2" ht="12.5">
      <c r="B399" s="50"/>
    </row>
    <row r="400" spans="2:2" ht="12.5">
      <c r="B400" s="50"/>
    </row>
    <row r="401" spans="2:2" ht="12.5">
      <c r="B401" s="50"/>
    </row>
    <row r="402" spans="2:2" ht="12.5">
      <c r="B402" s="50"/>
    </row>
    <row r="403" spans="2:2" ht="12.5">
      <c r="B403" s="50"/>
    </row>
    <row r="404" spans="2:2" ht="12.5">
      <c r="B404" s="50"/>
    </row>
    <row r="405" spans="2:2" ht="12.5">
      <c r="B405" s="50"/>
    </row>
    <row r="406" spans="2:2" ht="12.5">
      <c r="B406" s="50"/>
    </row>
    <row r="407" spans="2:2" ht="12.5">
      <c r="B407" s="50"/>
    </row>
    <row r="408" spans="2:2" ht="12.5">
      <c r="B408" s="50"/>
    </row>
    <row r="409" spans="2:2" ht="12.5">
      <c r="B409" s="50"/>
    </row>
    <row r="410" spans="2:2" ht="12.5">
      <c r="B410" s="50"/>
    </row>
    <row r="411" spans="2:2" ht="12.5">
      <c r="B411" s="50"/>
    </row>
    <row r="412" spans="2:2" ht="12.5">
      <c r="B412" s="50"/>
    </row>
    <row r="413" spans="2:2" ht="12.5">
      <c r="B413" s="50"/>
    </row>
    <row r="414" spans="2:2" ht="12.5">
      <c r="B414" s="50"/>
    </row>
    <row r="415" spans="2:2" ht="12.5">
      <c r="B415" s="50"/>
    </row>
    <row r="416" spans="2:2" ht="12.5">
      <c r="B416" s="50"/>
    </row>
    <row r="417" spans="2:2" ht="12.5">
      <c r="B417" s="50"/>
    </row>
    <row r="418" spans="2:2" ht="12.5">
      <c r="B418" s="50"/>
    </row>
    <row r="419" spans="2:2" ht="12.5">
      <c r="B419" s="50"/>
    </row>
    <row r="420" spans="2:2" ht="12.5">
      <c r="B420" s="50"/>
    </row>
    <row r="421" spans="2:2" ht="12.5">
      <c r="B421" s="50"/>
    </row>
    <row r="422" spans="2:2" ht="12.5">
      <c r="B422" s="50"/>
    </row>
    <row r="423" spans="2:2" ht="12.5">
      <c r="B423" s="50"/>
    </row>
    <row r="424" spans="2:2" ht="12.5">
      <c r="B424" s="50"/>
    </row>
    <row r="425" spans="2:2" ht="12.5">
      <c r="B425" s="50"/>
    </row>
    <row r="426" spans="2:2" ht="12.5">
      <c r="B426" s="50"/>
    </row>
    <row r="427" spans="2:2" ht="12.5">
      <c r="B427" s="50"/>
    </row>
    <row r="428" spans="2:2" ht="12.5">
      <c r="B428" s="50"/>
    </row>
    <row r="429" spans="2:2" ht="12.5">
      <c r="B429" s="50"/>
    </row>
    <row r="430" spans="2:2" ht="12.5">
      <c r="B430" s="50"/>
    </row>
    <row r="431" spans="2:2" ht="12.5">
      <c r="B431" s="50"/>
    </row>
    <row r="432" spans="2:2" ht="12.5">
      <c r="B432" s="50"/>
    </row>
    <row r="433" spans="2:2" ht="12.5">
      <c r="B433" s="50"/>
    </row>
    <row r="434" spans="2:2" ht="12.5">
      <c r="B434" s="50"/>
    </row>
    <row r="435" spans="2:2" ht="12.5">
      <c r="B435" s="50"/>
    </row>
    <row r="436" spans="2:2" ht="12.5">
      <c r="B436" s="50"/>
    </row>
    <row r="437" spans="2:2" ht="12.5">
      <c r="B437" s="50"/>
    </row>
    <row r="438" spans="2:2" ht="12.5">
      <c r="B438" s="50"/>
    </row>
    <row r="439" spans="2:2" ht="12.5">
      <c r="B439" s="50"/>
    </row>
    <row r="440" spans="2:2" ht="12.5">
      <c r="B440" s="50"/>
    </row>
    <row r="441" spans="2:2" ht="12.5">
      <c r="B441" s="50"/>
    </row>
    <row r="442" spans="2:2" ht="12.5">
      <c r="B442" s="50"/>
    </row>
    <row r="443" spans="2:2" ht="12.5">
      <c r="B443" s="50"/>
    </row>
    <row r="444" spans="2:2" ht="12.5">
      <c r="B444" s="50"/>
    </row>
    <row r="445" spans="2:2" ht="12.5">
      <c r="B445" s="50"/>
    </row>
    <row r="446" spans="2:2" ht="12.5">
      <c r="B446" s="50"/>
    </row>
    <row r="447" spans="2:2" ht="12.5">
      <c r="B447" s="50"/>
    </row>
    <row r="448" spans="2:2" ht="12.5">
      <c r="B448" s="50"/>
    </row>
    <row r="449" spans="2:2" ht="12.5">
      <c r="B449" s="50"/>
    </row>
    <row r="450" spans="2:2" ht="12.5">
      <c r="B450" s="50"/>
    </row>
    <row r="451" spans="2:2" ht="12.5">
      <c r="B451" s="50"/>
    </row>
    <row r="452" spans="2:2" ht="12.5">
      <c r="B452" s="50"/>
    </row>
    <row r="453" spans="2:2" ht="12.5">
      <c r="B453" s="50"/>
    </row>
    <row r="454" spans="2:2" ht="12.5">
      <c r="B454" s="50"/>
    </row>
    <row r="455" spans="2:2" ht="12.5">
      <c r="B455" s="50"/>
    </row>
    <row r="456" spans="2:2" ht="12.5">
      <c r="B456" s="50"/>
    </row>
    <row r="457" spans="2:2" ht="12.5">
      <c r="B457" s="50"/>
    </row>
    <row r="458" spans="2:2" ht="12.5">
      <c r="B458" s="50"/>
    </row>
    <row r="459" spans="2:2" ht="12.5">
      <c r="B459" s="50"/>
    </row>
    <row r="460" spans="2:2" ht="12.5">
      <c r="B460" s="50"/>
    </row>
    <row r="461" spans="2:2" ht="12.5">
      <c r="B461" s="50"/>
    </row>
    <row r="462" spans="2:2" ht="12.5">
      <c r="B462" s="50"/>
    </row>
    <row r="463" spans="2:2" ht="12.5">
      <c r="B463" s="50"/>
    </row>
    <row r="464" spans="2:2" ht="12.5">
      <c r="B464" s="50"/>
    </row>
    <row r="465" spans="2:2" ht="12.5">
      <c r="B465" s="50"/>
    </row>
    <row r="466" spans="2:2" ht="12.5">
      <c r="B466" s="50"/>
    </row>
    <row r="467" spans="2:2" ht="12.5">
      <c r="B467" s="50"/>
    </row>
    <row r="468" spans="2:2" ht="12.5">
      <c r="B468" s="50"/>
    </row>
    <row r="469" spans="2:2" ht="12.5">
      <c r="B469" s="50"/>
    </row>
    <row r="470" spans="2:2" ht="12.5">
      <c r="B470" s="50"/>
    </row>
    <row r="471" spans="2:2" ht="12.5">
      <c r="B471" s="50"/>
    </row>
    <row r="472" spans="2:2" ht="12.5">
      <c r="B472" s="50"/>
    </row>
    <row r="473" spans="2:2" ht="12.5">
      <c r="B473" s="50"/>
    </row>
    <row r="474" spans="2:2" ht="12.5">
      <c r="B474" s="50"/>
    </row>
    <row r="475" spans="2:2" ht="12.5">
      <c r="B475" s="50"/>
    </row>
    <row r="476" spans="2:2" ht="12.5">
      <c r="B476" s="50"/>
    </row>
    <row r="477" spans="2:2" ht="12.5">
      <c r="B477" s="50"/>
    </row>
    <row r="478" spans="2:2" ht="12.5">
      <c r="B478" s="50"/>
    </row>
    <row r="479" spans="2:2" ht="12.5">
      <c r="B479" s="50"/>
    </row>
    <row r="480" spans="2:2" ht="12.5">
      <c r="B480" s="50"/>
    </row>
    <row r="481" spans="2:2" ht="12.5">
      <c r="B481" s="50"/>
    </row>
    <row r="482" spans="2:2" ht="12.5">
      <c r="B482" s="50"/>
    </row>
    <row r="483" spans="2:2" ht="12.5">
      <c r="B483" s="50"/>
    </row>
    <row r="484" spans="2:2" ht="12.5">
      <c r="B484" s="50"/>
    </row>
    <row r="485" spans="2:2" ht="12.5">
      <c r="B485" s="50"/>
    </row>
    <row r="486" spans="2:2" ht="12.5">
      <c r="B486" s="50"/>
    </row>
    <row r="487" spans="2:2" ht="12.5">
      <c r="B487" s="50"/>
    </row>
    <row r="488" spans="2:2" ht="12.5">
      <c r="B488" s="50"/>
    </row>
    <row r="489" spans="2:2" ht="12.5">
      <c r="B489" s="50"/>
    </row>
    <row r="490" spans="2:2" ht="12.5">
      <c r="B490" s="50"/>
    </row>
    <row r="491" spans="2:2" ht="12.5">
      <c r="B491" s="50"/>
    </row>
    <row r="492" spans="2:2" ht="12.5">
      <c r="B492" s="50"/>
    </row>
    <row r="493" spans="2:2" ht="12.5">
      <c r="B493" s="50"/>
    </row>
    <row r="494" spans="2:2" ht="12.5">
      <c r="B494" s="50"/>
    </row>
    <row r="495" spans="2:2" ht="12.5">
      <c r="B495" s="50"/>
    </row>
    <row r="496" spans="2:2" ht="12.5">
      <c r="B496" s="50"/>
    </row>
    <row r="497" spans="2:2" ht="12.5">
      <c r="B497" s="50"/>
    </row>
    <row r="498" spans="2:2" ht="12.5">
      <c r="B498" s="50"/>
    </row>
    <row r="499" spans="2:2" ht="12.5">
      <c r="B499" s="50"/>
    </row>
    <row r="500" spans="2:2" ht="12.5">
      <c r="B500" s="50"/>
    </row>
    <row r="501" spans="2:2" ht="12.5">
      <c r="B501" s="50"/>
    </row>
    <row r="502" spans="2:2" ht="12.5">
      <c r="B502" s="50"/>
    </row>
    <row r="503" spans="2:2" ht="12.5">
      <c r="B503" s="50"/>
    </row>
    <row r="504" spans="2:2" ht="12.5">
      <c r="B504" s="50"/>
    </row>
    <row r="505" spans="2:2" ht="12.5">
      <c r="B505" s="50"/>
    </row>
    <row r="506" spans="2:2" ht="12.5">
      <c r="B506" s="50"/>
    </row>
    <row r="507" spans="2:2" ht="12.5">
      <c r="B507" s="50"/>
    </row>
    <row r="508" spans="2:2" ht="12.5">
      <c r="B508" s="50"/>
    </row>
    <row r="509" spans="2:2" ht="12.5">
      <c r="B509" s="50"/>
    </row>
    <row r="510" spans="2:2" ht="12.5">
      <c r="B510" s="50"/>
    </row>
    <row r="511" spans="2:2" ht="12.5">
      <c r="B511" s="50"/>
    </row>
    <row r="512" spans="2:2" ht="12.5">
      <c r="B512" s="50"/>
    </row>
    <row r="513" spans="2:2" ht="12.5">
      <c r="B513" s="50"/>
    </row>
    <row r="514" spans="2:2" ht="12.5">
      <c r="B514" s="50"/>
    </row>
    <row r="515" spans="2:2" ht="12.5">
      <c r="B515" s="50"/>
    </row>
    <row r="516" spans="2:2" ht="12.5">
      <c r="B516" s="50"/>
    </row>
    <row r="517" spans="2:2" ht="12.5">
      <c r="B517" s="50"/>
    </row>
    <row r="518" spans="2:2" ht="12.5">
      <c r="B518" s="50"/>
    </row>
    <row r="519" spans="2:2" ht="12.5">
      <c r="B519" s="50"/>
    </row>
    <row r="520" spans="2:2" ht="12.5">
      <c r="B520" s="50"/>
    </row>
    <row r="521" spans="2:2" ht="12.5">
      <c r="B521" s="50"/>
    </row>
    <row r="522" spans="2:2" ht="12.5">
      <c r="B522" s="50"/>
    </row>
    <row r="523" spans="2:2" ht="12.5">
      <c r="B523" s="50"/>
    </row>
    <row r="524" spans="2:2" ht="12.5">
      <c r="B524" s="50"/>
    </row>
    <row r="525" spans="2:2" ht="12.5">
      <c r="B525" s="50"/>
    </row>
    <row r="526" spans="2:2" ht="12.5">
      <c r="B526" s="50"/>
    </row>
    <row r="527" spans="2:2" ht="12.5">
      <c r="B527" s="50"/>
    </row>
    <row r="528" spans="2:2" ht="12.5">
      <c r="B528" s="50"/>
    </row>
    <row r="529" spans="2:2" ht="12.5">
      <c r="B529" s="50"/>
    </row>
    <row r="530" spans="2:2" ht="12.5">
      <c r="B530" s="50"/>
    </row>
    <row r="531" spans="2:2" ht="12.5">
      <c r="B531" s="50"/>
    </row>
    <row r="532" spans="2:2" ht="12.5">
      <c r="B532" s="50"/>
    </row>
    <row r="533" spans="2:2" ht="12.5">
      <c r="B533" s="50"/>
    </row>
    <row r="534" spans="2:2" ht="12.5">
      <c r="B534" s="50"/>
    </row>
    <row r="535" spans="2:2" ht="12.5">
      <c r="B535" s="50"/>
    </row>
    <row r="536" spans="2:2" ht="12.5">
      <c r="B536" s="50"/>
    </row>
    <row r="537" spans="2:2" ht="12.5">
      <c r="B537" s="50"/>
    </row>
    <row r="538" spans="2:2" ht="12.5">
      <c r="B538" s="50"/>
    </row>
    <row r="539" spans="2:2" ht="12.5">
      <c r="B539" s="50"/>
    </row>
    <row r="540" spans="2:2" ht="12.5">
      <c r="B540" s="50"/>
    </row>
    <row r="541" spans="2:2" ht="12.5">
      <c r="B541" s="50"/>
    </row>
    <row r="542" spans="2:2" ht="12.5">
      <c r="B542" s="50"/>
    </row>
    <row r="543" spans="2:2" ht="12.5">
      <c r="B543" s="50"/>
    </row>
    <row r="544" spans="2:2" ht="12.5">
      <c r="B544" s="50"/>
    </row>
    <row r="545" spans="2:2" ht="12.5">
      <c r="B545" s="50"/>
    </row>
    <row r="546" spans="2:2" ht="12.5">
      <c r="B546" s="50"/>
    </row>
    <row r="547" spans="2:2" ht="12.5">
      <c r="B547" s="50"/>
    </row>
    <row r="548" spans="2:2" ht="12.5">
      <c r="B548" s="50"/>
    </row>
    <row r="549" spans="2:2" ht="12.5">
      <c r="B549" s="50"/>
    </row>
    <row r="550" spans="2:2" ht="12.5">
      <c r="B550" s="50"/>
    </row>
    <row r="551" spans="2:2" ht="12.5">
      <c r="B551" s="50"/>
    </row>
    <row r="552" spans="2:2" ht="12.5">
      <c r="B552" s="50"/>
    </row>
    <row r="553" spans="2:2" ht="12.5">
      <c r="B553" s="50"/>
    </row>
    <row r="554" spans="2:2" ht="12.5">
      <c r="B554" s="50"/>
    </row>
    <row r="555" spans="2:2" ht="12.5">
      <c r="B555" s="50"/>
    </row>
    <row r="556" spans="2:2" ht="12.5">
      <c r="B556" s="50"/>
    </row>
    <row r="557" spans="2:2" ht="12.5">
      <c r="B557" s="50"/>
    </row>
    <row r="558" spans="2:2" ht="12.5">
      <c r="B558" s="50"/>
    </row>
    <row r="559" spans="2:2" ht="12.5">
      <c r="B559" s="50"/>
    </row>
    <row r="560" spans="2:2" ht="12.5">
      <c r="B560" s="50"/>
    </row>
    <row r="561" spans="2:2" ht="12.5">
      <c r="B561" s="50"/>
    </row>
    <row r="562" spans="2:2" ht="12.5">
      <c r="B562" s="50"/>
    </row>
    <row r="563" spans="2:2" ht="12.5">
      <c r="B563" s="50"/>
    </row>
    <row r="564" spans="2:2" ht="12.5">
      <c r="B564" s="50"/>
    </row>
    <row r="565" spans="2:2" ht="12.5">
      <c r="B565" s="50"/>
    </row>
    <row r="566" spans="2:2" ht="12.5">
      <c r="B566" s="50"/>
    </row>
    <row r="567" spans="2:2" ht="12.5">
      <c r="B567" s="50"/>
    </row>
    <row r="568" spans="2:2" ht="12.5">
      <c r="B568" s="50"/>
    </row>
    <row r="569" spans="2:2" ht="12.5">
      <c r="B569" s="50"/>
    </row>
    <row r="570" spans="2:2" ht="12.5">
      <c r="B570" s="50"/>
    </row>
    <row r="571" spans="2:2" ht="12.5">
      <c r="B571" s="50"/>
    </row>
    <row r="572" spans="2:2" ht="12.5">
      <c r="B572" s="50"/>
    </row>
    <row r="573" spans="2:2" ht="12.5">
      <c r="B573" s="50"/>
    </row>
    <row r="574" spans="2:2" ht="12.5">
      <c r="B574" s="50"/>
    </row>
    <row r="575" spans="2:2" ht="12.5">
      <c r="B575" s="50"/>
    </row>
    <row r="576" spans="2:2" ht="12.5">
      <c r="B576" s="50"/>
    </row>
    <row r="577" spans="2:2" ht="12.5">
      <c r="B577" s="50"/>
    </row>
    <row r="578" spans="2:2" ht="12.5">
      <c r="B578" s="50"/>
    </row>
    <row r="579" spans="2:2" ht="12.5">
      <c r="B579" s="50"/>
    </row>
    <row r="580" spans="2:2" ht="12.5">
      <c r="B580" s="50"/>
    </row>
    <row r="581" spans="2:2" ht="12.5">
      <c r="B581" s="50"/>
    </row>
    <row r="582" spans="2:2" ht="12.5">
      <c r="B582" s="50"/>
    </row>
    <row r="583" spans="2:2" ht="12.5">
      <c r="B583" s="50"/>
    </row>
    <row r="584" spans="2:2" ht="12.5">
      <c r="B584" s="50"/>
    </row>
    <row r="585" spans="2:2" ht="12.5">
      <c r="B585" s="50"/>
    </row>
    <row r="586" spans="2:2" ht="12.5">
      <c r="B586" s="50"/>
    </row>
    <row r="587" spans="2:2" ht="12.5">
      <c r="B587" s="50"/>
    </row>
    <row r="588" spans="2:2" ht="12.5">
      <c r="B588" s="50"/>
    </row>
    <row r="589" spans="2:2" ht="12.5">
      <c r="B589" s="50"/>
    </row>
    <row r="590" spans="2:2" ht="12.5">
      <c r="B590" s="50"/>
    </row>
    <row r="591" spans="2:2" ht="12.5">
      <c r="B591" s="50"/>
    </row>
    <row r="592" spans="2:2" ht="12.5">
      <c r="B592" s="50"/>
    </row>
    <row r="593" spans="2:2" ht="12.5">
      <c r="B593" s="50"/>
    </row>
    <row r="594" spans="2:2" ht="12.5">
      <c r="B594" s="50"/>
    </row>
    <row r="595" spans="2:2" ht="12.5">
      <c r="B595" s="50"/>
    </row>
    <row r="596" spans="2:2" ht="12.5">
      <c r="B596" s="50"/>
    </row>
    <row r="597" spans="2:2" ht="12.5">
      <c r="B597" s="50"/>
    </row>
    <row r="598" spans="2:2" ht="12.5">
      <c r="B598" s="50"/>
    </row>
    <row r="599" spans="2:2" ht="12.5">
      <c r="B599" s="50"/>
    </row>
    <row r="600" spans="2:2" ht="12.5">
      <c r="B600" s="50"/>
    </row>
    <row r="601" spans="2:2" ht="12.5">
      <c r="B601" s="50"/>
    </row>
    <row r="602" spans="2:2" ht="12.5">
      <c r="B602" s="50"/>
    </row>
    <row r="603" spans="2:2" ht="12.5">
      <c r="B603" s="50"/>
    </row>
    <row r="604" spans="2:2" ht="12.5">
      <c r="B604" s="50"/>
    </row>
    <row r="605" spans="2:2" ht="12.5">
      <c r="B605" s="50"/>
    </row>
    <row r="606" spans="2:2" ht="12.5">
      <c r="B606" s="50"/>
    </row>
    <row r="607" spans="2:2" ht="12.5">
      <c r="B607" s="50"/>
    </row>
    <row r="608" spans="2:2" ht="12.5">
      <c r="B608" s="50"/>
    </row>
    <row r="609" spans="2:2" ht="12.5">
      <c r="B609" s="50"/>
    </row>
    <row r="610" spans="2:2" ht="12.5">
      <c r="B610" s="50"/>
    </row>
    <row r="611" spans="2:2" ht="12.5">
      <c r="B611" s="50"/>
    </row>
    <row r="612" spans="2:2" ht="12.5">
      <c r="B612" s="50"/>
    </row>
    <row r="613" spans="2:2" ht="12.5">
      <c r="B613" s="50"/>
    </row>
    <row r="614" spans="2:2" ht="12.5">
      <c r="B614" s="50"/>
    </row>
    <row r="615" spans="2:2" ht="12.5">
      <c r="B615" s="50"/>
    </row>
    <row r="616" spans="2:2" ht="12.5">
      <c r="B616" s="50"/>
    </row>
    <row r="617" spans="2:2" ht="12.5">
      <c r="B617" s="50"/>
    </row>
    <row r="618" spans="2:2" ht="12.5">
      <c r="B618" s="50"/>
    </row>
    <row r="619" spans="2:2" ht="12.5">
      <c r="B619" s="50"/>
    </row>
    <row r="620" spans="2:2" ht="12.5">
      <c r="B620" s="50"/>
    </row>
    <row r="621" spans="2:2" ht="12.5">
      <c r="B621" s="50"/>
    </row>
    <row r="622" spans="2:2" ht="12.5">
      <c r="B622" s="50"/>
    </row>
    <row r="623" spans="2:2" ht="12.5">
      <c r="B623" s="50"/>
    </row>
    <row r="624" spans="2:2" ht="12.5">
      <c r="B624" s="50"/>
    </row>
    <row r="625" spans="2:2" ht="12.5">
      <c r="B625" s="50"/>
    </row>
    <row r="626" spans="2:2" ht="12.5">
      <c r="B626" s="50"/>
    </row>
    <row r="627" spans="2:2" ht="12.5">
      <c r="B627" s="50"/>
    </row>
    <row r="628" spans="2:2" ht="12.5">
      <c r="B628" s="50"/>
    </row>
    <row r="629" spans="2:2" ht="12.5">
      <c r="B629" s="50"/>
    </row>
    <row r="630" spans="2:2" ht="12.5">
      <c r="B630" s="50"/>
    </row>
    <row r="631" spans="2:2" ht="12.5">
      <c r="B631" s="50"/>
    </row>
    <row r="632" spans="2:2" ht="12.5">
      <c r="B632" s="50"/>
    </row>
    <row r="633" spans="2:2" ht="12.5">
      <c r="B633" s="50"/>
    </row>
    <row r="634" spans="2:2" ht="12.5">
      <c r="B634" s="50"/>
    </row>
    <row r="635" spans="2:2" ht="12.5">
      <c r="B635" s="50"/>
    </row>
    <row r="636" spans="2:2" ht="12.5">
      <c r="B636" s="50"/>
    </row>
    <row r="637" spans="2:2" ht="12.5">
      <c r="B637" s="50"/>
    </row>
    <row r="638" spans="2:2" ht="12.5">
      <c r="B638" s="50"/>
    </row>
    <row r="639" spans="2:2" ht="12.5">
      <c r="B639" s="50"/>
    </row>
    <row r="640" spans="2:2" ht="12.5">
      <c r="B640" s="50"/>
    </row>
    <row r="641" spans="2:2" ht="12.5">
      <c r="B641" s="50"/>
    </row>
    <row r="642" spans="2:2" ht="12.5">
      <c r="B642" s="50"/>
    </row>
    <row r="643" spans="2:2" ht="12.5">
      <c r="B643" s="50"/>
    </row>
    <row r="644" spans="2:2" ht="12.5">
      <c r="B644" s="50"/>
    </row>
    <row r="645" spans="2:2" ht="12.5">
      <c r="B645" s="50"/>
    </row>
    <row r="646" spans="2:2" ht="12.5">
      <c r="B646" s="50"/>
    </row>
    <row r="647" spans="2:2" ht="12.5">
      <c r="B647" s="50"/>
    </row>
    <row r="648" spans="2:2" ht="12.5">
      <c r="B648" s="50"/>
    </row>
    <row r="649" spans="2:2" ht="12.5">
      <c r="B649" s="50"/>
    </row>
    <row r="650" spans="2:2" ht="12.5">
      <c r="B650" s="50"/>
    </row>
    <row r="651" spans="2:2" ht="12.5">
      <c r="B651" s="50"/>
    </row>
    <row r="652" spans="2:2" ht="12.5">
      <c r="B652" s="50"/>
    </row>
    <row r="653" spans="2:2" ht="12.5">
      <c r="B653" s="50"/>
    </row>
    <row r="654" spans="2:2" ht="12.5">
      <c r="B654" s="50"/>
    </row>
    <row r="655" spans="2:2" ht="12.5">
      <c r="B655" s="50"/>
    </row>
    <row r="656" spans="2:2" ht="12.5">
      <c r="B656" s="50"/>
    </row>
    <row r="657" spans="2:2" ht="12.5">
      <c r="B657" s="50"/>
    </row>
    <row r="658" spans="2:2" ht="12.5">
      <c r="B658" s="50"/>
    </row>
    <row r="659" spans="2:2" ht="12.5">
      <c r="B659" s="50"/>
    </row>
    <row r="660" spans="2:2" ht="12.5">
      <c r="B660" s="50"/>
    </row>
    <row r="661" spans="2:2" ht="12.5">
      <c r="B661" s="50"/>
    </row>
    <row r="662" spans="2:2" ht="12.5">
      <c r="B662" s="50"/>
    </row>
    <row r="663" spans="2:2" ht="12.5">
      <c r="B663" s="50"/>
    </row>
    <row r="664" spans="2:2" ht="12.5">
      <c r="B664" s="50"/>
    </row>
    <row r="665" spans="2:2" ht="12.5">
      <c r="B665" s="50"/>
    </row>
    <row r="666" spans="2:2" ht="12.5">
      <c r="B666" s="50"/>
    </row>
    <row r="667" spans="2:2" ht="12.5">
      <c r="B667" s="50"/>
    </row>
    <row r="668" spans="2:2" ht="12.5">
      <c r="B668" s="50"/>
    </row>
    <row r="669" spans="2:2" ht="12.5">
      <c r="B669" s="50"/>
    </row>
    <row r="670" spans="2:2" ht="12.5">
      <c r="B670" s="50"/>
    </row>
    <row r="671" spans="2:2" ht="12.5">
      <c r="B671" s="50"/>
    </row>
    <row r="672" spans="2:2" ht="12.5">
      <c r="B672" s="50"/>
    </row>
    <row r="673" spans="2:2" ht="12.5">
      <c r="B673" s="50"/>
    </row>
    <row r="674" spans="2:2" ht="12.5">
      <c r="B674" s="50"/>
    </row>
    <row r="675" spans="2:2" ht="12.5">
      <c r="B675" s="50"/>
    </row>
    <row r="676" spans="2:2" ht="12.5">
      <c r="B676" s="50"/>
    </row>
    <row r="677" spans="2:2" ht="12.5">
      <c r="B677" s="50"/>
    </row>
    <row r="678" spans="2:2" ht="12.5">
      <c r="B678" s="50"/>
    </row>
    <row r="679" spans="2:2" ht="12.5">
      <c r="B679" s="50"/>
    </row>
    <row r="680" spans="2:2" ht="12.5">
      <c r="B680" s="50"/>
    </row>
    <row r="681" spans="2:2" ht="12.5">
      <c r="B681" s="50"/>
    </row>
    <row r="682" spans="2:2" ht="12.5">
      <c r="B682" s="50"/>
    </row>
    <row r="683" spans="2:2" ht="12.5">
      <c r="B683" s="50"/>
    </row>
    <row r="684" spans="2:2" ht="12.5">
      <c r="B684" s="50"/>
    </row>
    <row r="685" spans="2:2" ht="12.5">
      <c r="B685" s="50"/>
    </row>
    <row r="686" spans="2:2" ht="12.5">
      <c r="B686" s="50"/>
    </row>
    <row r="687" spans="2:2" ht="12.5">
      <c r="B687" s="50"/>
    </row>
    <row r="688" spans="2:2" ht="12.5">
      <c r="B688" s="50"/>
    </row>
    <row r="689" spans="2:2" ht="12.5">
      <c r="B689" s="50"/>
    </row>
    <row r="690" spans="2:2" ht="12.5">
      <c r="B690" s="50"/>
    </row>
    <row r="691" spans="2:2" ht="12.5">
      <c r="B691" s="50"/>
    </row>
    <row r="692" spans="2:2" ht="12.5">
      <c r="B692" s="50"/>
    </row>
    <row r="693" spans="2:2" ht="12.5">
      <c r="B693" s="50"/>
    </row>
    <row r="694" spans="2:2" ht="12.5">
      <c r="B694" s="50"/>
    </row>
    <row r="695" spans="2:2" ht="12.5">
      <c r="B695" s="50"/>
    </row>
    <row r="696" spans="2:2" ht="12.5">
      <c r="B696" s="50"/>
    </row>
    <row r="697" spans="2:2" ht="12.5">
      <c r="B697" s="50"/>
    </row>
    <row r="698" spans="2:2" ht="12.5">
      <c r="B698" s="50"/>
    </row>
    <row r="699" spans="2:2" ht="12.5">
      <c r="B699" s="50"/>
    </row>
    <row r="700" spans="2:2" ht="12.5">
      <c r="B700" s="50"/>
    </row>
    <row r="701" spans="2:2" ht="12.5">
      <c r="B701" s="50"/>
    </row>
    <row r="702" spans="2:2" ht="12.5">
      <c r="B702" s="50"/>
    </row>
    <row r="703" spans="2:2" ht="12.5">
      <c r="B703" s="50"/>
    </row>
    <row r="704" spans="2:2" ht="12.5">
      <c r="B704" s="50"/>
    </row>
    <row r="705" spans="2:2" ht="12.5">
      <c r="B705" s="50"/>
    </row>
    <row r="706" spans="2:2" ht="12.5">
      <c r="B706" s="50"/>
    </row>
    <row r="707" spans="2:2" ht="12.5">
      <c r="B707" s="50"/>
    </row>
    <row r="708" spans="2:2" ht="12.5">
      <c r="B708" s="50"/>
    </row>
    <row r="709" spans="2:2" ht="12.5">
      <c r="B709" s="50"/>
    </row>
    <row r="710" spans="2:2" ht="12.5">
      <c r="B710" s="50"/>
    </row>
    <row r="711" spans="2:2" ht="12.5">
      <c r="B711" s="50"/>
    </row>
    <row r="712" spans="2:2" ht="12.5">
      <c r="B712" s="50"/>
    </row>
    <row r="713" spans="2:2" ht="12.5">
      <c r="B713" s="50"/>
    </row>
    <row r="714" spans="2:2" ht="12.5">
      <c r="B714" s="50"/>
    </row>
    <row r="715" spans="2:2" ht="12.5">
      <c r="B715" s="50"/>
    </row>
    <row r="716" spans="2:2" ht="12.5">
      <c r="B716" s="50"/>
    </row>
    <row r="717" spans="2:2" ht="12.5">
      <c r="B717" s="50"/>
    </row>
    <row r="718" spans="2:2" ht="12.5">
      <c r="B718" s="50"/>
    </row>
    <row r="719" spans="2:2" ht="12.5">
      <c r="B719" s="50"/>
    </row>
    <row r="720" spans="2:2" ht="12.5">
      <c r="B720" s="50"/>
    </row>
    <row r="721" spans="2:2" ht="12.5">
      <c r="B721" s="50"/>
    </row>
    <row r="722" spans="2:2" ht="12.5">
      <c r="B722" s="50"/>
    </row>
    <row r="723" spans="2:2" ht="12.5">
      <c r="B723" s="50"/>
    </row>
    <row r="724" spans="2:2" ht="12.5">
      <c r="B724" s="50"/>
    </row>
    <row r="725" spans="2:2" ht="12.5">
      <c r="B725" s="50"/>
    </row>
    <row r="726" spans="2:2" ht="12.5">
      <c r="B726" s="50"/>
    </row>
    <row r="727" spans="2:2" ht="12.5">
      <c r="B727" s="50"/>
    </row>
    <row r="728" spans="2:2" ht="12.5">
      <c r="B728" s="50"/>
    </row>
    <row r="729" spans="2:2" ht="12.5">
      <c r="B729" s="50"/>
    </row>
    <row r="730" spans="2:2" ht="12.5">
      <c r="B730" s="50"/>
    </row>
    <row r="731" spans="2:2" ht="12.5">
      <c r="B731" s="50"/>
    </row>
    <row r="732" spans="2:2" ht="12.5">
      <c r="B732" s="50"/>
    </row>
    <row r="733" spans="2:2" ht="12.5">
      <c r="B733" s="50"/>
    </row>
    <row r="734" spans="2:2" ht="12.5">
      <c r="B734" s="50"/>
    </row>
    <row r="735" spans="2:2" ht="12.5">
      <c r="B735" s="50"/>
    </row>
    <row r="736" spans="2:2" ht="12.5">
      <c r="B736" s="50"/>
    </row>
    <row r="737" spans="2:2" ht="12.5">
      <c r="B737" s="50"/>
    </row>
    <row r="738" spans="2:2" ht="12.5">
      <c r="B738" s="50"/>
    </row>
    <row r="739" spans="2:2" ht="12.5">
      <c r="B739" s="50"/>
    </row>
    <row r="740" spans="2:2" ht="12.5">
      <c r="B740" s="50"/>
    </row>
    <row r="741" spans="2:2" ht="12.5">
      <c r="B741" s="50"/>
    </row>
    <row r="742" spans="2:2" ht="12.5">
      <c r="B742" s="50"/>
    </row>
    <row r="743" spans="2:2" ht="12.5">
      <c r="B743" s="50"/>
    </row>
    <row r="744" spans="2:2" ht="12.5">
      <c r="B744" s="50"/>
    </row>
    <row r="745" spans="2:2" ht="12.5">
      <c r="B745" s="50"/>
    </row>
    <row r="746" spans="2:2" ht="12.5">
      <c r="B746" s="50"/>
    </row>
    <row r="747" spans="2:2" ht="12.5">
      <c r="B747" s="50"/>
    </row>
    <row r="748" spans="2:2" ht="12.5">
      <c r="B748" s="50"/>
    </row>
    <row r="749" spans="2:2" ht="12.5">
      <c r="B749" s="50"/>
    </row>
    <row r="750" spans="2:2" ht="12.5">
      <c r="B750" s="50"/>
    </row>
    <row r="751" spans="2:2" ht="12.5">
      <c r="B751" s="50"/>
    </row>
    <row r="752" spans="2:2" ht="12.5">
      <c r="B752" s="50"/>
    </row>
    <row r="753" spans="2:2" ht="12.5">
      <c r="B753" s="50"/>
    </row>
    <row r="754" spans="2:2" ht="12.5">
      <c r="B754" s="50"/>
    </row>
    <row r="755" spans="2:2" ht="12.5">
      <c r="B755" s="50"/>
    </row>
    <row r="756" spans="2:2" ht="12.5">
      <c r="B756" s="50"/>
    </row>
    <row r="757" spans="2:2" ht="12.5">
      <c r="B757" s="50"/>
    </row>
    <row r="758" spans="2:2" ht="12.5">
      <c r="B758" s="50"/>
    </row>
    <row r="759" spans="2:2" ht="12.5">
      <c r="B759" s="50"/>
    </row>
    <row r="760" spans="2:2" ht="12.5">
      <c r="B760" s="50"/>
    </row>
    <row r="761" spans="2:2" ht="12.5">
      <c r="B761" s="50"/>
    </row>
    <row r="762" spans="2:2" ht="12.5">
      <c r="B762" s="50"/>
    </row>
    <row r="763" spans="2:2" ht="12.5">
      <c r="B763" s="50"/>
    </row>
    <row r="764" spans="2:2" ht="12.5">
      <c r="B764" s="50"/>
    </row>
    <row r="765" spans="2:2" ht="12.5">
      <c r="B765" s="50"/>
    </row>
    <row r="766" spans="2:2" ht="12.5">
      <c r="B766" s="50"/>
    </row>
    <row r="767" spans="2:2" ht="12.5">
      <c r="B767" s="50"/>
    </row>
    <row r="768" spans="2:2" ht="12.5">
      <c r="B768" s="50"/>
    </row>
    <row r="769" spans="2:2" ht="12.5">
      <c r="B769" s="50"/>
    </row>
    <row r="770" spans="2:2" ht="12.5">
      <c r="B770" s="50"/>
    </row>
    <row r="771" spans="2:2" ht="12.5">
      <c r="B771" s="50"/>
    </row>
    <row r="772" spans="2:2" ht="12.5">
      <c r="B772" s="50"/>
    </row>
    <row r="773" spans="2:2" ht="12.5">
      <c r="B773" s="50"/>
    </row>
    <row r="774" spans="2:2" ht="12.5">
      <c r="B774" s="50"/>
    </row>
    <row r="775" spans="2:2" ht="12.5">
      <c r="B775" s="50"/>
    </row>
    <row r="776" spans="2:2" ht="12.5">
      <c r="B776" s="50"/>
    </row>
    <row r="777" spans="2:2" ht="12.5">
      <c r="B777" s="50"/>
    </row>
    <row r="778" spans="2:2" ht="12.5">
      <c r="B778" s="50"/>
    </row>
    <row r="779" spans="2:2" ht="12.5">
      <c r="B779" s="50"/>
    </row>
    <row r="780" spans="2:2" ht="12.5">
      <c r="B780" s="50"/>
    </row>
    <row r="781" spans="2:2" ht="12.5">
      <c r="B781" s="50"/>
    </row>
    <row r="782" spans="2:2" ht="12.5">
      <c r="B782" s="50"/>
    </row>
    <row r="783" spans="2:2" ht="12.5">
      <c r="B783" s="50"/>
    </row>
    <row r="784" spans="2:2" ht="12.5">
      <c r="B784" s="50"/>
    </row>
    <row r="785" spans="2:2" ht="12.5">
      <c r="B785" s="50"/>
    </row>
    <row r="786" spans="2:2" ht="12.5">
      <c r="B786" s="50"/>
    </row>
    <row r="787" spans="2:2" ht="12.5">
      <c r="B787" s="50"/>
    </row>
    <row r="788" spans="2:2" ht="12.5">
      <c r="B788" s="50"/>
    </row>
    <row r="789" spans="2:2" ht="12.5">
      <c r="B789" s="50"/>
    </row>
    <row r="790" spans="2:2" ht="12.5">
      <c r="B790" s="50"/>
    </row>
    <row r="791" spans="2:2" ht="12.5">
      <c r="B791" s="50"/>
    </row>
    <row r="792" spans="2:2" ht="12.5">
      <c r="B792" s="50"/>
    </row>
    <row r="793" spans="2:2" ht="12.5">
      <c r="B793" s="50"/>
    </row>
    <row r="794" spans="2:2" ht="12.5">
      <c r="B794" s="50"/>
    </row>
    <row r="795" spans="2:2" ht="12.5">
      <c r="B795" s="50"/>
    </row>
    <row r="796" spans="2:2" ht="12.5">
      <c r="B796" s="50"/>
    </row>
    <row r="797" spans="2:2" ht="12.5">
      <c r="B797" s="50"/>
    </row>
    <row r="798" spans="2:2" ht="12.5">
      <c r="B798" s="50"/>
    </row>
    <row r="799" spans="2:2" ht="12.5">
      <c r="B799" s="50"/>
    </row>
    <row r="800" spans="2:2" ht="12.5">
      <c r="B800" s="50"/>
    </row>
    <row r="801" spans="2:2" ht="12.5">
      <c r="B801" s="50"/>
    </row>
    <row r="802" spans="2:2" ht="12.5">
      <c r="B802" s="50"/>
    </row>
    <row r="803" spans="2:2" ht="12.5">
      <c r="B803" s="50"/>
    </row>
    <row r="804" spans="2:2" ht="12.5">
      <c r="B804" s="50"/>
    </row>
    <row r="805" spans="2:2" ht="12.5">
      <c r="B805" s="50"/>
    </row>
    <row r="806" spans="2:2" ht="12.5">
      <c r="B806" s="50"/>
    </row>
    <row r="807" spans="2:2" ht="12.5">
      <c r="B807" s="50"/>
    </row>
    <row r="808" spans="2:2" ht="12.5">
      <c r="B808" s="50"/>
    </row>
    <row r="809" spans="2:2" ht="12.5">
      <c r="B809" s="50"/>
    </row>
    <row r="810" spans="2:2" ht="12.5">
      <c r="B810" s="50"/>
    </row>
    <row r="811" spans="2:2" ht="12.5">
      <c r="B811" s="50"/>
    </row>
    <row r="812" spans="2:2" ht="12.5">
      <c r="B812" s="50"/>
    </row>
    <row r="813" spans="2:2" ht="12.5">
      <c r="B813" s="50"/>
    </row>
    <row r="814" spans="2:2" ht="12.5">
      <c r="B814" s="50"/>
    </row>
    <row r="815" spans="2:2" ht="12.5">
      <c r="B815" s="50"/>
    </row>
    <row r="816" spans="2:2" ht="12.5">
      <c r="B816" s="50"/>
    </row>
    <row r="817" spans="2:2" ht="12.5">
      <c r="B817" s="50"/>
    </row>
    <row r="818" spans="2:2" ht="12.5">
      <c r="B818" s="50"/>
    </row>
    <row r="819" spans="2:2" ht="12.5">
      <c r="B819" s="50"/>
    </row>
    <row r="820" spans="2:2" ht="12.5">
      <c r="B820" s="50"/>
    </row>
    <row r="821" spans="2:2" ht="12.5">
      <c r="B821" s="50"/>
    </row>
    <row r="822" spans="2:2" ht="12.5">
      <c r="B822" s="50"/>
    </row>
    <row r="823" spans="2:2" ht="12.5">
      <c r="B823" s="50"/>
    </row>
    <row r="824" spans="2:2" ht="12.5">
      <c r="B824" s="50"/>
    </row>
    <row r="825" spans="2:2" ht="12.5">
      <c r="B825" s="50"/>
    </row>
    <row r="826" spans="2:2" ht="12.5">
      <c r="B826" s="50"/>
    </row>
    <row r="827" spans="2:2" ht="12.5">
      <c r="B827" s="50"/>
    </row>
    <row r="828" spans="2:2" ht="12.5">
      <c r="B828" s="50"/>
    </row>
    <row r="829" spans="2:2" ht="12.5">
      <c r="B829" s="50"/>
    </row>
    <row r="830" spans="2:2" ht="12.5">
      <c r="B830" s="50"/>
    </row>
    <row r="831" spans="2:2" ht="12.5">
      <c r="B831" s="50"/>
    </row>
    <row r="832" spans="2:2" ht="12.5">
      <c r="B832" s="50"/>
    </row>
    <row r="833" spans="2:2" ht="12.5">
      <c r="B833" s="50"/>
    </row>
    <row r="834" spans="2:2" ht="12.5">
      <c r="B834" s="50"/>
    </row>
    <row r="835" spans="2:2" ht="12.5">
      <c r="B835" s="50"/>
    </row>
    <row r="836" spans="2:2" ht="12.5">
      <c r="B836" s="50"/>
    </row>
    <row r="837" spans="2:2" ht="12.5">
      <c r="B837" s="50"/>
    </row>
    <row r="838" spans="2:2" ht="12.5">
      <c r="B838" s="50"/>
    </row>
    <row r="839" spans="2:2" ht="12.5">
      <c r="B839" s="50"/>
    </row>
    <row r="840" spans="2:2" ht="12.5">
      <c r="B840" s="50"/>
    </row>
    <row r="841" spans="2:2" ht="12.5">
      <c r="B841" s="50"/>
    </row>
    <row r="842" spans="2:2" ht="12.5">
      <c r="B842" s="50"/>
    </row>
    <row r="843" spans="2:2" ht="12.5">
      <c r="B843" s="50"/>
    </row>
    <row r="844" spans="2:2" ht="12.5">
      <c r="B844" s="50"/>
    </row>
    <row r="845" spans="2:2" ht="12.5">
      <c r="B845" s="50"/>
    </row>
    <row r="846" spans="2:2" ht="12.5">
      <c r="B846" s="50"/>
    </row>
    <row r="847" spans="2:2" ht="12.5">
      <c r="B847" s="50"/>
    </row>
    <row r="848" spans="2:2" ht="12.5">
      <c r="B848" s="50"/>
    </row>
    <row r="849" spans="2:2" ht="12.5">
      <c r="B849" s="50"/>
    </row>
    <row r="850" spans="2:2" ht="12.5">
      <c r="B850" s="50"/>
    </row>
    <row r="851" spans="2:2" ht="12.5">
      <c r="B851" s="50"/>
    </row>
    <row r="852" spans="2:2" ht="12.5">
      <c r="B852" s="50"/>
    </row>
    <row r="853" spans="2:2" ht="12.5">
      <c r="B853" s="50"/>
    </row>
    <row r="854" spans="2:2" ht="12.5">
      <c r="B854" s="50"/>
    </row>
    <row r="855" spans="2:2" ht="12.5">
      <c r="B855" s="50"/>
    </row>
    <row r="856" spans="2:2" ht="12.5">
      <c r="B856" s="50"/>
    </row>
    <row r="857" spans="2:2" ht="12.5">
      <c r="B857" s="50"/>
    </row>
    <row r="858" spans="2:2" ht="12.5">
      <c r="B858" s="50"/>
    </row>
    <row r="859" spans="2:2" ht="12.5">
      <c r="B859" s="50"/>
    </row>
    <row r="860" spans="2:2" ht="12.5">
      <c r="B860" s="50"/>
    </row>
    <row r="861" spans="2:2" ht="12.5">
      <c r="B861" s="50"/>
    </row>
    <row r="862" spans="2:2" ht="12.5">
      <c r="B862" s="50"/>
    </row>
    <row r="863" spans="2:2" ht="12.5">
      <c r="B863" s="50"/>
    </row>
    <row r="864" spans="2:2" ht="12.5">
      <c r="B864" s="50"/>
    </row>
    <row r="865" spans="2:2" ht="12.5">
      <c r="B865" s="50"/>
    </row>
    <row r="866" spans="2:2" ht="12.5">
      <c r="B866" s="50"/>
    </row>
    <row r="867" spans="2:2" ht="12.5">
      <c r="B867" s="50"/>
    </row>
    <row r="868" spans="2:2" ht="12.5">
      <c r="B868" s="50"/>
    </row>
    <row r="869" spans="2:2" ht="12.5">
      <c r="B869" s="50"/>
    </row>
    <row r="870" spans="2:2" ht="12.5">
      <c r="B870" s="50"/>
    </row>
    <row r="871" spans="2:2" ht="12.5">
      <c r="B871" s="50"/>
    </row>
    <row r="872" spans="2:2" ht="12.5">
      <c r="B872" s="50"/>
    </row>
    <row r="873" spans="2:2" ht="12.5">
      <c r="B873" s="50"/>
    </row>
    <row r="874" spans="2:2" ht="12.5">
      <c r="B874" s="50"/>
    </row>
    <row r="875" spans="2:2" ht="12.5">
      <c r="B875" s="50"/>
    </row>
    <row r="876" spans="2:2" ht="12.5">
      <c r="B876" s="50"/>
    </row>
    <row r="877" spans="2:2" ht="12.5">
      <c r="B877" s="50"/>
    </row>
    <row r="878" spans="2:2" ht="12.5">
      <c r="B878" s="50"/>
    </row>
    <row r="879" spans="2:2" ht="12.5">
      <c r="B879" s="50"/>
    </row>
    <row r="880" spans="2:2" ht="12.5">
      <c r="B880" s="50"/>
    </row>
    <row r="881" spans="2:2" ht="12.5">
      <c r="B881" s="50"/>
    </row>
    <row r="882" spans="2:2" ht="12.5">
      <c r="B882" s="50"/>
    </row>
    <row r="883" spans="2:2" ht="12.5">
      <c r="B883" s="50"/>
    </row>
    <row r="884" spans="2:2" ht="12.5">
      <c r="B884" s="50"/>
    </row>
    <row r="885" spans="2:2" ht="12.5">
      <c r="B885" s="50"/>
    </row>
    <row r="886" spans="2:2" ht="12.5">
      <c r="B886" s="50"/>
    </row>
    <row r="887" spans="2:2" ht="12.5">
      <c r="B887" s="50"/>
    </row>
    <row r="888" spans="2:2" ht="12.5">
      <c r="B888" s="50"/>
    </row>
    <row r="889" spans="2:2" ht="12.5">
      <c r="B889" s="50"/>
    </row>
    <row r="890" spans="2:2" ht="12.5">
      <c r="B890" s="50"/>
    </row>
    <row r="891" spans="2:2" ht="12.5">
      <c r="B891" s="50"/>
    </row>
    <row r="892" spans="2:2" ht="12.5">
      <c r="B892" s="50"/>
    </row>
    <row r="893" spans="2:2" ht="12.5">
      <c r="B893" s="50"/>
    </row>
    <row r="894" spans="2:2" ht="12.5">
      <c r="B894" s="50"/>
    </row>
    <row r="895" spans="2:2" ht="12.5">
      <c r="B895" s="50"/>
    </row>
    <row r="896" spans="2:2" ht="12.5">
      <c r="B896" s="50"/>
    </row>
    <row r="897" spans="2:2" ht="12.5">
      <c r="B897" s="50"/>
    </row>
    <row r="898" spans="2:2" ht="12.5">
      <c r="B898" s="50"/>
    </row>
    <row r="899" spans="2:2" ht="12.5">
      <c r="B899" s="50"/>
    </row>
    <row r="900" spans="2:2" ht="12.5">
      <c r="B900" s="50"/>
    </row>
    <row r="901" spans="2:2" ht="12.5">
      <c r="B901" s="50"/>
    </row>
    <row r="902" spans="2:2" ht="12.5">
      <c r="B902" s="50"/>
    </row>
    <row r="903" spans="2:2" ht="12.5">
      <c r="B903" s="50"/>
    </row>
    <row r="904" spans="2:2" ht="12.5">
      <c r="B904" s="50"/>
    </row>
    <row r="905" spans="2:2" ht="12.5">
      <c r="B905" s="50"/>
    </row>
    <row r="906" spans="2:2" ht="12.5">
      <c r="B906" s="50"/>
    </row>
    <row r="907" spans="2:2" ht="12.5">
      <c r="B907" s="50"/>
    </row>
    <row r="908" spans="2:2" ht="12.5">
      <c r="B908" s="50"/>
    </row>
    <row r="909" spans="2:2" ht="12.5">
      <c r="B909" s="50"/>
    </row>
    <row r="910" spans="2:2" ht="12.5">
      <c r="B910" s="50"/>
    </row>
    <row r="911" spans="2:2" ht="12.5">
      <c r="B911" s="50"/>
    </row>
    <row r="912" spans="2:2" ht="12.5">
      <c r="B912" s="50"/>
    </row>
    <row r="913" spans="2:2" ht="12.5">
      <c r="B913" s="50"/>
    </row>
    <row r="914" spans="2:2" ht="12.5">
      <c r="B914" s="50"/>
    </row>
    <row r="915" spans="2:2" ht="12.5">
      <c r="B915" s="50"/>
    </row>
    <row r="916" spans="2:2" ht="12.5">
      <c r="B916" s="50"/>
    </row>
    <row r="917" spans="2:2" ht="12.5">
      <c r="B917" s="50"/>
    </row>
    <row r="918" spans="2:2" ht="12.5">
      <c r="B918" s="50"/>
    </row>
    <row r="919" spans="2:2" ht="12.5">
      <c r="B919" s="50"/>
    </row>
    <row r="920" spans="2:2" ht="12.5">
      <c r="B920" s="50"/>
    </row>
    <row r="921" spans="2:2" ht="12.5">
      <c r="B921" s="50"/>
    </row>
    <row r="922" spans="2:2" ht="12.5">
      <c r="B922" s="50"/>
    </row>
    <row r="923" spans="2:2" ht="12.5">
      <c r="B923" s="50"/>
    </row>
    <row r="924" spans="2:2" ht="12.5">
      <c r="B924" s="50"/>
    </row>
    <row r="925" spans="2:2" ht="12.5">
      <c r="B925" s="50"/>
    </row>
    <row r="926" spans="2:2" ht="12.5">
      <c r="B926" s="50"/>
    </row>
    <row r="927" spans="2:2" ht="12.5">
      <c r="B927" s="50"/>
    </row>
    <row r="928" spans="2:2" ht="12.5">
      <c r="B928" s="50"/>
    </row>
    <row r="929" spans="2:2" ht="12.5">
      <c r="B929" s="50"/>
    </row>
    <row r="930" spans="2:2" ht="12.5">
      <c r="B930" s="50"/>
    </row>
    <row r="931" spans="2:2" ht="12.5">
      <c r="B931" s="50"/>
    </row>
    <row r="932" spans="2:2" ht="12.5">
      <c r="B932" s="50"/>
    </row>
    <row r="933" spans="2:2" ht="12.5">
      <c r="B933" s="50"/>
    </row>
    <row r="934" spans="2:2" ht="12.5">
      <c r="B934" s="50"/>
    </row>
    <row r="935" spans="2:2" ht="12.5">
      <c r="B935" s="50"/>
    </row>
    <row r="936" spans="2:2" ht="12.5">
      <c r="B936" s="50"/>
    </row>
    <row r="937" spans="2:2" ht="12.5">
      <c r="B937" s="50"/>
    </row>
    <row r="938" spans="2:2" ht="12.5">
      <c r="B938" s="50"/>
    </row>
    <row r="939" spans="2:2" ht="12.5">
      <c r="B939" s="50"/>
    </row>
    <row r="940" spans="2:2" ht="12.5">
      <c r="B940" s="50"/>
    </row>
    <row r="941" spans="2:2" ht="12.5">
      <c r="B941" s="50"/>
    </row>
    <row r="942" spans="2:2" ht="12.5">
      <c r="B942" s="50"/>
    </row>
    <row r="943" spans="2:2" ht="12.5">
      <c r="B943" s="50"/>
    </row>
    <row r="944" spans="2:2" ht="12.5">
      <c r="B944" s="50"/>
    </row>
    <row r="945" spans="2:2" ht="12.5">
      <c r="B945" s="50"/>
    </row>
    <row r="946" spans="2:2" ht="12.5">
      <c r="B946" s="50"/>
    </row>
    <row r="947" spans="2:2" ht="12.5">
      <c r="B947" s="50"/>
    </row>
    <row r="948" spans="2:2" ht="12.5">
      <c r="B948" s="50"/>
    </row>
    <row r="949" spans="2:2" ht="12.5">
      <c r="B949" s="50"/>
    </row>
    <row r="950" spans="2:2" ht="12.5">
      <c r="B950" s="50"/>
    </row>
    <row r="951" spans="2:2" ht="12.5">
      <c r="B951" s="50"/>
    </row>
    <row r="952" spans="2:2" ht="12.5">
      <c r="B952" s="50"/>
    </row>
    <row r="953" spans="2:2" ht="12.5">
      <c r="B953" s="50"/>
    </row>
    <row r="954" spans="2:2" ht="12.5">
      <c r="B954" s="50"/>
    </row>
    <row r="955" spans="2:2" ht="12.5">
      <c r="B955" s="50"/>
    </row>
    <row r="956" spans="2:2" ht="12.5">
      <c r="B956" s="50"/>
    </row>
    <row r="957" spans="2:2" ht="12.5">
      <c r="B957" s="50"/>
    </row>
    <row r="958" spans="2:2" ht="12.5">
      <c r="B958" s="50"/>
    </row>
    <row r="959" spans="2:2" ht="12.5">
      <c r="B959" s="50"/>
    </row>
    <row r="960" spans="2:2" ht="12.5">
      <c r="B960" s="50"/>
    </row>
    <row r="961" spans="2:2" ht="12.5">
      <c r="B961" s="50"/>
    </row>
    <row r="962" spans="2:2" ht="12.5">
      <c r="B962" s="50"/>
    </row>
    <row r="963" spans="2:2" ht="12.5">
      <c r="B963" s="50"/>
    </row>
    <row r="964" spans="2:2" ht="12.5">
      <c r="B964" s="50"/>
    </row>
    <row r="965" spans="2:2" ht="12.5">
      <c r="B965" s="50"/>
    </row>
    <row r="966" spans="2:2" ht="12.5">
      <c r="B966" s="50"/>
    </row>
    <row r="967" spans="2:2" ht="12.5">
      <c r="B967" s="50"/>
    </row>
    <row r="968" spans="2:2" ht="12.5">
      <c r="B968" s="50"/>
    </row>
    <row r="969" spans="2:2" ht="12.5">
      <c r="B969" s="50"/>
    </row>
    <row r="970" spans="2:2" ht="12.5">
      <c r="B970" s="50"/>
    </row>
    <row r="971" spans="2:2" ht="12.5">
      <c r="B971" s="50"/>
    </row>
    <row r="972" spans="2:2" ht="12.5">
      <c r="B972" s="50"/>
    </row>
    <row r="973" spans="2:2" ht="12.5">
      <c r="B973" s="50"/>
    </row>
    <row r="974" spans="2:2" ht="12.5">
      <c r="B974" s="50"/>
    </row>
    <row r="975" spans="2:2" ht="12.5">
      <c r="B975" s="50"/>
    </row>
    <row r="976" spans="2:2" ht="12.5">
      <c r="B976" s="50"/>
    </row>
    <row r="977" spans="2:2" ht="12.5">
      <c r="B977" s="50"/>
    </row>
    <row r="978" spans="2:2" ht="12.5">
      <c r="B978" s="50"/>
    </row>
    <row r="979" spans="2:2" ht="12.5">
      <c r="B979" s="50"/>
    </row>
    <row r="980" spans="2:2" ht="12.5">
      <c r="B980" s="50"/>
    </row>
    <row r="981" spans="2:2" ht="12.5">
      <c r="B981" s="50"/>
    </row>
    <row r="982" spans="2:2" ht="12.5">
      <c r="B982" s="50"/>
    </row>
    <row r="983" spans="2:2" ht="12.5">
      <c r="B983" s="50"/>
    </row>
    <row r="984" spans="2:2" ht="12.5">
      <c r="B984" s="50"/>
    </row>
    <row r="985" spans="2:2" ht="12.5">
      <c r="B985" s="50"/>
    </row>
    <row r="986" spans="2:2" ht="12.5">
      <c r="B986" s="50"/>
    </row>
    <row r="987" spans="2:2" ht="12.5">
      <c r="B987" s="50"/>
    </row>
    <row r="988" spans="2:2" ht="12.5">
      <c r="B988" s="50"/>
    </row>
    <row r="989" spans="2:2" ht="12.5">
      <c r="B989" s="50"/>
    </row>
    <row r="990" spans="2:2" ht="12.5">
      <c r="B990" s="50"/>
    </row>
    <row r="991" spans="2:2" ht="12.5">
      <c r="B991" s="50"/>
    </row>
    <row r="992" spans="2:2" ht="12.5">
      <c r="B992" s="50"/>
    </row>
    <row r="993" spans="2:2" ht="12.5">
      <c r="B993" s="50"/>
    </row>
    <row r="994" spans="2:2" ht="12.5">
      <c r="B994" s="50"/>
    </row>
    <row r="995" spans="2:2" ht="12.5">
      <c r="B995" s="50"/>
    </row>
    <row r="996" spans="2:2" ht="12.5">
      <c r="B996" s="50"/>
    </row>
    <row r="997" spans="2:2" ht="12.5">
      <c r="B997" s="50"/>
    </row>
    <row r="998" spans="2:2" ht="12.5">
      <c r="B998" s="50"/>
    </row>
    <row r="999" spans="2:2" ht="12.5">
      <c r="B999" s="50"/>
    </row>
    <row r="1000" spans="2:2" ht="12.5">
      <c r="B1000" s="50"/>
    </row>
  </sheetData>
  <autoFilter ref="F1:F100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155"/>
  <sheetViews>
    <sheetView workbookViewId="0"/>
  </sheetViews>
  <sheetFormatPr baseColWidth="10" defaultColWidth="12.6328125" defaultRowHeight="15.75" customHeight="1"/>
  <cols>
    <col min="1" max="1" width="14.26953125" customWidth="1"/>
    <col min="2" max="2" width="18.6328125" customWidth="1"/>
    <col min="5" max="5" width="30.453125" customWidth="1"/>
  </cols>
  <sheetData>
    <row r="1" spans="1:7" ht="15.75" customHeight="1">
      <c r="A1" s="5" t="s">
        <v>23658</v>
      </c>
      <c r="B1" s="5" t="s">
        <v>23659</v>
      </c>
      <c r="C1" s="5" t="s">
        <v>23176</v>
      </c>
      <c r="D1" s="5" t="s">
        <v>23660</v>
      </c>
      <c r="E1" s="5" t="s">
        <v>23661</v>
      </c>
      <c r="F1" s="5" t="s">
        <v>23662</v>
      </c>
      <c r="G1" s="5" t="s">
        <v>23663</v>
      </c>
    </row>
    <row r="2" spans="1:7" ht="15.75" customHeight="1">
      <c r="A2" s="5">
        <v>1</v>
      </c>
      <c r="B2" s="4">
        <v>46062.917074050929</v>
      </c>
      <c r="C2" s="5">
        <v>1</v>
      </c>
      <c r="D2" s="5">
        <v>2000</v>
      </c>
      <c r="E2" s="5" t="s">
        <v>23664</v>
      </c>
      <c r="F2" s="5">
        <v>34</v>
      </c>
      <c r="G2" s="5" t="s">
        <v>25421</v>
      </c>
    </row>
    <row r="3" spans="1:7" ht="15.75" customHeight="1">
      <c r="A3" s="5">
        <v>2</v>
      </c>
      <c r="B3" s="4">
        <v>46062.917426574073</v>
      </c>
      <c r="C3" s="5">
        <v>1</v>
      </c>
      <c r="D3" s="5">
        <v>2000</v>
      </c>
      <c r="E3" s="5" t="s">
        <v>23665</v>
      </c>
      <c r="F3" s="5">
        <v>34</v>
      </c>
    </row>
    <row r="4" spans="1:7" ht="15.75" customHeight="1">
      <c r="A4" s="5">
        <v>3</v>
      </c>
      <c r="B4" s="4">
        <v>46062.91777803241</v>
      </c>
      <c r="C4" s="5">
        <v>1</v>
      </c>
      <c r="D4" s="5">
        <v>2000</v>
      </c>
      <c r="E4" s="5" t="s">
        <v>23665</v>
      </c>
      <c r="F4" s="5">
        <v>34</v>
      </c>
    </row>
    <row r="5" spans="1:7" ht="15.75" customHeight="1">
      <c r="A5" s="5">
        <v>4</v>
      </c>
      <c r="B5" s="4">
        <v>46063.016196701385</v>
      </c>
      <c r="C5" s="5">
        <v>1</v>
      </c>
      <c r="D5" s="5">
        <v>20</v>
      </c>
      <c r="E5" s="5" t="s">
        <v>23664</v>
      </c>
      <c r="F5" s="5" t="s">
        <v>23666</v>
      </c>
    </row>
    <row r="6" spans="1:7" ht="15.75" customHeight="1">
      <c r="A6" s="5">
        <v>5</v>
      </c>
      <c r="B6" s="4">
        <v>46063.024344097226</v>
      </c>
      <c r="C6" s="5">
        <v>1</v>
      </c>
      <c r="D6" s="5">
        <v>20</v>
      </c>
      <c r="E6" s="5" t="s">
        <v>23664</v>
      </c>
      <c r="F6" s="5" t="s">
        <v>23666</v>
      </c>
    </row>
    <row r="7" spans="1:7" ht="15.75" customHeight="1">
      <c r="A7" s="5">
        <v>6</v>
      </c>
      <c r="B7" s="4">
        <v>46063.024608761574</v>
      </c>
      <c r="C7" s="5">
        <v>1</v>
      </c>
      <c r="D7" s="5">
        <v>20</v>
      </c>
      <c r="E7" s="5" t="s">
        <v>23664</v>
      </c>
      <c r="F7" s="5" t="s">
        <v>23666</v>
      </c>
    </row>
    <row r="8" spans="1:7" ht="15.75" customHeight="1">
      <c r="A8" s="5">
        <v>7</v>
      </c>
      <c r="B8" s="4">
        <v>46063.025970706018</v>
      </c>
      <c r="C8" s="5">
        <v>1</v>
      </c>
      <c r="D8" s="5">
        <v>20</v>
      </c>
      <c r="E8" s="5" t="s">
        <v>23664</v>
      </c>
      <c r="F8" s="5" t="s">
        <v>23666</v>
      </c>
    </row>
    <row r="9" spans="1:7" ht="15.75" customHeight="1">
      <c r="A9" s="5">
        <v>8</v>
      </c>
      <c r="B9" s="4">
        <v>46063.026898564814</v>
      </c>
      <c r="C9" s="5">
        <v>1</v>
      </c>
      <c r="D9" s="5">
        <v>20</v>
      </c>
      <c r="E9" s="5" t="s">
        <v>23664</v>
      </c>
      <c r="F9" s="5" t="s">
        <v>23666</v>
      </c>
    </row>
    <row r="10" spans="1:7" ht="15.75" customHeight="1">
      <c r="A10" s="5">
        <v>9</v>
      </c>
      <c r="B10" s="4">
        <v>46063.032964305559</v>
      </c>
      <c r="C10" s="5">
        <v>1</v>
      </c>
      <c r="D10" s="5">
        <v>20</v>
      </c>
      <c r="E10" s="5" t="s">
        <v>23664</v>
      </c>
      <c r="F10" s="5" t="s">
        <v>23666</v>
      </c>
    </row>
    <row r="11" spans="1:7" ht="15.75" customHeight="1">
      <c r="A11" s="5">
        <v>10</v>
      </c>
      <c r="B11" s="4">
        <v>46063.033099733795</v>
      </c>
      <c r="C11" s="5">
        <v>1</v>
      </c>
      <c r="D11" s="5">
        <v>20</v>
      </c>
      <c r="E11" s="5" t="s">
        <v>23665</v>
      </c>
      <c r="F11" s="5" t="s">
        <v>23666</v>
      </c>
    </row>
    <row r="12" spans="1:7" ht="15.75" customHeight="1">
      <c r="A12" s="5">
        <v>11</v>
      </c>
      <c r="B12" s="4">
        <v>46063.034467511578</v>
      </c>
      <c r="C12" s="5">
        <v>1</v>
      </c>
      <c r="D12" s="5">
        <v>20</v>
      </c>
      <c r="E12" s="5" t="s">
        <v>23665</v>
      </c>
      <c r="F12" s="5" t="s">
        <v>23666</v>
      </c>
    </row>
    <row r="13" spans="1:7" ht="15.75" customHeight="1">
      <c r="A13" s="5">
        <v>12</v>
      </c>
      <c r="B13" s="4">
        <v>46063.045779791668</v>
      </c>
      <c r="C13" s="5">
        <v>1</v>
      </c>
      <c r="D13" s="5">
        <v>20</v>
      </c>
      <c r="E13" s="5" t="s">
        <v>23665</v>
      </c>
      <c r="F13" s="5" t="s">
        <v>23666</v>
      </c>
    </row>
    <row r="14" spans="1:7" ht="15.75" customHeight="1">
      <c r="A14" s="5">
        <v>13</v>
      </c>
      <c r="B14" s="4">
        <v>46063.046585381948</v>
      </c>
      <c r="C14" s="5">
        <v>1</v>
      </c>
      <c r="D14" s="5">
        <v>20</v>
      </c>
      <c r="E14" s="5" t="s">
        <v>23664</v>
      </c>
      <c r="F14" s="5" t="s">
        <v>23667</v>
      </c>
    </row>
    <row r="15" spans="1:7" ht="15.75" customHeight="1">
      <c r="A15" s="5">
        <v>14</v>
      </c>
      <c r="B15" s="4">
        <v>46063.04801111111</v>
      </c>
      <c r="C15" s="5">
        <v>1</v>
      </c>
      <c r="D15" s="5">
        <v>20</v>
      </c>
      <c r="E15" s="5" t="s">
        <v>23664</v>
      </c>
      <c r="F15" s="5" t="s">
        <v>23667</v>
      </c>
    </row>
    <row r="16" spans="1:7" ht="15.75" customHeight="1">
      <c r="A16" s="5">
        <v>15</v>
      </c>
      <c r="B16" s="4">
        <v>46063.048290868057</v>
      </c>
      <c r="C16" s="5">
        <v>1</v>
      </c>
      <c r="D16" s="5">
        <v>20</v>
      </c>
      <c r="E16" s="5" t="s">
        <v>23664</v>
      </c>
      <c r="F16" s="5" t="s">
        <v>23667</v>
      </c>
    </row>
    <row r="17" spans="1:7" ht="15.75" customHeight="1">
      <c r="A17" s="5">
        <v>16</v>
      </c>
      <c r="B17" s="4">
        <v>46063.051352696755</v>
      </c>
      <c r="C17" s="5">
        <v>1</v>
      </c>
      <c r="D17" s="5">
        <v>20</v>
      </c>
      <c r="E17" s="5" t="s">
        <v>23664</v>
      </c>
      <c r="F17" s="5" t="s">
        <v>23667</v>
      </c>
      <c r="G17" s="5" t="s">
        <v>1117</v>
      </c>
    </row>
    <row r="18" spans="1:7" ht="15.75" customHeight="1">
      <c r="A18" s="5">
        <v>17</v>
      </c>
      <c r="B18" s="4">
        <v>46065.789345983794</v>
      </c>
      <c r="C18" s="5">
        <v>104514142100</v>
      </c>
      <c r="D18" s="5">
        <v>50</v>
      </c>
      <c r="E18" s="5" t="s">
        <v>23664</v>
      </c>
      <c r="F18" s="5" t="s">
        <v>23158</v>
      </c>
    </row>
    <row r="19" spans="1:7" ht="15.75" customHeight="1">
      <c r="A19" s="5">
        <v>18</v>
      </c>
      <c r="B19" s="4">
        <v>46066.43293171296</v>
      </c>
      <c r="C19" s="5">
        <v>104514142200</v>
      </c>
      <c r="D19" s="5">
        <v>150</v>
      </c>
      <c r="E19" s="5" t="s">
        <v>23664</v>
      </c>
      <c r="F19" s="5" t="s">
        <v>23158</v>
      </c>
    </row>
    <row r="20" spans="1:7" ht="15.75" customHeight="1">
      <c r="A20" s="5">
        <v>19</v>
      </c>
      <c r="B20" s="4">
        <v>46066.432972766204</v>
      </c>
      <c r="C20" s="5">
        <v>104514142200</v>
      </c>
      <c r="D20" s="5">
        <v>150</v>
      </c>
      <c r="E20" s="5" t="s">
        <v>23664</v>
      </c>
      <c r="F20" s="5" t="s">
        <v>23158</v>
      </c>
    </row>
    <row r="21" spans="1:7" ht="15.75" customHeight="1">
      <c r="A21" s="5">
        <v>20</v>
      </c>
      <c r="B21" s="4">
        <v>46066.440690636577</v>
      </c>
      <c r="C21" s="5">
        <v>104514142200</v>
      </c>
      <c r="D21" s="5">
        <v>150</v>
      </c>
      <c r="E21" s="5" t="s">
        <v>23665</v>
      </c>
      <c r="F21" s="5" t="s">
        <v>23158</v>
      </c>
    </row>
    <row r="22" spans="1:7" ht="12.5">
      <c r="A22" s="5">
        <v>21</v>
      </c>
      <c r="B22" s="4">
        <v>46066.457321469905</v>
      </c>
      <c r="C22" s="5">
        <v>104514142100</v>
      </c>
      <c r="D22" s="5">
        <v>3</v>
      </c>
      <c r="E22" s="5" t="s">
        <v>23665</v>
      </c>
      <c r="F22" s="5" t="s">
        <v>23158</v>
      </c>
    </row>
    <row r="23" spans="1:7" ht="12.5">
      <c r="A23" s="5">
        <v>22</v>
      </c>
      <c r="B23" s="4">
        <v>46066.458698923612</v>
      </c>
      <c r="C23" s="5">
        <v>104514142200</v>
      </c>
      <c r="D23" s="5">
        <v>35</v>
      </c>
      <c r="E23" s="5" t="s">
        <v>23665</v>
      </c>
      <c r="F23" s="5" t="s">
        <v>23158</v>
      </c>
      <c r="G23" s="5" t="s">
        <v>23668</v>
      </c>
    </row>
    <row r="24" spans="1:7" ht="12.5">
      <c r="A24" s="5">
        <v>23</v>
      </c>
      <c r="B24" s="4">
        <v>46066.45875690972</v>
      </c>
      <c r="C24" s="5">
        <v>104514142200</v>
      </c>
      <c r="D24" s="5">
        <v>35</v>
      </c>
      <c r="E24" s="5" t="s">
        <v>23665</v>
      </c>
      <c r="F24" s="5" t="s">
        <v>23158</v>
      </c>
      <c r="G24" s="5" t="s">
        <v>23668</v>
      </c>
    </row>
    <row r="25" spans="1:7" ht="12.5">
      <c r="A25" s="5">
        <v>24</v>
      </c>
      <c r="B25" s="4">
        <v>46066.460840150467</v>
      </c>
      <c r="C25" s="5">
        <v>104514142200</v>
      </c>
      <c r="D25" s="5">
        <v>35</v>
      </c>
      <c r="E25" s="5" t="s">
        <v>23664</v>
      </c>
      <c r="F25" s="5" t="s">
        <v>23158</v>
      </c>
    </row>
    <row r="26" spans="1:7" ht="12.5">
      <c r="A26" s="5">
        <v>25</v>
      </c>
      <c r="B26" s="4">
        <v>46066.46174579861</v>
      </c>
      <c r="C26" s="5">
        <v>104514142200</v>
      </c>
      <c r="D26" s="5">
        <v>1</v>
      </c>
      <c r="E26" s="5" t="s">
        <v>23665</v>
      </c>
      <c r="F26" s="5" t="s">
        <v>23158</v>
      </c>
    </row>
    <row r="27" spans="1:7" ht="12.5">
      <c r="A27" s="5">
        <v>26</v>
      </c>
      <c r="B27" s="4">
        <v>46066.46178633102</v>
      </c>
      <c r="C27" s="5">
        <v>104514142200</v>
      </c>
      <c r="D27" s="5">
        <v>1</v>
      </c>
      <c r="E27" s="5" t="s">
        <v>23665</v>
      </c>
      <c r="F27" s="5" t="s">
        <v>23158</v>
      </c>
    </row>
    <row r="28" spans="1:7" ht="12.5">
      <c r="A28" s="5">
        <v>27</v>
      </c>
      <c r="B28" s="4">
        <v>46066.462201516202</v>
      </c>
      <c r="C28" s="5">
        <v>104514142200</v>
      </c>
      <c r="D28" s="5">
        <v>1</v>
      </c>
      <c r="E28" s="5" t="s">
        <v>23664</v>
      </c>
      <c r="F28" s="5" t="s">
        <v>23158</v>
      </c>
    </row>
    <row r="29" spans="1:7" ht="12.5">
      <c r="A29" s="5">
        <v>28</v>
      </c>
      <c r="B29" s="4">
        <v>46066.477131087959</v>
      </c>
      <c r="C29" s="5">
        <v>104514142200</v>
      </c>
      <c r="D29" s="5">
        <v>7</v>
      </c>
      <c r="E29" s="5" t="s">
        <v>23665</v>
      </c>
      <c r="F29" s="5" t="s">
        <v>23158</v>
      </c>
    </row>
    <row r="30" spans="1:7" ht="12.5">
      <c r="A30" s="5">
        <v>29</v>
      </c>
      <c r="B30" s="4">
        <v>46066.478092303238</v>
      </c>
      <c r="C30" s="5">
        <v>104514142200</v>
      </c>
      <c r="D30" s="5">
        <v>6</v>
      </c>
      <c r="E30" s="5" t="s">
        <v>23665</v>
      </c>
      <c r="F30" s="5" t="s">
        <v>23158</v>
      </c>
    </row>
    <row r="31" spans="1:7" ht="12.5">
      <c r="A31" s="5">
        <v>30</v>
      </c>
      <c r="B31" s="4">
        <v>46066.498262627312</v>
      </c>
      <c r="C31" s="5">
        <v>104514142200</v>
      </c>
      <c r="D31" s="5">
        <v>2</v>
      </c>
      <c r="E31" s="5" t="s">
        <v>23665</v>
      </c>
      <c r="F31" s="5" t="s">
        <v>23158</v>
      </c>
    </row>
    <row r="32" spans="1:7" ht="12.5">
      <c r="A32" s="5">
        <v>31</v>
      </c>
      <c r="B32" s="4">
        <v>46066.520154467595</v>
      </c>
      <c r="C32" s="5">
        <v>104514142200</v>
      </c>
      <c r="D32" s="5">
        <v>6</v>
      </c>
      <c r="E32" s="5" t="s">
        <v>23665</v>
      </c>
      <c r="F32" s="5" t="s">
        <v>23158</v>
      </c>
    </row>
    <row r="33" spans="1:6" ht="12.5">
      <c r="A33" s="5">
        <v>32</v>
      </c>
      <c r="B33" s="4">
        <v>46066.520469872688</v>
      </c>
      <c r="C33" s="5">
        <v>104514142100</v>
      </c>
      <c r="D33" s="5">
        <v>1</v>
      </c>
      <c r="E33" s="5" t="s">
        <v>23665</v>
      </c>
      <c r="F33" s="5" t="s">
        <v>23158</v>
      </c>
    </row>
    <row r="34" spans="1:6" ht="12.5">
      <c r="A34" s="5">
        <v>33</v>
      </c>
      <c r="B34" s="4">
        <v>46066.563912291662</v>
      </c>
      <c r="C34" s="5">
        <v>104514142100</v>
      </c>
      <c r="D34" s="5">
        <v>8</v>
      </c>
      <c r="E34" s="5" t="s">
        <v>23665</v>
      </c>
      <c r="F34" s="5" t="s">
        <v>23158</v>
      </c>
    </row>
    <row r="35" spans="1:6" ht="12.5">
      <c r="A35" s="5">
        <v>34</v>
      </c>
      <c r="B35" s="4">
        <v>46066.673809583328</v>
      </c>
      <c r="C35" s="5">
        <v>104514142200</v>
      </c>
      <c r="D35" s="5">
        <v>3</v>
      </c>
      <c r="E35" s="5" t="s">
        <v>23665</v>
      </c>
      <c r="F35" s="5" t="s">
        <v>23158</v>
      </c>
    </row>
    <row r="36" spans="1:6" ht="12.5">
      <c r="A36" s="5">
        <v>35</v>
      </c>
      <c r="B36" s="4">
        <v>46066.675062754628</v>
      </c>
      <c r="C36" s="5">
        <v>104514142100</v>
      </c>
      <c r="D36" s="5">
        <v>7</v>
      </c>
      <c r="E36" s="5" t="s">
        <v>23665</v>
      </c>
      <c r="F36" s="5" t="s">
        <v>23158</v>
      </c>
    </row>
    <row r="37" spans="1:6" ht="12.5">
      <c r="A37" s="5">
        <v>36</v>
      </c>
      <c r="B37" s="4">
        <v>46066.766192303243</v>
      </c>
      <c r="C37" s="5">
        <v>104514142200</v>
      </c>
      <c r="D37" s="5">
        <v>3</v>
      </c>
      <c r="E37" s="5" t="s">
        <v>23665</v>
      </c>
      <c r="F37" s="5" t="s">
        <v>23158</v>
      </c>
    </row>
    <row r="38" spans="1:6" ht="12.5">
      <c r="A38" s="5">
        <v>37</v>
      </c>
      <c r="B38" s="4">
        <v>46066.850889849535</v>
      </c>
      <c r="C38" s="5">
        <v>104514142100</v>
      </c>
      <c r="D38" s="5">
        <v>7</v>
      </c>
      <c r="E38" s="5" t="s">
        <v>23665</v>
      </c>
      <c r="F38" s="5" t="s">
        <v>23158</v>
      </c>
    </row>
    <row r="39" spans="1:6" ht="12.5">
      <c r="A39" s="5">
        <v>38</v>
      </c>
      <c r="B39" s="4">
        <v>46066.851506782405</v>
      </c>
      <c r="C39" s="5">
        <v>104514142200</v>
      </c>
      <c r="D39" s="5">
        <v>2</v>
      </c>
      <c r="E39" s="5" t="s">
        <v>23665</v>
      </c>
      <c r="F39" s="5" t="s">
        <v>23158</v>
      </c>
    </row>
    <row r="40" spans="1:6" ht="12.5">
      <c r="A40" s="5">
        <v>39</v>
      </c>
      <c r="B40" s="4">
        <v>46066.856128738422</v>
      </c>
      <c r="C40" s="5">
        <v>104514142100</v>
      </c>
      <c r="D40" s="5">
        <v>1</v>
      </c>
      <c r="E40" s="5" t="s">
        <v>23665</v>
      </c>
      <c r="F40" s="5" t="s">
        <v>23158</v>
      </c>
    </row>
    <row r="41" spans="1:6" ht="12.5">
      <c r="A41" s="5">
        <v>40</v>
      </c>
      <c r="B41" s="4">
        <v>46066.857308125</v>
      </c>
      <c r="C41" s="5">
        <v>104514142100</v>
      </c>
      <c r="D41" s="5">
        <v>1</v>
      </c>
      <c r="E41" s="5" t="s">
        <v>23665</v>
      </c>
      <c r="F41" s="5" t="s">
        <v>23158</v>
      </c>
    </row>
    <row r="42" spans="1:6" ht="12.5">
      <c r="A42" s="5">
        <v>41</v>
      </c>
      <c r="B42" s="4">
        <v>46066.858781851857</v>
      </c>
      <c r="C42" s="5">
        <v>104514142200</v>
      </c>
      <c r="D42" s="5">
        <v>1</v>
      </c>
      <c r="E42" s="5" t="s">
        <v>23665</v>
      </c>
      <c r="F42" s="5" t="s">
        <v>23158</v>
      </c>
    </row>
    <row r="43" spans="1:6" ht="12.5">
      <c r="A43" s="5">
        <v>42</v>
      </c>
      <c r="B43" s="4">
        <v>46067.419937013889</v>
      </c>
      <c r="C43" s="5">
        <v>104514142200</v>
      </c>
      <c r="D43" s="5">
        <v>1</v>
      </c>
      <c r="E43" s="5" t="s">
        <v>23665</v>
      </c>
      <c r="F43" s="5" t="s">
        <v>23158</v>
      </c>
    </row>
    <row r="44" spans="1:6" ht="12.5">
      <c r="A44" s="5">
        <v>43</v>
      </c>
      <c r="B44" s="4">
        <v>46067.442957476851</v>
      </c>
      <c r="C44" s="5">
        <v>104514142100</v>
      </c>
      <c r="D44" s="5">
        <v>8</v>
      </c>
      <c r="E44" s="5" t="s">
        <v>23665</v>
      </c>
      <c r="F44" s="5" t="s">
        <v>23158</v>
      </c>
    </row>
    <row r="45" spans="1:6" ht="12.5">
      <c r="A45" s="5">
        <v>44</v>
      </c>
      <c r="B45" s="4">
        <v>46067.445658831013</v>
      </c>
      <c r="C45" s="5">
        <v>104514142200</v>
      </c>
      <c r="D45" s="5">
        <v>3</v>
      </c>
      <c r="E45" s="5" t="s">
        <v>23665</v>
      </c>
      <c r="F45" s="5" t="s">
        <v>23158</v>
      </c>
    </row>
    <row r="46" spans="1:6" ht="12.5">
      <c r="A46" s="5">
        <v>45</v>
      </c>
      <c r="B46" s="4">
        <v>46067.482275752314</v>
      </c>
      <c r="C46" s="5">
        <v>104514142100</v>
      </c>
      <c r="D46" s="5">
        <v>3</v>
      </c>
      <c r="E46" s="5" t="s">
        <v>23665</v>
      </c>
      <c r="F46" s="5" t="s">
        <v>23158</v>
      </c>
    </row>
    <row r="47" spans="1:6" ht="12.5">
      <c r="A47" s="5">
        <v>46</v>
      </c>
      <c r="B47" s="4">
        <v>46067.483018171297</v>
      </c>
      <c r="C47" s="5">
        <v>104514142200</v>
      </c>
      <c r="D47" s="5">
        <v>4</v>
      </c>
      <c r="E47" s="5" t="s">
        <v>23665</v>
      </c>
      <c r="F47" s="5" t="s">
        <v>23158</v>
      </c>
    </row>
    <row r="48" spans="1:6" ht="12.5">
      <c r="A48" s="5">
        <v>47</v>
      </c>
      <c r="B48" s="4">
        <v>46067.484497500001</v>
      </c>
      <c r="C48" s="5">
        <v>104514142200</v>
      </c>
      <c r="D48" s="5">
        <v>4</v>
      </c>
      <c r="E48" s="5" t="s">
        <v>23665</v>
      </c>
      <c r="F48" s="5" t="s">
        <v>23158</v>
      </c>
    </row>
    <row r="49" spans="1:6" ht="12.5">
      <c r="A49" s="5">
        <v>48</v>
      </c>
      <c r="B49" s="4">
        <v>46067.514402222223</v>
      </c>
      <c r="C49" s="5">
        <v>104514142200</v>
      </c>
      <c r="D49" s="5">
        <v>4</v>
      </c>
      <c r="E49" s="5" t="s">
        <v>23665</v>
      </c>
      <c r="F49" s="5" t="s">
        <v>23158</v>
      </c>
    </row>
    <row r="50" spans="1:6" ht="12.5">
      <c r="A50" s="5">
        <v>49</v>
      </c>
      <c r="B50" s="4">
        <v>46067.520732164354</v>
      </c>
      <c r="C50" s="5">
        <v>104514142100</v>
      </c>
      <c r="D50" s="5">
        <v>9</v>
      </c>
      <c r="E50" s="5" t="s">
        <v>23665</v>
      </c>
      <c r="F50" s="5" t="s">
        <v>23158</v>
      </c>
    </row>
    <row r="51" spans="1:6" ht="12.5">
      <c r="A51" s="5">
        <v>50</v>
      </c>
      <c r="B51" s="4">
        <v>46067.521343553242</v>
      </c>
      <c r="C51" s="5">
        <v>104514142100</v>
      </c>
      <c r="D51" s="5">
        <v>2</v>
      </c>
      <c r="E51" s="5" t="s">
        <v>23665</v>
      </c>
      <c r="F51" s="5" t="s">
        <v>23158</v>
      </c>
    </row>
    <row r="52" spans="1:6" ht="12.5">
      <c r="A52" s="5">
        <v>51</v>
      </c>
      <c r="B52" s="4">
        <v>46067.668250497685</v>
      </c>
      <c r="C52" s="5">
        <v>104514142200</v>
      </c>
      <c r="D52" s="5">
        <v>7</v>
      </c>
      <c r="E52" s="5" t="s">
        <v>23665</v>
      </c>
      <c r="F52" s="5" t="s">
        <v>23158</v>
      </c>
    </row>
    <row r="53" spans="1:6" ht="12.5">
      <c r="A53" s="5">
        <v>52</v>
      </c>
      <c r="B53" s="4">
        <v>46067.670430219907</v>
      </c>
      <c r="C53" s="5">
        <v>104514142200</v>
      </c>
      <c r="D53" s="5">
        <v>2</v>
      </c>
      <c r="E53" s="5" t="s">
        <v>23665</v>
      </c>
      <c r="F53" s="5" t="s">
        <v>23158</v>
      </c>
    </row>
    <row r="54" spans="1:6" ht="12.5">
      <c r="A54" s="5">
        <v>53</v>
      </c>
      <c r="B54" s="4">
        <v>46067.682693449075</v>
      </c>
      <c r="C54" s="5">
        <v>104514142200</v>
      </c>
      <c r="D54" s="5">
        <v>1</v>
      </c>
      <c r="E54" s="5" t="s">
        <v>23665</v>
      </c>
      <c r="F54" s="5" t="s">
        <v>23158</v>
      </c>
    </row>
    <row r="55" spans="1:6" ht="12.5">
      <c r="A55" s="5">
        <v>54</v>
      </c>
      <c r="B55" s="4">
        <v>46067.696754502314</v>
      </c>
      <c r="C55" s="5">
        <v>104514142200</v>
      </c>
      <c r="D55" s="5">
        <v>5</v>
      </c>
      <c r="E55" s="5" t="s">
        <v>23665</v>
      </c>
      <c r="F55" s="5" t="s">
        <v>23158</v>
      </c>
    </row>
    <row r="56" spans="1:6" ht="12.5">
      <c r="A56" s="5">
        <v>55</v>
      </c>
      <c r="B56" s="4">
        <v>46067.699127800923</v>
      </c>
      <c r="C56" s="5">
        <v>104514142200</v>
      </c>
      <c r="D56" s="5">
        <v>2</v>
      </c>
      <c r="E56" s="5" t="s">
        <v>23665</v>
      </c>
      <c r="F56" s="5" t="s">
        <v>23158</v>
      </c>
    </row>
    <row r="57" spans="1:6" ht="12.5">
      <c r="A57" s="5">
        <v>56</v>
      </c>
      <c r="B57" s="4">
        <v>46067.707809733794</v>
      </c>
      <c r="C57" s="5">
        <v>104514142200</v>
      </c>
      <c r="D57" s="5">
        <v>2</v>
      </c>
      <c r="E57" s="5" t="s">
        <v>23665</v>
      </c>
      <c r="F57" s="5" t="s">
        <v>23158</v>
      </c>
    </row>
    <row r="58" spans="1:6" ht="12.5">
      <c r="A58" s="5">
        <v>57</v>
      </c>
      <c r="B58" s="4">
        <v>46067.708391111111</v>
      </c>
      <c r="C58" s="5">
        <v>104514142200</v>
      </c>
      <c r="D58" s="5">
        <v>2</v>
      </c>
      <c r="E58" s="5" t="s">
        <v>23665</v>
      </c>
      <c r="F58" s="5" t="s">
        <v>23158</v>
      </c>
    </row>
    <row r="59" spans="1:6" ht="12.5">
      <c r="A59" s="5">
        <v>58</v>
      </c>
      <c r="B59" s="4">
        <v>46067.713742025458</v>
      </c>
      <c r="C59" s="5">
        <v>104514142200</v>
      </c>
      <c r="D59" s="5">
        <v>1</v>
      </c>
      <c r="E59" s="5" t="s">
        <v>23665</v>
      </c>
      <c r="F59" s="5" t="s">
        <v>23158</v>
      </c>
    </row>
    <row r="60" spans="1:6" ht="12.5">
      <c r="A60" s="5">
        <v>59</v>
      </c>
      <c r="B60" s="4">
        <v>46067.714198923612</v>
      </c>
      <c r="C60" s="5">
        <v>104514142200</v>
      </c>
      <c r="D60" s="5">
        <v>1</v>
      </c>
      <c r="E60" s="5" t="s">
        <v>23665</v>
      </c>
      <c r="F60" s="5" t="s">
        <v>23158</v>
      </c>
    </row>
    <row r="61" spans="1:6" ht="12.5">
      <c r="A61" s="5">
        <v>60</v>
      </c>
      <c r="B61" s="4">
        <v>46067.723385219906</v>
      </c>
      <c r="C61" s="5">
        <v>104514142200</v>
      </c>
      <c r="D61" s="5">
        <v>2</v>
      </c>
      <c r="E61" s="5" t="s">
        <v>23665</v>
      </c>
      <c r="F61" s="5" t="s">
        <v>23158</v>
      </c>
    </row>
    <row r="62" spans="1:6" ht="12.5">
      <c r="A62" s="5">
        <v>61</v>
      </c>
      <c r="B62" s="4">
        <v>46067.733282430556</v>
      </c>
      <c r="C62" s="5">
        <v>104514142200</v>
      </c>
      <c r="D62" s="5">
        <v>4</v>
      </c>
      <c r="E62" s="5" t="s">
        <v>23665</v>
      </c>
      <c r="F62" s="5" t="s">
        <v>23158</v>
      </c>
    </row>
    <row r="63" spans="1:6" ht="12.5">
      <c r="A63" s="5">
        <v>62</v>
      </c>
      <c r="B63" s="4">
        <v>46067.765538749998</v>
      </c>
      <c r="C63" s="5">
        <v>104514142200</v>
      </c>
      <c r="D63" s="5">
        <v>3</v>
      </c>
      <c r="E63" s="5" t="s">
        <v>23665</v>
      </c>
      <c r="F63" s="5" t="s">
        <v>23158</v>
      </c>
    </row>
    <row r="64" spans="1:6" ht="12.5">
      <c r="A64" s="5">
        <v>63</v>
      </c>
      <c r="B64" s="4">
        <v>46067.771843761569</v>
      </c>
      <c r="C64" s="5">
        <v>104514142200</v>
      </c>
      <c r="D64" s="5">
        <v>1</v>
      </c>
      <c r="E64" s="5" t="s">
        <v>23665</v>
      </c>
      <c r="F64" s="5" t="s">
        <v>23158</v>
      </c>
    </row>
    <row r="65" spans="1:8" ht="12.5">
      <c r="A65" s="5">
        <v>64</v>
      </c>
      <c r="B65" s="4">
        <v>46087.475678171293</v>
      </c>
      <c r="C65" s="5" t="s">
        <v>23226</v>
      </c>
      <c r="D65" s="5">
        <v>30</v>
      </c>
      <c r="E65" s="5" t="s">
        <v>23664</v>
      </c>
      <c r="F65" s="5" t="s">
        <v>23158</v>
      </c>
      <c r="G65" s="5" t="s">
        <v>23669</v>
      </c>
      <c r="H65" s="5">
        <f>COUNTIF(Movimientos_Inventario!C:C,A15)</f>
        <v>0</v>
      </c>
    </row>
    <row r="66" spans="1:8" ht="12.5">
      <c r="A66" s="5">
        <v>65</v>
      </c>
      <c r="B66" s="4">
        <v>46087.479011828706</v>
      </c>
      <c r="C66" s="5" t="s">
        <v>23272</v>
      </c>
      <c r="D66" s="5">
        <v>8</v>
      </c>
      <c r="E66" s="5" t="s">
        <v>23664</v>
      </c>
      <c r="F66" s="5" t="s">
        <v>23158</v>
      </c>
      <c r="G66" s="5" t="s">
        <v>23203</v>
      </c>
      <c r="H66" s="5">
        <f>COUNTIF(Movimientos_Inventario!C:C,A16)</f>
        <v>0</v>
      </c>
    </row>
    <row r="67" spans="1:8" ht="12.5">
      <c r="A67" s="5">
        <v>66</v>
      </c>
      <c r="B67" s="4">
        <v>46087.479722384262</v>
      </c>
      <c r="C67" s="5" t="s">
        <v>23298</v>
      </c>
      <c r="D67" s="5">
        <v>8</v>
      </c>
      <c r="E67" s="5" t="s">
        <v>23664</v>
      </c>
      <c r="F67" s="5" t="s">
        <v>23158</v>
      </c>
      <c r="H67" s="5">
        <f>COUNTIF(Movimientos_Inventario!C:C,A17)</f>
        <v>0</v>
      </c>
    </row>
    <row r="68" spans="1:8" ht="12.5">
      <c r="A68" s="5">
        <v>67</v>
      </c>
      <c r="B68" s="4">
        <v>46087.480117511572</v>
      </c>
      <c r="C68" s="5" t="s">
        <v>23300</v>
      </c>
      <c r="D68" s="5">
        <v>5</v>
      </c>
      <c r="E68" s="5" t="s">
        <v>23664</v>
      </c>
      <c r="F68" s="5" t="s">
        <v>23158</v>
      </c>
      <c r="G68" s="5" t="s">
        <v>23670</v>
      </c>
      <c r="H68" s="5">
        <f>COUNTIF(Movimientos_Inventario!C:C,A18)</f>
        <v>0</v>
      </c>
    </row>
    <row r="69" spans="1:8" ht="12.5">
      <c r="A69" s="5">
        <v>68</v>
      </c>
      <c r="B69" s="4">
        <v>46087.481742418982</v>
      </c>
      <c r="C69" s="5" t="s">
        <v>23308</v>
      </c>
      <c r="D69" s="5">
        <v>40</v>
      </c>
      <c r="E69" s="5" t="s">
        <v>23664</v>
      </c>
      <c r="F69" s="5" t="s">
        <v>23158</v>
      </c>
      <c r="H69" s="5">
        <f>COUNTIF(Movimientos_Inventario!C:C,A19)</f>
        <v>0</v>
      </c>
    </row>
    <row r="70" spans="1:8" ht="12.5">
      <c r="A70" s="5">
        <v>69</v>
      </c>
      <c r="B70" s="4">
        <v>46087.484617557871</v>
      </c>
      <c r="C70" s="5" t="s">
        <v>23212</v>
      </c>
      <c r="D70" s="5">
        <v>22</v>
      </c>
      <c r="E70" s="5" t="s">
        <v>23664</v>
      </c>
      <c r="F70" s="5" t="s">
        <v>23158</v>
      </c>
      <c r="G70" s="5" t="s">
        <v>23203</v>
      </c>
      <c r="H70" s="5">
        <f>COUNTIF(Movimientos_Inventario!C:C,A20)</f>
        <v>0</v>
      </c>
    </row>
    <row r="71" spans="1:8" ht="12.5">
      <c r="A71" s="5">
        <v>70</v>
      </c>
      <c r="B71" s="4">
        <v>46087.48504832176</v>
      </c>
      <c r="C71" s="5" t="s">
        <v>23192</v>
      </c>
      <c r="D71" s="5">
        <v>12</v>
      </c>
      <c r="E71" s="5" t="s">
        <v>23664</v>
      </c>
      <c r="F71" s="5" t="s">
        <v>23158</v>
      </c>
      <c r="G71" s="5" t="s">
        <v>23671</v>
      </c>
      <c r="H71" s="5">
        <f>COUNTIF(Movimientos_Inventario!C:C,A21)</f>
        <v>0</v>
      </c>
    </row>
    <row r="72" spans="1:8" ht="12.5">
      <c r="A72" s="5">
        <v>71</v>
      </c>
      <c r="B72" s="4">
        <v>46087.486150949073</v>
      </c>
      <c r="C72" s="5" t="s">
        <v>23198</v>
      </c>
      <c r="D72" s="5">
        <v>5</v>
      </c>
      <c r="E72" s="5" t="s">
        <v>23664</v>
      </c>
      <c r="F72" s="5" t="s">
        <v>23158</v>
      </c>
      <c r="G72" s="5" t="s">
        <v>23203</v>
      </c>
      <c r="H72" s="5">
        <f>COUNTIF(Movimientos_Inventario!C:C,A22)</f>
        <v>0</v>
      </c>
    </row>
    <row r="73" spans="1:8" ht="12.5">
      <c r="A73" s="5">
        <v>72</v>
      </c>
      <c r="B73" s="4">
        <v>46087.488918668983</v>
      </c>
      <c r="C73" s="5" t="s">
        <v>23383</v>
      </c>
      <c r="D73" s="5">
        <v>8</v>
      </c>
      <c r="E73" s="5" t="s">
        <v>23664</v>
      </c>
      <c r="F73" s="5" t="s">
        <v>23158</v>
      </c>
      <c r="G73" s="5" t="s">
        <v>23203</v>
      </c>
      <c r="H73" s="5">
        <f>COUNTIF(Movimientos_Inventario!C:C,A23)</f>
        <v>0</v>
      </c>
    </row>
    <row r="74" spans="1:8" ht="12.5">
      <c r="A74" s="5">
        <v>73</v>
      </c>
      <c r="B74" s="4">
        <v>46087.489621782406</v>
      </c>
      <c r="C74" s="5" t="s">
        <v>23452</v>
      </c>
      <c r="D74" s="5">
        <v>3</v>
      </c>
      <c r="E74" s="5" t="s">
        <v>23664</v>
      </c>
      <c r="F74" s="5" t="s">
        <v>23158</v>
      </c>
      <c r="G74" s="5" t="s">
        <v>23203</v>
      </c>
    </row>
    <row r="75" spans="1:8" ht="12.5">
      <c r="A75" s="5">
        <v>74</v>
      </c>
      <c r="B75" s="4">
        <v>46087.490726018514</v>
      </c>
      <c r="C75" s="5" t="s">
        <v>23335</v>
      </c>
      <c r="D75" s="5">
        <v>3</v>
      </c>
      <c r="E75" s="5" t="s">
        <v>23664</v>
      </c>
      <c r="F75" s="5" t="s">
        <v>23158</v>
      </c>
      <c r="G75" s="5" t="s">
        <v>23203</v>
      </c>
    </row>
    <row r="76" spans="1:8" ht="12.5">
      <c r="A76" s="5">
        <v>75</v>
      </c>
      <c r="B76" s="4">
        <v>46087.491495555558</v>
      </c>
      <c r="C76" s="5" t="s">
        <v>23238</v>
      </c>
      <c r="D76" s="5">
        <v>3</v>
      </c>
      <c r="E76" s="5" t="s">
        <v>23664</v>
      </c>
      <c r="F76" s="5" t="s">
        <v>23158</v>
      </c>
      <c r="G76" s="5" t="s">
        <v>23203</v>
      </c>
    </row>
    <row r="77" spans="1:8" ht="12.5">
      <c r="A77" s="5">
        <v>76</v>
      </c>
      <c r="B77" s="4">
        <v>46087.492559513892</v>
      </c>
      <c r="C77" s="5" t="s">
        <v>23591</v>
      </c>
      <c r="D77" s="5">
        <v>30</v>
      </c>
      <c r="E77" s="5" t="s">
        <v>23664</v>
      </c>
      <c r="F77" s="5" t="s">
        <v>23158</v>
      </c>
      <c r="G77" s="5" t="s">
        <v>23203</v>
      </c>
    </row>
    <row r="78" spans="1:8" ht="12.5">
      <c r="A78" s="5">
        <v>77</v>
      </c>
      <c r="B78" s="4">
        <v>46087.492952928238</v>
      </c>
      <c r="C78" s="5" t="s">
        <v>23612</v>
      </c>
      <c r="D78" s="5">
        <v>30</v>
      </c>
      <c r="E78" s="5" t="s">
        <v>23664</v>
      </c>
      <c r="F78" s="5" t="s">
        <v>23158</v>
      </c>
      <c r="G78" s="5" t="s">
        <v>23203</v>
      </c>
    </row>
    <row r="79" spans="1:8" ht="12.5">
      <c r="A79" s="5">
        <v>78</v>
      </c>
      <c r="B79" s="4">
        <v>46087.493499421296</v>
      </c>
      <c r="C79" s="5" t="s">
        <v>23595</v>
      </c>
      <c r="D79" s="5">
        <v>50</v>
      </c>
      <c r="E79" s="5" t="s">
        <v>23664</v>
      </c>
      <c r="F79" s="5" t="s">
        <v>23158</v>
      </c>
      <c r="G79" s="5" t="s">
        <v>23203</v>
      </c>
    </row>
    <row r="80" spans="1:8" ht="12.5">
      <c r="A80" s="5">
        <v>79</v>
      </c>
      <c r="B80" s="4">
        <v>46087.494440277776</v>
      </c>
      <c r="C80" s="5" t="s">
        <v>23377</v>
      </c>
      <c r="D80" s="5">
        <v>2</v>
      </c>
      <c r="E80" s="5" t="s">
        <v>23664</v>
      </c>
      <c r="F80" s="5" t="s">
        <v>23158</v>
      </c>
      <c r="G80" s="5" t="s">
        <v>23203</v>
      </c>
    </row>
    <row r="81" spans="1:7" ht="12.5">
      <c r="A81" s="5">
        <v>80</v>
      </c>
      <c r="B81" s="4">
        <v>46087.495197835648</v>
      </c>
      <c r="C81" s="5" t="s">
        <v>23283</v>
      </c>
      <c r="D81" s="5">
        <v>30</v>
      </c>
      <c r="E81" s="5" t="s">
        <v>23664</v>
      </c>
      <c r="F81" s="5" t="s">
        <v>23158</v>
      </c>
      <c r="G81" s="5" t="s">
        <v>23203</v>
      </c>
    </row>
    <row r="82" spans="1:7" ht="12.5">
      <c r="A82" s="5">
        <v>81</v>
      </c>
      <c r="B82" s="4">
        <v>46087.495845358797</v>
      </c>
      <c r="C82" s="5" t="s">
        <v>23270</v>
      </c>
      <c r="D82" s="5">
        <v>15</v>
      </c>
      <c r="E82" s="5" t="s">
        <v>23664</v>
      </c>
      <c r="F82" s="5" t="s">
        <v>23158</v>
      </c>
      <c r="G82" s="5" t="s">
        <v>23203</v>
      </c>
    </row>
    <row r="83" spans="1:7" ht="12.5">
      <c r="A83" s="5">
        <v>82</v>
      </c>
      <c r="B83" s="4">
        <v>46087.496441909723</v>
      </c>
      <c r="C83" s="5" t="s">
        <v>23295</v>
      </c>
      <c r="D83" s="5">
        <v>6</v>
      </c>
      <c r="E83" s="5" t="s">
        <v>23664</v>
      </c>
      <c r="F83" s="5" t="s">
        <v>23158</v>
      </c>
      <c r="G83" s="5" t="s">
        <v>23203</v>
      </c>
    </row>
    <row r="84" spans="1:7" ht="12.5">
      <c r="A84" s="5">
        <v>83</v>
      </c>
      <c r="B84" s="4">
        <v>46087.499180740742</v>
      </c>
      <c r="C84" s="5" t="s">
        <v>23549</v>
      </c>
      <c r="D84" s="5">
        <v>25</v>
      </c>
      <c r="E84" s="5" t="s">
        <v>23664</v>
      </c>
      <c r="F84" s="5" t="s">
        <v>23158</v>
      </c>
    </row>
    <row r="85" spans="1:7" ht="12.5">
      <c r="A85" s="5">
        <v>84</v>
      </c>
      <c r="B85" s="4">
        <v>46087.50000832176</v>
      </c>
      <c r="C85" s="5" t="s">
        <v>23560</v>
      </c>
      <c r="D85" s="5">
        <v>15</v>
      </c>
      <c r="E85" s="5" t="s">
        <v>23664</v>
      </c>
      <c r="F85" s="5" t="s">
        <v>23158</v>
      </c>
      <c r="G85" s="5" t="s">
        <v>23203</v>
      </c>
    </row>
    <row r="86" spans="1:7" ht="12.5">
      <c r="A86" s="5">
        <v>85</v>
      </c>
      <c r="B86" s="4">
        <v>46087.500502291667</v>
      </c>
      <c r="C86" s="5" t="s">
        <v>23536</v>
      </c>
      <c r="D86" s="5">
        <v>13</v>
      </c>
      <c r="E86" s="5" t="s">
        <v>23664</v>
      </c>
      <c r="F86" s="5" t="s">
        <v>23158</v>
      </c>
      <c r="G86" s="5" t="s">
        <v>23203</v>
      </c>
    </row>
    <row r="87" spans="1:7" ht="12.5">
      <c r="A87" s="5">
        <v>86</v>
      </c>
      <c r="B87" s="4">
        <v>46087.502736585651</v>
      </c>
      <c r="C87" s="5" t="s">
        <v>23488</v>
      </c>
      <c r="D87" s="5">
        <v>4</v>
      </c>
      <c r="E87" s="5" t="s">
        <v>23664</v>
      </c>
      <c r="F87" s="5" t="s">
        <v>23158</v>
      </c>
      <c r="G87" s="5" t="s">
        <v>23203</v>
      </c>
    </row>
    <row r="88" spans="1:7" ht="12.5">
      <c r="A88" s="5">
        <v>87</v>
      </c>
      <c r="B88" s="4">
        <v>46087.503177233797</v>
      </c>
      <c r="C88" s="5" t="s">
        <v>23494</v>
      </c>
      <c r="D88" s="5">
        <v>5</v>
      </c>
      <c r="E88" s="5" t="s">
        <v>23664</v>
      </c>
      <c r="F88" s="5" t="s">
        <v>23158</v>
      </c>
      <c r="G88" s="5" t="s">
        <v>23203</v>
      </c>
    </row>
    <row r="89" spans="1:7" ht="12.5">
      <c r="A89" s="5">
        <v>88</v>
      </c>
      <c r="B89" s="4">
        <v>46087.504107199071</v>
      </c>
      <c r="C89" s="5" t="s">
        <v>23478</v>
      </c>
      <c r="D89" s="5">
        <v>8</v>
      </c>
      <c r="E89" s="5" t="s">
        <v>23664</v>
      </c>
      <c r="F89" s="5" t="s">
        <v>23158</v>
      </c>
      <c r="G89" s="5" t="s">
        <v>23203</v>
      </c>
    </row>
    <row r="90" spans="1:7" ht="12.5">
      <c r="A90" s="5">
        <v>89</v>
      </c>
      <c r="B90" s="4">
        <v>46087.507112141204</v>
      </c>
      <c r="C90" s="5" t="s">
        <v>23482</v>
      </c>
      <c r="D90" s="5">
        <v>3</v>
      </c>
      <c r="E90" s="5" t="s">
        <v>23664</v>
      </c>
      <c r="F90" s="5" t="s">
        <v>23158</v>
      </c>
      <c r="G90" s="5" t="s">
        <v>23203</v>
      </c>
    </row>
    <row r="91" spans="1:7" ht="12.5">
      <c r="A91" s="5">
        <v>90</v>
      </c>
      <c r="B91" s="4">
        <v>46087.507856168981</v>
      </c>
      <c r="C91" s="5" t="s">
        <v>23247</v>
      </c>
      <c r="D91" s="5">
        <v>2</v>
      </c>
      <c r="E91" s="5" t="s">
        <v>23664</v>
      </c>
      <c r="F91" s="5" t="s">
        <v>23158</v>
      </c>
      <c r="G91" s="5" t="s">
        <v>23203</v>
      </c>
    </row>
    <row r="92" spans="1:7" ht="12.5">
      <c r="A92" s="5">
        <v>91</v>
      </c>
      <c r="B92" s="4">
        <v>46088.460965833336</v>
      </c>
      <c r="C92" s="5" t="s">
        <v>23295</v>
      </c>
      <c r="D92" s="5">
        <v>1</v>
      </c>
      <c r="E92" s="5" t="s">
        <v>23665</v>
      </c>
      <c r="F92" s="5" t="s">
        <v>23158</v>
      </c>
    </row>
    <row r="93" spans="1:7" ht="12.5">
      <c r="A93" s="5">
        <v>92</v>
      </c>
      <c r="B93" s="4">
        <v>46088.461210972222</v>
      </c>
      <c r="C93" s="5" t="s">
        <v>23383</v>
      </c>
      <c r="D93" s="5">
        <v>1</v>
      </c>
      <c r="E93" s="5" t="s">
        <v>23665</v>
      </c>
      <c r="F93" s="5" t="s">
        <v>23158</v>
      </c>
    </row>
    <row r="94" spans="1:7" ht="12.5">
      <c r="A94" s="5">
        <v>93</v>
      </c>
      <c r="B94" s="4">
        <v>46088.461710740739</v>
      </c>
      <c r="C94" s="5" t="s">
        <v>23247</v>
      </c>
      <c r="D94" s="5">
        <v>1</v>
      </c>
      <c r="E94" s="5" t="s">
        <v>23665</v>
      </c>
      <c r="F94" s="5" t="s">
        <v>23158</v>
      </c>
    </row>
    <row r="95" spans="1:7" ht="12.5">
      <c r="A95" s="5">
        <v>94</v>
      </c>
      <c r="B95" s="4">
        <v>46088.461972442128</v>
      </c>
      <c r="C95" s="5" t="s">
        <v>23238</v>
      </c>
      <c r="D95" s="5">
        <v>1</v>
      </c>
      <c r="E95" s="5" t="s">
        <v>23665</v>
      </c>
      <c r="F95" s="5" t="s">
        <v>23672</v>
      </c>
    </row>
    <row r="96" spans="1:7" ht="12.5">
      <c r="A96" s="5">
        <v>95</v>
      </c>
      <c r="B96" s="4">
        <v>46088.473400381947</v>
      </c>
      <c r="C96" s="5" t="s">
        <v>23452</v>
      </c>
      <c r="D96" s="5">
        <v>1</v>
      </c>
      <c r="E96" s="5" t="s">
        <v>23665</v>
      </c>
      <c r="F96" s="5" t="s">
        <v>23158</v>
      </c>
    </row>
    <row r="97" spans="1:7" ht="12.5">
      <c r="A97" s="5">
        <v>96</v>
      </c>
      <c r="B97" s="4">
        <v>46088.474280740746</v>
      </c>
      <c r="C97" s="5" t="s">
        <v>23595</v>
      </c>
      <c r="D97" s="5">
        <v>1</v>
      </c>
      <c r="E97" s="5" t="s">
        <v>23665</v>
      </c>
      <c r="F97" s="5" t="s">
        <v>23158</v>
      </c>
    </row>
    <row r="98" spans="1:7" ht="12.5">
      <c r="A98" s="5">
        <v>97</v>
      </c>
      <c r="B98" s="4">
        <v>46088.479532199075</v>
      </c>
      <c r="C98" s="5" t="s">
        <v>23604</v>
      </c>
      <c r="D98" s="5">
        <v>1</v>
      </c>
      <c r="E98" s="5" t="s">
        <v>23665</v>
      </c>
      <c r="F98" s="5" t="s">
        <v>23158</v>
      </c>
    </row>
    <row r="99" spans="1:7" ht="12.5">
      <c r="A99" s="5">
        <v>98</v>
      </c>
      <c r="B99" s="4">
        <v>46088.479882546293</v>
      </c>
      <c r="C99" s="5" t="s">
        <v>23575</v>
      </c>
      <c r="D99" s="5">
        <v>1</v>
      </c>
      <c r="E99" s="5" t="s">
        <v>23665</v>
      </c>
      <c r="F99" s="5" t="s">
        <v>23158</v>
      </c>
    </row>
    <row r="100" spans="1:7" ht="12.5">
      <c r="A100" s="5">
        <v>99</v>
      </c>
      <c r="B100" s="4">
        <v>46088.480517175922</v>
      </c>
      <c r="C100" s="5" t="s">
        <v>23560</v>
      </c>
      <c r="D100" s="5">
        <v>1</v>
      </c>
      <c r="E100" s="5" t="s">
        <v>23665</v>
      </c>
      <c r="F100" s="5" t="s">
        <v>23158</v>
      </c>
    </row>
    <row r="101" spans="1:7" ht="12.5">
      <c r="A101" s="5">
        <v>100</v>
      </c>
      <c r="B101" s="4">
        <v>46088.51268407407</v>
      </c>
      <c r="C101" s="5" t="s">
        <v>23542</v>
      </c>
      <c r="D101" s="5">
        <v>1</v>
      </c>
      <c r="E101" s="5" t="s">
        <v>23665</v>
      </c>
      <c r="F101" s="5" t="s">
        <v>23158</v>
      </c>
    </row>
    <row r="102" spans="1:7" ht="12.5">
      <c r="A102" s="5">
        <v>101</v>
      </c>
      <c r="B102" s="4">
        <v>46088.512715682868</v>
      </c>
      <c r="C102" s="5" t="s">
        <v>23542</v>
      </c>
      <c r="D102" s="5">
        <v>1</v>
      </c>
      <c r="E102" s="5" t="s">
        <v>23665</v>
      </c>
      <c r="F102" s="5" t="s">
        <v>23158</v>
      </c>
    </row>
    <row r="103" spans="1:7" ht="12.5">
      <c r="A103" s="5">
        <v>102</v>
      </c>
      <c r="B103" s="4">
        <v>46088.515010115741</v>
      </c>
      <c r="C103" s="5" t="s">
        <v>23536</v>
      </c>
      <c r="D103" s="5">
        <v>13</v>
      </c>
      <c r="E103" s="5" t="s">
        <v>23665</v>
      </c>
      <c r="F103" s="5" t="s">
        <v>23158</v>
      </c>
    </row>
    <row r="104" spans="1:7" ht="12.5">
      <c r="A104" s="5">
        <v>103</v>
      </c>
      <c r="B104" s="4">
        <v>46088.515483101852</v>
      </c>
      <c r="C104" s="5" t="s">
        <v>23534</v>
      </c>
      <c r="D104" s="5">
        <v>12</v>
      </c>
      <c r="E104" s="5" t="s">
        <v>23664</v>
      </c>
      <c r="F104" s="5" t="s">
        <v>23158</v>
      </c>
      <c r="G104" s="5" t="s">
        <v>23203</v>
      </c>
    </row>
    <row r="105" spans="1:7" ht="12.5">
      <c r="A105" s="5">
        <v>104</v>
      </c>
      <c r="B105" s="4">
        <v>46088.695819664354</v>
      </c>
      <c r="C105" s="5" t="s">
        <v>23555</v>
      </c>
      <c r="D105" s="5">
        <v>4</v>
      </c>
      <c r="E105" s="5" t="s">
        <v>23665</v>
      </c>
      <c r="F105" s="5" t="s">
        <v>23158</v>
      </c>
    </row>
    <row r="106" spans="1:7" ht="12.5">
      <c r="A106" s="5">
        <v>105</v>
      </c>
      <c r="B106" s="4">
        <v>46088.699125833329</v>
      </c>
      <c r="C106" s="5" t="s">
        <v>23568</v>
      </c>
      <c r="D106" s="5">
        <v>5</v>
      </c>
      <c r="E106" s="5" t="s">
        <v>23665</v>
      </c>
      <c r="F106" s="5" t="s">
        <v>23158</v>
      </c>
    </row>
    <row r="107" spans="1:7" ht="12.5">
      <c r="A107" s="5">
        <v>106</v>
      </c>
      <c r="B107" s="4">
        <v>46088.699373750002</v>
      </c>
      <c r="C107" s="5" t="s">
        <v>23568</v>
      </c>
      <c r="D107" s="5">
        <v>5</v>
      </c>
      <c r="E107" s="5" t="s">
        <v>23665</v>
      </c>
      <c r="F107" s="5" t="s">
        <v>23158</v>
      </c>
    </row>
    <row r="108" spans="1:7" ht="12.5">
      <c r="A108" s="5">
        <v>107</v>
      </c>
      <c r="B108" s="4">
        <v>46088.70096209491</v>
      </c>
      <c r="C108" s="5" t="s">
        <v>23526</v>
      </c>
      <c r="D108" s="5">
        <v>10</v>
      </c>
      <c r="E108" s="5" t="s">
        <v>23664</v>
      </c>
      <c r="F108" s="5" t="s">
        <v>23158</v>
      </c>
      <c r="G108" s="5" t="s">
        <v>23203</v>
      </c>
    </row>
    <row r="109" spans="1:7" ht="12.5">
      <c r="A109" s="5">
        <v>108</v>
      </c>
      <c r="B109" s="4">
        <v>46088.701317743056</v>
      </c>
      <c r="C109" s="5" t="s">
        <v>23555</v>
      </c>
      <c r="D109" s="5">
        <v>10</v>
      </c>
      <c r="E109" s="5" t="s">
        <v>23664</v>
      </c>
      <c r="F109" s="5" t="s">
        <v>23158</v>
      </c>
      <c r="G109" s="5" t="s">
        <v>23203</v>
      </c>
    </row>
    <row r="110" spans="1:7" ht="12.5">
      <c r="A110" s="5">
        <v>109</v>
      </c>
      <c r="B110" s="4">
        <v>46088.70253141204</v>
      </c>
      <c r="C110" s="5" t="s">
        <v>23533</v>
      </c>
      <c r="D110" s="5">
        <v>20</v>
      </c>
      <c r="E110" s="5" t="s">
        <v>23664</v>
      </c>
      <c r="F110" s="5" t="s">
        <v>23158</v>
      </c>
      <c r="G110" s="5" t="s">
        <v>23203</v>
      </c>
    </row>
    <row r="111" spans="1:7" ht="12.5">
      <c r="A111" s="5">
        <v>110</v>
      </c>
      <c r="B111" s="4">
        <v>46088.702922025463</v>
      </c>
      <c r="C111" s="5" t="s">
        <v>23530</v>
      </c>
      <c r="D111" s="5">
        <v>1</v>
      </c>
      <c r="E111" s="5" t="s">
        <v>23665</v>
      </c>
      <c r="F111" s="5" t="s">
        <v>23158</v>
      </c>
    </row>
    <row r="112" spans="1:7" ht="12.5">
      <c r="A112" s="5">
        <v>111</v>
      </c>
      <c r="B112" s="4">
        <v>46088.704070648149</v>
      </c>
      <c r="C112" s="5" t="s">
        <v>23383</v>
      </c>
      <c r="D112" s="5">
        <v>2</v>
      </c>
      <c r="E112" s="5" t="s">
        <v>23665</v>
      </c>
      <c r="F112" s="5" t="s">
        <v>23158</v>
      </c>
    </row>
    <row r="113" spans="1:6" ht="12.5">
      <c r="A113" s="5">
        <v>112</v>
      </c>
      <c r="B113" s="4">
        <v>46088.704333275462</v>
      </c>
      <c r="C113" s="5" t="s">
        <v>23591</v>
      </c>
      <c r="D113" s="5">
        <v>1</v>
      </c>
      <c r="E113" s="5" t="s">
        <v>23665</v>
      </c>
      <c r="F113" s="5" t="s">
        <v>23158</v>
      </c>
    </row>
    <row r="114" spans="1:6" ht="12.5">
      <c r="A114" s="5">
        <v>113</v>
      </c>
      <c r="B114" s="4">
        <v>46088.705039016204</v>
      </c>
      <c r="C114" s="5" t="s">
        <v>23247</v>
      </c>
      <c r="D114" s="5">
        <v>1</v>
      </c>
      <c r="E114" s="5" t="s">
        <v>23665</v>
      </c>
      <c r="F114" s="5" t="s">
        <v>23158</v>
      </c>
    </row>
    <row r="115" spans="1:6" ht="12.5">
      <c r="A115" s="5">
        <v>114</v>
      </c>
      <c r="B115" s="4">
        <v>46088.705919305554</v>
      </c>
      <c r="C115" s="5" t="s">
        <v>23595</v>
      </c>
      <c r="D115" s="5">
        <v>50</v>
      </c>
      <c r="E115" s="5" t="s">
        <v>23664</v>
      </c>
      <c r="F115" s="5" t="s">
        <v>23158</v>
      </c>
    </row>
    <row r="116" spans="1:6" ht="12.5">
      <c r="A116" s="5">
        <v>115</v>
      </c>
      <c r="B116" s="4">
        <v>46088.706259837963</v>
      </c>
      <c r="C116" s="5" t="s">
        <v>23595</v>
      </c>
      <c r="D116" s="5">
        <v>2</v>
      </c>
      <c r="E116" s="5" t="s">
        <v>23665</v>
      </c>
      <c r="F116" s="5" t="s">
        <v>23158</v>
      </c>
    </row>
    <row r="117" spans="1:6" ht="12.5">
      <c r="A117" s="5">
        <v>116</v>
      </c>
      <c r="B117" s="4">
        <v>46088.707627430558</v>
      </c>
      <c r="C117" s="5" t="s">
        <v>23604</v>
      </c>
      <c r="D117" s="5">
        <v>2</v>
      </c>
      <c r="E117" s="5" t="s">
        <v>23665</v>
      </c>
      <c r="F117" s="5" t="s">
        <v>23158</v>
      </c>
    </row>
    <row r="118" spans="1:6" ht="12.5">
      <c r="A118" s="5">
        <v>117</v>
      </c>
      <c r="B118" s="4">
        <v>46088.714717314811</v>
      </c>
      <c r="C118" s="5" t="s">
        <v>23308</v>
      </c>
      <c r="D118" s="5">
        <v>3</v>
      </c>
      <c r="E118" s="5" t="s">
        <v>23665</v>
      </c>
      <c r="F118" s="5" t="s">
        <v>23158</v>
      </c>
    </row>
    <row r="119" spans="1:6" ht="12.5">
      <c r="A119" s="5">
        <v>118</v>
      </c>
      <c r="B119" s="4">
        <v>46088.715941956019</v>
      </c>
      <c r="C119" s="5" t="s">
        <v>23212</v>
      </c>
      <c r="D119" s="5">
        <v>2</v>
      </c>
      <c r="E119" s="5" t="s">
        <v>23665</v>
      </c>
      <c r="F119" s="5" t="s">
        <v>23158</v>
      </c>
    </row>
    <row r="120" spans="1:6" ht="12.5">
      <c r="A120" s="5">
        <v>119</v>
      </c>
      <c r="B120" s="4">
        <v>46088.716248368059</v>
      </c>
      <c r="C120" s="5" t="s">
        <v>23212</v>
      </c>
      <c r="D120" s="5">
        <v>2</v>
      </c>
      <c r="E120" s="5" t="s">
        <v>23665</v>
      </c>
      <c r="F120" s="5" t="s">
        <v>23158</v>
      </c>
    </row>
    <row r="121" spans="1:6" ht="12.5">
      <c r="A121" s="5">
        <v>120</v>
      </c>
      <c r="B121" s="4">
        <v>46088.718453460649</v>
      </c>
      <c r="C121" s="5" t="s">
        <v>23212</v>
      </c>
      <c r="D121" s="5">
        <v>2</v>
      </c>
      <c r="E121" s="5" t="s">
        <v>23664</v>
      </c>
      <c r="F121" s="5" t="s">
        <v>23158</v>
      </c>
    </row>
    <row r="122" spans="1:6" ht="12.5">
      <c r="A122" s="5">
        <v>121</v>
      </c>
      <c r="B122" s="4">
        <v>46088.719284652776</v>
      </c>
      <c r="C122" s="5" t="s">
        <v>23200</v>
      </c>
      <c r="D122" s="5">
        <v>2</v>
      </c>
      <c r="E122" s="5" t="s">
        <v>23665</v>
      </c>
      <c r="F122" s="5" t="s">
        <v>23158</v>
      </c>
    </row>
    <row r="123" spans="1:6" ht="12.5">
      <c r="A123" s="5">
        <v>122</v>
      </c>
      <c r="B123" s="4">
        <v>46088.719744317132</v>
      </c>
      <c r="C123" s="5" t="s">
        <v>23335</v>
      </c>
      <c r="D123" s="5">
        <v>1</v>
      </c>
      <c r="E123" s="5" t="s">
        <v>23665</v>
      </c>
      <c r="F123" s="5" t="s">
        <v>23158</v>
      </c>
    </row>
    <row r="124" spans="1:6" ht="12.5">
      <c r="A124" s="5">
        <v>123</v>
      </c>
      <c r="B124" s="4">
        <v>46088.720110821756</v>
      </c>
      <c r="C124" s="5" t="s">
        <v>23461</v>
      </c>
      <c r="D124" s="5">
        <v>2</v>
      </c>
      <c r="E124" s="5" t="s">
        <v>23665</v>
      </c>
      <c r="F124" s="5" t="s">
        <v>23158</v>
      </c>
    </row>
    <row r="125" spans="1:6" ht="12.5">
      <c r="A125" s="5">
        <v>124</v>
      </c>
      <c r="B125" s="4">
        <v>46088.720455960647</v>
      </c>
      <c r="C125" s="5" t="s">
        <v>23488</v>
      </c>
      <c r="D125" s="5">
        <v>1</v>
      </c>
      <c r="E125" s="5" t="s">
        <v>23665</v>
      </c>
      <c r="F125" s="5" t="s">
        <v>23158</v>
      </c>
    </row>
    <row r="126" spans="1:6" ht="12.5">
      <c r="A126" s="5">
        <v>125</v>
      </c>
      <c r="B126" s="4">
        <v>46088.723895567135</v>
      </c>
      <c r="C126" s="5" t="s">
        <v>23646</v>
      </c>
      <c r="D126" s="5">
        <v>5</v>
      </c>
      <c r="E126" s="5" t="s">
        <v>23665</v>
      </c>
      <c r="F126" s="5" t="s">
        <v>23158</v>
      </c>
    </row>
    <row r="127" spans="1:6" ht="12.5">
      <c r="A127" s="5">
        <v>126</v>
      </c>
      <c r="B127" s="4">
        <v>46088.729716365742</v>
      </c>
      <c r="C127" s="5" t="s">
        <v>23283</v>
      </c>
      <c r="D127" s="5">
        <v>4</v>
      </c>
      <c r="E127" s="5" t="s">
        <v>23665</v>
      </c>
      <c r="F127" s="5" t="s">
        <v>23158</v>
      </c>
    </row>
    <row r="128" spans="1:6" ht="12.5">
      <c r="A128" s="5">
        <v>127</v>
      </c>
      <c r="B128" s="4">
        <v>46088.73184743055</v>
      </c>
      <c r="C128" s="5" t="s">
        <v>23478</v>
      </c>
      <c r="D128" s="5">
        <v>2</v>
      </c>
      <c r="E128" s="5" t="s">
        <v>23665</v>
      </c>
      <c r="F128" s="5" t="s">
        <v>23158</v>
      </c>
    </row>
    <row r="129" spans="1:6" ht="12.5">
      <c r="A129" s="5">
        <v>128</v>
      </c>
      <c r="B129" s="4">
        <v>46088.732286481478</v>
      </c>
      <c r="C129" s="5" t="s">
        <v>23371</v>
      </c>
      <c r="D129" s="5">
        <v>1</v>
      </c>
      <c r="E129" s="5" t="s">
        <v>23665</v>
      </c>
      <c r="F129" s="5" t="s">
        <v>23158</v>
      </c>
    </row>
    <row r="130" spans="1:6" ht="12.5">
      <c r="A130" s="5">
        <v>129</v>
      </c>
      <c r="B130" s="4">
        <v>46088.78951707176</v>
      </c>
      <c r="C130" s="5" t="s">
        <v>23298</v>
      </c>
      <c r="D130" s="5">
        <v>1</v>
      </c>
      <c r="E130" s="5" t="s">
        <v>23665</v>
      </c>
      <c r="F130" s="5" t="s">
        <v>23158</v>
      </c>
    </row>
    <row r="131" spans="1:6" ht="12.5">
      <c r="A131" s="5">
        <v>130</v>
      </c>
      <c r="B131" s="4">
        <v>46088.789761539352</v>
      </c>
      <c r="C131" s="5" t="s">
        <v>23295</v>
      </c>
      <c r="D131" s="5">
        <v>1</v>
      </c>
      <c r="E131" s="5" t="s">
        <v>23665</v>
      </c>
      <c r="F131" s="5" t="s">
        <v>23158</v>
      </c>
    </row>
    <row r="132" spans="1:6" ht="12.5">
      <c r="A132" s="5">
        <v>131</v>
      </c>
      <c r="B132" s="4">
        <v>46088.790069282404</v>
      </c>
      <c r="C132" s="5" t="s">
        <v>23295</v>
      </c>
      <c r="D132" s="5">
        <v>1</v>
      </c>
      <c r="E132" s="5" t="s">
        <v>23665</v>
      </c>
      <c r="F132" s="5" t="s">
        <v>23158</v>
      </c>
    </row>
    <row r="133" spans="1:6" ht="12.5">
      <c r="A133" s="5">
        <v>132</v>
      </c>
      <c r="B133" s="4">
        <v>46088.790263287039</v>
      </c>
      <c r="C133" s="5" t="s">
        <v>23283</v>
      </c>
      <c r="D133" s="5">
        <v>2</v>
      </c>
      <c r="E133" s="5" t="s">
        <v>23665</v>
      </c>
      <c r="F133" s="5" t="s">
        <v>23158</v>
      </c>
    </row>
    <row r="134" spans="1:6" ht="12.5">
      <c r="A134" s="5">
        <v>133</v>
      </c>
      <c r="B134" s="4">
        <v>46088.790904756941</v>
      </c>
      <c r="C134" s="5" t="s">
        <v>23308</v>
      </c>
      <c r="D134" s="5">
        <v>3</v>
      </c>
      <c r="E134" s="5" t="s">
        <v>23665</v>
      </c>
      <c r="F134" s="5" t="s">
        <v>23158</v>
      </c>
    </row>
    <row r="135" spans="1:6" ht="12.5">
      <c r="A135" s="5">
        <v>134</v>
      </c>
      <c r="B135" s="4">
        <v>46088.791717812499</v>
      </c>
      <c r="C135" s="5" t="s">
        <v>23283</v>
      </c>
      <c r="D135" s="5">
        <v>3</v>
      </c>
      <c r="E135" s="5" t="s">
        <v>23665</v>
      </c>
      <c r="F135" s="5" t="s">
        <v>23158</v>
      </c>
    </row>
    <row r="136" spans="1:6" ht="12.5">
      <c r="A136" s="5">
        <v>135</v>
      </c>
      <c r="B136" s="4">
        <v>46088.792892800921</v>
      </c>
      <c r="C136" s="5" t="s">
        <v>23283</v>
      </c>
      <c r="D136" s="5">
        <v>5</v>
      </c>
      <c r="E136" s="5" t="s">
        <v>23664</v>
      </c>
      <c r="F136" s="5" t="s">
        <v>23158</v>
      </c>
    </row>
    <row r="137" spans="1:6" ht="12.5">
      <c r="A137" s="5">
        <v>136</v>
      </c>
      <c r="B137" s="4">
        <v>46088.793790543983</v>
      </c>
      <c r="C137" s="5" t="s">
        <v>23362</v>
      </c>
      <c r="D137" s="5">
        <v>1</v>
      </c>
      <c r="E137" s="5" t="s">
        <v>23665</v>
      </c>
      <c r="F137" s="5" t="s">
        <v>23158</v>
      </c>
    </row>
    <row r="138" spans="1:6" ht="12.5">
      <c r="A138" s="5">
        <v>137</v>
      </c>
      <c r="B138" s="4">
        <v>46088.794262256946</v>
      </c>
      <c r="C138" s="5" t="s">
        <v>23595</v>
      </c>
      <c r="D138" s="5">
        <v>6</v>
      </c>
      <c r="E138" s="5" t="s">
        <v>23665</v>
      </c>
      <c r="F138" s="5" t="s">
        <v>23158</v>
      </c>
    </row>
    <row r="139" spans="1:6" ht="12.5">
      <c r="A139" s="5">
        <v>138</v>
      </c>
      <c r="B139" s="4">
        <v>46088.794523449076</v>
      </c>
      <c r="C139" s="5" t="s">
        <v>23604</v>
      </c>
      <c r="D139" s="5">
        <v>3</v>
      </c>
      <c r="E139" s="5" t="s">
        <v>23665</v>
      </c>
      <c r="F139" s="5" t="s">
        <v>23158</v>
      </c>
    </row>
    <row r="140" spans="1:6" ht="12.5">
      <c r="A140" s="5">
        <v>139</v>
      </c>
      <c r="B140" s="4">
        <v>46088.79497289352</v>
      </c>
      <c r="C140" s="5" t="s">
        <v>23646</v>
      </c>
      <c r="D140" s="5">
        <v>2</v>
      </c>
      <c r="E140" s="5" t="s">
        <v>23665</v>
      </c>
      <c r="F140" s="5" t="s">
        <v>23158</v>
      </c>
    </row>
    <row r="141" spans="1:6" ht="12.5">
      <c r="A141" s="5">
        <v>140</v>
      </c>
      <c r="B141" s="4">
        <v>46088.795386736107</v>
      </c>
      <c r="C141" s="5" t="s">
        <v>23612</v>
      </c>
      <c r="D141" s="5">
        <v>7</v>
      </c>
      <c r="E141" s="5" t="s">
        <v>23665</v>
      </c>
      <c r="F141" s="5" t="s">
        <v>23158</v>
      </c>
    </row>
    <row r="142" spans="1:6" ht="12.5">
      <c r="A142" s="5">
        <v>141</v>
      </c>
      <c r="B142" s="4">
        <v>46088.795720138893</v>
      </c>
      <c r="C142" s="5" t="s">
        <v>23606</v>
      </c>
      <c r="D142" s="5">
        <v>2</v>
      </c>
      <c r="E142" s="5" t="s">
        <v>23665</v>
      </c>
      <c r="F142" s="5" t="s">
        <v>23158</v>
      </c>
    </row>
    <row r="143" spans="1:6" ht="12.5">
      <c r="A143" s="5">
        <v>142</v>
      </c>
      <c r="B143" s="4">
        <v>46088.796236365743</v>
      </c>
      <c r="C143" s="5" t="s">
        <v>23455</v>
      </c>
      <c r="D143" s="5">
        <v>1</v>
      </c>
      <c r="E143" s="5" t="s">
        <v>23665</v>
      </c>
      <c r="F143" s="5" t="s">
        <v>23158</v>
      </c>
    </row>
    <row r="144" spans="1:6" ht="12.5">
      <c r="A144" s="5">
        <v>143</v>
      </c>
      <c r="B144" s="4">
        <v>46088.796660381944</v>
      </c>
      <c r="C144" s="5" t="s">
        <v>23383</v>
      </c>
      <c r="D144" s="5">
        <v>2</v>
      </c>
      <c r="E144" s="5" t="s">
        <v>23665</v>
      </c>
      <c r="F144" s="5" t="s">
        <v>23158</v>
      </c>
    </row>
    <row r="145" spans="1:6" ht="12.5">
      <c r="A145" s="5">
        <v>144</v>
      </c>
      <c r="B145" s="4">
        <v>46088.797046400461</v>
      </c>
      <c r="C145" s="5" t="s">
        <v>23452</v>
      </c>
      <c r="D145" s="5">
        <v>1</v>
      </c>
      <c r="E145" s="5" t="s">
        <v>23665</v>
      </c>
      <c r="F145" s="5" t="s">
        <v>23158</v>
      </c>
    </row>
    <row r="146" spans="1:6" ht="12.5">
      <c r="A146" s="5">
        <v>145</v>
      </c>
      <c r="B146" s="4">
        <v>46088.79755758102</v>
      </c>
      <c r="C146" s="5" t="s">
        <v>23423</v>
      </c>
      <c r="D146" s="5">
        <v>1</v>
      </c>
      <c r="E146" s="5" t="s">
        <v>23665</v>
      </c>
      <c r="F146" s="5" t="s">
        <v>23158</v>
      </c>
    </row>
    <row r="147" spans="1:6" ht="12.5">
      <c r="A147" s="5">
        <v>146</v>
      </c>
      <c r="B147" s="4">
        <v>46088.797708402781</v>
      </c>
      <c r="C147" s="5" t="s">
        <v>23423</v>
      </c>
      <c r="D147" s="5">
        <v>1</v>
      </c>
      <c r="E147" s="5" t="s">
        <v>23665</v>
      </c>
      <c r="F147" s="5" t="s">
        <v>23158</v>
      </c>
    </row>
    <row r="148" spans="1:6" ht="12.5">
      <c r="A148" s="5">
        <v>147</v>
      </c>
      <c r="B148" s="4">
        <v>46088.797935925926</v>
      </c>
      <c r="C148" s="5" t="s">
        <v>23459</v>
      </c>
      <c r="D148" s="5">
        <v>2</v>
      </c>
      <c r="E148" s="5" t="s">
        <v>23665</v>
      </c>
      <c r="F148" s="5" t="s">
        <v>23158</v>
      </c>
    </row>
    <row r="149" spans="1:6" ht="12.5">
      <c r="A149" s="5">
        <v>148</v>
      </c>
      <c r="B149" s="4">
        <v>46088.798599976857</v>
      </c>
      <c r="C149" s="5" t="s">
        <v>23461</v>
      </c>
      <c r="D149" s="5">
        <v>2</v>
      </c>
      <c r="E149" s="5" t="s">
        <v>23665</v>
      </c>
      <c r="F149" s="5" t="s">
        <v>23158</v>
      </c>
    </row>
    <row r="150" spans="1:6" ht="12.5">
      <c r="A150" s="5">
        <v>149</v>
      </c>
      <c r="B150" s="4">
        <v>46088.798936087958</v>
      </c>
      <c r="C150" s="5" t="s">
        <v>23478</v>
      </c>
      <c r="D150" s="5">
        <v>2</v>
      </c>
      <c r="E150" s="5" t="s">
        <v>23665</v>
      </c>
      <c r="F150" s="5" t="s">
        <v>23158</v>
      </c>
    </row>
    <row r="151" spans="1:6" ht="12.5">
      <c r="A151" s="5">
        <v>150</v>
      </c>
      <c r="B151" s="4">
        <v>46088.799292916665</v>
      </c>
      <c r="C151" s="5" t="s">
        <v>23549</v>
      </c>
      <c r="D151" s="5">
        <v>2</v>
      </c>
      <c r="E151" s="5" t="s">
        <v>23665</v>
      </c>
      <c r="F151" s="5" t="s">
        <v>23158</v>
      </c>
    </row>
    <row r="152" spans="1:6" ht="12.5">
      <c r="A152" s="5">
        <v>151</v>
      </c>
      <c r="B152" s="4">
        <v>46088.799598136575</v>
      </c>
      <c r="C152" s="5" t="s">
        <v>23560</v>
      </c>
      <c r="D152" s="5">
        <v>3</v>
      </c>
      <c r="E152" s="5" t="s">
        <v>23665</v>
      </c>
      <c r="F152" s="5" t="s">
        <v>23158</v>
      </c>
    </row>
    <row r="153" spans="1:6" ht="12.5">
      <c r="A153" s="5">
        <v>152</v>
      </c>
      <c r="B153" s="4">
        <v>46088.799787731477</v>
      </c>
      <c r="C153" s="5" t="s">
        <v>23568</v>
      </c>
      <c r="D153" s="5">
        <v>3</v>
      </c>
      <c r="E153" s="5" t="s">
        <v>23665</v>
      </c>
      <c r="F153" s="5" t="s">
        <v>23158</v>
      </c>
    </row>
    <row r="154" spans="1:6" ht="12.5">
      <c r="A154" s="5">
        <v>153</v>
      </c>
      <c r="B154" s="4">
        <v>46088.800075057872</v>
      </c>
      <c r="C154" s="5" t="s">
        <v>23555</v>
      </c>
      <c r="D154" s="5">
        <v>1</v>
      </c>
      <c r="E154" s="5" t="s">
        <v>23665</v>
      </c>
      <c r="F154" s="5" t="s">
        <v>23158</v>
      </c>
    </row>
    <row r="155" spans="1:6" ht="12.5">
      <c r="A155" s="5">
        <v>154</v>
      </c>
      <c r="B155" s="4">
        <v>46088.800254560185</v>
      </c>
      <c r="C155" s="5" t="s">
        <v>23533</v>
      </c>
      <c r="D155" s="5">
        <v>6</v>
      </c>
      <c r="E155" s="5" t="s">
        <v>23665</v>
      </c>
      <c r="F155" s="5" t="s">
        <v>23158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000"/>
  <sheetViews>
    <sheetView workbookViewId="0"/>
  </sheetViews>
  <sheetFormatPr baseColWidth="10" defaultColWidth="12.6328125" defaultRowHeight="15.75" customHeight="1"/>
  <cols>
    <col min="3" max="3" width="15.453125" customWidth="1"/>
    <col min="8" max="8" width="16.26953125" customWidth="1"/>
  </cols>
  <sheetData>
    <row r="1" spans="1:8" ht="15.75" customHeight="1">
      <c r="A1" s="16" t="s">
        <v>23658</v>
      </c>
      <c r="B1" s="16" t="s">
        <v>23659</v>
      </c>
      <c r="C1" s="16" t="s">
        <v>23176</v>
      </c>
      <c r="D1" s="16" t="s">
        <v>23660</v>
      </c>
      <c r="E1" s="16" t="s">
        <v>23661</v>
      </c>
      <c r="F1" s="16" t="s">
        <v>23662</v>
      </c>
      <c r="G1" s="16" t="s">
        <v>23663</v>
      </c>
    </row>
    <row r="2" spans="1:8" ht="15.75" customHeight="1">
      <c r="A2" s="15">
        <v>1</v>
      </c>
      <c r="B2" s="14">
        <v>46062.917074050929</v>
      </c>
      <c r="C2" s="15">
        <v>1</v>
      </c>
      <c r="D2" s="15">
        <v>2000</v>
      </c>
      <c r="E2" s="16" t="s">
        <v>23664</v>
      </c>
      <c r="F2" s="15">
        <v>34</v>
      </c>
      <c r="G2" s="16"/>
      <c r="H2" s="23"/>
    </row>
    <row r="3" spans="1:8" ht="15.75" customHeight="1">
      <c r="A3" s="15">
        <v>2</v>
      </c>
      <c r="B3" s="14">
        <v>46062.917426574073</v>
      </c>
      <c r="C3" s="15">
        <v>1</v>
      </c>
      <c r="D3" s="15">
        <v>2000</v>
      </c>
      <c r="E3" s="16" t="s">
        <v>23665</v>
      </c>
      <c r="F3" s="15">
        <v>34</v>
      </c>
      <c r="G3" s="16"/>
      <c r="H3" s="23"/>
    </row>
    <row r="4" spans="1:8" ht="15.75" customHeight="1">
      <c r="A4" s="15">
        <v>3</v>
      </c>
      <c r="B4" s="14">
        <v>46062.91777803241</v>
      </c>
      <c r="C4" s="15">
        <v>1</v>
      </c>
      <c r="D4" s="15">
        <v>2000</v>
      </c>
      <c r="E4" s="16" t="s">
        <v>23665</v>
      </c>
      <c r="F4" s="15">
        <v>34</v>
      </c>
      <c r="G4" s="16"/>
      <c r="H4" s="23"/>
    </row>
    <row r="5" spans="1:8" ht="15.75" customHeight="1">
      <c r="A5" s="15">
        <v>4</v>
      </c>
      <c r="B5" s="14">
        <v>46063.016196701385</v>
      </c>
      <c r="C5" s="15">
        <v>1</v>
      </c>
      <c r="D5" s="15">
        <v>20</v>
      </c>
      <c r="E5" s="16" t="s">
        <v>23664</v>
      </c>
      <c r="F5" s="16" t="s">
        <v>23666</v>
      </c>
      <c r="G5" s="16"/>
      <c r="H5" s="23"/>
    </row>
    <row r="6" spans="1:8" ht="15.75" customHeight="1">
      <c r="A6" s="15">
        <v>5</v>
      </c>
      <c r="B6" s="14">
        <v>46063.024344097226</v>
      </c>
      <c r="C6" s="15">
        <v>1</v>
      </c>
      <c r="D6" s="15">
        <v>20</v>
      </c>
      <c r="E6" s="16" t="s">
        <v>23664</v>
      </c>
      <c r="F6" s="16" t="s">
        <v>23666</v>
      </c>
      <c r="G6" s="16"/>
      <c r="H6" s="23"/>
    </row>
    <row r="7" spans="1:8" ht="15.75" customHeight="1">
      <c r="A7" s="15">
        <v>6</v>
      </c>
      <c r="B7" s="14">
        <v>46063.024608761574</v>
      </c>
      <c r="C7" s="15">
        <v>1</v>
      </c>
      <c r="D7" s="15">
        <v>20</v>
      </c>
      <c r="E7" s="16" t="s">
        <v>23664</v>
      </c>
      <c r="F7" s="16" t="s">
        <v>23666</v>
      </c>
      <c r="G7" s="16"/>
      <c r="H7" s="23"/>
    </row>
    <row r="8" spans="1:8" ht="15.75" customHeight="1">
      <c r="A8" s="15">
        <v>7</v>
      </c>
      <c r="B8" s="14">
        <v>46063.025970706018</v>
      </c>
      <c r="C8" s="15">
        <v>1</v>
      </c>
      <c r="D8" s="15">
        <v>20</v>
      </c>
      <c r="E8" s="16" t="s">
        <v>23664</v>
      </c>
      <c r="F8" s="16" t="s">
        <v>23666</v>
      </c>
      <c r="G8" s="16"/>
      <c r="H8" s="23"/>
    </row>
    <row r="9" spans="1:8" ht="15.75" customHeight="1">
      <c r="A9" s="15">
        <v>8</v>
      </c>
      <c r="B9" s="14">
        <v>46063.026898564814</v>
      </c>
      <c r="C9" s="15">
        <v>1</v>
      </c>
      <c r="D9" s="15">
        <v>20</v>
      </c>
      <c r="E9" s="16" t="s">
        <v>23664</v>
      </c>
      <c r="F9" s="16" t="s">
        <v>23666</v>
      </c>
      <c r="G9" s="16"/>
      <c r="H9" s="23"/>
    </row>
    <row r="10" spans="1:8" ht="15.75" customHeight="1">
      <c r="A10" s="15">
        <v>9</v>
      </c>
      <c r="B10" s="14">
        <v>46063.032964305559</v>
      </c>
      <c r="C10" s="15">
        <v>1</v>
      </c>
      <c r="D10" s="15">
        <v>20</v>
      </c>
      <c r="E10" s="16" t="s">
        <v>23664</v>
      </c>
      <c r="F10" s="16" t="s">
        <v>23666</v>
      </c>
      <c r="G10" s="16"/>
      <c r="H10" s="23"/>
    </row>
    <row r="11" spans="1:8" ht="15.75" customHeight="1">
      <c r="A11" s="15">
        <v>10</v>
      </c>
      <c r="B11" s="14">
        <v>46063.033099733795</v>
      </c>
      <c r="C11" s="15">
        <v>1</v>
      </c>
      <c r="D11" s="15">
        <v>20</v>
      </c>
      <c r="E11" s="16" t="s">
        <v>23665</v>
      </c>
      <c r="F11" s="16" t="s">
        <v>23666</v>
      </c>
      <c r="G11" s="16"/>
      <c r="H11" s="23"/>
    </row>
    <row r="12" spans="1:8" ht="15.75" customHeight="1">
      <c r="A12" s="15">
        <v>11</v>
      </c>
      <c r="B12" s="14">
        <v>46063.034467511578</v>
      </c>
      <c r="C12" s="15">
        <v>1</v>
      </c>
      <c r="D12" s="15">
        <v>20</v>
      </c>
      <c r="E12" s="16" t="s">
        <v>23665</v>
      </c>
      <c r="F12" s="16" t="s">
        <v>23666</v>
      </c>
      <c r="G12" s="16"/>
      <c r="H12" s="23"/>
    </row>
    <row r="13" spans="1:8" ht="15.75" customHeight="1">
      <c r="A13" s="15">
        <v>12</v>
      </c>
      <c r="B13" s="14">
        <v>46063.045779791668</v>
      </c>
      <c r="C13" s="15">
        <v>1</v>
      </c>
      <c r="D13" s="15">
        <v>20</v>
      </c>
      <c r="E13" s="16" t="s">
        <v>23665</v>
      </c>
      <c r="F13" s="16" t="s">
        <v>23666</v>
      </c>
      <c r="G13" s="16"/>
      <c r="H13" s="23"/>
    </row>
    <row r="14" spans="1:8" ht="15.75" customHeight="1">
      <c r="A14" s="15">
        <v>13</v>
      </c>
      <c r="B14" s="14">
        <v>46063.046585381948</v>
      </c>
      <c r="C14" s="15">
        <v>1</v>
      </c>
      <c r="D14" s="15">
        <v>20</v>
      </c>
      <c r="E14" s="16" t="s">
        <v>23664</v>
      </c>
      <c r="F14" s="16" t="s">
        <v>23667</v>
      </c>
      <c r="G14" s="16"/>
      <c r="H14" s="23"/>
    </row>
    <row r="15" spans="1:8" ht="15.75" customHeight="1">
      <c r="A15" s="15">
        <v>14</v>
      </c>
      <c r="B15" s="14">
        <v>46063.04801111111</v>
      </c>
      <c r="C15" s="15">
        <v>1</v>
      </c>
      <c r="D15" s="15">
        <v>20</v>
      </c>
      <c r="E15" s="16" t="s">
        <v>23664</v>
      </c>
      <c r="F15" s="16" t="s">
        <v>23667</v>
      </c>
      <c r="G15" s="16"/>
      <c r="H15" s="23"/>
    </row>
    <row r="16" spans="1:8" ht="15.75" customHeight="1">
      <c r="A16" s="15">
        <v>15</v>
      </c>
      <c r="B16" s="14">
        <v>46063.048290868057</v>
      </c>
      <c r="C16" s="15">
        <v>1</v>
      </c>
      <c r="D16" s="15">
        <v>20</v>
      </c>
      <c r="E16" s="16" t="s">
        <v>23664</v>
      </c>
      <c r="F16" s="16" t="s">
        <v>23667</v>
      </c>
      <c r="G16" s="16"/>
      <c r="H16" s="23"/>
    </row>
    <row r="17" spans="1:8" ht="15.75" customHeight="1">
      <c r="A17" s="15">
        <v>16</v>
      </c>
      <c r="B17" s="14">
        <v>46063.051352696755</v>
      </c>
      <c r="C17" s="15">
        <v>1</v>
      </c>
      <c r="D17" s="15">
        <v>20</v>
      </c>
      <c r="E17" s="16" t="s">
        <v>23664</v>
      </c>
      <c r="F17" s="16" t="s">
        <v>23667</v>
      </c>
      <c r="G17" s="16" t="s">
        <v>1117</v>
      </c>
      <c r="H17" s="23"/>
    </row>
    <row r="18" spans="1:8" ht="15.75" customHeight="1">
      <c r="A18" s="15">
        <v>17</v>
      </c>
      <c r="B18" s="14">
        <v>46065.789345983794</v>
      </c>
      <c r="C18" s="15">
        <v>104514142100</v>
      </c>
      <c r="D18" s="15">
        <v>50</v>
      </c>
      <c r="E18" s="16" t="s">
        <v>23664</v>
      </c>
      <c r="F18" s="16" t="s">
        <v>23158</v>
      </c>
      <c r="G18" s="16"/>
      <c r="H18" s="23"/>
    </row>
    <row r="19" spans="1:8" ht="15.75" customHeight="1">
      <c r="A19" s="15">
        <v>18</v>
      </c>
      <c r="B19" s="14">
        <v>46066.43293171296</v>
      </c>
      <c r="C19" s="15">
        <v>104514142200</v>
      </c>
      <c r="D19" s="15">
        <v>150</v>
      </c>
      <c r="E19" s="16" t="s">
        <v>23664</v>
      </c>
      <c r="F19" s="16" t="s">
        <v>23158</v>
      </c>
      <c r="G19" s="16"/>
      <c r="H19" s="23"/>
    </row>
    <row r="20" spans="1:8" ht="15.75" customHeight="1">
      <c r="A20" s="15">
        <v>19</v>
      </c>
      <c r="B20" s="14">
        <v>46066.432972766204</v>
      </c>
      <c r="C20" s="15">
        <v>104514142200</v>
      </c>
      <c r="D20" s="15">
        <v>150</v>
      </c>
      <c r="E20" s="16" t="s">
        <v>23664</v>
      </c>
      <c r="F20" s="16" t="s">
        <v>23158</v>
      </c>
      <c r="G20" s="16"/>
      <c r="H20" s="23"/>
    </row>
    <row r="21" spans="1:8" ht="15.75" customHeight="1">
      <c r="A21" s="15">
        <v>20</v>
      </c>
      <c r="B21" s="14">
        <v>46066.440690636577</v>
      </c>
      <c r="C21" s="15">
        <v>104514142200</v>
      </c>
      <c r="D21" s="15">
        <v>150</v>
      </c>
      <c r="E21" s="16" t="s">
        <v>23665</v>
      </c>
      <c r="F21" s="16" t="s">
        <v>23158</v>
      </c>
      <c r="G21" s="16"/>
      <c r="H21" s="23"/>
    </row>
    <row r="22" spans="1:8" ht="12.5">
      <c r="A22" s="15">
        <v>21</v>
      </c>
      <c r="B22" s="14">
        <v>46066.457321469905</v>
      </c>
      <c r="C22" s="15">
        <v>104514142100</v>
      </c>
      <c r="D22" s="15">
        <v>3</v>
      </c>
      <c r="E22" s="16" t="s">
        <v>23665</v>
      </c>
      <c r="F22" s="16" t="s">
        <v>23158</v>
      </c>
      <c r="G22" s="16"/>
      <c r="H22" s="23"/>
    </row>
    <row r="23" spans="1:8" ht="12.5">
      <c r="A23" s="15">
        <v>22</v>
      </c>
      <c r="B23" s="14">
        <v>46066.458698923612</v>
      </c>
      <c r="C23" s="15">
        <v>104514142200</v>
      </c>
      <c r="D23" s="15">
        <v>35</v>
      </c>
      <c r="E23" s="16" t="s">
        <v>23665</v>
      </c>
      <c r="F23" s="16" t="s">
        <v>23158</v>
      </c>
      <c r="G23" s="16" t="s">
        <v>23668</v>
      </c>
      <c r="H23" s="23"/>
    </row>
    <row r="24" spans="1:8" ht="12.5">
      <c r="A24" s="15">
        <v>23</v>
      </c>
      <c r="B24" s="14">
        <v>46066.45875690972</v>
      </c>
      <c r="C24" s="15">
        <v>104514142200</v>
      </c>
      <c r="D24" s="15">
        <v>35</v>
      </c>
      <c r="E24" s="16" t="s">
        <v>23665</v>
      </c>
      <c r="F24" s="16" t="s">
        <v>23158</v>
      </c>
      <c r="G24" s="16" t="s">
        <v>23668</v>
      </c>
      <c r="H24" s="23"/>
    </row>
    <row r="25" spans="1:8" ht="12.5">
      <c r="A25" s="15">
        <v>24</v>
      </c>
      <c r="B25" s="14">
        <v>46066.460840150467</v>
      </c>
      <c r="C25" s="15">
        <v>104514142200</v>
      </c>
      <c r="D25" s="15">
        <v>35</v>
      </c>
      <c r="E25" s="16" t="s">
        <v>23664</v>
      </c>
      <c r="F25" s="16" t="s">
        <v>23158</v>
      </c>
      <c r="G25" s="16"/>
      <c r="H25" s="23"/>
    </row>
    <row r="26" spans="1:8" ht="12.5">
      <c r="A26" s="15">
        <v>25</v>
      </c>
      <c r="B26" s="14">
        <v>46066.46174579861</v>
      </c>
      <c r="C26" s="15">
        <v>104514142200</v>
      </c>
      <c r="D26" s="15">
        <v>1</v>
      </c>
      <c r="E26" s="16" t="s">
        <v>23665</v>
      </c>
      <c r="F26" s="16" t="s">
        <v>23158</v>
      </c>
      <c r="G26" s="16"/>
      <c r="H26" s="23"/>
    </row>
    <row r="27" spans="1:8" ht="12.5">
      <c r="A27" s="15">
        <v>26</v>
      </c>
      <c r="B27" s="14">
        <v>46066.46178633102</v>
      </c>
      <c r="C27" s="15">
        <v>104514142200</v>
      </c>
      <c r="D27" s="15">
        <v>1</v>
      </c>
      <c r="E27" s="16" t="s">
        <v>23665</v>
      </c>
      <c r="F27" s="16" t="s">
        <v>23158</v>
      </c>
      <c r="G27" s="16"/>
      <c r="H27" s="23"/>
    </row>
    <row r="28" spans="1:8" ht="12.5">
      <c r="A28" s="15">
        <v>27</v>
      </c>
      <c r="B28" s="14">
        <v>46066.462201516202</v>
      </c>
      <c r="C28" s="15">
        <v>104514142200</v>
      </c>
      <c r="D28" s="15">
        <v>1</v>
      </c>
      <c r="E28" s="16" t="s">
        <v>23664</v>
      </c>
      <c r="F28" s="16" t="s">
        <v>23158</v>
      </c>
      <c r="G28" s="16"/>
      <c r="H28" s="23"/>
    </row>
    <row r="29" spans="1:8" ht="12.5">
      <c r="A29" s="15">
        <v>28</v>
      </c>
      <c r="B29" s="14">
        <v>46066.477131087959</v>
      </c>
      <c r="C29" s="15">
        <v>104514142200</v>
      </c>
      <c r="D29" s="15">
        <v>7</v>
      </c>
      <c r="E29" s="16" t="s">
        <v>23665</v>
      </c>
      <c r="F29" s="16" t="s">
        <v>23158</v>
      </c>
      <c r="G29" s="16"/>
      <c r="H29" s="23"/>
    </row>
    <row r="30" spans="1:8" ht="12.5">
      <c r="A30" s="15">
        <v>29</v>
      </c>
      <c r="B30" s="14">
        <v>46066.478092303238</v>
      </c>
      <c r="C30" s="15">
        <v>104514142200</v>
      </c>
      <c r="D30" s="15">
        <v>6</v>
      </c>
      <c r="E30" s="16" t="s">
        <v>23665</v>
      </c>
      <c r="F30" s="16" t="s">
        <v>23158</v>
      </c>
      <c r="G30" s="16"/>
      <c r="H30" s="23"/>
    </row>
    <row r="31" spans="1:8" ht="12.5">
      <c r="A31" s="15">
        <v>30</v>
      </c>
      <c r="B31" s="14">
        <v>46066.498262627312</v>
      </c>
      <c r="C31" s="15">
        <v>104514142200</v>
      </c>
      <c r="D31" s="15">
        <v>2</v>
      </c>
      <c r="E31" s="16" t="s">
        <v>23665</v>
      </c>
      <c r="F31" s="16" t="s">
        <v>23158</v>
      </c>
      <c r="G31" s="16"/>
      <c r="H31" s="23"/>
    </row>
    <row r="32" spans="1:8" ht="12.5">
      <c r="A32" s="15">
        <v>31</v>
      </c>
      <c r="B32" s="14">
        <v>46066.520154467595</v>
      </c>
      <c r="C32" s="15">
        <v>104514142200</v>
      </c>
      <c r="D32" s="15">
        <v>6</v>
      </c>
      <c r="E32" s="16" t="s">
        <v>23665</v>
      </c>
      <c r="F32" s="16" t="s">
        <v>23158</v>
      </c>
      <c r="G32" s="16"/>
      <c r="H32" s="23"/>
    </row>
    <row r="33" spans="1:8" ht="12.5">
      <c r="A33" s="15">
        <v>32</v>
      </c>
      <c r="B33" s="14">
        <v>46066.520469872688</v>
      </c>
      <c r="C33" s="15">
        <v>104514142100</v>
      </c>
      <c r="D33" s="15">
        <v>1</v>
      </c>
      <c r="E33" s="16" t="s">
        <v>23665</v>
      </c>
      <c r="F33" s="16" t="s">
        <v>23158</v>
      </c>
      <c r="G33" s="16"/>
      <c r="H33" s="23"/>
    </row>
    <row r="34" spans="1:8" ht="12.5">
      <c r="A34" s="15">
        <v>33</v>
      </c>
      <c r="B34" s="14">
        <v>46066.563912291662</v>
      </c>
      <c r="C34" s="15">
        <v>104514142100</v>
      </c>
      <c r="D34" s="15">
        <v>8</v>
      </c>
      <c r="E34" s="16" t="s">
        <v>23665</v>
      </c>
      <c r="F34" s="16" t="s">
        <v>23158</v>
      </c>
      <c r="G34" s="16"/>
      <c r="H34" s="23"/>
    </row>
    <row r="35" spans="1:8" ht="12.5">
      <c r="A35" s="15">
        <v>34</v>
      </c>
      <c r="B35" s="14">
        <v>46066.673809583328</v>
      </c>
      <c r="C35" s="15">
        <v>104514142200</v>
      </c>
      <c r="D35" s="15">
        <v>3</v>
      </c>
      <c r="E35" s="16" t="s">
        <v>23665</v>
      </c>
      <c r="F35" s="16" t="s">
        <v>23158</v>
      </c>
      <c r="G35" s="16"/>
      <c r="H35" s="23"/>
    </row>
    <row r="36" spans="1:8" ht="12.5">
      <c r="A36" s="15">
        <v>35</v>
      </c>
      <c r="B36" s="14">
        <v>46066.675062754628</v>
      </c>
      <c r="C36" s="15">
        <v>104514142100</v>
      </c>
      <c r="D36" s="15">
        <v>7</v>
      </c>
      <c r="E36" s="16" t="s">
        <v>23665</v>
      </c>
      <c r="F36" s="16" t="s">
        <v>23158</v>
      </c>
      <c r="G36" s="16"/>
      <c r="H36" s="23"/>
    </row>
    <row r="37" spans="1:8" ht="12.5">
      <c r="A37" s="15">
        <v>36</v>
      </c>
      <c r="B37" s="14">
        <v>46066.766192303243</v>
      </c>
      <c r="C37" s="15">
        <v>104514142200</v>
      </c>
      <c r="D37" s="15">
        <v>3</v>
      </c>
      <c r="E37" s="16" t="s">
        <v>23665</v>
      </c>
      <c r="F37" s="16" t="s">
        <v>23158</v>
      </c>
      <c r="G37" s="16"/>
      <c r="H37" s="23"/>
    </row>
    <row r="38" spans="1:8" ht="12.5">
      <c r="A38" s="15">
        <v>37</v>
      </c>
      <c r="B38" s="14">
        <v>46066.850889849535</v>
      </c>
      <c r="C38" s="15">
        <v>104514142100</v>
      </c>
      <c r="D38" s="15">
        <v>7</v>
      </c>
      <c r="E38" s="16" t="s">
        <v>23665</v>
      </c>
      <c r="F38" s="16" t="s">
        <v>23158</v>
      </c>
      <c r="G38" s="16"/>
      <c r="H38" s="23"/>
    </row>
    <row r="39" spans="1:8" ht="12.5">
      <c r="A39" s="15">
        <v>38</v>
      </c>
      <c r="B39" s="14">
        <v>46066.851506782405</v>
      </c>
      <c r="C39" s="15">
        <v>104514142200</v>
      </c>
      <c r="D39" s="15">
        <v>2</v>
      </c>
      <c r="E39" s="16" t="s">
        <v>23665</v>
      </c>
      <c r="F39" s="16" t="s">
        <v>23158</v>
      </c>
      <c r="G39" s="16"/>
      <c r="H39" s="9"/>
    </row>
    <row r="40" spans="1:8" ht="12.5">
      <c r="A40" s="15">
        <v>39</v>
      </c>
      <c r="B40" s="14">
        <v>46066.856128738422</v>
      </c>
      <c r="C40" s="15">
        <v>104514142100</v>
      </c>
      <c r="D40" s="15">
        <v>1</v>
      </c>
      <c r="E40" s="16" t="s">
        <v>23665</v>
      </c>
      <c r="F40" s="16" t="s">
        <v>23158</v>
      </c>
      <c r="G40" s="16"/>
      <c r="H40" s="9"/>
    </row>
    <row r="41" spans="1:8" ht="12.5">
      <c r="A41" s="15">
        <v>40</v>
      </c>
      <c r="B41" s="14">
        <v>46066.857308125</v>
      </c>
      <c r="C41" s="15">
        <v>104514142100</v>
      </c>
      <c r="D41" s="15">
        <v>1</v>
      </c>
      <c r="E41" s="16" t="s">
        <v>23665</v>
      </c>
      <c r="F41" s="16" t="s">
        <v>23158</v>
      </c>
      <c r="G41" s="16"/>
      <c r="H41" s="9"/>
    </row>
    <row r="42" spans="1:8" ht="12.5">
      <c r="A42" s="15">
        <v>41</v>
      </c>
      <c r="B42" s="14">
        <v>46066.858781851857</v>
      </c>
      <c r="C42" s="15">
        <v>104514142200</v>
      </c>
      <c r="D42" s="15">
        <v>1</v>
      </c>
      <c r="E42" s="16" t="s">
        <v>23665</v>
      </c>
      <c r="F42" s="16" t="s">
        <v>23158</v>
      </c>
      <c r="G42" s="16"/>
      <c r="H42" s="9"/>
    </row>
    <row r="43" spans="1:8" ht="12.5">
      <c r="A43" s="15">
        <v>42</v>
      </c>
      <c r="B43" s="14">
        <v>46067.419937013889</v>
      </c>
      <c r="C43" s="15">
        <v>104514142200</v>
      </c>
      <c r="D43" s="15">
        <v>1</v>
      </c>
      <c r="E43" s="16" t="s">
        <v>23665</v>
      </c>
      <c r="F43" s="16" t="s">
        <v>23158</v>
      </c>
      <c r="G43" s="16"/>
      <c r="H43" s="9"/>
    </row>
    <row r="44" spans="1:8" ht="12.5">
      <c r="A44" s="15">
        <v>43</v>
      </c>
      <c r="B44" s="14">
        <v>46067.442957476851</v>
      </c>
      <c r="C44" s="15">
        <v>104514142100</v>
      </c>
      <c r="D44" s="15">
        <v>8</v>
      </c>
      <c r="E44" s="16" t="s">
        <v>23665</v>
      </c>
      <c r="F44" s="16" t="s">
        <v>23158</v>
      </c>
      <c r="G44" s="16"/>
      <c r="H44" s="9"/>
    </row>
    <row r="45" spans="1:8" ht="12.5">
      <c r="A45" s="15">
        <v>44</v>
      </c>
      <c r="B45" s="14">
        <v>46067.445658831013</v>
      </c>
      <c r="C45" s="15">
        <v>104514142200</v>
      </c>
      <c r="D45" s="15">
        <v>3</v>
      </c>
      <c r="E45" s="16" t="s">
        <v>23665</v>
      </c>
      <c r="F45" s="16" t="s">
        <v>23158</v>
      </c>
      <c r="G45" s="16"/>
    </row>
    <row r="46" spans="1:8" ht="12.5">
      <c r="A46" s="15">
        <v>45</v>
      </c>
      <c r="B46" s="14">
        <v>46067.482275752314</v>
      </c>
      <c r="C46" s="15">
        <v>104514142100</v>
      </c>
      <c r="D46" s="15">
        <v>3</v>
      </c>
      <c r="E46" s="16" t="s">
        <v>23665</v>
      </c>
      <c r="F46" s="16" t="s">
        <v>23158</v>
      </c>
      <c r="G46" s="16"/>
    </row>
    <row r="47" spans="1:8" ht="12.5">
      <c r="A47" s="15">
        <v>46</v>
      </c>
      <c r="B47" s="14">
        <v>46067.483018171297</v>
      </c>
      <c r="C47" s="15">
        <v>104514142200</v>
      </c>
      <c r="D47" s="15">
        <v>4</v>
      </c>
      <c r="E47" s="16" t="s">
        <v>23665</v>
      </c>
      <c r="F47" s="16" t="s">
        <v>23158</v>
      </c>
      <c r="G47" s="16"/>
    </row>
    <row r="48" spans="1:8" ht="12.5">
      <c r="A48" s="15">
        <v>47</v>
      </c>
      <c r="B48" s="14">
        <v>46067.484497500001</v>
      </c>
      <c r="C48" s="15">
        <v>104514142200</v>
      </c>
      <c r="D48" s="15">
        <v>4</v>
      </c>
      <c r="E48" s="16" t="s">
        <v>23665</v>
      </c>
      <c r="F48" s="16" t="s">
        <v>23158</v>
      </c>
      <c r="G48" s="16"/>
    </row>
    <row r="49" spans="1:7" ht="12.5">
      <c r="A49" s="15">
        <v>48</v>
      </c>
      <c r="B49" s="14">
        <v>46067.514402222223</v>
      </c>
      <c r="C49" s="15">
        <v>104514142200</v>
      </c>
      <c r="D49" s="15">
        <v>4</v>
      </c>
      <c r="E49" s="16" t="s">
        <v>23665</v>
      </c>
      <c r="F49" s="16" t="s">
        <v>23158</v>
      </c>
      <c r="G49" s="16"/>
    </row>
    <row r="50" spans="1:7" ht="12.5">
      <c r="A50" s="15">
        <v>49</v>
      </c>
      <c r="B50" s="14">
        <v>46067.520732164354</v>
      </c>
      <c r="C50" s="15">
        <v>104514142100</v>
      </c>
      <c r="D50" s="15">
        <v>9</v>
      </c>
      <c r="E50" s="16" t="s">
        <v>23665</v>
      </c>
      <c r="F50" s="16" t="s">
        <v>23158</v>
      </c>
      <c r="G50" s="16"/>
    </row>
    <row r="51" spans="1:7" ht="12.5">
      <c r="A51" s="15">
        <v>50</v>
      </c>
      <c r="B51" s="14">
        <v>46067.521343553242</v>
      </c>
      <c r="C51" s="15">
        <v>104514142100</v>
      </c>
      <c r="D51" s="15">
        <v>2</v>
      </c>
      <c r="E51" s="16" t="s">
        <v>23665</v>
      </c>
      <c r="F51" s="16" t="s">
        <v>23158</v>
      </c>
      <c r="G51" s="16"/>
    </row>
    <row r="52" spans="1:7" ht="12.5">
      <c r="A52" s="15">
        <v>51</v>
      </c>
      <c r="B52" s="14">
        <v>46067.668250497685</v>
      </c>
      <c r="C52" s="15">
        <v>104514142200</v>
      </c>
      <c r="D52" s="15">
        <v>7</v>
      </c>
      <c r="E52" s="16" t="s">
        <v>23665</v>
      </c>
      <c r="F52" s="16" t="s">
        <v>23158</v>
      </c>
      <c r="G52" s="16"/>
    </row>
    <row r="53" spans="1:7" ht="12.5">
      <c r="A53" s="15">
        <v>52</v>
      </c>
      <c r="B53" s="14">
        <v>46067.670430219907</v>
      </c>
      <c r="C53" s="15">
        <v>104514142200</v>
      </c>
      <c r="D53" s="15">
        <v>2</v>
      </c>
      <c r="E53" s="16" t="s">
        <v>23665</v>
      </c>
      <c r="F53" s="16" t="s">
        <v>23158</v>
      </c>
      <c r="G53" s="16"/>
    </row>
    <row r="54" spans="1:7" ht="12.5">
      <c r="A54" s="15">
        <v>53</v>
      </c>
      <c r="B54" s="14">
        <v>46067.682693449075</v>
      </c>
      <c r="C54" s="15">
        <v>104514142200</v>
      </c>
      <c r="D54" s="15">
        <v>1</v>
      </c>
      <c r="E54" s="16" t="s">
        <v>23665</v>
      </c>
      <c r="F54" s="16" t="s">
        <v>23158</v>
      </c>
      <c r="G54" s="16"/>
    </row>
    <row r="55" spans="1:7" ht="12.5">
      <c r="A55" s="15">
        <v>54</v>
      </c>
      <c r="B55" s="14">
        <v>46067.696754502314</v>
      </c>
      <c r="C55" s="15">
        <v>104514142200</v>
      </c>
      <c r="D55" s="15">
        <v>5</v>
      </c>
      <c r="E55" s="16" t="s">
        <v>23665</v>
      </c>
      <c r="F55" s="16" t="s">
        <v>23158</v>
      </c>
      <c r="G55" s="16"/>
    </row>
    <row r="56" spans="1:7" ht="12.5">
      <c r="A56" s="15">
        <v>55</v>
      </c>
      <c r="B56" s="14">
        <v>46067.699127800923</v>
      </c>
      <c r="C56" s="15">
        <v>104514142200</v>
      </c>
      <c r="D56" s="15">
        <v>2</v>
      </c>
      <c r="E56" s="16" t="s">
        <v>23665</v>
      </c>
      <c r="F56" s="16" t="s">
        <v>23158</v>
      </c>
      <c r="G56" s="16"/>
    </row>
    <row r="57" spans="1:7" ht="12.5">
      <c r="A57" s="15">
        <v>56</v>
      </c>
      <c r="B57" s="14">
        <v>46067.707809733794</v>
      </c>
      <c r="C57" s="15">
        <v>104514142200</v>
      </c>
      <c r="D57" s="15">
        <v>2</v>
      </c>
      <c r="E57" s="16" t="s">
        <v>23665</v>
      </c>
      <c r="F57" s="16" t="s">
        <v>23158</v>
      </c>
      <c r="G57" s="16"/>
    </row>
    <row r="58" spans="1:7" ht="12.5">
      <c r="A58" s="15">
        <v>57</v>
      </c>
      <c r="B58" s="14">
        <v>46067.708391111111</v>
      </c>
      <c r="C58" s="15">
        <v>104514142200</v>
      </c>
      <c r="D58" s="15">
        <v>2</v>
      </c>
      <c r="E58" s="16" t="s">
        <v>23665</v>
      </c>
      <c r="F58" s="16" t="s">
        <v>23158</v>
      </c>
      <c r="G58" s="16"/>
    </row>
    <row r="59" spans="1:7" ht="12.5">
      <c r="A59" s="15">
        <v>58</v>
      </c>
      <c r="B59" s="14">
        <v>46067.713742025458</v>
      </c>
      <c r="C59" s="15">
        <v>104514142200</v>
      </c>
      <c r="D59" s="15">
        <v>1</v>
      </c>
      <c r="E59" s="16" t="s">
        <v>23665</v>
      </c>
      <c r="F59" s="16" t="s">
        <v>23158</v>
      </c>
      <c r="G59" s="16"/>
    </row>
    <row r="60" spans="1:7" ht="12.5">
      <c r="A60" s="15">
        <v>59</v>
      </c>
      <c r="B60" s="14">
        <v>46067.714198923612</v>
      </c>
      <c r="C60" s="15">
        <v>104514142200</v>
      </c>
      <c r="D60" s="15">
        <v>1</v>
      </c>
      <c r="E60" s="16" t="s">
        <v>23665</v>
      </c>
      <c r="F60" s="16" t="s">
        <v>23158</v>
      </c>
      <c r="G60" s="16"/>
    </row>
    <row r="61" spans="1:7" ht="12.5">
      <c r="A61" s="15">
        <v>60</v>
      </c>
      <c r="B61" s="14">
        <v>46067.723385219906</v>
      </c>
      <c r="C61" s="15">
        <v>104514142200</v>
      </c>
      <c r="D61" s="15">
        <v>2</v>
      </c>
      <c r="E61" s="16" t="s">
        <v>23665</v>
      </c>
      <c r="F61" s="16" t="s">
        <v>23158</v>
      </c>
      <c r="G61" s="16"/>
    </row>
    <row r="62" spans="1:7" ht="12.5">
      <c r="A62" s="15">
        <v>61</v>
      </c>
      <c r="B62" s="14">
        <v>46067.733282430556</v>
      </c>
      <c r="C62" s="15">
        <v>104514142200</v>
      </c>
      <c r="D62" s="15">
        <v>4</v>
      </c>
      <c r="E62" s="16" t="s">
        <v>23665</v>
      </c>
      <c r="F62" s="16" t="s">
        <v>23158</v>
      </c>
      <c r="G62" s="16"/>
    </row>
    <row r="63" spans="1:7" ht="12.5">
      <c r="A63" s="15">
        <v>62</v>
      </c>
      <c r="B63" s="14">
        <v>46067.765538749998</v>
      </c>
      <c r="C63" s="15">
        <v>104514142200</v>
      </c>
      <c r="D63" s="15">
        <v>3</v>
      </c>
      <c r="E63" s="16" t="s">
        <v>23665</v>
      </c>
      <c r="F63" s="16" t="s">
        <v>23158</v>
      </c>
      <c r="G63" s="16"/>
    </row>
    <row r="64" spans="1:7" ht="12.5">
      <c r="A64" s="15">
        <v>63</v>
      </c>
      <c r="B64" s="14">
        <v>46067.771843761569</v>
      </c>
      <c r="C64" s="15">
        <v>104514142200</v>
      </c>
      <c r="D64" s="15">
        <v>1</v>
      </c>
      <c r="E64" s="16" t="s">
        <v>23665</v>
      </c>
      <c r="F64" s="16" t="s">
        <v>23158</v>
      </c>
      <c r="G64" s="16"/>
    </row>
    <row r="65" spans="1:7" ht="12.5">
      <c r="A65" s="16"/>
      <c r="B65" s="16"/>
      <c r="C65" s="16"/>
      <c r="D65" s="16"/>
      <c r="E65" s="16"/>
      <c r="F65" s="16"/>
      <c r="G65" s="16"/>
    </row>
    <row r="66" spans="1:7" ht="12.5">
      <c r="A66" s="16"/>
      <c r="B66" s="16"/>
      <c r="C66" s="16"/>
      <c r="D66" s="16"/>
      <c r="E66" s="16"/>
      <c r="F66" s="16"/>
      <c r="G66" s="16"/>
    </row>
    <row r="67" spans="1:7" ht="12.5">
      <c r="A67" s="16"/>
      <c r="B67" s="16"/>
      <c r="C67" s="16"/>
      <c r="D67" s="16"/>
      <c r="E67" s="16"/>
      <c r="F67" s="16"/>
      <c r="G67" s="16"/>
    </row>
    <row r="68" spans="1:7" ht="12.5">
      <c r="A68" s="16"/>
      <c r="B68" s="16"/>
      <c r="C68" s="16"/>
      <c r="D68" s="16"/>
      <c r="E68" s="16"/>
      <c r="F68" s="16"/>
      <c r="G68" s="16"/>
    </row>
    <row r="69" spans="1:7" ht="12.5">
      <c r="A69" s="16"/>
      <c r="B69" s="16"/>
      <c r="C69" s="16"/>
      <c r="D69" s="16"/>
      <c r="E69" s="16"/>
      <c r="F69" s="16"/>
      <c r="G69" s="16"/>
    </row>
    <row r="70" spans="1:7" ht="12.5">
      <c r="A70" s="16"/>
      <c r="B70" s="16"/>
      <c r="C70" s="16"/>
      <c r="D70" s="16"/>
      <c r="E70" s="16"/>
      <c r="F70" s="16"/>
      <c r="G70" s="16"/>
    </row>
    <row r="71" spans="1:7" ht="12.5">
      <c r="A71" s="16"/>
      <c r="B71" s="16"/>
      <c r="C71" s="16"/>
      <c r="D71" s="16"/>
      <c r="E71" s="16"/>
      <c r="F71" s="16"/>
      <c r="G71" s="16"/>
    </row>
    <row r="72" spans="1:7" ht="12.5">
      <c r="A72" s="16"/>
      <c r="B72" s="16"/>
      <c r="C72" s="16"/>
      <c r="D72" s="16"/>
      <c r="E72" s="16"/>
      <c r="F72" s="16"/>
      <c r="G72" s="16"/>
    </row>
    <row r="73" spans="1:7" ht="12.5">
      <c r="A73" s="16"/>
      <c r="B73" s="16"/>
      <c r="C73" s="16"/>
      <c r="D73" s="16"/>
      <c r="E73" s="16"/>
      <c r="F73" s="16"/>
      <c r="G73" s="16"/>
    </row>
    <row r="74" spans="1:7" ht="12.5">
      <c r="A74" s="16"/>
      <c r="B74" s="16"/>
      <c r="C74" s="16"/>
      <c r="D74" s="16"/>
      <c r="E74" s="16"/>
      <c r="F74" s="16"/>
      <c r="G74" s="16"/>
    </row>
    <row r="75" spans="1:7" ht="12.5">
      <c r="A75" s="16"/>
      <c r="B75" s="16"/>
      <c r="C75" s="16"/>
      <c r="D75" s="16"/>
      <c r="E75" s="16"/>
      <c r="F75" s="16"/>
      <c r="G75" s="16"/>
    </row>
    <row r="76" spans="1:7" ht="12.5">
      <c r="A76" s="16"/>
      <c r="B76" s="16"/>
      <c r="C76" s="16"/>
      <c r="D76" s="16"/>
      <c r="E76" s="16"/>
      <c r="F76" s="16"/>
      <c r="G76" s="16"/>
    </row>
    <row r="77" spans="1:7" ht="12.5">
      <c r="A77" s="16"/>
      <c r="B77" s="16"/>
      <c r="C77" s="16"/>
      <c r="D77" s="16"/>
      <c r="E77" s="16"/>
      <c r="F77" s="16"/>
      <c r="G77" s="16"/>
    </row>
    <row r="78" spans="1:7" ht="12.5">
      <c r="A78" s="16"/>
      <c r="B78" s="16"/>
      <c r="C78" s="16"/>
      <c r="D78" s="16"/>
      <c r="E78" s="16"/>
      <c r="F78" s="16"/>
      <c r="G78" s="16"/>
    </row>
    <row r="79" spans="1:7" ht="12.5">
      <c r="A79" s="16"/>
      <c r="B79" s="16"/>
      <c r="C79" s="16"/>
      <c r="D79" s="16"/>
      <c r="E79" s="16"/>
      <c r="F79" s="16"/>
      <c r="G79" s="16"/>
    </row>
    <row r="80" spans="1:7" ht="12.5">
      <c r="A80" s="16"/>
      <c r="B80" s="16"/>
      <c r="C80" s="16"/>
      <c r="D80" s="16"/>
      <c r="E80" s="16"/>
      <c r="F80" s="16"/>
      <c r="G80" s="16"/>
    </row>
    <row r="81" spans="1:7" ht="12.5">
      <c r="A81" s="16"/>
      <c r="B81" s="16"/>
      <c r="C81" s="16"/>
      <c r="D81" s="16"/>
      <c r="E81" s="16"/>
      <c r="F81" s="16"/>
      <c r="G81" s="16"/>
    </row>
    <row r="82" spans="1:7" ht="12.5">
      <c r="A82" s="16"/>
      <c r="B82" s="16"/>
      <c r="C82" s="16"/>
      <c r="D82" s="16"/>
      <c r="E82" s="16"/>
      <c r="F82" s="16"/>
      <c r="G82" s="16"/>
    </row>
    <row r="83" spans="1:7" ht="12.5">
      <c r="A83" s="16"/>
      <c r="B83" s="16"/>
      <c r="C83" s="16"/>
      <c r="D83" s="16"/>
      <c r="E83" s="16"/>
      <c r="F83" s="16"/>
      <c r="G83" s="16"/>
    </row>
    <row r="84" spans="1:7" ht="12.5">
      <c r="A84" s="16"/>
      <c r="B84" s="16"/>
      <c r="C84" s="16"/>
      <c r="D84" s="16"/>
      <c r="E84" s="16"/>
      <c r="F84" s="16"/>
      <c r="G84" s="16"/>
    </row>
    <row r="85" spans="1:7" ht="12.5">
      <c r="A85" s="16"/>
      <c r="B85" s="16"/>
      <c r="C85" s="16"/>
      <c r="D85" s="16"/>
      <c r="E85" s="16"/>
      <c r="F85" s="16"/>
      <c r="G85" s="16"/>
    </row>
    <row r="86" spans="1:7" ht="12.5">
      <c r="A86" s="16"/>
      <c r="B86" s="16"/>
      <c r="C86" s="16"/>
      <c r="D86" s="16"/>
      <c r="E86" s="16"/>
      <c r="F86" s="16"/>
      <c r="G86" s="16"/>
    </row>
    <row r="87" spans="1:7" ht="12.5">
      <c r="A87" s="16"/>
      <c r="B87" s="16"/>
      <c r="C87" s="16"/>
      <c r="D87" s="16"/>
      <c r="E87" s="16"/>
      <c r="F87" s="16"/>
      <c r="G87" s="16"/>
    </row>
    <row r="88" spans="1:7" ht="12.5">
      <c r="A88" s="16"/>
      <c r="B88" s="16"/>
      <c r="C88" s="16"/>
      <c r="D88" s="16"/>
      <c r="E88" s="16"/>
      <c r="F88" s="16"/>
      <c r="G88" s="16"/>
    </row>
    <row r="89" spans="1:7" ht="12.5">
      <c r="A89" s="16"/>
      <c r="B89" s="16"/>
      <c r="C89" s="16"/>
      <c r="D89" s="16"/>
      <c r="E89" s="16"/>
      <c r="F89" s="16"/>
      <c r="G89" s="16"/>
    </row>
    <row r="90" spans="1:7" ht="12.5">
      <c r="A90" s="16"/>
      <c r="B90" s="16"/>
      <c r="C90" s="16"/>
      <c r="D90" s="16"/>
      <c r="E90" s="16"/>
      <c r="F90" s="16"/>
      <c r="G90" s="16"/>
    </row>
    <row r="91" spans="1:7" ht="12.5">
      <c r="A91" s="16"/>
      <c r="B91" s="16"/>
      <c r="C91" s="16"/>
      <c r="D91" s="16"/>
      <c r="E91" s="16"/>
      <c r="F91" s="16"/>
      <c r="G91" s="16"/>
    </row>
    <row r="92" spans="1:7" ht="12.5">
      <c r="A92" s="16"/>
      <c r="B92" s="16"/>
      <c r="C92" s="16"/>
      <c r="D92" s="16"/>
      <c r="E92" s="16"/>
      <c r="F92" s="16"/>
      <c r="G92" s="16"/>
    </row>
    <row r="93" spans="1:7" ht="12.5">
      <c r="A93" s="16"/>
      <c r="B93" s="16"/>
      <c r="C93" s="16"/>
      <c r="D93" s="16"/>
      <c r="E93" s="16"/>
      <c r="F93" s="16"/>
      <c r="G93" s="16"/>
    </row>
    <row r="94" spans="1:7" ht="12.5">
      <c r="A94" s="16"/>
      <c r="B94" s="16"/>
      <c r="C94" s="16"/>
      <c r="D94" s="16"/>
      <c r="E94" s="16"/>
      <c r="F94" s="16"/>
      <c r="G94" s="16"/>
    </row>
    <row r="95" spans="1:7" ht="12.5">
      <c r="A95" s="16"/>
      <c r="B95" s="16"/>
      <c r="C95" s="16"/>
      <c r="D95" s="16"/>
      <c r="E95" s="16"/>
      <c r="F95" s="16"/>
      <c r="G95" s="16"/>
    </row>
    <row r="96" spans="1:7" ht="12.5">
      <c r="A96" s="16"/>
      <c r="B96" s="16"/>
      <c r="C96" s="16"/>
      <c r="D96" s="16"/>
      <c r="E96" s="16"/>
      <c r="F96" s="16"/>
      <c r="G96" s="16"/>
    </row>
    <row r="97" spans="1:7" ht="12.5">
      <c r="A97" s="16"/>
      <c r="B97" s="16"/>
      <c r="C97" s="16"/>
      <c r="D97" s="16"/>
      <c r="E97" s="16"/>
      <c r="F97" s="16"/>
      <c r="G97" s="16"/>
    </row>
    <row r="98" spans="1:7" ht="12.5">
      <c r="A98" s="16"/>
      <c r="B98" s="16"/>
      <c r="C98" s="16"/>
      <c r="D98" s="16"/>
      <c r="E98" s="16"/>
      <c r="F98" s="16"/>
      <c r="G98" s="16"/>
    </row>
    <row r="99" spans="1:7" ht="12.5">
      <c r="A99" s="16"/>
      <c r="B99" s="16"/>
      <c r="C99" s="16"/>
      <c r="D99" s="16"/>
      <c r="E99" s="16"/>
      <c r="F99" s="16"/>
      <c r="G99" s="16"/>
    </row>
    <row r="100" spans="1:7" ht="12.5">
      <c r="A100" s="16"/>
      <c r="B100" s="16"/>
      <c r="C100" s="16"/>
      <c r="D100" s="16"/>
      <c r="E100" s="16"/>
      <c r="F100" s="16"/>
      <c r="G100" s="16"/>
    </row>
    <row r="101" spans="1:7" ht="12.5">
      <c r="A101" s="16"/>
      <c r="B101" s="16"/>
      <c r="C101" s="16"/>
      <c r="D101" s="16"/>
      <c r="E101" s="16"/>
      <c r="F101" s="16"/>
      <c r="G101" s="16"/>
    </row>
    <row r="102" spans="1:7" ht="12.5">
      <c r="A102" s="16"/>
      <c r="B102" s="16"/>
      <c r="C102" s="16"/>
      <c r="D102" s="16"/>
      <c r="E102" s="16"/>
      <c r="F102" s="16"/>
      <c r="G102" s="16"/>
    </row>
    <row r="103" spans="1:7" ht="12.5">
      <c r="A103" s="16"/>
      <c r="B103" s="16"/>
      <c r="C103" s="16"/>
      <c r="D103" s="16"/>
      <c r="E103" s="16"/>
      <c r="F103" s="16"/>
      <c r="G103" s="16"/>
    </row>
    <row r="104" spans="1:7" ht="12.5">
      <c r="A104" s="16"/>
      <c r="B104" s="16"/>
      <c r="C104" s="16"/>
      <c r="D104" s="16"/>
      <c r="E104" s="16"/>
      <c r="F104" s="16"/>
      <c r="G104" s="16"/>
    </row>
    <row r="105" spans="1:7" ht="12.5">
      <c r="A105" s="16"/>
      <c r="B105" s="16"/>
      <c r="C105" s="16"/>
      <c r="D105" s="16"/>
      <c r="E105" s="16"/>
      <c r="F105" s="16"/>
      <c r="G105" s="16"/>
    </row>
    <row r="106" spans="1:7" ht="12.5">
      <c r="A106" s="16"/>
      <c r="B106" s="16"/>
      <c r="C106" s="16"/>
      <c r="D106" s="16"/>
      <c r="E106" s="16"/>
      <c r="F106" s="16"/>
      <c r="G106" s="16"/>
    </row>
    <row r="107" spans="1:7" ht="12.5">
      <c r="A107" s="16"/>
      <c r="B107" s="16"/>
      <c r="C107" s="16"/>
      <c r="D107" s="16"/>
      <c r="E107" s="16"/>
      <c r="F107" s="16"/>
      <c r="G107" s="16"/>
    </row>
    <row r="108" spans="1:7" ht="12.5">
      <c r="A108" s="16"/>
      <c r="B108" s="16"/>
      <c r="C108" s="16"/>
      <c r="D108" s="16"/>
      <c r="E108" s="16"/>
      <c r="F108" s="16"/>
      <c r="G108" s="16"/>
    </row>
    <row r="109" spans="1:7" ht="12.5">
      <c r="A109" s="16"/>
      <c r="B109" s="16"/>
      <c r="C109" s="16"/>
      <c r="D109" s="16"/>
      <c r="E109" s="16"/>
      <c r="F109" s="16"/>
      <c r="G109" s="16"/>
    </row>
    <row r="110" spans="1:7" ht="12.5">
      <c r="A110" s="16"/>
      <c r="B110" s="16"/>
      <c r="C110" s="16"/>
      <c r="D110" s="16"/>
      <c r="E110" s="16"/>
      <c r="F110" s="16"/>
      <c r="G110" s="16"/>
    </row>
    <row r="111" spans="1:7" ht="12.5">
      <c r="A111" s="16"/>
      <c r="B111" s="16"/>
      <c r="C111" s="16"/>
      <c r="D111" s="16"/>
      <c r="E111" s="16"/>
      <c r="F111" s="16"/>
      <c r="G111" s="16"/>
    </row>
    <row r="112" spans="1:7" ht="12.5">
      <c r="A112" s="16"/>
      <c r="B112" s="16"/>
      <c r="C112" s="16"/>
      <c r="D112" s="16"/>
      <c r="E112" s="16"/>
      <c r="F112" s="16"/>
      <c r="G112" s="16"/>
    </row>
    <row r="113" spans="1:7" ht="12.5">
      <c r="A113" s="16"/>
      <c r="B113" s="16"/>
      <c r="C113" s="16"/>
      <c r="D113" s="16"/>
      <c r="E113" s="16"/>
      <c r="F113" s="16"/>
      <c r="G113" s="16"/>
    </row>
    <row r="114" spans="1:7" ht="12.5">
      <c r="A114" s="16"/>
      <c r="B114" s="16"/>
      <c r="C114" s="16"/>
      <c r="D114" s="16"/>
      <c r="E114" s="16"/>
      <c r="F114" s="16"/>
      <c r="G114" s="16"/>
    </row>
    <row r="115" spans="1:7" ht="12.5">
      <c r="A115" s="16"/>
      <c r="B115" s="16"/>
      <c r="C115" s="16"/>
      <c r="D115" s="16"/>
      <c r="E115" s="16"/>
      <c r="F115" s="16"/>
      <c r="G115" s="16"/>
    </row>
    <row r="116" spans="1:7" ht="12.5">
      <c r="A116" s="16"/>
      <c r="B116" s="16"/>
      <c r="C116" s="16"/>
      <c r="D116" s="16"/>
      <c r="E116" s="16"/>
      <c r="F116" s="16"/>
      <c r="G116" s="16"/>
    </row>
    <row r="117" spans="1:7" ht="12.5">
      <c r="A117" s="16"/>
      <c r="B117" s="16"/>
      <c r="C117" s="16"/>
      <c r="D117" s="16"/>
      <c r="E117" s="16"/>
      <c r="F117" s="16"/>
      <c r="G117" s="16"/>
    </row>
    <row r="118" spans="1:7" ht="12.5">
      <c r="A118" s="16"/>
      <c r="B118" s="16"/>
      <c r="C118" s="16"/>
      <c r="D118" s="16"/>
      <c r="E118" s="16"/>
      <c r="F118" s="16"/>
      <c r="G118" s="16"/>
    </row>
    <row r="119" spans="1:7" ht="12.5">
      <c r="A119" s="16"/>
      <c r="B119" s="16"/>
      <c r="C119" s="16"/>
      <c r="D119" s="16"/>
      <c r="E119" s="16"/>
      <c r="F119" s="16"/>
      <c r="G119" s="16"/>
    </row>
    <row r="120" spans="1:7" ht="12.5">
      <c r="A120" s="16"/>
      <c r="B120" s="16"/>
      <c r="C120" s="16"/>
      <c r="D120" s="16"/>
      <c r="E120" s="16"/>
      <c r="F120" s="16"/>
      <c r="G120" s="16"/>
    </row>
    <row r="121" spans="1:7" ht="12.5">
      <c r="A121" s="16"/>
      <c r="B121" s="16"/>
      <c r="C121" s="16"/>
      <c r="D121" s="16"/>
      <c r="E121" s="16"/>
      <c r="F121" s="16"/>
      <c r="G121" s="16"/>
    </row>
    <row r="122" spans="1:7" ht="12.5">
      <c r="A122" s="16"/>
      <c r="B122" s="16"/>
      <c r="C122" s="16"/>
      <c r="D122" s="16"/>
      <c r="E122" s="16"/>
      <c r="F122" s="16"/>
      <c r="G122" s="16"/>
    </row>
    <row r="123" spans="1:7" ht="12.5">
      <c r="A123" s="16"/>
      <c r="B123" s="16"/>
      <c r="C123" s="16"/>
      <c r="D123" s="16"/>
      <c r="E123" s="16"/>
      <c r="F123" s="16"/>
      <c r="G123" s="16"/>
    </row>
    <row r="124" spans="1:7" ht="12.5">
      <c r="A124" s="16"/>
      <c r="B124" s="16"/>
      <c r="C124" s="16"/>
      <c r="D124" s="16"/>
      <c r="E124" s="16"/>
      <c r="F124" s="16"/>
      <c r="G124" s="16"/>
    </row>
    <row r="125" spans="1:7" ht="12.5">
      <c r="A125" s="16"/>
      <c r="B125" s="16"/>
      <c r="C125" s="16"/>
      <c r="D125" s="16"/>
      <c r="E125" s="16"/>
      <c r="F125" s="16"/>
      <c r="G125" s="16"/>
    </row>
    <row r="126" spans="1:7" ht="12.5">
      <c r="A126" s="16"/>
      <c r="B126" s="16"/>
      <c r="C126" s="16"/>
      <c r="D126" s="16"/>
      <c r="E126" s="16"/>
      <c r="F126" s="16"/>
      <c r="G126" s="16"/>
    </row>
    <row r="127" spans="1:7" ht="12.5">
      <c r="A127" s="16"/>
      <c r="B127" s="16"/>
      <c r="C127" s="16"/>
      <c r="D127" s="16"/>
      <c r="E127" s="16"/>
      <c r="F127" s="16"/>
      <c r="G127" s="16"/>
    </row>
    <row r="128" spans="1:7" ht="12.5">
      <c r="A128" s="16"/>
      <c r="B128" s="16"/>
      <c r="C128" s="16"/>
      <c r="D128" s="16"/>
      <c r="E128" s="16"/>
      <c r="F128" s="16"/>
      <c r="G128" s="16"/>
    </row>
    <row r="129" spans="1:7" ht="12.5">
      <c r="A129" s="16"/>
      <c r="B129" s="16"/>
      <c r="C129" s="16"/>
      <c r="D129" s="16"/>
      <c r="E129" s="16"/>
      <c r="F129" s="16"/>
      <c r="G129" s="16"/>
    </row>
    <row r="130" spans="1:7" ht="12.5">
      <c r="A130" s="16"/>
      <c r="B130" s="16"/>
      <c r="C130" s="16"/>
      <c r="D130" s="16"/>
      <c r="E130" s="16"/>
      <c r="F130" s="16"/>
      <c r="G130" s="16"/>
    </row>
    <row r="131" spans="1:7" ht="12.5">
      <c r="A131" s="16"/>
      <c r="B131" s="16"/>
      <c r="C131" s="16"/>
      <c r="D131" s="16"/>
      <c r="E131" s="16"/>
      <c r="F131" s="16"/>
      <c r="G131" s="16"/>
    </row>
    <row r="132" spans="1:7" ht="12.5">
      <c r="A132" s="16"/>
      <c r="B132" s="16"/>
      <c r="C132" s="16"/>
      <c r="D132" s="16"/>
      <c r="E132" s="16"/>
      <c r="F132" s="16"/>
      <c r="G132" s="16"/>
    </row>
    <row r="133" spans="1:7" ht="12.5">
      <c r="A133" s="16"/>
      <c r="B133" s="16"/>
      <c r="C133" s="16"/>
      <c r="D133" s="16"/>
      <c r="E133" s="16"/>
      <c r="F133" s="16"/>
      <c r="G133" s="16"/>
    </row>
    <row r="134" spans="1:7" ht="12.5">
      <c r="A134" s="16"/>
      <c r="B134" s="16"/>
      <c r="C134" s="16"/>
      <c r="D134" s="16"/>
      <c r="E134" s="16"/>
      <c r="F134" s="16"/>
      <c r="G134" s="16"/>
    </row>
    <row r="135" spans="1:7" ht="12.5">
      <c r="A135" s="16"/>
      <c r="B135" s="16"/>
      <c r="C135" s="16"/>
      <c r="D135" s="16"/>
      <c r="E135" s="16"/>
      <c r="F135" s="16"/>
      <c r="G135" s="16"/>
    </row>
    <row r="136" spans="1:7" ht="12.5">
      <c r="A136" s="16"/>
      <c r="B136" s="16"/>
      <c r="C136" s="16"/>
      <c r="D136" s="16"/>
      <c r="E136" s="16"/>
      <c r="F136" s="16"/>
      <c r="G136" s="16"/>
    </row>
    <row r="137" spans="1:7" ht="12.5">
      <c r="A137" s="16"/>
      <c r="B137" s="16"/>
      <c r="C137" s="16"/>
      <c r="D137" s="16"/>
      <c r="E137" s="16"/>
      <c r="F137" s="16"/>
      <c r="G137" s="16"/>
    </row>
    <row r="138" spans="1:7" ht="12.5">
      <c r="A138" s="16"/>
      <c r="B138" s="16"/>
      <c r="C138" s="16"/>
      <c r="D138" s="16"/>
      <c r="E138" s="16"/>
      <c r="F138" s="16"/>
      <c r="G138" s="16"/>
    </row>
    <row r="139" spans="1:7" ht="12.5">
      <c r="A139" s="16"/>
      <c r="B139" s="16"/>
      <c r="C139" s="16"/>
      <c r="D139" s="16"/>
      <c r="E139" s="16"/>
      <c r="F139" s="16"/>
      <c r="G139" s="16"/>
    </row>
    <row r="140" spans="1:7" ht="12.5">
      <c r="A140" s="16"/>
      <c r="B140" s="16"/>
      <c r="C140" s="16"/>
      <c r="D140" s="16"/>
      <c r="E140" s="16"/>
      <c r="F140" s="16"/>
      <c r="G140" s="16"/>
    </row>
    <row r="141" spans="1:7" ht="12.5">
      <c r="A141" s="16"/>
      <c r="B141" s="16"/>
      <c r="C141" s="16"/>
      <c r="D141" s="16"/>
      <c r="E141" s="16"/>
      <c r="F141" s="16"/>
      <c r="G141" s="16"/>
    </row>
    <row r="142" spans="1:7" ht="12.5">
      <c r="A142" s="16"/>
      <c r="B142" s="16"/>
      <c r="C142" s="16"/>
      <c r="D142" s="16"/>
      <c r="E142" s="16"/>
      <c r="F142" s="16"/>
      <c r="G142" s="16"/>
    </row>
    <row r="143" spans="1:7" ht="12.5">
      <c r="A143" s="16"/>
      <c r="B143" s="16"/>
      <c r="C143" s="16"/>
      <c r="D143" s="16"/>
      <c r="E143" s="16"/>
      <c r="F143" s="16"/>
      <c r="G143" s="16"/>
    </row>
    <row r="144" spans="1:7" ht="12.5">
      <c r="A144" s="16"/>
      <c r="B144" s="16"/>
      <c r="C144" s="16"/>
      <c r="D144" s="16"/>
      <c r="E144" s="16"/>
      <c r="F144" s="16"/>
      <c r="G144" s="16"/>
    </row>
    <row r="145" spans="1:7" ht="12.5">
      <c r="A145" s="16"/>
      <c r="B145" s="16"/>
      <c r="C145" s="16"/>
      <c r="D145" s="16"/>
      <c r="E145" s="16"/>
      <c r="F145" s="16"/>
      <c r="G145" s="16"/>
    </row>
    <row r="146" spans="1:7" ht="12.5">
      <c r="A146" s="16"/>
      <c r="B146" s="16"/>
      <c r="C146" s="16"/>
      <c r="D146" s="16"/>
      <c r="E146" s="16"/>
      <c r="F146" s="16"/>
      <c r="G146" s="16"/>
    </row>
    <row r="147" spans="1:7" ht="12.5">
      <c r="A147" s="16"/>
      <c r="B147" s="16"/>
      <c r="C147" s="16"/>
      <c r="D147" s="16"/>
      <c r="E147" s="16"/>
      <c r="F147" s="16"/>
      <c r="G147" s="16"/>
    </row>
    <row r="148" spans="1:7" ht="12.5">
      <c r="A148" s="16"/>
      <c r="B148" s="16"/>
      <c r="C148" s="16"/>
      <c r="D148" s="16"/>
      <c r="E148" s="16"/>
      <c r="F148" s="16"/>
      <c r="G148" s="16"/>
    </row>
    <row r="149" spans="1:7" ht="12.5">
      <c r="A149" s="16"/>
      <c r="B149" s="16"/>
      <c r="C149" s="16"/>
      <c r="D149" s="16"/>
      <c r="E149" s="16"/>
      <c r="F149" s="16"/>
      <c r="G149" s="16"/>
    </row>
    <row r="150" spans="1:7" ht="12.5">
      <c r="A150" s="16"/>
      <c r="B150" s="16"/>
      <c r="C150" s="16"/>
      <c r="D150" s="16"/>
      <c r="E150" s="16"/>
      <c r="F150" s="16"/>
      <c r="G150" s="16"/>
    </row>
    <row r="151" spans="1:7" ht="12.5">
      <c r="A151" s="16"/>
      <c r="B151" s="16"/>
      <c r="C151" s="16"/>
      <c r="D151" s="16"/>
      <c r="E151" s="16"/>
      <c r="F151" s="16"/>
      <c r="G151" s="16"/>
    </row>
    <row r="152" spans="1:7" ht="12.5">
      <c r="A152" s="16"/>
      <c r="B152" s="16"/>
      <c r="C152" s="16"/>
      <c r="D152" s="16"/>
      <c r="E152" s="16"/>
      <c r="F152" s="16"/>
      <c r="G152" s="16"/>
    </row>
    <row r="153" spans="1:7" ht="12.5">
      <c r="A153" s="16"/>
      <c r="B153" s="16"/>
      <c r="C153" s="16"/>
      <c r="D153" s="16"/>
      <c r="E153" s="16"/>
      <c r="F153" s="16"/>
      <c r="G153" s="16"/>
    </row>
    <row r="154" spans="1:7" ht="12.5">
      <c r="A154" s="16"/>
      <c r="B154" s="16"/>
      <c r="C154" s="16"/>
      <c r="D154" s="16"/>
      <c r="E154" s="16"/>
      <c r="F154" s="16"/>
      <c r="G154" s="16"/>
    </row>
    <row r="155" spans="1:7" ht="12.5">
      <c r="A155" s="16"/>
      <c r="B155" s="16"/>
      <c r="C155" s="16"/>
      <c r="D155" s="16"/>
      <c r="E155" s="16"/>
      <c r="F155" s="16"/>
      <c r="G155" s="16"/>
    </row>
    <row r="156" spans="1:7" ht="12.5">
      <c r="A156" s="16"/>
      <c r="B156" s="16"/>
      <c r="C156" s="16"/>
      <c r="D156" s="16"/>
      <c r="E156" s="16"/>
      <c r="F156" s="16"/>
      <c r="G156" s="16"/>
    </row>
    <row r="157" spans="1:7" ht="12.5">
      <c r="A157" s="16"/>
      <c r="B157" s="16"/>
      <c r="C157" s="16"/>
      <c r="D157" s="16"/>
      <c r="E157" s="16"/>
      <c r="F157" s="16"/>
      <c r="G157" s="16"/>
    </row>
    <row r="158" spans="1:7" ht="12.5">
      <c r="A158" s="16"/>
      <c r="B158" s="16"/>
      <c r="C158" s="16"/>
      <c r="D158" s="16"/>
      <c r="E158" s="16"/>
      <c r="F158" s="16"/>
      <c r="G158" s="16"/>
    </row>
    <row r="159" spans="1:7" ht="12.5">
      <c r="A159" s="16"/>
      <c r="B159" s="16"/>
      <c r="C159" s="16"/>
      <c r="D159" s="16"/>
      <c r="E159" s="16"/>
      <c r="F159" s="16"/>
      <c r="G159" s="16"/>
    </row>
    <row r="160" spans="1:7" ht="12.5">
      <c r="A160" s="16"/>
      <c r="B160" s="16"/>
      <c r="C160" s="16"/>
      <c r="D160" s="16"/>
      <c r="E160" s="16"/>
      <c r="F160" s="16"/>
      <c r="G160" s="16"/>
    </row>
    <row r="161" spans="1:7" ht="12.5">
      <c r="A161" s="16"/>
      <c r="B161" s="16"/>
      <c r="C161" s="16"/>
      <c r="D161" s="16"/>
      <c r="E161" s="16"/>
      <c r="F161" s="16"/>
      <c r="G161" s="16"/>
    </row>
    <row r="162" spans="1:7" ht="12.5">
      <c r="A162" s="16"/>
      <c r="B162" s="16"/>
      <c r="C162" s="16"/>
      <c r="D162" s="16"/>
      <c r="E162" s="16"/>
      <c r="F162" s="16"/>
      <c r="G162" s="16"/>
    </row>
    <row r="163" spans="1:7" ht="12.5">
      <c r="A163" s="16"/>
      <c r="B163" s="16"/>
      <c r="C163" s="16"/>
      <c r="D163" s="16"/>
      <c r="E163" s="16"/>
      <c r="F163" s="16"/>
      <c r="G163" s="16"/>
    </row>
    <row r="164" spans="1:7" ht="12.5">
      <c r="A164" s="16"/>
      <c r="B164" s="16"/>
      <c r="C164" s="16"/>
      <c r="D164" s="16"/>
      <c r="E164" s="16"/>
      <c r="F164" s="16"/>
      <c r="G164" s="16"/>
    </row>
    <row r="165" spans="1:7" ht="12.5">
      <c r="A165" s="16"/>
      <c r="B165" s="16"/>
      <c r="C165" s="16"/>
      <c r="D165" s="16"/>
      <c r="E165" s="16"/>
      <c r="F165" s="16"/>
      <c r="G165" s="16"/>
    </row>
    <row r="166" spans="1:7" ht="12.5">
      <c r="A166" s="16"/>
      <c r="B166" s="16"/>
      <c r="C166" s="16"/>
      <c r="D166" s="16"/>
      <c r="E166" s="16"/>
      <c r="F166" s="16"/>
      <c r="G166" s="16"/>
    </row>
    <row r="167" spans="1:7" ht="12.5">
      <c r="A167" s="16"/>
      <c r="B167" s="16"/>
      <c r="C167" s="16"/>
      <c r="D167" s="16"/>
      <c r="E167" s="16"/>
      <c r="F167" s="16"/>
      <c r="G167" s="16"/>
    </row>
    <row r="168" spans="1:7" ht="12.5">
      <c r="A168" s="16"/>
      <c r="B168" s="16"/>
      <c r="C168" s="16"/>
      <c r="D168" s="16"/>
      <c r="E168" s="16"/>
      <c r="F168" s="16"/>
      <c r="G168" s="16"/>
    </row>
    <row r="169" spans="1:7" ht="12.5">
      <c r="A169" s="16"/>
      <c r="B169" s="16"/>
      <c r="C169" s="16"/>
      <c r="D169" s="16"/>
      <c r="E169" s="16"/>
      <c r="F169" s="16"/>
      <c r="G169" s="16"/>
    </row>
    <row r="170" spans="1:7" ht="12.5">
      <c r="A170" s="16"/>
      <c r="B170" s="16"/>
      <c r="C170" s="16"/>
      <c r="D170" s="16"/>
      <c r="E170" s="16"/>
      <c r="F170" s="16"/>
      <c r="G170" s="16"/>
    </row>
    <row r="171" spans="1:7" ht="12.5">
      <c r="A171" s="16"/>
      <c r="B171" s="16"/>
      <c r="C171" s="16"/>
      <c r="D171" s="16"/>
      <c r="E171" s="16"/>
      <c r="F171" s="16"/>
      <c r="G171" s="16"/>
    </row>
    <row r="172" spans="1:7" ht="12.5">
      <c r="A172" s="16"/>
      <c r="B172" s="16"/>
      <c r="C172" s="16"/>
      <c r="D172" s="16"/>
      <c r="E172" s="16"/>
      <c r="F172" s="16"/>
      <c r="G172" s="16"/>
    </row>
    <row r="173" spans="1:7" ht="12.5">
      <c r="A173" s="16"/>
      <c r="B173" s="16"/>
      <c r="C173" s="16"/>
      <c r="D173" s="16"/>
      <c r="E173" s="16"/>
      <c r="F173" s="16"/>
      <c r="G173" s="16"/>
    </row>
    <row r="174" spans="1:7" ht="12.5">
      <c r="A174" s="16"/>
      <c r="B174" s="16"/>
      <c r="C174" s="16"/>
      <c r="D174" s="16"/>
      <c r="E174" s="16"/>
      <c r="F174" s="16"/>
      <c r="G174" s="16"/>
    </row>
    <row r="175" spans="1:7" ht="12.5">
      <c r="A175" s="16"/>
      <c r="B175" s="16"/>
      <c r="C175" s="16"/>
      <c r="D175" s="16"/>
      <c r="E175" s="16"/>
      <c r="F175" s="16"/>
      <c r="G175" s="16"/>
    </row>
    <row r="176" spans="1:7" ht="12.5">
      <c r="A176" s="16"/>
      <c r="B176" s="16"/>
      <c r="C176" s="16"/>
      <c r="D176" s="16"/>
      <c r="E176" s="16"/>
      <c r="F176" s="16"/>
      <c r="G176" s="16"/>
    </row>
    <row r="177" spans="1:7" ht="12.5">
      <c r="A177" s="16"/>
      <c r="B177" s="16"/>
      <c r="C177" s="16"/>
      <c r="D177" s="16"/>
      <c r="E177" s="16"/>
      <c r="F177" s="16"/>
      <c r="G177" s="16"/>
    </row>
    <row r="178" spans="1:7" ht="12.5">
      <c r="A178" s="16"/>
      <c r="B178" s="16"/>
      <c r="C178" s="16"/>
      <c r="D178" s="16"/>
      <c r="E178" s="16"/>
      <c r="F178" s="16"/>
      <c r="G178" s="16"/>
    </row>
    <row r="179" spans="1:7" ht="12.5">
      <c r="A179" s="16"/>
      <c r="B179" s="16"/>
      <c r="C179" s="16"/>
      <c r="D179" s="16"/>
      <c r="E179" s="16"/>
      <c r="F179" s="16"/>
      <c r="G179" s="16"/>
    </row>
    <row r="180" spans="1:7" ht="12.5">
      <c r="A180" s="16"/>
      <c r="B180" s="16"/>
      <c r="C180" s="16"/>
      <c r="D180" s="16"/>
      <c r="E180" s="16"/>
      <c r="F180" s="16"/>
      <c r="G180" s="16"/>
    </row>
    <row r="181" spans="1:7" ht="12.5">
      <c r="A181" s="16"/>
      <c r="B181" s="16"/>
      <c r="C181" s="16"/>
      <c r="D181" s="16"/>
      <c r="E181" s="16"/>
      <c r="F181" s="16"/>
      <c r="G181" s="16"/>
    </row>
    <row r="182" spans="1:7" ht="12.5">
      <c r="A182" s="16"/>
      <c r="B182" s="16"/>
      <c r="C182" s="16"/>
      <c r="D182" s="16"/>
      <c r="E182" s="16"/>
      <c r="F182" s="16"/>
      <c r="G182" s="16"/>
    </row>
    <row r="183" spans="1:7" ht="12.5">
      <c r="A183" s="16"/>
      <c r="B183" s="16"/>
      <c r="C183" s="16"/>
      <c r="D183" s="16"/>
      <c r="E183" s="16"/>
      <c r="F183" s="16"/>
      <c r="G183" s="16"/>
    </row>
    <row r="184" spans="1:7" ht="12.5">
      <c r="A184" s="16"/>
      <c r="B184" s="16"/>
      <c r="C184" s="16"/>
      <c r="D184" s="16"/>
      <c r="E184" s="16"/>
      <c r="F184" s="16"/>
      <c r="G184" s="16"/>
    </row>
    <row r="185" spans="1:7" ht="12.5">
      <c r="A185" s="16"/>
      <c r="B185" s="16"/>
      <c r="C185" s="16"/>
      <c r="D185" s="16"/>
      <c r="E185" s="16"/>
      <c r="F185" s="16"/>
      <c r="G185" s="16"/>
    </row>
    <row r="186" spans="1:7" ht="12.5">
      <c r="A186" s="16"/>
      <c r="B186" s="16"/>
      <c r="C186" s="16"/>
      <c r="D186" s="16"/>
      <c r="E186" s="16"/>
      <c r="F186" s="16"/>
      <c r="G186" s="16"/>
    </row>
    <row r="187" spans="1:7" ht="12.5">
      <c r="A187" s="16"/>
      <c r="B187" s="16"/>
      <c r="C187" s="16"/>
      <c r="D187" s="16"/>
      <c r="E187" s="16"/>
      <c r="F187" s="16"/>
      <c r="G187" s="16"/>
    </row>
    <row r="188" spans="1:7" ht="12.5">
      <c r="A188" s="16"/>
      <c r="B188" s="16"/>
      <c r="C188" s="16"/>
      <c r="D188" s="16"/>
      <c r="E188" s="16"/>
      <c r="F188" s="16"/>
      <c r="G188" s="16"/>
    </row>
    <row r="189" spans="1:7" ht="12.5">
      <c r="A189" s="16"/>
      <c r="B189" s="16"/>
      <c r="C189" s="16"/>
      <c r="D189" s="16"/>
      <c r="E189" s="16"/>
      <c r="F189" s="16"/>
      <c r="G189" s="16"/>
    </row>
    <row r="190" spans="1:7" ht="12.5">
      <c r="A190" s="16"/>
      <c r="B190" s="16"/>
      <c r="C190" s="16"/>
      <c r="D190" s="16"/>
      <c r="E190" s="16"/>
      <c r="F190" s="16"/>
      <c r="G190" s="16"/>
    </row>
    <row r="191" spans="1:7" ht="12.5">
      <c r="A191" s="16"/>
      <c r="B191" s="16"/>
      <c r="C191" s="16"/>
      <c r="D191" s="16"/>
      <c r="E191" s="16"/>
      <c r="F191" s="16"/>
      <c r="G191" s="16"/>
    </row>
    <row r="192" spans="1:7" ht="12.5">
      <c r="A192" s="16"/>
      <c r="B192" s="16"/>
      <c r="C192" s="16"/>
      <c r="D192" s="16"/>
      <c r="E192" s="16"/>
      <c r="F192" s="16"/>
      <c r="G192" s="16"/>
    </row>
    <row r="193" spans="1:7" ht="12.5">
      <c r="A193" s="16"/>
      <c r="B193" s="16"/>
      <c r="C193" s="16"/>
      <c r="D193" s="16"/>
      <c r="E193" s="16"/>
      <c r="F193" s="16"/>
      <c r="G193" s="16"/>
    </row>
    <row r="194" spans="1:7" ht="12.5">
      <c r="A194" s="16"/>
      <c r="B194" s="16"/>
      <c r="C194" s="16"/>
      <c r="D194" s="16"/>
      <c r="E194" s="16"/>
      <c r="F194" s="16"/>
      <c r="G194" s="16"/>
    </row>
    <row r="195" spans="1:7" ht="12.5">
      <c r="A195" s="16"/>
      <c r="B195" s="16"/>
      <c r="C195" s="16"/>
      <c r="D195" s="16"/>
      <c r="E195" s="16"/>
      <c r="F195" s="16"/>
      <c r="G195" s="16"/>
    </row>
    <row r="196" spans="1:7" ht="12.5">
      <c r="A196" s="16"/>
      <c r="B196" s="16"/>
      <c r="C196" s="16"/>
      <c r="D196" s="16"/>
      <c r="E196" s="16"/>
      <c r="F196" s="16"/>
      <c r="G196" s="16"/>
    </row>
    <row r="197" spans="1:7" ht="12.5">
      <c r="A197" s="16"/>
      <c r="B197" s="16"/>
      <c r="C197" s="16"/>
      <c r="D197" s="16"/>
      <c r="E197" s="16"/>
      <c r="F197" s="16"/>
      <c r="G197" s="16"/>
    </row>
    <row r="198" spans="1:7" ht="12.5">
      <c r="A198" s="16"/>
      <c r="B198" s="16"/>
      <c r="C198" s="16"/>
      <c r="D198" s="16"/>
      <c r="E198" s="16"/>
      <c r="F198" s="16"/>
      <c r="G198" s="16"/>
    </row>
    <row r="199" spans="1:7" ht="12.5">
      <c r="A199" s="16"/>
      <c r="B199" s="16"/>
      <c r="C199" s="16"/>
      <c r="D199" s="16"/>
      <c r="E199" s="16"/>
      <c r="F199" s="16"/>
      <c r="G199" s="16"/>
    </row>
    <row r="200" spans="1:7" ht="12.5">
      <c r="A200" s="16"/>
      <c r="B200" s="16"/>
      <c r="C200" s="16"/>
      <c r="D200" s="16"/>
      <c r="E200" s="16"/>
      <c r="F200" s="16"/>
      <c r="G200" s="16"/>
    </row>
    <row r="201" spans="1:7" ht="12.5">
      <c r="A201" s="16"/>
      <c r="B201" s="16"/>
      <c r="C201" s="16"/>
      <c r="D201" s="16"/>
      <c r="E201" s="16"/>
      <c r="F201" s="16"/>
      <c r="G201" s="16"/>
    </row>
    <row r="202" spans="1:7" ht="12.5">
      <c r="A202" s="16"/>
      <c r="B202" s="16"/>
      <c r="C202" s="16"/>
      <c r="D202" s="16"/>
      <c r="E202" s="16"/>
      <c r="F202" s="16"/>
      <c r="G202" s="16"/>
    </row>
    <row r="203" spans="1:7" ht="12.5">
      <c r="A203" s="16"/>
      <c r="B203" s="16"/>
      <c r="C203" s="16"/>
      <c r="D203" s="16"/>
      <c r="E203" s="16"/>
      <c r="F203" s="16"/>
      <c r="G203" s="16"/>
    </row>
    <row r="204" spans="1:7" ht="12.5">
      <c r="A204" s="16"/>
      <c r="B204" s="16"/>
      <c r="C204" s="16"/>
      <c r="D204" s="16"/>
      <c r="E204" s="16"/>
      <c r="F204" s="16"/>
      <c r="G204" s="16"/>
    </row>
    <row r="205" spans="1:7" ht="12.5">
      <c r="A205" s="16"/>
      <c r="B205" s="16"/>
      <c r="C205" s="16"/>
      <c r="D205" s="16"/>
      <c r="E205" s="16"/>
      <c r="F205" s="16"/>
      <c r="G205" s="16"/>
    </row>
    <row r="206" spans="1:7" ht="12.5">
      <c r="A206" s="16"/>
      <c r="B206" s="16"/>
      <c r="C206" s="16"/>
      <c r="D206" s="16"/>
      <c r="E206" s="16"/>
      <c r="F206" s="16"/>
      <c r="G206" s="16"/>
    </row>
    <row r="207" spans="1:7" ht="12.5">
      <c r="A207" s="16"/>
      <c r="B207" s="16"/>
      <c r="C207" s="16"/>
      <c r="D207" s="16"/>
      <c r="E207" s="16"/>
      <c r="F207" s="16"/>
      <c r="G207" s="16"/>
    </row>
    <row r="208" spans="1:7" ht="12.5">
      <c r="A208" s="16"/>
      <c r="B208" s="16"/>
      <c r="C208" s="16"/>
      <c r="D208" s="16"/>
      <c r="E208" s="16"/>
      <c r="F208" s="16"/>
      <c r="G208" s="16"/>
    </row>
    <row r="209" spans="1:7" ht="12.5">
      <c r="A209" s="16"/>
      <c r="B209" s="16"/>
      <c r="C209" s="16"/>
      <c r="D209" s="16"/>
      <c r="E209" s="16"/>
      <c r="F209" s="16"/>
      <c r="G209" s="16"/>
    </row>
    <row r="210" spans="1:7" ht="12.5">
      <c r="A210" s="16"/>
      <c r="B210" s="16"/>
      <c r="C210" s="16"/>
      <c r="D210" s="16"/>
      <c r="E210" s="16"/>
      <c r="F210" s="16"/>
      <c r="G210" s="16"/>
    </row>
    <row r="211" spans="1:7" ht="12.5">
      <c r="A211" s="16"/>
      <c r="B211" s="16"/>
      <c r="C211" s="16"/>
      <c r="D211" s="16"/>
      <c r="E211" s="16"/>
      <c r="F211" s="16"/>
      <c r="G211" s="16"/>
    </row>
    <row r="212" spans="1:7" ht="12.5">
      <c r="A212" s="16"/>
      <c r="B212" s="16"/>
      <c r="C212" s="16"/>
      <c r="D212" s="16"/>
      <c r="E212" s="16"/>
      <c r="F212" s="16"/>
      <c r="G212" s="16"/>
    </row>
    <row r="213" spans="1:7" ht="12.5">
      <c r="A213" s="16"/>
      <c r="B213" s="16"/>
      <c r="C213" s="16"/>
      <c r="D213" s="16"/>
      <c r="E213" s="16"/>
      <c r="F213" s="16"/>
      <c r="G213" s="16"/>
    </row>
    <row r="214" spans="1:7" ht="12.5">
      <c r="A214" s="16"/>
      <c r="B214" s="16"/>
      <c r="C214" s="16"/>
      <c r="D214" s="16"/>
      <c r="E214" s="16"/>
      <c r="F214" s="16"/>
      <c r="G214" s="16"/>
    </row>
    <row r="215" spans="1:7" ht="12.5">
      <c r="A215" s="16"/>
      <c r="B215" s="16"/>
      <c r="C215" s="16"/>
      <c r="D215" s="16"/>
      <c r="E215" s="16"/>
      <c r="F215" s="16"/>
      <c r="G215" s="16"/>
    </row>
    <row r="216" spans="1:7" ht="12.5">
      <c r="A216" s="16"/>
      <c r="B216" s="16"/>
      <c r="C216" s="16"/>
      <c r="D216" s="16"/>
      <c r="E216" s="16"/>
      <c r="F216" s="16"/>
      <c r="G216" s="16"/>
    </row>
    <row r="217" spans="1:7" ht="12.5">
      <c r="A217" s="16"/>
      <c r="B217" s="16"/>
      <c r="C217" s="16"/>
      <c r="D217" s="16"/>
      <c r="E217" s="16"/>
      <c r="F217" s="16"/>
      <c r="G217" s="16"/>
    </row>
    <row r="218" spans="1:7" ht="12.5">
      <c r="A218" s="16"/>
      <c r="B218" s="16"/>
      <c r="C218" s="16"/>
      <c r="D218" s="16"/>
      <c r="E218" s="16"/>
      <c r="F218" s="16"/>
      <c r="G218" s="16"/>
    </row>
    <row r="219" spans="1:7" ht="12.5">
      <c r="A219" s="16"/>
      <c r="B219" s="16"/>
      <c r="C219" s="16"/>
      <c r="D219" s="16"/>
      <c r="E219" s="16"/>
      <c r="F219" s="16"/>
      <c r="G219" s="16"/>
    </row>
    <row r="220" spans="1:7" ht="12.5">
      <c r="A220" s="16"/>
      <c r="B220" s="16"/>
      <c r="C220" s="16"/>
      <c r="D220" s="16"/>
      <c r="E220" s="16"/>
      <c r="F220" s="16"/>
      <c r="G220" s="16"/>
    </row>
    <row r="221" spans="1:7" ht="12.5">
      <c r="A221" s="16"/>
      <c r="B221" s="16"/>
      <c r="C221" s="16"/>
      <c r="D221" s="16"/>
      <c r="E221" s="16"/>
      <c r="F221" s="16"/>
      <c r="G221" s="16"/>
    </row>
    <row r="222" spans="1:7" ht="12.5">
      <c r="A222" s="16"/>
      <c r="B222" s="16"/>
      <c r="C222" s="16"/>
      <c r="D222" s="16"/>
      <c r="E222" s="16"/>
      <c r="F222" s="16"/>
      <c r="G222" s="16"/>
    </row>
    <row r="223" spans="1:7" ht="12.5">
      <c r="A223" s="16"/>
      <c r="B223" s="16"/>
      <c r="C223" s="16"/>
      <c r="D223" s="16"/>
      <c r="E223" s="16"/>
      <c r="F223" s="16"/>
      <c r="G223" s="16"/>
    </row>
    <row r="224" spans="1:7" ht="12.5">
      <c r="A224" s="16"/>
      <c r="B224" s="16"/>
      <c r="C224" s="16"/>
      <c r="D224" s="16"/>
      <c r="E224" s="16"/>
      <c r="F224" s="16"/>
      <c r="G224" s="16"/>
    </row>
    <row r="225" spans="1:7" ht="12.5">
      <c r="A225" s="16"/>
      <c r="B225" s="16"/>
      <c r="C225" s="16"/>
      <c r="D225" s="16"/>
      <c r="E225" s="16"/>
      <c r="F225" s="16"/>
      <c r="G225" s="16"/>
    </row>
    <row r="226" spans="1:7" ht="12.5">
      <c r="A226" s="16"/>
      <c r="B226" s="16"/>
      <c r="C226" s="16"/>
      <c r="D226" s="16"/>
      <c r="E226" s="16"/>
      <c r="F226" s="16"/>
      <c r="G226" s="16"/>
    </row>
    <row r="227" spans="1:7" ht="12.5">
      <c r="A227" s="16"/>
      <c r="B227" s="16"/>
      <c r="C227" s="16"/>
      <c r="D227" s="16"/>
      <c r="E227" s="16"/>
      <c r="F227" s="16"/>
      <c r="G227" s="16"/>
    </row>
    <row r="228" spans="1:7" ht="12.5">
      <c r="A228" s="16"/>
      <c r="B228" s="16"/>
      <c r="C228" s="16"/>
      <c r="D228" s="16"/>
      <c r="E228" s="16"/>
      <c r="F228" s="16"/>
      <c r="G228" s="16"/>
    </row>
    <row r="229" spans="1:7" ht="12.5">
      <c r="A229" s="16"/>
      <c r="B229" s="16"/>
      <c r="C229" s="16"/>
      <c r="D229" s="16"/>
      <c r="E229" s="16"/>
      <c r="F229" s="16"/>
      <c r="G229" s="16"/>
    </row>
    <row r="230" spans="1:7" ht="12.5">
      <c r="A230" s="16"/>
      <c r="B230" s="16"/>
      <c r="C230" s="16"/>
      <c r="D230" s="16"/>
      <c r="E230" s="16"/>
      <c r="F230" s="16"/>
      <c r="G230" s="16"/>
    </row>
    <row r="231" spans="1:7" ht="12.5">
      <c r="A231" s="16"/>
      <c r="B231" s="16"/>
      <c r="C231" s="16"/>
      <c r="D231" s="16"/>
      <c r="E231" s="16"/>
      <c r="F231" s="16"/>
      <c r="G231" s="16"/>
    </row>
    <row r="232" spans="1:7" ht="12.5">
      <c r="A232" s="16"/>
      <c r="B232" s="16"/>
      <c r="C232" s="16"/>
      <c r="D232" s="16"/>
      <c r="E232" s="16"/>
      <c r="F232" s="16"/>
      <c r="G232" s="16"/>
    </row>
    <row r="233" spans="1:7" ht="12.5">
      <c r="A233" s="16"/>
      <c r="B233" s="16"/>
      <c r="C233" s="16"/>
      <c r="D233" s="16"/>
      <c r="E233" s="16"/>
      <c r="F233" s="16"/>
      <c r="G233" s="16"/>
    </row>
    <row r="234" spans="1:7" ht="12.5">
      <c r="A234" s="16"/>
      <c r="B234" s="16"/>
      <c r="C234" s="16"/>
      <c r="D234" s="16"/>
      <c r="E234" s="16"/>
      <c r="F234" s="16"/>
      <c r="G234" s="16"/>
    </row>
    <row r="235" spans="1:7" ht="12.5">
      <c r="A235" s="16"/>
      <c r="B235" s="16"/>
      <c r="C235" s="16"/>
      <c r="D235" s="16"/>
      <c r="E235" s="16"/>
      <c r="F235" s="16"/>
      <c r="G235" s="16"/>
    </row>
    <row r="236" spans="1:7" ht="12.5">
      <c r="A236" s="16"/>
      <c r="B236" s="16"/>
      <c r="C236" s="16"/>
      <c r="D236" s="16"/>
      <c r="E236" s="16"/>
      <c r="F236" s="16"/>
      <c r="G236" s="16"/>
    </row>
    <row r="237" spans="1:7" ht="12.5">
      <c r="A237" s="16"/>
      <c r="B237" s="16"/>
      <c r="C237" s="16"/>
      <c r="D237" s="16"/>
      <c r="E237" s="16"/>
      <c r="F237" s="16"/>
      <c r="G237" s="16"/>
    </row>
    <row r="238" spans="1:7" ht="12.5">
      <c r="A238" s="16"/>
      <c r="B238" s="16"/>
      <c r="C238" s="16"/>
      <c r="D238" s="16"/>
      <c r="E238" s="16"/>
      <c r="F238" s="16"/>
      <c r="G238" s="16"/>
    </row>
    <row r="239" spans="1:7" ht="12.5">
      <c r="A239" s="16"/>
      <c r="B239" s="16"/>
      <c r="C239" s="16"/>
      <c r="D239" s="16"/>
      <c r="E239" s="16"/>
      <c r="F239" s="16"/>
      <c r="G239" s="16"/>
    </row>
    <row r="240" spans="1:7" ht="12.5">
      <c r="A240" s="16"/>
      <c r="B240" s="16"/>
      <c r="C240" s="16"/>
      <c r="D240" s="16"/>
      <c r="E240" s="16"/>
      <c r="F240" s="16"/>
      <c r="G240" s="16"/>
    </row>
    <row r="241" spans="1:7" ht="12.5">
      <c r="A241" s="16"/>
      <c r="B241" s="16"/>
      <c r="C241" s="16"/>
      <c r="D241" s="16"/>
      <c r="E241" s="16"/>
      <c r="F241" s="16"/>
      <c r="G241" s="16"/>
    </row>
    <row r="242" spans="1:7" ht="12.5">
      <c r="A242" s="16"/>
      <c r="B242" s="16"/>
      <c r="C242" s="16"/>
      <c r="D242" s="16"/>
      <c r="E242" s="16"/>
      <c r="F242" s="16"/>
      <c r="G242" s="16"/>
    </row>
    <row r="243" spans="1:7" ht="12.5">
      <c r="A243" s="16"/>
      <c r="B243" s="16"/>
      <c r="C243" s="16"/>
      <c r="D243" s="16"/>
      <c r="E243" s="16"/>
      <c r="F243" s="16"/>
      <c r="G243" s="16"/>
    </row>
    <row r="244" spans="1:7" ht="12.5">
      <c r="A244" s="16"/>
      <c r="B244" s="16"/>
      <c r="C244" s="16"/>
      <c r="D244" s="16"/>
      <c r="E244" s="16"/>
      <c r="F244" s="16"/>
      <c r="G244" s="16"/>
    </row>
    <row r="245" spans="1:7" ht="12.5">
      <c r="A245" s="16"/>
      <c r="B245" s="16"/>
      <c r="C245" s="16"/>
      <c r="D245" s="16"/>
      <c r="E245" s="16"/>
      <c r="F245" s="16"/>
      <c r="G245" s="16"/>
    </row>
    <row r="246" spans="1:7" ht="12.5">
      <c r="A246" s="16"/>
      <c r="B246" s="16"/>
      <c r="C246" s="16"/>
      <c r="D246" s="16"/>
      <c r="E246" s="16"/>
      <c r="F246" s="16"/>
      <c r="G246" s="16"/>
    </row>
    <row r="247" spans="1:7" ht="12.5">
      <c r="A247" s="16"/>
      <c r="B247" s="16"/>
      <c r="C247" s="16"/>
      <c r="D247" s="16"/>
      <c r="E247" s="16"/>
      <c r="F247" s="16"/>
      <c r="G247" s="16"/>
    </row>
    <row r="248" spans="1:7" ht="12.5">
      <c r="A248" s="16"/>
      <c r="B248" s="16"/>
      <c r="C248" s="16"/>
      <c r="D248" s="16"/>
      <c r="E248" s="16"/>
      <c r="F248" s="16"/>
      <c r="G248" s="16"/>
    </row>
    <row r="249" spans="1:7" ht="12.5">
      <c r="A249" s="16"/>
      <c r="B249" s="16"/>
      <c r="C249" s="16"/>
      <c r="D249" s="16"/>
      <c r="E249" s="16"/>
      <c r="F249" s="16"/>
      <c r="G249" s="16"/>
    </row>
    <row r="250" spans="1:7" ht="12.5">
      <c r="A250" s="16"/>
      <c r="B250" s="16"/>
      <c r="C250" s="16"/>
      <c r="D250" s="16"/>
      <c r="E250" s="16"/>
      <c r="F250" s="16"/>
      <c r="G250" s="16"/>
    </row>
    <row r="251" spans="1:7" ht="12.5">
      <c r="A251" s="16"/>
      <c r="B251" s="16"/>
      <c r="C251" s="16"/>
      <c r="D251" s="16"/>
      <c r="E251" s="16"/>
      <c r="F251" s="16"/>
      <c r="G251" s="16"/>
    </row>
    <row r="252" spans="1:7" ht="12.5">
      <c r="A252" s="16"/>
      <c r="B252" s="16"/>
      <c r="C252" s="16"/>
      <c r="D252" s="16"/>
      <c r="E252" s="16"/>
      <c r="F252" s="16"/>
      <c r="G252" s="16"/>
    </row>
    <row r="253" spans="1:7" ht="12.5">
      <c r="A253" s="16"/>
      <c r="B253" s="16"/>
      <c r="C253" s="16"/>
      <c r="D253" s="16"/>
      <c r="E253" s="16"/>
      <c r="F253" s="16"/>
      <c r="G253" s="16"/>
    </row>
    <row r="254" spans="1:7" ht="12.5">
      <c r="A254" s="16"/>
      <c r="B254" s="16"/>
      <c r="C254" s="16"/>
      <c r="D254" s="16"/>
      <c r="E254" s="16"/>
      <c r="F254" s="16"/>
      <c r="G254" s="16"/>
    </row>
    <row r="255" spans="1:7" ht="12.5">
      <c r="A255" s="16"/>
      <c r="B255" s="16"/>
      <c r="C255" s="16"/>
      <c r="D255" s="16"/>
      <c r="E255" s="16"/>
      <c r="F255" s="16"/>
      <c r="G255" s="16"/>
    </row>
    <row r="256" spans="1:7" ht="12.5">
      <c r="A256" s="16"/>
      <c r="B256" s="16"/>
      <c r="C256" s="16"/>
      <c r="D256" s="16"/>
      <c r="E256" s="16"/>
      <c r="F256" s="16"/>
      <c r="G256" s="16"/>
    </row>
    <row r="257" spans="1:7" ht="12.5">
      <c r="A257" s="16"/>
      <c r="B257" s="16"/>
      <c r="C257" s="16"/>
      <c r="D257" s="16"/>
      <c r="E257" s="16"/>
      <c r="F257" s="16"/>
      <c r="G257" s="16"/>
    </row>
    <row r="258" spans="1:7" ht="12.5">
      <c r="A258" s="16"/>
      <c r="B258" s="16"/>
      <c r="C258" s="16"/>
      <c r="D258" s="16"/>
      <c r="E258" s="16"/>
      <c r="F258" s="16"/>
      <c r="G258" s="16"/>
    </row>
    <row r="259" spans="1:7" ht="12.5">
      <c r="A259" s="16"/>
      <c r="B259" s="16"/>
      <c r="C259" s="16"/>
      <c r="D259" s="16"/>
      <c r="E259" s="16"/>
      <c r="F259" s="16"/>
      <c r="G259" s="16"/>
    </row>
    <row r="260" spans="1:7" ht="12.5">
      <c r="A260" s="16"/>
      <c r="B260" s="16"/>
      <c r="C260" s="16"/>
      <c r="D260" s="16"/>
      <c r="E260" s="16"/>
      <c r="F260" s="16"/>
      <c r="G260" s="16"/>
    </row>
    <row r="261" spans="1:7" ht="12.5">
      <c r="A261" s="16"/>
      <c r="B261" s="16"/>
      <c r="C261" s="16"/>
      <c r="D261" s="16"/>
      <c r="E261" s="16"/>
      <c r="F261" s="16"/>
      <c r="G261" s="16"/>
    </row>
    <row r="262" spans="1:7" ht="12.5">
      <c r="A262" s="16"/>
      <c r="B262" s="16"/>
      <c r="C262" s="16"/>
      <c r="D262" s="16"/>
      <c r="E262" s="16"/>
      <c r="F262" s="16"/>
      <c r="G262" s="16"/>
    </row>
    <row r="263" spans="1:7" ht="12.5">
      <c r="A263" s="16"/>
      <c r="B263" s="16"/>
      <c r="C263" s="16"/>
      <c r="D263" s="16"/>
      <c r="E263" s="16"/>
      <c r="F263" s="16"/>
      <c r="G263" s="16"/>
    </row>
    <row r="264" spans="1:7" ht="12.5">
      <c r="A264" s="16"/>
      <c r="B264" s="16"/>
      <c r="C264" s="16"/>
      <c r="D264" s="16"/>
      <c r="E264" s="16"/>
      <c r="F264" s="16"/>
      <c r="G264" s="16"/>
    </row>
    <row r="265" spans="1:7" ht="12.5">
      <c r="A265" s="16"/>
      <c r="B265" s="16"/>
      <c r="C265" s="16"/>
      <c r="D265" s="16"/>
      <c r="E265" s="16"/>
      <c r="F265" s="16"/>
      <c r="G265" s="16"/>
    </row>
    <row r="266" spans="1:7" ht="12.5">
      <c r="A266" s="16"/>
      <c r="B266" s="16"/>
      <c r="C266" s="16"/>
      <c r="D266" s="16"/>
      <c r="E266" s="16"/>
      <c r="F266" s="16"/>
      <c r="G266" s="16"/>
    </row>
    <row r="267" spans="1:7" ht="12.5">
      <c r="A267" s="16"/>
      <c r="B267" s="16"/>
      <c r="C267" s="16"/>
      <c r="D267" s="16"/>
      <c r="E267" s="16"/>
      <c r="F267" s="16"/>
      <c r="G267" s="16"/>
    </row>
    <row r="268" spans="1:7" ht="12.5">
      <c r="A268" s="16"/>
      <c r="B268" s="16"/>
      <c r="C268" s="16"/>
      <c r="D268" s="16"/>
      <c r="E268" s="16"/>
      <c r="F268" s="16"/>
      <c r="G268" s="16"/>
    </row>
    <row r="269" spans="1:7" ht="12.5">
      <c r="A269" s="16"/>
      <c r="B269" s="16"/>
      <c r="C269" s="16"/>
      <c r="D269" s="16"/>
      <c r="E269" s="16"/>
      <c r="F269" s="16"/>
      <c r="G269" s="16"/>
    </row>
    <row r="270" spans="1:7" ht="12.5">
      <c r="A270" s="16"/>
      <c r="B270" s="16"/>
      <c r="C270" s="16"/>
      <c r="D270" s="16"/>
      <c r="E270" s="16"/>
      <c r="F270" s="16"/>
      <c r="G270" s="16"/>
    </row>
    <row r="271" spans="1:7" ht="12.5">
      <c r="A271" s="16"/>
      <c r="B271" s="16"/>
      <c r="C271" s="16"/>
      <c r="D271" s="16"/>
      <c r="E271" s="16"/>
      <c r="F271" s="16"/>
      <c r="G271" s="16"/>
    </row>
    <row r="272" spans="1:7" ht="12.5">
      <c r="A272" s="16"/>
      <c r="B272" s="16"/>
      <c r="C272" s="16"/>
      <c r="D272" s="16"/>
      <c r="E272" s="16"/>
      <c r="F272" s="16"/>
      <c r="G272" s="16"/>
    </row>
    <row r="273" spans="1:7" ht="12.5">
      <c r="A273" s="16"/>
      <c r="B273" s="16"/>
      <c r="C273" s="16"/>
      <c r="D273" s="16"/>
      <c r="E273" s="16"/>
      <c r="F273" s="16"/>
      <c r="G273" s="16"/>
    </row>
    <row r="274" spans="1:7" ht="12.5">
      <c r="A274" s="16"/>
      <c r="B274" s="16"/>
      <c r="C274" s="16"/>
      <c r="D274" s="16"/>
      <c r="E274" s="16"/>
      <c r="F274" s="16"/>
      <c r="G274" s="16"/>
    </row>
    <row r="275" spans="1:7" ht="12.5">
      <c r="A275" s="16"/>
      <c r="B275" s="16"/>
      <c r="C275" s="16"/>
      <c r="D275" s="16"/>
      <c r="E275" s="16"/>
      <c r="F275" s="16"/>
      <c r="G275" s="16"/>
    </row>
    <row r="276" spans="1:7" ht="12.5">
      <c r="A276" s="16"/>
      <c r="B276" s="16"/>
      <c r="C276" s="16"/>
      <c r="D276" s="16"/>
      <c r="E276" s="16"/>
      <c r="F276" s="16"/>
      <c r="G276" s="16"/>
    </row>
    <row r="277" spans="1:7" ht="12.5">
      <c r="A277" s="16"/>
      <c r="B277" s="16"/>
      <c r="C277" s="16"/>
      <c r="D277" s="16"/>
      <c r="E277" s="16"/>
      <c r="F277" s="16"/>
      <c r="G277" s="16"/>
    </row>
    <row r="278" spans="1:7" ht="12.5">
      <c r="A278" s="16"/>
      <c r="B278" s="16"/>
      <c r="C278" s="16"/>
      <c r="D278" s="16"/>
      <c r="E278" s="16"/>
      <c r="F278" s="16"/>
      <c r="G278" s="16"/>
    </row>
    <row r="279" spans="1:7" ht="12.5">
      <c r="A279" s="16"/>
      <c r="B279" s="16"/>
      <c r="C279" s="16"/>
      <c r="D279" s="16"/>
      <c r="E279" s="16"/>
      <c r="F279" s="16"/>
      <c r="G279" s="16"/>
    </row>
    <row r="280" spans="1:7" ht="12.5">
      <c r="A280" s="16"/>
      <c r="B280" s="16"/>
      <c r="C280" s="16"/>
      <c r="D280" s="16"/>
      <c r="E280" s="16"/>
      <c r="F280" s="16"/>
      <c r="G280" s="16"/>
    </row>
    <row r="281" spans="1:7" ht="12.5">
      <c r="A281" s="16"/>
      <c r="B281" s="16"/>
      <c r="C281" s="16"/>
      <c r="D281" s="16"/>
      <c r="E281" s="16"/>
      <c r="F281" s="16"/>
      <c r="G281" s="16"/>
    </row>
    <row r="282" spans="1:7" ht="12.5">
      <c r="A282" s="16"/>
      <c r="B282" s="16"/>
      <c r="C282" s="16"/>
      <c r="D282" s="16"/>
      <c r="E282" s="16"/>
      <c r="F282" s="16"/>
      <c r="G282" s="16"/>
    </row>
    <row r="283" spans="1:7" ht="12.5">
      <c r="A283" s="16"/>
      <c r="B283" s="16"/>
      <c r="C283" s="16"/>
      <c r="D283" s="16"/>
      <c r="E283" s="16"/>
      <c r="F283" s="16"/>
      <c r="G283" s="16"/>
    </row>
    <row r="284" spans="1:7" ht="12.5">
      <c r="A284" s="16"/>
      <c r="B284" s="16"/>
      <c r="C284" s="16"/>
      <c r="D284" s="16"/>
      <c r="E284" s="16"/>
      <c r="F284" s="16"/>
      <c r="G284" s="16"/>
    </row>
    <row r="285" spans="1:7" ht="12.5">
      <c r="A285" s="16"/>
      <c r="B285" s="16"/>
      <c r="C285" s="16"/>
      <c r="D285" s="16"/>
      <c r="E285" s="16"/>
      <c r="F285" s="16"/>
      <c r="G285" s="16"/>
    </row>
    <row r="286" spans="1:7" ht="12.5">
      <c r="A286" s="16"/>
      <c r="B286" s="16"/>
      <c r="C286" s="16"/>
      <c r="D286" s="16"/>
      <c r="E286" s="16"/>
      <c r="F286" s="16"/>
      <c r="G286" s="16"/>
    </row>
    <row r="287" spans="1:7" ht="12.5">
      <c r="A287" s="16"/>
      <c r="B287" s="16"/>
      <c r="C287" s="16"/>
      <c r="D287" s="16"/>
      <c r="E287" s="16"/>
      <c r="F287" s="16"/>
      <c r="G287" s="16"/>
    </row>
    <row r="288" spans="1:7" ht="12.5">
      <c r="A288" s="16"/>
      <c r="B288" s="16"/>
      <c r="C288" s="16"/>
      <c r="D288" s="16"/>
      <c r="E288" s="16"/>
      <c r="F288" s="16"/>
      <c r="G288" s="16"/>
    </row>
    <row r="289" spans="1:7" ht="12.5">
      <c r="A289" s="16"/>
      <c r="B289" s="16"/>
      <c r="C289" s="16"/>
      <c r="D289" s="16"/>
      <c r="E289" s="16"/>
      <c r="F289" s="16"/>
      <c r="G289" s="16"/>
    </row>
    <row r="290" spans="1:7" ht="12.5">
      <c r="A290" s="16"/>
      <c r="B290" s="16"/>
      <c r="C290" s="16"/>
      <c r="D290" s="16"/>
      <c r="E290" s="16"/>
      <c r="F290" s="16"/>
      <c r="G290" s="16"/>
    </row>
    <row r="291" spans="1:7" ht="12.5">
      <c r="A291" s="16"/>
      <c r="B291" s="16"/>
      <c r="C291" s="16"/>
      <c r="D291" s="16"/>
      <c r="E291" s="16"/>
      <c r="F291" s="16"/>
      <c r="G291" s="16"/>
    </row>
    <row r="292" spans="1:7" ht="12.5">
      <c r="A292" s="16"/>
      <c r="B292" s="16"/>
      <c r="C292" s="16"/>
      <c r="D292" s="16"/>
      <c r="E292" s="16"/>
      <c r="F292" s="16"/>
      <c r="G292" s="16"/>
    </row>
    <row r="293" spans="1:7" ht="12.5">
      <c r="A293" s="16"/>
      <c r="B293" s="16"/>
      <c r="C293" s="16"/>
      <c r="D293" s="16"/>
      <c r="E293" s="16"/>
      <c r="F293" s="16"/>
      <c r="G293" s="16"/>
    </row>
    <row r="294" spans="1:7" ht="12.5">
      <c r="A294" s="16"/>
      <c r="B294" s="16"/>
      <c r="C294" s="16"/>
      <c r="D294" s="16"/>
      <c r="E294" s="16"/>
      <c r="F294" s="16"/>
      <c r="G294" s="16"/>
    </row>
    <row r="295" spans="1:7" ht="12.5">
      <c r="A295" s="16"/>
      <c r="B295" s="16"/>
      <c r="C295" s="16"/>
      <c r="D295" s="16"/>
      <c r="E295" s="16"/>
      <c r="F295" s="16"/>
      <c r="G295" s="16"/>
    </row>
    <row r="296" spans="1:7" ht="12.5">
      <c r="A296" s="16"/>
      <c r="B296" s="16"/>
      <c r="C296" s="16"/>
      <c r="D296" s="16"/>
      <c r="E296" s="16"/>
      <c r="F296" s="16"/>
      <c r="G296" s="16"/>
    </row>
    <row r="297" spans="1:7" ht="12.5">
      <c r="A297" s="16"/>
      <c r="B297" s="16"/>
      <c r="C297" s="16"/>
      <c r="D297" s="16"/>
      <c r="E297" s="16"/>
      <c r="F297" s="16"/>
      <c r="G297" s="16"/>
    </row>
    <row r="298" spans="1:7" ht="12.5">
      <c r="A298" s="16"/>
      <c r="B298" s="16"/>
      <c r="C298" s="16"/>
      <c r="D298" s="16"/>
      <c r="E298" s="16"/>
      <c r="F298" s="16"/>
      <c r="G298" s="16"/>
    </row>
    <row r="299" spans="1:7" ht="12.5">
      <c r="A299" s="16"/>
      <c r="B299" s="16"/>
      <c r="C299" s="16"/>
      <c r="D299" s="16"/>
      <c r="E299" s="16"/>
      <c r="F299" s="16"/>
      <c r="G299" s="16"/>
    </row>
    <row r="300" spans="1:7" ht="12.5">
      <c r="A300" s="16"/>
      <c r="B300" s="16"/>
      <c r="C300" s="16"/>
      <c r="D300" s="16"/>
      <c r="E300" s="16"/>
      <c r="F300" s="16"/>
      <c r="G300" s="16"/>
    </row>
    <row r="301" spans="1:7" ht="12.5">
      <c r="A301" s="16"/>
      <c r="B301" s="16"/>
      <c r="C301" s="16"/>
      <c r="D301" s="16"/>
      <c r="E301" s="16"/>
      <c r="F301" s="16"/>
      <c r="G301" s="16"/>
    </row>
    <row r="302" spans="1:7" ht="12.5">
      <c r="A302" s="16"/>
      <c r="B302" s="16"/>
      <c r="C302" s="16"/>
      <c r="D302" s="16"/>
      <c r="E302" s="16"/>
      <c r="F302" s="16"/>
      <c r="G302" s="16"/>
    </row>
    <row r="303" spans="1:7" ht="12.5">
      <c r="A303" s="16"/>
      <c r="B303" s="16"/>
      <c r="C303" s="16"/>
      <c r="D303" s="16"/>
      <c r="E303" s="16"/>
      <c r="F303" s="16"/>
      <c r="G303" s="16"/>
    </row>
    <row r="304" spans="1:7" ht="12.5">
      <c r="A304" s="16"/>
      <c r="B304" s="16"/>
      <c r="C304" s="16"/>
      <c r="D304" s="16"/>
      <c r="E304" s="16"/>
      <c r="F304" s="16"/>
      <c r="G304" s="16"/>
    </row>
    <row r="305" spans="1:7" ht="12.5">
      <c r="A305" s="16"/>
      <c r="B305" s="16"/>
      <c r="C305" s="16"/>
      <c r="D305" s="16"/>
      <c r="E305" s="16"/>
      <c r="F305" s="16"/>
      <c r="G305" s="16"/>
    </row>
    <row r="306" spans="1:7" ht="12.5">
      <c r="A306" s="16"/>
      <c r="B306" s="16"/>
      <c r="C306" s="16"/>
      <c r="D306" s="16"/>
      <c r="E306" s="16"/>
      <c r="F306" s="16"/>
      <c r="G306" s="16"/>
    </row>
    <row r="307" spans="1:7" ht="12.5">
      <c r="A307" s="16"/>
      <c r="B307" s="16"/>
      <c r="C307" s="16"/>
      <c r="D307" s="16"/>
      <c r="E307" s="16"/>
      <c r="F307" s="16"/>
      <c r="G307" s="16"/>
    </row>
    <row r="308" spans="1:7" ht="12.5">
      <c r="A308" s="16"/>
      <c r="B308" s="16"/>
      <c r="C308" s="16"/>
      <c r="D308" s="16"/>
      <c r="E308" s="16"/>
      <c r="F308" s="16"/>
      <c r="G308" s="16"/>
    </row>
    <row r="309" spans="1:7" ht="12.5">
      <c r="A309" s="16"/>
      <c r="B309" s="16"/>
      <c r="C309" s="16"/>
      <c r="D309" s="16"/>
      <c r="E309" s="16"/>
      <c r="F309" s="16"/>
      <c r="G309" s="16"/>
    </row>
    <row r="310" spans="1:7" ht="12.5">
      <c r="A310" s="16"/>
      <c r="B310" s="16"/>
      <c r="C310" s="16"/>
      <c r="D310" s="16"/>
      <c r="E310" s="16"/>
      <c r="F310" s="16"/>
      <c r="G310" s="16"/>
    </row>
    <row r="311" spans="1:7" ht="12.5">
      <c r="A311" s="16"/>
      <c r="B311" s="16"/>
      <c r="C311" s="16"/>
      <c r="D311" s="16"/>
      <c r="E311" s="16"/>
      <c r="F311" s="16"/>
      <c r="G311" s="16"/>
    </row>
    <row r="312" spans="1:7" ht="12.5">
      <c r="A312" s="16"/>
      <c r="B312" s="16"/>
      <c r="C312" s="16"/>
      <c r="D312" s="16"/>
      <c r="E312" s="16"/>
      <c r="F312" s="16"/>
      <c r="G312" s="16"/>
    </row>
    <row r="313" spans="1:7" ht="12.5">
      <c r="A313" s="16"/>
      <c r="B313" s="16"/>
      <c r="C313" s="16"/>
      <c r="D313" s="16"/>
      <c r="E313" s="16"/>
      <c r="F313" s="16"/>
      <c r="G313" s="16"/>
    </row>
    <row r="314" spans="1:7" ht="12.5">
      <c r="A314" s="16"/>
      <c r="B314" s="16"/>
      <c r="C314" s="16"/>
      <c r="D314" s="16"/>
      <c r="E314" s="16"/>
      <c r="F314" s="16"/>
      <c r="G314" s="16"/>
    </row>
    <row r="315" spans="1:7" ht="12.5">
      <c r="A315" s="16"/>
      <c r="B315" s="16"/>
      <c r="C315" s="16"/>
      <c r="D315" s="16"/>
      <c r="E315" s="16"/>
      <c r="F315" s="16"/>
      <c r="G315" s="16"/>
    </row>
    <row r="316" spans="1:7" ht="12.5">
      <c r="A316" s="16"/>
      <c r="B316" s="16"/>
      <c r="C316" s="16"/>
      <c r="D316" s="16"/>
      <c r="E316" s="16"/>
      <c r="F316" s="16"/>
      <c r="G316" s="16"/>
    </row>
    <row r="317" spans="1:7" ht="12.5">
      <c r="A317" s="16"/>
      <c r="B317" s="16"/>
      <c r="C317" s="16"/>
      <c r="D317" s="16"/>
      <c r="E317" s="16"/>
      <c r="F317" s="16"/>
      <c r="G317" s="16"/>
    </row>
    <row r="318" spans="1:7" ht="12.5">
      <c r="A318" s="16"/>
      <c r="B318" s="16"/>
      <c r="C318" s="16"/>
      <c r="D318" s="16"/>
      <c r="E318" s="16"/>
      <c r="F318" s="16"/>
      <c r="G318" s="16"/>
    </row>
    <row r="319" spans="1:7" ht="12.5">
      <c r="A319" s="16"/>
      <c r="B319" s="16"/>
      <c r="C319" s="16"/>
      <c r="D319" s="16"/>
      <c r="E319" s="16"/>
      <c r="F319" s="16"/>
      <c r="G319" s="16"/>
    </row>
    <row r="320" spans="1:7" ht="12.5">
      <c r="A320" s="16"/>
      <c r="B320" s="16"/>
      <c r="C320" s="16"/>
      <c r="D320" s="16"/>
      <c r="E320" s="16"/>
      <c r="F320" s="16"/>
      <c r="G320" s="16"/>
    </row>
    <row r="321" spans="1:7" ht="12.5">
      <c r="A321" s="16"/>
      <c r="B321" s="16"/>
      <c r="C321" s="16"/>
      <c r="D321" s="16"/>
      <c r="E321" s="16"/>
      <c r="F321" s="16"/>
      <c r="G321" s="16"/>
    </row>
    <row r="322" spans="1:7" ht="12.5">
      <c r="A322" s="16"/>
      <c r="B322" s="16"/>
      <c r="C322" s="16"/>
      <c r="D322" s="16"/>
      <c r="E322" s="16"/>
      <c r="F322" s="16"/>
      <c r="G322" s="16"/>
    </row>
    <row r="323" spans="1:7" ht="12.5">
      <c r="A323" s="16"/>
      <c r="B323" s="16"/>
      <c r="C323" s="16"/>
      <c r="D323" s="16"/>
      <c r="E323" s="16"/>
      <c r="F323" s="16"/>
      <c r="G323" s="16"/>
    </row>
    <row r="324" spans="1:7" ht="12.5">
      <c r="A324" s="16"/>
      <c r="B324" s="16"/>
      <c r="C324" s="16"/>
      <c r="D324" s="16"/>
      <c r="E324" s="16"/>
      <c r="F324" s="16"/>
      <c r="G324" s="16"/>
    </row>
    <row r="325" spans="1:7" ht="12.5">
      <c r="A325" s="16"/>
      <c r="B325" s="16"/>
      <c r="C325" s="16"/>
      <c r="D325" s="16"/>
      <c r="E325" s="16"/>
      <c r="F325" s="16"/>
      <c r="G325" s="16"/>
    </row>
    <row r="326" spans="1:7" ht="12.5">
      <c r="A326" s="16"/>
      <c r="B326" s="16"/>
      <c r="C326" s="16"/>
      <c r="D326" s="16"/>
      <c r="E326" s="16"/>
      <c r="F326" s="16"/>
      <c r="G326" s="16"/>
    </row>
    <row r="327" spans="1:7" ht="12.5">
      <c r="A327" s="16"/>
      <c r="B327" s="16"/>
      <c r="C327" s="16"/>
      <c r="D327" s="16"/>
      <c r="E327" s="16"/>
      <c r="F327" s="16"/>
      <c r="G327" s="16"/>
    </row>
    <row r="328" spans="1:7" ht="12.5">
      <c r="A328" s="16"/>
      <c r="B328" s="16"/>
      <c r="C328" s="16"/>
      <c r="D328" s="16"/>
      <c r="E328" s="16"/>
      <c r="F328" s="16"/>
      <c r="G328" s="16"/>
    </row>
    <row r="329" spans="1:7" ht="12.5">
      <c r="A329" s="16"/>
      <c r="B329" s="16"/>
      <c r="C329" s="16"/>
      <c r="D329" s="16"/>
      <c r="E329" s="16"/>
      <c r="F329" s="16"/>
      <c r="G329" s="16"/>
    </row>
    <row r="330" spans="1:7" ht="12.5">
      <c r="A330" s="16"/>
      <c r="B330" s="16"/>
      <c r="C330" s="16"/>
      <c r="D330" s="16"/>
      <c r="E330" s="16"/>
      <c r="F330" s="16"/>
      <c r="G330" s="16"/>
    </row>
    <row r="331" spans="1:7" ht="12.5">
      <c r="A331" s="16"/>
      <c r="B331" s="16"/>
      <c r="C331" s="16"/>
      <c r="D331" s="16"/>
      <c r="E331" s="16"/>
      <c r="F331" s="16"/>
      <c r="G331" s="16"/>
    </row>
    <row r="332" spans="1:7" ht="12.5">
      <c r="A332" s="16"/>
      <c r="B332" s="16"/>
      <c r="C332" s="16"/>
      <c r="D332" s="16"/>
      <c r="E332" s="16"/>
      <c r="F332" s="16"/>
      <c r="G332" s="16"/>
    </row>
    <row r="333" spans="1:7" ht="12.5">
      <c r="A333" s="16"/>
      <c r="B333" s="16"/>
      <c r="C333" s="16"/>
      <c r="D333" s="16"/>
      <c r="E333" s="16"/>
      <c r="F333" s="16"/>
      <c r="G333" s="16"/>
    </row>
    <row r="334" spans="1:7" ht="12.5">
      <c r="A334" s="16"/>
      <c r="B334" s="16"/>
      <c r="C334" s="16"/>
      <c r="D334" s="16"/>
      <c r="E334" s="16"/>
      <c r="F334" s="16"/>
      <c r="G334" s="16"/>
    </row>
    <row r="335" spans="1:7" ht="12.5">
      <c r="A335" s="16"/>
      <c r="B335" s="16"/>
      <c r="C335" s="16"/>
      <c r="D335" s="16"/>
      <c r="E335" s="16"/>
      <c r="F335" s="16"/>
      <c r="G335" s="16"/>
    </row>
    <row r="336" spans="1:7" ht="12.5">
      <c r="A336" s="16"/>
      <c r="B336" s="16"/>
      <c r="C336" s="16"/>
      <c r="D336" s="16"/>
      <c r="E336" s="16"/>
      <c r="F336" s="16"/>
      <c r="G336" s="16"/>
    </row>
    <row r="337" spans="1:7" ht="12.5">
      <c r="A337" s="16"/>
      <c r="B337" s="16"/>
      <c r="C337" s="16"/>
      <c r="D337" s="16"/>
      <c r="E337" s="16"/>
      <c r="F337" s="16"/>
      <c r="G337" s="16"/>
    </row>
    <row r="338" spans="1:7" ht="12.5">
      <c r="A338" s="16"/>
      <c r="B338" s="16"/>
      <c r="C338" s="16"/>
      <c r="D338" s="16"/>
      <c r="E338" s="16"/>
      <c r="F338" s="16"/>
      <c r="G338" s="16"/>
    </row>
    <row r="339" spans="1:7" ht="12.5">
      <c r="A339" s="16"/>
      <c r="B339" s="16"/>
      <c r="C339" s="16"/>
      <c r="D339" s="16"/>
      <c r="E339" s="16"/>
      <c r="F339" s="16"/>
      <c r="G339" s="16"/>
    </row>
    <row r="340" spans="1:7" ht="12.5">
      <c r="A340" s="16"/>
      <c r="B340" s="16"/>
      <c r="C340" s="16"/>
      <c r="D340" s="16"/>
      <c r="E340" s="16"/>
      <c r="F340" s="16"/>
      <c r="G340" s="16"/>
    </row>
    <row r="341" spans="1:7" ht="12.5">
      <c r="A341" s="16"/>
      <c r="B341" s="16"/>
      <c r="C341" s="16"/>
      <c r="D341" s="16"/>
      <c r="E341" s="16"/>
      <c r="F341" s="16"/>
      <c r="G341" s="16"/>
    </row>
    <row r="342" spans="1:7" ht="12.5">
      <c r="A342" s="16"/>
      <c r="B342" s="16"/>
      <c r="C342" s="16"/>
      <c r="D342" s="16"/>
      <c r="E342" s="16"/>
      <c r="F342" s="16"/>
      <c r="G342" s="16"/>
    </row>
    <row r="343" spans="1:7" ht="12.5">
      <c r="A343" s="16"/>
      <c r="B343" s="16"/>
      <c r="C343" s="16"/>
      <c r="D343" s="16"/>
      <c r="E343" s="16"/>
      <c r="F343" s="16"/>
      <c r="G343" s="16"/>
    </row>
    <row r="344" spans="1:7" ht="12.5">
      <c r="A344" s="16"/>
      <c r="B344" s="16"/>
      <c r="C344" s="16"/>
      <c r="D344" s="16"/>
      <c r="E344" s="16"/>
      <c r="F344" s="16"/>
      <c r="G344" s="16"/>
    </row>
    <row r="345" spans="1:7" ht="12.5">
      <c r="A345" s="16"/>
      <c r="B345" s="16"/>
      <c r="C345" s="16"/>
      <c r="D345" s="16"/>
      <c r="E345" s="16"/>
      <c r="F345" s="16"/>
      <c r="G345" s="16"/>
    </row>
    <row r="346" spans="1:7" ht="12.5">
      <c r="A346" s="16"/>
      <c r="B346" s="16"/>
      <c r="C346" s="16"/>
      <c r="D346" s="16"/>
      <c r="E346" s="16"/>
      <c r="F346" s="16"/>
      <c r="G346" s="16"/>
    </row>
    <row r="347" spans="1:7" ht="12.5">
      <c r="A347" s="16"/>
      <c r="B347" s="16"/>
      <c r="C347" s="16"/>
      <c r="D347" s="16"/>
      <c r="E347" s="16"/>
      <c r="F347" s="16"/>
      <c r="G347" s="16"/>
    </row>
    <row r="348" spans="1:7" ht="12.5">
      <c r="A348" s="16"/>
      <c r="B348" s="16"/>
      <c r="C348" s="16"/>
      <c r="D348" s="16"/>
      <c r="E348" s="16"/>
      <c r="F348" s="16"/>
      <c r="G348" s="16"/>
    </row>
    <row r="349" spans="1:7" ht="12.5">
      <c r="A349" s="16"/>
      <c r="B349" s="16"/>
      <c r="C349" s="16"/>
      <c r="D349" s="16"/>
      <c r="E349" s="16"/>
      <c r="F349" s="16"/>
      <c r="G349" s="16"/>
    </row>
    <row r="350" spans="1:7" ht="12.5">
      <c r="A350" s="16"/>
      <c r="B350" s="16"/>
      <c r="C350" s="16"/>
      <c r="D350" s="16"/>
      <c r="E350" s="16"/>
      <c r="F350" s="16"/>
      <c r="G350" s="16"/>
    </row>
    <row r="351" spans="1:7" ht="12.5">
      <c r="A351" s="16"/>
      <c r="B351" s="16"/>
      <c r="C351" s="16"/>
      <c r="D351" s="16"/>
      <c r="E351" s="16"/>
      <c r="F351" s="16"/>
      <c r="G351" s="16"/>
    </row>
    <row r="352" spans="1:7" ht="12.5">
      <c r="A352" s="16"/>
      <c r="B352" s="16"/>
      <c r="C352" s="16"/>
      <c r="D352" s="16"/>
      <c r="E352" s="16"/>
      <c r="F352" s="16"/>
      <c r="G352" s="16"/>
    </row>
    <row r="353" spans="1:7" ht="12.5">
      <c r="A353" s="16"/>
      <c r="B353" s="16"/>
      <c r="C353" s="16"/>
      <c r="D353" s="16"/>
      <c r="E353" s="16"/>
      <c r="F353" s="16"/>
      <c r="G353" s="16"/>
    </row>
    <row r="354" spans="1:7" ht="12.5">
      <c r="A354" s="16"/>
      <c r="B354" s="16"/>
      <c r="C354" s="16"/>
      <c r="D354" s="16"/>
      <c r="E354" s="16"/>
      <c r="F354" s="16"/>
      <c r="G354" s="16"/>
    </row>
    <row r="355" spans="1:7" ht="12.5">
      <c r="A355" s="16"/>
      <c r="B355" s="16"/>
      <c r="C355" s="16"/>
      <c r="D355" s="16"/>
      <c r="E355" s="16"/>
      <c r="F355" s="16"/>
      <c r="G355" s="16"/>
    </row>
    <row r="356" spans="1:7" ht="12.5">
      <c r="A356" s="16"/>
      <c r="B356" s="16"/>
      <c r="C356" s="16"/>
      <c r="D356" s="16"/>
      <c r="E356" s="16"/>
      <c r="F356" s="16"/>
      <c r="G356" s="16"/>
    </row>
    <row r="357" spans="1:7" ht="12.5">
      <c r="A357" s="16"/>
      <c r="B357" s="16"/>
      <c r="C357" s="16"/>
      <c r="D357" s="16"/>
      <c r="E357" s="16"/>
      <c r="F357" s="16"/>
      <c r="G357" s="16"/>
    </row>
    <row r="358" spans="1:7" ht="12.5">
      <c r="A358" s="16"/>
      <c r="B358" s="16"/>
      <c r="C358" s="16"/>
      <c r="D358" s="16"/>
      <c r="E358" s="16"/>
      <c r="F358" s="16"/>
      <c r="G358" s="16"/>
    </row>
    <row r="359" spans="1:7" ht="12.5">
      <c r="A359" s="16"/>
      <c r="B359" s="16"/>
      <c r="C359" s="16"/>
      <c r="D359" s="16"/>
      <c r="E359" s="16"/>
      <c r="F359" s="16"/>
      <c r="G359" s="16"/>
    </row>
    <row r="360" spans="1:7" ht="12.5">
      <c r="A360" s="16"/>
      <c r="B360" s="16"/>
      <c r="C360" s="16"/>
      <c r="D360" s="16"/>
      <c r="E360" s="16"/>
      <c r="F360" s="16"/>
      <c r="G360" s="16"/>
    </row>
    <row r="361" spans="1:7" ht="12.5">
      <c r="A361" s="16"/>
      <c r="B361" s="16"/>
      <c r="C361" s="16"/>
      <c r="D361" s="16"/>
      <c r="E361" s="16"/>
      <c r="F361" s="16"/>
      <c r="G361" s="16"/>
    </row>
    <row r="362" spans="1:7" ht="12.5">
      <c r="A362" s="16"/>
      <c r="B362" s="16"/>
      <c r="C362" s="16"/>
      <c r="D362" s="16"/>
      <c r="E362" s="16"/>
      <c r="F362" s="16"/>
      <c r="G362" s="16"/>
    </row>
    <row r="363" spans="1:7" ht="12.5">
      <c r="A363" s="16"/>
      <c r="B363" s="16"/>
      <c r="C363" s="16"/>
      <c r="D363" s="16"/>
      <c r="E363" s="16"/>
      <c r="F363" s="16"/>
      <c r="G363" s="16"/>
    </row>
    <row r="364" spans="1:7" ht="12.5">
      <c r="A364" s="16"/>
      <c r="B364" s="16"/>
      <c r="C364" s="16"/>
      <c r="D364" s="16"/>
      <c r="E364" s="16"/>
      <c r="F364" s="16"/>
      <c r="G364" s="16"/>
    </row>
    <row r="365" spans="1:7" ht="12.5">
      <c r="A365" s="16"/>
      <c r="B365" s="16"/>
      <c r="C365" s="16"/>
      <c r="D365" s="16"/>
      <c r="E365" s="16"/>
      <c r="F365" s="16"/>
      <c r="G365" s="16"/>
    </row>
    <row r="366" spans="1:7" ht="12.5">
      <c r="A366" s="16"/>
      <c r="B366" s="16"/>
      <c r="C366" s="16"/>
      <c r="D366" s="16"/>
      <c r="E366" s="16"/>
      <c r="F366" s="16"/>
      <c r="G366" s="16"/>
    </row>
    <row r="367" spans="1:7" ht="12.5">
      <c r="A367" s="16"/>
      <c r="B367" s="16"/>
      <c r="C367" s="16"/>
      <c r="D367" s="16"/>
      <c r="E367" s="16"/>
      <c r="F367" s="16"/>
      <c r="G367" s="16"/>
    </row>
    <row r="368" spans="1:7" ht="12.5">
      <c r="A368" s="16"/>
      <c r="B368" s="16"/>
      <c r="C368" s="16"/>
      <c r="D368" s="16"/>
      <c r="E368" s="16"/>
      <c r="F368" s="16"/>
      <c r="G368" s="16"/>
    </row>
    <row r="369" spans="1:7" ht="12.5">
      <c r="A369" s="16"/>
      <c r="B369" s="16"/>
      <c r="C369" s="16"/>
      <c r="D369" s="16"/>
      <c r="E369" s="16"/>
      <c r="F369" s="16"/>
      <c r="G369" s="16"/>
    </row>
    <row r="370" spans="1:7" ht="12.5">
      <c r="A370" s="16"/>
      <c r="B370" s="16"/>
      <c r="C370" s="16"/>
      <c r="D370" s="16"/>
      <c r="E370" s="16"/>
      <c r="F370" s="16"/>
      <c r="G370" s="16"/>
    </row>
    <row r="371" spans="1:7" ht="12.5">
      <c r="A371" s="16"/>
      <c r="B371" s="16"/>
      <c r="C371" s="16"/>
      <c r="D371" s="16"/>
      <c r="E371" s="16"/>
      <c r="F371" s="16"/>
      <c r="G371" s="16"/>
    </row>
    <row r="372" spans="1:7" ht="12.5">
      <c r="A372" s="16"/>
      <c r="B372" s="16"/>
      <c r="C372" s="16"/>
      <c r="D372" s="16"/>
      <c r="E372" s="16"/>
      <c r="F372" s="16"/>
      <c r="G372" s="16"/>
    </row>
    <row r="373" spans="1:7" ht="12.5">
      <c r="A373" s="16"/>
      <c r="B373" s="16"/>
      <c r="C373" s="16"/>
      <c r="D373" s="16"/>
      <c r="E373" s="16"/>
      <c r="F373" s="16"/>
      <c r="G373" s="16"/>
    </row>
    <row r="374" spans="1:7" ht="12.5">
      <c r="A374" s="16"/>
      <c r="B374" s="16"/>
      <c r="C374" s="16"/>
      <c r="D374" s="16"/>
      <c r="E374" s="16"/>
      <c r="F374" s="16"/>
      <c r="G374" s="16"/>
    </row>
    <row r="375" spans="1:7" ht="12.5">
      <c r="A375" s="16"/>
      <c r="B375" s="16"/>
      <c r="C375" s="16"/>
      <c r="D375" s="16"/>
      <c r="E375" s="16"/>
      <c r="F375" s="16"/>
      <c r="G375" s="16"/>
    </row>
    <row r="376" spans="1:7" ht="12.5">
      <c r="A376" s="16"/>
      <c r="B376" s="16"/>
      <c r="C376" s="16"/>
      <c r="D376" s="16"/>
      <c r="E376" s="16"/>
      <c r="F376" s="16"/>
      <c r="G376" s="16"/>
    </row>
    <row r="377" spans="1:7" ht="12.5">
      <c r="A377" s="16"/>
      <c r="B377" s="16"/>
      <c r="C377" s="16"/>
      <c r="D377" s="16"/>
      <c r="E377" s="16"/>
      <c r="F377" s="16"/>
      <c r="G377" s="16"/>
    </row>
    <row r="378" spans="1:7" ht="12.5">
      <c r="A378" s="16"/>
      <c r="B378" s="16"/>
      <c r="C378" s="16"/>
      <c r="D378" s="16"/>
      <c r="E378" s="16"/>
      <c r="F378" s="16"/>
      <c r="G378" s="16"/>
    </row>
    <row r="379" spans="1:7" ht="12.5">
      <c r="A379" s="16"/>
      <c r="B379" s="16"/>
      <c r="C379" s="16"/>
      <c r="D379" s="16"/>
      <c r="E379" s="16"/>
      <c r="F379" s="16"/>
      <c r="G379" s="16"/>
    </row>
    <row r="380" spans="1:7" ht="12.5">
      <c r="A380" s="16"/>
      <c r="B380" s="16"/>
      <c r="C380" s="16"/>
      <c r="D380" s="16"/>
      <c r="E380" s="16"/>
      <c r="F380" s="16"/>
      <c r="G380" s="16"/>
    </row>
    <row r="381" spans="1:7" ht="12.5">
      <c r="A381" s="16"/>
      <c r="B381" s="16"/>
      <c r="C381" s="16"/>
      <c r="D381" s="16"/>
      <c r="E381" s="16"/>
      <c r="F381" s="16"/>
      <c r="G381" s="16"/>
    </row>
    <row r="382" spans="1:7" ht="12.5">
      <c r="A382" s="16"/>
      <c r="B382" s="16"/>
      <c r="C382" s="16"/>
      <c r="D382" s="16"/>
      <c r="E382" s="16"/>
      <c r="F382" s="16"/>
      <c r="G382" s="16"/>
    </row>
    <row r="383" spans="1:7" ht="12.5">
      <c r="A383" s="16"/>
      <c r="B383" s="16"/>
      <c r="C383" s="16"/>
      <c r="D383" s="16"/>
      <c r="E383" s="16"/>
      <c r="F383" s="16"/>
      <c r="G383" s="16"/>
    </row>
    <row r="384" spans="1:7" ht="12.5">
      <c r="A384" s="16"/>
      <c r="B384" s="16"/>
      <c r="C384" s="16"/>
      <c r="D384" s="16"/>
      <c r="E384" s="16"/>
      <c r="F384" s="16"/>
      <c r="G384" s="16"/>
    </row>
    <row r="385" spans="1:7" ht="12.5">
      <c r="A385" s="16"/>
      <c r="B385" s="16"/>
      <c r="C385" s="16"/>
      <c r="D385" s="16"/>
      <c r="E385" s="16"/>
      <c r="F385" s="16"/>
      <c r="G385" s="16"/>
    </row>
    <row r="386" spans="1:7" ht="12.5">
      <c r="A386" s="16"/>
      <c r="B386" s="16"/>
      <c r="C386" s="16"/>
      <c r="D386" s="16"/>
      <c r="E386" s="16"/>
      <c r="F386" s="16"/>
      <c r="G386" s="16"/>
    </row>
    <row r="387" spans="1:7" ht="12.5">
      <c r="A387" s="16"/>
      <c r="B387" s="16"/>
      <c r="C387" s="16"/>
      <c r="D387" s="16"/>
      <c r="E387" s="16"/>
      <c r="F387" s="16"/>
      <c r="G387" s="16"/>
    </row>
    <row r="388" spans="1:7" ht="12.5">
      <c r="A388" s="16"/>
      <c r="B388" s="16"/>
      <c r="C388" s="16"/>
      <c r="D388" s="16"/>
      <c r="E388" s="16"/>
      <c r="F388" s="16"/>
      <c r="G388" s="16"/>
    </row>
    <row r="389" spans="1:7" ht="12.5">
      <c r="A389" s="16"/>
      <c r="B389" s="16"/>
      <c r="C389" s="16"/>
      <c r="D389" s="16"/>
      <c r="E389" s="16"/>
      <c r="F389" s="16"/>
      <c r="G389" s="16"/>
    </row>
    <row r="390" spans="1:7" ht="12.5">
      <c r="A390" s="16"/>
      <c r="B390" s="16"/>
      <c r="C390" s="16"/>
      <c r="D390" s="16"/>
      <c r="E390" s="16"/>
      <c r="F390" s="16"/>
      <c r="G390" s="16"/>
    </row>
    <row r="391" spans="1:7" ht="12.5">
      <c r="A391" s="16"/>
      <c r="B391" s="16"/>
      <c r="C391" s="16"/>
      <c r="D391" s="16"/>
      <c r="E391" s="16"/>
      <c r="F391" s="16"/>
      <c r="G391" s="16"/>
    </row>
    <row r="392" spans="1:7" ht="12.5">
      <c r="A392" s="16"/>
      <c r="B392" s="16"/>
      <c r="C392" s="16"/>
      <c r="D392" s="16"/>
      <c r="E392" s="16"/>
      <c r="F392" s="16"/>
      <c r="G392" s="16"/>
    </row>
    <row r="393" spans="1:7" ht="12.5">
      <c r="A393" s="16"/>
      <c r="B393" s="16"/>
      <c r="C393" s="16"/>
      <c r="D393" s="16"/>
      <c r="E393" s="16"/>
      <c r="F393" s="16"/>
      <c r="G393" s="16"/>
    </row>
    <row r="394" spans="1:7" ht="12.5">
      <c r="A394" s="16"/>
      <c r="B394" s="16"/>
      <c r="C394" s="16"/>
      <c r="D394" s="16"/>
      <c r="E394" s="16"/>
      <c r="F394" s="16"/>
      <c r="G394" s="16"/>
    </row>
    <row r="395" spans="1:7" ht="12.5">
      <c r="A395" s="16"/>
      <c r="B395" s="16"/>
      <c r="C395" s="16"/>
      <c r="D395" s="16"/>
      <c r="E395" s="16"/>
      <c r="F395" s="16"/>
      <c r="G395" s="16"/>
    </row>
    <row r="396" spans="1:7" ht="12.5">
      <c r="A396" s="16"/>
      <c r="B396" s="16"/>
      <c r="C396" s="16"/>
      <c r="D396" s="16"/>
      <c r="E396" s="16"/>
      <c r="F396" s="16"/>
      <c r="G396" s="16"/>
    </row>
    <row r="397" spans="1:7" ht="12.5">
      <c r="A397" s="16"/>
      <c r="B397" s="16"/>
      <c r="C397" s="16"/>
      <c r="D397" s="16"/>
      <c r="E397" s="16"/>
      <c r="F397" s="16"/>
      <c r="G397" s="16"/>
    </row>
    <row r="398" spans="1:7" ht="12.5">
      <c r="A398" s="16"/>
      <c r="B398" s="16"/>
      <c r="C398" s="16"/>
      <c r="D398" s="16"/>
      <c r="E398" s="16"/>
      <c r="F398" s="16"/>
      <c r="G398" s="16"/>
    </row>
    <row r="399" spans="1:7" ht="12.5">
      <c r="A399" s="16"/>
      <c r="B399" s="16"/>
      <c r="C399" s="16"/>
      <c r="D399" s="16"/>
      <c r="E399" s="16"/>
      <c r="F399" s="16"/>
      <c r="G399" s="16"/>
    </row>
    <row r="400" spans="1:7" ht="12.5">
      <c r="A400" s="16"/>
      <c r="B400" s="16"/>
      <c r="C400" s="16"/>
      <c r="D400" s="16"/>
      <c r="E400" s="16"/>
      <c r="F400" s="16"/>
      <c r="G400" s="16"/>
    </row>
    <row r="401" spans="1:7" ht="12.5">
      <c r="A401" s="16"/>
      <c r="B401" s="16"/>
      <c r="C401" s="16"/>
      <c r="D401" s="16"/>
      <c r="E401" s="16"/>
      <c r="F401" s="16"/>
      <c r="G401" s="16"/>
    </row>
    <row r="402" spans="1:7" ht="12.5">
      <c r="A402" s="16"/>
      <c r="B402" s="16"/>
      <c r="C402" s="16"/>
      <c r="D402" s="16"/>
      <c r="E402" s="16"/>
      <c r="F402" s="16"/>
      <c r="G402" s="16"/>
    </row>
    <row r="403" spans="1:7" ht="12.5">
      <c r="A403" s="16"/>
      <c r="B403" s="16"/>
      <c r="C403" s="16"/>
      <c r="D403" s="16"/>
      <c r="E403" s="16"/>
      <c r="F403" s="16"/>
      <c r="G403" s="16"/>
    </row>
    <row r="404" spans="1:7" ht="12.5">
      <c r="A404" s="16"/>
      <c r="B404" s="16"/>
      <c r="C404" s="16"/>
      <c r="D404" s="16"/>
      <c r="E404" s="16"/>
      <c r="F404" s="16"/>
      <c r="G404" s="16"/>
    </row>
    <row r="405" spans="1:7" ht="12.5">
      <c r="A405" s="16"/>
      <c r="B405" s="16"/>
      <c r="C405" s="16"/>
      <c r="D405" s="16"/>
      <c r="E405" s="16"/>
      <c r="F405" s="16"/>
      <c r="G405" s="16"/>
    </row>
    <row r="406" spans="1:7" ht="12.5">
      <c r="A406" s="16"/>
      <c r="B406" s="16"/>
      <c r="C406" s="16"/>
      <c r="D406" s="16"/>
      <c r="E406" s="16"/>
      <c r="F406" s="16"/>
      <c r="G406" s="16"/>
    </row>
    <row r="407" spans="1:7" ht="12.5">
      <c r="A407" s="16"/>
      <c r="B407" s="16"/>
      <c r="C407" s="16"/>
      <c r="D407" s="16"/>
      <c r="E407" s="16"/>
      <c r="F407" s="16"/>
      <c r="G407" s="16"/>
    </row>
    <row r="408" spans="1:7" ht="12.5">
      <c r="A408" s="16"/>
      <c r="B408" s="16"/>
      <c r="C408" s="16"/>
      <c r="D408" s="16"/>
      <c r="E408" s="16"/>
      <c r="F408" s="16"/>
      <c r="G408" s="16"/>
    </row>
    <row r="409" spans="1:7" ht="12.5">
      <c r="A409" s="16"/>
      <c r="B409" s="16"/>
      <c r="C409" s="16"/>
      <c r="D409" s="16"/>
      <c r="E409" s="16"/>
      <c r="F409" s="16"/>
      <c r="G409" s="16"/>
    </row>
    <row r="410" spans="1:7" ht="12.5">
      <c r="A410" s="16"/>
      <c r="B410" s="16"/>
      <c r="C410" s="16"/>
      <c r="D410" s="16"/>
      <c r="E410" s="16"/>
      <c r="F410" s="16"/>
      <c r="G410" s="16"/>
    </row>
    <row r="411" spans="1:7" ht="12.5">
      <c r="A411" s="16"/>
      <c r="B411" s="16"/>
      <c r="C411" s="16"/>
      <c r="D411" s="16"/>
      <c r="E411" s="16"/>
      <c r="F411" s="16"/>
      <c r="G411" s="16"/>
    </row>
    <row r="412" spans="1:7" ht="12.5">
      <c r="A412" s="16"/>
      <c r="B412" s="16"/>
      <c r="C412" s="16"/>
      <c r="D412" s="16"/>
      <c r="E412" s="16"/>
      <c r="F412" s="16"/>
      <c r="G412" s="16"/>
    </row>
    <row r="413" spans="1:7" ht="12.5">
      <c r="A413" s="16"/>
      <c r="B413" s="16"/>
      <c r="C413" s="16"/>
      <c r="D413" s="16"/>
      <c r="E413" s="16"/>
      <c r="F413" s="16"/>
      <c r="G413" s="16"/>
    </row>
    <row r="414" spans="1:7" ht="12.5">
      <c r="A414" s="16"/>
      <c r="B414" s="16"/>
      <c r="C414" s="16"/>
      <c r="D414" s="16"/>
      <c r="E414" s="16"/>
      <c r="F414" s="16"/>
      <c r="G414" s="16"/>
    </row>
    <row r="415" spans="1:7" ht="12.5">
      <c r="A415" s="16"/>
      <c r="B415" s="16"/>
      <c r="C415" s="16"/>
      <c r="D415" s="16"/>
      <c r="E415" s="16"/>
      <c r="F415" s="16"/>
      <c r="G415" s="16"/>
    </row>
    <row r="416" spans="1:7" ht="12.5">
      <c r="A416" s="16"/>
      <c r="B416" s="16"/>
      <c r="C416" s="16"/>
      <c r="D416" s="16"/>
      <c r="E416" s="16"/>
      <c r="F416" s="16"/>
      <c r="G416" s="16"/>
    </row>
    <row r="417" spans="1:7" ht="12.5">
      <c r="A417" s="16"/>
      <c r="B417" s="16"/>
      <c r="C417" s="16"/>
      <c r="D417" s="16"/>
      <c r="E417" s="16"/>
      <c r="F417" s="16"/>
      <c r="G417" s="16"/>
    </row>
    <row r="418" spans="1:7" ht="12.5">
      <c r="A418" s="16"/>
      <c r="B418" s="16"/>
      <c r="C418" s="16"/>
      <c r="D418" s="16"/>
      <c r="E418" s="16"/>
      <c r="F418" s="16"/>
      <c r="G418" s="16"/>
    </row>
    <row r="419" spans="1:7" ht="12.5">
      <c r="A419" s="16"/>
      <c r="B419" s="16"/>
      <c r="C419" s="16"/>
      <c r="D419" s="16"/>
      <c r="E419" s="16"/>
      <c r="F419" s="16"/>
      <c r="G419" s="16"/>
    </row>
    <row r="420" spans="1:7" ht="12.5">
      <c r="A420" s="16"/>
      <c r="B420" s="16"/>
      <c r="C420" s="16"/>
      <c r="D420" s="16"/>
      <c r="E420" s="16"/>
      <c r="F420" s="16"/>
      <c r="G420" s="16"/>
    </row>
    <row r="421" spans="1:7" ht="12.5">
      <c r="A421" s="16"/>
      <c r="B421" s="16"/>
      <c r="C421" s="16"/>
      <c r="D421" s="16"/>
      <c r="E421" s="16"/>
      <c r="F421" s="16"/>
      <c r="G421" s="16"/>
    </row>
    <row r="422" spans="1:7" ht="12.5">
      <c r="A422" s="16"/>
      <c r="B422" s="16"/>
      <c r="C422" s="16"/>
      <c r="D422" s="16"/>
      <c r="E422" s="16"/>
      <c r="F422" s="16"/>
      <c r="G422" s="16"/>
    </row>
    <row r="423" spans="1:7" ht="12.5">
      <c r="A423" s="16"/>
      <c r="B423" s="16"/>
      <c r="C423" s="16"/>
      <c r="D423" s="16"/>
      <c r="E423" s="16"/>
      <c r="F423" s="16"/>
      <c r="G423" s="16"/>
    </row>
    <row r="424" spans="1:7" ht="12.5">
      <c r="A424" s="16"/>
      <c r="B424" s="16"/>
      <c r="C424" s="16"/>
      <c r="D424" s="16"/>
      <c r="E424" s="16"/>
      <c r="F424" s="16"/>
      <c r="G424" s="16"/>
    </row>
    <row r="425" spans="1:7" ht="12.5">
      <c r="A425" s="16"/>
      <c r="B425" s="16"/>
      <c r="C425" s="16"/>
      <c r="D425" s="16"/>
      <c r="E425" s="16"/>
      <c r="F425" s="16"/>
      <c r="G425" s="16"/>
    </row>
    <row r="426" spans="1:7" ht="12.5">
      <c r="A426" s="16"/>
      <c r="B426" s="16"/>
      <c r="C426" s="16"/>
      <c r="D426" s="16"/>
      <c r="E426" s="16"/>
      <c r="F426" s="16"/>
      <c r="G426" s="16"/>
    </row>
    <row r="427" spans="1:7" ht="12.5">
      <c r="A427" s="16"/>
      <c r="B427" s="16"/>
      <c r="C427" s="16"/>
      <c r="D427" s="16"/>
      <c r="E427" s="16"/>
      <c r="F427" s="16"/>
      <c r="G427" s="16"/>
    </row>
    <row r="428" spans="1:7" ht="12.5">
      <c r="A428" s="16"/>
      <c r="B428" s="16"/>
      <c r="C428" s="16"/>
      <c r="D428" s="16"/>
      <c r="E428" s="16"/>
      <c r="F428" s="16"/>
      <c r="G428" s="16"/>
    </row>
    <row r="429" spans="1:7" ht="12.5">
      <c r="A429" s="16"/>
      <c r="B429" s="16"/>
      <c r="C429" s="16"/>
      <c r="D429" s="16"/>
      <c r="E429" s="16"/>
      <c r="F429" s="16"/>
      <c r="G429" s="16"/>
    </row>
    <row r="430" spans="1:7" ht="12.5">
      <c r="A430" s="16"/>
      <c r="B430" s="16"/>
      <c r="C430" s="16"/>
      <c r="D430" s="16"/>
      <c r="E430" s="16"/>
      <c r="F430" s="16"/>
      <c r="G430" s="16"/>
    </row>
    <row r="431" spans="1:7" ht="12.5">
      <c r="A431" s="16"/>
      <c r="B431" s="16"/>
      <c r="C431" s="16"/>
      <c r="D431" s="16"/>
      <c r="E431" s="16"/>
      <c r="F431" s="16"/>
      <c r="G431" s="16"/>
    </row>
    <row r="432" spans="1:7" ht="12.5">
      <c r="A432" s="16"/>
      <c r="B432" s="16"/>
      <c r="C432" s="16"/>
      <c r="D432" s="16"/>
      <c r="E432" s="16"/>
      <c r="F432" s="16"/>
      <c r="G432" s="16"/>
    </row>
    <row r="433" spans="1:7" ht="12.5">
      <c r="A433" s="16"/>
      <c r="B433" s="16"/>
      <c r="C433" s="16"/>
      <c r="D433" s="16"/>
      <c r="E433" s="16"/>
      <c r="F433" s="16"/>
      <c r="G433" s="16"/>
    </row>
    <row r="434" spans="1:7" ht="12.5">
      <c r="A434" s="16"/>
      <c r="B434" s="16"/>
      <c r="C434" s="16"/>
      <c r="D434" s="16"/>
      <c r="E434" s="16"/>
      <c r="F434" s="16"/>
      <c r="G434" s="16"/>
    </row>
    <row r="435" spans="1:7" ht="12.5">
      <c r="A435" s="16"/>
      <c r="B435" s="16"/>
      <c r="C435" s="16"/>
      <c r="D435" s="16"/>
      <c r="E435" s="16"/>
      <c r="F435" s="16"/>
      <c r="G435" s="16"/>
    </row>
    <row r="436" spans="1:7" ht="12.5">
      <c r="A436" s="16"/>
      <c r="B436" s="16"/>
      <c r="C436" s="16"/>
      <c r="D436" s="16"/>
      <c r="E436" s="16"/>
      <c r="F436" s="16"/>
      <c r="G436" s="16"/>
    </row>
    <row r="437" spans="1:7" ht="12.5">
      <c r="A437" s="16"/>
      <c r="B437" s="16"/>
      <c r="C437" s="16"/>
      <c r="D437" s="16"/>
      <c r="E437" s="16"/>
      <c r="F437" s="16"/>
      <c r="G437" s="16"/>
    </row>
    <row r="438" spans="1:7" ht="12.5">
      <c r="A438" s="16"/>
      <c r="B438" s="16"/>
      <c r="C438" s="16"/>
      <c r="D438" s="16"/>
      <c r="E438" s="16"/>
      <c r="F438" s="16"/>
      <c r="G438" s="16"/>
    </row>
    <row r="439" spans="1:7" ht="12.5">
      <c r="A439" s="16"/>
      <c r="B439" s="16"/>
      <c r="C439" s="16"/>
      <c r="D439" s="16"/>
      <c r="E439" s="16"/>
      <c r="F439" s="16"/>
      <c r="G439" s="16"/>
    </row>
    <row r="440" spans="1:7" ht="12.5">
      <c r="A440" s="16"/>
      <c r="B440" s="16"/>
      <c r="C440" s="16"/>
      <c r="D440" s="16"/>
      <c r="E440" s="16"/>
      <c r="F440" s="16"/>
      <c r="G440" s="16"/>
    </row>
    <row r="441" spans="1:7" ht="12.5">
      <c r="A441" s="16"/>
      <c r="B441" s="16"/>
      <c r="C441" s="16"/>
      <c r="D441" s="16"/>
      <c r="E441" s="16"/>
      <c r="F441" s="16"/>
      <c r="G441" s="16"/>
    </row>
    <row r="442" spans="1:7" ht="12.5">
      <c r="A442" s="16"/>
      <c r="B442" s="16"/>
      <c r="C442" s="16"/>
      <c r="D442" s="16"/>
      <c r="E442" s="16"/>
      <c r="F442" s="16"/>
      <c r="G442" s="16"/>
    </row>
    <row r="443" spans="1:7" ht="12.5">
      <c r="A443" s="16"/>
      <c r="B443" s="16"/>
      <c r="C443" s="16"/>
      <c r="D443" s="16"/>
      <c r="E443" s="16"/>
      <c r="F443" s="16"/>
      <c r="G443" s="16"/>
    </row>
    <row r="444" spans="1:7" ht="12.5">
      <c r="A444" s="16"/>
      <c r="B444" s="16"/>
      <c r="C444" s="16"/>
      <c r="D444" s="16"/>
      <c r="E444" s="16"/>
      <c r="F444" s="16"/>
      <c r="G444" s="16"/>
    </row>
    <row r="445" spans="1:7" ht="12.5">
      <c r="A445" s="16"/>
      <c r="B445" s="16"/>
      <c r="C445" s="16"/>
      <c r="D445" s="16"/>
      <c r="E445" s="16"/>
      <c r="F445" s="16"/>
      <c r="G445" s="16"/>
    </row>
    <row r="446" spans="1:7" ht="12.5">
      <c r="A446" s="16"/>
      <c r="B446" s="16"/>
      <c r="C446" s="16"/>
      <c r="D446" s="16"/>
      <c r="E446" s="16"/>
      <c r="F446" s="16"/>
      <c r="G446" s="16"/>
    </row>
    <row r="447" spans="1:7" ht="12.5">
      <c r="A447" s="16"/>
      <c r="B447" s="16"/>
      <c r="C447" s="16"/>
      <c r="D447" s="16"/>
      <c r="E447" s="16"/>
      <c r="F447" s="16"/>
      <c r="G447" s="16"/>
    </row>
    <row r="448" spans="1:7" ht="12.5">
      <c r="A448" s="16"/>
      <c r="B448" s="16"/>
      <c r="C448" s="16"/>
      <c r="D448" s="16"/>
      <c r="E448" s="16"/>
      <c r="F448" s="16"/>
      <c r="G448" s="16"/>
    </row>
    <row r="449" spans="1:7" ht="12.5">
      <c r="A449" s="16"/>
      <c r="B449" s="16"/>
      <c r="C449" s="16"/>
      <c r="D449" s="16"/>
      <c r="E449" s="16"/>
      <c r="F449" s="16"/>
      <c r="G449" s="16"/>
    </row>
    <row r="450" spans="1:7" ht="12.5">
      <c r="A450" s="16"/>
      <c r="B450" s="16"/>
      <c r="C450" s="16"/>
      <c r="D450" s="16"/>
      <c r="E450" s="16"/>
      <c r="F450" s="16"/>
      <c r="G450" s="16"/>
    </row>
    <row r="451" spans="1:7" ht="12.5">
      <c r="A451" s="16"/>
      <c r="B451" s="16"/>
      <c r="C451" s="16"/>
      <c r="D451" s="16"/>
      <c r="E451" s="16"/>
      <c r="F451" s="16"/>
      <c r="G451" s="16"/>
    </row>
    <row r="452" spans="1:7" ht="12.5">
      <c r="A452" s="16"/>
      <c r="B452" s="16"/>
      <c r="C452" s="16"/>
      <c r="D452" s="16"/>
      <c r="E452" s="16"/>
      <c r="F452" s="16"/>
      <c r="G452" s="16"/>
    </row>
    <row r="453" spans="1:7" ht="12.5">
      <c r="A453" s="16"/>
      <c r="B453" s="16"/>
      <c r="C453" s="16"/>
      <c r="D453" s="16"/>
      <c r="E453" s="16"/>
      <c r="F453" s="16"/>
      <c r="G453" s="16"/>
    </row>
    <row r="454" spans="1:7" ht="12.5">
      <c r="A454" s="16"/>
      <c r="B454" s="16"/>
      <c r="C454" s="16"/>
      <c r="D454" s="16"/>
      <c r="E454" s="16"/>
      <c r="F454" s="16"/>
      <c r="G454" s="16"/>
    </row>
    <row r="455" spans="1:7" ht="12.5">
      <c r="A455" s="16"/>
      <c r="B455" s="16"/>
      <c r="C455" s="16"/>
      <c r="D455" s="16"/>
      <c r="E455" s="16"/>
      <c r="F455" s="16"/>
      <c r="G455" s="16"/>
    </row>
    <row r="456" spans="1:7" ht="12.5">
      <c r="A456" s="16"/>
      <c r="B456" s="16"/>
      <c r="C456" s="16"/>
      <c r="D456" s="16"/>
      <c r="E456" s="16"/>
      <c r="F456" s="16"/>
      <c r="G456" s="16"/>
    </row>
    <row r="457" spans="1:7" ht="12.5">
      <c r="A457" s="16"/>
      <c r="B457" s="16"/>
      <c r="C457" s="16"/>
      <c r="D457" s="16"/>
      <c r="E457" s="16"/>
      <c r="F457" s="16"/>
      <c r="G457" s="16"/>
    </row>
    <row r="458" spans="1:7" ht="12.5">
      <c r="A458" s="16"/>
      <c r="B458" s="16"/>
      <c r="C458" s="16"/>
      <c r="D458" s="16"/>
      <c r="E458" s="16"/>
      <c r="F458" s="16"/>
      <c r="G458" s="16"/>
    </row>
    <row r="459" spans="1:7" ht="12.5">
      <c r="A459" s="16"/>
      <c r="B459" s="16"/>
      <c r="C459" s="16"/>
      <c r="D459" s="16"/>
      <c r="E459" s="16"/>
      <c r="F459" s="16"/>
      <c r="G459" s="16"/>
    </row>
    <row r="460" spans="1:7" ht="12.5">
      <c r="A460" s="16"/>
      <c r="B460" s="16"/>
      <c r="C460" s="16"/>
      <c r="D460" s="16"/>
      <c r="E460" s="16"/>
      <c r="F460" s="16"/>
      <c r="G460" s="16"/>
    </row>
    <row r="461" spans="1:7" ht="12.5">
      <c r="A461" s="16"/>
      <c r="B461" s="16"/>
      <c r="C461" s="16"/>
      <c r="D461" s="16"/>
      <c r="E461" s="16"/>
      <c r="F461" s="16"/>
      <c r="G461" s="16"/>
    </row>
    <row r="462" spans="1:7" ht="12.5">
      <c r="A462" s="16"/>
      <c r="B462" s="16"/>
      <c r="C462" s="16"/>
      <c r="D462" s="16"/>
      <c r="E462" s="16"/>
      <c r="F462" s="16"/>
      <c r="G462" s="16"/>
    </row>
    <row r="463" spans="1:7" ht="12.5">
      <c r="A463" s="16"/>
      <c r="B463" s="16"/>
      <c r="C463" s="16"/>
      <c r="D463" s="16"/>
      <c r="E463" s="16"/>
      <c r="F463" s="16"/>
      <c r="G463" s="16"/>
    </row>
    <row r="464" spans="1:7" ht="12.5">
      <c r="A464" s="16"/>
      <c r="B464" s="16"/>
      <c r="C464" s="16"/>
      <c r="D464" s="16"/>
      <c r="E464" s="16"/>
      <c r="F464" s="16"/>
      <c r="G464" s="16"/>
    </row>
    <row r="465" spans="1:7" ht="12.5">
      <c r="A465" s="16"/>
      <c r="B465" s="16"/>
      <c r="C465" s="16"/>
      <c r="D465" s="16"/>
      <c r="E465" s="16"/>
      <c r="F465" s="16"/>
      <c r="G465" s="16"/>
    </row>
    <row r="466" spans="1:7" ht="12.5">
      <c r="A466" s="16"/>
      <c r="B466" s="16"/>
      <c r="C466" s="16"/>
      <c r="D466" s="16"/>
      <c r="E466" s="16"/>
      <c r="F466" s="16"/>
      <c r="G466" s="16"/>
    </row>
    <row r="467" spans="1:7" ht="12.5">
      <c r="A467" s="16"/>
      <c r="B467" s="16"/>
      <c r="C467" s="16"/>
      <c r="D467" s="16"/>
      <c r="E467" s="16"/>
      <c r="F467" s="16"/>
      <c r="G467" s="16"/>
    </row>
    <row r="468" spans="1:7" ht="12.5">
      <c r="A468" s="16"/>
      <c r="B468" s="16"/>
      <c r="C468" s="16"/>
      <c r="D468" s="16"/>
      <c r="E468" s="16"/>
      <c r="F468" s="16"/>
      <c r="G468" s="16"/>
    </row>
    <row r="469" spans="1:7" ht="12.5">
      <c r="A469" s="16"/>
      <c r="B469" s="16"/>
      <c r="C469" s="16"/>
      <c r="D469" s="16"/>
      <c r="E469" s="16"/>
      <c r="F469" s="16"/>
      <c r="G469" s="16"/>
    </row>
    <row r="470" spans="1:7" ht="12.5">
      <c r="A470" s="16"/>
      <c r="B470" s="16"/>
      <c r="C470" s="16"/>
      <c r="D470" s="16"/>
      <c r="E470" s="16"/>
      <c r="F470" s="16"/>
      <c r="G470" s="16"/>
    </row>
    <row r="471" spans="1:7" ht="12.5">
      <c r="A471" s="16"/>
      <c r="B471" s="16"/>
      <c r="C471" s="16"/>
      <c r="D471" s="16"/>
      <c r="E471" s="16"/>
      <c r="F471" s="16"/>
      <c r="G471" s="16"/>
    </row>
    <row r="472" spans="1:7" ht="12.5">
      <c r="A472" s="16"/>
      <c r="B472" s="16"/>
      <c r="C472" s="16"/>
      <c r="D472" s="16"/>
      <c r="E472" s="16"/>
      <c r="F472" s="16"/>
      <c r="G472" s="16"/>
    </row>
    <row r="473" spans="1:7" ht="12.5">
      <c r="A473" s="16"/>
      <c r="B473" s="16"/>
      <c r="C473" s="16"/>
      <c r="D473" s="16"/>
      <c r="E473" s="16"/>
      <c r="F473" s="16"/>
      <c r="G473" s="16"/>
    </row>
    <row r="474" spans="1:7" ht="12.5">
      <c r="A474" s="16"/>
      <c r="B474" s="16"/>
      <c r="C474" s="16"/>
      <c r="D474" s="16"/>
      <c r="E474" s="16"/>
      <c r="F474" s="16"/>
      <c r="G474" s="16"/>
    </row>
    <row r="475" spans="1:7" ht="12.5">
      <c r="A475" s="16"/>
      <c r="B475" s="16"/>
      <c r="C475" s="16"/>
      <c r="D475" s="16"/>
      <c r="E475" s="16"/>
      <c r="F475" s="16"/>
      <c r="G475" s="16"/>
    </row>
    <row r="476" spans="1:7" ht="12.5">
      <c r="A476" s="16"/>
      <c r="B476" s="16"/>
      <c r="C476" s="16"/>
      <c r="D476" s="16"/>
      <c r="E476" s="16"/>
      <c r="F476" s="16"/>
      <c r="G476" s="16"/>
    </row>
    <row r="477" spans="1:7" ht="12.5">
      <c r="A477" s="16"/>
      <c r="B477" s="16"/>
      <c r="C477" s="16"/>
      <c r="D477" s="16"/>
      <c r="E477" s="16"/>
      <c r="F477" s="16"/>
      <c r="G477" s="16"/>
    </row>
    <row r="478" spans="1:7" ht="12.5">
      <c r="A478" s="16"/>
      <c r="B478" s="16"/>
      <c r="C478" s="16"/>
      <c r="D478" s="16"/>
      <c r="E478" s="16"/>
      <c r="F478" s="16"/>
      <c r="G478" s="16"/>
    </row>
    <row r="479" spans="1:7" ht="12.5">
      <c r="A479" s="16"/>
      <c r="B479" s="16"/>
      <c r="C479" s="16"/>
      <c r="D479" s="16"/>
      <c r="E479" s="16"/>
      <c r="F479" s="16"/>
      <c r="G479" s="16"/>
    </row>
    <row r="480" spans="1:7" ht="12.5">
      <c r="A480" s="16"/>
      <c r="B480" s="16"/>
      <c r="C480" s="16"/>
      <c r="D480" s="16"/>
      <c r="E480" s="16"/>
      <c r="F480" s="16"/>
      <c r="G480" s="16"/>
    </row>
    <row r="481" spans="1:7" ht="12.5">
      <c r="A481" s="16"/>
      <c r="B481" s="16"/>
      <c r="C481" s="16"/>
      <c r="D481" s="16"/>
      <c r="E481" s="16"/>
      <c r="F481" s="16"/>
      <c r="G481" s="16"/>
    </row>
    <row r="482" spans="1:7" ht="12.5">
      <c r="A482" s="16"/>
      <c r="B482" s="16"/>
      <c r="C482" s="16"/>
      <c r="D482" s="16"/>
      <c r="E482" s="16"/>
      <c r="F482" s="16"/>
      <c r="G482" s="16"/>
    </row>
    <row r="483" spans="1:7" ht="12.5">
      <c r="A483" s="16"/>
      <c r="B483" s="16"/>
      <c r="C483" s="16"/>
      <c r="D483" s="16"/>
      <c r="E483" s="16"/>
      <c r="F483" s="16"/>
      <c r="G483" s="16"/>
    </row>
    <row r="484" spans="1:7" ht="12.5">
      <c r="A484" s="16"/>
      <c r="B484" s="16"/>
      <c r="C484" s="16"/>
      <c r="D484" s="16"/>
      <c r="E484" s="16"/>
      <c r="F484" s="16"/>
      <c r="G484" s="16"/>
    </row>
    <row r="485" spans="1:7" ht="12.5">
      <c r="A485" s="16"/>
      <c r="B485" s="16"/>
      <c r="C485" s="16"/>
      <c r="D485" s="16"/>
      <c r="E485" s="16"/>
      <c r="F485" s="16"/>
      <c r="G485" s="16"/>
    </row>
    <row r="486" spans="1:7" ht="12.5">
      <c r="A486" s="16"/>
      <c r="B486" s="16"/>
      <c r="C486" s="16"/>
      <c r="D486" s="16"/>
      <c r="E486" s="16"/>
      <c r="F486" s="16"/>
      <c r="G486" s="16"/>
    </row>
    <row r="487" spans="1:7" ht="12.5">
      <c r="A487" s="16"/>
      <c r="B487" s="16"/>
      <c r="C487" s="16"/>
      <c r="D487" s="16"/>
      <c r="E487" s="16"/>
      <c r="F487" s="16"/>
      <c r="G487" s="16"/>
    </row>
    <row r="488" spans="1:7" ht="12.5">
      <c r="A488" s="16"/>
      <c r="B488" s="16"/>
      <c r="C488" s="16"/>
      <c r="D488" s="16"/>
      <c r="E488" s="16"/>
      <c r="F488" s="16"/>
      <c r="G488" s="16"/>
    </row>
    <row r="489" spans="1:7" ht="12.5">
      <c r="A489" s="16"/>
      <c r="B489" s="16"/>
      <c r="C489" s="16"/>
      <c r="D489" s="16"/>
      <c r="E489" s="16"/>
      <c r="F489" s="16"/>
      <c r="G489" s="16"/>
    </row>
    <row r="490" spans="1:7" ht="12.5">
      <c r="A490" s="16"/>
      <c r="B490" s="16"/>
      <c r="C490" s="16"/>
      <c r="D490" s="16"/>
      <c r="E490" s="16"/>
      <c r="F490" s="16"/>
      <c r="G490" s="16"/>
    </row>
    <row r="491" spans="1:7" ht="12.5">
      <c r="A491" s="16"/>
      <c r="B491" s="16"/>
      <c r="C491" s="16"/>
      <c r="D491" s="16"/>
      <c r="E491" s="16"/>
      <c r="F491" s="16"/>
      <c r="G491" s="16"/>
    </row>
    <row r="492" spans="1:7" ht="12.5">
      <c r="A492" s="16"/>
      <c r="B492" s="16"/>
      <c r="C492" s="16"/>
      <c r="D492" s="16"/>
      <c r="E492" s="16"/>
      <c r="F492" s="16"/>
      <c r="G492" s="16"/>
    </row>
    <row r="493" spans="1:7" ht="12.5">
      <c r="A493" s="16"/>
      <c r="B493" s="16"/>
      <c r="C493" s="16"/>
      <c r="D493" s="16"/>
      <c r="E493" s="16"/>
      <c r="F493" s="16"/>
      <c r="G493" s="16"/>
    </row>
    <row r="494" spans="1:7" ht="12.5">
      <c r="A494" s="16"/>
      <c r="B494" s="16"/>
      <c r="C494" s="16"/>
      <c r="D494" s="16"/>
      <c r="E494" s="16"/>
      <c r="F494" s="16"/>
      <c r="G494" s="16"/>
    </row>
    <row r="495" spans="1:7" ht="12.5">
      <c r="A495" s="16"/>
      <c r="B495" s="16"/>
      <c r="C495" s="16"/>
      <c r="D495" s="16"/>
      <c r="E495" s="16"/>
      <c r="F495" s="16"/>
      <c r="G495" s="16"/>
    </row>
    <row r="496" spans="1:7" ht="12.5">
      <c r="A496" s="16"/>
      <c r="B496" s="16"/>
      <c r="C496" s="16"/>
      <c r="D496" s="16"/>
      <c r="E496" s="16"/>
      <c r="F496" s="16"/>
      <c r="G496" s="16"/>
    </row>
    <row r="497" spans="1:7" ht="12.5">
      <c r="A497" s="16"/>
      <c r="B497" s="16"/>
      <c r="C497" s="16"/>
      <c r="D497" s="16"/>
      <c r="E497" s="16"/>
      <c r="F497" s="16"/>
      <c r="G497" s="16"/>
    </row>
    <row r="498" spans="1:7" ht="12.5">
      <c r="A498" s="16"/>
      <c r="B498" s="16"/>
      <c r="C498" s="16"/>
      <c r="D498" s="16"/>
      <c r="E498" s="16"/>
      <c r="F498" s="16"/>
      <c r="G498" s="16"/>
    </row>
    <row r="499" spans="1:7" ht="12.5">
      <c r="A499" s="16"/>
      <c r="B499" s="16"/>
      <c r="C499" s="16"/>
      <c r="D499" s="16"/>
      <c r="E499" s="16"/>
      <c r="F499" s="16"/>
      <c r="G499" s="16"/>
    </row>
    <row r="500" spans="1:7" ht="12.5">
      <c r="A500" s="16"/>
      <c r="B500" s="16"/>
      <c r="C500" s="16"/>
      <c r="D500" s="16"/>
      <c r="E500" s="16"/>
      <c r="F500" s="16"/>
      <c r="G500" s="16"/>
    </row>
    <row r="501" spans="1:7" ht="12.5">
      <c r="A501" s="16"/>
      <c r="B501" s="16"/>
      <c r="C501" s="16"/>
      <c r="D501" s="16"/>
      <c r="E501" s="16"/>
      <c r="F501" s="16"/>
      <c r="G501" s="16"/>
    </row>
    <row r="502" spans="1:7" ht="12.5">
      <c r="A502" s="16"/>
      <c r="B502" s="16"/>
      <c r="C502" s="16"/>
      <c r="D502" s="16"/>
      <c r="E502" s="16"/>
      <c r="F502" s="16"/>
      <c r="G502" s="16"/>
    </row>
    <row r="503" spans="1:7" ht="12.5">
      <c r="A503" s="16"/>
      <c r="B503" s="16"/>
      <c r="C503" s="16"/>
      <c r="D503" s="16"/>
      <c r="E503" s="16"/>
      <c r="F503" s="16"/>
      <c r="G503" s="16"/>
    </row>
    <row r="504" spans="1:7" ht="12.5">
      <c r="A504" s="16"/>
      <c r="B504" s="16"/>
      <c r="C504" s="16"/>
      <c r="D504" s="16"/>
      <c r="E504" s="16"/>
      <c r="F504" s="16"/>
      <c r="G504" s="16"/>
    </row>
    <row r="505" spans="1:7" ht="12.5">
      <c r="A505" s="16"/>
      <c r="B505" s="16"/>
      <c r="C505" s="16"/>
      <c r="D505" s="16"/>
      <c r="E505" s="16"/>
      <c r="F505" s="16"/>
      <c r="G505" s="16"/>
    </row>
    <row r="506" spans="1:7" ht="12.5">
      <c r="A506" s="16"/>
      <c r="B506" s="16"/>
      <c r="C506" s="16"/>
      <c r="D506" s="16"/>
      <c r="E506" s="16"/>
      <c r="F506" s="16"/>
      <c r="G506" s="16"/>
    </row>
    <row r="507" spans="1:7" ht="12.5">
      <c r="A507" s="16"/>
      <c r="B507" s="16"/>
      <c r="C507" s="16"/>
      <c r="D507" s="16"/>
      <c r="E507" s="16"/>
      <c r="F507" s="16"/>
      <c r="G507" s="16"/>
    </row>
    <row r="508" spans="1:7" ht="12.5">
      <c r="A508" s="16"/>
      <c r="B508" s="16"/>
      <c r="C508" s="16"/>
      <c r="D508" s="16"/>
      <c r="E508" s="16"/>
      <c r="F508" s="16"/>
      <c r="G508" s="16"/>
    </row>
    <row r="509" spans="1:7" ht="12.5">
      <c r="A509" s="16"/>
      <c r="B509" s="16"/>
      <c r="C509" s="16"/>
      <c r="D509" s="16"/>
      <c r="E509" s="16"/>
      <c r="F509" s="16"/>
      <c r="G509" s="16"/>
    </row>
    <row r="510" spans="1:7" ht="12.5">
      <c r="A510" s="16"/>
      <c r="B510" s="16"/>
      <c r="C510" s="16"/>
      <c r="D510" s="16"/>
      <c r="E510" s="16"/>
      <c r="F510" s="16"/>
      <c r="G510" s="16"/>
    </row>
    <row r="511" spans="1:7" ht="12.5">
      <c r="A511" s="16"/>
      <c r="B511" s="16"/>
      <c r="C511" s="16"/>
      <c r="D511" s="16"/>
      <c r="E511" s="16"/>
      <c r="F511" s="16"/>
      <c r="G511" s="16"/>
    </row>
    <row r="512" spans="1:7" ht="12.5">
      <c r="A512" s="16"/>
      <c r="B512" s="16"/>
      <c r="C512" s="16"/>
      <c r="D512" s="16"/>
      <c r="E512" s="16"/>
      <c r="F512" s="16"/>
      <c r="G512" s="16"/>
    </row>
    <row r="513" spans="1:7" ht="12.5">
      <c r="A513" s="16"/>
      <c r="B513" s="16"/>
      <c r="C513" s="16"/>
      <c r="D513" s="16"/>
      <c r="E513" s="16"/>
      <c r="F513" s="16"/>
      <c r="G513" s="16"/>
    </row>
    <row r="514" spans="1:7" ht="12.5">
      <c r="A514" s="16"/>
      <c r="B514" s="16"/>
      <c r="C514" s="16"/>
      <c r="D514" s="16"/>
      <c r="E514" s="16"/>
      <c r="F514" s="16"/>
      <c r="G514" s="16"/>
    </row>
    <row r="515" spans="1:7" ht="12.5">
      <c r="A515" s="16"/>
      <c r="B515" s="16"/>
      <c r="C515" s="16"/>
      <c r="D515" s="16"/>
      <c r="E515" s="16"/>
      <c r="F515" s="16"/>
      <c r="G515" s="16"/>
    </row>
    <row r="516" spans="1:7" ht="12.5">
      <c r="A516" s="16"/>
      <c r="B516" s="16"/>
      <c r="C516" s="16"/>
      <c r="D516" s="16"/>
      <c r="E516" s="16"/>
      <c r="F516" s="16"/>
      <c r="G516" s="16"/>
    </row>
    <row r="517" spans="1:7" ht="12.5">
      <c r="A517" s="16"/>
      <c r="B517" s="16"/>
      <c r="C517" s="16"/>
      <c r="D517" s="16"/>
      <c r="E517" s="16"/>
      <c r="F517" s="16"/>
      <c r="G517" s="16"/>
    </row>
    <row r="518" spans="1:7" ht="12.5">
      <c r="A518" s="16"/>
      <c r="B518" s="16"/>
      <c r="C518" s="16"/>
      <c r="D518" s="16"/>
      <c r="E518" s="16"/>
      <c r="F518" s="16"/>
      <c r="G518" s="16"/>
    </row>
    <row r="519" spans="1:7" ht="12.5">
      <c r="A519" s="16"/>
      <c r="B519" s="16"/>
      <c r="C519" s="16"/>
      <c r="D519" s="16"/>
      <c r="E519" s="16"/>
      <c r="F519" s="16"/>
      <c r="G519" s="16"/>
    </row>
    <row r="520" spans="1:7" ht="12.5">
      <c r="A520" s="16"/>
      <c r="B520" s="16"/>
      <c r="C520" s="16"/>
      <c r="D520" s="16"/>
      <c r="E520" s="16"/>
      <c r="F520" s="16"/>
      <c r="G520" s="16"/>
    </row>
    <row r="521" spans="1:7" ht="12.5">
      <c r="A521" s="16"/>
      <c r="B521" s="16"/>
      <c r="C521" s="16"/>
      <c r="D521" s="16"/>
      <c r="E521" s="16"/>
      <c r="F521" s="16"/>
      <c r="G521" s="16"/>
    </row>
    <row r="522" spans="1:7" ht="12.5">
      <c r="A522" s="16"/>
      <c r="B522" s="16"/>
      <c r="C522" s="16"/>
      <c r="D522" s="16"/>
      <c r="E522" s="16"/>
      <c r="F522" s="16"/>
      <c r="G522" s="16"/>
    </row>
    <row r="523" spans="1:7" ht="12.5">
      <c r="A523" s="16"/>
      <c r="B523" s="16"/>
      <c r="C523" s="16"/>
      <c r="D523" s="16"/>
      <c r="E523" s="16"/>
      <c r="F523" s="16"/>
      <c r="G523" s="16"/>
    </row>
    <row r="524" spans="1:7" ht="12.5">
      <c r="A524" s="16"/>
      <c r="B524" s="16"/>
      <c r="C524" s="16"/>
      <c r="D524" s="16"/>
      <c r="E524" s="16"/>
      <c r="F524" s="16"/>
      <c r="G524" s="16"/>
    </row>
    <row r="525" spans="1:7" ht="12.5">
      <c r="A525" s="16"/>
      <c r="B525" s="16"/>
      <c r="C525" s="16"/>
      <c r="D525" s="16"/>
      <c r="E525" s="16"/>
      <c r="F525" s="16"/>
      <c r="G525" s="16"/>
    </row>
    <row r="526" spans="1:7" ht="12.5">
      <c r="A526" s="16"/>
      <c r="B526" s="16"/>
      <c r="C526" s="16"/>
      <c r="D526" s="16"/>
      <c r="E526" s="16"/>
      <c r="F526" s="16"/>
      <c r="G526" s="16"/>
    </row>
    <row r="527" spans="1:7" ht="12.5">
      <c r="A527" s="16"/>
      <c r="B527" s="16"/>
      <c r="C527" s="16"/>
      <c r="D527" s="16"/>
      <c r="E527" s="16"/>
      <c r="F527" s="16"/>
      <c r="G527" s="16"/>
    </row>
    <row r="528" spans="1:7" ht="12.5">
      <c r="A528" s="16"/>
      <c r="B528" s="16"/>
      <c r="C528" s="16"/>
      <c r="D528" s="16"/>
      <c r="E528" s="16"/>
      <c r="F528" s="16"/>
      <c r="G528" s="16"/>
    </row>
    <row r="529" spans="1:7" ht="12.5">
      <c r="A529" s="16"/>
      <c r="B529" s="16"/>
      <c r="C529" s="16"/>
      <c r="D529" s="16"/>
      <c r="E529" s="16"/>
      <c r="F529" s="16"/>
      <c r="G529" s="16"/>
    </row>
    <row r="530" spans="1:7" ht="12.5">
      <c r="A530" s="16"/>
      <c r="B530" s="16"/>
      <c r="C530" s="16"/>
      <c r="D530" s="16"/>
      <c r="E530" s="16"/>
      <c r="F530" s="16"/>
      <c r="G530" s="16"/>
    </row>
    <row r="531" spans="1:7" ht="12.5">
      <c r="A531" s="16"/>
      <c r="B531" s="16"/>
      <c r="C531" s="16"/>
      <c r="D531" s="16"/>
      <c r="E531" s="16"/>
      <c r="F531" s="16"/>
      <c r="G531" s="16"/>
    </row>
    <row r="532" spans="1:7" ht="12.5">
      <c r="A532" s="16"/>
      <c r="B532" s="16"/>
      <c r="C532" s="16"/>
      <c r="D532" s="16"/>
      <c r="E532" s="16"/>
      <c r="F532" s="16"/>
      <c r="G532" s="16"/>
    </row>
    <row r="533" spans="1:7" ht="12.5">
      <c r="A533" s="16"/>
      <c r="B533" s="16"/>
      <c r="C533" s="16"/>
      <c r="D533" s="16"/>
      <c r="E533" s="16"/>
      <c r="F533" s="16"/>
      <c r="G533" s="16"/>
    </row>
    <row r="534" spans="1:7" ht="12.5">
      <c r="A534" s="16"/>
      <c r="B534" s="16"/>
      <c r="C534" s="16"/>
      <c r="D534" s="16"/>
      <c r="E534" s="16"/>
      <c r="F534" s="16"/>
      <c r="G534" s="16"/>
    </row>
    <row r="535" spans="1:7" ht="12.5">
      <c r="A535" s="16"/>
      <c r="B535" s="16"/>
      <c r="C535" s="16"/>
      <c r="D535" s="16"/>
      <c r="E535" s="16"/>
      <c r="F535" s="16"/>
      <c r="G535" s="16"/>
    </row>
    <row r="536" spans="1:7" ht="12.5">
      <c r="A536" s="16"/>
      <c r="B536" s="16"/>
      <c r="C536" s="16"/>
      <c r="D536" s="16"/>
      <c r="E536" s="16"/>
      <c r="F536" s="16"/>
      <c r="G536" s="16"/>
    </row>
    <row r="537" spans="1:7" ht="12.5">
      <c r="A537" s="16"/>
      <c r="B537" s="16"/>
      <c r="C537" s="16"/>
      <c r="D537" s="16"/>
      <c r="E537" s="16"/>
      <c r="F537" s="16"/>
      <c r="G537" s="16"/>
    </row>
    <row r="538" spans="1:7" ht="12.5">
      <c r="A538" s="16"/>
      <c r="B538" s="16"/>
      <c r="C538" s="16"/>
      <c r="D538" s="16"/>
      <c r="E538" s="16"/>
      <c r="F538" s="16"/>
      <c r="G538" s="16"/>
    </row>
    <row r="539" spans="1:7" ht="12.5">
      <c r="A539" s="16"/>
      <c r="B539" s="16"/>
      <c r="C539" s="16"/>
      <c r="D539" s="16"/>
      <c r="E539" s="16"/>
      <c r="F539" s="16"/>
      <c r="G539" s="16"/>
    </row>
    <row r="540" spans="1:7" ht="12.5">
      <c r="A540" s="16"/>
      <c r="B540" s="16"/>
      <c r="C540" s="16"/>
      <c r="D540" s="16"/>
      <c r="E540" s="16"/>
      <c r="F540" s="16"/>
      <c r="G540" s="16"/>
    </row>
    <row r="541" spans="1:7" ht="12.5">
      <c r="A541" s="16"/>
      <c r="B541" s="16"/>
      <c r="C541" s="16"/>
      <c r="D541" s="16"/>
      <c r="E541" s="16"/>
      <c r="F541" s="16"/>
      <c r="G541" s="16"/>
    </row>
    <row r="542" spans="1:7" ht="12.5">
      <c r="A542" s="16"/>
      <c r="B542" s="16"/>
      <c r="C542" s="16"/>
      <c r="D542" s="16"/>
      <c r="E542" s="16"/>
      <c r="F542" s="16"/>
      <c r="G542" s="16"/>
    </row>
    <row r="543" spans="1:7" ht="12.5">
      <c r="A543" s="16"/>
      <c r="B543" s="16"/>
      <c r="C543" s="16"/>
      <c r="D543" s="16"/>
      <c r="E543" s="16"/>
      <c r="F543" s="16"/>
      <c r="G543" s="16"/>
    </row>
    <row r="544" spans="1:7" ht="12.5">
      <c r="A544" s="16"/>
      <c r="B544" s="16"/>
      <c r="C544" s="16"/>
      <c r="D544" s="16"/>
      <c r="E544" s="16"/>
      <c r="F544" s="16"/>
      <c r="G544" s="16"/>
    </row>
    <row r="545" spans="1:7" ht="12.5">
      <c r="A545" s="16"/>
      <c r="B545" s="16"/>
      <c r="C545" s="16"/>
      <c r="D545" s="16"/>
      <c r="E545" s="16"/>
      <c r="F545" s="16"/>
      <c r="G545" s="16"/>
    </row>
    <row r="546" spans="1:7" ht="12.5">
      <c r="A546" s="16"/>
      <c r="B546" s="16"/>
      <c r="C546" s="16"/>
      <c r="D546" s="16"/>
      <c r="E546" s="16"/>
      <c r="F546" s="16"/>
      <c r="G546" s="16"/>
    </row>
    <row r="547" spans="1:7" ht="12.5">
      <c r="A547" s="16"/>
      <c r="B547" s="16"/>
      <c r="C547" s="16"/>
      <c r="D547" s="16"/>
      <c r="E547" s="16"/>
      <c r="F547" s="16"/>
      <c r="G547" s="16"/>
    </row>
    <row r="548" spans="1:7" ht="12.5">
      <c r="A548" s="16"/>
      <c r="B548" s="16"/>
      <c r="C548" s="16"/>
      <c r="D548" s="16"/>
      <c r="E548" s="16"/>
      <c r="F548" s="16"/>
      <c r="G548" s="16"/>
    </row>
    <row r="549" spans="1:7" ht="12.5">
      <c r="A549" s="16"/>
      <c r="B549" s="16"/>
      <c r="C549" s="16"/>
      <c r="D549" s="16"/>
      <c r="E549" s="16"/>
      <c r="F549" s="16"/>
      <c r="G549" s="16"/>
    </row>
    <row r="550" spans="1:7" ht="12.5">
      <c r="A550" s="16"/>
      <c r="B550" s="16"/>
      <c r="C550" s="16"/>
      <c r="D550" s="16"/>
      <c r="E550" s="16"/>
      <c r="F550" s="16"/>
      <c r="G550" s="16"/>
    </row>
    <row r="551" spans="1:7" ht="12.5">
      <c r="A551" s="16"/>
      <c r="B551" s="16"/>
      <c r="C551" s="16"/>
      <c r="D551" s="16"/>
      <c r="E551" s="16"/>
      <c r="F551" s="16"/>
      <c r="G551" s="16"/>
    </row>
    <row r="552" spans="1:7" ht="12.5">
      <c r="A552" s="16"/>
      <c r="B552" s="16"/>
      <c r="C552" s="16"/>
      <c r="D552" s="16"/>
      <c r="E552" s="16"/>
      <c r="F552" s="16"/>
      <c r="G552" s="16"/>
    </row>
    <row r="553" spans="1:7" ht="12.5">
      <c r="A553" s="16"/>
      <c r="B553" s="16"/>
      <c r="C553" s="16"/>
      <c r="D553" s="16"/>
      <c r="E553" s="16"/>
      <c r="F553" s="16"/>
      <c r="G553" s="16"/>
    </row>
    <row r="554" spans="1:7" ht="12.5">
      <c r="A554" s="16"/>
      <c r="B554" s="16"/>
      <c r="C554" s="16"/>
      <c r="D554" s="16"/>
      <c r="E554" s="16"/>
      <c r="F554" s="16"/>
      <c r="G554" s="16"/>
    </row>
    <row r="555" spans="1:7" ht="12.5">
      <c r="A555" s="16"/>
      <c r="B555" s="16"/>
      <c r="C555" s="16"/>
      <c r="D555" s="16"/>
      <c r="E555" s="16"/>
      <c r="F555" s="16"/>
      <c r="G555" s="16"/>
    </row>
    <row r="556" spans="1:7" ht="12.5">
      <c r="A556" s="16"/>
      <c r="B556" s="16"/>
      <c r="C556" s="16"/>
      <c r="D556" s="16"/>
      <c r="E556" s="16"/>
      <c r="F556" s="16"/>
      <c r="G556" s="16"/>
    </row>
    <row r="557" spans="1:7" ht="12.5">
      <c r="A557" s="16"/>
      <c r="B557" s="16"/>
      <c r="C557" s="16"/>
      <c r="D557" s="16"/>
      <c r="E557" s="16"/>
      <c r="F557" s="16"/>
      <c r="G557" s="16"/>
    </row>
    <row r="558" spans="1:7" ht="12.5">
      <c r="A558" s="16"/>
      <c r="B558" s="16"/>
      <c r="C558" s="16"/>
      <c r="D558" s="16"/>
      <c r="E558" s="16"/>
      <c r="F558" s="16"/>
      <c r="G558" s="16"/>
    </row>
    <row r="559" spans="1:7" ht="12.5">
      <c r="A559" s="16"/>
      <c r="B559" s="16"/>
      <c r="C559" s="16"/>
      <c r="D559" s="16"/>
      <c r="E559" s="16"/>
      <c r="F559" s="16"/>
      <c r="G559" s="16"/>
    </row>
    <row r="560" spans="1:7" ht="12.5">
      <c r="A560" s="16"/>
      <c r="B560" s="16"/>
      <c r="C560" s="16"/>
      <c r="D560" s="16"/>
      <c r="E560" s="16"/>
      <c r="F560" s="16"/>
      <c r="G560" s="16"/>
    </row>
    <row r="561" spans="1:7" ht="12.5">
      <c r="A561" s="16"/>
      <c r="B561" s="16"/>
      <c r="C561" s="16"/>
      <c r="D561" s="16"/>
      <c r="E561" s="16"/>
      <c r="F561" s="16"/>
      <c r="G561" s="16"/>
    </row>
    <row r="562" spans="1:7" ht="12.5">
      <c r="A562" s="16"/>
      <c r="B562" s="16"/>
      <c r="C562" s="16"/>
      <c r="D562" s="16"/>
      <c r="E562" s="16"/>
      <c r="F562" s="16"/>
      <c r="G562" s="16"/>
    </row>
    <row r="563" spans="1:7" ht="12.5">
      <c r="A563" s="16"/>
      <c r="B563" s="16"/>
      <c r="C563" s="16"/>
      <c r="D563" s="16"/>
      <c r="E563" s="16"/>
      <c r="F563" s="16"/>
      <c r="G563" s="16"/>
    </row>
    <row r="564" spans="1:7" ht="12.5">
      <c r="A564" s="16"/>
      <c r="B564" s="16"/>
      <c r="C564" s="16"/>
      <c r="D564" s="16"/>
      <c r="E564" s="16"/>
      <c r="F564" s="16"/>
      <c r="G564" s="16"/>
    </row>
    <row r="565" spans="1:7" ht="12.5">
      <c r="A565" s="16"/>
      <c r="B565" s="16"/>
      <c r="C565" s="16"/>
      <c r="D565" s="16"/>
      <c r="E565" s="16"/>
      <c r="F565" s="16"/>
      <c r="G565" s="16"/>
    </row>
    <row r="566" spans="1:7" ht="12.5">
      <c r="A566" s="16"/>
      <c r="B566" s="16"/>
      <c r="C566" s="16"/>
      <c r="D566" s="16"/>
      <c r="E566" s="16"/>
      <c r="F566" s="16"/>
      <c r="G566" s="16"/>
    </row>
    <row r="567" spans="1:7" ht="12.5">
      <c r="A567" s="16"/>
      <c r="B567" s="16"/>
      <c r="C567" s="16"/>
      <c r="D567" s="16"/>
      <c r="E567" s="16"/>
      <c r="F567" s="16"/>
      <c r="G567" s="16"/>
    </row>
    <row r="568" spans="1:7" ht="12.5">
      <c r="A568" s="16"/>
      <c r="B568" s="16"/>
      <c r="C568" s="16"/>
      <c r="D568" s="16"/>
      <c r="E568" s="16"/>
      <c r="F568" s="16"/>
      <c r="G568" s="16"/>
    </row>
    <row r="569" spans="1:7" ht="12.5">
      <c r="A569" s="16"/>
      <c r="B569" s="16"/>
      <c r="C569" s="16"/>
      <c r="D569" s="16"/>
      <c r="E569" s="16"/>
      <c r="F569" s="16"/>
      <c r="G569" s="16"/>
    </row>
    <row r="570" spans="1:7" ht="12.5">
      <c r="A570" s="16"/>
      <c r="B570" s="16"/>
      <c r="C570" s="16"/>
      <c r="D570" s="16"/>
      <c r="E570" s="16"/>
      <c r="F570" s="16"/>
      <c r="G570" s="16"/>
    </row>
    <row r="571" spans="1:7" ht="12.5">
      <c r="A571" s="16"/>
      <c r="B571" s="16"/>
      <c r="C571" s="16"/>
      <c r="D571" s="16"/>
      <c r="E571" s="16"/>
      <c r="F571" s="16"/>
      <c r="G571" s="16"/>
    </row>
    <row r="572" spans="1:7" ht="12.5">
      <c r="A572" s="16"/>
      <c r="B572" s="16"/>
      <c r="C572" s="16"/>
      <c r="D572" s="16"/>
      <c r="E572" s="16"/>
      <c r="F572" s="16"/>
      <c r="G572" s="16"/>
    </row>
    <row r="573" spans="1:7" ht="12.5">
      <c r="A573" s="16"/>
      <c r="B573" s="16"/>
      <c r="C573" s="16"/>
      <c r="D573" s="16"/>
      <c r="E573" s="16"/>
      <c r="F573" s="16"/>
      <c r="G573" s="16"/>
    </row>
    <row r="574" spans="1:7" ht="12.5">
      <c r="A574" s="16"/>
      <c r="B574" s="16"/>
      <c r="C574" s="16"/>
      <c r="D574" s="16"/>
      <c r="E574" s="16"/>
      <c r="F574" s="16"/>
      <c r="G574" s="16"/>
    </row>
    <row r="575" spans="1:7" ht="12.5">
      <c r="A575" s="16"/>
      <c r="B575" s="16"/>
      <c r="C575" s="16"/>
      <c r="D575" s="16"/>
      <c r="E575" s="16"/>
      <c r="F575" s="16"/>
      <c r="G575" s="16"/>
    </row>
    <row r="576" spans="1:7" ht="12.5">
      <c r="A576" s="16"/>
      <c r="B576" s="16"/>
      <c r="C576" s="16"/>
      <c r="D576" s="16"/>
      <c r="E576" s="16"/>
      <c r="F576" s="16"/>
      <c r="G576" s="16"/>
    </row>
    <row r="577" spans="1:7" ht="12.5">
      <c r="A577" s="16"/>
      <c r="B577" s="16"/>
      <c r="C577" s="16"/>
      <c r="D577" s="16"/>
      <c r="E577" s="16"/>
      <c r="F577" s="16"/>
      <c r="G577" s="16"/>
    </row>
    <row r="578" spans="1:7" ht="12.5">
      <c r="A578" s="16"/>
      <c r="B578" s="16"/>
      <c r="C578" s="16"/>
      <c r="D578" s="16"/>
      <c r="E578" s="16"/>
      <c r="F578" s="16"/>
      <c r="G578" s="16"/>
    </row>
    <row r="579" spans="1:7" ht="12.5">
      <c r="A579" s="16"/>
      <c r="B579" s="16"/>
      <c r="C579" s="16"/>
      <c r="D579" s="16"/>
      <c r="E579" s="16"/>
      <c r="F579" s="16"/>
      <c r="G579" s="16"/>
    </row>
    <row r="580" spans="1:7" ht="12.5">
      <c r="A580" s="16"/>
      <c r="B580" s="16"/>
      <c r="C580" s="16"/>
      <c r="D580" s="16"/>
      <c r="E580" s="16"/>
      <c r="F580" s="16"/>
      <c r="G580" s="16"/>
    </row>
    <row r="581" spans="1:7" ht="12.5">
      <c r="A581" s="16"/>
      <c r="B581" s="16"/>
      <c r="C581" s="16"/>
      <c r="D581" s="16"/>
      <c r="E581" s="16"/>
      <c r="F581" s="16"/>
      <c r="G581" s="16"/>
    </row>
    <row r="582" spans="1:7" ht="12.5">
      <c r="A582" s="16"/>
      <c r="B582" s="16"/>
      <c r="C582" s="16"/>
      <c r="D582" s="16"/>
      <c r="E582" s="16"/>
      <c r="F582" s="16"/>
      <c r="G582" s="16"/>
    </row>
    <row r="583" spans="1:7" ht="12.5">
      <c r="A583" s="16"/>
      <c r="B583" s="16"/>
      <c r="C583" s="16"/>
      <c r="D583" s="16"/>
      <c r="E583" s="16"/>
      <c r="F583" s="16"/>
      <c r="G583" s="16"/>
    </row>
    <row r="584" spans="1:7" ht="12.5">
      <c r="A584" s="16"/>
      <c r="B584" s="16"/>
      <c r="C584" s="16"/>
      <c r="D584" s="16"/>
      <c r="E584" s="16"/>
      <c r="F584" s="16"/>
      <c r="G584" s="16"/>
    </row>
    <row r="585" spans="1:7" ht="12.5">
      <c r="A585" s="16"/>
      <c r="B585" s="16"/>
      <c r="C585" s="16"/>
      <c r="D585" s="16"/>
      <c r="E585" s="16"/>
      <c r="F585" s="16"/>
      <c r="G585" s="16"/>
    </row>
    <row r="586" spans="1:7" ht="12.5">
      <c r="A586" s="16"/>
      <c r="B586" s="16"/>
      <c r="C586" s="16"/>
      <c r="D586" s="16"/>
      <c r="E586" s="16"/>
      <c r="F586" s="16"/>
      <c r="G586" s="16"/>
    </row>
    <row r="587" spans="1:7" ht="12.5">
      <c r="A587" s="16"/>
      <c r="B587" s="16"/>
      <c r="C587" s="16"/>
      <c r="D587" s="16"/>
      <c r="E587" s="16"/>
      <c r="F587" s="16"/>
      <c r="G587" s="16"/>
    </row>
    <row r="588" spans="1:7" ht="12.5">
      <c r="A588" s="16"/>
      <c r="B588" s="16"/>
      <c r="C588" s="16"/>
      <c r="D588" s="16"/>
      <c r="E588" s="16"/>
      <c r="F588" s="16"/>
      <c r="G588" s="16"/>
    </row>
    <row r="589" spans="1:7" ht="12.5">
      <c r="A589" s="16"/>
      <c r="B589" s="16"/>
      <c r="C589" s="16"/>
      <c r="D589" s="16"/>
      <c r="E589" s="16"/>
      <c r="F589" s="16"/>
      <c r="G589" s="16"/>
    </row>
    <row r="590" spans="1:7" ht="12.5">
      <c r="A590" s="16"/>
      <c r="B590" s="16"/>
      <c r="C590" s="16"/>
      <c r="D590" s="16"/>
      <c r="E590" s="16"/>
      <c r="F590" s="16"/>
      <c r="G590" s="16"/>
    </row>
    <row r="591" spans="1:7" ht="12.5">
      <c r="A591" s="16"/>
      <c r="B591" s="16"/>
      <c r="C591" s="16"/>
      <c r="D591" s="16"/>
      <c r="E591" s="16"/>
      <c r="F591" s="16"/>
      <c r="G591" s="16"/>
    </row>
    <row r="592" spans="1:7" ht="12.5">
      <c r="A592" s="16"/>
      <c r="B592" s="16"/>
      <c r="C592" s="16"/>
      <c r="D592" s="16"/>
      <c r="E592" s="16"/>
      <c r="F592" s="16"/>
      <c r="G592" s="16"/>
    </row>
    <row r="593" spans="1:7" ht="12.5">
      <c r="A593" s="16"/>
      <c r="B593" s="16"/>
      <c r="C593" s="16"/>
      <c r="D593" s="16"/>
      <c r="E593" s="16"/>
      <c r="F593" s="16"/>
      <c r="G593" s="16"/>
    </row>
    <row r="594" spans="1:7" ht="12.5">
      <c r="A594" s="16"/>
      <c r="B594" s="16"/>
      <c r="C594" s="16"/>
      <c r="D594" s="16"/>
      <c r="E594" s="16"/>
      <c r="F594" s="16"/>
      <c r="G594" s="16"/>
    </row>
    <row r="595" spans="1:7" ht="12.5">
      <c r="A595" s="16"/>
      <c r="B595" s="16"/>
      <c r="C595" s="16"/>
      <c r="D595" s="16"/>
      <c r="E595" s="16"/>
      <c r="F595" s="16"/>
      <c r="G595" s="16"/>
    </row>
    <row r="596" spans="1:7" ht="12.5">
      <c r="A596" s="16"/>
      <c r="B596" s="16"/>
      <c r="C596" s="16"/>
      <c r="D596" s="16"/>
      <c r="E596" s="16"/>
      <c r="F596" s="16"/>
      <c r="G596" s="16"/>
    </row>
    <row r="597" spans="1:7" ht="12.5">
      <c r="A597" s="16"/>
      <c r="B597" s="16"/>
      <c r="C597" s="16"/>
      <c r="D597" s="16"/>
      <c r="E597" s="16"/>
      <c r="F597" s="16"/>
      <c r="G597" s="16"/>
    </row>
    <row r="598" spans="1:7" ht="12.5">
      <c r="A598" s="16"/>
      <c r="B598" s="16"/>
      <c r="C598" s="16"/>
      <c r="D598" s="16"/>
      <c r="E598" s="16"/>
      <c r="F598" s="16"/>
      <c r="G598" s="16"/>
    </row>
    <row r="599" spans="1:7" ht="12.5">
      <c r="A599" s="16"/>
      <c r="B599" s="16"/>
      <c r="C599" s="16"/>
      <c r="D599" s="16"/>
      <c r="E599" s="16"/>
      <c r="F599" s="16"/>
      <c r="G599" s="16"/>
    </row>
    <row r="600" spans="1:7" ht="12.5">
      <c r="A600" s="16"/>
      <c r="B600" s="16"/>
      <c r="C600" s="16"/>
      <c r="D600" s="16"/>
      <c r="E600" s="16"/>
      <c r="F600" s="16"/>
      <c r="G600" s="16"/>
    </row>
    <row r="601" spans="1:7" ht="12.5">
      <c r="A601" s="16"/>
      <c r="B601" s="16"/>
      <c r="C601" s="16"/>
      <c r="D601" s="16"/>
      <c r="E601" s="16"/>
      <c r="F601" s="16"/>
      <c r="G601" s="16"/>
    </row>
    <row r="602" spans="1:7" ht="12.5">
      <c r="A602" s="16"/>
      <c r="B602" s="16"/>
      <c r="C602" s="16"/>
      <c r="D602" s="16"/>
      <c r="E602" s="16"/>
      <c r="F602" s="16"/>
      <c r="G602" s="16"/>
    </row>
    <row r="603" spans="1:7" ht="12.5">
      <c r="A603" s="16"/>
      <c r="B603" s="16"/>
      <c r="C603" s="16"/>
      <c r="D603" s="16"/>
      <c r="E603" s="16"/>
      <c r="F603" s="16"/>
      <c r="G603" s="16"/>
    </row>
    <row r="604" spans="1:7" ht="12.5">
      <c r="A604" s="16"/>
      <c r="B604" s="16"/>
      <c r="C604" s="16"/>
      <c r="D604" s="16"/>
      <c r="E604" s="16"/>
      <c r="F604" s="16"/>
      <c r="G604" s="16"/>
    </row>
    <row r="605" spans="1:7" ht="12.5">
      <c r="A605" s="16"/>
      <c r="B605" s="16"/>
      <c r="C605" s="16"/>
      <c r="D605" s="16"/>
      <c r="E605" s="16"/>
      <c r="F605" s="16"/>
      <c r="G605" s="16"/>
    </row>
    <row r="606" spans="1:7" ht="12.5">
      <c r="A606" s="16"/>
      <c r="B606" s="16"/>
      <c r="C606" s="16"/>
      <c r="D606" s="16"/>
      <c r="E606" s="16"/>
      <c r="F606" s="16"/>
      <c r="G606" s="16"/>
    </row>
    <row r="607" spans="1:7" ht="12.5">
      <c r="A607" s="16"/>
      <c r="B607" s="16"/>
      <c r="C607" s="16"/>
      <c r="D607" s="16"/>
      <c r="E607" s="16"/>
      <c r="F607" s="16"/>
      <c r="G607" s="16"/>
    </row>
    <row r="608" spans="1:7" ht="12.5">
      <c r="A608" s="16"/>
      <c r="B608" s="16"/>
      <c r="C608" s="16"/>
      <c r="D608" s="16"/>
      <c r="E608" s="16"/>
      <c r="F608" s="16"/>
      <c r="G608" s="16"/>
    </row>
    <row r="609" spans="1:7" ht="12.5">
      <c r="A609" s="16"/>
      <c r="B609" s="16"/>
      <c r="C609" s="16"/>
      <c r="D609" s="16"/>
      <c r="E609" s="16"/>
      <c r="F609" s="16"/>
      <c r="G609" s="16"/>
    </row>
    <row r="610" spans="1:7" ht="12.5">
      <c r="A610" s="16"/>
      <c r="B610" s="16"/>
      <c r="C610" s="16"/>
      <c r="D610" s="16"/>
      <c r="E610" s="16"/>
      <c r="F610" s="16"/>
      <c r="G610" s="16"/>
    </row>
    <row r="611" spans="1:7" ht="12.5">
      <c r="A611" s="16"/>
      <c r="B611" s="16"/>
      <c r="C611" s="16"/>
      <c r="D611" s="16"/>
      <c r="E611" s="16"/>
      <c r="F611" s="16"/>
      <c r="G611" s="16"/>
    </row>
    <row r="612" spans="1:7" ht="12.5">
      <c r="A612" s="16"/>
      <c r="B612" s="16"/>
      <c r="C612" s="16"/>
      <c r="D612" s="16"/>
      <c r="E612" s="16"/>
      <c r="F612" s="16"/>
      <c r="G612" s="16"/>
    </row>
    <row r="613" spans="1:7" ht="12.5">
      <c r="A613" s="16"/>
      <c r="B613" s="16"/>
      <c r="C613" s="16"/>
      <c r="D613" s="16"/>
      <c r="E613" s="16"/>
      <c r="F613" s="16"/>
      <c r="G613" s="16"/>
    </row>
    <row r="614" spans="1:7" ht="12.5">
      <c r="A614" s="16"/>
      <c r="B614" s="16"/>
      <c r="C614" s="16"/>
      <c r="D614" s="16"/>
      <c r="E614" s="16"/>
      <c r="F614" s="16"/>
      <c r="G614" s="16"/>
    </row>
    <row r="615" spans="1:7" ht="12.5">
      <c r="A615" s="16"/>
      <c r="B615" s="16"/>
      <c r="C615" s="16"/>
      <c r="D615" s="16"/>
      <c r="E615" s="16"/>
      <c r="F615" s="16"/>
      <c r="G615" s="16"/>
    </row>
    <row r="616" spans="1:7" ht="12.5">
      <c r="A616" s="16"/>
      <c r="B616" s="16"/>
      <c r="C616" s="16"/>
      <c r="D616" s="16"/>
      <c r="E616" s="16"/>
      <c r="F616" s="16"/>
      <c r="G616" s="16"/>
    </row>
    <row r="617" spans="1:7" ht="12.5">
      <c r="A617" s="16"/>
      <c r="B617" s="16"/>
      <c r="C617" s="16"/>
      <c r="D617" s="16"/>
      <c r="E617" s="16"/>
      <c r="F617" s="16"/>
      <c r="G617" s="16"/>
    </row>
    <row r="618" spans="1:7" ht="12.5">
      <c r="A618" s="16"/>
      <c r="B618" s="16"/>
      <c r="C618" s="16"/>
      <c r="D618" s="16"/>
      <c r="E618" s="16"/>
      <c r="F618" s="16"/>
      <c r="G618" s="16"/>
    </row>
    <row r="619" spans="1:7" ht="12.5">
      <c r="A619" s="16"/>
      <c r="B619" s="16"/>
      <c r="C619" s="16"/>
      <c r="D619" s="16"/>
      <c r="E619" s="16"/>
      <c r="F619" s="16"/>
      <c r="G619" s="16"/>
    </row>
    <row r="620" spans="1:7" ht="12.5">
      <c r="A620" s="16"/>
      <c r="B620" s="16"/>
      <c r="C620" s="16"/>
      <c r="D620" s="16"/>
      <c r="E620" s="16"/>
      <c r="F620" s="16"/>
      <c r="G620" s="16"/>
    </row>
    <row r="621" spans="1:7" ht="12.5">
      <c r="A621" s="16"/>
      <c r="B621" s="16"/>
      <c r="C621" s="16"/>
      <c r="D621" s="16"/>
      <c r="E621" s="16"/>
      <c r="F621" s="16"/>
      <c r="G621" s="16"/>
    </row>
    <row r="622" spans="1:7" ht="12.5">
      <c r="A622" s="16"/>
      <c r="B622" s="16"/>
      <c r="C622" s="16"/>
      <c r="D622" s="16"/>
      <c r="E622" s="16"/>
      <c r="F622" s="16"/>
      <c r="G622" s="16"/>
    </row>
    <row r="623" spans="1:7" ht="12.5">
      <c r="A623" s="16"/>
      <c r="B623" s="16"/>
      <c r="C623" s="16"/>
      <c r="D623" s="16"/>
      <c r="E623" s="16"/>
      <c r="F623" s="16"/>
      <c r="G623" s="16"/>
    </row>
    <row r="624" spans="1:7" ht="12.5">
      <c r="A624" s="16"/>
      <c r="B624" s="16"/>
      <c r="C624" s="16"/>
      <c r="D624" s="16"/>
      <c r="E624" s="16"/>
      <c r="F624" s="16"/>
      <c r="G624" s="16"/>
    </row>
    <row r="625" spans="1:7" ht="12.5">
      <c r="A625" s="16"/>
      <c r="B625" s="16"/>
      <c r="C625" s="16"/>
      <c r="D625" s="16"/>
      <c r="E625" s="16"/>
      <c r="F625" s="16"/>
      <c r="G625" s="16"/>
    </row>
    <row r="626" spans="1:7" ht="12.5">
      <c r="A626" s="16"/>
      <c r="B626" s="16"/>
      <c r="C626" s="16"/>
      <c r="D626" s="16"/>
      <c r="E626" s="16"/>
      <c r="F626" s="16"/>
      <c r="G626" s="16"/>
    </row>
    <row r="627" spans="1:7" ht="12.5">
      <c r="A627" s="16"/>
      <c r="B627" s="16"/>
      <c r="C627" s="16"/>
      <c r="D627" s="16"/>
      <c r="E627" s="16"/>
      <c r="F627" s="16"/>
      <c r="G627" s="16"/>
    </row>
    <row r="628" spans="1:7" ht="12.5">
      <c r="A628" s="16"/>
      <c r="B628" s="16"/>
      <c r="C628" s="16"/>
      <c r="D628" s="16"/>
      <c r="E628" s="16"/>
      <c r="F628" s="16"/>
      <c r="G628" s="16"/>
    </row>
    <row r="629" spans="1:7" ht="12.5">
      <c r="A629" s="16"/>
      <c r="B629" s="16"/>
      <c r="C629" s="16"/>
      <c r="D629" s="16"/>
      <c r="E629" s="16"/>
      <c r="F629" s="16"/>
      <c r="G629" s="16"/>
    </row>
    <row r="630" spans="1:7" ht="12.5">
      <c r="A630" s="16"/>
      <c r="B630" s="16"/>
      <c r="C630" s="16"/>
      <c r="D630" s="16"/>
      <c r="E630" s="16"/>
      <c r="F630" s="16"/>
      <c r="G630" s="16"/>
    </row>
    <row r="631" spans="1:7" ht="12.5">
      <c r="A631" s="16"/>
      <c r="B631" s="16"/>
      <c r="C631" s="16"/>
      <c r="D631" s="16"/>
      <c r="E631" s="16"/>
      <c r="F631" s="16"/>
      <c r="G631" s="16"/>
    </row>
    <row r="632" spans="1:7" ht="12.5">
      <c r="A632" s="16"/>
      <c r="B632" s="16"/>
      <c r="C632" s="16"/>
      <c r="D632" s="16"/>
      <c r="E632" s="16"/>
      <c r="F632" s="16"/>
      <c r="G632" s="16"/>
    </row>
    <row r="633" spans="1:7" ht="12.5">
      <c r="A633" s="16"/>
      <c r="B633" s="16"/>
      <c r="C633" s="16"/>
      <c r="D633" s="16"/>
      <c r="E633" s="16"/>
      <c r="F633" s="16"/>
      <c r="G633" s="16"/>
    </row>
    <row r="634" spans="1:7" ht="12.5">
      <c r="A634" s="16"/>
      <c r="B634" s="16"/>
      <c r="C634" s="16"/>
      <c r="D634" s="16"/>
      <c r="E634" s="16"/>
      <c r="F634" s="16"/>
      <c r="G634" s="16"/>
    </row>
    <row r="635" spans="1:7" ht="12.5">
      <c r="A635" s="16"/>
      <c r="B635" s="16"/>
      <c r="C635" s="16"/>
      <c r="D635" s="16"/>
      <c r="E635" s="16"/>
      <c r="F635" s="16"/>
      <c r="G635" s="16"/>
    </row>
    <row r="636" spans="1:7" ht="12.5">
      <c r="A636" s="16"/>
      <c r="B636" s="16"/>
      <c r="C636" s="16"/>
      <c r="D636" s="16"/>
      <c r="E636" s="16"/>
      <c r="F636" s="16"/>
      <c r="G636" s="16"/>
    </row>
    <row r="637" spans="1:7" ht="12.5">
      <c r="A637" s="16"/>
      <c r="B637" s="16"/>
      <c r="C637" s="16"/>
      <c r="D637" s="16"/>
      <c r="E637" s="16"/>
      <c r="F637" s="16"/>
      <c r="G637" s="16"/>
    </row>
    <row r="638" spans="1:7" ht="12.5">
      <c r="A638" s="16"/>
      <c r="B638" s="16"/>
      <c r="C638" s="16"/>
      <c r="D638" s="16"/>
      <c r="E638" s="16"/>
      <c r="F638" s="16"/>
      <c r="G638" s="16"/>
    </row>
    <row r="639" spans="1:7" ht="12.5">
      <c r="A639" s="16"/>
      <c r="B639" s="16"/>
      <c r="C639" s="16"/>
      <c r="D639" s="16"/>
      <c r="E639" s="16"/>
      <c r="F639" s="16"/>
      <c r="G639" s="16"/>
    </row>
    <row r="640" spans="1:7" ht="12.5">
      <c r="A640" s="16"/>
      <c r="B640" s="16"/>
      <c r="C640" s="16"/>
      <c r="D640" s="16"/>
      <c r="E640" s="16"/>
      <c r="F640" s="16"/>
      <c r="G640" s="16"/>
    </row>
    <row r="641" spans="1:7" ht="12.5">
      <c r="A641" s="16"/>
      <c r="B641" s="16"/>
      <c r="C641" s="16"/>
      <c r="D641" s="16"/>
      <c r="E641" s="16"/>
      <c r="F641" s="16"/>
      <c r="G641" s="16"/>
    </row>
    <row r="642" spans="1:7" ht="12.5">
      <c r="A642" s="16"/>
      <c r="B642" s="16"/>
      <c r="C642" s="16"/>
      <c r="D642" s="16"/>
      <c r="E642" s="16"/>
      <c r="F642" s="16"/>
      <c r="G642" s="16"/>
    </row>
    <row r="643" spans="1:7" ht="12.5">
      <c r="A643" s="16"/>
      <c r="B643" s="16"/>
      <c r="C643" s="16"/>
      <c r="D643" s="16"/>
      <c r="E643" s="16"/>
      <c r="F643" s="16"/>
      <c r="G643" s="16"/>
    </row>
    <row r="644" spans="1:7" ht="12.5">
      <c r="A644" s="16"/>
      <c r="B644" s="16"/>
      <c r="C644" s="16"/>
      <c r="D644" s="16"/>
      <c r="E644" s="16"/>
      <c r="F644" s="16"/>
      <c r="G644" s="16"/>
    </row>
    <row r="645" spans="1:7" ht="12.5">
      <c r="A645" s="16"/>
      <c r="B645" s="16"/>
      <c r="C645" s="16"/>
      <c r="D645" s="16"/>
      <c r="E645" s="16"/>
      <c r="F645" s="16"/>
      <c r="G645" s="16"/>
    </row>
    <row r="646" spans="1:7" ht="12.5">
      <c r="A646" s="16"/>
      <c r="B646" s="16"/>
      <c r="C646" s="16"/>
      <c r="D646" s="16"/>
      <c r="E646" s="16"/>
      <c r="F646" s="16"/>
      <c r="G646" s="16"/>
    </row>
    <row r="647" spans="1:7" ht="12.5">
      <c r="A647" s="16"/>
      <c r="B647" s="16"/>
      <c r="C647" s="16"/>
      <c r="D647" s="16"/>
      <c r="E647" s="16"/>
      <c r="F647" s="16"/>
      <c r="G647" s="16"/>
    </row>
    <row r="648" spans="1:7" ht="12.5">
      <c r="A648" s="16"/>
      <c r="B648" s="16"/>
      <c r="C648" s="16"/>
      <c r="D648" s="16"/>
      <c r="E648" s="16"/>
      <c r="F648" s="16"/>
      <c r="G648" s="16"/>
    </row>
    <row r="649" spans="1:7" ht="12.5">
      <c r="A649" s="16"/>
      <c r="B649" s="16"/>
      <c r="C649" s="16"/>
      <c r="D649" s="16"/>
      <c r="E649" s="16"/>
      <c r="F649" s="16"/>
      <c r="G649" s="16"/>
    </row>
    <row r="650" spans="1:7" ht="12.5">
      <c r="A650" s="16"/>
      <c r="B650" s="16"/>
      <c r="C650" s="16"/>
      <c r="D650" s="16"/>
      <c r="E650" s="16"/>
      <c r="F650" s="16"/>
      <c r="G650" s="16"/>
    </row>
    <row r="651" spans="1:7" ht="12.5">
      <c r="A651" s="16"/>
      <c r="B651" s="16"/>
      <c r="C651" s="16"/>
      <c r="D651" s="16"/>
      <c r="E651" s="16"/>
      <c r="F651" s="16"/>
      <c r="G651" s="16"/>
    </row>
    <row r="652" spans="1:7" ht="12.5">
      <c r="A652" s="16"/>
      <c r="B652" s="16"/>
      <c r="C652" s="16"/>
      <c r="D652" s="16"/>
      <c r="E652" s="16"/>
      <c r="F652" s="16"/>
      <c r="G652" s="16"/>
    </row>
    <row r="653" spans="1:7" ht="12.5">
      <c r="A653" s="16"/>
      <c r="B653" s="16"/>
      <c r="C653" s="16"/>
      <c r="D653" s="16"/>
      <c r="E653" s="16"/>
      <c r="F653" s="16"/>
      <c r="G653" s="16"/>
    </row>
    <row r="654" spans="1:7" ht="12.5">
      <c r="A654" s="16"/>
      <c r="B654" s="16"/>
      <c r="C654" s="16"/>
      <c r="D654" s="16"/>
      <c r="E654" s="16"/>
      <c r="F654" s="16"/>
      <c r="G654" s="16"/>
    </row>
    <row r="655" spans="1:7" ht="12.5">
      <c r="A655" s="16"/>
      <c r="B655" s="16"/>
      <c r="C655" s="16"/>
      <c r="D655" s="16"/>
      <c r="E655" s="16"/>
      <c r="F655" s="16"/>
      <c r="G655" s="16"/>
    </row>
    <row r="656" spans="1:7" ht="12.5">
      <c r="A656" s="16"/>
      <c r="B656" s="16"/>
      <c r="C656" s="16"/>
      <c r="D656" s="16"/>
      <c r="E656" s="16"/>
      <c r="F656" s="16"/>
      <c r="G656" s="16"/>
    </row>
    <row r="657" spans="1:7" ht="12.5">
      <c r="A657" s="16"/>
      <c r="B657" s="16"/>
      <c r="C657" s="16"/>
      <c r="D657" s="16"/>
      <c r="E657" s="16"/>
      <c r="F657" s="16"/>
      <c r="G657" s="16"/>
    </row>
    <row r="658" spans="1:7" ht="12.5">
      <c r="A658" s="16"/>
      <c r="B658" s="16"/>
      <c r="C658" s="16"/>
      <c r="D658" s="16"/>
      <c r="E658" s="16"/>
      <c r="F658" s="16"/>
      <c r="G658" s="16"/>
    </row>
    <row r="659" spans="1:7" ht="12.5">
      <c r="A659" s="16"/>
      <c r="B659" s="16"/>
      <c r="C659" s="16"/>
      <c r="D659" s="16"/>
      <c r="E659" s="16"/>
      <c r="F659" s="16"/>
      <c r="G659" s="16"/>
    </row>
    <row r="660" spans="1:7" ht="12.5">
      <c r="A660" s="16"/>
      <c r="B660" s="16"/>
      <c r="C660" s="16"/>
      <c r="D660" s="16"/>
      <c r="E660" s="16"/>
      <c r="F660" s="16"/>
      <c r="G660" s="16"/>
    </row>
    <row r="661" spans="1:7" ht="12.5">
      <c r="A661" s="16"/>
      <c r="B661" s="16"/>
      <c r="C661" s="16"/>
      <c r="D661" s="16"/>
      <c r="E661" s="16"/>
      <c r="F661" s="16"/>
      <c r="G661" s="16"/>
    </row>
    <row r="662" spans="1:7" ht="12.5">
      <c r="A662" s="16"/>
      <c r="B662" s="16"/>
      <c r="C662" s="16"/>
      <c r="D662" s="16"/>
      <c r="E662" s="16"/>
      <c r="F662" s="16"/>
      <c r="G662" s="16"/>
    </row>
    <row r="663" spans="1:7" ht="12.5">
      <c r="A663" s="16"/>
      <c r="B663" s="16"/>
      <c r="C663" s="16"/>
      <c r="D663" s="16"/>
      <c r="E663" s="16"/>
      <c r="F663" s="16"/>
      <c r="G663" s="16"/>
    </row>
    <row r="664" spans="1:7" ht="12.5">
      <c r="A664" s="16"/>
      <c r="B664" s="16"/>
      <c r="C664" s="16"/>
      <c r="D664" s="16"/>
      <c r="E664" s="16"/>
      <c r="F664" s="16"/>
      <c r="G664" s="16"/>
    </row>
    <row r="665" spans="1:7" ht="12.5">
      <c r="A665" s="16"/>
      <c r="B665" s="16"/>
      <c r="C665" s="16"/>
      <c r="D665" s="16"/>
      <c r="E665" s="16"/>
      <c r="F665" s="16"/>
      <c r="G665" s="16"/>
    </row>
    <row r="666" spans="1:7" ht="12.5">
      <c r="A666" s="16"/>
      <c r="B666" s="16"/>
      <c r="C666" s="16"/>
      <c r="D666" s="16"/>
      <c r="E666" s="16"/>
      <c r="F666" s="16"/>
      <c r="G666" s="16"/>
    </row>
    <row r="667" spans="1:7" ht="12.5">
      <c r="A667" s="16"/>
      <c r="B667" s="16"/>
      <c r="C667" s="16"/>
      <c r="D667" s="16"/>
      <c r="E667" s="16"/>
      <c r="F667" s="16"/>
      <c r="G667" s="16"/>
    </row>
    <row r="668" spans="1:7" ht="12.5">
      <c r="A668" s="16"/>
      <c r="B668" s="16"/>
      <c r="C668" s="16"/>
      <c r="D668" s="16"/>
      <c r="E668" s="16"/>
      <c r="F668" s="16"/>
      <c r="G668" s="16"/>
    </row>
    <row r="669" spans="1:7" ht="12.5">
      <c r="A669" s="16"/>
      <c r="B669" s="16"/>
      <c r="C669" s="16"/>
      <c r="D669" s="16"/>
      <c r="E669" s="16"/>
      <c r="F669" s="16"/>
      <c r="G669" s="16"/>
    </row>
    <row r="670" spans="1:7" ht="12.5">
      <c r="A670" s="16"/>
      <c r="B670" s="16"/>
      <c r="C670" s="16"/>
      <c r="D670" s="16"/>
      <c r="E670" s="16"/>
      <c r="F670" s="16"/>
      <c r="G670" s="16"/>
    </row>
    <row r="671" spans="1:7" ht="12.5">
      <c r="A671" s="16"/>
      <c r="B671" s="16"/>
      <c r="C671" s="16"/>
      <c r="D671" s="16"/>
      <c r="E671" s="16"/>
      <c r="F671" s="16"/>
      <c r="G671" s="16"/>
    </row>
    <row r="672" spans="1:7" ht="12.5">
      <c r="A672" s="16"/>
      <c r="B672" s="16"/>
      <c r="C672" s="16"/>
      <c r="D672" s="16"/>
      <c r="E672" s="16"/>
      <c r="F672" s="16"/>
      <c r="G672" s="16"/>
    </row>
    <row r="673" spans="1:7" ht="12.5">
      <c r="A673" s="16"/>
      <c r="B673" s="16"/>
      <c r="C673" s="16"/>
      <c r="D673" s="16"/>
      <c r="E673" s="16"/>
      <c r="F673" s="16"/>
      <c r="G673" s="16"/>
    </row>
    <row r="674" spans="1:7" ht="12.5">
      <c r="A674" s="16"/>
      <c r="B674" s="16"/>
      <c r="C674" s="16"/>
      <c r="D674" s="16"/>
      <c r="E674" s="16"/>
      <c r="F674" s="16"/>
      <c r="G674" s="16"/>
    </row>
    <row r="675" spans="1:7" ht="12.5">
      <c r="A675" s="16"/>
      <c r="B675" s="16"/>
      <c r="C675" s="16"/>
      <c r="D675" s="16"/>
      <c r="E675" s="16"/>
      <c r="F675" s="16"/>
      <c r="G675" s="16"/>
    </row>
    <row r="676" spans="1:7" ht="12.5">
      <c r="A676" s="16"/>
      <c r="B676" s="16"/>
      <c r="C676" s="16"/>
      <c r="D676" s="16"/>
      <c r="E676" s="16"/>
      <c r="F676" s="16"/>
      <c r="G676" s="16"/>
    </row>
    <row r="677" spans="1:7" ht="12.5">
      <c r="A677" s="16"/>
      <c r="B677" s="16"/>
      <c r="C677" s="16"/>
      <c r="D677" s="16"/>
      <c r="E677" s="16"/>
      <c r="F677" s="16"/>
      <c r="G677" s="16"/>
    </row>
    <row r="678" spans="1:7" ht="12.5">
      <c r="A678" s="16"/>
      <c r="B678" s="16"/>
      <c r="C678" s="16"/>
      <c r="D678" s="16"/>
      <c r="E678" s="16"/>
      <c r="F678" s="16"/>
      <c r="G678" s="16"/>
    </row>
    <row r="679" spans="1:7" ht="12.5">
      <c r="A679" s="16"/>
      <c r="B679" s="16"/>
      <c r="C679" s="16"/>
      <c r="D679" s="16"/>
      <c r="E679" s="16"/>
      <c r="F679" s="16"/>
      <c r="G679" s="16"/>
    </row>
    <row r="680" spans="1:7" ht="12.5">
      <c r="A680" s="16"/>
      <c r="B680" s="16"/>
      <c r="C680" s="16"/>
      <c r="D680" s="16"/>
      <c r="E680" s="16"/>
      <c r="F680" s="16"/>
      <c r="G680" s="16"/>
    </row>
    <row r="681" spans="1:7" ht="12.5">
      <c r="A681" s="16"/>
      <c r="B681" s="16"/>
      <c r="C681" s="16"/>
      <c r="D681" s="16"/>
      <c r="E681" s="16"/>
      <c r="F681" s="16"/>
      <c r="G681" s="16"/>
    </row>
    <row r="682" spans="1:7" ht="12.5">
      <c r="A682" s="16"/>
      <c r="B682" s="16"/>
      <c r="C682" s="16"/>
      <c r="D682" s="16"/>
      <c r="E682" s="16"/>
      <c r="F682" s="16"/>
      <c r="G682" s="16"/>
    </row>
    <row r="683" spans="1:7" ht="12.5">
      <c r="A683" s="16"/>
      <c r="B683" s="16"/>
      <c r="C683" s="16"/>
      <c r="D683" s="16"/>
      <c r="E683" s="16"/>
      <c r="F683" s="16"/>
      <c r="G683" s="16"/>
    </row>
    <row r="684" spans="1:7" ht="12.5">
      <c r="A684" s="16"/>
      <c r="B684" s="16"/>
      <c r="C684" s="16"/>
      <c r="D684" s="16"/>
      <c r="E684" s="16"/>
      <c r="F684" s="16"/>
      <c r="G684" s="16"/>
    </row>
    <row r="685" spans="1:7" ht="12.5">
      <c r="A685" s="16"/>
      <c r="B685" s="16"/>
      <c r="C685" s="16"/>
      <c r="D685" s="16"/>
      <c r="E685" s="16"/>
      <c r="F685" s="16"/>
      <c r="G685" s="16"/>
    </row>
    <row r="686" spans="1:7" ht="12.5">
      <c r="A686" s="16"/>
      <c r="B686" s="16"/>
      <c r="C686" s="16"/>
      <c r="D686" s="16"/>
      <c r="E686" s="16"/>
      <c r="F686" s="16"/>
      <c r="G686" s="16"/>
    </row>
    <row r="687" spans="1:7" ht="12.5">
      <c r="A687" s="16"/>
      <c r="B687" s="16"/>
      <c r="C687" s="16"/>
      <c r="D687" s="16"/>
      <c r="E687" s="16"/>
      <c r="F687" s="16"/>
      <c r="G687" s="16"/>
    </row>
    <row r="688" spans="1:7" ht="12.5">
      <c r="A688" s="16"/>
      <c r="B688" s="16"/>
      <c r="C688" s="16"/>
      <c r="D688" s="16"/>
      <c r="E688" s="16"/>
      <c r="F688" s="16"/>
      <c r="G688" s="16"/>
    </row>
    <row r="689" spans="1:7" ht="12.5">
      <c r="A689" s="16"/>
      <c r="B689" s="16"/>
      <c r="C689" s="16"/>
      <c r="D689" s="16"/>
      <c r="E689" s="16"/>
      <c r="F689" s="16"/>
      <c r="G689" s="16"/>
    </row>
    <row r="690" spans="1:7" ht="12.5">
      <c r="A690" s="16"/>
      <c r="B690" s="16"/>
      <c r="C690" s="16"/>
      <c r="D690" s="16"/>
      <c r="E690" s="16"/>
      <c r="F690" s="16"/>
      <c r="G690" s="16"/>
    </row>
    <row r="691" spans="1:7" ht="12.5">
      <c r="A691" s="16"/>
      <c r="B691" s="16"/>
      <c r="C691" s="16"/>
      <c r="D691" s="16"/>
      <c r="E691" s="16"/>
      <c r="F691" s="16"/>
      <c r="G691" s="16"/>
    </row>
    <row r="692" spans="1:7" ht="12.5">
      <c r="A692" s="16"/>
      <c r="B692" s="16"/>
      <c r="C692" s="16"/>
      <c r="D692" s="16"/>
      <c r="E692" s="16"/>
      <c r="F692" s="16"/>
      <c r="G692" s="16"/>
    </row>
    <row r="693" spans="1:7" ht="12.5">
      <c r="A693" s="16"/>
      <c r="B693" s="16"/>
      <c r="C693" s="16"/>
      <c r="D693" s="16"/>
      <c r="E693" s="16"/>
      <c r="F693" s="16"/>
      <c r="G693" s="16"/>
    </row>
    <row r="694" spans="1:7" ht="12.5">
      <c r="A694" s="16"/>
      <c r="B694" s="16"/>
      <c r="C694" s="16"/>
      <c r="D694" s="16"/>
      <c r="E694" s="16"/>
      <c r="F694" s="16"/>
      <c r="G694" s="16"/>
    </row>
    <row r="695" spans="1:7" ht="12.5">
      <c r="A695" s="16"/>
      <c r="B695" s="16"/>
      <c r="C695" s="16"/>
      <c r="D695" s="16"/>
      <c r="E695" s="16"/>
      <c r="F695" s="16"/>
      <c r="G695" s="16"/>
    </row>
    <row r="696" spans="1:7" ht="12.5">
      <c r="A696" s="16"/>
      <c r="B696" s="16"/>
      <c r="C696" s="16"/>
      <c r="D696" s="16"/>
      <c r="E696" s="16"/>
      <c r="F696" s="16"/>
      <c r="G696" s="16"/>
    </row>
    <row r="697" spans="1:7" ht="12.5">
      <c r="A697" s="16"/>
      <c r="B697" s="16"/>
      <c r="C697" s="16"/>
      <c r="D697" s="16"/>
      <c r="E697" s="16"/>
      <c r="F697" s="16"/>
      <c r="G697" s="16"/>
    </row>
    <row r="698" spans="1:7" ht="12.5">
      <c r="A698" s="16"/>
      <c r="B698" s="16"/>
      <c r="C698" s="16"/>
      <c r="D698" s="16"/>
      <c r="E698" s="16"/>
      <c r="F698" s="16"/>
      <c r="G698" s="16"/>
    </row>
    <row r="699" spans="1:7" ht="12.5">
      <c r="A699" s="16"/>
      <c r="B699" s="16"/>
      <c r="C699" s="16"/>
      <c r="D699" s="16"/>
      <c r="E699" s="16"/>
      <c r="F699" s="16"/>
      <c r="G699" s="16"/>
    </row>
    <row r="700" spans="1:7" ht="12.5">
      <c r="A700" s="16"/>
      <c r="B700" s="16"/>
      <c r="C700" s="16"/>
      <c r="D700" s="16"/>
      <c r="E700" s="16"/>
      <c r="F700" s="16"/>
      <c r="G700" s="16"/>
    </row>
    <row r="701" spans="1:7" ht="12.5">
      <c r="A701" s="16"/>
      <c r="B701" s="16"/>
      <c r="C701" s="16"/>
      <c r="D701" s="16"/>
      <c r="E701" s="16"/>
      <c r="F701" s="16"/>
      <c r="G701" s="16"/>
    </row>
    <row r="702" spans="1:7" ht="12.5">
      <c r="A702" s="16"/>
      <c r="B702" s="16"/>
      <c r="C702" s="16"/>
      <c r="D702" s="16"/>
      <c r="E702" s="16"/>
      <c r="F702" s="16"/>
      <c r="G702" s="16"/>
    </row>
    <row r="703" spans="1:7" ht="12.5">
      <c r="A703" s="16"/>
      <c r="B703" s="16"/>
      <c r="C703" s="16"/>
      <c r="D703" s="16"/>
      <c r="E703" s="16"/>
      <c r="F703" s="16"/>
      <c r="G703" s="16"/>
    </row>
    <row r="704" spans="1:7" ht="12.5">
      <c r="A704" s="16"/>
      <c r="B704" s="16"/>
      <c r="C704" s="16"/>
      <c r="D704" s="16"/>
      <c r="E704" s="16"/>
      <c r="F704" s="16"/>
      <c r="G704" s="16"/>
    </row>
    <row r="705" spans="1:7" ht="12.5">
      <c r="A705" s="16"/>
      <c r="B705" s="16"/>
      <c r="C705" s="16"/>
      <c r="D705" s="16"/>
      <c r="E705" s="16"/>
      <c r="F705" s="16"/>
      <c r="G705" s="16"/>
    </row>
    <row r="706" spans="1:7" ht="12.5">
      <c r="A706" s="16"/>
      <c r="B706" s="16"/>
      <c r="C706" s="16"/>
      <c r="D706" s="16"/>
      <c r="E706" s="16"/>
      <c r="F706" s="16"/>
      <c r="G706" s="16"/>
    </row>
    <row r="707" spans="1:7" ht="12.5">
      <c r="A707" s="16"/>
      <c r="B707" s="16"/>
      <c r="C707" s="16"/>
      <c r="D707" s="16"/>
      <c r="E707" s="16"/>
      <c r="F707" s="16"/>
      <c r="G707" s="16"/>
    </row>
    <row r="708" spans="1:7" ht="12.5">
      <c r="A708" s="16"/>
      <c r="B708" s="16"/>
      <c r="C708" s="16"/>
      <c r="D708" s="16"/>
      <c r="E708" s="16"/>
      <c r="F708" s="16"/>
      <c r="G708" s="16"/>
    </row>
    <row r="709" spans="1:7" ht="12.5">
      <c r="A709" s="16"/>
      <c r="B709" s="16"/>
      <c r="C709" s="16"/>
      <c r="D709" s="16"/>
      <c r="E709" s="16"/>
      <c r="F709" s="16"/>
      <c r="G709" s="16"/>
    </row>
    <row r="710" spans="1:7" ht="12.5">
      <c r="A710" s="16"/>
      <c r="B710" s="16"/>
      <c r="C710" s="16"/>
      <c r="D710" s="16"/>
      <c r="E710" s="16"/>
      <c r="F710" s="16"/>
      <c r="G710" s="16"/>
    </row>
    <row r="711" spans="1:7" ht="12.5">
      <c r="A711" s="16"/>
      <c r="B711" s="16"/>
      <c r="C711" s="16"/>
      <c r="D711" s="16"/>
      <c r="E711" s="16"/>
      <c r="F711" s="16"/>
      <c r="G711" s="16"/>
    </row>
    <row r="712" spans="1:7" ht="12.5">
      <c r="A712" s="16"/>
      <c r="B712" s="16"/>
      <c r="C712" s="16"/>
      <c r="D712" s="16"/>
      <c r="E712" s="16"/>
      <c r="F712" s="16"/>
      <c r="G712" s="16"/>
    </row>
    <row r="713" spans="1:7" ht="12.5">
      <c r="A713" s="16"/>
      <c r="B713" s="16"/>
      <c r="C713" s="16"/>
      <c r="D713" s="16"/>
      <c r="E713" s="16"/>
      <c r="F713" s="16"/>
      <c r="G713" s="16"/>
    </row>
    <row r="714" spans="1:7" ht="12.5">
      <c r="A714" s="16"/>
      <c r="B714" s="16"/>
      <c r="C714" s="16"/>
      <c r="D714" s="16"/>
      <c r="E714" s="16"/>
      <c r="F714" s="16"/>
      <c r="G714" s="16"/>
    </row>
    <row r="715" spans="1:7" ht="12.5">
      <c r="A715" s="16"/>
      <c r="B715" s="16"/>
      <c r="C715" s="16"/>
      <c r="D715" s="16"/>
      <c r="E715" s="16"/>
      <c r="F715" s="16"/>
      <c r="G715" s="16"/>
    </row>
    <row r="716" spans="1:7" ht="12.5">
      <c r="A716" s="16"/>
      <c r="B716" s="16"/>
      <c r="C716" s="16"/>
      <c r="D716" s="16"/>
      <c r="E716" s="16"/>
      <c r="F716" s="16"/>
      <c r="G716" s="16"/>
    </row>
    <row r="717" spans="1:7" ht="12.5">
      <c r="A717" s="16"/>
      <c r="B717" s="16"/>
      <c r="C717" s="16"/>
      <c r="D717" s="16"/>
      <c r="E717" s="16"/>
      <c r="F717" s="16"/>
      <c r="G717" s="16"/>
    </row>
    <row r="718" spans="1:7" ht="12.5">
      <c r="A718" s="16"/>
      <c r="B718" s="16"/>
      <c r="C718" s="16"/>
      <c r="D718" s="16"/>
      <c r="E718" s="16"/>
      <c r="F718" s="16"/>
      <c r="G718" s="16"/>
    </row>
    <row r="719" spans="1:7" ht="12.5">
      <c r="A719" s="16"/>
      <c r="B719" s="16"/>
      <c r="C719" s="16"/>
      <c r="D719" s="16"/>
      <c r="E719" s="16"/>
      <c r="F719" s="16"/>
      <c r="G719" s="16"/>
    </row>
    <row r="720" spans="1:7" ht="12.5">
      <c r="A720" s="16"/>
      <c r="B720" s="16"/>
      <c r="C720" s="16"/>
      <c r="D720" s="16"/>
      <c r="E720" s="16"/>
      <c r="F720" s="16"/>
      <c r="G720" s="16"/>
    </row>
    <row r="721" spans="1:7" ht="12.5">
      <c r="A721" s="16"/>
      <c r="B721" s="16"/>
      <c r="C721" s="16"/>
      <c r="D721" s="16"/>
      <c r="E721" s="16"/>
      <c r="F721" s="16"/>
      <c r="G721" s="16"/>
    </row>
    <row r="722" spans="1:7" ht="12.5">
      <c r="A722" s="16"/>
      <c r="B722" s="16"/>
      <c r="C722" s="16"/>
      <c r="D722" s="16"/>
      <c r="E722" s="16"/>
      <c r="F722" s="16"/>
      <c r="G722" s="16"/>
    </row>
    <row r="723" spans="1:7" ht="12.5">
      <c r="A723" s="16"/>
      <c r="B723" s="16"/>
      <c r="C723" s="16"/>
      <c r="D723" s="16"/>
      <c r="E723" s="16"/>
      <c r="F723" s="16"/>
      <c r="G723" s="16"/>
    </row>
    <row r="724" spans="1:7" ht="12.5">
      <c r="A724" s="16"/>
      <c r="B724" s="16"/>
      <c r="C724" s="16"/>
      <c r="D724" s="16"/>
      <c r="E724" s="16"/>
      <c r="F724" s="16"/>
      <c r="G724" s="16"/>
    </row>
    <row r="725" spans="1:7" ht="12.5">
      <c r="A725" s="16"/>
      <c r="B725" s="16"/>
      <c r="C725" s="16"/>
      <c r="D725" s="16"/>
      <c r="E725" s="16"/>
      <c r="F725" s="16"/>
      <c r="G725" s="16"/>
    </row>
    <row r="726" spans="1:7" ht="12.5">
      <c r="A726" s="16"/>
      <c r="B726" s="16"/>
      <c r="C726" s="16"/>
      <c r="D726" s="16"/>
      <c r="E726" s="16"/>
      <c r="F726" s="16"/>
      <c r="G726" s="16"/>
    </row>
    <row r="727" spans="1:7" ht="12.5">
      <c r="A727" s="16"/>
      <c r="B727" s="16"/>
      <c r="C727" s="16"/>
      <c r="D727" s="16"/>
      <c r="E727" s="16"/>
      <c r="F727" s="16"/>
      <c r="G727" s="16"/>
    </row>
    <row r="728" spans="1:7" ht="12.5">
      <c r="A728" s="16"/>
      <c r="B728" s="16"/>
      <c r="C728" s="16"/>
      <c r="D728" s="16"/>
      <c r="E728" s="16"/>
      <c r="F728" s="16"/>
      <c r="G728" s="16"/>
    </row>
    <row r="729" spans="1:7" ht="12.5">
      <c r="A729" s="16"/>
      <c r="B729" s="16"/>
      <c r="C729" s="16"/>
      <c r="D729" s="16"/>
      <c r="E729" s="16"/>
      <c r="F729" s="16"/>
      <c r="G729" s="16"/>
    </row>
    <row r="730" spans="1:7" ht="12.5">
      <c r="A730" s="16"/>
      <c r="B730" s="16"/>
      <c r="C730" s="16"/>
      <c r="D730" s="16"/>
      <c r="E730" s="16"/>
      <c r="F730" s="16"/>
      <c r="G730" s="16"/>
    </row>
    <row r="731" spans="1:7" ht="12.5">
      <c r="A731" s="16"/>
      <c r="B731" s="16"/>
      <c r="C731" s="16"/>
      <c r="D731" s="16"/>
      <c r="E731" s="16"/>
      <c r="F731" s="16"/>
      <c r="G731" s="16"/>
    </row>
    <row r="732" spans="1:7" ht="12.5">
      <c r="A732" s="16"/>
      <c r="B732" s="16"/>
      <c r="C732" s="16"/>
      <c r="D732" s="16"/>
      <c r="E732" s="16"/>
      <c r="F732" s="16"/>
      <c r="G732" s="16"/>
    </row>
    <row r="733" spans="1:7" ht="12.5">
      <c r="A733" s="16"/>
      <c r="B733" s="16"/>
      <c r="C733" s="16"/>
      <c r="D733" s="16"/>
      <c r="E733" s="16"/>
      <c r="F733" s="16"/>
      <c r="G733" s="16"/>
    </row>
    <row r="734" spans="1:7" ht="12.5">
      <c r="A734" s="16"/>
      <c r="B734" s="16"/>
      <c r="C734" s="16"/>
      <c r="D734" s="16"/>
      <c r="E734" s="16"/>
      <c r="F734" s="16"/>
      <c r="G734" s="16"/>
    </row>
    <row r="735" spans="1:7" ht="12.5">
      <c r="A735" s="16"/>
      <c r="B735" s="16"/>
      <c r="C735" s="16"/>
      <c r="D735" s="16"/>
      <c r="E735" s="16"/>
      <c r="F735" s="16"/>
      <c r="G735" s="16"/>
    </row>
    <row r="736" spans="1:7" ht="12.5">
      <c r="A736" s="16"/>
      <c r="B736" s="16"/>
      <c r="C736" s="16"/>
      <c r="D736" s="16"/>
      <c r="E736" s="16"/>
      <c r="F736" s="16"/>
      <c r="G736" s="16"/>
    </row>
    <row r="737" spans="1:7" ht="12.5">
      <c r="A737" s="16"/>
      <c r="B737" s="16"/>
      <c r="C737" s="16"/>
      <c r="D737" s="16"/>
      <c r="E737" s="16"/>
      <c r="F737" s="16"/>
      <c r="G737" s="16"/>
    </row>
    <row r="738" spans="1:7" ht="12.5">
      <c r="A738" s="16"/>
      <c r="B738" s="16"/>
      <c r="C738" s="16"/>
      <c r="D738" s="16"/>
      <c r="E738" s="16"/>
      <c r="F738" s="16"/>
      <c r="G738" s="16"/>
    </row>
    <row r="739" spans="1:7" ht="12.5">
      <c r="A739" s="16"/>
      <c r="B739" s="16"/>
      <c r="C739" s="16"/>
      <c r="D739" s="16"/>
      <c r="E739" s="16"/>
      <c r="F739" s="16"/>
      <c r="G739" s="16"/>
    </row>
    <row r="740" spans="1:7" ht="12.5">
      <c r="A740" s="16"/>
      <c r="B740" s="16"/>
      <c r="C740" s="16"/>
      <c r="D740" s="16"/>
      <c r="E740" s="16"/>
      <c r="F740" s="16"/>
      <c r="G740" s="16"/>
    </row>
    <row r="741" spans="1:7" ht="12.5">
      <c r="A741" s="16"/>
      <c r="B741" s="16"/>
      <c r="C741" s="16"/>
      <c r="D741" s="16"/>
      <c r="E741" s="16"/>
      <c r="F741" s="16"/>
      <c r="G741" s="16"/>
    </row>
    <row r="742" spans="1:7" ht="12.5">
      <c r="A742" s="16"/>
      <c r="B742" s="16"/>
      <c r="C742" s="16"/>
      <c r="D742" s="16"/>
      <c r="E742" s="16"/>
      <c r="F742" s="16"/>
      <c r="G742" s="16"/>
    </row>
    <row r="743" spans="1:7" ht="12.5">
      <c r="A743" s="16"/>
      <c r="B743" s="16"/>
      <c r="C743" s="16"/>
      <c r="D743" s="16"/>
      <c r="E743" s="16"/>
      <c r="F743" s="16"/>
      <c r="G743" s="16"/>
    </row>
    <row r="744" spans="1:7" ht="12.5">
      <c r="A744" s="16"/>
      <c r="B744" s="16"/>
      <c r="C744" s="16"/>
      <c r="D744" s="16"/>
      <c r="E744" s="16"/>
      <c r="F744" s="16"/>
      <c r="G744" s="16"/>
    </row>
    <row r="745" spans="1:7" ht="12.5">
      <c r="A745" s="16"/>
      <c r="B745" s="16"/>
      <c r="C745" s="16"/>
      <c r="D745" s="16"/>
      <c r="E745" s="16"/>
      <c r="F745" s="16"/>
      <c r="G745" s="16"/>
    </row>
    <row r="746" spans="1:7" ht="12.5">
      <c r="A746" s="16"/>
      <c r="B746" s="16"/>
      <c r="C746" s="16"/>
      <c r="D746" s="16"/>
      <c r="E746" s="16"/>
      <c r="F746" s="16"/>
      <c r="G746" s="16"/>
    </row>
    <row r="747" spans="1:7" ht="12.5">
      <c r="A747" s="16"/>
      <c r="B747" s="16"/>
      <c r="C747" s="16"/>
      <c r="D747" s="16"/>
      <c r="E747" s="16"/>
      <c r="F747" s="16"/>
      <c r="G747" s="16"/>
    </row>
    <row r="748" spans="1:7" ht="12.5">
      <c r="A748" s="16"/>
      <c r="B748" s="16"/>
      <c r="C748" s="16"/>
      <c r="D748" s="16"/>
      <c r="E748" s="16"/>
      <c r="F748" s="16"/>
      <c r="G748" s="16"/>
    </row>
    <row r="749" spans="1:7" ht="12.5">
      <c r="A749" s="16"/>
      <c r="B749" s="16"/>
      <c r="C749" s="16"/>
      <c r="D749" s="16"/>
      <c r="E749" s="16"/>
      <c r="F749" s="16"/>
      <c r="G749" s="16"/>
    </row>
    <row r="750" spans="1:7" ht="12.5">
      <c r="A750" s="16"/>
      <c r="B750" s="16"/>
      <c r="C750" s="16"/>
      <c r="D750" s="16"/>
      <c r="E750" s="16"/>
      <c r="F750" s="16"/>
      <c r="G750" s="16"/>
    </row>
    <row r="751" spans="1:7" ht="12.5">
      <c r="A751" s="16"/>
      <c r="B751" s="16"/>
      <c r="C751" s="16"/>
      <c r="D751" s="16"/>
      <c r="E751" s="16"/>
      <c r="F751" s="16"/>
      <c r="G751" s="16"/>
    </row>
    <row r="752" spans="1:7" ht="12.5">
      <c r="A752" s="16"/>
      <c r="B752" s="16"/>
      <c r="C752" s="16"/>
      <c r="D752" s="16"/>
      <c r="E752" s="16"/>
      <c r="F752" s="16"/>
      <c r="G752" s="16"/>
    </row>
    <row r="753" spans="1:7" ht="12.5">
      <c r="A753" s="16"/>
      <c r="B753" s="16"/>
      <c r="C753" s="16"/>
      <c r="D753" s="16"/>
      <c r="E753" s="16"/>
      <c r="F753" s="16"/>
      <c r="G753" s="16"/>
    </row>
    <row r="754" spans="1:7" ht="12.5">
      <c r="A754" s="16"/>
      <c r="B754" s="16"/>
      <c r="C754" s="16"/>
      <c r="D754" s="16"/>
      <c r="E754" s="16"/>
      <c r="F754" s="16"/>
      <c r="G754" s="16"/>
    </row>
    <row r="755" spans="1:7" ht="12.5">
      <c r="A755" s="16"/>
      <c r="B755" s="16"/>
      <c r="C755" s="16"/>
      <c r="D755" s="16"/>
      <c r="E755" s="16"/>
      <c r="F755" s="16"/>
      <c r="G755" s="16"/>
    </row>
    <row r="756" spans="1:7" ht="12.5">
      <c r="A756" s="16"/>
      <c r="B756" s="16"/>
      <c r="C756" s="16"/>
      <c r="D756" s="16"/>
      <c r="E756" s="16"/>
      <c r="F756" s="16"/>
      <c r="G756" s="16"/>
    </row>
    <row r="757" spans="1:7" ht="12.5">
      <c r="A757" s="16"/>
      <c r="B757" s="16"/>
      <c r="C757" s="16"/>
      <c r="D757" s="16"/>
      <c r="E757" s="16"/>
      <c r="F757" s="16"/>
      <c r="G757" s="16"/>
    </row>
    <row r="758" spans="1:7" ht="12.5">
      <c r="A758" s="16"/>
      <c r="B758" s="16"/>
      <c r="C758" s="16"/>
      <c r="D758" s="16"/>
      <c r="E758" s="16"/>
      <c r="F758" s="16"/>
      <c r="G758" s="16"/>
    </row>
    <row r="759" spans="1:7" ht="12.5">
      <c r="A759" s="16"/>
      <c r="B759" s="16"/>
      <c r="C759" s="16"/>
      <c r="D759" s="16"/>
      <c r="E759" s="16"/>
      <c r="F759" s="16"/>
      <c r="G759" s="16"/>
    </row>
    <row r="760" spans="1:7" ht="12.5">
      <c r="A760" s="16"/>
      <c r="B760" s="16"/>
      <c r="C760" s="16"/>
      <c r="D760" s="16"/>
      <c r="E760" s="16"/>
      <c r="F760" s="16"/>
      <c r="G760" s="16"/>
    </row>
    <row r="761" spans="1:7" ht="12.5">
      <c r="A761" s="16"/>
      <c r="B761" s="16"/>
      <c r="C761" s="16"/>
      <c r="D761" s="16"/>
      <c r="E761" s="16"/>
      <c r="F761" s="16"/>
      <c r="G761" s="16"/>
    </row>
    <row r="762" spans="1:7" ht="12.5">
      <c r="A762" s="16"/>
      <c r="B762" s="16"/>
      <c r="C762" s="16"/>
      <c r="D762" s="16"/>
      <c r="E762" s="16"/>
      <c r="F762" s="16"/>
      <c r="G762" s="16"/>
    </row>
    <row r="763" spans="1:7" ht="12.5">
      <c r="A763" s="16"/>
      <c r="B763" s="16"/>
      <c r="C763" s="16"/>
      <c r="D763" s="16"/>
      <c r="E763" s="16"/>
      <c r="F763" s="16"/>
      <c r="G763" s="16"/>
    </row>
    <row r="764" spans="1:7" ht="12.5">
      <c r="A764" s="16"/>
      <c r="B764" s="16"/>
      <c r="C764" s="16"/>
      <c r="D764" s="16"/>
      <c r="E764" s="16"/>
      <c r="F764" s="16"/>
      <c r="G764" s="16"/>
    </row>
    <row r="765" spans="1:7" ht="12.5">
      <c r="A765" s="16"/>
      <c r="B765" s="16"/>
      <c r="C765" s="16"/>
      <c r="D765" s="16"/>
      <c r="E765" s="16"/>
      <c r="F765" s="16"/>
      <c r="G765" s="16"/>
    </row>
    <row r="766" spans="1:7" ht="12.5">
      <c r="A766" s="16"/>
      <c r="B766" s="16"/>
      <c r="C766" s="16"/>
      <c r="D766" s="16"/>
      <c r="E766" s="16"/>
      <c r="F766" s="16"/>
      <c r="G766" s="16"/>
    </row>
    <row r="767" spans="1:7" ht="12.5">
      <c r="A767" s="16"/>
      <c r="B767" s="16"/>
      <c r="C767" s="16"/>
      <c r="D767" s="16"/>
      <c r="E767" s="16"/>
      <c r="F767" s="16"/>
      <c r="G767" s="16"/>
    </row>
    <row r="768" spans="1:7" ht="12.5">
      <c r="A768" s="16"/>
      <c r="B768" s="16"/>
      <c r="C768" s="16"/>
      <c r="D768" s="16"/>
      <c r="E768" s="16"/>
      <c r="F768" s="16"/>
      <c r="G768" s="16"/>
    </row>
    <row r="769" spans="1:7" ht="12.5">
      <c r="A769" s="16"/>
      <c r="B769" s="16"/>
      <c r="C769" s="16"/>
      <c r="D769" s="16"/>
      <c r="E769" s="16"/>
      <c r="F769" s="16"/>
      <c r="G769" s="16"/>
    </row>
    <row r="770" spans="1:7" ht="12.5">
      <c r="A770" s="16"/>
      <c r="B770" s="16"/>
      <c r="C770" s="16"/>
      <c r="D770" s="16"/>
      <c r="E770" s="16"/>
      <c r="F770" s="16"/>
      <c r="G770" s="16"/>
    </row>
    <row r="771" spans="1:7" ht="12.5">
      <c r="A771" s="16"/>
      <c r="B771" s="16"/>
      <c r="C771" s="16"/>
      <c r="D771" s="16"/>
      <c r="E771" s="16"/>
      <c r="F771" s="16"/>
      <c r="G771" s="16"/>
    </row>
    <row r="772" spans="1:7" ht="12.5">
      <c r="A772" s="16"/>
      <c r="B772" s="16"/>
      <c r="C772" s="16"/>
      <c r="D772" s="16"/>
      <c r="E772" s="16"/>
      <c r="F772" s="16"/>
      <c r="G772" s="16"/>
    </row>
    <row r="773" spans="1:7" ht="12.5">
      <c r="A773" s="16"/>
      <c r="B773" s="16"/>
      <c r="C773" s="16"/>
      <c r="D773" s="16"/>
      <c r="E773" s="16"/>
      <c r="F773" s="16"/>
      <c r="G773" s="16"/>
    </row>
    <row r="774" spans="1:7" ht="12.5">
      <c r="A774" s="16"/>
      <c r="B774" s="16"/>
      <c r="C774" s="16"/>
      <c r="D774" s="16"/>
      <c r="E774" s="16"/>
      <c r="F774" s="16"/>
      <c r="G774" s="16"/>
    </row>
    <row r="775" spans="1:7" ht="12.5">
      <c r="A775" s="16"/>
      <c r="B775" s="16"/>
      <c r="C775" s="16"/>
      <c r="D775" s="16"/>
      <c r="E775" s="16"/>
      <c r="F775" s="16"/>
      <c r="G775" s="16"/>
    </row>
    <row r="776" spans="1:7" ht="12.5">
      <c r="A776" s="16"/>
      <c r="B776" s="16"/>
      <c r="C776" s="16"/>
      <c r="D776" s="16"/>
      <c r="E776" s="16"/>
      <c r="F776" s="16"/>
      <c r="G776" s="16"/>
    </row>
    <row r="777" spans="1:7" ht="12.5">
      <c r="A777" s="16"/>
      <c r="B777" s="16"/>
      <c r="C777" s="16"/>
      <c r="D777" s="16"/>
      <c r="E777" s="16"/>
      <c r="F777" s="16"/>
      <c r="G777" s="16"/>
    </row>
    <row r="778" spans="1:7" ht="12.5">
      <c r="A778" s="16"/>
      <c r="B778" s="16"/>
      <c r="C778" s="16"/>
      <c r="D778" s="16"/>
      <c r="E778" s="16"/>
      <c r="F778" s="16"/>
      <c r="G778" s="16"/>
    </row>
    <row r="779" spans="1:7" ht="12.5">
      <c r="A779" s="16"/>
      <c r="B779" s="16"/>
      <c r="C779" s="16"/>
      <c r="D779" s="16"/>
      <c r="E779" s="16"/>
      <c r="F779" s="16"/>
      <c r="G779" s="16"/>
    </row>
    <row r="780" spans="1:7" ht="12.5">
      <c r="A780" s="16"/>
      <c r="B780" s="16"/>
      <c r="C780" s="16"/>
      <c r="D780" s="16"/>
      <c r="E780" s="16"/>
      <c r="F780" s="16"/>
      <c r="G780" s="16"/>
    </row>
    <row r="781" spans="1:7" ht="12.5">
      <c r="A781" s="16"/>
      <c r="B781" s="16"/>
      <c r="C781" s="16"/>
      <c r="D781" s="16"/>
      <c r="E781" s="16"/>
      <c r="F781" s="16"/>
      <c r="G781" s="16"/>
    </row>
    <row r="782" spans="1:7" ht="12.5">
      <c r="A782" s="16"/>
      <c r="B782" s="16"/>
      <c r="C782" s="16"/>
      <c r="D782" s="16"/>
      <c r="E782" s="16"/>
      <c r="F782" s="16"/>
      <c r="G782" s="16"/>
    </row>
    <row r="783" spans="1:7" ht="12.5">
      <c r="A783" s="16"/>
      <c r="B783" s="16"/>
      <c r="C783" s="16"/>
      <c r="D783" s="16"/>
      <c r="E783" s="16"/>
      <c r="F783" s="16"/>
      <c r="G783" s="16"/>
    </row>
    <row r="784" spans="1:7" ht="12.5">
      <c r="A784" s="16"/>
      <c r="B784" s="16"/>
      <c r="C784" s="16"/>
      <c r="D784" s="16"/>
      <c r="E784" s="16"/>
      <c r="F784" s="16"/>
      <c r="G784" s="16"/>
    </row>
    <row r="785" spans="1:7" ht="12.5">
      <c r="A785" s="16"/>
      <c r="B785" s="16"/>
      <c r="C785" s="16"/>
      <c r="D785" s="16"/>
      <c r="E785" s="16"/>
      <c r="F785" s="16"/>
      <c r="G785" s="16"/>
    </row>
    <row r="786" spans="1:7" ht="12.5">
      <c r="A786" s="16"/>
      <c r="B786" s="16"/>
      <c r="C786" s="16"/>
      <c r="D786" s="16"/>
      <c r="E786" s="16"/>
      <c r="F786" s="16"/>
      <c r="G786" s="16"/>
    </row>
    <row r="787" spans="1:7" ht="12.5">
      <c r="A787" s="16"/>
      <c r="B787" s="16"/>
      <c r="C787" s="16"/>
      <c r="D787" s="16"/>
      <c r="E787" s="16"/>
      <c r="F787" s="16"/>
      <c r="G787" s="16"/>
    </row>
    <row r="788" spans="1:7" ht="12.5">
      <c r="A788" s="16"/>
      <c r="B788" s="16"/>
      <c r="C788" s="16"/>
      <c r="D788" s="16"/>
      <c r="E788" s="16"/>
      <c r="F788" s="16"/>
      <c r="G788" s="16"/>
    </row>
    <row r="789" spans="1:7" ht="12.5">
      <c r="A789" s="16"/>
      <c r="B789" s="16"/>
      <c r="C789" s="16"/>
      <c r="D789" s="16"/>
      <c r="E789" s="16"/>
      <c r="F789" s="16"/>
      <c r="G789" s="16"/>
    </row>
    <row r="790" spans="1:7" ht="12.5">
      <c r="A790" s="16"/>
      <c r="B790" s="16"/>
      <c r="C790" s="16"/>
      <c r="D790" s="16"/>
      <c r="E790" s="16"/>
      <c r="F790" s="16"/>
      <c r="G790" s="16"/>
    </row>
    <row r="791" spans="1:7" ht="12.5">
      <c r="A791" s="16"/>
      <c r="B791" s="16"/>
      <c r="C791" s="16"/>
      <c r="D791" s="16"/>
      <c r="E791" s="16"/>
      <c r="F791" s="16"/>
      <c r="G791" s="16"/>
    </row>
    <row r="792" spans="1:7" ht="12.5">
      <c r="A792" s="16"/>
      <c r="B792" s="16"/>
      <c r="C792" s="16"/>
      <c r="D792" s="16"/>
      <c r="E792" s="16"/>
      <c r="F792" s="16"/>
      <c r="G792" s="16"/>
    </row>
    <row r="793" spans="1:7" ht="12.5">
      <c r="A793" s="16"/>
      <c r="B793" s="16"/>
      <c r="C793" s="16"/>
      <c r="D793" s="16"/>
      <c r="E793" s="16"/>
      <c r="F793" s="16"/>
      <c r="G793" s="16"/>
    </row>
    <row r="794" spans="1:7" ht="12.5">
      <c r="A794" s="16"/>
      <c r="B794" s="16"/>
      <c r="C794" s="16"/>
      <c r="D794" s="16"/>
      <c r="E794" s="16"/>
      <c r="F794" s="16"/>
      <c r="G794" s="16"/>
    </row>
    <row r="795" spans="1:7" ht="12.5">
      <c r="A795" s="16"/>
      <c r="B795" s="16"/>
      <c r="C795" s="16"/>
      <c r="D795" s="16"/>
      <c r="E795" s="16"/>
      <c r="F795" s="16"/>
      <c r="G795" s="16"/>
    </row>
    <row r="796" spans="1:7" ht="12.5">
      <c r="A796" s="16"/>
      <c r="B796" s="16"/>
      <c r="C796" s="16"/>
      <c r="D796" s="16"/>
      <c r="E796" s="16"/>
      <c r="F796" s="16"/>
      <c r="G796" s="16"/>
    </row>
    <row r="797" spans="1:7" ht="12.5">
      <c r="A797" s="16"/>
      <c r="B797" s="16"/>
      <c r="C797" s="16"/>
      <c r="D797" s="16"/>
      <c r="E797" s="16"/>
      <c r="F797" s="16"/>
      <c r="G797" s="16"/>
    </row>
    <row r="798" spans="1:7" ht="12.5">
      <c r="A798" s="16"/>
      <c r="B798" s="16"/>
      <c r="C798" s="16"/>
      <c r="D798" s="16"/>
      <c r="E798" s="16"/>
      <c r="F798" s="16"/>
      <c r="G798" s="16"/>
    </row>
    <row r="799" spans="1:7" ht="12.5">
      <c r="A799" s="16"/>
      <c r="B799" s="16"/>
      <c r="C799" s="16"/>
      <c r="D799" s="16"/>
      <c r="E799" s="16"/>
      <c r="F799" s="16"/>
      <c r="G799" s="16"/>
    </row>
    <row r="800" spans="1:7" ht="12.5">
      <c r="A800" s="16"/>
      <c r="B800" s="16"/>
      <c r="C800" s="16"/>
      <c r="D800" s="16"/>
      <c r="E800" s="16"/>
      <c r="F800" s="16"/>
      <c r="G800" s="16"/>
    </row>
    <row r="801" spans="1:7" ht="12.5">
      <c r="A801" s="16"/>
      <c r="B801" s="16"/>
      <c r="C801" s="16"/>
      <c r="D801" s="16"/>
      <c r="E801" s="16"/>
      <c r="F801" s="16"/>
      <c r="G801" s="16"/>
    </row>
    <row r="802" spans="1:7" ht="12.5">
      <c r="A802" s="16"/>
      <c r="B802" s="16"/>
      <c r="C802" s="16"/>
      <c r="D802" s="16"/>
      <c r="E802" s="16"/>
      <c r="F802" s="16"/>
      <c r="G802" s="16"/>
    </row>
    <row r="803" spans="1:7" ht="12.5">
      <c r="A803" s="16"/>
      <c r="B803" s="16"/>
      <c r="C803" s="16"/>
      <c r="D803" s="16"/>
      <c r="E803" s="16"/>
      <c r="F803" s="16"/>
      <c r="G803" s="16"/>
    </row>
    <row r="804" spans="1:7" ht="12.5">
      <c r="A804" s="16"/>
      <c r="B804" s="16"/>
      <c r="C804" s="16"/>
      <c r="D804" s="16"/>
      <c r="E804" s="16"/>
      <c r="F804" s="16"/>
      <c r="G804" s="16"/>
    </row>
    <row r="805" spans="1:7" ht="12.5">
      <c r="A805" s="16"/>
      <c r="B805" s="16"/>
      <c r="C805" s="16"/>
      <c r="D805" s="16"/>
      <c r="E805" s="16"/>
      <c r="F805" s="16"/>
      <c r="G805" s="16"/>
    </row>
    <row r="806" spans="1:7" ht="12.5">
      <c r="A806" s="16"/>
      <c r="B806" s="16"/>
      <c r="C806" s="16"/>
      <c r="D806" s="16"/>
      <c r="E806" s="16"/>
      <c r="F806" s="16"/>
      <c r="G806" s="16"/>
    </row>
    <row r="807" spans="1:7" ht="12.5">
      <c r="A807" s="16"/>
      <c r="B807" s="16"/>
      <c r="C807" s="16"/>
      <c r="D807" s="16"/>
      <c r="E807" s="16"/>
      <c r="F807" s="16"/>
      <c r="G807" s="16"/>
    </row>
    <row r="808" spans="1:7" ht="12.5">
      <c r="A808" s="16"/>
      <c r="B808" s="16"/>
      <c r="C808" s="16"/>
      <c r="D808" s="16"/>
      <c r="E808" s="16"/>
      <c r="F808" s="16"/>
      <c r="G808" s="16"/>
    </row>
    <row r="809" spans="1:7" ht="12.5">
      <c r="A809" s="16"/>
      <c r="B809" s="16"/>
      <c r="C809" s="16"/>
      <c r="D809" s="16"/>
      <c r="E809" s="16"/>
      <c r="F809" s="16"/>
      <c r="G809" s="16"/>
    </row>
    <row r="810" spans="1:7" ht="12.5">
      <c r="A810" s="16"/>
      <c r="B810" s="16"/>
      <c r="C810" s="16"/>
      <c r="D810" s="16"/>
      <c r="E810" s="16"/>
      <c r="F810" s="16"/>
      <c r="G810" s="16"/>
    </row>
    <row r="811" spans="1:7" ht="12.5">
      <c r="A811" s="16"/>
      <c r="B811" s="16"/>
      <c r="C811" s="16"/>
      <c r="D811" s="16"/>
      <c r="E811" s="16"/>
      <c r="F811" s="16"/>
      <c r="G811" s="16"/>
    </row>
    <row r="812" spans="1:7" ht="12.5">
      <c r="A812" s="16"/>
      <c r="B812" s="16"/>
      <c r="C812" s="16"/>
      <c r="D812" s="16"/>
      <c r="E812" s="16"/>
      <c r="F812" s="16"/>
      <c r="G812" s="16"/>
    </row>
    <row r="813" spans="1:7" ht="12.5">
      <c r="A813" s="16"/>
      <c r="B813" s="16"/>
      <c r="C813" s="16"/>
      <c r="D813" s="16"/>
      <c r="E813" s="16"/>
      <c r="F813" s="16"/>
      <c r="G813" s="16"/>
    </row>
    <row r="814" spans="1:7" ht="12.5">
      <c r="A814" s="16"/>
      <c r="B814" s="16"/>
      <c r="C814" s="16"/>
      <c r="D814" s="16"/>
      <c r="E814" s="16"/>
      <c r="F814" s="16"/>
      <c r="G814" s="16"/>
    </row>
    <row r="815" spans="1:7" ht="12.5">
      <c r="A815" s="16"/>
      <c r="B815" s="16"/>
      <c r="C815" s="16"/>
      <c r="D815" s="16"/>
      <c r="E815" s="16"/>
      <c r="F815" s="16"/>
      <c r="G815" s="16"/>
    </row>
    <row r="816" spans="1:7" ht="12.5">
      <c r="A816" s="16"/>
      <c r="B816" s="16"/>
      <c r="C816" s="16"/>
      <c r="D816" s="16"/>
      <c r="E816" s="16"/>
      <c r="F816" s="16"/>
      <c r="G816" s="16"/>
    </row>
    <row r="817" spans="1:7" ht="12.5">
      <c r="A817" s="16"/>
      <c r="B817" s="16"/>
      <c r="C817" s="16"/>
      <c r="D817" s="16"/>
      <c r="E817" s="16"/>
      <c r="F817" s="16"/>
      <c r="G817" s="16"/>
    </row>
    <row r="818" spans="1:7" ht="12.5">
      <c r="A818" s="16"/>
      <c r="B818" s="16"/>
      <c r="C818" s="16"/>
      <c r="D818" s="16"/>
      <c r="E818" s="16"/>
      <c r="F818" s="16"/>
      <c r="G818" s="16"/>
    </row>
    <row r="819" spans="1:7" ht="12.5">
      <c r="A819" s="16"/>
      <c r="B819" s="16"/>
      <c r="C819" s="16"/>
      <c r="D819" s="16"/>
      <c r="E819" s="16"/>
      <c r="F819" s="16"/>
      <c r="G819" s="16"/>
    </row>
    <row r="820" spans="1:7" ht="12.5">
      <c r="A820" s="16"/>
      <c r="B820" s="16"/>
      <c r="C820" s="16"/>
      <c r="D820" s="16"/>
      <c r="E820" s="16"/>
      <c r="F820" s="16"/>
      <c r="G820" s="16"/>
    </row>
    <row r="821" spans="1:7" ht="12.5">
      <c r="A821" s="16"/>
      <c r="B821" s="16"/>
      <c r="C821" s="16"/>
      <c r="D821" s="16"/>
      <c r="E821" s="16"/>
      <c r="F821" s="16"/>
      <c r="G821" s="16"/>
    </row>
    <row r="822" spans="1:7" ht="12.5">
      <c r="A822" s="16"/>
      <c r="B822" s="16"/>
      <c r="C822" s="16"/>
      <c r="D822" s="16"/>
      <c r="E822" s="16"/>
      <c r="F822" s="16"/>
      <c r="G822" s="16"/>
    </row>
    <row r="823" spans="1:7" ht="12.5">
      <c r="A823" s="16"/>
      <c r="B823" s="16"/>
      <c r="C823" s="16"/>
      <c r="D823" s="16"/>
      <c r="E823" s="16"/>
      <c r="F823" s="16"/>
      <c r="G823" s="16"/>
    </row>
    <row r="824" spans="1:7" ht="12.5">
      <c r="A824" s="16"/>
      <c r="B824" s="16"/>
      <c r="C824" s="16"/>
      <c r="D824" s="16"/>
      <c r="E824" s="16"/>
      <c r="F824" s="16"/>
      <c r="G824" s="16"/>
    </row>
    <row r="825" spans="1:7" ht="12.5">
      <c r="A825" s="16"/>
      <c r="B825" s="16"/>
      <c r="C825" s="16"/>
      <c r="D825" s="16"/>
      <c r="E825" s="16"/>
      <c r="F825" s="16"/>
      <c r="G825" s="16"/>
    </row>
    <row r="826" spans="1:7" ht="12.5">
      <c r="A826" s="16"/>
      <c r="B826" s="16"/>
      <c r="C826" s="16"/>
      <c r="D826" s="16"/>
      <c r="E826" s="16"/>
      <c r="F826" s="16"/>
      <c r="G826" s="16"/>
    </row>
    <row r="827" spans="1:7" ht="12.5">
      <c r="A827" s="16"/>
      <c r="B827" s="16"/>
      <c r="C827" s="16"/>
      <c r="D827" s="16"/>
      <c r="E827" s="16"/>
      <c r="F827" s="16"/>
      <c r="G827" s="16"/>
    </row>
    <row r="828" spans="1:7" ht="12.5">
      <c r="A828" s="16"/>
      <c r="B828" s="16"/>
      <c r="C828" s="16"/>
      <c r="D828" s="16"/>
      <c r="E828" s="16"/>
      <c r="F828" s="16"/>
      <c r="G828" s="16"/>
    </row>
    <row r="829" spans="1:7" ht="12.5">
      <c r="A829" s="16"/>
      <c r="B829" s="16"/>
      <c r="C829" s="16"/>
      <c r="D829" s="16"/>
      <c r="E829" s="16"/>
      <c r="F829" s="16"/>
      <c r="G829" s="16"/>
    </row>
    <row r="830" spans="1:7" ht="12.5">
      <c r="A830" s="16"/>
      <c r="B830" s="16"/>
      <c r="C830" s="16"/>
      <c r="D830" s="16"/>
      <c r="E830" s="16"/>
      <c r="F830" s="16"/>
      <c r="G830" s="16"/>
    </row>
    <row r="831" spans="1:7" ht="12.5">
      <c r="A831" s="16"/>
      <c r="B831" s="16"/>
      <c r="C831" s="16"/>
      <c r="D831" s="16"/>
      <c r="E831" s="16"/>
      <c r="F831" s="16"/>
      <c r="G831" s="16"/>
    </row>
    <row r="832" spans="1:7" ht="12.5">
      <c r="A832" s="16"/>
      <c r="B832" s="16"/>
      <c r="C832" s="16"/>
      <c r="D832" s="16"/>
      <c r="E832" s="16"/>
      <c r="F832" s="16"/>
      <c r="G832" s="16"/>
    </row>
    <row r="833" spans="1:7" ht="12.5">
      <c r="A833" s="16"/>
      <c r="B833" s="16"/>
      <c r="C833" s="16"/>
      <c r="D833" s="16"/>
      <c r="E833" s="16"/>
      <c r="F833" s="16"/>
      <c r="G833" s="16"/>
    </row>
    <row r="834" spans="1:7" ht="12.5">
      <c r="A834" s="16"/>
      <c r="B834" s="16"/>
      <c r="C834" s="16"/>
      <c r="D834" s="16"/>
      <c r="E834" s="16"/>
      <c r="F834" s="16"/>
      <c r="G834" s="16"/>
    </row>
    <row r="835" spans="1:7" ht="12.5">
      <c r="A835" s="16"/>
      <c r="B835" s="16"/>
      <c r="C835" s="16"/>
      <c r="D835" s="16"/>
      <c r="E835" s="16"/>
      <c r="F835" s="16"/>
      <c r="G835" s="16"/>
    </row>
    <row r="836" spans="1:7" ht="12.5">
      <c r="A836" s="16"/>
      <c r="B836" s="16"/>
      <c r="C836" s="16"/>
      <c r="D836" s="16"/>
      <c r="E836" s="16"/>
      <c r="F836" s="16"/>
      <c r="G836" s="16"/>
    </row>
    <row r="837" spans="1:7" ht="12.5">
      <c r="A837" s="16"/>
      <c r="B837" s="16"/>
      <c r="C837" s="16"/>
      <c r="D837" s="16"/>
      <c r="E837" s="16"/>
      <c r="F837" s="16"/>
      <c r="G837" s="16"/>
    </row>
    <row r="838" spans="1:7" ht="12.5">
      <c r="A838" s="16"/>
      <c r="B838" s="16"/>
      <c r="C838" s="16"/>
      <c r="D838" s="16"/>
      <c r="E838" s="16"/>
      <c r="F838" s="16"/>
      <c r="G838" s="16"/>
    </row>
    <row r="839" spans="1:7" ht="12.5">
      <c r="A839" s="16"/>
      <c r="B839" s="16"/>
      <c r="C839" s="16"/>
      <c r="D839" s="16"/>
      <c r="E839" s="16"/>
      <c r="F839" s="16"/>
      <c r="G839" s="16"/>
    </row>
    <row r="840" spans="1:7" ht="12.5">
      <c r="A840" s="16"/>
      <c r="B840" s="16"/>
      <c r="C840" s="16"/>
      <c r="D840" s="16"/>
      <c r="E840" s="16"/>
      <c r="F840" s="16"/>
      <c r="G840" s="16"/>
    </row>
    <row r="841" spans="1:7" ht="12.5">
      <c r="A841" s="16"/>
      <c r="B841" s="16"/>
      <c r="C841" s="16"/>
      <c r="D841" s="16"/>
      <c r="E841" s="16"/>
      <c r="F841" s="16"/>
      <c r="G841" s="16"/>
    </row>
    <row r="842" spans="1:7" ht="12.5">
      <c r="A842" s="16"/>
      <c r="B842" s="16"/>
      <c r="C842" s="16"/>
      <c r="D842" s="16"/>
      <c r="E842" s="16"/>
      <c r="F842" s="16"/>
      <c r="G842" s="16"/>
    </row>
    <row r="843" spans="1:7" ht="12.5">
      <c r="A843" s="16"/>
      <c r="B843" s="16"/>
      <c r="C843" s="16"/>
      <c r="D843" s="16"/>
      <c r="E843" s="16"/>
      <c r="F843" s="16"/>
      <c r="G843" s="16"/>
    </row>
    <row r="844" spans="1:7" ht="12.5">
      <c r="A844" s="16"/>
      <c r="B844" s="16"/>
      <c r="C844" s="16"/>
      <c r="D844" s="16"/>
      <c r="E844" s="16"/>
      <c r="F844" s="16"/>
      <c r="G844" s="16"/>
    </row>
    <row r="845" spans="1:7" ht="12.5">
      <c r="A845" s="16"/>
      <c r="B845" s="16"/>
      <c r="C845" s="16"/>
      <c r="D845" s="16"/>
      <c r="E845" s="16"/>
      <c r="F845" s="16"/>
      <c r="G845" s="16"/>
    </row>
    <row r="846" spans="1:7" ht="12.5">
      <c r="A846" s="16"/>
      <c r="B846" s="16"/>
      <c r="C846" s="16"/>
      <c r="D846" s="16"/>
      <c r="E846" s="16"/>
      <c r="F846" s="16"/>
      <c r="G846" s="16"/>
    </row>
    <row r="847" spans="1:7" ht="12.5">
      <c r="A847" s="16"/>
      <c r="B847" s="16"/>
      <c r="C847" s="16"/>
      <c r="D847" s="16"/>
      <c r="E847" s="16"/>
      <c r="F847" s="16"/>
      <c r="G847" s="16"/>
    </row>
    <row r="848" spans="1:7" ht="12.5">
      <c r="A848" s="16"/>
      <c r="B848" s="16"/>
      <c r="C848" s="16"/>
      <c r="D848" s="16"/>
      <c r="E848" s="16"/>
      <c r="F848" s="16"/>
      <c r="G848" s="16"/>
    </row>
    <row r="849" spans="1:7" ht="12.5">
      <c r="A849" s="16"/>
      <c r="B849" s="16"/>
      <c r="C849" s="16"/>
      <c r="D849" s="16"/>
      <c r="E849" s="16"/>
      <c r="F849" s="16"/>
      <c r="G849" s="16"/>
    </row>
    <row r="850" spans="1:7" ht="12.5">
      <c r="A850" s="16"/>
      <c r="B850" s="16"/>
      <c r="C850" s="16"/>
      <c r="D850" s="16"/>
      <c r="E850" s="16"/>
      <c r="F850" s="16"/>
      <c r="G850" s="16"/>
    </row>
    <row r="851" spans="1:7" ht="12.5">
      <c r="A851" s="16"/>
      <c r="B851" s="16"/>
      <c r="C851" s="16"/>
      <c r="D851" s="16"/>
      <c r="E851" s="16"/>
      <c r="F851" s="16"/>
      <c r="G851" s="16"/>
    </row>
    <row r="852" spans="1:7" ht="12.5">
      <c r="A852" s="16"/>
      <c r="B852" s="16"/>
      <c r="C852" s="16"/>
      <c r="D852" s="16"/>
      <c r="E852" s="16"/>
      <c r="F852" s="16"/>
      <c r="G852" s="16"/>
    </row>
    <row r="853" spans="1:7" ht="12.5">
      <c r="A853" s="16"/>
      <c r="B853" s="16"/>
      <c r="C853" s="16"/>
      <c r="D853" s="16"/>
      <c r="E853" s="16"/>
      <c r="F853" s="16"/>
      <c r="G853" s="16"/>
    </row>
    <row r="854" spans="1:7" ht="12.5">
      <c r="A854" s="16"/>
      <c r="B854" s="16"/>
      <c r="C854" s="16"/>
      <c r="D854" s="16"/>
      <c r="E854" s="16"/>
      <c r="F854" s="16"/>
      <c r="G854" s="16"/>
    </row>
    <row r="855" spans="1:7" ht="12.5">
      <c r="A855" s="16"/>
      <c r="B855" s="16"/>
      <c r="C855" s="16"/>
      <c r="D855" s="16"/>
      <c r="E855" s="16"/>
      <c r="F855" s="16"/>
      <c r="G855" s="16"/>
    </row>
    <row r="856" spans="1:7" ht="12.5">
      <c r="A856" s="16"/>
      <c r="B856" s="16"/>
      <c r="C856" s="16"/>
      <c r="D856" s="16"/>
      <c r="E856" s="16"/>
      <c r="F856" s="16"/>
      <c r="G856" s="16"/>
    </row>
    <row r="857" spans="1:7" ht="12.5">
      <c r="A857" s="16"/>
      <c r="B857" s="16"/>
      <c r="C857" s="16"/>
      <c r="D857" s="16"/>
      <c r="E857" s="16"/>
      <c r="F857" s="16"/>
      <c r="G857" s="16"/>
    </row>
    <row r="858" spans="1:7" ht="12.5">
      <c r="A858" s="16"/>
      <c r="B858" s="16"/>
      <c r="C858" s="16"/>
      <c r="D858" s="16"/>
      <c r="E858" s="16"/>
      <c r="F858" s="16"/>
      <c r="G858" s="16"/>
    </row>
    <row r="859" spans="1:7" ht="12.5">
      <c r="A859" s="16"/>
      <c r="B859" s="16"/>
      <c r="C859" s="16"/>
      <c r="D859" s="16"/>
      <c r="E859" s="16"/>
      <c r="F859" s="16"/>
      <c r="G859" s="16"/>
    </row>
    <row r="860" spans="1:7" ht="12.5">
      <c r="A860" s="16"/>
      <c r="B860" s="16"/>
      <c r="C860" s="16"/>
      <c r="D860" s="16"/>
      <c r="E860" s="16"/>
      <c r="F860" s="16"/>
      <c r="G860" s="16"/>
    </row>
    <row r="861" spans="1:7" ht="12.5">
      <c r="A861" s="16"/>
      <c r="B861" s="16"/>
      <c r="C861" s="16"/>
      <c r="D861" s="16"/>
      <c r="E861" s="16"/>
      <c r="F861" s="16"/>
      <c r="G861" s="16"/>
    </row>
    <row r="862" spans="1:7" ht="12.5">
      <c r="A862" s="16"/>
      <c r="B862" s="16"/>
      <c r="C862" s="16"/>
      <c r="D862" s="16"/>
      <c r="E862" s="16"/>
      <c r="F862" s="16"/>
      <c r="G862" s="16"/>
    </row>
    <row r="863" spans="1:7" ht="12.5">
      <c r="A863" s="16"/>
      <c r="B863" s="16"/>
      <c r="C863" s="16"/>
      <c r="D863" s="16"/>
      <c r="E863" s="16"/>
      <c r="F863" s="16"/>
      <c r="G863" s="16"/>
    </row>
    <row r="864" spans="1:7" ht="12.5">
      <c r="A864" s="16"/>
      <c r="B864" s="16"/>
      <c r="C864" s="16"/>
      <c r="D864" s="16"/>
      <c r="E864" s="16"/>
      <c r="F864" s="16"/>
      <c r="G864" s="16"/>
    </row>
    <row r="865" spans="1:7" ht="12.5">
      <c r="A865" s="16"/>
      <c r="B865" s="16"/>
      <c r="C865" s="16"/>
      <c r="D865" s="16"/>
      <c r="E865" s="16"/>
      <c r="F865" s="16"/>
      <c r="G865" s="16"/>
    </row>
    <row r="866" spans="1:7" ht="12.5">
      <c r="A866" s="16"/>
      <c r="B866" s="16"/>
      <c r="C866" s="16"/>
      <c r="D866" s="16"/>
      <c r="E866" s="16"/>
      <c r="F866" s="16"/>
      <c r="G866" s="16"/>
    </row>
    <row r="867" spans="1:7" ht="12.5">
      <c r="A867" s="16"/>
      <c r="B867" s="16"/>
      <c r="C867" s="16"/>
      <c r="D867" s="16"/>
      <c r="E867" s="16"/>
      <c r="F867" s="16"/>
      <c r="G867" s="16"/>
    </row>
    <row r="868" spans="1:7" ht="12.5">
      <c r="A868" s="16"/>
      <c r="B868" s="16"/>
      <c r="C868" s="16"/>
      <c r="D868" s="16"/>
      <c r="E868" s="16"/>
      <c r="F868" s="16"/>
      <c r="G868" s="16"/>
    </row>
    <row r="869" spans="1:7" ht="12.5">
      <c r="A869" s="16"/>
      <c r="B869" s="16"/>
      <c r="C869" s="16"/>
      <c r="D869" s="16"/>
      <c r="E869" s="16"/>
      <c r="F869" s="16"/>
      <c r="G869" s="16"/>
    </row>
    <row r="870" spans="1:7" ht="12.5">
      <c r="A870" s="16"/>
      <c r="B870" s="16"/>
      <c r="C870" s="16"/>
      <c r="D870" s="16"/>
      <c r="E870" s="16"/>
      <c r="F870" s="16"/>
      <c r="G870" s="16"/>
    </row>
    <row r="871" spans="1:7" ht="12.5">
      <c r="A871" s="16"/>
      <c r="B871" s="16"/>
      <c r="C871" s="16"/>
      <c r="D871" s="16"/>
      <c r="E871" s="16"/>
      <c r="F871" s="16"/>
      <c r="G871" s="16"/>
    </row>
    <row r="872" spans="1:7" ht="12.5">
      <c r="A872" s="16"/>
      <c r="B872" s="16"/>
      <c r="C872" s="16"/>
      <c r="D872" s="16"/>
      <c r="E872" s="16"/>
      <c r="F872" s="16"/>
      <c r="G872" s="16"/>
    </row>
    <row r="873" spans="1:7" ht="12.5">
      <c r="A873" s="16"/>
      <c r="B873" s="16"/>
      <c r="C873" s="16"/>
      <c r="D873" s="16"/>
      <c r="E873" s="16"/>
      <c r="F873" s="16"/>
      <c r="G873" s="16"/>
    </row>
    <row r="874" spans="1:7" ht="12.5">
      <c r="A874" s="16"/>
      <c r="B874" s="16"/>
      <c r="C874" s="16"/>
      <c r="D874" s="16"/>
      <c r="E874" s="16"/>
      <c r="F874" s="16"/>
      <c r="G874" s="16"/>
    </row>
    <row r="875" spans="1:7" ht="12.5">
      <c r="A875" s="16"/>
      <c r="B875" s="16"/>
      <c r="C875" s="16"/>
      <c r="D875" s="16"/>
      <c r="E875" s="16"/>
      <c r="F875" s="16"/>
      <c r="G875" s="16"/>
    </row>
    <row r="876" spans="1:7" ht="12.5">
      <c r="A876" s="16"/>
      <c r="B876" s="16"/>
      <c r="C876" s="16"/>
      <c r="D876" s="16"/>
      <c r="E876" s="16"/>
      <c r="F876" s="16"/>
      <c r="G876" s="16"/>
    </row>
    <row r="877" spans="1:7" ht="12.5">
      <c r="A877" s="16"/>
      <c r="B877" s="16"/>
      <c r="C877" s="16"/>
      <c r="D877" s="16"/>
      <c r="E877" s="16"/>
      <c r="F877" s="16"/>
      <c r="G877" s="16"/>
    </row>
    <row r="878" spans="1:7" ht="12.5">
      <c r="A878" s="16"/>
      <c r="B878" s="16"/>
      <c r="C878" s="16"/>
      <c r="D878" s="16"/>
      <c r="E878" s="16"/>
      <c r="F878" s="16"/>
      <c r="G878" s="16"/>
    </row>
    <row r="879" spans="1:7" ht="12.5">
      <c r="A879" s="16"/>
      <c r="B879" s="16"/>
      <c r="C879" s="16"/>
      <c r="D879" s="16"/>
      <c r="E879" s="16"/>
      <c r="F879" s="16"/>
      <c r="G879" s="16"/>
    </row>
    <row r="880" spans="1:7" ht="12.5">
      <c r="A880" s="16"/>
      <c r="B880" s="16"/>
      <c r="C880" s="16"/>
      <c r="D880" s="16"/>
      <c r="E880" s="16"/>
      <c r="F880" s="16"/>
      <c r="G880" s="16"/>
    </row>
    <row r="881" spans="1:7" ht="12.5">
      <c r="A881" s="16"/>
      <c r="B881" s="16"/>
      <c r="C881" s="16"/>
      <c r="D881" s="16"/>
      <c r="E881" s="16"/>
      <c r="F881" s="16"/>
      <c r="G881" s="16"/>
    </row>
    <row r="882" spans="1:7" ht="12.5">
      <c r="A882" s="16"/>
      <c r="B882" s="16"/>
      <c r="C882" s="16"/>
      <c r="D882" s="16"/>
      <c r="E882" s="16"/>
      <c r="F882" s="16"/>
      <c r="G882" s="16"/>
    </row>
    <row r="883" spans="1:7" ht="12.5">
      <c r="A883" s="16"/>
      <c r="B883" s="16"/>
      <c r="C883" s="16"/>
      <c r="D883" s="16"/>
      <c r="E883" s="16"/>
      <c r="F883" s="16"/>
      <c r="G883" s="16"/>
    </row>
    <row r="884" spans="1:7" ht="12.5">
      <c r="A884" s="16"/>
      <c r="B884" s="16"/>
      <c r="C884" s="16"/>
      <c r="D884" s="16"/>
      <c r="E884" s="16"/>
      <c r="F884" s="16"/>
      <c r="G884" s="16"/>
    </row>
    <row r="885" spans="1:7" ht="12.5">
      <c r="A885" s="16"/>
      <c r="B885" s="16"/>
      <c r="C885" s="16"/>
      <c r="D885" s="16"/>
      <c r="E885" s="16"/>
      <c r="F885" s="16"/>
      <c r="G885" s="16"/>
    </row>
    <row r="886" spans="1:7" ht="12.5">
      <c r="A886" s="16"/>
      <c r="B886" s="16"/>
      <c r="C886" s="16"/>
      <c r="D886" s="16"/>
      <c r="E886" s="16"/>
      <c r="F886" s="16"/>
      <c r="G886" s="16"/>
    </row>
    <row r="887" spans="1:7" ht="12.5">
      <c r="A887" s="16"/>
      <c r="B887" s="16"/>
      <c r="C887" s="16"/>
      <c r="D887" s="16"/>
      <c r="E887" s="16"/>
      <c r="F887" s="16"/>
      <c r="G887" s="16"/>
    </row>
    <row r="888" spans="1:7" ht="12.5">
      <c r="A888" s="16"/>
      <c r="B888" s="16"/>
      <c r="C888" s="16"/>
      <c r="D888" s="16"/>
      <c r="E888" s="16"/>
      <c r="F888" s="16"/>
      <c r="G888" s="16"/>
    </row>
    <row r="889" spans="1:7" ht="12.5">
      <c r="A889" s="16"/>
      <c r="B889" s="16"/>
      <c r="C889" s="16"/>
      <c r="D889" s="16"/>
      <c r="E889" s="16"/>
      <c r="F889" s="16"/>
      <c r="G889" s="16"/>
    </row>
    <row r="890" spans="1:7" ht="12.5">
      <c r="A890" s="16"/>
      <c r="B890" s="16"/>
      <c r="C890" s="16"/>
      <c r="D890" s="16"/>
      <c r="E890" s="16"/>
      <c r="F890" s="16"/>
      <c r="G890" s="16"/>
    </row>
    <row r="891" spans="1:7" ht="12.5">
      <c r="A891" s="16"/>
      <c r="B891" s="16"/>
      <c r="C891" s="16"/>
      <c r="D891" s="16"/>
      <c r="E891" s="16"/>
      <c r="F891" s="16"/>
      <c r="G891" s="16"/>
    </row>
    <row r="892" spans="1:7" ht="12.5">
      <c r="A892" s="16"/>
      <c r="B892" s="16"/>
      <c r="C892" s="16"/>
      <c r="D892" s="16"/>
      <c r="E892" s="16"/>
      <c r="F892" s="16"/>
      <c r="G892" s="16"/>
    </row>
    <row r="893" spans="1:7" ht="12.5">
      <c r="A893" s="16"/>
      <c r="B893" s="16"/>
      <c r="C893" s="16"/>
      <c r="D893" s="16"/>
      <c r="E893" s="16"/>
      <c r="F893" s="16"/>
      <c r="G893" s="16"/>
    </row>
    <row r="894" spans="1:7" ht="12.5">
      <c r="A894" s="16"/>
      <c r="B894" s="16"/>
      <c r="C894" s="16"/>
      <c r="D894" s="16"/>
      <c r="E894" s="16"/>
      <c r="F894" s="16"/>
      <c r="G894" s="16"/>
    </row>
    <row r="895" spans="1:7" ht="12.5">
      <c r="A895" s="16"/>
      <c r="B895" s="16"/>
      <c r="C895" s="16"/>
      <c r="D895" s="16"/>
      <c r="E895" s="16"/>
      <c r="F895" s="16"/>
      <c r="G895" s="16"/>
    </row>
    <row r="896" spans="1:7" ht="12.5">
      <c r="A896" s="16"/>
      <c r="B896" s="16"/>
      <c r="C896" s="16"/>
      <c r="D896" s="16"/>
      <c r="E896" s="16"/>
      <c r="F896" s="16"/>
      <c r="G896" s="16"/>
    </row>
    <row r="897" spans="1:7" ht="12.5">
      <c r="A897" s="16"/>
      <c r="B897" s="16"/>
      <c r="C897" s="16"/>
      <c r="D897" s="16"/>
      <c r="E897" s="16"/>
      <c r="F897" s="16"/>
      <c r="G897" s="16"/>
    </row>
    <row r="898" spans="1:7" ht="12.5">
      <c r="A898" s="16"/>
      <c r="B898" s="16"/>
      <c r="C898" s="16"/>
      <c r="D898" s="16"/>
      <c r="E898" s="16"/>
      <c r="F898" s="16"/>
      <c r="G898" s="16"/>
    </row>
    <row r="899" spans="1:7" ht="12.5">
      <c r="A899" s="16"/>
      <c r="B899" s="16"/>
      <c r="C899" s="16"/>
      <c r="D899" s="16"/>
      <c r="E899" s="16"/>
      <c r="F899" s="16"/>
      <c r="G899" s="16"/>
    </row>
    <row r="900" spans="1:7" ht="12.5">
      <c r="A900" s="16"/>
      <c r="B900" s="16"/>
      <c r="C900" s="16"/>
      <c r="D900" s="16"/>
      <c r="E900" s="16"/>
      <c r="F900" s="16"/>
      <c r="G900" s="16"/>
    </row>
    <row r="901" spans="1:7" ht="12.5">
      <c r="A901" s="16"/>
      <c r="B901" s="16"/>
      <c r="C901" s="16"/>
      <c r="D901" s="16"/>
      <c r="E901" s="16"/>
      <c r="F901" s="16"/>
      <c r="G901" s="16"/>
    </row>
    <row r="902" spans="1:7" ht="12.5">
      <c r="A902" s="16"/>
      <c r="B902" s="16"/>
      <c r="C902" s="16"/>
      <c r="D902" s="16"/>
      <c r="E902" s="16"/>
      <c r="F902" s="16"/>
      <c r="G902" s="16"/>
    </row>
    <row r="903" spans="1:7" ht="12.5">
      <c r="A903" s="16"/>
      <c r="B903" s="16"/>
      <c r="C903" s="16"/>
      <c r="D903" s="16"/>
      <c r="E903" s="16"/>
      <c r="F903" s="16"/>
      <c r="G903" s="16"/>
    </row>
    <row r="904" spans="1:7" ht="12.5">
      <c r="A904" s="16"/>
      <c r="B904" s="16"/>
      <c r="C904" s="16"/>
      <c r="D904" s="16"/>
      <c r="E904" s="16"/>
      <c r="F904" s="16"/>
      <c r="G904" s="16"/>
    </row>
    <row r="905" spans="1:7" ht="12.5">
      <c r="A905" s="16"/>
      <c r="B905" s="16"/>
      <c r="C905" s="16"/>
      <c r="D905" s="16"/>
      <c r="E905" s="16"/>
      <c r="F905" s="16"/>
      <c r="G905" s="16"/>
    </row>
    <row r="906" spans="1:7" ht="12.5">
      <c r="A906" s="16"/>
      <c r="B906" s="16"/>
      <c r="C906" s="16"/>
      <c r="D906" s="16"/>
      <c r="E906" s="16"/>
      <c r="F906" s="16"/>
      <c r="G906" s="16"/>
    </row>
    <row r="907" spans="1:7" ht="12.5">
      <c r="A907" s="16"/>
      <c r="B907" s="16"/>
      <c r="C907" s="16"/>
      <c r="D907" s="16"/>
      <c r="E907" s="16"/>
      <c r="F907" s="16"/>
      <c r="G907" s="16"/>
    </row>
    <row r="908" spans="1:7" ht="12.5">
      <c r="A908" s="16"/>
      <c r="B908" s="16"/>
      <c r="C908" s="16"/>
      <c r="D908" s="16"/>
      <c r="E908" s="16"/>
      <c r="F908" s="16"/>
      <c r="G908" s="16"/>
    </row>
    <row r="909" spans="1:7" ht="12.5">
      <c r="A909" s="16"/>
      <c r="B909" s="16"/>
      <c r="C909" s="16"/>
      <c r="D909" s="16"/>
      <c r="E909" s="16"/>
      <c r="F909" s="16"/>
      <c r="G909" s="16"/>
    </row>
    <row r="910" spans="1:7" ht="12.5">
      <c r="A910" s="16"/>
      <c r="B910" s="16"/>
      <c r="C910" s="16"/>
      <c r="D910" s="16"/>
      <c r="E910" s="16"/>
      <c r="F910" s="16"/>
      <c r="G910" s="16"/>
    </row>
    <row r="911" spans="1:7" ht="12.5">
      <c r="A911" s="16"/>
      <c r="B911" s="16"/>
      <c r="C911" s="16"/>
      <c r="D911" s="16"/>
      <c r="E911" s="16"/>
      <c r="F911" s="16"/>
      <c r="G911" s="16"/>
    </row>
    <row r="912" spans="1:7" ht="12.5">
      <c r="A912" s="16"/>
      <c r="B912" s="16"/>
      <c r="C912" s="16"/>
      <c r="D912" s="16"/>
      <c r="E912" s="16"/>
      <c r="F912" s="16"/>
      <c r="G912" s="16"/>
    </row>
    <row r="913" spans="1:7" ht="12.5">
      <c r="A913" s="16"/>
      <c r="B913" s="16"/>
      <c r="C913" s="16"/>
      <c r="D913" s="16"/>
      <c r="E913" s="16"/>
      <c r="F913" s="16"/>
      <c r="G913" s="16"/>
    </row>
    <row r="914" spans="1:7" ht="12.5">
      <c r="A914" s="16"/>
      <c r="B914" s="16"/>
      <c r="C914" s="16"/>
      <c r="D914" s="16"/>
      <c r="E914" s="16"/>
      <c r="F914" s="16"/>
      <c r="G914" s="16"/>
    </row>
    <row r="915" spans="1:7" ht="12.5">
      <c r="A915" s="16"/>
      <c r="B915" s="16"/>
      <c r="C915" s="16"/>
      <c r="D915" s="16"/>
      <c r="E915" s="16"/>
      <c r="F915" s="16"/>
      <c r="G915" s="16"/>
    </row>
    <row r="916" spans="1:7" ht="12.5">
      <c r="A916" s="16"/>
      <c r="B916" s="16"/>
      <c r="C916" s="16"/>
      <c r="D916" s="16"/>
      <c r="E916" s="16"/>
      <c r="F916" s="16"/>
      <c r="G916" s="16"/>
    </row>
    <row r="917" spans="1:7" ht="12.5">
      <c r="A917" s="16"/>
      <c r="B917" s="16"/>
      <c r="C917" s="16"/>
      <c r="D917" s="16"/>
      <c r="E917" s="16"/>
      <c r="F917" s="16"/>
      <c r="G917" s="16"/>
    </row>
    <row r="918" spans="1:7" ht="12.5">
      <c r="A918" s="16"/>
      <c r="B918" s="16"/>
      <c r="C918" s="16"/>
      <c r="D918" s="16"/>
      <c r="E918" s="16"/>
      <c r="F918" s="16"/>
      <c r="G918" s="16"/>
    </row>
    <row r="919" spans="1:7" ht="12.5">
      <c r="A919" s="16"/>
      <c r="B919" s="16"/>
      <c r="C919" s="16"/>
      <c r="D919" s="16"/>
      <c r="E919" s="16"/>
      <c r="F919" s="16"/>
      <c r="G919" s="16"/>
    </row>
    <row r="920" spans="1:7" ht="12.5">
      <c r="A920" s="16"/>
      <c r="B920" s="16"/>
      <c r="C920" s="16"/>
      <c r="D920" s="16"/>
      <c r="E920" s="16"/>
      <c r="F920" s="16"/>
      <c r="G920" s="16"/>
    </row>
    <row r="921" spans="1:7" ht="12.5">
      <c r="A921" s="16"/>
      <c r="B921" s="16"/>
      <c r="C921" s="16"/>
      <c r="D921" s="16"/>
      <c r="E921" s="16"/>
      <c r="F921" s="16"/>
      <c r="G921" s="16"/>
    </row>
    <row r="922" spans="1:7" ht="12.5">
      <c r="A922" s="16"/>
      <c r="B922" s="16"/>
      <c r="C922" s="16"/>
      <c r="D922" s="16"/>
      <c r="E922" s="16"/>
      <c r="F922" s="16"/>
      <c r="G922" s="16"/>
    </row>
    <row r="923" spans="1:7" ht="12.5">
      <c r="A923" s="16"/>
      <c r="B923" s="16"/>
      <c r="C923" s="16"/>
      <c r="D923" s="16"/>
      <c r="E923" s="16"/>
      <c r="F923" s="16"/>
      <c r="G923" s="16"/>
    </row>
    <row r="924" spans="1:7" ht="12.5">
      <c r="A924" s="16"/>
      <c r="B924" s="16"/>
      <c r="C924" s="16"/>
      <c r="D924" s="16"/>
      <c r="E924" s="16"/>
      <c r="F924" s="16"/>
      <c r="G924" s="16"/>
    </row>
    <row r="925" spans="1:7" ht="12.5">
      <c r="A925" s="16"/>
      <c r="B925" s="16"/>
      <c r="C925" s="16"/>
      <c r="D925" s="16"/>
      <c r="E925" s="16"/>
      <c r="F925" s="16"/>
      <c r="G925" s="16"/>
    </row>
    <row r="926" spans="1:7" ht="12.5">
      <c r="A926" s="16"/>
      <c r="B926" s="16"/>
      <c r="C926" s="16"/>
      <c r="D926" s="16"/>
      <c r="E926" s="16"/>
      <c r="F926" s="16"/>
      <c r="G926" s="16"/>
    </row>
    <row r="927" spans="1:7" ht="12.5">
      <c r="A927" s="16"/>
      <c r="B927" s="16"/>
      <c r="C927" s="16"/>
      <c r="D927" s="16"/>
      <c r="E927" s="16"/>
      <c r="F927" s="16"/>
      <c r="G927" s="16"/>
    </row>
    <row r="928" spans="1:7" ht="12.5">
      <c r="A928" s="16"/>
      <c r="B928" s="16"/>
      <c r="C928" s="16"/>
      <c r="D928" s="16"/>
      <c r="E928" s="16"/>
      <c r="F928" s="16"/>
      <c r="G928" s="16"/>
    </row>
    <row r="929" spans="1:7" ht="12.5">
      <c r="A929" s="16"/>
      <c r="B929" s="16"/>
      <c r="C929" s="16"/>
      <c r="D929" s="16"/>
      <c r="E929" s="16"/>
      <c r="F929" s="16"/>
      <c r="G929" s="16"/>
    </row>
    <row r="930" spans="1:7" ht="12.5">
      <c r="A930" s="16"/>
      <c r="B930" s="16"/>
      <c r="C930" s="16"/>
      <c r="D930" s="16"/>
      <c r="E930" s="16"/>
      <c r="F930" s="16"/>
      <c r="G930" s="16"/>
    </row>
    <row r="931" spans="1:7" ht="12.5">
      <c r="A931" s="16"/>
      <c r="B931" s="16"/>
      <c r="C931" s="16"/>
      <c r="D931" s="16"/>
      <c r="E931" s="16"/>
      <c r="F931" s="16"/>
      <c r="G931" s="16"/>
    </row>
    <row r="932" spans="1:7" ht="12.5">
      <c r="A932" s="16"/>
      <c r="B932" s="16"/>
      <c r="C932" s="16"/>
      <c r="D932" s="16"/>
      <c r="E932" s="16"/>
      <c r="F932" s="16"/>
      <c r="G932" s="16"/>
    </row>
    <row r="933" spans="1:7" ht="12.5">
      <c r="A933" s="16"/>
      <c r="B933" s="16"/>
      <c r="C933" s="16"/>
      <c r="D933" s="16"/>
      <c r="E933" s="16"/>
      <c r="F933" s="16"/>
      <c r="G933" s="16"/>
    </row>
    <row r="934" spans="1:7" ht="12.5">
      <c r="A934" s="16"/>
      <c r="B934" s="16"/>
      <c r="C934" s="16"/>
      <c r="D934" s="16"/>
      <c r="E934" s="16"/>
      <c r="F934" s="16"/>
      <c r="G934" s="16"/>
    </row>
    <row r="935" spans="1:7" ht="12.5">
      <c r="A935" s="16"/>
      <c r="B935" s="16"/>
      <c r="C935" s="16"/>
      <c r="D935" s="16"/>
      <c r="E935" s="16"/>
      <c r="F935" s="16"/>
      <c r="G935" s="16"/>
    </row>
    <row r="936" spans="1:7" ht="12.5">
      <c r="A936" s="16"/>
      <c r="B936" s="16"/>
      <c r="C936" s="16"/>
      <c r="D936" s="16"/>
      <c r="E936" s="16"/>
      <c r="F936" s="16"/>
      <c r="G936" s="16"/>
    </row>
    <row r="937" spans="1:7" ht="12.5">
      <c r="A937" s="16"/>
      <c r="B937" s="16"/>
      <c r="C937" s="16"/>
      <c r="D937" s="16"/>
      <c r="E937" s="16"/>
      <c r="F937" s="16"/>
      <c r="G937" s="16"/>
    </row>
    <row r="938" spans="1:7" ht="12.5">
      <c r="A938" s="16"/>
      <c r="B938" s="16"/>
      <c r="C938" s="16"/>
      <c r="D938" s="16"/>
      <c r="E938" s="16"/>
      <c r="F938" s="16"/>
      <c r="G938" s="16"/>
    </row>
    <row r="939" spans="1:7" ht="12.5">
      <c r="A939" s="16"/>
      <c r="B939" s="16"/>
      <c r="C939" s="16"/>
      <c r="D939" s="16"/>
      <c r="E939" s="16"/>
      <c r="F939" s="16"/>
      <c r="G939" s="16"/>
    </row>
    <row r="940" spans="1:7" ht="12.5">
      <c r="A940" s="16"/>
      <c r="B940" s="16"/>
      <c r="C940" s="16"/>
      <c r="D940" s="16"/>
      <c r="E940" s="16"/>
      <c r="F940" s="16"/>
      <c r="G940" s="16"/>
    </row>
    <row r="941" spans="1:7" ht="12.5">
      <c r="A941" s="16"/>
      <c r="B941" s="16"/>
      <c r="C941" s="16"/>
      <c r="D941" s="16"/>
      <c r="E941" s="16"/>
      <c r="F941" s="16"/>
      <c r="G941" s="16"/>
    </row>
    <row r="942" spans="1:7" ht="12.5">
      <c r="A942" s="16"/>
      <c r="B942" s="16"/>
      <c r="C942" s="16"/>
      <c r="D942" s="16"/>
      <c r="E942" s="16"/>
      <c r="F942" s="16"/>
      <c r="G942" s="16"/>
    </row>
    <row r="943" spans="1:7" ht="12.5">
      <c r="A943" s="16"/>
      <c r="B943" s="16"/>
      <c r="C943" s="16"/>
      <c r="D943" s="16"/>
      <c r="E943" s="16"/>
      <c r="F943" s="16"/>
      <c r="G943" s="16"/>
    </row>
    <row r="944" spans="1:7" ht="12.5">
      <c r="A944" s="16"/>
      <c r="B944" s="16"/>
      <c r="C944" s="16"/>
      <c r="D944" s="16"/>
      <c r="E944" s="16"/>
      <c r="F944" s="16"/>
      <c r="G944" s="16"/>
    </row>
    <row r="945" spans="1:7" ht="12.5">
      <c r="A945" s="16"/>
      <c r="B945" s="16"/>
      <c r="C945" s="16"/>
      <c r="D945" s="16"/>
      <c r="E945" s="16"/>
      <c r="F945" s="16"/>
      <c r="G945" s="16"/>
    </row>
    <row r="946" spans="1:7" ht="12.5">
      <c r="A946" s="16"/>
      <c r="B946" s="16"/>
      <c r="C946" s="16"/>
      <c r="D946" s="16"/>
      <c r="E946" s="16"/>
      <c r="F946" s="16"/>
      <c r="G946" s="16"/>
    </row>
    <row r="947" spans="1:7" ht="12.5">
      <c r="A947" s="16"/>
      <c r="B947" s="16"/>
      <c r="C947" s="16"/>
      <c r="D947" s="16"/>
      <c r="E947" s="16"/>
      <c r="F947" s="16"/>
      <c r="G947" s="16"/>
    </row>
    <row r="948" spans="1:7" ht="12.5">
      <c r="A948" s="16"/>
      <c r="B948" s="16"/>
      <c r="C948" s="16"/>
      <c r="D948" s="16"/>
      <c r="E948" s="16"/>
      <c r="F948" s="16"/>
      <c r="G948" s="16"/>
    </row>
    <row r="949" spans="1:7" ht="12.5">
      <c r="A949" s="16"/>
      <c r="B949" s="16"/>
      <c r="C949" s="16"/>
      <c r="D949" s="16"/>
      <c r="E949" s="16"/>
      <c r="F949" s="16"/>
      <c r="G949" s="16"/>
    </row>
    <row r="950" spans="1:7" ht="12.5">
      <c r="A950" s="16"/>
      <c r="B950" s="16"/>
      <c r="C950" s="16"/>
      <c r="D950" s="16"/>
      <c r="E950" s="16"/>
      <c r="F950" s="16"/>
      <c r="G950" s="16"/>
    </row>
    <row r="951" spans="1:7" ht="12.5">
      <c r="A951" s="16"/>
      <c r="B951" s="16"/>
      <c r="C951" s="16"/>
      <c r="D951" s="16"/>
      <c r="E951" s="16"/>
      <c r="F951" s="16"/>
      <c r="G951" s="16"/>
    </row>
    <row r="952" spans="1:7" ht="12.5">
      <c r="A952" s="16"/>
      <c r="B952" s="16"/>
      <c r="C952" s="16"/>
      <c r="D952" s="16"/>
      <c r="E952" s="16"/>
      <c r="F952" s="16"/>
      <c r="G952" s="16"/>
    </row>
    <row r="953" spans="1:7" ht="12.5">
      <c r="A953" s="16"/>
      <c r="B953" s="16"/>
      <c r="C953" s="16"/>
      <c r="D953" s="16"/>
      <c r="E953" s="16"/>
      <c r="F953" s="16"/>
      <c r="G953" s="16"/>
    </row>
    <row r="954" spans="1:7" ht="12.5">
      <c r="A954" s="16"/>
      <c r="B954" s="16"/>
      <c r="C954" s="16"/>
      <c r="D954" s="16"/>
      <c r="E954" s="16"/>
      <c r="F954" s="16"/>
      <c r="G954" s="16"/>
    </row>
    <row r="955" spans="1:7" ht="12.5">
      <c r="A955" s="16"/>
      <c r="B955" s="16"/>
      <c r="C955" s="16"/>
      <c r="D955" s="16"/>
      <c r="E955" s="16"/>
      <c r="F955" s="16"/>
      <c r="G955" s="16"/>
    </row>
    <row r="956" spans="1:7" ht="12.5">
      <c r="A956" s="16"/>
      <c r="B956" s="16"/>
      <c r="C956" s="16"/>
      <c r="D956" s="16"/>
      <c r="E956" s="16"/>
      <c r="F956" s="16"/>
      <c r="G956" s="16"/>
    </row>
    <row r="957" spans="1:7" ht="12.5">
      <c r="A957" s="16"/>
      <c r="B957" s="16"/>
      <c r="C957" s="16"/>
      <c r="D957" s="16"/>
      <c r="E957" s="16"/>
      <c r="F957" s="16"/>
      <c r="G957" s="16"/>
    </row>
    <row r="958" spans="1:7" ht="12.5">
      <c r="A958" s="16"/>
      <c r="B958" s="16"/>
      <c r="C958" s="16"/>
      <c r="D958" s="16"/>
      <c r="E958" s="16"/>
      <c r="F958" s="16"/>
      <c r="G958" s="16"/>
    </row>
    <row r="959" spans="1:7" ht="12.5">
      <c r="A959" s="16"/>
      <c r="B959" s="16"/>
      <c r="C959" s="16"/>
      <c r="D959" s="16"/>
      <c r="E959" s="16"/>
      <c r="F959" s="16"/>
      <c r="G959" s="16"/>
    </row>
    <row r="960" spans="1:7" ht="12.5">
      <c r="A960" s="16"/>
      <c r="B960" s="16"/>
      <c r="C960" s="16"/>
      <c r="D960" s="16"/>
      <c r="E960" s="16"/>
      <c r="F960" s="16"/>
      <c r="G960" s="16"/>
    </row>
    <row r="961" spans="1:7" ht="12.5">
      <c r="A961" s="16"/>
      <c r="B961" s="16"/>
      <c r="C961" s="16"/>
      <c r="D961" s="16"/>
      <c r="E961" s="16"/>
      <c r="F961" s="16"/>
      <c r="G961" s="16"/>
    </row>
    <row r="962" spans="1:7" ht="12.5">
      <c r="A962" s="16"/>
      <c r="B962" s="16"/>
      <c r="C962" s="16"/>
      <c r="D962" s="16"/>
      <c r="E962" s="16"/>
      <c r="F962" s="16"/>
      <c r="G962" s="16"/>
    </row>
    <row r="963" spans="1:7" ht="12.5">
      <c r="A963" s="16"/>
      <c r="B963" s="16"/>
      <c r="C963" s="16"/>
      <c r="D963" s="16"/>
      <c r="E963" s="16"/>
      <c r="F963" s="16"/>
      <c r="G963" s="16"/>
    </row>
    <row r="964" spans="1:7" ht="12.5">
      <c r="A964" s="16"/>
      <c r="B964" s="16"/>
      <c r="C964" s="16"/>
      <c r="D964" s="16"/>
      <c r="E964" s="16"/>
      <c r="F964" s="16"/>
      <c r="G964" s="16"/>
    </row>
    <row r="965" spans="1:7" ht="12.5">
      <c r="A965" s="16"/>
      <c r="B965" s="16"/>
      <c r="C965" s="16"/>
      <c r="D965" s="16"/>
      <c r="E965" s="16"/>
      <c r="F965" s="16"/>
      <c r="G965" s="16"/>
    </row>
    <row r="966" spans="1:7" ht="12.5">
      <c r="A966" s="16"/>
      <c r="B966" s="16"/>
      <c r="C966" s="16"/>
      <c r="D966" s="16"/>
      <c r="E966" s="16"/>
      <c r="F966" s="16"/>
      <c r="G966" s="16"/>
    </row>
    <row r="967" spans="1:7" ht="12.5">
      <c r="A967" s="16"/>
      <c r="B967" s="16"/>
      <c r="C967" s="16"/>
      <c r="D967" s="16"/>
      <c r="E967" s="16"/>
      <c r="F967" s="16"/>
      <c r="G967" s="16"/>
    </row>
    <row r="968" spans="1:7" ht="12.5">
      <c r="A968" s="16"/>
      <c r="B968" s="16"/>
      <c r="C968" s="16"/>
      <c r="D968" s="16"/>
      <c r="E968" s="16"/>
      <c r="F968" s="16"/>
      <c r="G968" s="16"/>
    </row>
    <row r="969" spans="1:7" ht="12.5">
      <c r="A969" s="16"/>
      <c r="B969" s="16"/>
      <c r="C969" s="16"/>
      <c r="D969" s="16"/>
      <c r="E969" s="16"/>
      <c r="F969" s="16"/>
      <c r="G969" s="16"/>
    </row>
    <row r="970" spans="1:7" ht="12.5">
      <c r="A970" s="16"/>
      <c r="B970" s="16"/>
      <c r="C970" s="16"/>
      <c r="D970" s="16"/>
      <c r="E970" s="16"/>
      <c r="F970" s="16"/>
      <c r="G970" s="16"/>
    </row>
    <row r="971" spans="1:7" ht="12.5">
      <c r="A971" s="16"/>
      <c r="B971" s="16"/>
      <c r="C971" s="16"/>
      <c r="D971" s="16"/>
      <c r="E971" s="16"/>
      <c r="F971" s="16"/>
      <c r="G971" s="16"/>
    </row>
    <row r="972" spans="1:7" ht="12.5">
      <c r="A972" s="16"/>
      <c r="B972" s="16"/>
      <c r="C972" s="16"/>
      <c r="D972" s="16"/>
      <c r="E972" s="16"/>
      <c r="F972" s="16"/>
      <c r="G972" s="16"/>
    </row>
    <row r="973" spans="1:7" ht="12.5">
      <c r="A973" s="16"/>
      <c r="B973" s="16"/>
      <c r="C973" s="16"/>
      <c r="D973" s="16"/>
      <c r="E973" s="16"/>
      <c r="F973" s="16"/>
      <c r="G973" s="16"/>
    </row>
    <row r="974" spans="1:7" ht="12.5">
      <c r="A974" s="16"/>
      <c r="B974" s="16"/>
      <c r="C974" s="16"/>
      <c r="D974" s="16"/>
      <c r="E974" s="16"/>
      <c r="F974" s="16"/>
      <c r="G974" s="16"/>
    </row>
    <row r="975" spans="1:7" ht="12.5">
      <c r="A975" s="16"/>
      <c r="B975" s="16"/>
      <c r="C975" s="16"/>
      <c r="D975" s="16"/>
      <c r="E975" s="16"/>
      <c r="F975" s="16"/>
      <c r="G975" s="16"/>
    </row>
    <row r="976" spans="1:7" ht="12.5">
      <c r="A976" s="16"/>
      <c r="B976" s="16"/>
      <c r="C976" s="16"/>
      <c r="D976" s="16"/>
      <c r="E976" s="16"/>
      <c r="F976" s="16"/>
      <c r="G976" s="16"/>
    </row>
    <row r="977" spans="1:7" ht="12.5">
      <c r="A977" s="16"/>
      <c r="B977" s="16"/>
      <c r="C977" s="16"/>
      <c r="D977" s="16"/>
      <c r="E977" s="16"/>
      <c r="F977" s="16"/>
      <c r="G977" s="16"/>
    </row>
    <row r="978" spans="1:7" ht="12.5">
      <c r="A978" s="16"/>
      <c r="B978" s="16"/>
      <c r="C978" s="16"/>
      <c r="D978" s="16"/>
      <c r="E978" s="16"/>
      <c r="F978" s="16"/>
      <c r="G978" s="16"/>
    </row>
    <row r="979" spans="1:7" ht="12.5">
      <c r="A979" s="16"/>
      <c r="B979" s="16"/>
      <c r="C979" s="16"/>
      <c r="D979" s="16"/>
      <c r="E979" s="16"/>
      <c r="F979" s="16"/>
      <c r="G979" s="16"/>
    </row>
    <row r="980" spans="1:7" ht="12.5">
      <c r="A980" s="16"/>
      <c r="B980" s="16"/>
      <c r="C980" s="16"/>
      <c r="D980" s="16"/>
      <c r="E980" s="16"/>
      <c r="F980" s="16"/>
      <c r="G980" s="16"/>
    </row>
    <row r="981" spans="1:7" ht="12.5">
      <c r="A981" s="16"/>
      <c r="B981" s="16"/>
      <c r="C981" s="16"/>
      <c r="D981" s="16"/>
      <c r="E981" s="16"/>
      <c r="F981" s="16"/>
      <c r="G981" s="16"/>
    </row>
    <row r="982" spans="1:7" ht="12.5">
      <c r="A982" s="16"/>
      <c r="B982" s="16"/>
      <c r="C982" s="16"/>
      <c r="D982" s="16"/>
      <c r="E982" s="16"/>
      <c r="F982" s="16"/>
      <c r="G982" s="16"/>
    </row>
    <row r="983" spans="1:7" ht="12.5">
      <c r="A983" s="16"/>
      <c r="B983" s="16"/>
      <c r="C983" s="16"/>
      <c r="D983" s="16"/>
      <c r="E983" s="16"/>
      <c r="F983" s="16"/>
      <c r="G983" s="16"/>
    </row>
    <row r="984" spans="1:7" ht="12.5">
      <c r="A984" s="16"/>
      <c r="B984" s="16"/>
      <c r="C984" s="16"/>
      <c r="D984" s="16"/>
      <c r="E984" s="16"/>
      <c r="F984" s="16"/>
      <c r="G984" s="16"/>
    </row>
    <row r="985" spans="1:7" ht="12.5">
      <c r="A985" s="16"/>
      <c r="B985" s="16"/>
      <c r="C985" s="16"/>
      <c r="D985" s="16"/>
      <c r="E985" s="16"/>
      <c r="F985" s="16"/>
      <c r="G985" s="16"/>
    </row>
    <row r="986" spans="1:7" ht="12.5">
      <c r="A986" s="16"/>
      <c r="B986" s="16"/>
      <c r="C986" s="16"/>
      <c r="D986" s="16"/>
      <c r="E986" s="16"/>
      <c r="F986" s="16"/>
      <c r="G986" s="16"/>
    </row>
    <row r="987" spans="1:7" ht="12.5">
      <c r="A987" s="16"/>
      <c r="B987" s="16"/>
      <c r="C987" s="16"/>
      <c r="D987" s="16"/>
      <c r="E987" s="16"/>
      <c r="F987" s="16"/>
      <c r="G987" s="16"/>
    </row>
    <row r="988" spans="1:7" ht="12.5">
      <c r="A988" s="16"/>
      <c r="B988" s="16"/>
      <c r="C988" s="16"/>
      <c r="D988" s="16"/>
      <c r="E988" s="16"/>
      <c r="F988" s="16"/>
      <c r="G988" s="16"/>
    </row>
    <row r="989" spans="1:7" ht="12.5">
      <c r="A989" s="16"/>
      <c r="B989" s="16"/>
      <c r="C989" s="16"/>
      <c r="D989" s="16"/>
      <c r="E989" s="16"/>
      <c r="F989" s="16"/>
      <c r="G989" s="16"/>
    </row>
    <row r="990" spans="1:7" ht="12.5">
      <c r="A990" s="16"/>
      <c r="B990" s="16"/>
      <c r="C990" s="16"/>
      <c r="D990" s="16"/>
      <c r="E990" s="16"/>
      <c r="F990" s="16"/>
      <c r="G990" s="16"/>
    </row>
    <row r="991" spans="1:7" ht="12.5">
      <c r="A991" s="16"/>
      <c r="B991" s="16"/>
      <c r="C991" s="16"/>
      <c r="D991" s="16"/>
      <c r="E991" s="16"/>
      <c r="F991" s="16"/>
      <c r="G991" s="16"/>
    </row>
    <row r="992" spans="1:7" ht="12.5">
      <c r="A992" s="16"/>
      <c r="B992" s="16"/>
      <c r="C992" s="16"/>
      <c r="D992" s="16"/>
      <c r="E992" s="16"/>
      <c r="F992" s="16"/>
      <c r="G992" s="16"/>
    </row>
    <row r="993" spans="1:7" ht="12.5">
      <c r="A993" s="16"/>
      <c r="B993" s="16"/>
      <c r="C993" s="16"/>
      <c r="D993" s="16"/>
      <c r="E993" s="16"/>
      <c r="F993" s="16"/>
      <c r="G993" s="16"/>
    </row>
    <row r="994" spans="1:7" ht="12.5">
      <c r="A994" s="16"/>
      <c r="B994" s="16"/>
      <c r="C994" s="16"/>
      <c r="D994" s="16"/>
      <c r="E994" s="16"/>
      <c r="F994" s="16"/>
      <c r="G994" s="16"/>
    </row>
    <row r="995" spans="1:7" ht="12.5">
      <c r="A995" s="16"/>
      <c r="B995" s="16"/>
      <c r="C995" s="16"/>
      <c r="D995" s="16"/>
      <c r="E995" s="16"/>
      <c r="F995" s="16"/>
      <c r="G995" s="16"/>
    </row>
    <row r="996" spans="1:7" ht="12.5">
      <c r="A996" s="16"/>
      <c r="B996" s="16"/>
      <c r="C996" s="16"/>
      <c r="D996" s="16"/>
      <c r="E996" s="16"/>
      <c r="F996" s="16"/>
      <c r="G996" s="16"/>
    </row>
    <row r="997" spans="1:7" ht="12.5">
      <c r="A997" s="16"/>
      <c r="B997" s="16"/>
      <c r="C997" s="16"/>
      <c r="D997" s="16"/>
      <c r="E997" s="16"/>
      <c r="F997" s="16"/>
      <c r="G997" s="16"/>
    </row>
    <row r="998" spans="1:7" ht="12.5">
      <c r="A998" s="16"/>
      <c r="B998" s="16"/>
      <c r="C998" s="16"/>
      <c r="D998" s="16"/>
      <c r="E998" s="16"/>
      <c r="F998" s="16"/>
      <c r="G998" s="16"/>
    </row>
    <row r="999" spans="1:7" ht="12.5">
      <c r="A999" s="16"/>
      <c r="B999" s="16"/>
      <c r="C999" s="16"/>
      <c r="D999" s="16"/>
      <c r="E999" s="16"/>
      <c r="F999" s="16"/>
      <c r="G999" s="16"/>
    </row>
    <row r="1000" spans="1:7" ht="12.5">
      <c r="A1000" s="16"/>
      <c r="B1000" s="16"/>
      <c r="C1000" s="16"/>
      <c r="D1000" s="16"/>
      <c r="E1000" s="16"/>
      <c r="F1000" s="16"/>
      <c r="G1000"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44"/>
  <sheetViews>
    <sheetView workbookViewId="0"/>
  </sheetViews>
  <sheetFormatPr baseColWidth="10" defaultColWidth="12.6328125" defaultRowHeight="15.75" customHeight="1"/>
  <cols>
    <col min="3" max="3" width="15.453125" customWidth="1"/>
    <col min="8" max="8" width="16.26953125" customWidth="1"/>
  </cols>
  <sheetData>
    <row r="1" spans="1:9" ht="15.75" customHeight="1">
      <c r="A1" s="5" t="s">
        <v>23673</v>
      </c>
      <c r="B1" s="5" t="s">
        <v>23674</v>
      </c>
      <c r="C1" s="5" t="s">
        <v>23675</v>
      </c>
      <c r="D1" s="5" t="s">
        <v>23148</v>
      </c>
      <c r="E1" s="5" t="s">
        <v>23676</v>
      </c>
      <c r="F1" s="5" t="s">
        <v>15</v>
      </c>
      <c r="G1" s="5" t="s">
        <v>1</v>
      </c>
      <c r="H1" s="5" t="s">
        <v>23677</v>
      </c>
      <c r="I1" s="5" t="s">
        <v>23678</v>
      </c>
    </row>
    <row r="2" spans="1:9" ht="15.75" customHeight="1">
      <c r="A2" s="5">
        <v>1</v>
      </c>
      <c r="B2" s="5" t="s">
        <v>23679</v>
      </c>
      <c r="C2" s="10" t="s">
        <v>23172</v>
      </c>
      <c r="D2" s="5" t="s">
        <v>23171</v>
      </c>
      <c r="F2" s="5">
        <v>10</v>
      </c>
      <c r="H2" s="23">
        <v>45966.784942129627</v>
      </c>
      <c r="I2" s="5">
        <v>10</v>
      </c>
    </row>
    <row r="3" spans="1:9" ht="15.75" customHeight="1">
      <c r="A3" s="5">
        <v>2</v>
      </c>
      <c r="B3" s="5" t="s">
        <v>23680</v>
      </c>
      <c r="C3" s="10" t="s">
        <v>23172</v>
      </c>
      <c r="E3" s="5" t="s">
        <v>23681</v>
      </c>
      <c r="F3" s="5">
        <v>5</v>
      </c>
      <c r="H3" s="23">
        <v>45966.785150462965</v>
      </c>
      <c r="I3" s="5">
        <v>5</v>
      </c>
    </row>
    <row r="4" spans="1:9" ht="15.75" customHeight="1">
      <c r="A4" s="5">
        <v>3</v>
      </c>
      <c r="B4" s="5" t="s">
        <v>23680</v>
      </c>
      <c r="C4" s="10" t="s">
        <v>23172</v>
      </c>
      <c r="E4" s="5" t="s">
        <v>23681</v>
      </c>
      <c r="F4" s="5">
        <v>5</v>
      </c>
      <c r="H4" s="23">
        <v>45966.785543981481</v>
      </c>
      <c r="I4" s="5">
        <v>5</v>
      </c>
    </row>
    <row r="5" spans="1:9" ht="15.75" customHeight="1">
      <c r="A5" s="5">
        <v>4</v>
      </c>
      <c r="B5" s="5" t="s">
        <v>23680</v>
      </c>
      <c r="C5" s="10" t="s">
        <v>23172</v>
      </c>
      <c r="F5" s="5">
        <v>3</v>
      </c>
      <c r="H5" s="23">
        <v>45966.789178240739</v>
      </c>
      <c r="I5" s="5">
        <v>3</v>
      </c>
    </row>
    <row r="6" spans="1:9" ht="15.75" customHeight="1">
      <c r="A6" s="5">
        <v>5</v>
      </c>
      <c r="B6" s="5" t="s">
        <v>23680</v>
      </c>
      <c r="C6" s="10" t="s">
        <v>23172</v>
      </c>
      <c r="F6" s="5">
        <v>3</v>
      </c>
      <c r="H6" s="23">
        <v>45966.918692129628</v>
      </c>
      <c r="I6" s="5">
        <v>3</v>
      </c>
    </row>
    <row r="7" spans="1:9" ht="15.75" customHeight="1">
      <c r="A7" s="5">
        <v>6</v>
      </c>
      <c r="B7" s="5" t="s">
        <v>23679</v>
      </c>
      <c r="C7" s="10" t="s">
        <v>23172</v>
      </c>
      <c r="D7" s="5" t="s">
        <v>23171</v>
      </c>
      <c r="F7" s="5">
        <v>5</v>
      </c>
      <c r="H7" s="23">
        <v>45966.919814814813</v>
      </c>
      <c r="I7" s="5">
        <v>5</v>
      </c>
    </row>
    <row r="8" spans="1:9" ht="15.75" customHeight="1">
      <c r="A8" s="5">
        <v>7</v>
      </c>
      <c r="B8" s="5" t="s">
        <v>23680</v>
      </c>
      <c r="C8" s="10" t="s">
        <v>23172</v>
      </c>
      <c r="F8" s="5">
        <v>2</v>
      </c>
      <c r="H8" s="23">
        <v>45966.923611111109</v>
      </c>
      <c r="I8" s="5">
        <v>2</v>
      </c>
    </row>
    <row r="9" spans="1:9" ht="15.75" customHeight="1">
      <c r="A9" s="5">
        <v>8</v>
      </c>
      <c r="B9" s="5" t="s">
        <v>23680</v>
      </c>
      <c r="C9" s="10" t="s">
        <v>23172</v>
      </c>
      <c r="F9" s="5">
        <v>3</v>
      </c>
      <c r="H9" s="23">
        <v>45966.924293981479</v>
      </c>
      <c r="I9" s="5">
        <v>3</v>
      </c>
    </row>
    <row r="10" spans="1:9" ht="15.75" customHeight="1">
      <c r="A10" s="5">
        <v>9</v>
      </c>
      <c r="B10" s="5" t="s">
        <v>23679</v>
      </c>
      <c r="C10" s="10" t="s">
        <v>23172</v>
      </c>
      <c r="F10" s="5">
        <v>20</v>
      </c>
      <c r="H10" s="23">
        <v>45966.926585648151</v>
      </c>
      <c r="I10" s="5">
        <v>20</v>
      </c>
    </row>
    <row r="11" spans="1:9" ht="15.75" customHeight="1">
      <c r="A11" s="5">
        <v>10</v>
      </c>
      <c r="B11" s="5" t="s">
        <v>23680</v>
      </c>
      <c r="C11" s="10" t="s">
        <v>23172</v>
      </c>
      <c r="F11" s="5">
        <v>3</v>
      </c>
      <c r="H11" s="23">
        <v>45966.927106481482</v>
      </c>
      <c r="I11" s="5">
        <v>3</v>
      </c>
    </row>
    <row r="12" spans="1:9" ht="15.75" customHeight="1">
      <c r="A12" s="5">
        <v>11</v>
      </c>
      <c r="B12" s="5" t="s">
        <v>23680</v>
      </c>
      <c r="C12" s="10" t="s">
        <v>23172</v>
      </c>
      <c r="F12" s="5">
        <v>5</v>
      </c>
      <c r="H12" s="23">
        <v>45966.927337962959</v>
      </c>
      <c r="I12" s="5">
        <v>5</v>
      </c>
    </row>
    <row r="13" spans="1:9" ht="15.75" customHeight="1">
      <c r="A13" s="5">
        <v>12</v>
      </c>
      <c r="B13" s="5" t="s">
        <v>23679</v>
      </c>
      <c r="C13" s="10" t="s">
        <v>23172</v>
      </c>
      <c r="F13" s="5">
        <v>400</v>
      </c>
      <c r="H13" s="23">
        <v>45966.927615740744</v>
      </c>
      <c r="I13" s="5">
        <v>400</v>
      </c>
    </row>
    <row r="14" spans="1:9" ht="15.75" customHeight="1">
      <c r="A14" s="5">
        <v>13</v>
      </c>
      <c r="C14" s="10" t="s">
        <v>23172</v>
      </c>
      <c r="F14" s="5">
        <v>66</v>
      </c>
      <c r="H14" s="23">
        <v>45966.927916666667</v>
      </c>
      <c r="I14" s="5">
        <v>66</v>
      </c>
    </row>
    <row r="15" spans="1:9" ht="15.75" customHeight="1">
      <c r="A15" s="5">
        <v>14</v>
      </c>
      <c r="C15" s="10" t="s">
        <v>23172</v>
      </c>
      <c r="F15" s="5">
        <v>66</v>
      </c>
      <c r="H15" s="23">
        <v>45966.928101851852</v>
      </c>
      <c r="I15" s="5">
        <v>66</v>
      </c>
    </row>
    <row r="16" spans="1:9" ht="15.75" customHeight="1">
      <c r="A16" s="5">
        <v>15</v>
      </c>
      <c r="B16" s="5" t="s">
        <v>23680</v>
      </c>
      <c r="C16" s="10" t="s">
        <v>23172</v>
      </c>
      <c r="F16" s="5">
        <v>66</v>
      </c>
      <c r="H16" s="23">
        <v>45966.928703703707</v>
      </c>
      <c r="I16" s="5">
        <v>66</v>
      </c>
    </row>
    <row r="17" spans="1:9" ht="15.75" customHeight="1">
      <c r="A17" s="5">
        <v>16</v>
      </c>
      <c r="B17" s="5" t="s">
        <v>23679</v>
      </c>
      <c r="C17" s="10" t="s">
        <v>23174</v>
      </c>
      <c r="D17" s="5" t="s">
        <v>23156</v>
      </c>
      <c r="F17" s="5">
        <v>24</v>
      </c>
      <c r="H17" s="23">
        <v>45968.426087962966</v>
      </c>
      <c r="I17" s="5">
        <v>24</v>
      </c>
    </row>
    <row r="18" spans="1:9" ht="15.75" customHeight="1">
      <c r="A18" s="5">
        <v>17</v>
      </c>
      <c r="B18" s="5" t="s">
        <v>23680</v>
      </c>
      <c r="C18" s="10" t="s">
        <v>23174</v>
      </c>
      <c r="E18" s="5" t="s">
        <v>23682</v>
      </c>
      <c r="F18" s="5">
        <v>2</v>
      </c>
      <c r="H18" s="23">
        <v>45968.42759259259</v>
      </c>
      <c r="I18" s="5">
        <v>2</v>
      </c>
    </row>
    <row r="19" spans="1:9" ht="15.75" customHeight="1">
      <c r="H19" s="23"/>
    </row>
    <row r="20" spans="1:9" ht="15.75" customHeight="1">
      <c r="H20" s="23"/>
    </row>
    <row r="21" spans="1:9" ht="15.75" customHeight="1">
      <c r="H21" s="23"/>
    </row>
    <row r="22" spans="1:9" ht="12.5">
      <c r="H22" s="23"/>
    </row>
    <row r="23" spans="1:9" ht="12.5">
      <c r="H23" s="23"/>
    </row>
    <row r="24" spans="1:9" ht="12.5">
      <c r="H24" s="23"/>
    </row>
    <row r="25" spans="1:9" ht="12.5">
      <c r="H25" s="23"/>
    </row>
    <row r="26" spans="1:9" ht="12.5">
      <c r="H26" s="23"/>
    </row>
    <row r="27" spans="1:9" ht="12.5">
      <c r="H27" s="23"/>
    </row>
    <row r="28" spans="1:9" ht="12.5">
      <c r="H28" s="23"/>
    </row>
    <row r="29" spans="1:9" ht="12.5">
      <c r="H29" s="23"/>
    </row>
    <row r="30" spans="1:9" ht="12.5">
      <c r="H30" s="23"/>
    </row>
    <row r="31" spans="1:9" ht="12.5">
      <c r="H31" s="23"/>
    </row>
    <row r="32" spans="1:9" ht="12.5">
      <c r="H32" s="23"/>
    </row>
    <row r="33" spans="8:8" ht="12.5">
      <c r="H33" s="23"/>
    </row>
    <row r="34" spans="8:8" ht="12.5">
      <c r="H34" s="23"/>
    </row>
    <row r="35" spans="8:8" ht="12.5">
      <c r="H35" s="23"/>
    </row>
    <row r="36" spans="8:8" ht="12.5">
      <c r="H36" s="23"/>
    </row>
    <row r="37" spans="8:8" ht="12.5">
      <c r="H37" s="23"/>
    </row>
    <row r="38" spans="8:8" ht="12.5">
      <c r="H38" s="23"/>
    </row>
    <row r="39" spans="8:8" ht="12.5">
      <c r="H39" s="9"/>
    </row>
    <row r="40" spans="8:8" ht="12.5">
      <c r="H40" s="9"/>
    </row>
    <row r="41" spans="8:8" ht="12.5">
      <c r="H41" s="9"/>
    </row>
    <row r="42" spans="8:8" ht="12.5">
      <c r="H42" s="9"/>
    </row>
    <row r="43" spans="8:8" ht="12.5">
      <c r="H43" s="9"/>
    </row>
    <row r="44" spans="8:8" ht="12.5">
      <c r="H44"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1000"/>
  <sheetViews>
    <sheetView workbookViewId="0"/>
  </sheetViews>
  <sheetFormatPr baseColWidth="10" defaultColWidth="12.6328125" defaultRowHeight="15.75" customHeight="1"/>
  <cols>
    <col min="2" max="3" width="23.08984375" customWidth="1"/>
    <col min="4" max="4" width="19.90625" customWidth="1"/>
  </cols>
  <sheetData>
    <row r="1" spans="1:7" ht="15.75" customHeight="1">
      <c r="A1" s="5" t="s">
        <v>22864</v>
      </c>
      <c r="B1" s="50" t="s">
        <v>23683</v>
      </c>
      <c r="C1" s="5" t="s">
        <v>23684</v>
      </c>
      <c r="D1" s="5" t="s">
        <v>23685</v>
      </c>
      <c r="E1" s="5" t="s">
        <v>23686</v>
      </c>
      <c r="F1" s="5" t="s">
        <v>15</v>
      </c>
      <c r="G1" s="5" t="s">
        <v>23687</v>
      </c>
    </row>
    <row r="2" spans="1:7" ht="15.75" customHeight="1">
      <c r="A2" s="5">
        <v>57</v>
      </c>
      <c r="B2" s="50" t="s">
        <v>23155</v>
      </c>
      <c r="C2" s="5" t="s">
        <v>23688</v>
      </c>
      <c r="D2" s="5" t="s">
        <v>23689</v>
      </c>
      <c r="E2" s="5"/>
      <c r="F2" s="5">
        <v>12</v>
      </c>
      <c r="G2" s="5" t="s">
        <v>23157</v>
      </c>
    </row>
    <row r="3" spans="1:7" ht="15.75" customHeight="1">
      <c r="A3" s="5">
        <v>57</v>
      </c>
      <c r="B3" s="50" t="s">
        <v>23159</v>
      </c>
      <c r="C3" s="5" t="s">
        <v>23688</v>
      </c>
      <c r="D3" s="5" t="s">
        <v>23690</v>
      </c>
      <c r="E3" s="5"/>
      <c r="F3" s="5">
        <v>1</v>
      </c>
      <c r="G3" s="5" t="s">
        <v>23691</v>
      </c>
    </row>
    <row r="4" spans="1:7" ht="15.75" customHeight="1">
      <c r="A4" s="5">
        <v>57</v>
      </c>
      <c r="B4" s="50" t="s">
        <v>23692</v>
      </c>
      <c r="C4" s="5" t="s">
        <v>23688</v>
      </c>
      <c r="D4" s="5" t="s">
        <v>23693</v>
      </c>
      <c r="E4" s="5"/>
      <c r="F4" s="5">
        <v>1</v>
      </c>
      <c r="G4" s="5" t="s">
        <v>23691</v>
      </c>
    </row>
    <row r="5" spans="1:7" ht="15.75" customHeight="1">
      <c r="A5" s="5">
        <v>57</v>
      </c>
      <c r="B5" s="50" t="s">
        <v>23694</v>
      </c>
      <c r="C5" s="5" t="s">
        <v>23688</v>
      </c>
      <c r="D5" s="5" t="s">
        <v>23695</v>
      </c>
      <c r="E5" s="5"/>
      <c r="F5" s="5">
        <v>1</v>
      </c>
      <c r="G5" s="5" t="s">
        <v>23157</v>
      </c>
    </row>
    <row r="6" spans="1:7" ht="15.75" customHeight="1">
      <c r="A6" s="5">
        <v>57</v>
      </c>
      <c r="B6" s="50" t="s">
        <v>23696</v>
      </c>
      <c r="C6" s="5" t="s">
        <v>23688</v>
      </c>
      <c r="D6" s="5" t="s">
        <v>23697</v>
      </c>
      <c r="E6" s="5"/>
      <c r="F6" s="5">
        <v>1</v>
      </c>
      <c r="G6" s="5" t="s">
        <v>23157</v>
      </c>
    </row>
    <row r="7" spans="1:7" ht="15.75" customHeight="1">
      <c r="A7" s="5">
        <v>57</v>
      </c>
      <c r="B7" s="50" t="s">
        <v>23698</v>
      </c>
      <c r="C7" s="5" t="s">
        <v>23688</v>
      </c>
      <c r="D7" s="5" t="s">
        <v>23699</v>
      </c>
      <c r="E7" s="5"/>
      <c r="F7" s="5">
        <v>1</v>
      </c>
      <c r="G7" s="5" t="s">
        <v>23157</v>
      </c>
    </row>
    <row r="8" spans="1:7" ht="15.75" customHeight="1">
      <c r="A8" s="5">
        <v>57</v>
      </c>
      <c r="B8" s="50" t="s">
        <v>23700</v>
      </c>
      <c r="C8" s="5" t="s">
        <v>23688</v>
      </c>
      <c r="D8" s="5" t="s">
        <v>23701</v>
      </c>
      <c r="E8" s="5"/>
      <c r="F8" s="5">
        <v>1</v>
      </c>
      <c r="G8" s="5" t="s">
        <v>23691</v>
      </c>
    </row>
    <row r="9" spans="1:7" ht="15.75" customHeight="1">
      <c r="B9" s="50"/>
    </row>
    <row r="10" spans="1:7" ht="15.75" customHeight="1">
      <c r="B10" s="50"/>
    </row>
    <row r="11" spans="1:7" ht="15.75" customHeight="1">
      <c r="B11" s="50"/>
    </row>
    <row r="12" spans="1:7" ht="15.75" customHeight="1">
      <c r="B12" s="50"/>
    </row>
    <row r="13" spans="1:7" ht="15.75" customHeight="1">
      <c r="B13" s="50"/>
    </row>
    <row r="14" spans="1:7" ht="15.75" customHeight="1">
      <c r="B14" s="50"/>
    </row>
    <row r="15" spans="1:7" ht="15.75" customHeight="1">
      <c r="B15" s="50"/>
    </row>
    <row r="16" spans="1:7" ht="15.75" customHeight="1">
      <c r="B16" s="50"/>
    </row>
    <row r="17" spans="2:2" ht="15.75" customHeight="1">
      <c r="B17" s="50"/>
    </row>
    <row r="18" spans="2:2" ht="15.75" customHeight="1">
      <c r="B18" s="50"/>
    </row>
    <row r="19" spans="2:2" ht="15.75" customHeight="1">
      <c r="B19" s="50"/>
    </row>
    <row r="20" spans="2:2" ht="15.75" customHeight="1">
      <c r="B20" s="50"/>
    </row>
    <row r="21" spans="2:2" ht="15.75" customHeight="1">
      <c r="B21" s="50"/>
    </row>
    <row r="22" spans="2:2" ht="12.5">
      <c r="B22" s="50"/>
    </row>
    <row r="23" spans="2:2" ht="12.5">
      <c r="B23" s="50"/>
    </row>
    <row r="24" spans="2:2" ht="12.5">
      <c r="B24" s="50"/>
    </row>
    <row r="25" spans="2:2" ht="12.5">
      <c r="B25" s="50"/>
    </row>
    <row r="26" spans="2:2" ht="12.5">
      <c r="B26" s="50"/>
    </row>
    <row r="27" spans="2:2" ht="12.5">
      <c r="B27" s="50"/>
    </row>
    <row r="28" spans="2:2" ht="12.5">
      <c r="B28" s="50"/>
    </row>
    <row r="29" spans="2:2" ht="12.5">
      <c r="B29" s="50"/>
    </row>
    <row r="30" spans="2:2" ht="12.5">
      <c r="B30" s="50"/>
    </row>
    <row r="31" spans="2:2" ht="12.5">
      <c r="B31" s="50"/>
    </row>
    <row r="32" spans="2:2" ht="12.5">
      <c r="B32" s="50"/>
    </row>
    <row r="33" spans="2:2" ht="12.5">
      <c r="B33" s="50"/>
    </row>
    <row r="34" spans="2:2" ht="12.5">
      <c r="B34" s="50"/>
    </row>
    <row r="35" spans="2:2" ht="12.5">
      <c r="B35" s="50"/>
    </row>
    <row r="36" spans="2:2" ht="12.5">
      <c r="B36" s="50"/>
    </row>
    <row r="37" spans="2:2" ht="12.5">
      <c r="B37" s="50"/>
    </row>
    <row r="38" spans="2:2" ht="12.5">
      <c r="B38" s="50"/>
    </row>
    <row r="39" spans="2:2" ht="12.5">
      <c r="B39" s="50"/>
    </row>
    <row r="40" spans="2:2" ht="12.5">
      <c r="B40" s="50"/>
    </row>
    <row r="41" spans="2:2" ht="12.5">
      <c r="B41" s="50"/>
    </row>
    <row r="42" spans="2:2" ht="12.5">
      <c r="B42" s="50"/>
    </row>
    <row r="43" spans="2:2" ht="12.5">
      <c r="B43" s="50"/>
    </row>
    <row r="44" spans="2:2" ht="12.5">
      <c r="B44" s="50"/>
    </row>
    <row r="45" spans="2:2" ht="12.5">
      <c r="B45" s="50"/>
    </row>
    <row r="46" spans="2:2" ht="12.5">
      <c r="B46" s="50"/>
    </row>
    <row r="47" spans="2:2" ht="12.5">
      <c r="B47" s="50"/>
    </row>
    <row r="48" spans="2:2" ht="12.5">
      <c r="B48" s="50"/>
    </row>
    <row r="49" spans="2:2" ht="12.5">
      <c r="B49" s="50"/>
    </row>
    <row r="50" spans="2:2" ht="12.5">
      <c r="B50" s="50"/>
    </row>
    <row r="51" spans="2:2" ht="12.5">
      <c r="B51" s="50"/>
    </row>
    <row r="52" spans="2:2" ht="12.5">
      <c r="B52" s="50"/>
    </row>
    <row r="53" spans="2:2" ht="12.5">
      <c r="B53" s="50"/>
    </row>
    <row r="54" spans="2:2" ht="12.5">
      <c r="B54" s="50"/>
    </row>
    <row r="55" spans="2:2" ht="12.5">
      <c r="B55" s="50"/>
    </row>
    <row r="56" spans="2:2" ht="12.5">
      <c r="B56" s="50"/>
    </row>
    <row r="57" spans="2:2" ht="12.5">
      <c r="B57" s="50"/>
    </row>
    <row r="58" spans="2:2" ht="12.5">
      <c r="B58" s="50"/>
    </row>
    <row r="59" spans="2:2" ht="12.5">
      <c r="B59" s="50"/>
    </row>
    <row r="60" spans="2:2" ht="12.5">
      <c r="B60" s="50"/>
    </row>
    <row r="61" spans="2:2" ht="12.5">
      <c r="B61" s="50"/>
    </row>
    <row r="62" spans="2:2" ht="12.5">
      <c r="B62" s="50"/>
    </row>
    <row r="63" spans="2:2" ht="12.5">
      <c r="B63" s="50"/>
    </row>
    <row r="64" spans="2:2" ht="12.5">
      <c r="B64" s="50"/>
    </row>
    <row r="65" spans="2:2" ht="12.5">
      <c r="B65" s="50"/>
    </row>
    <row r="66" spans="2:2" ht="12.5">
      <c r="B66" s="50"/>
    </row>
    <row r="67" spans="2:2" ht="12.5">
      <c r="B67" s="50"/>
    </row>
    <row r="68" spans="2:2" ht="12.5">
      <c r="B68" s="50"/>
    </row>
    <row r="69" spans="2:2" ht="12.5">
      <c r="B69" s="50"/>
    </row>
    <row r="70" spans="2:2" ht="12.5">
      <c r="B70" s="50"/>
    </row>
    <row r="71" spans="2:2" ht="12.5">
      <c r="B71" s="50"/>
    </row>
    <row r="72" spans="2:2" ht="12.5">
      <c r="B72" s="50"/>
    </row>
    <row r="73" spans="2:2" ht="12.5">
      <c r="B73" s="50"/>
    </row>
    <row r="74" spans="2:2" ht="12.5">
      <c r="B74" s="50"/>
    </row>
    <row r="75" spans="2:2" ht="12.5">
      <c r="B75" s="50"/>
    </row>
    <row r="76" spans="2:2" ht="12.5">
      <c r="B76" s="50"/>
    </row>
    <row r="77" spans="2:2" ht="12.5">
      <c r="B77" s="50"/>
    </row>
    <row r="78" spans="2:2" ht="12.5">
      <c r="B78" s="50"/>
    </row>
    <row r="79" spans="2:2" ht="12.5">
      <c r="B79" s="50"/>
    </row>
    <row r="80" spans="2:2" ht="12.5">
      <c r="B80" s="50"/>
    </row>
    <row r="81" spans="2:2" ht="12.5">
      <c r="B81" s="50"/>
    </row>
    <row r="82" spans="2:2" ht="12.5">
      <c r="B82" s="50"/>
    </row>
    <row r="83" spans="2:2" ht="12.5">
      <c r="B83" s="50"/>
    </row>
    <row r="84" spans="2:2" ht="12.5">
      <c r="B84" s="50"/>
    </row>
    <row r="85" spans="2:2" ht="12.5">
      <c r="B85" s="50"/>
    </row>
    <row r="86" spans="2:2" ht="12.5">
      <c r="B86" s="50"/>
    </row>
    <row r="87" spans="2:2" ht="12.5">
      <c r="B87" s="50"/>
    </row>
    <row r="88" spans="2:2" ht="12.5">
      <c r="B88" s="50"/>
    </row>
    <row r="89" spans="2:2" ht="12.5">
      <c r="B89" s="50"/>
    </row>
    <row r="90" spans="2:2" ht="12.5">
      <c r="B90" s="50"/>
    </row>
    <row r="91" spans="2:2" ht="12.5">
      <c r="B91" s="50"/>
    </row>
    <row r="92" spans="2:2" ht="12.5">
      <c r="B92" s="50"/>
    </row>
    <row r="93" spans="2:2" ht="12.5">
      <c r="B93" s="50"/>
    </row>
    <row r="94" spans="2:2" ht="12.5">
      <c r="B94" s="50"/>
    </row>
    <row r="95" spans="2:2" ht="12.5">
      <c r="B95" s="50"/>
    </row>
    <row r="96" spans="2:2" ht="12.5">
      <c r="B96" s="50"/>
    </row>
    <row r="97" spans="2:2" ht="12.5">
      <c r="B97" s="50"/>
    </row>
    <row r="98" spans="2:2" ht="12.5">
      <c r="B98" s="50"/>
    </row>
    <row r="99" spans="2:2" ht="12.5">
      <c r="B99" s="50"/>
    </row>
    <row r="100" spans="2:2" ht="12.5">
      <c r="B100" s="50"/>
    </row>
    <row r="101" spans="2:2" ht="12.5">
      <c r="B101" s="50"/>
    </row>
    <row r="102" spans="2:2" ht="12.5">
      <c r="B102" s="50"/>
    </row>
    <row r="103" spans="2:2" ht="12.5">
      <c r="B103" s="50"/>
    </row>
    <row r="104" spans="2:2" ht="12.5">
      <c r="B104" s="50"/>
    </row>
    <row r="105" spans="2:2" ht="12.5">
      <c r="B105" s="50"/>
    </row>
    <row r="106" spans="2:2" ht="12.5">
      <c r="B106" s="50"/>
    </row>
    <row r="107" spans="2:2" ht="12.5">
      <c r="B107" s="50"/>
    </row>
    <row r="108" spans="2:2" ht="12.5">
      <c r="B108" s="50"/>
    </row>
    <row r="109" spans="2:2" ht="12.5">
      <c r="B109" s="50"/>
    </row>
    <row r="110" spans="2:2" ht="12.5">
      <c r="B110" s="50"/>
    </row>
    <row r="111" spans="2:2" ht="12.5">
      <c r="B111" s="50"/>
    </row>
    <row r="112" spans="2:2" ht="12.5">
      <c r="B112" s="50"/>
    </row>
    <row r="113" spans="2:2" ht="12.5">
      <c r="B113" s="50"/>
    </row>
    <row r="114" spans="2:2" ht="12.5">
      <c r="B114" s="50"/>
    </row>
    <row r="115" spans="2:2" ht="12.5">
      <c r="B115" s="50"/>
    </row>
    <row r="116" spans="2:2" ht="12.5">
      <c r="B116" s="50"/>
    </row>
    <row r="117" spans="2:2" ht="12.5">
      <c r="B117" s="50"/>
    </row>
    <row r="118" spans="2:2" ht="12.5">
      <c r="B118" s="50"/>
    </row>
    <row r="119" spans="2:2" ht="12.5">
      <c r="B119" s="50"/>
    </row>
    <row r="120" spans="2:2" ht="12.5">
      <c r="B120" s="50"/>
    </row>
    <row r="121" spans="2:2" ht="12.5">
      <c r="B121" s="50"/>
    </row>
    <row r="122" spans="2:2" ht="12.5">
      <c r="B122" s="50"/>
    </row>
    <row r="123" spans="2:2" ht="12.5">
      <c r="B123" s="50"/>
    </row>
    <row r="124" spans="2:2" ht="12.5">
      <c r="B124" s="50"/>
    </row>
    <row r="125" spans="2:2" ht="12.5">
      <c r="B125" s="50"/>
    </row>
    <row r="126" spans="2:2" ht="12.5">
      <c r="B126" s="50"/>
    </row>
    <row r="127" spans="2:2" ht="12.5">
      <c r="B127" s="50"/>
    </row>
    <row r="128" spans="2:2" ht="12.5">
      <c r="B128" s="50"/>
    </row>
    <row r="129" spans="2:2" ht="12.5">
      <c r="B129" s="50"/>
    </row>
    <row r="130" spans="2:2" ht="12.5">
      <c r="B130" s="50"/>
    </row>
    <row r="131" spans="2:2" ht="12.5">
      <c r="B131" s="50"/>
    </row>
    <row r="132" spans="2:2" ht="12.5">
      <c r="B132" s="50"/>
    </row>
    <row r="133" spans="2:2" ht="12.5">
      <c r="B133" s="50"/>
    </row>
    <row r="134" spans="2:2" ht="12.5">
      <c r="B134" s="50"/>
    </row>
    <row r="135" spans="2:2" ht="12.5">
      <c r="B135" s="50"/>
    </row>
    <row r="136" spans="2:2" ht="12.5">
      <c r="B136" s="50"/>
    </row>
    <row r="137" spans="2:2" ht="12.5">
      <c r="B137" s="50"/>
    </row>
    <row r="138" spans="2:2" ht="12.5">
      <c r="B138" s="50"/>
    </row>
    <row r="139" spans="2:2" ht="12.5">
      <c r="B139" s="50"/>
    </row>
    <row r="140" spans="2:2" ht="12.5">
      <c r="B140" s="50"/>
    </row>
    <row r="141" spans="2:2" ht="12.5">
      <c r="B141" s="50"/>
    </row>
    <row r="142" spans="2:2" ht="12.5">
      <c r="B142" s="50"/>
    </row>
    <row r="143" spans="2:2" ht="12.5">
      <c r="B143" s="50"/>
    </row>
    <row r="144" spans="2:2" ht="12.5">
      <c r="B144" s="50"/>
    </row>
    <row r="145" spans="2:2" ht="12.5">
      <c r="B145" s="50"/>
    </row>
    <row r="146" spans="2:2" ht="12.5">
      <c r="B146" s="50"/>
    </row>
    <row r="147" spans="2:2" ht="12.5">
      <c r="B147" s="50"/>
    </row>
    <row r="148" spans="2:2" ht="12.5">
      <c r="B148" s="50"/>
    </row>
    <row r="149" spans="2:2" ht="12.5">
      <c r="B149" s="50"/>
    </row>
    <row r="150" spans="2:2" ht="12.5">
      <c r="B150" s="50"/>
    </row>
    <row r="151" spans="2:2" ht="12.5">
      <c r="B151" s="50"/>
    </row>
    <row r="152" spans="2:2" ht="12.5">
      <c r="B152" s="50"/>
    </row>
    <row r="153" spans="2:2" ht="12.5">
      <c r="B153" s="50"/>
    </row>
    <row r="154" spans="2:2" ht="12.5">
      <c r="B154" s="50"/>
    </row>
    <row r="155" spans="2:2" ht="12.5">
      <c r="B155" s="50"/>
    </row>
    <row r="156" spans="2:2" ht="12.5">
      <c r="B156" s="50"/>
    </row>
    <row r="157" spans="2:2" ht="12.5">
      <c r="B157" s="50"/>
    </row>
    <row r="158" spans="2:2" ht="12.5">
      <c r="B158" s="50"/>
    </row>
    <row r="159" spans="2:2" ht="12.5">
      <c r="B159" s="50"/>
    </row>
    <row r="160" spans="2:2" ht="12.5">
      <c r="B160" s="50"/>
    </row>
    <row r="161" spans="2:2" ht="12.5">
      <c r="B161" s="50"/>
    </row>
    <row r="162" spans="2:2" ht="12.5">
      <c r="B162" s="50"/>
    </row>
    <row r="163" spans="2:2" ht="12.5">
      <c r="B163" s="50"/>
    </row>
    <row r="164" spans="2:2" ht="12.5">
      <c r="B164" s="50"/>
    </row>
    <row r="165" spans="2:2" ht="12.5">
      <c r="B165" s="50"/>
    </row>
    <row r="166" spans="2:2" ht="12.5">
      <c r="B166" s="50"/>
    </row>
    <row r="167" spans="2:2" ht="12.5">
      <c r="B167" s="50"/>
    </row>
    <row r="168" spans="2:2" ht="12.5">
      <c r="B168" s="50"/>
    </row>
    <row r="169" spans="2:2" ht="12.5">
      <c r="B169" s="50"/>
    </row>
    <row r="170" spans="2:2" ht="12.5">
      <c r="B170" s="50"/>
    </row>
    <row r="171" spans="2:2" ht="12.5">
      <c r="B171" s="50"/>
    </row>
    <row r="172" spans="2:2" ht="12.5">
      <c r="B172" s="50"/>
    </row>
    <row r="173" spans="2:2" ht="12.5">
      <c r="B173" s="50"/>
    </row>
    <row r="174" spans="2:2" ht="12.5">
      <c r="B174" s="50"/>
    </row>
    <row r="175" spans="2:2" ht="12.5">
      <c r="B175" s="50"/>
    </row>
    <row r="176" spans="2:2" ht="12.5">
      <c r="B176" s="50"/>
    </row>
    <row r="177" spans="2:2" ht="12.5">
      <c r="B177" s="50"/>
    </row>
    <row r="178" spans="2:2" ht="12.5">
      <c r="B178" s="50"/>
    </row>
    <row r="179" spans="2:2" ht="12.5">
      <c r="B179" s="50"/>
    </row>
    <row r="180" spans="2:2" ht="12.5">
      <c r="B180" s="50"/>
    </row>
    <row r="181" spans="2:2" ht="12.5">
      <c r="B181" s="50"/>
    </row>
    <row r="182" spans="2:2" ht="12.5">
      <c r="B182" s="50"/>
    </row>
    <row r="183" spans="2:2" ht="12.5">
      <c r="B183" s="50"/>
    </row>
    <row r="184" spans="2:2" ht="12.5">
      <c r="B184" s="50"/>
    </row>
    <row r="185" spans="2:2" ht="12.5">
      <c r="B185" s="50"/>
    </row>
    <row r="186" spans="2:2" ht="12.5">
      <c r="B186" s="50"/>
    </row>
    <row r="187" spans="2:2" ht="12.5">
      <c r="B187" s="50"/>
    </row>
    <row r="188" spans="2:2" ht="12.5">
      <c r="B188" s="50"/>
    </row>
    <row r="189" spans="2:2" ht="12.5">
      <c r="B189" s="50"/>
    </row>
    <row r="190" spans="2:2" ht="12.5">
      <c r="B190" s="50"/>
    </row>
    <row r="191" spans="2:2" ht="12.5">
      <c r="B191" s="50"/>
    </row>
    <row r="192" spans="2:2" ht="12.5">
      <c r="B192" s="50"/>
    </row>
    <row r="193" spans="2:2" ht="12.5">
      <c r="B193" s="50"/>
    </row>
    <row r="194" spans="2:2" ht="12.5">
      <c r="B194" s="50"/>
    </row>
    <row r="195" spans="2:2" ht="12.5">
      <c r="B195" s="50"/>
    </row>
    <row r="196" spans="2:2" ht="12.5">
      <c r="B196" s="50"/>
    </row>
    <row r="197" spans="2:2" ht="12.5">
      <c r="B197" s="50"/>
    </row>
    <row r="198" spans="2:2" ht="12.5">
      <c r="B198" s="50"/>
    </row>
    <row r="199" spans="2:2" ht="12.5">
      <c r="B199" s="50"/>
    </row>
    <row r="200" spans="2:2" ht="12.5">
      <c r="B200" s="50"/>
    </row>
    <row r="201" spans="2:2" ht="12.5">
      <c r="B201" s="50"/>
    </row>
    <row r="202" spans="2:2" ht="12.5">
      <c r="B202" s="50"/>
    </row>
    <row r="203" spans="2:2" ht="12.5">
      <c r="B203" s="50"/>
    </row>
    <row r="204" spans="2:2" ht="12.5">
      <c r="B204" s="50"/>
    </row>
    <row r="205" spans="2:2" ht="12.5">
      <c r="B205" s="50"/>
    </row>
    <row r="206" spans="2:2" ht="12.5">
      <c r="B206" s="50"/>
    </row>
    <row r="207" spans="2:2" ht="12.5">
      <c r="B207" s="50"/>
    </row>
    <row r="208" spans="2:2" ht="12.5">
      <c r="B208" s="50"/>
    </row>
    <row r="209" spans="2:2" ht="12.5">
      <c r="B209" s="50"/>
    </row>
    <row r="210" spans="2:2" ht="12.5">
      <c r="B210" s="50"/>
    </row>
    <row r="211" spans="2:2" ht="12.5">
      <c r="B211" s="50"/>
    </row>
    <row r="212" spans="2:2" ht="12.5">
      <c r="B212" s="50"/>
    </row>
    <row r="213" spans="2:2" ht="12.5">
      <c r="B213" s="50"/>
    </row>
    <row r="214" spans="2:2" ht="12.5">
      <c r="B214" s="50"/>
    </row>
    <row r="215" spans="2:2" ht="12.5">
      <c r="B215" s="50"/>
    </row>
    <row r="216" spans="2:2" ht="12.5">
      <c r="B216" s="50"/>
    </row>
    <row r="217" spans="2:2" ht="12.5">
      <c r="B217" s="50"/>
    </row>
    <row r="218" spans="2:2" ht="12.5">
      <c r="B218" s="50"/>
    </row>
    <row r="219" spans="2:2" ht="12.5">
      <c r="B219" s="50"/>
    </row>
    <row r="220" spans="2:2" ht="12.5">
      <c r="B220" s="50"/>
    </row>
    <row r="221" spans="2:2" ht="12.5">
      <c r="B221" s="50"/>
    </row>
    <row r="222" spans="2:2" ht="12.5">
      <c r="B222" s="50"/>
    </row>
    <row r="223" spans="2:2" ht="12.5">
      <c r="B223" s="50"/>
    </row>
    <row r="224" spans="2:2" ht="12.5">
      <c r="B224" s="50"/>
    </row>
    <row r="225" spans="2:2" ht="12.5">
      <c r="B225" s="50"/>
    </row>
    <row r="226" spans="2:2" ht="12.5">
      <c r="B226" s="50"/>
    </row>
    <row r="227" spans="2:2" ht="12.5">
      <c r="B227" s="50"/>
    </row>
    <row r="228" spans="2:2" ht="12.5">
      <c r="B228" s="50"/>
    </row>
    <row r="229" spans="2:2" ht="12.5">
      <c r="B229" s="50"/>
    </row>
    <row r="230" spans="2:2" ht="12.5">
      <c r="B230" s="50"/>
    </row>
    <row r="231" spans="2:2" ht="12.5">
      <c r="B231" s="50"/>
    </row>
    <row r="232" spans="2:2" ht="12.5">
      <c r="B232" s="50"/>
    </row>
    <row r="233" spans="2:2" ht="12.5">
      <c r="B233" s="50"/>
    </row>
    <row r="234" spans="2:2" ht="12.5">
      <c r="B234" s="50"/>
    </row>
    <row r="235" spans="2:2" ht="12.5">
      <c r="B235" s="50"/>
    </row>
    <row r="236" spans="2:2" ht="12.5">
      <c r="B236" s="50"/>
    </row>
    <row r="237" spans="2:2" ht="12.5">
      <c r="B237" s="50"/>
    </row>
    <row r="238" spans="2:2" ht="12.5">
      <c r="B238" s="50"/>
    </row>
    <row r="239" spans="2:2" ht="12.5">
      <c r="B239" s="50"/>
    </row>
    <row r="240" spans="2:2" ht="12.5">
      <c r="B240" s="50"/>
    </row>
    <row r="241" spans="2:2" ht="12.5">
      <c r="B241" s="50"/>
    </row>
    <row r="242" spans="2:2" ht="12.5">
      <c r="B242" s="50"/>
    </row>
    <row r="243" spans="2:2" ht="12.5">
      <c r="B243" s="50"/>
    </row>
    <row r="244" spans="2:2" ht="12.5">
      <c r="B244" s="50"/>
    </row>
    <row r="245" spans="2:2" ht="12.5">
      <c r="B245" s="50"/>
    </row>
    <row r="246" spans="2:2" ht="12.5">
      <c r="B246" s="50"/>
    </row>
    <row r="247" spans="2:2" ht="12.5">
      <c r="B247" s="50"/>
    </row>
    <row r="248" spans="2:2" ht="12.5">
      <c r="B248" s="50"/>
    </row>
    <row r="249" spans="2:2" ht="12.5">
      <c r="B249" s="50"/>
    </row>
    <row r="250" spans="2:2" ht="12.5">
      <c r="B250" s="50"/>
    </row>
    <row r="251" spans="2:2" ht="12.5">
      <c r="B251" s="50"/>
    </row>
    <row r="252" spans="2:2" ht="12.5">
      <c r="B252" s="50"/>
    </row>
    <row r="253" spans="2:2" ht="12.5">
      <c r="B253" s="50"/>
    </row>
    <row r="254" spans="2:2" ht="12.5">
      <c r="B254" s="50"/>
    </row>
    <row r="255" spans="2:2" ht="12.5">
      <c r="B255" s="50"/>
    </row>
    <row r="256" spans="2:2" ht="12.5">
      <c r="B256" s="50"/>
    </row>
    <row r="257" spans="2:2" ht="12.5">
      <c r="B257" s="50"/>
    </row>
    <row r="258" spans="2:2" ht="12.5">
      <c r="B258" s="50"/>
    </row>
    <row r="259" spans="2:2" ht="12.5">
      <c r="B259" s="50"/>
    </row>
    <row r="260" spans="2:2" ht="12.5">
      <c r="B260" s="50"/>
    </row>
    <row r="261" spans="2:2" ht="12.5">
      <c r="B261" s="50"/>
    </row>
    <row r="262" spans="2:2" ht="12.5">
      <c r="B262" s="50"/>
    </row>
    <row r="263" spans="2:2" ht="12.5">
      <c r="B263" s="50"/>
    </row>
    <row r="264" spans="2:2" ht="12.5">
      <c r="B264" s="50"/>
    </row>
    <row r="265" spans="2:2" ht="12.5">
      <c r="B265" s="50"/>
    </row>
    <row r="266" spans="2:2" ht="12.5">
      <c r="B266" s="50"/>
    </row>
    <row r="267" spans="2:2" ht="12.5">
      <c r="B267" s="50"/>
    </row>
    <row r="268" spans="2:2" ht="12.5">
      <c r="B268" s="50"/>
    </row>
    <row r="269" spans="2:2" ht="12.5">
      <c r="B269" s="50"/>
    </row>
    <row r="270" spans="2:2" ht="12.5">
      <c r="B270" s="50"/>
    </row>
    <row r="271" spans="2:2" ht="12.5">
      <c r="B271" s="50"/>
    </row>
    <row r="272" spans="2:2" ht="12.5">
      <c r="B272" s="50"/>
    </row>
    <row r="273" spans="2:2" ht="12.5">
      <c r="B273" s="50"/>
    </row>
    <row r="274" spans="2:2" ht="12.5">
      <c r="B274" s="50"/>
    </row>
    <row r="275" spans="2:2" ht="12.5">
      <c r="B275" s="50"/>
    </row>
    <row r="276" spans="2:2" ht="12.5">
      <c r="B276" s="50"/>
    </row>
    <row r="277" spans="2:2" ht="12.5">
      <c r="B277" s="50"/>
    </row>
    <row r="278" spans="2:2" ht="12.5">
      <c r="B278" s="50"/>
    </row>
    <row r="279" spans="2:2" ht="12.5">
      <c r="B279" s="50"/>
    </row>
    <row r="280" spans="2:2" ht="12.5">
      <c r="B280" s="50"/>
    </row>
    <row r="281" spans="2:2" ht="12.5">
      <c r="B281" s="50"/>
    </row>
    <row r="282" spans="2:2" ht="12.5">
      <c r="B282" s="50"/>
    </row>
    <row r="283" spans="2:2" ht="12.5">
      <c r="B283" s="50"/>
    </row>
    <row r="284" spans="2:2" ht="12.5">
      <c r="B284" s="50"/>
    </row>
    <row r="285" spans="2:2" ht="12.5">
      <c r="B285" s="50"/>
    </row>
    <row r="286" spans="2:2" ht="12.5">
      <c r="B286" s="50"/>
    </row>
    <row r="287" spans="2:2" ht="12.5">
      <c r="B287" s="50"/>
    </row>
    <row r="288" spans="2:2" ht="12.5">
      <c r="B288" s="50"/>
    </row>
    <row r="289" spans="2:2" ht="12.5">
      <c r="B289" s="50"/>
    </row>
    <row r="290" spans="2:2" ht="12.5">
      <c r="B290" s="50"/>
    </row>
    <row r="291" spans="2:2" ht="12.5">
      <c r="B291" s="50"/>
    </row>
    <row r="292" spans="2:2" ht="12.5">
      <c r="B292" s="50"/>
    </row>
    <row r="293" spans="2:2" ht="12.5">
      <c r="B293" s="50"/>
    </row>
    <row r="294" spans="2:2" ht="12.5">
      <c r="B294" s="50"/>
    </row>
    <row r="295" spans="2:2" ht="12.5">
      <c r="B295" s="50"/>
    </row>
    <row r="296" spans="2:2" ht="12.5">
      <c r="B296" s="50"/>
    </row>
    <row r="297" spans="2:2" ht="12.5">
      <c r="B297" s="50"/>
    </row>
    <row r="298" spans="2:2" ht="12.5">
      <c r="B298" s="50"/>
    </row>
    <row r="299" spans="2:2" ht="12.5">
      <c r="B299" s="50"/>
    </row>
    <row r="300" spans="2:2" ht="12.5">
      <c r="B300" s="50"/>
    </row>
    <row r="301" spans="2:2" ht="12.5">
      <c r="B301" s="50"/>
    </row>
    <row r="302" spans="2:2" ht="12.5">
      <c r="B302" s="50"/>
    </row>
    <row r="303" spans="2:2" ht="12.5">
      <c r="B303" s="50"/>
    </row>
    <row r="304" spans="2:2" ht="12.5">
      <c r="B304" s="50"/>
    </row>
    <row r="305" spans="2:2" ht="12.5">
      <c r="B305" s="50"/>
    </row>
    <row r="306" spans="2:2" ht="12.5">
      <c r="B306" s="50"/>
    </row>
    <row r="307" spans="2:2" ht="12.5">
      <c r="B307" s="50"/>
    </row>
    <row r="308" spans="2:2" ht="12.5">
      <c r="B308" s="50"/>
    </row>
    <row r="309" spans="2:2" ht="12.5">
      <c r="B309" s="50"/>
    </row>
    <row r="310" spans="2:2" ht="12.5">
      <c r="B310" s="50"/>
    </row>
    <row r="311" spans="2:2" ht="12.5">
      <c r="B311" s="50"/>
    </row>
    <row r="312" spans="2:2" ht="12.5">
      <c r="B312" s="50"/>
    </row>
    <row r="313" spans="2:2" ht="12.5">
      <c r="B313" s="50"/>
    </row>
    <row r="314" spans="2:2" ht="12.5">
      <c r="B314" s="50"/>
    </row>
    <row r="315" spans="2:2" ht="12.5">
      <c r="B315" s="50"/>
    </row>
    <row r="316" spans="2:2" ht="12.5">
      <c r="B316" s="50"/>
    </row>
    <row r="317" spans="2:2" ht="12.5">
      <c r="B317" s="50"/>
    </row>
    <row r="318" spans="2:2" ht="12.5">
      <c r="B318" s="50"/>
    </row>
    <row r="319" spans="2:2" ht="12.5">
      <c r="B319" s="50"/>
    </row>
    <row r="320" spans="2:2" ht="12.5">
      <c r="B320" s="50"/>
    </row>
    <row r="321" spans="2:2" ht="12.5">
      <c r="B321" s="50"/>
    </row>
    <row r="322" spans="2:2" ht="12.5">
      <c r="B322" s="50"/>
    </row>
    <row r="323" spans="2:2" ht="12.5">
      <c r="B323" s="50"/>
    </row>
    <row r="324" spans="2:2" ht="12.5">
      <c r="B324" s="50"/>
    </row>
    <row r="325" spans="2:2" ht="12.5">
      <c r="B325" s="50"/>
    </row>
    <row r="326" spans="2:2" ht="12.5">
      <c r="B326" s="50"/>
    </row>
    <row r="327" spans="2:2" ht="12.5">
      <c r="B327" s="50"/>
    </row>
    <row r="328" spans="2:2" ht="12.5">
      <c r="B328" s="50"/>
    </row>
    <row r="329" spans="2:2" ht="12.5">
      <c r="B329" s="50"/>
    </row>
    <row r="330" spans="2:2" ht="12.5">
      <c r="B330" s="50"/>
    </row>
    <row r="331" spans="2:2" ht="12.5">
      <c r="B331" s="50"/>
    </row>
    <row r="332" spans="2:2" ht="12.5">
      <c r="B332" s="50"/>
    </row>
    <row r="333" spans="2:2" ht="12.5">
      <c r="B333" s="50"/>
    </row>
    <row r="334" spans="2:2" ht="12.5">
      <c r="B334" s="50"/>
    </row>
    <row r="335" spans="2:2" ht="12.5">
      <c r="B335" s="50"/>
    </row>
    <row r="336" spans="2:2" ht="12.5">
      <c r="B336" s="50"/>
    </row>
    <row r="337" spans="2:2" ht="12.5">
      <c r="B337" s="50"/>
    </row>
    <row r="338" spans="2:2" ht="12.5">
      <c r="B338" s="50"/>
    </row>
    <row r="339" spans="2:2" ht="12.5">
      <c r="B339" s="50"/>
    </row>
    <row r="340" spans="2:2" ht="12.5">
      <c r="B340" s="50"/>
    </row>
    <row r="341" spans="2:2" ht="12.5">
      <c r="B341" s="50"/>
    </row>
    <row r="342" spans="2:2" ht="12.5">
      <c r="B342" s="50"/>
    </row>
    <row r="343" spans="2:2" ht="12.5">
      <c r="B343" s="50"/>
    </row>
    <row r="344" spans="2:2" ht="12.5">
      <c r="B344" s="50"/>
    </row>
    <row r="345" spans="2:2" ht="12.5">
      <c r="B345" s="50"/>
    </row>
    <row r="346" spans="2:2" ht="12.5">
      <c r="B346" s="50"/>
    </row>
    <row r="347" spans="2:2" ht="12.5">
      <c r="B347" s="50"/>
    </row>
    <row r="348" spans="2:2" ht="12.5">
      <c r="B348" s="50"/>
    </row>
    <row r="349" spans="2:2" ht="12.5">
      <c r="B349" s="50"/>
    </row>
    <row r="350" spans="2:2" ht="12.5">
      <c r="B350" s="50"/>
    </row>
    <row r="351" spans="2:2" ht="12.5">
      <c r="B351" s="50"/>
    </row>
    <row r="352" spans="2:2" ht="12.5">
      <c r="B352" s="50"/>
    </row>
    <row r="353" spans="2:2" ht="12.5">
      <c r="B353" s="50"/>
    </row>
    <row r="354" spans="2:2" ht="12.5">
      <c r="B354" s="50"/>
    </row>
    <row r="355" spans="2:2" ht="12.5">
      <c r="B355" s="50"/>
    </row>
    <row r="356" spans="2:2" ht="12.5">
      <c r="B356" s="50"/>
    </row>
    <row r="357" spans="2:2" ht="12.5">
      <c r="B357" s="50"/>
    </row>
    <row r="358" spans="2:2" ht="12.5">
      <c r="B358" s="50"/>
    </row>
    <row r="359" spans="2:2" ht="12.5">
      <c r="B359" s="50"/>
    </row>
    <row r="360" spans="2:2" ht="12.5">
      <c r="B360" s="50"/>
    </row>
    <row r="361" spans="2:2" ht="12.5">
      <c r="B361" s="50"/>
    </row>
    <row r="362" spans="2:2" ht="12.5">
      <c r="B362" s="50"/>
    </row>
    <row r="363" spans="2:2" ht="12.5">
      <c r="B363" s="50"/>
    </row>
    <row r="364" spans="2:2" ht="12.5">
      <c r="B364" s="50"/>
    </row>
    <row r="365" spans="2:2" ht="12.5">
      <c r="B365" s="50"/>
    </row>
    <row r="366" spans="2:2" ht="12.5">
      <c r="B366" s="50"/>
    </row>
    <row r="367" spans="2:2" ht="12.5">
      <c r="B367" s="50"/>
    </row>
    <row r="368" spans="2:2" ht="12.5">
      <c r="B368" s="50"/>
    </row>
    <row r="369" spans="2:2" ht="12.5">
      <c r="B369" s="50"/>
    </row>
    <row r="370" spans="2:2" ht="12.5">
      <c r="B370" s="50"/>
    </row>
    <row r="371" spans="2:2" ht="12.5">
      <c r="B371" s="50"/>
    </row>
    <row r="372" spans="2:2" ht="12.5">
      <c r="B372" s="50"/>
    </row>
    <row r="373" spans="2:2" ht="12.5">
      <c r="B373" s="50"/>
    </row>
    <row r="374" spans="2:2" ht="12.5">
      <c r="B374" s="50"/>
    </row>
    <row r="375" spans="2:2" ht="12.5">
      <c r="B375" s="50"/>
    </row>
    <row r="376" spans="2:2" ht="12.5">
      <c r="B376" s="50"/>
    </row>
    <row r="377" spans="2:2" ht="12.5">
      <c r="B377" s="50"/>
    </row>
    <row r="378" spans="2:2" ht="12.5">
      <c r="B378" s="50"/>
    </row>
    <row r="379" spans="2:2" ht="12.5">
      <c r="B379" s="50"/>
    </row>
    <row r="380" spans="2:2" ht="12.5">
      <c r="B380" s="50"/>
    </row>
    <row r="381" spans="2:2" ht="12.5">
      <c r="B381" s="50"/>
    </row>
    <row r="382" spans="2:2" ht="12.5">
      <c r="B382" s="50"/>
    </row>
    <row r="383" spans="2:2" ht="12.5">
      <c r="B383" s="50"/>
    </row>
    <row r="384" spans="2:2" ht="12.5">
      <c r="B384" s="50"/>
    </row>
    <row r="385" spans="2:2" ht="12.5">
      <c r="B385" s="50"/>
    </row>
    <row r="386" spans="2:2" ht="12.5">
      <c r="B386" s="50"/>
    </row>
    <row r="387" spans="2:2" ht="12.5">
      <c r="B387" s="50"/>
    </row>
    <row r="388" spans="2:2" ht="12.5">
      <c r="B388" s="50"/>
    </row>
    <row r="389" spans="2:2" ht="12.5">
      <c r="B389" s="50"/>
    </row>
    <row r="390" spans="2:2" ht="12.5">
      <c r="B390" s="50"/>
    </row>
    <row r="391" spans="2:2" ht="12.5">
      <c r="B391" s="50"/>
    </row>
    <row r="392" spans="2:2" ht="12.5">
      <c r="B392" s="50"/>
    </row>
    <row r="393" spans="2:2" ht="12.5">
      <c r="B393" s="50"/>
    </row>
    <row r="394" spans="2:2" ht="12.5">
      <c r="B394" s="50"/>
    </row>
    <row r="395" spans="2:2" ht="12.5">
      <c r="B395" s="50"/>
    </row>
    <row r="396" spans="2:2" ht="12.5">
      <c r="B396" s="50"/>
    </row>
    <row r="397" spans="2:2" ht="12.5">
      <c r="B397" s="50"/>
    </row>
    <row r="398" spans="2:2" ht="12.5">
      <c r="B398" s="50"/>
    </row>
    <row r="399" spans="2:2" ht="12.5">
      <c r="B399" s="50"/>
    </row>
    <row r="400" spans="2:2" ht="12.5">
      <c r="B400" s="50"/>
    </row>
    <row r="401" spans="2:2" ht="12.5">
      <c r="B401" s="50"/>
    </row>
    <row r="402" spans="2:2" ht="12.5">
      <c r="B402" s="50"/>
    </row>
    <row r="403" spans="2:2" ht="12.5">
      <c r="B403" s="50"/>
    </row>
    <row r="404" spans="2:2" ht="12.5">
      <c r="B404" s="50"/>
    </row>
    <row r="405" spans="2:2" ht="12.5">
      <c r="B405" s="50"/>
    </row>
    <row r="406" spans="2:2" ht="12.5">
      <c r="B406" s="50"/>
    </row>
    <row r="407" spans="2:2" ht="12.5">
      <c r="B407" s="50"/>
    </row>
    <row r="408" spans="2:2" ht="12.5">
      <c r="B408" s="50"/>
    </row>
    <row r="409" spans="2:2" ht="12.5">
      <c r="B409" s="50"/>
    </row>
    <row r="410" spans="2:2" ht="12.5">
      <c r="B410" s="50"/>
    </row>
    <row r="411" spans="2:2" ht="12.5">
      <c r="B411" s="50"/>
    </row>
    <row r="412" spans="2:2" ht="12.5">
      <c r="B412" s="50"/>
    </row>
    <row r="413" spans="2:2" ht="12.5">
      <c r="B413" s="50"/>
    </row>
    <row r="414" spans="2:2" ht="12.5">
      <c r="B414" s="50"/>
    </row>
    <row r="415" spans="2:2" ht="12.5">
      <c r="B415" s="50"/>
    </row>
    <row r="416" spans="2:2" ht="12.5">
      <c r="B416" s="50"/>
    </row>
    <row r="417" spans="2:2" ht="12.5">
      <c r="B417" s="50"/>
    </row>
    <row r="418" spans="2:2" ht="12.5">
      <c r="B418" s="50"/>
    </row>
    <row r="419" spans="2:2" ht="12.5">
      <c r="B419" s="50"/>
    </row>
    <row r="420" spans="2:2" ht="12.5">
      <c r="B420" s="50"/>
    </row>
    <row r="421" spans="2:2" ht="12.5">
      <c r="B421" s="50"/>
    </row>
    <row r="422" spans="2:2" ht="12.5">
      <c r="B422" s="50"/>
    </row>
    <row r="423" spans="2:2" ht="12.5">
      <c r="B423" s="50"/>
    </row>
    <row r="424" spans="2:2" ht="12.5">
      <c r="B424" s="50"/>
    </row>
    <row r="425" spans="2:2" ht="12.5">
      <c r="B425" s="50"/>
    </row>
    <row r="426" spans="2:2" ht="12.5">
      <c r="B426" s="50"/>
    </row>
    <row r="427" spans="2:2" ht="12.5">
      <c r="B427" s="50"/>
    </row>
    <row r="428" spans="2:2" ht="12.5">
      <c r="B428" s="50"/>
    </row>
    <row r="429" spans="2:2" ht="12.5">
      <c r="B429" s="50"/>
    </row>
    <row r="430" spans="2:2" ht="12.5">
      <c r="B430" s="50"/>
    </row>
    <row r="431" spans="2:2" ht="12.5">
      <c r="B431" s="50"/>
    </row>
    <row r="432" spans="2:2" ht="12.5">
      <c r="B432" s="50"/>
    </row>
    <row r="433" spans="2:2" ht="12.5">
      <c r="B433" s="50"/>
    </row>
    <row r="434" spans="2:2" ht="12.5">
      <c r="B434" s="50"/>
    </row>
    <row r="435" spans="2:2" ht="12.5">
      <c r="B435" s="50"/>
    </row>
    <row r="436" spans="2:2" ht="12.5">
      <c r="B436" s="50"/>
    </row>
    <row r="437" spans="2:2" ht="12.5">
      <c r="B437" s="50"/>
    </row>
    <row r="438" spans="2:2" ht="12.5">
      <c r="B438" s="50"/>
    </row>
    <row r="439" spans="2:2" ht="12.5">
      <c r="B439" s="50"/>
    </row>
    <row r="440" spans="2:2" ht="12.5">
      <c r="B440" s="50"/>
    </row>
    <row r="441" spans="2:2" ht="12.5">
      <c r="B441" s="50"/>
    </row>
    <row r="442" spans="2:2" ht="12.5">
      <c r="B442" s="50"/>
    </row>
    <row r="443" spans="2:2" ht="12.5">
      <c r="B443" s="50"/>
    </row>
    <row r="444" spans="2:2" ht="12.5">
      <c r="B444" s="50"/>
    </row>
    <row r="445" spans="2:2" ht="12.5">
      <c r="B445" s="50"/>
    </row>
    <row r="446" spans="2:2" ht="12.5">
      <c r="B446" s="50"/>
    </row>
    <row r="447" spans="2:2" ht="12.5">
      <c r="B447" s="50"/>
    </row>
    <row r="448" spans="2:2" ht="12.5">
      <c r="B448" s="50"/>
    </row>
    <row r="449" spans="2:2" ht="12.5">
      <c r="B449" s="50"/>
    </row>
    <row r="450" spans="2:2" ht="12.5">
      <c r="B450" s="50"/>
    </row>
    <row r="451" spans="2:2" ht="12.5">
      <c r="B451" s="50"/>
    </row>
    <row r="452" spans="2:2" ht="12.5">
      <c r="B452" s="50"/>
    </row>
    <row r="453" spans="2:2" ht="12.5">
      <c r="B453" s="50"/>
    </row>
    <row r="454" spans="2:2" ht="12.5">
      <c r="B454" s="50"/>
    </row>
    <row r="455" spans="2:2" ht="12.5">
      <c r="B455" s="50"/>
    </row>
    <row r="456" spans="2:2" ht="12.5">
      <c r="B456" s="50"/>
    </row>
    <row r="457" spans="2:2" ht="12.5">
      <c r="B457" s="50"/>
    </row>
    <row r="458" spans="2:2" ht="12.5">
      <c r="B458" s="50"/>
    </row>
    <row r="459" spans="2:2" ht="12.5">
      <c r="B459" s="50"/>
    </row>
    <row r="460" spans="2:2" ht="12.5">
      <c r="B460" s="50"/>
    </row>
    <row r="461" spans="2:2" ht="12.5">
      <c r="B461" s="50"/>
    </row>
    <row r="462" spans="2:2" ht="12.5">
      <c r="B462" s="50"/>
    </row>
    <row r="463" spans="2:2" ht="12.5">
      <c r="B463" s="50"/>
    </row>
    <row r="464" spans="2:2" ht="12.5">
      <c r="B464" s="50"/>
    </row>
    <row r="465" spans="2:2" ht="12.5">
      <c r="B465" s="50"/>
    </row>
    <row r="466" spans="2:2" ht="12.5">
      <c r="B466" s="50"/>
    </row>
    <row r="467" spans="2:2" ht="12.5">
      <c r="B467" s="50"/>
    </row>
    <row r="468" spans="2:2" ht="12.5">
      <c r="B468" s="50"/>
    </row>
    <row r="469" spans="2:2" ht="12.5">
      <c r="B469" s="50"/>
    </row>
    <row r="470" spans="2:2" ht="12.5">
      <c r="B470" s="50"/>
    </row>
    <row r="471" spans="2:2" ht="12.5">
      <c r="B471" s="50"/>
    </row>
    <row r="472" spans="2:2" ht="12.5">
      <c r="B472" s="50"/>
    </row>
    <row r="473" spans="2:2" ht="12.5">
      <c r="B473" s="50"/>
    </row>
    <row r="474" spans="2:2" ht="12.5">
      <c r="B474" s="50"/>
    </row>
    <row r="475" spans="2:2" ht="12.5">
      <c r="B475" s="50"/>
    </row>
    <row r="476" spans="2:2" ht="12.5">
      <c r="B476" s="50"/>
    </row>
    <row r="477" spans="2:2" ht="12.5">
      <c r="B477" s="50"/>
    </row>
    <row r="478" spans="2:2" ht="12.5">
      <c r="B478" s="50"/>
    </row>
    <row r="479" spans="2:2" ht="12.5">
      <c r="B479" s="50"/>
    </row>
    <row r="480" spans="2:2" ht="12.5">
      <c r="B480" s="50"/>
    </row>
    <row r="481" spans="2:2" ht="12.5">
      <c r="B481" s="50"/>
    </row>
    <row r="482" spans="2:2" ht="12.5">
      <c r="B482" s="50"/>
    </row>
    <row r="483" spans="2:2" ht="12.5">
      <c r="B483" s="50"/>
    </row>
    <row r="484" spans="2:2" ht="12.5">
      <c r="B484" s="50"/>
    </row>
    <row r="485" spans="2:2" ht="12.5">
      <c r="B485" s="50"/>
    </row>
    <row r="486" spans="2:2" ht="12.5">
      <c r="B486" s="50"/>
    </row>
    <row r="487" spans="2:2" ht="12.5">
      <c r="B487" s="50"/>
    </row>
    <row r="488" spans="2:2" ht="12.5">
      <c r="B488" s="50"/>
    </row>
    <row r="489" spans="2:2" ht="12.5">
      <c r="B489" s="50"/>
    </row>
    <row r="490" spans="2:2" ht="12.5">
      <c r="B490" s="50"/>
    </row>
    <row r="491" spans="2:2" ht="12.5">
      <c r="B491" s="50"/>
    </row>
    <row r="492" spans="2:2" ht="12.5">
      <c r="B492" s="50"/>
    </row>
    <row r="493" spans="2:2" ht="12.5">
      <c r="B493" s="50"/>
    </row>
    <row r="494" spans="2:2" ht="12.5">
      <c r="B494" s="50"/>
    </row>
    <row r="495" spans="2:2" ht="12.5">
      <c r="B495" s="50"/>
    </row>
    <row r="496" spans="2:2" ht="12.5">
      <c r="B496" s="50"/>
    </row>
    <row r="497" spans="2:2" ht="12.5">
      <c r="B497" s="50"/>
    </row>
    <row r="498" spans="2:2" ht="12.5">
      <c r="B498" s="50"/>
    </row>
    <row r="499" spans="2:2" ht="12.5">
      <c r="B499" s="50"/>
    </row>
    <row r="500" spans="2:2" ht="12.5">
      <c r="B500" s="50"/>
    </row>
    <row r="501" spans="2:2" ht="12.5">
      <c r="B501" s="50"/>
    </row>
    <row r="502" spans="2:2" ht="12.5">
      <c r="B502" s="50"/>
    </row>
    <row r="503" spans="2:2" ht="12.5">
      <c r="B503" s="50"/>
    </row>
    <row r="504" spans="2:2" ht="12.5">
      <c r="B504" s="50"/>
    </row>
    <row r="505" spans="2:2" ht="12.5">
      <c r="B505" s="50"/>
    </row>
    <row r="506" spans="2:2" ht="12.5">
      <c r="B506" s="50"/>
    </row>
    <row r="507" spans="2:2" ht="12.5">
      <c r="B507" s="50"/>
    </row>
    <row r="508" spans="2:2" ht="12.5">
      <c r="B508" s="50"/>
    </row>
    <row r="509" spans="2:2" ht="12.5">
      <c r="B509" s="50"/>
    </row>
    <row r="510" spans="2:2" ht="12.5">
      <c r="B510" s="50"/>
    </row>
    <row r="511" spans="2:2" ht="12.5">
      <c r="B511" s="50"/>
    </row>
    <row r="512" spans="2:2" ht="12.5">
      <c r="B512" s="50"/>
    </row>
    <row r="513" spans="2:2" ht="12.5">
      <c r="B513" s="50"/>
    </row>
    <row r="514" spans="2:2" ht="12.5">
      <c r="B514" s="50"/>
    </row>
    <row r="515" spans="2:2" ht="12.5">
      <c r="B515" s="50"/>
    </row>
    <row r="516" spans="2:2" ht="12.5">
      <c r="B516" s="50"/>
    </row>
    <row r="517" spans="2:2" ht="12.5">
      <c r="B517" s="50"/>
    </row>
    <row r="518" spans="2:2" ht="12.5">
      <c r="B518" s="50"/>
    </row>
    <row r="519" spans="2:2" ht="12.5">
      <c r="B519" s="50"/>
    </row>
    <row r="520" spans="2:2" ht="12.5">
      <c r="B520" s="50"/>
    </row>
    <row r="521" spans="2:2" ht="12.5">
      <c r="B521" s="50"/>
    </row>
    <row r="522" spans="2:2" ht="12.5">
      <c r="B522" s="50"/>
    </row>
    <row r="523" spans="2:2" ht="12.5">
      <c r="B523" s="50"/>
    </row>
    <row r="524" spans="2:2" ht="12.5">
      <c r="B524" s="50"/>
    </row>
    <row r="525" spans="2:2" ht="12.5">
      <c r="B525" s="50"/>
    </row>
    <row r="526" spans="2:2" ht="12.5">
      <c r="B526" s="50"/>
    </row>
    <row r="527" spans="2:2" ht="12.5">
      <c r="B527" s="50"/>
    </row>
    <row r="528" spans="2:2" ht="12.5">
      <c r="B528" s="50"/>
    </row>
    <row r="529" spans="2:2" ht="12.5">
      <c r="B529" s="50"/>
    </row>
    <row r="530" spans="2:2" ht="12.5">
      <c r="B530" s="50"/>
    </row>
    <row r="531" spans="2:2" ht="12.5">
      <c r="B531" s="50"/>
    </row>
    <row r="532" spans="2:2" ht="12.5">
      <c r="B532" s="50"/>
    </row>
    <row r="533" spans="2:2" ht="12.5">
      <c r="B533" s="50"/>
    </row>
    <row r="534" spans="2:2" ht="12.5">
      <c r="B534" s="50"/>
    </row>
    <row r="535" spans="2:2" ht="12.5">
      <c r="B535" s="50"/>
    </row>
    <row r="536" spans="2:2" ht="12.5">
      <c r="B536" s="50"/>
    </row>
    <row r="537" spans="2:2" ht="12.5">
      <c r="B537" s="50"/>
    </row>
    <row r="538" spans="2:2" ht="12.5">
      <c r="B538" s="50"/>
    </row>
    <row r="539" spans="2:2" ht="12.5">
      <c r="B539" s="50"/>
    </row>
    <row r="540" spans="2:2" ht="12.5">
      <c r="B540" s="50"/>
    </row>
    <row r="541" spans="2:2" ht="12.5">
      <c r="B541" s="50"/>
    </row>
    <row r="542" spans="2:2" ht="12.5">
      <c r="B542" s="50"/>
    </row>
    <row r="543" spans="2:2" ht="12.5">
      <c r="B543" s="50"/>
    </row>
    <row r="544" spans="2:2" ht="12.5">
      <c r="B544" s="50"/>
    </row>
    <row r="545" spans="2:2" ht="12.5">
      <c r="B545" s="50"/>
    </row>
    <row r="546" spans="2:2" ht="12.5">
      <c r="B546" s="50"/>
    </row>
    <row r="547" spans="2:2" ht="12.5">
      <c r="B547" s="50"/>
    </row>
    <row r="548" spans="2:2" ht="12.5">
      <c r="B548" s="50"/>
    </row>
    <row r="549" spans="2:2" ht="12.5">
      <c r="B549" s="50"/>
    </row>
    <row r="550" spans="2:2" ht="12.5">
      <c r="B550" s="50"/>
    </row>
    <row r="551" spans="2:2" ht="12.5">
      <c r="B551" s="50"/>
    </row>
    <row r="552" spans="2:2" ht="12.5">
      <c r="B552" s="50"/>
    </row>
    <row r="553" spans="2:2" ht="12.5">
      <c r="B553" s="50"/>
    </row>
    <row r="554" spans="2:2" ht="12.5">
      <c r="B554" s="50"/>
    </row>
    <row r="555" spans="2:2" ht="12.5">
      <c r="B555" s="50"/>
    </row>
    <row r="556" spans="2:2" ht="12.5">
      <c r="B556" s="50"/>
    </row>
    <row r="557" spans="2:2" ht="12.5">
      <c r="B557" s="50"/>
    </row>
    <row r="558" spans="2:2" ht="12.5">
      <c r="B558" s="50"/>
    </row>
    <row r="559" spans="2:2" ht="12.5">
      <c r="B559" s="50"/>
    </row>
    <row r="560" spans="2:2" ht="12.5">
      <c r="B560" s="50"/>
    </row>
    <row r="561" spans="2:2" ht="12.5">
      <c r="B561" s="50"/>
    </row>
    <row r="562" spans="2:2" ht="12.5">
      <c r="B562" s="50"/>
    </row>
    <row r="563" spans="2:2" ht="12.5">
      <c r="B563" s="50"/>
    </row>
    <row r="564" spans="2:2" ht="12.5">
      <c r="B564" s="50"/>
    </row>
    <row r="565" spans="2:2" ht="12.5">
      <c r="B565" s="50"/>
    </row>
    <row r="566" spans="2:2" ht="12.5">
      <c r="B566" s="50"/>
    </row>
    <row r="567" spans="2:2" ht="12.5">
      <c r="B567" s="50"/>
    </row>
    <row r="568" spans="2:2" ht="12.5">
      <c r="B568" s="50"/>
    </row>
    <row r="569" spans="2:2" ht="12.5">
      <c r="B569" s="50"/>
    </row>
    <row r="570" spans="2:2" ht="12.5">
      <c r="B570" s="50"/>
    </row>
    <row r="571" spans="2:2" ht="12.5">
      <c r="B571" s="50"/>
    </row>
    <row r="572" spans="2:2" ht="12.5">
      <c r="B572" s="50"/>
    </row>
    <row r="573" spans="2:2" ht="12.5">
      <c r="B573" s="50"/>
    </row>
    <row r="574" spans="2:2" ht="12.5">
      <c r="B574" s="50"/>
    </row>
    <row r="575" spans="2:2" ht="12.5">
      <c r="B575" s="50"/>
    </row>
    <row r="576" spans="2:2" ht="12.5">
      <c r="B576" s="50"/>
    </row>
    <row r="577" spans="2:2" ht="12.5">
      <c r="B577" s="50"/>
    </row>
    <row r="578" spans="2:2" ht="12.5">
      <c r="B578" s="50"/>
    </row>
    <row r="579" spans="2:2" ht="12.5">
      <c r="B579" s="50"/>
    </row>
    <row r="580" spans="2:2" ht="12.5">
      <c r="B580" s="50"/>
    </row>
    <row r="581" spans="2:2" ht="12.5">
      <c r="B581" s="50"/>
    </row>
    <row r="582" spans="2:2" ht="12.5">
      <c r="B582" s="50"/>
    </row>
    <row r="583" spans="2:2" ht="12.5">
      <c r="B583" s="50"/>
    </row>
    <row r="584" spans="2:2" ht="12.5">
      <c r="B584" s="50"/>
    </row>
    <row r="585" spans="2:2" ht="12.5">
      <c r="B585" s="50"/>
    </row>
    <row r="586" spans="2:2" ht="12.5">
      <c r="B586" s="50"/>
    </row>
    <row r="587" spans="2:2" ht="12.5">
      <c r="B587" s="50"/>
    </row>
    <row r="588" spans="2:2" ht="12.5">
      <c r="B588" s="50"/>
    </row>
    <row r="589" spans="2:2" ht="12.5">
      <c r="B589" s="50"/>
    </row>
    <row r="590" spans="2:2" ht="12.5">
      <c r="B590" s="50"/>
    </row>
    <row r="591" spans="2:2" ht="12.5">
      <c r="B591" s="50"/>
    </row>
    <row r="592" spans="2:2" ht="12.5">
      <c r="B592" s="50"/>
    </row>
    <row r="593" spans="2:2" ht="12.5">
      <c r="B593" s="50"/>
    </row>
    <row r="594" spans="2:2" ht="12.5">
      <c r="B594" s="50"/>
    </row>
    <row r="595" spans="2:2" ht="12.5">
      <c r="B595" s="50"/>
    </row>
    <row r="596" spans="2:2" ht="12.5">
      <c r="B596" s="50"/>
    </row>
    <row r="597" spans="2:2" ht="12.5">
      <c r="B597" s="50"/>
    </row>
    <row r="598" spans="2:2" ht="12.5">
      <c r="B598" s="50"/>
    </row>
    <row r="599" spans="2:2" ht="12.5">
      <c r="B599" s="50"/>
    </row>
    <row r="600" spans="2:2" ht="12.5">
      <c r="B600" s="50"/>
    </row>
    <row r="601" spans="2:2" ht="12.5">
      <c r="B601" s="50"/>
    </row>
    <row r="602" spans="2:2" ht="12.5">
      <c r="B602" s="50"/>
    </row>
    <row r="603" spans="2:2" ht="12.5">
      <c r="B603" s="50"/>
    </row>
    <row r="604" spans="2:2" ht="12.5">
      <c r="B604" s="50"/>
    </row>
    <row r="605" spans="2:2" ht="12.5">
      <c r="B605" s="50"/>
    </row>
    <row r="606" spans="2:2" ht="12.5">
      <c r="B606" s="50"/>
    </row>
    <row r="607" spans="2:2" ht="12.5">
      <c r="B607" s="50"/>
    </row>
    <row r="608" spans="2:2" ht="12.5">
      <c r="B608" s="50"/>
    </row>
    <row r="609" spans="2:2" ht="12.5">
      <c r="B609" s="50"/>
    </row>
    <row r="610" spans="2:2" ht="12.5">
      <c r="B610" s="50"/>
    </row>
    <row r="611" spans="2:2" ht="12.5">
      <c r="B611" s="50"/>
    </row>
    <row r="612" spans="2:2" ht="12.5">
      <c r="B612" s="50"/>
    </row>
    <row r="613" spans="2:2" ht="12.5">
      <c r="B613" s="50"/>
    </row>
    <row r="614" spans="2:2" ht="12.5">
      <c r="B614" s="50"/>
    </row>
    <row r="615" spans="2:2" ht="12.5">
      <c r="B615" s="50"/>
    </row>
    <row r="616" spans="2:2" ht="12.5">
      <c r="B616" s="50"/>
    </row>
    <row r="617" spans="2:2" ht="12.5">
      <c r="B617" s="50"/>
    </row>
    <row r="618" spans="2:2" ht="12.5">
      <c r="B618" s="50"/>
    </row>
    <row r="619" spans="2:2" ht="12.5">
      <c r="B619" s="50"/>
    </row>
    <row r="620" spans="2:2" ht="12.5">
      <c r="B620" s="50"/>
    </row>
    <row r="621" spans="2:2" ht="12.5">
      <c r="B621" s="50"/>
    </row>
    <row r="622" spans="2:2" ht="12.5">
      <c r="B622" s="50"/>
    </row>
    <row r="623" spans="2:2" ht="12.5">
      <c r="B623" s="50"/>
    </row>
    <row r="624" spans="2:2" ht="12.5">
      <c r="B624" s="50"/>
    </row>
    <row r="625" spans="2:2" ht="12.5">
      <c r="B625" s="50"/>
    </row>
    <row r="626" spans="2:2" ht="12.5">
      <c r="B626" s="50"/>
    </row>
    <row r="627" spans="2:2" ht="12.5">
      <c r="B627" s="50"/>
    </row>
    <row r="628" spans="2:2" ht="12.5">
      <c r="B628" s="50"/>
    </row>
    <row r="629" spans="2:2" ht="12.5">
      <c r="B629" s="50"/>
    </row>
    <row r="630" spans="2:2" ht="12.5">
      <c r="B630" s="50"/>
    </row>
    <row r="631" spans="2:2" ht="12.5">
      <c r="B631" s="50"/>
    </row>
    <row r="632" spans="2:2" ht="12.5">
      <c r="B632" s="50"/>
    </row>
    <row r="633" spans="2:2" ht="12.5">
      <c r="B633" s="50"/>
    </row>
    <row r="634" spans="2:2" ht="12.5">
      <c r="B634" s="50"/>
    </row>
    <row r="635" spans="2:2" ht="12.5">
      <c r="B635" s="50"/>
    </row>
    <row r="636" spans="2:2" ht="12.5">
      <c r="B636" s="50"/>
    </row>
    <row r="637" spans="2:2" ht="12.5">
      <c r="B637" s="50"/>
    </row>
    <row r="638" spans="2:2" ht="12.5">
      <c r="B638" s="50"/>
    </row>
    <row r="639" spans="2:2" ht="12.5">
      <c r="B639" s="50"/>
    </row>
    <row r="640" spans="2:2" ht="12.5">
      <c r="B640" s="50"/>
    </row>
    <row r="641" spans="2:2" ht="12.5">
      <c r="B641" s="50"/>
    </row>
    <row r="642" spans="2:2" ht="12.5">
      <c r="B642" s="50"/>
    </row>
    <row r="643" spans="2:2" ht="12.5">
      <c r="B643" s="50"/>
    </row>
    <row r="644" spans="2:2" ht="12.5">
      <c r="B644" s="50"/>
    </row>
    <row r="645" spans="2:2" ht="12.5">
      <c r="B645" s="50"/>
    </row>
    <row r="646" spans="2:2" ht="12.5">
      <c r="B646" s="50"/>
    </row>
    <row r="647" spans="2:2" ht="12.5">
      <c r="B647" s="50"/>
    </row>
    <row r="648" spans="2:2" ht="12.5">
      <c r="B648" s="50"/>
    </row>
    <row r="649" spans="2:2" ht="12.5">
      <c r="B649" s="50"/>
    </row>
    <row r="650" spans="2:2" ht="12.5">
      <c r="B650" s="50"/>
    </row>
    <row r="651" spans="2:2" ht="12.5">
      <c r="B651" s="50"/>
    </row>
    <row r="652" spans="2:2" ht="12.5">
      <c r="B652" s="50"/>
    </row>
    <row r="653" spans="2:2" ht="12.5">
      <c r="B653" s="50"/>
    </row>
    <row r="654" spans="2:2" ht="12.5">
      <c r="B654" s="50"/>
    </row>
    <row r="655" spans="2:2" ht="12.5">
      <c r="B655" s="50"/>
    </row>
    <row r="656" spans="2:2" ht="12.5">
      <c r="B656" s="50"/>
    </row>
    <row r="657" spans="2:2" ht="12.5">
      <c r="B657" s="50"/>
    </row>
    <row r="658" spans="2:2" ht="12.5">
      <c r="B658" s="50"/>
    </row>
    <row r="659" spans="2:2" ht="12.5">
      <c r="B659" s="50"/>
    </row>
    <row r="660" spans="2:2" ht="12.5">
      <c r="B660" s="50"/>
    </row>
    <row r="661" spans="2:2" ht="12.5">
      <c r="B661" s="50"/>
    </row>
    <row r="662" spans="2:2" ht="12.5">
      <c r="B662" s="50"/>
    </row>
    <row r="663" spans="2:2" ht="12.5">
      <c r="B663" s="50"/>
    </row>
    <row r="664" spans="2:2" ht="12.5">
      <c r="B664" s="50"/>
    </row>
    <row r="665" spans="2:2" ht="12.5">
      <c r="B665" s="50"/>
    </row>
    <row r="666" spans="2:2" ht="12.5">
      <c r="B666" s="50"/>
    </row>
    <row r="667" spans="2:2" ht="12.5">
      <c r="B667" s="50"/>
    </row>
    <row r="668" spans="2:2" ht="12.5">
      <c r="B668" s="50"/>
    </row>
    <row r="669" spans="2:2" ht="12.5">
      <c r="B669" s="50"/>
    </row>
    <row r="670" spans="2:2" ht="12.5">
      <c r="B670" s="50"/>
    </row>
    <row r="671" spans="2:2" ht="12.5">
      <c r="B671" s="50"/>
    </row>
    <row r="672" spans="2:2" ht="12.5">
      <c r="B672" s="50"/>
    </row>
    <row r="673" spans="2:2" ht="12.5">
      <c r="B673" s="50"/>
    </row>
    <row r="674" spans="2:2" ht="12.5">
      <c r="B674" s="50"/>
    </row>
    <row r="675" spans="2:2" ht="12.5">
      <c r="B675" s="50"/>
    </row>
    <row r="676" spans="2:2" ht="12.5">
      <c r="B676" s="50"/>
    </row>
    <row r="677" spans="2:2" ht="12.5">
      <c r="B677" s="50"/>
    </row>
    <row r="678" spans="2:2" ht="12.5">
      <c r="B678" s="50"/>
    </row>
    <row r="679" spans="2:2" ht="12.5">
      <c r="B679" s="50"/>
    </row>
    <row r="680" spans="2:2" ht="12.5">
      <c r="B680" s="50"/>
    </row>
    <row r="681" spans="2:2" ht="12.5">
      <c r="B681" s="50"/>
    </row>
    <row r="682" spans="2:2" ht="12.5">
      <c r="B682" s="50"/>
    </row>
    <row r="683" spans="2:2" ht="12.5">
      <c r="B683" s="50"/>
    </row>
    <row r="684" spans="2:2" ht="12.5">
      <c r="B684" s="50"/>
    </row>
    <row r="685" spans="2:2" ht="12.5">
      <c r="B685" s="50"/>
    </row>
    <row r="686" spans="2:2" ht="12.5">
      <c r="B686" s="50"/>
    </row>
    <row r="687" spans="2:2" ht="12.5">
      <c r="B687" s="50"/>
    </row>
    <row r="688" spans="2:2" ht="12.5">
      <c r="B688" s="50"/>
    </row>
    <row r="689" spans="2:2" ht="12.5">
      <c r="B689" s="50"/>
    </row>
    <row r="690" spans="2:2" ht="12.5">
      <c r="B690" s="50"/>
    </row>
    <row r="691" spans="2:2" ht="12.5">
      <c r="B691" s="50"/>
    </row>
    <row r="692" spans="2:2" ht="12.5">
      <c r="B692" s="50"/>
    </row>
    <row r="693" spans="2:2" ht="12.5">
      <c r="B693" s="50"/>
    </row>
    <row r="694" spans="2:2" ht="12.5">
      <c r="B694" s="50"/>
    </row>
    <row r="695" spans="2:2" ht="12.5">
      <c r="B695" s="50"/>
    </row>
    <row r="696" spans="2:2" ht="12.5">
      <c r="B696" s="50"/>
    </row>
    <row r="697" spans="2:2" ht="12.5">
      <c r="B697" s="50"/>
    </row>
    <row r="698" spans="2:2" ht="12.5">
      <c r="B698" s="50"/>
    </row>
    <row r="699" spans="2:2" ht="12.5">
      <c r="B699" s="50"/>
    </row>
    <row r="700" spans="2:2" ht="12.5">
      <c r="B700" s="50"/>
    </row>
    <row r="701" spans="2:2" ht="12.5">
      <c r="B701" s="50"/>
    </row>
    <row r="702" spans="2:2" ht="12.5">
      <c r="B702" s="50"/>
    </row>
    <row r="703" spans="2:2" ht="12.5">
      <c r="B703" s="50"/>
    </row>
    <row r="704" spans="2:2" ht="12.5">
      <c r="B704" s="50"/>
    </row>
    <row r="705" spans="2:2" ht="12.5">
      <c r="B705" s="50"/>
    </row>
    <row r="706" spans="2:2" ht="12.5">
      <c r="B706" s="50"/>
    </row>
    <row r="707" spans="2:2" ht="12.5">
      <c r="B707" s="50"/>
    </row>
    <row r="708" spans="2:2" ht="12.5">
      <c r="B708" s="50"/>
    </row>
    <row r="709" spans="2:2" ht="12.5">
      <c r="B709" s="50"/>
    </row>
    <row r="710" spans="2:2" ht="12.5">
      <c r="B710" s="50"/>
    </row>
    <row r="711" spans="2:2" ht="12.5">
      <c r="B711" s="50"/>
    </row>
    <row r="712" spans="2:2" ht="12.5">
      <c r="B712" s="50"/>
    </row>
    <row r="713" spans="2:2" ht="12.5">
      <c r="B713" s="50"/>
    </row>
    <row r="714" spans="2:2" ht="12.5">
      <c r="B714" s="50"/>
    </row>
    <row r="715" spans="2:2" ht="12.5">
      <c r="B715" s="50"/>
    </row>
    <row r="716" spans="2:2" ht="12.5">
      <c r="B716" s="50"/>
    </row>
    <row r="717" spans="2:2" ht="12.5">
      <c r="B717" s="50"/>
    </row>
    <row r="718" spans="2:2" ht="12.5">
      <c r="B718" s="50"/>
    </row>
    <row r="719" spans="2:2" ht="12.5">
      <c r="B719" s="50"/>
    </row>
    <row r="720" spans="2:2" ht="12.5">
      <c r="B720" s="50"/>
    </row>
    <row r="721" spans="2:2" ht="12.5">
      <c r="B721" s="50"/>
    </row>
    <row r="722" spans="2:2" ht="12.5">
      <c r="B722" s="50"/>
    </row>
    <row r="723" spans="2:2" ht="12.5">
      <c r="B723" s="50"/>
    </row>
    <row r="724" spans="2:2" ht="12.5">
      <c r="B724" s="50"/>
    </row>
    <row r="725" spans="2:2" ht="12.5">
      <c r="B725" s="50"/>
    </row>
    <row r="726" spans="2:2" ht="12.5">
      <c r="B726" s="50"/>
    </row>
    <row r="727" spans="2:2" ht="12.5">
      <c r="B727" s="50"/>
    </row>
    <row r="728" spans="2:2" ht="12.5">
      <c r="B728" s="50"/>
    </row>
    <row r="729" spans="2:2" ht="12.5">
      <c r="B729" s="50"/>
    </row>
    <row r="730" spans="2:2" ht="12.5">
      <c r="B730" s="50"/>
    </row>
    <row r="731" spans="2:2" ht="12.5">
      <c r="B731" s="50"/>
    </row>
    <row r="732" spans="2:2" ht="12.5">
      <c r="B732" s="50"/>
    </row>
    <row r="733" spans="2:2" ht="12.5">
      <c r="B733" s="50"/>
    </row>
    <row r="734" spans="2:2" ht="12.5">
      <c r="B734" s="50"/>
    </row>
    <row r="735" spans="2:2" ht="12.5">
      <c r="B735" s="50"/>
    </row>
    <row r="736" spans="2:2" ht="12.5">
      <c r="B736" s="50"/>
    </row>
    <row r="737" spans="2:2" ht="12.5">
      <c r="B737" s="50"/>
    </row>
    <row r="738" spans="2:2" ht="12.5">
      <c r="B738" s="50"/>
    </row>
    <row r="739" spans="2:2" ht="12.5">
      <c r="B739" s="50"/>
    </row>
    <row r="740" spans="2:2" ht="12.5">
      <c r="B740" s="50"/>
    </row>
    <row r="741" spans="2:2" ht="12.5">
      <c r="B741" s="50"/>
    </row>
    <row r="742" spans="2:2" ht="12.5">
      <c r="B742" s="50"/>
    </row>
    <row r="743" spans="2:2" ht="12.5">
      <c r="B743" s="50"/>
    </row>
    <row r="744" spans="2:2" ht="12.5">
      <c r="B744" s="50"/>
    </row>
    <row r="745" spans="2:2" ht="12.5">
      <c r="B745" s="50"/>
    </row>
    <row r="746" spans="2:2" ht="12.5">
      <c r="B746" s="50"/>
    </row>
    <row r="747" spans="2:2" ht="12.5">
      <c r="B747" s="50"/>
    </row>
    <row r="748" spans="2:2" ht="12.5">
      <c r="B748" s="50"/>
    </row>
    <row r="749" spans="2:2" ht="12.5">
      <c r="B749" s="50"/>
    </row>
    <row r="750" spans="2:2" ht="12.5">
      <c r="B750" s="50"/>
    </row>
    <row r="751" spans="2:2" ht="12.5">
      <c r="B751" s="50"/>
    </row>
    <row r="752" spans="2:2" ht="12.5">
      <c r="B752" s="50"/>
    </row>
    <row r="753" spans="2:2" ht="12.5">
      <c r="B753" s="50"/>
    </row>
    <row r="754" spans="2:2" ht="12.5">
      <c r="B754" s="50"/>
    </row>
    <row r="755" spans="2:2" ht="12.5">
      <c r="B755" s="50"/>
    </row>
    <row r="756" spans="2:2" ht="12.5">
      <c r="B756" s="50"/>
    </row>
    <row r="757" spans="2:2" ht="12.5">
      <c r="B757" s="50"/>
    </row>
    <row r="758" spans="2:2" ht="12.5">
      <c r="B758" s="50"/>
    </row>
    <row r="759" spans="2:2" ht="12.5">
      <c r="B759" s="50"/>
    </row>
    <row r="760" spans="2:2" ht="12.5">
      <c r="B760" s="50"/>
    </row>
    <row r="761" spans="2:2" ht="12.5">
      <c r="B761" s="50"/>
    </row>
    <row r="762" spans="2:2" ht="12.5">
      <c r="B762" s="50"/>
    </row>
    <row r="763" spans="2:2" ht="12.5">
      <c r="B763" s="50"/>
    </row>
    <row r="764" spans="2:2" ht="12.5">
      <c r="B764" s="50"/>
    </row>
    <row r="765" spans="2:2" ht="12.5">
      <c r="B765" s="50"/>
    </row>
    <row r="766" spans="2:2" ht="12.5">
      <c r="B766" s="50"/>
    </row>
    <row r="767" spans="2:2" ht="12.5">
      <c r="B767" s="50"/>
    </row>
    <row r="768" spans="2:2" ht="12.5">
      <c r="B768" s="50"/>
    </row>
    <row r="769" spans="2:2" ht="12.5">
      <c r="B769" s="50"/>
    </row>
    <row r="770" spans="2:2" ht="12.5">
      <c r="B770" s="50"/>
    </row>
    <row r="771" spans="2:2" ht="12.5">
      <c r="B771" s="50"/>
    </row>
    <row r="772" spans="2:2" ht="12.5">
      <c r="B772" s="50"/>
    </row>
    <row r="773" spans="2:2" ht="12.5">
      <c r="B773" s="50"/>
    </row>
    <row r="774" spans="2:2" ht="12.5">
      <c r="B774" s="50"/>
    </row>
    <row r="775" spans="2:2" ht="12.5">
      <c r="B775" s="50"/>
    </row>
    <row r="776" spans="2:2" ht="12.5">
      <c r="B776" s="50"/>
    </row>
    <row r="777" spans="2:2" ht="12.5">
      <c r="B777" s="50"/>
    </row>
    <row r="778" spans="2:2" ht="12.5">
      <c r="B778" s="50"/>
    </row>
    <row r="779" spans="2:2" ht="12.5">
      <c r="B779" s="50"/>
    </row>
    <row r="780" spans="2:2" ht="12.5">
      <c r="B780" s="50"/>
    </row>
    <row r="781" spans="2:2" ht="12.5">
      <c r="B781" s="50"/>
    </row>
    <row r="782" spans="2:2" ht="12.5">
      <c r="B782" s="50"/>
    </row>
    <row r="783" spans="2:2" ht="12.5">
      <c r="B783" s="50"/>
    </row>
    <row r="784" spans="2:2" ht="12.5">
      <c r="B784" s="50"/>
    </row>
    <row r="785" spans="2:2" ht="12.5">
      <c r="B785" s="50"/>
    </row>
    <row r="786" spans="2:2" ht="12.5">
      <c r="B786" s="50"/>
    </row>
    <row r="787" spans="2:2" ht="12.5">
      <c r="B787" s="50"/>
    </row>
    <row r="788" spans="2:2" ht="12.5">
      <c r="B788" s="50"/>
    </row>
    <row r="789" spans="2:2" ht="12.5">
      <c r="B789" s="50"/>
    </row>
    <row r="790" spans="2:2" ht="12.5">
      <c r="B790" s="50"/>
    </row>
    <row r="791" spans="2:2" ht="12.5">
      <c r="B791" s="50"/>
    </row>
    <row r="792" spans="2:2" ht="12.5">
      <c r="B792" s="50"/>
    </row>
    <row r="793" spans="2:2" ht="12.5">
      <c r="B793" s="50"/>
    </row>
    <row r="794" spans="2:2" ht="12.5">
      <c r="B794" s="50"/>
    </row>
    <row r="795" spans="2:2" ht="12.5">
      <c r="B795" s="50"/>
    </row>
    <row r="796" spans="2:2" ht="12.5">
      <c r="B796" s="50"/>
    </row>
    <row r="797" spans="2:2" ht="12.5">
      <c r="B797" s="50"/>
    </row>
    <row r="798" spans="2:2" ht="12.5">
      <c r="B798" s="50"/>
    </row>
    <row r="799" spans="2:2" ht="12.5">
      <c r="B799" s="50"/>
    </row>
    <row r="800" spans="2:2" ht="12.5">
      <c r="B800" s="50"/>
    </row>
    <row r="801" spans="2:2" ht="12.5">
      <c r="B801" s="50"/>
    </row>
    <row r="802" spans="2:2" ht="12.5">
      <c r="B802" s="50"/>
    </row>
    <row r="803" spans="2:2" ht="12.5">
      <c r="B803" s="50"/>
    </row>
    <row r="804" spans="2:2" ht="12.5">
      <c r="B804" s="50"/>
    </row>
    <row r="805" spans="2:2" ht="12.5">
      <c r="B805" s="50"/>
    </row>
    <row r="806" spans="2:2" ht="12.5">
      <c r="B806" s="50"/>
    </row>
    <row r="807" spans="2:2" ht="12.5">
      <c r="B807" s="50"/>
    </row>
    <row r="808" spans="2:2" ht="12.5">
      <c r="B808" s="50"/>
    </row>
    <row r="809" spans="2:2" ht="12.5">
      <c r="B809" s="50"/>
    </row>
    <row r="810" spans="2:2" ht="12.5">
      <c r="B810" s="50"/>
    </row>
    <row r="811" spans="2:2" ht="12.5">
      <c r="B811" s="50"/>
    </row>
    <row r="812" spans="2:2" ht="12.5">
      <c r="B812" s="50"/>
    </row>
    <row r="813" spans="2:2" ht="12.5">
      <c r="B813" s="50"/>
    </row>
    <row r="814" spans="2:2" ht="12.5">
      <c r="B814" s="50"/>
    </row>
    <row r="815" spans="2:2" ht="12.5">
      <c r="B815" s="50"/>
    </row>
    <row r="816" spans="2:2" ht="12.5">
      <c r="B816" s="50"/>
    </row>
    <row r="817" spans="2:2" ht="12.5">
      <c r="B817" s="50"/>
    </row>
    <row r="818" spans="2:2" ht="12.5">
      <c r="B818" s="50"/>
    </row>
    <row r="819" spans="2:2" ht="12.5">
      <c r="B819" s="50"/>
    </row>
    <row r="820" spans="2:2" ht="12.5">
      <c r="B820" s="50"/>
    </row>
    <row r="821" spans="2:2" ht="12.5">
      <c r="B821" s="50"/>
    </row>
    <row r="822" spans="2:2" ht="12.5">
      <c r="B822" s="50"/>
    </row>
    <row r="823" spans="2:2" ht="12.5">
      <c r="B823" s="50"/>
    </row>
    <row r="824" spans="2:2" ht="12.5">
      <c r="B824" s="50"/>
    </row>
    <row r="825" spans="2:2" ht="12.5">
      <c r="B825" s="50"/>
    </row>
    <row r="826" spans="2:2" ht="12.5">
      <c r="B826" s="50"/>
    </row>
    <row r="827" spans="2:2" ht="12.5">
      <c r="B827" s="50"/>
    </row>
    <row r="828" spans="2:2" ht="12.5">
      <c r="B828" s="50"/>
    </row>
    <row r="829" spans="2:2" ht="12.5">
      <c r="B829" s="50"/>
    </row>
    <row r="830" spans="2:2" ht="12.5">
      <c r="B830" s="50"/>
    </row>
    <row r="831" spans="2:2" ht="12.5">
      <c r="B831" s="50"/>
    </row>
    <row r="832" spans="2:2" ht="12.5">
      <c r="B832" s="50"/>
    </row>
    <row r="833" spans="2:2" ht="12.5">
      <c r="B833" s="50"/>
    </row>
    <row r="834" spans="2:2" ht="12.5">
      <c r="B834" s="50"/>
    </row>
    <row r="835" spans="2:2" ht="12.5">
      <c r="B835" s="50"/>
    </row>
    <row r="836" spans="2:2" ht="12.5">
      <c r="B836" s="50"/>
    </row>
    <row r="837" spans="2:2" ht="12.5">
      <c r="B837" s="50"/>
    </row>
    <row r="838" spans="2:2" ht="12.5">
      <c r="B838" s="50"/>
    </row>
    <row r="839" spans="2:2" ht="12.5">
      <c r="B839" s="50"/>
    </row>
    <row r="840" spans="2:2" ht="12.5">
      <c r="B840" s="50"/>
    </row>
    <row r="841" spans="2:2" ht="12.5">
      <c r="B841" s="50"/>
    </row>
    <row r="842" spans="2:2" ht="12.5">
      <c r="B842" s="50"/>
    </row>
    <row r="843" spans="2:2" ht="12.5">
      <c r="B843" s="50"/>
    </row>
    <row r="844" spans="2:2" ht="12.5">
      <c r="B844" s="50"/>
    </row>
    <row r="845" spans="2:2" ht="12.5">
      <c r="B845" s="50"/>
    </row>
    <row r="846" spans="2:2" ht="12.5">
      <c r="B846" s="50"/>
    </row>
    <row r="847" spans="2:2" ht="12.5">
      <c r="B847" s="50"/>
    </row>
    <row r="848" spans="2:2" ht="12.5">
      <c r="B848" s="50"/>
    </row>
    <row r="849" spans="2:2" ht="12.5">
      <c r="B849" s="50"/>
    </row>
    <row r="850" spans="2:2" ht="12.5">
      <c r="B850" s="50"/>
    </row>
    <row r="851" spans="2:2" ht="12.5">
      <c r="B851" s="50"/>
    </row>
    <row r="852" spans="2:2" ht="12.5">
      <c r="B852" s="50"/>
    </row>
    <row r="853" spans="2:2" ht="12.5">
      <c r="B853" s="50"/>
    </row>
    <row r="854" spans="2:2" ht="12.5">
      <c r="B854" s="50"/>
    </row>
    <row r="855" spans="2:2" ht="12.5">
      <c r="B855" s="50"/>
    </row>
    <row r="856" spans="2:2" ht="12.5">
      <c r="B856" s="50"/>
    </row>
    <row r="857" spans="2:2" ht="12.5">
      <c r="B857" s="50"/>
    </row>
    <row r="858" spans="2:2" ht="12.5">
      <c r="B858" s="50"/>
    </row>
    <row r="859" spans="2:2" ht="12.5">
      <c r="B859" s="50"/>
    </row>
    <row r="860" spans="2:2" ht="12.5">
      <c r="B860" s="50"/>
    </row>
    <row r="861" spans="2:2" ht="12.5">
      <c r="B861" s="50"/>
    </row>
    <row r="862" spans="2:2" ht="12.5">
      <c r="B862" s="50"/>
    </row>
    <row r="863" spans="2:2" ht="12.5">
      <c r="B863" s="50"/>
    </row>
    <row r="864" spans="2:2" ht="12.5">
      <c r="B864" s="50"/>
    </row>
    <row r="865" spans="2:2" ht="12.5">
      <c r="B865" s="50"/>
    </row>
    <row r="866" spans="2:2" ht="12.5">
      <c r="B866" s="50"/>
    </row>
    <row r="867" spans="2:2" ht="12.5">
      <c r="B867" s="50"/>
    </row>
    <row r="868" spans="2:2" ht="12.5">
      <c r="B868" s="50"/>
    </row>
    <row r="869" spans="2:2" ht="12.5">
      <c r="B869" s="50"/>
    </row>
    <row r="870" spans="2:2" ht="12.5">
      <c r="B870" s="50"/>
    </row>
    <row r="871" spans="2:2" ht="12.5">
      <c r="B871" s="50"/>
    </row>
    <row r="872" spans="2:2" ht="12.5">
      <c r="B872" s="50"/>
    </row>
    <row r="873" spans="2:2" ht="12.5">
      <c r="B873" s="50"/>
    </row>
    <row r="874" spans="2:2" ht="12.5">
      <c r="B874" s="50"/>
    </row>
    <row r="875" spans="2:2" ht="12.5">
      <c r="B875" s="50"/>
    </row>
    <row r="876" spans="2:2" ht="12.5">
      <c r="B876" s="50"/>
    </row>
    <row r="877" spans="2:2" ht="12.5">
      <c r="B877" s="50"/>
    </row>
    <row r="878" spans="2:2" ht="12.5">
      <c r="B878" s="50"/>
    </row>
    <row r="879" spans="2:2" ht="12.5">
      <c r="B879" s="50"/>
    </row>
    <row r="880" spans="2:2" ht="12.5">
      <c r="B880" s="50"/>
    </row>
    <row r="881" spans="2:2" ht="12.5">
      <c r="B881" s="50"/>
    </row>
    <row r="882" spans="2:2" ht="12.5">
      <c r="B882" s="50"/>
    </row>
    <row r="883" spans="2:2" ht="12.5">
      <c r="B883" s="50"/>
    </row>
    <row r="884" spans="2:2" ht="12.5">
      <c r="B884" s="50"/>
    </row>
    <row r="885" spans="2:2" ht="12.5">
      <c r="B885" s="50"/>
    </row>
    <row r="886" spans="2:2" ht="12.5">
      <c r="B886" s="50"/>
    </row>
    <row r="887" spans="2:2" ht="12.5">
      <c r="B887" s="50"/>
    </row>
    <row r="888" spans="2:2" ht="12.5">
      <c r="B888" s="50"/>
    </row>
    <row r="889" spans="2:2" ht="12.5">
      <c r="B889" s="50"/>
    </row>
    <row r="890" spans="2:2" ht="12.5">
      <c r="B890" s="50"/>
    </row>
    <row r="891" spans="2:2" ht="12.5">
      <c r="B891" s="50"/>
    </row>
    <row r="892" spans="2:2" ht="12.5">
      <c r="B892" s="50"/>
    </row>
    <row r="893" spans="2:2" ht="12.5">
      <c r="B893" s="50"/>
    </row>
    <row r="894" spans="2:2" ht="12.5">
      <c r="B894" s="50"/>
    </row>
    <row r="895" spans="2:2" ht="12.5">
      <c r="B895" s="50"/>
    </row>
    <row r="896" spans="2:2" ht="12.5">
      <c r="B896" s="50"/>
    </row>
    <row r="897" spans="2:2" ht="12.5">
      <c r="B897" s="50"/>
    </row>
    <row r="898" spans="2:2" ht="12.5">
      <c r="B898" s="50"/>
    </row>
    <row r="899" spans="2:2" ht="12.5">
      <c r="B899" s="50"/>
    </row>
    <row r="900" spans="2:2" ht="12.5">
      <c r="B900" s="50"/>
    </row>
    <row r="901" spans="2:2" ht="12.5">
      <c r="B901" s="50"/>
    </row>
    <row r="902" spans="2:2" ht="12.5">
      <c r="B902" s="50"/>
    </row>
    <row r="903" spans="2:2" ht="12.5">
      <c r="B903" s="50"/>
    </row>
    <row r="904" spans="2:2" ht="12.5">
      <c r="B904" s="50"/>
    </row>
    <row r="905" spans="2:2" ht="12.5">
      <c r="B905" s="50"/>
    </row>
    <row r="906" spans="2:2" ht="12.5">
      <c r="B906" s="50"/>
    </row>
    <row r="907" spans="2:2" ht="12.5">
      <c r="B907" s="50"/>
    </row>
    <row r="908" spans="2:2" ht="12.5">
      <c r="B908" s="50"/>
    </row>
    <row r="909" spans="2:2" ht="12.5">
      <c r="B909" s="50"/>
    </row>
    <row r="910" spans="2:2" ht="12.5">
      <c r="B910" s="50"/>
    </row>
    <row r="911" spans="2:2" ht="12.5">
      <c r="B911" s="50"/>
    </row>
    <row r="912" spans="2:2" ht="12.5">
      <c r="B912" s="50"/>
    </row>
    <row r="913" spans="2:2" ht="12.5">
      <c r="B913" s="50"/>
    </row>
    <row r="914" spans="2:2" ht="12.5">
      <c r="B914" s="50"/>
    </row>
    <row r="915" spans="2:2" ht="12.5">
      <c r="B915" s="50"/>
    </row>
    <row r="916" spans="2:2" ht="12.5">
      <c r="B916" s="50"/>
    </row>
    <row r="917" spans="2:2" ht="12.5">
      <c r="B917" s="50"/>
    </row>
    <row r="918" spans="2:2" ht="12.5">
      <c r="B918" s="50"/>
    </row>
    <row r="919" spans="2:2" ht="12.5">
      <c r="B919" s="50"/>
    </row>
    <row r="920" spans="2:2" ht="12.5">
      <c r="B920" s="50"/>
    </row>
    <row r="921" spans="2:2" ht="12.5">
      <c r="B921" s="50"/>
    </row>
    <row r="922" spans="2:2" ht="12.5">
      <c r="B922" s="50"/>
    </row>
    <row r="923" spans="2:2" ht="12.5">
      <c r="B923" s="50"/>
    </row>
    <row r="924" spans="2:2" ht="12.5">
      <c r="B924" s="50"/>
    </row>
    <row r="925" spans="2:2" ht="12.5">
      <c r="B925" s="50"/>
    </row>
    <row r="926" spans="2:2" ht="12.5">
      <c r="B926" s="50"/>
    </row>
    <row r="927" spans="2:2" ht="12.5">
      <c r="B927" s="50"/>
    </row>
    <row r="928" spans="2:2" ht="12.5">
      <c r="B928" s="50"/>
    </row>
    <row r="929" spans="2:2" ht="12.5">
      <c r="B929" s="50"/>
    </row>
    <row r="930" spans="2:2" ht="12.5">
      <c r="B930" s="50"/>
    </row>
    <row r="931" spans="2:2" ht="12.5">
      <c r="B931" s="50"/>
    </row>
    <row r="932" spans="2:2" ht="12.5">
      <c r="B932" s="50"/>
    </row>
    <row r="933" spans="2:2" ht="12.5">
      <c r="B933" s="50"/>
    </row>
    <row r="934" spans="2:2" ht="12.5">
      <c r="B934" s="50"/>
    </row>
    <row r="935" spans="2:2" ht="12.5">
      <c r="B935" s="50"/>
    </row>
    <row r="936" spans="2:2" ht="12.5">
      <c r="B936" s="50"/>
    </row>
    <row r="937" spans="2:2" ht="12.5">
      <c r="B937" s="50"/>
    </row>
    <row r="938" spans="2:2" ht="12.5">
      <c r="B938" s="50"/>
    </row>
    <row r="939" spans="2:2" ht="12.5">
      <c r="B939" s="50"/>
    </row>
    <row r="940" spans="2:2" ht="12.5">
      <c r="B940" s="50"/>
    </row>
    <row r="941" spans="2:2" ht="12.5">
      <c r="B941" s="50"/>
    </row>
    <row r="942" spans="2:2" ht="12.5">
      <c r="B942" s="50"/>
    </row>
    <row r="943" spans="2:2" ht="12.5">
      <c r="B943" s="50"/>
    </row>
    <row r="944" spans="2:2" ht="12.5">
      <c r="B944" s="50"/>
    </row>
    <row r="945" spans="2:2" ht="12.5">
      <c r="B945" s="50"/>
    </row>
    <row r="946" spans="2:2" ht="12.5">
      <c r="B946" s="50"/>
    </row>
    <row r="947" spans="2:2" ht="12.5">
      <c r="B947" s="50"/>
    </row>
    <row r="948" spans="2:2" ht="12.5">
      <c r="B948" s="50"/>
    </row>
    <row r="949" spans="2:2" ht="12.5">
      <c r="B949" s="50"/>
    </row>
    <row r="950" spans="2:2" ht="12.5">
      <c r="B950" s="50"/>
    </row>
    <row r="951" spans="2:2" ht="12.5">
      <c r="B951" s="50"/>
    </row>
    <row r="952" spans="2:2" ht="12.5">
      <c r="B952" s="50"/>
    </row>
    <row r="953" spans="2:2" ht="12.5">
      <c r="B953" s="50"/>
    </row>
    <row r="954" spans="2:2" ht="12.5">
      <c r="B954" s="50"/>
    </row>
    <row r="955" spans="2:2" ht="12.5">
      <c r="B955" s="50"/>
    </row>
    <row r="956" spans="2:2" ht="12.5">
      <c r="B956" s="50"/>
    </row>
    <row r="957" spans="2:2" ht="12.5">
      <c r="B957" s="50"/>
    </row>
    <row r="958" spans="2:2" ht="12.5">
      <c r="B958" s="50"/>
    </row>
    <row r="959" spans="2:2" ht="12.5">
      <c r="B959" s="50"/>
    </row>
    <row r="960" spans="2:2" ht="12.5">
      <c r="B960" s="50"/>
    </row>
    <row r="961" spans="2:2" ht="12.5">
      <c r="B961" s="50"/>
    </row>
    <row r="962" spans="2:2" ht="12.5">
      <c r="B962" s="50"/>
    </row>
    <row r="963" spans="2:2" ht="12.5">
      <c r="B963" s="50"/>
    </row>
    <row r="964" spans="2:2" ht="12.5">
      <c r="B964" s="50"/>
    </row>
    <row r="965" spans="2:2" ht="12.5">
      <c r="B965" s="50"/>
    </row>
    <row r="966" spans="2:2" ht="12.5">
      <c r="B966" s="50"/>
    </row>
    <row r="967" spans="2:2" ht="12.5">
      <c r="B967" s="50"/>
    </row>
    <row r="968" spans="2:2" ht="12.5">
      <c r="B968" s="50"/>
    </row>
    <row r="969" spans="2:2" ht="12.5">
      <c r="B969" s="50"/>
    </row>
    <row r="970" spans="2:2" ht="12.5">
      <c r="B970" s="50"/>
    </row>
    <row r="971" spans="2:2" ht="12.5">
      <c r="B971" s="50"/>
    </row>
    <row r="972" spans="2:2" ht="12.5">
      <c r="B972" s="50"/>
    </row>
    <row r="973" spans="2:2" ht="12.5">
      <c r="B973" s="50"/>
    </row>
    <row r="974" spans="2:2" ht="12.5">
      <c r="B974" s="50"/>
    </row>
    <row r="975" spans="2:2" ht="12.5">
      <c r="B975" s="50"/>
    </row>
    <row r="976" spans="2:2" ht="12.5">
      <c r="B976" s="50"/>
    </row>
    <row r="977" spans="2:2" ht="12.5">
      <c r="B977" s="50"/>
    </row>
    <row r="978" spans="2:2" ht="12.5">
      <c r="B978" s="50"/>
    </row>
    <row r="979" spans="2:2" ht="12.5">
      <c r="B979" s="50"/>
    </row>
    <row r="980" spans="2:2" ht="12.5">
      <c r="B980" s="50"/>
    </row>
    <row r="981" spans="2:2" ht="12.5">
      <c r="B981" s="50"/>
    </row>
    <row r="982" spans="2:2" ht="12.5">
      <c r="B982" s="50"/>
    </row>
    <row r="983" spans="2:2" ht="12.5">
      <c r="B983" s="50"/>
    </row>
    <row r="984" spans="2:2" ht="12.5">
      <c r="B984" s="50"/>
    </row>
    <row r="985" spans="2:2" ht="12.5">
      <c r="B985" s="50"/>
    </row>
    <row r="986" spans="2:2" ht="12.5">
      <c r="B986" s="50"/>
    </row>
    <row r="987" spans="2:2" ht="12.5">
      <c r="B987" s="50"/>
    </row>
    <row r="988" spans="2:2" ht="12.5">
      <c r="B988" s="50"/>
    </row>
    <row r="989" spans="2:2" ht="12.5">
      <c r="B989" s="50"/>
    </row>
    <row r="990" spans="2:2" ht="12.5">
      <c r="B990" s="50"/>
    </row>
    <row r="991" spans="2:2" ht="12.5">
      <c r="B991" s="50"/>
    </row>
    <row r="992" spans="2:2" ht="12.5">
      <c r="B992" s="50"/>
    </row>
    <row r="993" spans="2:2" ht="12.5">
      <c r="B993" s="50"/>
    </row>
    <row r="994" spans="2:2" ht="12.5">
      <c r="B994" s="50"/>
    </row>
    <row r="995" spans="2:2" ht="12.5">
      <c r="B995" s="50"/>
    </row>
    <row r="996" spans="2:2" ht="12.5">
      <c r="B996" s="50"/>
    </row>
    <row r="997" spans="2:2" ht="12.5">
      <c r="B997" s="50"/>
    </row>
    <row r="998" spans="2:2" ht="12.5">
      <c r="B998" s="50"/>
    </row>
    <row r="999" spans="2:2" ht="12.5">
      <c r="B999" s="50"/>
    </row>
    <row r="1000" spans="2:2" ht="12.5">
      <c r="B1000" s="5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3810"/>
  <sheetViews>
    <sheetView workbookViewId="0">
      <pane ySplit="1" topLeftCell="A2" activePane="bottomLeft" state="frozen"/>
      <selection pane="bottomLeft" activeCell="B3" sqref="B3"/>
    </sheetView>
  </sheetViews>
  <sheetFormatPr baseColWidth="10" defaultColWidth="12.6328125" defaultRowHeight="15.75" customHeight="1"/>
  <cols>
    <col min="1" max="1" width="16.36328125" customWidth="1"/>
    <col min="2" max="2" width="12.6328125" customWidth="1"/>
    <col min="3" max="3" width="16.26953125" customWidth="1"/>
    <col min="4" max="4" width="17.7265625" customWidth="1"/>
    <col min="5" max="5" width="19.26953125" customWidth="1"/>
    <col min="6" max="6" width="18.08984375" customWidth="1"/>
    <col min="7" max="7" width="18.90625" customWidth="1"/>
    <col min="8" max="8" width="20.08984375" customWidth="1"/>
    <col min="10" max="10" width="19.36328125" customWidth="1"/>
    <col min="11" max="11" width="20.36328125" customWidth="1"/>
  </cols>
  <sheetData>
    <row r="1" spans="1:11">
      <c r="A1" s="1" t="s">
        <v>2</v>
      </c>
      <c r="B1" s="3" t="s">
        <v>23674</v>
      </c>
      <c r="C1" s="1" t="s">
        <v>3</v>
      </c>
      <c r="D1" s="1" t="s">
        <v>4</v>
      </c>
      <c r="E1" s="1" t="s">
        <v>5</v>
      </c>
      <c r="F1" s="1" t="s">
        <v>6</v>
      </c>
      <c r="G1" s="1" t="s">
        <v>7</v>
      </c>
      <c r="H1" s="3" t="s">
        <v>23702</v>
      </c>
      <c r="I1" s="3" t="s">
        <v>23703</v>
      </c>
      <c r="J1" s="3" t="s">
        <v>23704</v>
      </c>
      <c r="K1" s="3" t="s">
        <v>23705</v>
      </c>
    </row>
    <row r="2" spans="1:11" ht="15.75" customHeight="1">
      <c r="A2" s="5">
        <v>29805528</v>
      </c>
      <c r="B2" s="5" t="s">
        <v>23706</v>
      </c>
      <c r="C2" s="5" t="s">
        <v>2871</v>
      </c>
      <c r="E2" s="5" t="s">
        <v>1683</v>
      </c>
      <c r="G2" s="10" t="s">
        <v>23707</v>
      </c>
    </row>
    <row r="3" spans="1:11" ht="15.75" customHeight="1">
      <c r="A3" s="5">
        <v>1140851590</v>
      </c>
      <c r="B3" s="5" t="s">
        <v>23706</v>
      </c>
      <c r="C3" s="5" t="s">
        <v>6006</v>
      </c>
      <c r="E3" s="5"/>
      <c r="G3" s="5">
        <v>3004941665</v>
      </c>
      <c r="I3" s="5" t="s">
        <v>23708</v>
      </c>
    </row>
    <row r="4" spans="1:11" ht="15.75" customHeight="1">
      <c r="A4" s="5">
        <v>1045754990</v>
      </c>
      <c r="B4" s="5" t="s">
        <v>23706</v>
      </c>
      <c r="C4" s="5" t="s">
        <v>1051</v>
      </c>
      <c r="E4" s="5" t="s">
        <v>6747</v>
      </c>
      <c r="G4" s="10" t="s">
        <v>23709</v>
      </c>
      <c r="I4" s="5" t="s">
        <v>23710</v>
      </c>
    </row>
    <row r="5" spans="1:11" ht="15.75" customHeight="1">
      <c r="A5" s="5">
        <v>1046697448</v>
      </c>
      <c r="B5" s="5" t="s">
        <v>23706</v>
      </c>
      <c r="C5" s="5" t="s">
        <v>2466</v>
      </c>
      <c r="E5" s="5" t="s">
        <v>1003</v>
      </c>
      <c r="G5" s="5">
        <v>3022360833</v>
      </c>
    </row>
    <row r="6" spans="1:11" ht="15.75" customHeight="1">
      <c r="A6" s="5">
        <v>1140881328</v>
      </c>
      <c r="B6" s="5" t="s">
        <v>23706</v>
      </c>
      <c r="C6" s="5" t="s">
        <v>703</v>
      </c>
      <c r="E6" s="5" t="s">
        <v>23711</v>
      </c>
      <c r="G6" s="5">
        <v>3004708197</v>
      </c>
    </row>
    <row r="7" spans="1:11" ht="15.75" customHeight="1">
      <c r="A7" s="5">
        <v>41491258</v>
      </c>
      <c r="B7" s="5" t="s">
        <v>23706</v>
      </c>
      <c r="C7" s="5" t="s">
        <v>6115</v>
      </c>
      <c r="E7" s="5" t="s">
        <v>2386</v>
      </c>
      <c r="G7" s="5">
        <v>3106374225</v>
      </c>
    </row>
    <row r="8" spans="1:11" ht="15.75" customHeight="1">
      <c r="A8" s="5">
        <v>12345698</v>
      </c>
      <c r="B8" s="5" t="s">
        <v>23706</v>
      </c>
      <c r="C8" s="5" t="s">
        <v>2642</v>
      </c>
      <c r="E8" s="5" t="s">
        <v>84</v>
      </c>
      <c r="G8" s="5">
        <v>3007252222</v>
      </c>
    </row>
    <row r="9" spans="1:11" ht="15.75" customHeight="1">
      <c r="A9" s="5">
        <v>1065601977</v>
      </c>
      <c r="B9" s="5" t="s">
        <v>23706</v>
      </c>
      <c r="C9" s="5" t="s">
        <v>46</v>
      </c>
      <c r="E9" s="5" t="s">
        <v>23712</v>
      </c>
      <c r="G9" s="5">
        <v>3043840770</v>
      </c>
    </row>
    <row r="10" spans="1:11" ht="15.75" customHeight="1">
      <c r="A10" s="5">
        <v>1140839592</v>
      </c>
      <c r="B10" s="5" t="s">
        <v>23706</v>
      </c>
      <c r="C10" s="5" t="s">
        <v>698</v>
      </c>
      <c r="E10" s="5" t="s">
        <v>382</v>
      </c>
      <c r="G10" s="5">
        <v>3163876287</v>
      </c>
    </row>
    <row r="11" spans="1:11" ht="15.75" customHeight="1">
      <c r="A11" s="5">
        <v>1143252028</v>
      </c>
      <c r="B11" s="5" t="s">
        <v>23706</v>
      </c>
      <c r="C11" s="5" t="s">
        <v>3893</v>
      </c>
      <c r="E11" s="5" t="s">
        <v>3894</v>
      </c>
      <c r="G11" s="5">
        <v>3167483308</v>
      </c>
      <c r="I11" s="5" t="s">
        <v>23713</v>
      </c>
    </row>
    <row r="12" spans="1:11" ht="15.75" customHeight="1">
      <c r="A12" s="5">
        <v>1042457166</v>
      </c>
      <c r="B12" s="5" t="s">
        <v>23706</v>
      </c>
      <c r="C12" s="5" t="s">
        <v>23714</v>
      </c>
      <c r="E12" s="5" t="s">
        <v>23715</v>
      </c>
      <c r="G12" s="5">
        <v>3005542792</v>
      </c>
    </row>
    <row r="13" spans="1:11" ht="15.75" customHeight="1">
      <c r="A13" s="5">
        <v>1045674658</v>
      </c>
      <c r="B13" s="5" t="s">
        <v>23706</v>
      </c>
      <c r="C13" s="5" t="s">
        <v>23716</v>
      </c>
      <c r="E13" s="5" t="s">
        <v>23717</v>
      </c>
      <c r="G13" s="5">
        <v>3004691205</v>
      </c>
    </row>
    <row r="14" spans="1:11" ht="15.75" customHeight="1">
      <c r="A14" s="5">
        <v>79554168</v>
      </c>
      <c r="B14" s="5" t="s">
        <v>23706</v>
      </c>
      <c r="C14" s="5" t="s">
        <v>23718</v>
      </c>
      <c r="E14" s="5" t="s">
        <v>23719</v>
      </c>
      <c r="G14" s="5">
        <v>3145812100</v>
      </c>
    </row>
    <row r="15" spans="1:11" ht="15.75" customHeight="1">
      <c r="A15" s="5">
        <v>1045739173</v>
      </c>
      <c r="B15" s="5" t="s">
        <v>23706</v>
      </c>
      <c r="C15" s="5" t="s">
        <v>2862</v>
      </c>
      <c r="E15" s="5" t="s">
        <v>23720</v>
      </c>
      <c r="G15" s="5">
        <v>3113210174</v>
      </c>
    </row>
    <row r="16" spans="1:11" ht="15.75" customHeight="1">
      <c r="A16" s="5">
        <v>1234088398</v>
      </c>
      <c r="B16" s="5" t="s">
        <v>23706</v>
      </c>
      <c r="C16" s="5" t="s">
        <v>84</v>
      </c>
      <c r="E16" s="5" t="s">
        <v>23721</v>
      </c>
      <c r="G16" s="5">
        <v>3156602220</v>
      </c>
    </row>
    <row r="17" spans="1:7" ht="15.75" customHeight="1">
      <c r="A17" s="5">
        <v>1143166702</v>
      </c>
      <c r="B17" s="5" t="s">
        <v>23706</v>
      </c>
      <c r="C17" s="5" t="s">
        <v>5680</v>
      </c>
      <c r="E17" s="5" t="s">
        <v>3601</v>
      </c>
      <c r="G17" s="5">
        <v>3136257976</v>
      </c>
    </row>
    <row r="18" spans="1:7" ht="15.75" customHeight="1">
      <c r="A18" s="5">
        <v>1001822182</v>
      </c>
      <c r="B18" s="5" t="s">
        <v>23706</v>
      </c>
      <c r="C18" s="5" t="s">
        <v>84</v>
      </c>
      <c r="E18" s="5" t="s">
        <v>8310</v>
      </c>
      <c r="G18" s="5">
        <v>3008608059</v>
      </c>
    </row>
    <row r="19" spans="1:7" ht="15.75" customHeight="1">
      <c r="A19" s="5">
        <v>1006569461</v>
      </c>
      <c r="B19" s="5" t="s">
        <v>23706</v>
      </c>
      <c r="C19" s="5" t="s">
        <v>226</v>
      </c>
      <c r="E19" s="5" t="s">
        <v>23722</v>
      </c>
      <c r="G19" s="5">
        <v>3102758441</v>
      </c>
    </row>
    <row r="20" spans="1:7" ht="15.75" customHeight="1">
      <c r="A20" s="5">
        <v>1045674063</v>
      </c>
      <c r="B20" s="5" t="s">
        <v>23706</v>
      </c>
      <c r="C20" s="5" t="s">
        <v>13899</v>
      </c>
      <c r="E20" s="5"/>
      <c r="G20" s="5">
        <v>300514042300</v>
      </c>
    </row>
    <row r="21" spans="1:7" ht="15.75" customHeight="1">
      <c r="A21" s="5">
        <v>1143144308</v>
      </c>
      <c r="B21" s="5" t="s">
        <v>23706</v>
      </c>
      <c r="C21" s="5" t="s">
        <v>53</v>
      </c>
      <c r="E21" s="5" t="s">
        <v>54</v>
      </c>
      <c r="G21" s="5">
        <v>3007775110</v>
      </c>
    </row>
    <row r="22" spans="1:7" ht="15.75" customHeight="1">
      <c r="A22" s="5">
        <v>32735597</v>
      </c>
      <c r="B22" s="5" t="s">
        <v>23706</v>
      </c>
      <c r="C22" s="5" t="s">
        <v>23723</v>
      </c>
      <c r="E22" s="5" t="s">
        <v>1924</v>
      </c>
      <c r="G22" s="5">
        <v>3145091990</v>
      </c>
    </row>
    <row r="23" spans="1:7" ht="15.75" customHeight="1">
      <c r="A23" s="5">
        <v>60397017</v>
      </c>
      <c r="B23" s="5" t="s">
        <v>23706</v>
      </c>
      <c r="C23" s="5" t="s">
        <v>76</v>
      </c>
      <c r="E23" s="5" t="s">
        <v>77</v>
      </c>
      <c r="G23" s="5">
        <v>3012340135</v>
      </c>
    </row>
    <row r="24" spans="1:7" ht="12.5">
      <c r="A24" s="5">
        <v>1068661609</v>
      </c>
      <c r="B24" s="5" t="s">
        <v>23706</v>
      </c>
      <c r="C24" s="5" t="s">
        <v>23724</v>
      </c>
      <c r="E24" s="5" t="s">
        <v>7991</v>
      </c>
      <c r="G24" s="5">
        <v>3235282722</v>
      </c>
    </row>
    <row r="25" spans="1:7" ht="12.5">
      <c r="A25" s="5">
        <v>111111</v>
      </c>
      <c r="B25" s="5" t="s">
        <v>23706</v>
      </c>
      <c r="C25" s="5" t="s">
        <v>445</v>
      </c>
      <c r="E25" s="5" t="s">
        <v>6346</v>
      </c>
      <c r="G25" s="5">
        <v>3128896624</v>
      </c>
    </row>
    <row r="26" spans="1:7" ht="12.5">
      <c r="A26" s="5">
        <v>1042462300</v>
      </c>
      <c r="B26" s="5" t="s">
        <v>23706</v>
      </c>
      <c r="C26" s="5" t="s">
        <v>1216</v>
      </c>
      <c r="E26" s="5" t="s">
        <v>11722</v>
      </c>
      <c r="G26" s="5">
        <v>3045850496</v>
      </c>
    </row>
    <row r="27" spans="1:7" ht="12.5">
      <c r="A27" s="5">
        <v>1139614281</v>
      </c>
      <c r="B27" s="5" t="s">
        <v>23706</v>
      </c>
      <c r="C27" s="5" t="s">
        <v>92</v>
      </c>
      <c r="E27" s="5" t="s">
        <v>93</v>
      </c>
      <c r="G27" s="5">
        <v>3003582590</v>
      </c>
    </row>
    <row r="28" spans="1:7" ht="12.5">
      <c r="A28" s="5">
        <v>72278234</v>
      </c>
      <c r="B28" s="5" t="s">
        <v>23706</v>
      </c>
      <c r="C28" s="5" t="s">
        <v>84</v>
      </c>
      <c r="E28" s="5" t="s">
        <v>85</v>
      </c>
      <c r="G28" s="5">
        <v>3004867681</v>
      </c>
    </row>
    <row r="29" spans="1:7" ht="12.5">
      <c r="A29" s="5">
        <v>1085165600</v>
      </c>
      <c r="B29" s="5" t="s">
        <v>23706</v>
      </c>
      <c r="C29" s="5" t="s">
        <v>5288</v>
      </c>
      <c r="E29" s="5" t="s">
        <v>101</v>
      </c>
      <c r="G29" s="5">
        <v>3023562503</v>
      </c>
    </row>
    <row r="30" spans="1:7" ht="12.5">
      <c r="A30" s="5">
        <v>1140892942</v>
      </c>
      <c r="B30" s="5" t="s">
        <v>23706</v>
      </c>
      <c r="C30" s="5" t="s">
        <v>343</v>
      </c>
      <c r="E30" s="5" t="s">
        <v>108</v>
      </c>
      <c r="G30" s="5">
        <v>3014656802</v>
      </c>
    </row>
    <row r="31" spans="1:7" ht="12.5">
      <c r="A31" s="5">
        <v>1001912485</v>
      </c>
      <c r="B31" s="5" t="s">
        <v>23706</v>
      </c>
      <c r="C31" s="5" t="s">
        <v>121</v>
      </c>
      <c r="E31" s="5" t="s">
        <v>399</v>
      </c>
      <c r="G31" s="5">
        <v>3045359056</v>
      </c>
    </row>
    <row r="32" spans="1:7" ht="12.5">
      <c r="A32" s="5">
        <v>1010094699</v>
      </c>
      <c r="B32" s="5" t="s">
        <v>23706</v>
      </c>
      <c r="C32" s="5" t="s">
        <v>129</v>
      </c>
      <c r="E32" s="5" t="s">
        <v>130</v>
      </c>
      <c r="G32" s="5">
        <v>3008326249</v>
      </c>
    </row>
    <row r="33" spans="1:9" ht="12.5">
      <c r="A33" s="5">
        <v>72260542</v>
      </c>
      <c r="B33" s="5" t="s">
        <v>23706</v>
      </c>
      <c r="C33" s="5" t="s">
        <v>23725</v>
      </c>
      <c r="E33" s="5" t="s">
        <v>137</v>
      </c>
      <c r="G33" s="5">
        <v>3165266199</v>
      </c>
    </row>
    <row r="34" spans="1:9" ht="12.5">
      <c r="A34" s="5">
        <v>22587251</v>
      </c>
      <c r="B34" s="5" t="s">
        <v>23706</v>
      </c>
      <c r="C34" s="5" t="s">
        <v>9417</v>
      </c>
      <c r="E34" s="5" t="s">
        <v>23726</v>
      </c>
      <c r="G34" s="5">
        <v>3026413479</v>
      </c>
    </row>
    <row r="35" spans="1:9" ht="12.5">
      <c r="A35" s="5">
        <v>8699632</v>
      </c>
      <c r="B35" s="5" t="s">
        <v>23706</v>
      </c>
      <c r="C35" s="5" t="s">
        <v>23727</v>
      </c>
      <c r="E35" s="5" t="s">
        <v>4573</v>
      </c>
      <c r="G35" s="5">
        <v>13057640412</v>
      </c>
    </row>
    <row r="36" spans="1:9" ht="12.5">
      <c r="A36" s="5">
        <v>3232712</v>
      </c>
      <c r="B36" s="5" t="s">
        <v>23706</v>
      </c>
      <c r="C36" s="5" t="s">
        <v>153</v>
      </c>
      <c r="E36" s="5" t="s">
        <v>152</v>
      </c>
      <c r="G36" s="5">
        <v>3008943808</v>
      </c>
    </row>
    <row r="37" spans="1:9" ht="12.5">
      <c r="A37" s="5">
        <v>1045730564</v>
      </c>
      <c r="B37" s="5" t="s">
        <v>23706</v>
      </c>
      <c r="C37" s="5" t="s">
        <v>158</v>
      </c>
      <c r="E37" s="5" t="s">
        <v>159</v>
      </c>
      <c r="G37" s="5">
        <v>3145381698</v>
      </c>
    </row>
    <row r="38" spans="1:9" ht="12.5">
      <c r="A38" s="5">
        <v>1234097133</v>
      </c>
      <c r="B38" s="5" t="s">
        <v>23706</v>
      </c>
      <c r="C38" s="5" t="s">
        <v>165</v>
      </c>
      <c r="E38" s="5" t="s">
        <v>166</v>
      </c>
      <c r="G38" s="5">
        <v>3209485304</v>
      </c>
      <c r="I38" s="5" t="s">
        <v>23728</v>
      </c>
    </row>
    <row r="39" spans="1:9" ht="12.5">
      <c r="A39" s="5">
        <v>1047435678</v>
      </c>
      <c r="B39" s="5" t="s">
        <v>23706</v>
      </c>
      <c r="C39" s="5" t="s">
        <v>173</v>
      </c>
      <c r="E39" s="5" t="s">
        <v>23729</v>
      </c>
      <c r="G39" s="5">
        <v>3003794847</v>
      </c>
    </row>
    <row r="40" spans="1:9" ht="12.5">
      <c r="A40" s="5">
        <v>22523925</v>
      </c>
      <c r="B40" s="5" t="s">
        <v>23706</v>
      </c>
      <c r="C40" s="5" t="s">
        <v>2701</v>
      </c>
      <c r="E40" s="5" t="s">
        <v>23730</v>
      </c>
      <c r="G40" s="5">
        <v>3172245206</v>
      </c>
    </row>
    <row r="41" spans="1:9" ht="12.5">
      <c r="A41" s="5">
        <v>1234088982</v>
      </c>
      <c r="B41" s="5" t="s">
        <v>23706</v>
      </c>
      <c r="C41" s="5" t="s">
        <v>182</v>
      </c>
      <c r="E41" s="5" t="s">
        <v>183</v>
      </c>
      <c r="G41" s="5">
        <v>3183514405</v>
      </c>
    </row>
    <row r="42" spans="1:9" ht="12.5">
      <c r="A42" s="5">
        <v>1129583788</v>
      </c>
      <c r="B42" s="5" t="s">
        <v>23706</v>
      </c>
      <c r="C42" s="5" t="s">
        <v>190</v>
      </c>
      <c r="E42" s="5" t="s">
        <v>191</v>
      </c>
      <c r="G42" s="5">
        <v>12082705109</v>
      </c>
    </row>
    <row r="43" spans="1:9" ht="12.5">
      <c r="A43" s="5">
        <v>79105208</v>
      </c>
      <c r="B43" s="5" t="s">
        <v>23706</v>
      </c>
      <c r="C43" s="5" t="s">
        <v>23731</v>
      </c>
      <c r="E43" s="5" t="s">
        <v>23732</v>
      </c>
      <c r="G43" s="5">
        <v>3017262076</v>
      </c>
    </row>
    <row r="44" spans="1:9" ht="12.5">
      <c r="A44" s="5">
        <v>1048933991</v>
      </c>
      <c r="B44" s="5" t="s">
        <v>23706</v>
      </c>
      <c r="C44" s="5" t="s">
        <v>205</v>
      </c>
      <c r="E44" s="5" t="s">
        <v>206</v>
      </c>
      <c r="G44" s="5">
        <v>3006418722</v>
      </c>
    </row>
    <row r="45" spans="1:9" ht="12.5">
      <c r="A45" s="5">
        <v>66870320</v>
      </c>
      <c r="B45" s="5" t="s">
        <v>23706</v>
      </c>
      <c r="C45" s="5" t="s">
        <v>217</v>
      </c>
      <c r="E45" s="5" t="s">
        <v>218</v>
      </c>
      <c r="G45" s="5">
        <v>13475364999</v>
      </c>
    </row>
    <row r="46" spans="1:9" ht="12.5">
      <c r="A46" s="5">
        <v>1042849973</v>
      </c>
      <c r="B46" s="5" t="s">
        <v>23706</v>
      </c>
      <c r="C46" s="5" t="s">
        <v>226</v>
      </c>
      <c r="E46" s="5" t="s">
        <v>227</v>
      </c>
      <c r="G46" s="5">
        <v>3106333999</v>
      </c>
    </row>
    <row r="47" spans="1:9" ht="12.5">
      <c r="A47" s="5">
        <v>1140847215</v>
      </c>
      <c r="B47" s="5" t="s">
        <v>23706</v>
      </c>
      <c r="C47" s="5" t="s">
        <v>332</v>
      </c>
      <c r="E47" s="5" t="s">
        <v>227</v>
      </c>
      <c r="G47" s="5">
        <v>3008374077</v>
      </c>
    </row>
    <row r="48" spans="1:9" ht="12.5">
      <c r="A48" s="5">
        <v>1140888238</v>
      </c>
      <c r="B48" s="5" t="s">
        <v>23706</v>
      </c>
      <c r="C48" s="5" t="s">
        <v>1798</v>
      </c>
      <c r="E48" s="5" t="s">
        <v>2131</v>
      </c>
      <c r="G48" s="5">
        <v>3017262076</v>
      </c>
    </row>
    <row r="49" spans="1:7" ht="12.5">
      <c r="A49" s="5">
        <v>11240000815</v>
      </c>
      <c r="B49" s="5" t="s">
        <v>23706</v>
      </c>
      <c r="C49" s="5" t="s">
        <v>23733</v>
      </c>
      <c r="E49" s="5" t="s">
        <v>23734</v>
      </c>
      <c r="G49" s="5">
        <v>3505316838</v>
      </c>
    </row>
    <row r="50" spans="1:7" ht="12.5">
      <c r="A50" s="5">
        <v>0</v>
      </c>
      <c r="B50" s="5" t="s">
        <v>23706</v>
      </c>
      <c r="C50" s="5" t="s">
        <v>235</v>
      </c>
      <c r="E50" s="5" t="s">
        <v>236</v>
      </c>
      <c r="G50" s="5">
        <v>3154015161</v>
      </c>
    </row>
    <row r="51" spans="1:7" ht="12.5">
      <c r="A51" s="5">
        <v>72357914</v>
      </c>
      <c r="B51" s="5" t="s">
        <v>23706</v>
      </c>
      <c r="C51" s="5" t="s">
        <v>5347</v>
      </c>
      <c r="E51" s="5" t="s">
        <v>255</v>
      </c>
      <c r="G51" s="5">
        <v>3017366162</v>
      </c>
    </row>
    <row r="52" spans="1:7" ht="12.5">
      <c r="A52" s="5">
        <v>1140820157</v>
      </c>
      <c r="B52" s="5" t="s">
        <v>23706</v>
      </c>
      <c r="C52" s="5" t="s">
        <v>23735</v>
      </c>
      <c r="E52" s="5" t="s">
        <v>277</v>
      </c>
      <c r="G52" s="5">
        <v>16469443749</v>
      </c>
    </row>
    <row r="53" spans="1:7" ht="12.5">
      <c r="A53" s="5">
        <v>1000596064</v>
      </c>
      <c r="B53" s="5" t="s">
        <v>23706</v>
      </c>
      <c r="C53" s="5" t="s">
        <v>262</v>
      </c>
      <c r="E53" s="5" t="s">
        <v>263</v>
      </c>
      <c r="G53" s="5">
        <v>33666513994</v>
      </c>
    </row>
    <row r="54" spans="1:7" ht="12.5">
      <c r="A54" s="5">
        <v>1140902669</v>
      </c>
      <c r="B54" s="5" t="s">
        <v>23706</v>
      </c>
      <c r="C54" s="5" t="s">
        <v>270</v>
      </c>
      <c r="E54" s="5" t="s">
        <v>271</v>
      </c>
      <c r="G54" s="5">
        <v>3163111155</v>
      </c>
    </row>
    <row r="55" spans="1:7" ht="12.5">
      <c r="A55" s="5">
        <v>1140841620</v>
      </c>
      <c r="B55" s="5" t="s">
        <v>23706</v>
      </c>
      <c r="C55" s="5" t="s">
        <v>297</v>
      </c>
      <c r="E55" s="5" t="s">
        <v>298</v>
      </c>
      <c r="G55" s="5">
        <v>3188062999</v>
      </c>
    </row>
    <row r="56" spans="1:7" ht="12.5">
      <c r="A56" s="5">
        <v>1002211373</v>
      </c>
      <c r="B56" s="5" t="s">
        <v>23706</v>
      </c>
      <c r="C56" s="5" t="s">
        <v>290</v>
      </c>
      <c r="E56" s="5" t="s">
        <v>291</v>
      </c>
      <c r="G56" s="5">
        <v>16562620163</v>
      </c>
    </row>
    <row r="57" spans="1:7" ht="12.5">
      <c r="A57" s="5">
        <v>1129565524</v>
      </c>
      <c r="B57" s="5" t="s">
        <v>23706</v>
      </c>
      <c r="C57" s="5" t="s">
        <v>318</v>
      </c>
      <c r="E57" s="5" t="s">
        <v>319</v>
      </c>
      <c r="G57" s="5">
        <v>3207092819</v>
      </c>
    </row>
    <row r="58" spans="1:7" ht="12.5">
      <c r="A58" s="5">
        <v>1140838766</v>
      </c>
      <c r="B58" s="5" t="s">
        <v>23706</v>
      </c>
      <c r="C58" s="5" t="s">
        <v>283</v>
      </c>
      <c r="E58" s="5" t="s">
        <v>284</v>
      </c>
      <c r="G58" s="5">
        <v>3007895738</v>
      </c>
    </row>
    <row r="59" spans="1:7" ht="12.5">
      <c r="A59" s="5">
        <v>1043669351</v>
      </c>
      <c r="B59" s="5" t="s">
        <v>23706</v>
      </c>
      <c r="C59" s="5" t="s">
        <v>325</v>
      </c>
      <c r="E59" s="5" t="s">
        <v>326</v>
      </c>
      <c r="G59" s="5">
        <v>3167502204</v>
      </c>
    </row>
    <row r="60" spans="1:7" ht="12.5">
      <c r="A60" s="5">
        <v>1140899289</v>
      </c>
      <c r="B60" s="5" t="s">
        <v>23706</v>
      </c>
      <c r="C60" s="5" t="s">
        <v>8318</v>
      </c>
      <c r="E60" s="5" t="s">
        <v>305</v>
      </c>
      <c r="G60" s="5">
        <v>3017188503</v>
      </c>
    </row>
    <row r="61" spans="1:7" ht="12.5">
      <c r="A61" s="5">
        <v>1010150521</v>
      </c>
      <c r="B61" s="5" t="s">
        <v>23706</v>
      </c>
      <c r="C61" s="5" t="s">
        <v>311</v>
      </c>
      <c r="E61" s="5" t="s">
        <v>312</v>
      </c>
      <c r="G61" s="5">
        <v>3013625860</v>
      </c>
    </row>
    <row r="62" spans="1:7" ht="12.5">
      <c r="A62" s="5">
        <v>80420054</v>
      </c>
      <c r="B62" s="5" t="s">
        <v>23706</v>
      </c>
      <c r="C62" s="5" t="s">
        <v>343</v>
      </c>
      <c r="E62" s="5" t="s">
        <v>344</v>
      </c>
      <c r="G62" s="5">
        <v>3112029123</v>
      </c>
    </row>
    <row r="63" spans="1:7" ht="12.5">
      <c r="A63" s="5">
        <v>580881</v>
      </c>
      <c r="B63" s="5" t="s">
        <v>23706</v>
      </c>
      <c r="C63" s="5" t="s">
        <v>23736</v>
      </c>
      <c r="E63" s="5" t="s">
        <v>23737</v>
      </c>
      <c r="G63" s="5">
        <v>13016610096</v>
      </c>
    </row>
    <row r="64" spans="1:7" ht="12.5">
      <c r="A64" s="5">
        <v>1010077411</v>
      </c>
      <c r="B64" s="5" t="s">
        <v>23706</v>
      </c>
      <c r="C64" s="5" t="s">
        <v>46</v>
      </c>
      <c r="E64" s="5" t="s">
        <v>23738</v>
      </c>
      <c r="G64" s="5" t="s">
        <v>23739</v>
      </c>
    </row>
    <row r="65" spans="1:9" ht="12.5">
      <c r="A65" s="5">
        <v>32723192</v>
      </c>
      <c r="B65" s="5" t="s">
        <v>23706</v>
      </c>
      <c r="C65" s="5" t="s">
        <v>356</v>
      </c>
      <c r="E65" s="5" t="s">
        <v>357</v>
      </c>
      <c r="G65" s="5">
        <v>3176609335</v>
      </c>
    </row>
    <row r="66" spans="1:9" ht="12.5">
      <c r="A66" s="5">
        <v>1045752007</v>
      </c>
      <c r="B66" s="5" t="s">
        <v>23706</v>
      </c>
      <c r="C66" s="5" t="s">
        <v>13963</v>
      </c>
      <c r="E66" s="5"/>
      <c r="G66" s="5">
        <v>3022812819</v>
      </c>
      <c r="I66" s="5" t="s">
        <v>23740</v>
      </c>
    </row>
    <row r="67" spans="1:9" ht="12.5">
      <c r="A67" s="5">
        <v>1140856569</v>
      </c>
      <c r="B67" s="5" t="s">
        <v>23706</v>
      </c>
      <c r="C67" s="5" t="s">
        <v>1639</v>
      </c>
      <c r="E67" s="5" t="s">
        <v>367</v>
      </c>
      <c r="G67" s="5">
        <v>3226133817</v>
      </c>
    </row>
    <row r="68" spans="1:9" ht="12.5">
      <c r="A68" s="5">
        <v>22736562</v>
      </c>
      <c r="B68" s="5" t="s">
        <v>23706</v>
      </c>
      <c r="C68" s="5" t="s">
        <v>371</v>
      </c>
      <c r="E68" s="5" t="s">
        <v>372</v>
      </c>
      <c r="G68" s="5">
        <v>3017156935</v>
      </c>
    </row>
    <row r="69" spans="1:9" ht="12.5">
      <c r="A69" s="5">
        <v>1079914726</v>
      </c>
      <c r="B69" s="5" t="s">
        <v>23706</v>
      </c>
      <c r="C69" s="5" t="s">
        <v>376</v>
      </c>
      <c r="E69" s="5" t="s">
        <v>377</v>
      </c>
      <c r="G69" s="5">
        <v>3104214627</v>
      </c>
    </row>
    <row r="70" spans="1:9" ht="12.5">
      <c r="A70" s="5">
        <v>1042351150</v>
      </c>
      <c r="B70" s="5" t="s">
        <v>23706</v>
      </c>
      <c r="C70" s="5" t="s">
        <v>386</v>
      </c>
      <c r="E70" s="5" t="s">
        <v>387</v>
      </c>
      <c r="G70" s="5">
        <v>3159282463</v>
      </c>
    </row>
    <row r="71" spans="1:9" ht="12.5">
      <c r="A71" s="5">
        <v>1140848061</v>
      </c>
      <c r="B71" s="5" t="s">
        <v>23706</v>
      </c>
      <c r="C71" s="5" t="s">
        <v>392</v>
      </c>
      <c r="E71" s="5" t="s">
        <v>393</v>
      </c>
      <c r="G71" s="5">
        <v>3147754370</v>
      </c>
    </row>
    <row r="72" spans="1:9" ht="12.5">
      <c r="A72" s="5">
        <v>1102882652</v>
      </c>
      <c r="B72" s="5" t="s">
        <v>23706</v>
      </c>
      <c r="C72" s="5" t="s">
        <v>381</v>
      </c>
      <c r="E72" s="5" t="s">
        <v>382</v>
      </c>
      <c r="G72" s="5">
        <v>3008593756</v>
      </c>
    </row>
    <row r="73" spans="1:9" ht="12.5">
      <c r="A73" s="5">
        <v>72297514</v>
      </c>
      <c r="B73" s="5" t="s">
        <v>23706</v>
      </c>
      <c r="C73" s="5" t="s">
        <v>665</v>
      </c>
      <c r="E73" s="5" t="s">
        <v>399</v>
      </c>
      <c r="G73" s="5">
        <v>3017486941</v>
      </c>
    </row>
    <row r="74" spans="1:9" ht="12.5">
      <c r="A74" s="5">
        <v>1140885990</v>
      </c>
      <c r="B74" s="5" t="s">
        <v>23706</v>
      </c>
      <c r="C74" s="5" t="s">
        <v>404</v>
      </c>
      <c r="E74" s="5" t="s">
        <v>387</v>
      </c>
      <c r="G74" s="5">
        <v>3015853230</v>
      </c>
    </row>
    <row r="75" spans="1:9" ht="12.5">
      <c r="A75" s="5">
        <v>1020740415</v>
      </c>
      <c r="B75" s="5" t="s">
        <v>23706</v>
      </c>
      <c r="C75" s="5" t="s">
        <v>23741</v>
      </c>
      <c r="E75" s="5" t="s">
        <v>23742</v>
      </c>
      <c r="G75" s="5">
        <v>3008439408</v>
      </c>
    </row>
    <row r="76" spans="1:9" ht="12.5">
      <c r="A76" s="5">
        <v>1002439554</v>
      </c>
      <c r="B76" s="5" t="s">
        <v>23706</v>
      </c>
      <c r="C76" s="5" t="s">
        <v>440</v>
      </c>
      <c r="E76" s="5" t="s">
        <v>441</v>
      </c>
      <c r="G76" s="5">
        <v>3147511194</v>
      </c>
    </row>
    <row r="77" spans="1:9" ht="12.5">
      <c r="A77" s="5">
        <v>12221969151</v>
      </c>
      <c r="B77" s="5" t="s">
        <v>23706</v>
      </c>
      <c r="C77" s="5" t="s">
        <v>414</v>
      </c>
      <c r="E77" s="5" t="s">
        <v>415</v>
      </c>
      <c r="G77" s="5">
        <v>2402646180</v>
      </c>
    </row>
    <row r="78" spans="1:9" ht="12.5">
      <c r="A78" s="5">
        <v>1123732178</v>
      </c>
      <c r="B78" s="5" t="s">
        <v>23706</v>
      </c>
      <c r="C78" s="5" t="s">
        <v>425</v>
      </c>
      <c r="E78" s="5" t="s">
        <v>426</v>
      </c>
      <c r="G78" s="5">
        <v>31269606612</v>
      </c>
    </row>
    <row r="79" spans="1:9" ht="12.5">
      <c r="A79" s="5">
        <v>1120750688</v>
      </c>
      <c r="B79" s="5" t="s">
        <v>23706</v>
      </c>
      <c r="C79" s="5" t="s">
        <v>417</v>
      </c>
      <c r="E79" s="5" t="s">
        <v>418</v>
      </c>
      <c r="G79" s="5">
        <v>3012153820</v>
      </c>
    </row>
    <row r="80" spans="1:9" ht="12.5">
      <c r="A80" s="5">
        <v>1001997753</v>
      </c>
      <c r="B80" s="5" t="s">
        <v>23706</v>
      </c>
      <c r="C80" s="5" t="s">
        <v>432</v>
      </c>
      <c r="E80" s="5" t="s">
        <v>433</v>
      </c>
      <c r="G80" s="5">
        <v>3128996844</v>
      </c>
    </row>
    <row r="81" spans="1:9" ht="12.5">
      <c r="A81" s="5">
        <v>0</v>
      </c>
      <c r="B81" s="5" t="s">
        <v>23706</v>
      </c>
      <c r="C81" s="5" t="s">
        <v>436</v>
      </c>
      <c r="E81" s="5" t="s">
        <v>437</v>
      </c>
      <c r="G81" s="5">
        <v>3226450395</v>
      </c>
    </row>
    <row r="82" spans="1:9" ht="12.5">
      <c r="A82" s="5">
        <v>1234094577</v>
      </c>
      <c r="B82" s="5" t="s">
        <v>23706</v>
      </c>
      <c r="C82" s="5" t="s">
        <v>445</v>
      </c>
      <c r="E82" s="5" t="s">
        <v>446</v>
      </c>
      <c r="G82" s="5">
        <v>34624368707</v>
      </c>
    </row>
    <row r="83" spans="1:9" ht="12.5">
      <c r="A83" s="5">
        <v>1065617402</v>
      </c>
      <c r="B83" s="5" t="s">
        <v>23706</v>
      </c>
      <c r="C83" s="5" t="s">
        <v>23743</v>
      </c>
      <c r="E83" s="5" t="s">
        <v>451</v>
      </c>
      <c r="G83" s="5">
        <v>3233030894</v>
      </c>
    </row>
    <row r="84" spans="1:9" ht="12.5">
      <c r="A84" s="5">
        <v>80240210</v>
      </c>
      <c r="B84" s="5" t="s">
        <v>23706</v>
      </c>
      <c r="C84" s="5" t="s">
        <v>454</v>
      </c>
      <c r="E84" s="5" t="s">
        <v>455</v>
      </c>
      <c r="G84" s="5">
        <v>3165292287</v>
      </c>
    </row>
    <row r="85" spans="1:9" ht="12.5">
      <c r="A85" s="5">
        <v>1143142098</v>
      </c>
      <c r="B85" s="5" t="s">
        <v>23706</v>
      </c>
      <c r="C85" s="5" t="s">
        <v>461</v>
      </c>
      <c r="E85" s="5" t="s">
        <v>462</v>
      </c>
      <c r="G85" s="5">
        <v>3013535388</v>
      </c>
    </row>
    <row r="86" spans="1:9" ht="12.5">
      <c r="A86" s="5">
        <v>1043841188</v>
      </c>
      <c r="B86" s="5" t="s">
        <v>23706</v>
      </c>
      <c r="C86" s="5" t="s">
        <v>23744</v>
      </c>
      <c r="E86" s="5" t="s">
        <v>23745</v>
      </c>
      <c r="G86" s="5">
        <v>3205928079</v>
      </c>
    </row>
    <row r="87" spans="1:9" ht="12.5">
      <c r="A87" s="5">
        <v>1192767057</v>
      </c>
      <c r="B87" s="5" t="s">
        <v>23706</v>
      </c>
      <c r="C87" s="5" t="s">
        <v>5685</v>
      </c>
      <c r="E87" s="5" t="s">
        <v>23746</v>
      </c>
      <c r="G87" s="5">
        <v>3104363236</v>
      </c>
    </row>
    <row r="88" spans="1:9" ht="12.5">
      <c r="A88" s="5">
        <v>1121555531</v>
      </c>
      <c r="B88" s="5" t="s">
        <v>23706</v>
      </c>
      <c r="C88" s="5" t="s">
        <v>480</v>
      </c>
      <c r="E88" s="5" t="s">
        <v>23747</v>
      </c>
      <c r="G88" s="5">
        <v>3164502773</v>
      </c>
    </row>
    <row r="89" spans="1:9" ht="12.5">
      <c r="A89" s="5">
        <v>1234092314</v>
      </c>
      <c r="B89" s="5" t="s">
        <v>23706</v>
      </c>
      <c r="C89" s="5" t="s">
        <v>474</v>
      </c>
      <c r="E89" s="5" t="s">
        <v>475</v>
      </c>
      <c r="G89" s="5">
        <v>3117074781</v>
      </c>
    </row>
    <row r="90" spans="1:9" ht="12.5">
      <c r="A90" s="5">
        <v>1042240891</v>
      </c>
      <c r="B90" s="5" t="s">
        <v>23706</v>
      </c>
      <c r="C90" s="5" t="s">
        <v>12752</v>
      </c>
      <c r="E90" s="5"/>
      <c r="G90" s="5">
        <v>3205337978</v>
      </c>
      <c r="I90" s="5" t="s">
        <v>23748</v>
      </c>
    </row>
    <row r="91" spans="1:9" ht="12.5">
      <c r="A91" s="5">
        <v>22514312</v>
      </c>
      <c r="B91" s="5" t="s">
        <v>23706</v>
      </c>
      <c r="C91" s="5" t="s">
        <v>23749</v>
      </c>
      <c r="E91" s="5" t="s">
        <v>2517</v>
      </c>
      <c r="G91" s="5">
        <v>3153074475</v>
      </c>
    </row>
    <row r="92" spans="1:9" ht="12.5">
      <c r="A92" s="5">
        <v>44154964</v>
      </c>
      <c r="B92" s="5" t="s">
        <v>23706</v>
      </c>
      <c r="C92" s="5" t="s">
        <v>6012</v>
      </c>
      <c r="E92" s="5" t="s">
        <v>23750</v>
      </c>
      <c r="G92" s="5">
        <v>3046525981</v>
      </c>
    </row>
    <row r="93" spans="1:9" ht="12.5">
      <c r="A93" s="5">
        <v>1007016681</v>
      </c>
      <c r="B93" s="5" t="s">
        <v>23706</v>
      </c>
      <c r="C93" s="5" t="s">
        <v>492</v>
      </c>
      <c r="E93" s="5" t="s">
        <v>493</v>
      </c>
      <c r="G93" s="5">
        <v>3105204973</v>
      </c>
    </row>
    <row r="94" spans="1:9" ht="12.5">
      <c r="A94" s="5" t="s">
        <v>23751</v>
      </c>
      <c r="B94" s="5" t="s">
        <v>23706</v>
      </c>
      <c r="C94" s="5" t="s">
        <v>526</v>
      </c>
      <c r="E94" s="5" t="s">
        <v>527</v>
      </c>
      <c r="G94" s="10" t="s">
        <v>23752</v>
      </c>
    </row>
    <row r="95" spans="1:9" ht="12.5">
      <c r="A95" s="5">
        <v>1003000035</v>
      </c>
      <c r="B95" s="5" t="s">
        <v>23706</v>
      </c>
      <c r="C95" s="5" t="s">
        <v>417</v>
      </c>
      <c r="E95" s="5" t="s">
        <v>498</v>
      </c>
      <c r="G95" s="5">
        <v>3054888516</v>
      </c>
    </row>
    <row r="96" spans="1:9" ht="12.5">
      <c r="A96" s="5">
        <v>1192816447</v>
      </c>
      <c r="B96" s="5" t="s">
        <v>23706</v>
      </c>
      <c r="C96" s="5" t="s">
        <v>23753</v>
      </c>
      <c r="E96" s="5" t="s">
        <v>504</v>
      </c>
      <c r="G96" s="5">
        <v>3172391248</v>
      </c>
    </row>
    <row r="97" spans="1:7" ht="12.5">
      <c r="A97" s="5">
        <v>85467695</v>
      </c>
      <c r="B97" s="5" t="s">
        <v>23706</v>
      </c>
      <c r="C97" s="5" t="s">
        <v>1588</v>
      </c>
      <c r="E97" s="5" t="s">
        <v>510</v>
      </c>
      <c r="G97" s="5">
        <v>3166907488</v>
      </c>
    </row>
    <row r="98" spans="1:7" ht="12.5">
      <c r="A98" s="5">
        <v>1044217285</v>
      </c>
      <c r="B98" s="5" t="s">
        <v>23706</v>
      </c>
      <c r="C98" s="5" t="s">
        <v>4053</v>
      </c>
      <c r="E98" s="5" t="s">
        <v>539</v>
      </c>
      <c r="G98" s="5">
        <v>3117393493</v>
      </c>
    </row>
    <row r="99" spans="1:7" ht="12.5">
      <c r="A99" s="5">
        <v>1010163840</v>
      </c>
      <c r="B99" s="5" t="s">
        <v>23706</v>
      </c>
      <c r="C99" s="5" t="s">
        <v>290</v>
      </c>
      <c r="E99" s="5" t="s">
        <v>5067</v>
      </c>
      <c r="G99" s="5">
        <v>3022653371</v>
      </c>
    </row>
    <row r="100" spans="1:7" ht="12.5">
      <c r="A100" s="5">
        <v>22675798</v>
      </c>
      <c r="B100" s="5" t="s">
        <v>23706</v>
      </c>
      <c r="C100" s="5" t="s">
        <v>23754</v>
      </c>
      <c r="E100" s="5" t="s">
        <v>23755</v>
      </c>
      <c r="G100" s="5">
        <v>3243940362</v>
      </c>
    </row>
    <row r="101" spans="1:7" ht="12.5">
      <c r="A101" s="5">
        <v>1003123104</v>
      </c>
      <c r="B101" s="5" t="s">
        <v>23706</v>
      </c>
      <c r="C101" s="5" t="s">
        <v>550</v>
      </c>
      <c r="E101" s="5" t="s">
        <v>551</v>
      </c>
      <c r="G101" s="5">
        <v>3114081183</v>
      </c>
    </row>
    <row r="102" spans="1:7" ht="12.5">
      <c r="A102" s="5">
        <v>232511</v>
      </c>
      <c r="B102" s="5" t="s">
        <v>23706</v>
      </c>
      <c r="C102" s="5" t="s">
        <v>556</v>
      </c>
      <c r="E102" s="5" t="s">
        <v>218</v>
      </c>
      <c r="G102" s="5">
        <v>3106150116</v>
      </c>
    </row>
    <row r="103" spans="1:7" ht="12.5">
      <c r="A103" s="5">
        <v>22467011</v>
      </c>
      <c r="B103" s="5" t="s">
        <v>23706</v>
      </c>
      <c r="C103" s="5" t="s">
        <v>565</v>
      </c>
      <c r="E103" s="5" t="s">
        <v>382</v>
      </c>
      <c r="G103" s="5">
        <v>34697749517</v>
      </c>
    </row>
    <row r="104" spans="1:7" ht="12.5">
      <c r="A104" s="5">
        <v>1143469686</v>
      </c>
      <c r="B104" s="5" t="s">
        <v>23706</v>
      </c>
      <c r="C104" s="5" t="s">
        <v>23756</v>
      </c>
      <c r="E104" s="5" t="s">
        <v>561</v>
      </c>
      <c r="G104" s="5">
        <v>3013127318</v>
      </c>
    </row>
    <row r="105" spans="1:7" ht="12.5">
      <c r="A105" s="5">
        <v>22486488</v>
      </c>
      <c r="B105" s="5" t="s">
        <v>23706</v>
      </c>
      <c r="C105" s="5" t="s">
        <v>645</v>
      </c>
      <c r="E105" s="5" t="s">
        <v>646</v>
      </c>
      <c r="G105" s="5">
        <v>3002777625</v>
      </c>
    </row>
    <row r="106" spans="1:7" ht="12.5">
      <c r="A106" s="5">
        <v>72023311</v>
      </c>
      <c r="B106" s="5" t="s">
        <v>23706</v>
      </c>
      <c r="C106" s="5" t="s">
        <v>23757</v>
      </c>
      <c r="E106" s="5" t="s">
        <v>23758</v>
      </c>
      <c r="G106" s="5">
        <v>3017688486</v>
      </c>
    </row>
    <row r="107" spans="1:7" ht="12.5">
      <c r="A107" s="5">
        <v>1010065981</v>
      </c>
      <c r="B107" s="5" t="s">
        <v>23706</v>
      </c>
      <c r="C107" s="5" t="s">
        <v>595</v>
      </c>
      <c r="E107" s="5" t="s">
        <v>596</v>
      </c>
      <c r="G107" s="5">
        <v>13059032689</v>
      </c>
    </row>
    <row r="108" spans="1:7" ht="12.5">
      <c r="A108" s="5">
        <v>1140765390</v>
      </c>
      <c r="B108" s="5" t="s">
        <v>23706</v>
      </c>
      <c r="C108" s="5" t="s">
        <v>584</v>
      </c>
      <c r="E108" s="5" t="s">
        <v>585</v>
      </c>
      <c r="G108" s="5">
        <v>3147065545</v>
      </c>
    </row>
    <row r="109" spans="1:7" ht="12.5">
      <c r="A109" s="5">
        <v>45764004</v>
      </c>
      <c r="B109" s="5" t="s">
        <v>23706</v>
      </c>
      <c r="C109" s="5" t="s">
        <v>332</v>
      </c>
      <c r="E109" s="5" t="s">
        <v>387</v>
      </c>
      <c r="G109" s="5">
        <v>3052300848</v>
      </c>
    </row>
    <row r="110" spans="1:7" ht="12.5">
      <c r="A110" s="5">
        <v>72328745</v>
      </c>
      <c r="B110" s="5" t="s">
        <v>23706</v>
      </c>
      <c r="C110" s="5" t="s">
        <v>600</v>
      </c>
      <c r="E110" s="5" t="s">
        <v>601</v>
      </c>
      <c r="G110" s="5">
        <v>3147126101</v>
      </c>
    </row>
    <row r="111" spans="1:7" ht="12.5">
      <c r="A111" s="5">
        <v>1041693775</v>
      </c>
      <c r="B111" s="5" t="s">
        <v>23706</v>
      </c>
      <c r="C111" s="5" t="s">
        <v>23759</v>
      </c>
      <c r="E111" s="5" t="s">
        <v>610</v>
      </c>
      <c r="G111" s="5">
        <v>3028296647</v>
      </c>
    </row>
    <row r="112" spans="1:7" ht="12.5">
      <c r="A112" s="5">
        <v>22517899</v>
      </c>
      <c r="B112" s="5" t="s">
        <v>23706</v>
      </c>
      <c r="C112" s="5" t="s">
        <v>23760</v>
      </c>
      <c r="E112" s="5" t="s">
        <v>23761</v>
      </c>
      <c r="G112" s="5">
        <v>3005363005</v>
      </c>
    </row>
    <row r="113" spans="1:9" ht="12.5">
      <c r="A113" s="5">
        <v>1140833784</v>
      </c>
      <c r="B113" s="5" t="s">
        <v>23706</v>
      </c>
      <c r="C113" s="5" t="s">
        <v>652</v>
      </c>
      <c r="E113" s="5" t="s">
        <v>653</v>
      </c>
      <c r="G113" s="5">
        <v>3148029050</v>
      </c>
      <c r="I113" s="5" t="s">
        <v>23762</v>
      </c>
    </row>
    <row r="114" spans="1:9" ht="12.5">
      <c r="A114" s="5">
        <v>22737126</v>
      </c>
      <c r="B114" s="5" t="s">
        <v>23706</v>
      </c>
      <c r="C114" s="5" t="s">
        <v>633</v>
      </c>
      <c r="E114" s="5" t="s">
        <v>634</v>
      </c>
      <c r="G114" s="5">
        <v>3106709048</v>
      </c>
    </row>
    <row r="115" spans="1:9" ht="12.5">
      <c r="A115" s="5">
        <v>1045712595</v>
      </c>
      <c r="B115" s="5" t="s">
        <v>23706</v>
      </c>
      <c r="C115" s="5" t="s">
        <v>23763</v>
      </c>
      <c r="E115" s="5" t="s">
        <v>23764</v>
      </c>
      <c r="G115" s="5">
        <v>3022549826</v>
      </c>
    </row>
    <row r="116" spans="1:9" ht="12.5">
      <c r="A116" s="5">
        <v>1140824945</v>
      </c>
      <c r="B116" s="5" t="s">
        <v>23706</v>
      </c>
      <c r="C116" s="5" t="s">
        <v>1349</v>
      </c>
      <c r="E116" s="5" t="s">
        <v>1607</v>
      </c>
      <c r="G116" s="5">
        <v>3004183413</v>
      </c>
    </row>
    <row r="117" spans="1:9" ht="12.5">
      <c r="A117" s="5">
        <v>32710299</v>
      </c>
      <c r="B117" s="5" t="s">
        <v>23706</v>
      </c>
      <c r="C117" s="5" t="s">
        <v>23765</v>
      </c>
      <c r="E117" s="5" t="s">
        <v>628</v>
      </c>
      <c r="G117" s="5">
        <v>3164426240</v>
      </c>
    </row>
    <row r="118" spans="1:9" ht="12.5">
      <c r="A118" s="5">
        <v>57303962</v>
      </c>
      <c r="B118" s="5" t="s">
        <v>23706</v>
      </c>
      <c r="C118" s="5" t="s">
        <v>23766</v>
      </c>
      <c r="E118" s="5" t="s">
        <v>455</v>
      </c>
      <c r="G118" s="5">
        <v>3003531703</v>
      </c>
    </row>
    <row r="119" spans="1:9" ht="12.5">
      <c r="A119" s="5">
        <v>11431138805</v>
      </c>
      <c r="B119" s="5" t="s">
        <v>23706</v>
      </c>
      <c r="C119" s="5" t="s">
        <v>659</v>
      </c>
      <c r="E119" s="5" t="s">
        <v>660</v>
      </c>
      <c r="G119" s="5">
        <v>8660514</v>
      </c>
    </row>
    <row r="120" spans="1:9" ht="12.5">
      <c r="A120" s="5">
        <v>1127576531</v>
      </c>
      <c r="B120" s="5" t="s">
        <v>23706</v>
      </c>
      <c r="C120" s="5" t="s">
        <v>10018</v>
      </c>
      <c r="E120" s="5" t="s">
        <v>85</v>
      </c>
      <c r="G120" s="5">
        <v>3042753612</v>
      </c>
    </row>
    <row r="121" spans="1:9" ht="12.5">
      <c r="A121" s="5">
        <v>1140900474</v>
      </c>
      <c r="B121" s="5" t="s">
        <v>23706</v>
      </c>
      <c r="C121" s="5" t="s">
        <v>404</v>
      </c>
      <c r="E121" s="5" t="s">
        <v>23767</v>
      </c>
      <c r="G121" s="5">
        <v>3222255603</v>
      </c>
    </row>
    <row r="122" spans="1:9" ht="12.5">
      <c r="A122" s="5">
        <v>1040182369</v>
      </c>
      <c r="B122" s="5" t="s">
        <v>23706</v>
      </c>
      <c r="C122" s="5" t="s">
        <v>158</v>
      </c>
      <c r="E122" s="5" t="s">
        <v>675</v>
      </c>
      <c r="G122" s="10" t="s">
        <v>23768</v>
      </c>
    </row>
    <row r="123" spans="1:9" ht="12.5">
      <c r="A123" s="5">
        <v>1007017337</v>
      </c>
      <c r="B123" s="5" t="s">
        <v>23706</v>
      </c>
      <c r="C123" s="5" t="s">
        <v>665</v>
      </c>
      <c r="E123" s="5" t="s">
        <v>666</v>
      </c>
      <c r="G123" s="5">
        <v>3156164607</v>
      </c>
    </row>
    <row r="124" spans="1:9" ht="12.5">
      <c r="A124" s="5">
        <v>72282957</v>
      </c>
      <c r="B124" s="5" t="s">
        <v>23706</v>
      </c>
      <c r="C124" s="5" t="s">
        <v>682</v>
      </c>
      <c r="E124" s="5" t="s">
        <v>23769</v>
      </c>
      <c r="G124" s="5">
        <v>3164536852</v>
      </c>
    </row>
    <row r="125" spans="1:9" ht="12.5">
      <c r="A125" s="5">
        <v>72209478</v>
      </c>
      <c r="B125" s="5" t="s">
        <v>23706</v>
      </c>
      <c r="C125" s="5" t="s">
        <v>3405</v>
      </c>
      <c r="E125" s="5" t="s">
        <v>693</v>
      </c>
      <c r="G125" s="10" t="s">
        <v>23770</v>
      </c>
    </row>
    <row r="126" spans="1:9" ht="12.5">
      <c r="A126" s="5">
        <v>1001993394</v>
      </c>
      <c r="B126" s="5" t="s">
        <v>23706</v>
      </c>
      <c r="C126" s="5" t="s">
        <v>698</v>
      </c>
      <c r="E126" s="5" t="s">
        <v>699</v>
      </c>
      <c r="G126" s="5">
        <v>3014426015</v>
      </c>
    </row>
    <row r="127" spans="1:9" ht="12.5">
      <c r="A127" s="5">
        <v>72276221</v>
      </c>
      <c r="B127" s="5" t="s">
        <v>23706</v>
      </c>
      <c r="C127" s="5" t="s">
        <v>526</v>
      </c>
      <c r="E127" s="5" t="s">
        <v>689</v>
      </c>
      <c r="G127" s="5">
        <v>3015021488</v>
      </c>
    </row>
    <row r="128" spans="1:9" ht="12.5">
      <c r="A128" s="5">
        <v>1103109747</v>
      </c>
      <c r="B128" s="5" t="s">
        <v>23706</v>
      </c>
      <c r="C128" s="5" t="s">
        <v>703</v>
      </c>
      <c r="E128" s="5" t="s">
        <v>704</v>
      </c>
      <c r="G128" s="5">
        <v>3004299885</v>
      </c>
    </row>
    <row r="129" spans="1:9" ht="12.5">
      <c r="A129" s="5">
        <v>4352642</v>
      </c>
      <c r="B129" s="5" t="s">
        <v>23706</v>
      </c>
      <c r="C129" s="5" t="s">
        <v>711</v>
      </c>
      <c r="E129" s="5" t="s">
        <v>712</v>
      </c>
      <c r="G129" s="5">
        <v>16508634740</v>
      </c>
    </row>
    <row r="130" spans="1:9" ht="12.5">
      <c r="A130" s="5">
        <v>40925603</v>
      </c>
      <c r="B130" s="5" t="s">
        <v>23706</v>
      </c>
      <c r="C130" s="5" t="s">
        <v>730</v>
      </c>
      <c r="E130" s="5" t="s">
        <v>23771</v>
      </c>
      <c r="G130" s="5">
        <v>3157491230</v>
      </c>
    </row>
    <row r="131" spans="1:9" ht="12.5">
      <c r="A131" s="5">
        <v>1042432935</v>
      </c>
      <c r="B131" s="5" t="s">
        <v>23706</v>
      </c>
      <c r="C131" s="5" t="s">
        <v>23772</v>
      </c>
      <c r="E131" s="5" t="s">
        <v>724</v>
      </c>
      <c r="G131" s="5">
        <v>3013404058</v>
      </c>
    </row>
    <row r="132" spans="1:9" ht="12.5">
      <c r="A132" s="5">
        <v>1122811690</v>
      </c>
      <c r="B132" s="5" t="s">
        <v>23706</v>
      </c>
      <c r="C132" s="5" t="s">
        <v>23773</v>
      </c>
      <c r="E132" s="5" t="s">
        <v>23774</v>
      </c>
      <c r="G132" s="5">
        <v>3124209998</v>
      </c>
    </row>
    <row r="133" spans="1:9" ht="12.5">
      <c r="A133" s="5">
        <v>1129525673</v>
      </c>
      <c r="B133" s="5" t="s">
        <v>23706</v>
      </c>
      <c r="C133" s="5" t="s">
        <v>23775</v>
      </c>
      <c r="E133" s="5" t="s">
        <v>23776</v>
      </c>
      <c r="G133" s="5">
        <v>3229128136</v>
      </c>
    </row>
    <row r="134" spans="1:9" ht="12.5">
      <c r="A134" s="5">
        <v>75189663</v>
      </c>
      <c r="B134" s="5" t="s">
        <v>23706</v>
      </c>
      <c r="C134" s="5" t="s">
        <v>23777</v>
      </c>
      <c r="E134" s="5" t="s">
        <v>744</v>
      </c>
      <c r="G134" s="5">
        <v>3178300131</v>
      </c>
    </row>
    <row r="135" spans="1:9" ht="12.5">
      <c r="A135" s="5">
        <v>1216971802</v>
      </c>
      <c r="B135" s="5" t="s">
        <v>23706</v>
      </c>
      <c r="C135" s="5" t="s">
        <v>23778</v>
      </c>
      <c r="E135" s="5" t="s">
        <v>9126</v>
      </c>
      <c r="G135" s="5">
        <v>3116265853</v>
      </c>
    </row>
    <row r="136" spans="1:9" ht="12.5">
      <c r="A136" s="5">
        <v>1140884794</v>
      </c>
      <c r="B136" s="5" t="s">
        <v>23706</v>
      </c>
      <c r="C136" s="5" t="s">
        <v>900</v>
      </c>
      <c r="E136" s="5" t="s">
        <v>901</v>
      </c>
      <c r="G136" s="5">
        <v>3218259292</v>
      </c>
    </row>
    <row r="137" spans="1:9" ht="12.5">
      <c r="A137" s="5">
        <v>1082961536</v>
      </c>
      <c r="B137" s="5" t="s">
        <v>23706</v>
      </c>
      <c r="C137" s="5" t="s">
        <v>14056</v>
      </c>
      <c r="E137" s="5"/>
      <c r="G137" s="5">
        <v>3004568021</v>
      </c>
    </row>
    <row r="138" spans="1:9" ht="12.5">
      <c r="A138" s="5">
        <v>55220299</v>
      </c>
      <c r="B138" s="5" t="s">
        <v>23706</v>
      </c>
      <c r="C138" s="5" t="s">
        <v>12287</v>
      </c>
      <c r="E138" s="5"/>
      <c r="G138" s="5">
        <v>3014591116</v>
      </c>
    </row>
    <row r="139" spans="1:9" ht="12.5">
      <c r="A139" s="5">
        <v>1140883220</v>
      </c>
      <c r="B139" s="5" t="s">
        <v>23706</v>
      </c>
      <c r="C139" s="5" t="s">
        <v>698</v>
      </c>
      <c r="E139" s="5" t="s">
        <v>23779</v>
      </c>
      <c r="G139" s="5">
        <v>3156684264</v>
      </c>
    </row>
    <row r="140" spans="1:9" ht="12.5">
      <c r="A140" s="5">
        <v>1234097757</v>
      </c>
      <c r="B140" s="5" t="s">
        <v>23706</v>
      </c>
      <c r="C140" s="5" t="s">
        <v>698</v>
      </c>
      <c r="E140" s="5" t="s">
        <v>774</v>
      </c>
      <c r="G140" s="5">
        <v>3004889263</v>
      </c>
      <c r="I140" s="5" t="s">
        <v>23780</v>
      </c>
    </row>
    <row r="141" spans="1:9" ht="12.5">
      <c r="A141" s="5">
        <v>1140876208</v>
      </c>
      <c r="B141" s="5" t="s">
        <v>23706</v>
      </c>
      <c r="C141" s="5" t="s">
        <v>953</v>
      </c>
      <c r="E141" s="5" t="s">
        <v>781</v>
      </c>
      <c r="G141" s="5">
        <v>3017298487</v>
      </c>
    </row>
    <row r="142" spans="1:9" ht="12.5">
      <c r="A142" s="5">
        <v>1020834328</v>
      </c>
      <c r="B142" s="5" t="s">
        <v>23706</v>
      </c>
      <c r="C142" s="5" t="s">
        <v>787</v>
      </c>
      <c r="E142" s="5" t="s">
        <v>788</v>
      </c>
      <c r="G142" s="5">
        <v>3107175874</v>
      </c>
    </row>
    <row r="143" spans="1:9" ht="12.5">
      <c r="A143" s="5">
        <v>1140863226</v>
      </c>
      <c r="B143" s="5" t="s">
        <v>23706</v>
      </c>
      <c r="C143" s="5" t="s">
        <v>461</v>
      </c>
      <c r="E143" s="5" t="s">
        <v>1774</v>
      </c>
      <c r="G143" s="5">
        <v>3023748334</v>
      </c>
    </row>
    <row r="144" spans="1:9" ht="12.5">
      <c r="A144" s="5">
        <v>1129505236</v>
      </c>
      <c r="B144" s="5" t="s">
        <v>23706</v>
      </c>
      <c r="C144" s="5" t="s">
        <v>799</v>
      </c>
      <c r="E144" s="5" t="s">
        <v>800</v>
      </c>
      <c r="G144" s="5">
        <v>3024545384</v>
      </c>
    </row>
    <row r="145" spans="1:9" ht="12.5">
      <c r="A145" s="5">
        <v>1130204327</v>
      </c>
      <c r="B145" s="5" t="s">
        <v>23706</v>
      </c>
      <c r="C145" s="5" t="s">
        <v>843</v>
      </c>
      <c r="E145" s="5" t="s">
        <v>844</v>
      </c>
      <c r="G145" s="5">
        <v>3205216442</v>
      </c>
    </row>
    <row r="146" spans="1:9" ht="12.5">
      <c r="A146" s="5">
        <v>1140884680</v>
      </c>
      <c r="B146" s="5" t="s">
        <v>23706</v>
      </c>
      <c r="C146" s="5" t="s">
        <v>5288</v>
      </c>
      <c r="E146" s="5" t="s">
        <v>805</v>
      </c>
      <c r="G146" s="5">
        <v>3214394592</v>
      </c>
    </row>
    <row r="147" spans="1:9" ht="12.5">
      <c r="A147" s="5">
        <v>72206210</v>
      </c>
      <c r="B147" s="5" t="s">
        <v>23706</v>
      </c>
      <c r="C147" s="5" t="s">
        <v>810</v>
      </c>
      <c r="E147" s="5" t="s">
        <v>811</v>
      </c>
      <c r="G147" s="5">
        <v>3145966560</v>
      </c>
      <c r="I147" s="5" t="s">
        <v>23781</v>
      </c>
    </row>
    <row r="148" spans="1:9" ht="12.5">
      <c r="A148" s="5">
        <v>830134409</v>
      </c>
      <c r="B148" s="5" t="s">
        <v>23782</v>
      </c>
      <c r="C148" s="5" t="s">
        <v>23783</v>
      </c>
      <c r="E148" s="5" t="s">
        <v>818</v>
      </c>
      <c r="G148" s="5">
        <v>3174343075</v>
      </c>
    </row>
    <row r="149" spans="1:9" ht="12.5">
      <c r="A149" s="5">
        <v>1067594795</v>
      </c>
      <c r="B149" s="5" t="s">
        <v>23706</v>
      </c>
      <c r="C149" s="5" t="s">
        <v>825</v>
      </c>
      <c r="E149" s="5" t="s">
        <v>23784</v>
      </c>
      <c r="G149" s="5">
        <v>3043800116</v>
      </c>
    </row>
    <row r="150" spans="1:9" ht="12.5">
      <c r="A150" s="5">
        <v>78023613</v>
      </c>
      <c r="B150" s="5" t="s">
        <v>23706</v>
      </c>
      <c r="C150" s="5" t="s">
        <v>831</v>
      </c>
      <c r="E150" s="5" t="s">
        <v>23785</v>
      </c>
      <c r="G150" s="5">
        <v>3135057969</v>
      </c>
    </row>
    <row r="151" spans="1:9" ht="12.5">
      <c r="A151" s="5">
        <v>1140862686</v>
      </c>
      <c r="B151" s="5" t="s">
        <v>23706</v>
      </c>
      <c r="C151" s="5" t="s">
        <v>158</v>
      </c>
      <c r="E151" s="5" t="s">
        <v>837</v>
      </c>
      <c r="G151" s="5">
        <v>3145698837</v>
      </c>
    </row>
    <row r="152" spans="1:9" ht="12.5">
      <c r="A152" s="5">
        <v>1140827440</v>
      </c>
      <c r="B152" s="5" t="s">
        <v>23706</v>
      </c>
      <c r="C152" s="5" t="s">
        <v>12665</v>
      </c>
      <c r="E152" s="5"/>
      <c r="G152" s="5">
        <v>3160420106</v>
      </c>
      <c r="I152" s="5" t="s">
        <v>23786</v>
      </c>
    </row>
    <row r="153" spans="1:9" ht="12.5">
      <c r="A153" s="5">
        <v>1045749401</v>
      </c>
      <c r="B153" s="5" t="s">
        <v>23706</v>
      </c>
      <c r="C153" s="5" t="s">
        <v>856</v>
      </c>
      <c r="E153" s="5" t="s">
        <v>23787</v>
      </c>
      <c r="G153" s="5">
        <v>3104703370</v>
      </c>
    </row>
    <row r="154" spans="1:9" ht="12.5">
      <c r="A154" s="5">
        <v>8666608</v>
      </c>
      <c r="B154" s="5" t="s">
        <v>23706</v>
      </c>
      <c r="C154" s="5" t="s">
        <v>862</v>
      </c>
      <c r="E154" s="5" t="s">
        <v>863</v>
      </c>
      <c r="G154" s="5">
        <v>16197298657</v>
      </c>
    </row>
    <row r="155" spans="1:9" ht="12.5">
      <c r="A155" s="5">
        <v>22506482</v>
      </c>
      <c r="B155" s="5" t="s">
        <v>23706</v>
      </c>
      <c r="C155" s="5" t="s">
        <v>870</v>
      </c>
      <c r="E155" s="5" t="s">
        <v>23788</v>
      </c>
      <c r="G155" s="5">
        <v>3146175335</v>
      </c>
    </row>
    <row r="156" spans="1:9" ht="12.5">
      <c r="A156" s="5">
        <v>1001917016</v>
      </c>
      <c r="B156" s="5" t="s">
        <v>23706</v>
      </c>
      <c r="C156" s="5" t="s">
        <v>3564</v>
      </c>
      <c r="E156" s="5" t="s">
        <v>2368</v>
      </c>
      <c r="G156" s="5">
        <v>3017644855</v>
      </c>
    </row>
    <row r="157" spans="1:9" ht="12.5">
      <c r="A157" s="5">
        <v>1083044286</v>
      </c>
      <c r="B157" s="5" t="s">
        <v>23706</v>
      </c>
      <c r="C157" s="5" t="s">
        <v>2466</v>
      </c>
      <c r="E157" s="5" t="s">
        <v>9422</v>
      </c>
      <c r="G157" s="5">
        <v>3205569078</v>
      </c>
    </row>
    <row r="158" spans="1:9" ht="12.5">
      <c r="A158" s="5">
        <v>104786263282</v>
      </c>
      <c r="B158" s="5" t="s">
        <v>23706</v>
      </c>
      <c r="C158" s="5" t="s">
        <v>480</v>
      </c>
      <c r="E158" s="5" t="s">
        <v>23789</v>
      </c>
      <c r="G158" s="5">
        <v>3017954782</v>
      </c>
    </row>
    <row r="159" spans="1:9" ht="12.5">
      <c r="A159" s="5">
        <v>1192925557</v>
      </c>
      <c r="B159" s="5" t="s">
        <v>23706</v>
      </c>
      <c r="C159" s="5" t="s">
        <v>913</v>
      </c>
      <c r="E159" s="5" t="s">
        <v>914</v>
      </c>
      <c r="G159" s="5">
        <v>3102011301</v>
      </c>
    </row>
    <row r="160" spans="1:9" ht="12.5">
      <c r="A160" s="5">
        <v>1193594637</v>
      </c>
      <c r="B160" s="5" t="s">
        <v>23706</v>
      </c>
      <c r="C160" s="5" t="s">
        <v>1038</v>
      </c>
      <c r="E160" s="5" t="s">
        <v>6986</v>
      </c>
      <c r="G160" s="5">
        <v>3223602737</v>
      </c>
    </row>
    <row r="161" spans="1:9" ht="12.5">
      <c r="A161" s="5">
        <v>1140850173</v>
      </c>
      <c r="B161" s="5" t="s">
        <v>23706</v>
      </c>
      <c r="C161" s="5" t="s">
        <v>711</v>
      </c>
      <c r="E161" s="5" t="s">
        <v>3442</v>
      </c>
      <c r="G161" s="5">
        <v>3004708070</v>
      </c>
      <c r="I161" s="5" t="s">
        <v>23790</v>
      </c>
    </row>
    <row r="162" spans="1:9" ht="12.5">
      <c r="A162" s="5">
        <v>1020740283</v>
      </c>
      <c r="B162" s="5" t="s">
        <v>23706</v>
      </c>
      <c r="C162" s="5" t="s">
        <v>371</v>
      </c>
      <c r="E162" s="5" t="s">
        <v>928</v>
      </c>
      <c r="G162" s="5">
        <v>3138504975</v>
      </c>
    </row>
    <row r="163" spans="1:9" ht="12.5">
      <c r="A163" s="5">
        <v>1140844677</v>
      </c>
      <c r="B163" s="5" t="s">
        <v>23706</v>
      </c>
      <c r="C163" s="5" t="s">
        <v>921</v>
      </c>
      <c r="E163" s="5" t="s">
        <v>922</v>
      </c>
      <c r="G163" s="5">
        <v>3012065557</v>
      </c>
    </row>
    <row r="164" spans="1:9" ht="12.5">
      <c r="A164" s="5">
        <v>1234093162</v>
      </c>
      <c r="B164" s="5" t="s">
        <v>23706</v>
      </c>
      <c r="C164" s="5" t="s">
        <v>934</v>
      </c>
      <c r="E164" s="5" t="s">
        <v>935</v>
      </c>
      <c r="G164" s="5">
        <v>3185196628</v>
      </c>
    </row>
    <row r="165" spans="1:9" ht="12.5">
      <c r="A165" s="5">
        <v>32718063</v>
      </c>
      <c r="B165" s="5" t="s">
        <v>23706</v>
      </c>
      <c r="C165" s="5" t="s">
        <v>4048</v>
      </c>
      <c r="E165" s="5" t="s">
        <v>4049</v>
      </c>
      <c r="G165" s="5">
        <v>3016665783</v>
      </c>
    </row>
    <row r="166" spans="1:9" ht="12.5">
      <c r="A166" s="5">
        <v>79602526</v>
      </c>
      <c r="B166" s="5" t="s">
        <v>23706</v>
      </c>
      <c r="C166" s="5" t="s">
        <v>941</v>
      </c>
      <c r="E166" s="5" t="s">
        <v>942</v>
      </c>
      <c r="G166" s="5">
        <v>3106379600</v>
      </c>
    </row>
    <row r="167" spans="1:9" ht="12.5">
      <c r="A167" s="5">
        <v>1140841562</v>
      </c>
      <c r="B167" s="5" t="s">
        <v>23706</v>
      </c>
      <c r="C167" s="5" t="s">
        <v>947</v>
      </c>
      <c r="E167" s="5" t="s">
        <v>948</v>
      </c>
      <c r="G167" s="5">
        <v>3242833059</v>
      </c>
    </row>
    <row r="168" spans="1:9" ht="12.5">
      <c r="A168" s="5">
        <v>52324177</v>
      </c>
      <c r="B168" s="5" t="s">
        <v>23706</v>
      </c>
      <c r="C168" s="5" t="s">
        <v>332</v>
      </c>
      <c r="E168" s="5" t="s">
        <v>387</v>
      </c>
      <c r="G168" s="5">
        <v>3187162851</v>
      </c>
    </row>
    <row r="169" spans="1:9" ht="12.5">
      <c r="A169" s="5">
        <v>1140842528</v>
      </c>
      <c r="B169" s="5" t="s">
        <v>23706</v>
      </c>
      <c r="C169" s="5" t="s">
        <v>953</v>
      </c>
      <c r="E169" s="5" t="s">
        <v>954</v>
      </c>
      <c r="G169" s="5">
        <v>3206203462</v>
      </c>
    </row>
    <row r="170" spans="1:9" ht="12.5">
      <c r="A170" s="5">
        <v>1192784904</v>
      </c>
      <c r="B170" s="5" t="s">
        <v>23706</v>
      </c>
      <c r="C170" s="5" t="s">
        <v>961</v>
      </c>
      <c r="E170" s="5" t="s">
        <v>962</v>
      </c>
      <c r="G170" s="5">
        <v>3017951042</v>
      </c>
    </row>
    <row r="171" spans="1:9" ht="12.5">
      <c r="A171" s="5">
        <v>1131074645</v>
      </c>
      <c r="B171" s="5" t="s">
        <v>23706</v>
      </c>
      <c r="C171" s="5" t="s">
        <v>4297</v>
      </c>
      <c r="E171" s="5" t="s">
        <v>591</v>
      </c>
      <c r="G171" s="5">
        <v>3186909270</v>
      </c>
    </row>
    <row r="172" spans="1:9" ht="12.5">
      <c r="A172" s="5">
        <v>1098740919</v>
      </c>
      <c r="B172" s="5" t="s">
        <v>23706</v>
      </c>
      <c r="C172" s="5" t="s">
        <v>338</v>
      </c>
      <c r="E172" s="5" t="s">
        <v>985</v>
      </c>
      <c r="G172" s="5">
        <v>3176676190</v>
      </c>
    </row>
    <row r="173" spans="1:9" ht="12.5">
      <c r="A173" s="5">
        <v>1045709359</v>
      </c>
      <c r="B173" s="5" t="s">
        <v>23706</v>
      </c>
      <c r="C173" s="5" t="s">
        <v>968</v>
      </c>
      <c r="E173" s="5" t="s">
        <v>298</v>
      </c>
      <c r="G173" s="5">
        <v>3156701654</v>
      </c>
    </row>
    <row r="174" spans="1:9" ht="12.5">
      <c r="A174" s="5">
        <v>1002249137</v>
      </c>
      <c r="B174" s="5" t="s">
        <v>23706</v>
      </c>
      <c r="C174" s="5" t="s">
        <v>972</v>
      </c>
      <c r="E174" s="5" t="s">
        <v>23791</v>
      </c>
      <c r="G174" s="5">
        <v>3246702029</v>
      </c>
    </row>
    <row r="175" spans="1:9" ht="12.5">
      <c r="A175" s="5">
        <v>1010167392</v>
      </c>
      <c r="B175" s="5" t="s">
        <v>23706</v>
      </c>
      <c r="C175" s="5" t="s">
        <v>979</v>
      </c>
      <c r="E175" s="5" t="s">
        <v>980</v>
      </c>
      <c r="G175" s="5">
        <v>17256001792</v>
      </c>
    </row>
    <row r="176" spans="1:9" ht="12.5">
      <c r="A176" s="5">
        <v>1045753916</v>
      </c>
      <c r="B176" s="5" t="s">
        <v>23706</v>
      </c>
      <c r="C176" s="5" t="s">
        <v>332</v>
      </c>
      <c r="E176" s="5" t="s">
        <v>596</v>
      </c>
      <c r="G176" s="5">
        <v>3137397482</v>
      </c>
    </row>
    <row r="177" spans="1:9" ht="12.5">
      <c r="A177" s="5">
        <v>1002244681</v>
      </c>
      <c r="B177" s="5" t="s">
        <v>23706</v>
      </c>
      <c r="C177" s="5" t="s">
        <v>1026</v>
      </c>
      <c r="E177" s="5" t="s">
        <v>1027</v>
      </c>
      <c r="G177" s="5">
        <v>3006460804</v>
      </c>
    </row>
    <row r="178" spans="1:9" ht="12.5">
      <c r="A178" s="5">
        <v>1140883060</v>
      </c>
      <c r="B178" s="5" t="s">
        <v>23706</v>
      </c>
      <c r="C178" s="5" t="s">
        <v>23792</v>
      </c>
      <c r="E178" s="5" t="s">
        <v>8644</v>
      </c>
      <c r="G178" s="5">
        <v>34691344740</v>
      </c>
    </row>
    <row r="179" spans="1:9" ht="12.5">
      <c r="A179" s="5">
        <v>1001876248</v>
      </c>
      <c r="B179" s="5" t="s">
        <v>23706</v>
      </c>
      <c r="C179" s="5" t="s">
        <v>2841</v>
      </c>
      <c r="E179" s="5" t="s">
        <v>4625</v>
      </c>
      <c r="G179" s="5">
        <v>3135246335</v>
      </c>
    </row>
    <row r="180" spans="1:9" ht="12.5">
      <c r="A180" s="5">
        <v>1044423291</v>
      </c>
      <c r="B180" s="5" t="s">
        <v>23706</v>
      </c>
      <c r="C180" s="5" t="s">
        <v>23793</v>
      </c>
      <c r="E180" s="5" t="s">
        <v>23794</v>
      </c>
      <c r="G180" s="5">
        <v>3183726734</v>
      </c>
    </row>
    <row r="181" spans="1:9" ht="12.5">
      <c r="A181" s="5">
        <v>72000972</v>
      </c>
      <c r="B181" s="5" t="s">
        <v>23706</v>
      </c>
      <c r="C181" s="5" t="s">
        <v>23795</v>
      </c>
      <c r="E181" s="5" t="s">
        <v>1003</v>
      </c>
      <c r="G181" s="5">
        <v>3215394318</v>
      </c>
    </row>
    <row r="182" spans="1:9" ht="12.5">
      <c r="A182" s="5">
        <v>22667395</v>
      </c>
      <c r="B182" s="5" t="s">
        <v>23706</v>
      </c>
      <c r="C182" s="5" t="s">
        <v>1017</v>
      </c>
      <c r="E182" s="5" t="s">
        <v>1018</v>
      </c>
      <c r="G182" s="5">
        <v>3213653413</v>
      </c>
    </row>
    <row r="183" spans="1:9" ht="12.5">
      <c r="A183" s="5">
        <v>79970300</v>
      </c>
      <c r="B183" s="5" t="s">
        <v>23706</v>
      </c>
      <c r="C183" s="5" t="s">
        <v>23796</v>
      </c>
      <c r="E183" s="5" t="s">
        <v>23797</v>
      </c>
      <c r="G183" s="5">
        <v>3203330033</v>
      </c>
    </row>
    <row r="184" spans="1:9" ht="12.5">
      <c r="A184" s="5">
        <v>9011131263</v>
      </c>
      <c r="B184" s="5" t="s">
        <v>23782</v>
      </c>
      <c r="C184" s="5" t="s">
        <v>1024</v>
      </c>
      <c r="E184" s="5" t="s">
        <v>1771</v>
      </c>
      <c r="G184" s="5">
        <v>3106313348</v>
      </c>
      <c r="I184" s="5"/>
    </row>
    <row r="185" spans="1:9" ht="12.5">
      <c r="A185" s="5">
        <v>1048067299</v>
      </c>
      <c r="B185" s="5" t="s">
        <v>23706</v>
      </c>
      <c r="C185" s="5" t="s">
        <v>1038</v>
      </c>
      <c r="E185" s="5" t="s">
        <v>1033</v>
      </c>
      <c r="G185" s="10" t="s">
        <v>23798</v>
      </c>
    </row>
    <row r="186" spans="1:9" ht="12.5">
      <c r="A186" s="5">
        <v>1065908030</v>
      </c>
      <c r="B186" s="5" t="s">
        <v>23706</v>
      </c>
      <c r="C186" s="5" t="s">
        <v>23799</v>
      </c>
      <c r="E186" s="5" t="s">
        <v>23800</v>
      </c>
      <c r="G186" s="5">
        <v>3022603751</v>
      </c>
    </row>
    <row r="187" spans="1:9" ht="12.5">
      <c r="A187" s="5">
        <v>1042240441</v>
      </c>
      <c r="B187" s="5" t="s">
        <v>23706</v>
      </c>
      <c r="C187" s="5" t="s">
        <v>1069</v>
      </c>
      <c r="G187" s="5">
        <v>3186158657</v>
      </c>
    </row>
    <row r="188" spans="1:9" ht="12.5">
      <c r="A188" s="5">
        <v>1044214177</v>
      </c>
      <c r="B188" s="5" t="s">
        <v>23706</v>
      </c>
      <c r="C188" s="5" t="s">
        <v>1114</v>
      </c>
      <c r="E188" s="5" t="s">
        <v>1115</v>
      </c>
      <c r="G188" s="5">
        <v>3164457488</v>
      </c>
    </row>
    <row r="189" spans="1:9" ht="12.5">
      <c r="A189" s="5">
        <v>1001996028</v>
      </c>
      <c r="B189" s="5" t="s">
        <v>23706</v>
      </c>
      <c r="C189" s="5" t="s">
        <v>1051</v>
      </c>
      <c r="E189" s="5" t="s">
        <v>1052</v>
      </c>
      <c r="G189" s="5">
        <v>3012518818</v>
      </c>
    </row>
    <row r="190" spans="1:9" ht="12.5">
      <c r="A190" s="5">
        <v>0</v>
      </c>
      <c r="B190" s="5" t="s">
        <v>23782</v>
      </c>
      <c r="C190" s="5" t="s">
        <v>332</v>
      </c>
      <c r="E190" s="5" t="s">
        <v>1003</v>
      </c>
      <c r="G190" s="5">
        <v>3143803899</v>
      </c>
    </row>
    <row r="191" spans="1:9" ht="12.5">
      <c r="A191" s="5">
        <v>22519977</v>
      </c>
      <c r="B191" s="5" t="s">
        <v>23706</v>
      </c>
      <c r="C191" s="5" t="s">
        <v>23801</v>
      </c>
      <c r="E191" s="5" t="s">
        <v>1078</v>
      </c>
      <c r="G191" s="5">
        <v>3116609022</v>
      </c>
    </row>
    <row r="192" spans="1:9" ht="12.5">
      <c r="A192" s="5">
        <v>1047217914</v>
      </c>
      <c r="B192" s="5" t="s">
        <v>23706</v>
      </c>
      <c r="C192" s="5" t="s">
        <v>23802</v>
      </c>
      <c r="E192" s="5" t="s">
        <v>1083</v>
      </c>
      <c r="G192" s="5">
        <v>3174346902</v>
      </c>
    </row>
    <row r="193" spans="1:9" ht="12.5">
      <c r="A193" s="5">
        <v>1250825198</v>
      </c>
      <c r="B193" s="5" t="s">
        <v>23706</v>
      </c>
      <c r="C193" s="5" t="s">
        <v>1106</v>
      </c>
      <c r="E193" s="5" t="s">
        <v>1107</v>
      </c>
      <c r="G193" s="5">
        <v>3126214705</v>
      </c>
    </row>
    <row r="194" spans="1:9" ht="12.5">
      <c r="A194" s="5">
        <v>1044212781</v>
      </c>
      <c r="B194" s="5" t="s">
        <v>23706</v>
      </c>
      <c r="C194" s="5" t="s">
        <v>1092</v>
      </c>
      <c r="E194" s="5" t="s">
        <v>1093</v>
      </c>
      <c r="G194" s="5">
        <v>3057390852</v>
      </c>
    </row>
    <row r="195" spans="1:9" ht="12.5">
      <c r="A195" s="5">
        <v>0</v>
      </c>
      <c r="B195" s="5" t="s">
        <v>23706</v>
      </c>
      <c r="C195" s="5" t="s">
        <v>1089</v>
      </c>
      <c r="E195" s="5" t="s">
        <v>1090</v>
      </c>
      <c r="G195" s="5">
        <v>0</v>
      </c>
    </row>
    <row r="196" spans="1:9" ht="12.5">
      <c r="A196" s="5">
        <v>1139425105</v>
      </c>
      <c r="B196" s="5" t="s">
        <v>23706</v>
      </c>
      <c r="C196" s="5" t="s">
        <v>23803</v>
      </c>
      <c r="E196" s="5" t="s">
        <v>7158</v>
      </c>
      <c r="G196" s="5">
        <v>3160507620</v>
      </c>
    </row>
    <row r="197" spans="1:9" ht="12.5">
      <c r="A197" s="5">
        <v>1140823664</v>
      </c>
      <c r="B197" s="5" t="s">
        <v>23706</v>
      </c>
      <c r="C197" s="5" t="s">
        <v>1097</v>
      </c>
      <c r="E197" s="5" t="s">
        <v>1098</v>
      </c>
      <c r="G197" s="5">
        <v>3206356110</v>
      </c>
    </row>
    <row r="198" spans="1:9" ht="12.5">
      <c r="A198" s="5">
        <v>1095808827</v>
      </c>
      <c r="B198" s="5" t="s">
        <v>23706</v>
      </c>
      <c r="C198" s="5" t="s">
        <v>23804</v>
      </c>
      <c r="E198" s="5" t="s">
        <v>1131</v>
      </c>
      <c r="G198" s="5">
        <v>614668872291</v>
      </c>
    </row>
    <row r="199" spans="1:9" ht="12.5">
      <c r="A199" s="5">
        <v>1043028906</v>
      </c>
      <c r="B199" s="5" t="s">
        <v>23706</v>
      </c>
      <c r="C199" s="5" t="s">
        <v>1369</v>
      </c>
      <c r="E199" s="5" t="s">
        <v>1122</v>
      </c>
      <c r="G199" s="5">
        <v>3012278763</v>
      </c>
      <c r="I199" s="5" t="s">
        <v>23805</v>
      </c>
    </row>
    <row r="200" spans="1:9" ht="12.5">
      <c r="A200" s="5">
        <v>1120751127</v>
      </c>
      <c r="B200" s="5" t="s">
        <v>23706</v>
      </c>
      <c r="C200" s="5" t="s">
        <v>23806</v>
      </c>
      <c r="E200" s="5" t="s">
        <v>1128</v>
      </c>
      <c r="G200" s="5">
        <v>3015068968</v>
      </c>
    </row>
    <row r="201" spans="1:9" ht="12.5">
      <c r="A201" s="5">
        <v>57271953</v>
      </c>
      <c r="B201" s="5" t="s">
        <v>23706</v>
      </c>
      <c r="C201" s="5" t="s">
        <v>1148</v>
      </c>
      <c r="E201" s="5" t="s">
        <v>1149</v>
      </c>
      <c r="G201" s="5">
        <v>3022059486</v>
      </c>
    </row>
    <row r="202" spans="1:9" ht="12.5">
      <c r="A202" s="5">
        <v>1041692783</v>
      </c>
      <c r="B202" s="5" t="s">
        <v>23706</v>
      </c>
      <c r="C202" s="5" t="s">
        <v>1136</v>
      </c>
      <c r="E202" s="5" t="s">
        <v>1137</v>
      </c>
      <c r="G202" s="5">
        <v>3003734830</v>
      </c>
    </row>
    <row r="203" spans="1:9" ht="12.5">
      <c r="A203" s="5">
        <v>0</v>
      </c>
      <c r="B203" s="5" t="s">
        <v>23706</v>
      </c>
      <c r="C203" s="5" t="s">
        <v>1140</v>
      </c>
      <c r="E203" s="5" t="s">
        <v>1141</v>
      </c>
      <c r="G203" s="5">
        <v>0</v>
      </c>
    </row>
    <row r="204" spans="1:9" ht="12.5">
      <c r="A204" s="5">
        <v>1140891609</v>
      </c>
      <c r="B204" s="5" t="s">
        <v>23706</v>
      </c>
      <c r="C204" s="5" t="s">
        <v>2293</v>
      </c>
      <c r="E204" s="5" t="s">
        <v>1145</v>
      </c>
      <c r="G204" s="5">
        <v>3153514436</v>
      </c>
    </row>
    <row r="205" spans="1:9" ht="12.5">
      <c r="A205" s="5">
        <v>22580647</v>
      </c>
      <c r="B205" s="5" t="s">
        <v>23706</v>
      </c>
      <c r="C205" s="5" t="s">
        <v>1156</v>
      </c>
      <c r="E205" s="5"/>
      <c r="G205" s="5">
        <v>3116881567</v>
      </c>
    </row>
    <row r="206" spans="1:9" ht="12.5">
      <c r="A206" s="5">
        <v>1041693729</v>
      </c>
      <c r="B206" s="5" t="s">
        <v>23706</v>
      </c>
      <c r="C206" s="5" t="s">
        <v>1159</v>
      </c>
      <c r="E206" s="5" t="s">
        <v>1160</v>
      </c>
      <c r="G206" s="5">
        <v>3167838031</v>
      </c>
    </row>
    <row r="207" spans="1:9" ht="12.5">
      <c r="A207" s="5">
        <v>56097548</v>
      </c>
      <c r="B207" s="5" t="s">
        <v>23706</v>
      </c>
      <c r="C207" s="5" t="s">
        <v>1163</v>
      </c>
      <c r="E207" s="5" t="s">
        <v>1164</v>
      </c>
      <c r="G207" s="5">
        <v>3006714853</v>
      </c>
    </row>
    <row r="208" spans="1:9" ht="12.5">
      <c r="A208" s="5">
        <v>72289322</v>
      </c>
      <c r="B208" s="5" t="s">
        <v>23706</v>
      </c>
      <c r="C208" s="5" t="s">
        <v>1166</v>
      </c>
      <c r="E208" s="5" t="s">
        <v>591</v>
      </c>
      <c r="G208" s="5">
        <v>3042024736</v>
      </c>
    </row>
    <row r="209" spans="1:7" ht="12.5">
      <c r="A209" s="5">
        <v>901326861</v>
      </c>
      <c r="B209" s="5" t="s">
        <v>23782</v>
      </c>
      <c r="C209" s="5" t="s">
        <v>1178</v>
      </c>
      <c r="E209" s="5" t="s">
        <v>1179</v>
      </c>
      <c r="G209" s="5">
        <v>3225116069</v>
      </c>
    </row>
    <row r="210" spans="1:7" ht="12.5">
      <c r="A210" s="5">
        <v>0</v>
      </c>
      <c r="B210" s="5" t="s">
        <v>23706</v>
      </c>
      <c r="C210" s="5" t="s">
        <v>1173</v>
      </c>
      <c r="E210" s="5" t="s">
        <v>1174</v>
      </c>
      <c r="G210" s="5">
        <v>0</v>
      </c>
    </row>
    <row r="211" spans="1:7" ht="12.5">
      <c r="A211" s="5">
        <v>1140864822</v>
      </c>
      <c r="B211" s="5" t="s">
        <v>23706</v>
      </c>
      <c r="C211" s="5" t="s">
        <v>1184</v>
      </c>
      <c r="E211" s="5" t="s">
        <v>1185</v>
      </c>
      <c r="G211" s="5">
        <v>3232211447</v>
      </c>
    </row>
    <row r="212" spans="1:7" ht="12.5">
      <c r="A212" s="5">
        <v>1104819143</v>
      </c>
      <c r="B212" s="5" t="s">
        <v>23706</v>
      </c>
      <c r="C212" s="5" t="s">
        <v>1376</v>
      </c>
      <c r="E212" s="5" t="s">
        <v>23807</v>
      </c>
      <c r="G212" s="5">
        <v>3004058649</v>
      </c>
    </row>
    <row r="213" spans="1:7" ht="12.5">
      <c r="A213" s="5">
        <v>1051363393</v>
      </c>
      <c r="B213" s="5" t="s">
        <v>23706</v>
      </c>
      <c r="C213" s="5" t="s">
        <v>6012</v>
      </c>
      <c r="E213" s="5" t="s">
        <v>6013</v>
      </c>
      <c r="G213" s="5">
        <v>324471139292</v>
      </c>
    </row>
    <row r="214" spans="1:7" ht="12.5">
      <c r="A214" s="5">
        <v>1129569891</v>
      </c>
      <c r="B214" s="5" t="s">
        <v>23706</v>
      </c>
      <c r="C214" s="5" t="s">
        <v>1194</v>
      </c>
      <c r="E214" s="5" t="s">
        <v>399</v>
      </c>
      <c r="G214" s="5">
        <v>245677847</v>
      </c>
    </row>
    <row r="215" spans="1:7" ht="12.5">
      <c r="A215" s="5">
        <v>15810460</v>
      </c>
      <c r="B215" s="5" t="s">
        <v>23706</v>
      </c>
      <c r="C215" s="5" t="s">
        <v>1263</v>
      </c>
      <c r="E215" s="5" t="s">
        <v>1264</v>
      </c>
      <c r="G215" s="5">
        <v>3053621051</v>
      </c>
    </row>
    <row r="216" spans="1:7" ht="12.5">
      <c r="A216" s="5">
        <v>1140818372</v>
      </c>
      <c r="B216" s="5" t="s">
        <v>23706</v>
      </c>
      <c r="C216" s="5" t="s">
        <v>1204</v>
      </c>
      <c r="E216" s="5" t="s">
        <v>1205</v>
      </c>
      <c r="G216" s="5">
        <v>48153</v>
      </c>
    </row>
    <row r="217" spans="1:7" ht="12.5">
      <c r="A217" s="5">
        <v>1140829239</v>
      </c>
      <c r="B217" s="5" t="s">
        <v>23706</v>
      </c>
      <c r="C217" s="5" t="s">
        <v>1216</v>
      </c>
      <c r="E217" s="5" t="s">
        <v>1217</v>
      </c>
      <c r="G217" s="5">
        <v>3174293590</v>
      </c>
    </row>
    <row r="218" spans="1:7" ht="12.5">
      <c r="A218" s="5">
        <v>7918938</v>
      </c>
      <c r="B218" s="5" t="s">
        <v>23706</v>
      </c>
      <c r="C218" s="5" t="s">
        <v>1200</v>
      </c>
      <c r="E218" s="5" t="s">
        <v>1201</v>
      </c>
      <c r="G218" s="5">
        <v>3232885661</v>
      </c>
    </row>
    <row r="219" spans="1:7" ht="12.5">
      <c r="A219" s="5">
        <v>1140874011</v>
      </c>
      <c r="B219" s="5" t="s">
        <v>23706</v>
      </c>
      <c r="C219" s="5" t="s">
        <v>582</v>
      </c>
      <c r="E219" s="5" t="s">
        <v>23808</v>
      </c>
      <c r="G219" s="5">
        <v>3015759829</v>
      </c>
    </row>
    <row r="220" spans="1:7" ht="12.5">
      <c r="A220" s="5">
        <v>1004110016</v>
      </c>
      <c r="B220" s="5" t="s">
        <v>23706</v>
      </c>
      <c r="C220" s="5" t="s">
        <v>84</v>
      </c>
      <c r="E220" s="5" t="s">
        <v>3237</v>
      </c>
      <c r="G220" s="5">
        <v>3016816328</v>
      </c>
    </row>
    <row r="221" spans="1:7" ht="12.5">
      <c r="A221" s="5">
        <v>32755032</v>
      </c>
      <c r="B221" s="5" t="s">
        <v>23706</v>
      </c>
      <c r="C221" s="5" t="s">
        <v>23809</v>
      </c>
      <c r="E221" s="5" t="s">
        <v>1226</v>
      </c>
      <c r="G221" s="5">
        <v>3145428123</v>
      </c>
    </row>
    <row r="222" spans="1:7" ht="12.5">
      <c r="A222" s="5">
        <v>0</v>
      </c>
      <c r="B222" s="5" t="s">
        <v>23782</v>
      </c>
      <c r="C222" s="5" t="s">
        <v>1231</v>
      </c>
      <c r="G222" s="5">
        <v>0</v>
      </c>
    </row>
    <row r="223" spans="1:7" ht="12.5">
      <c r="A223" s="5">
        <v>79944407</v>
      </c>
      <c r="B223" s="5" t="s">
        <v>23706</v>
      </c>
      <c r="C223" s="5" t="s">
        <v>338</v>
      </c>
      <c r="E223" s="5" t="s">
        <v>1236</v>
      </c>
      <c r="G223" s="5">
        <v>3014529328</v>
      </c>
    </row>
    <row r="224" spans="1:7" ht="12.5">
      <c r="A224" s="5">
        <v>0</v>
      </c>
      <c r="B224" s="5" t="s">
        <v>23706</v>
      </c>
      <c r="C224" s="5" t="s">
        <v>23810</v>
      </c>
      <c r="E224" s="5" t="s">
        <v>1234</v>
      </c>
      <c r="G224" s="5">
        <v>0</v>
      </c>
    </row>
    <row r="225" spans="1:9" ht="12.5">
      <c r="A225" s="5">
        <v>1020822269</v>
      </c>
      <c r="B225" s="5" t="s">
        <v>23706</v>
      </c>
      <c r="C225" s="5" t="s">
        <v>1026</v>
      </c>
      <c r="E225" s="5" t="s">
        <v>6028</v>
      </c>
      <c r="G225" s="5">
        <v>3213435320</v>
      </c>
    </row>
    <row r="226" spans="1:9" ht="12.5">
      <c r="A226" s="5">
        <v>18004764</v>
      </c>
      <c r="B226" s="5" t="s">
        <v>23706</v>
      </c>
      <c r="C226" s="5" t="s">
        <v>825</v>
      </c>
      <c r="E226" s="5" t="s">
        <v>1252</v>
      </c>
      <c r="G226" s="5">
        <v>3214426658</v>
      </c>
    </row>
    <row r="227" spans="1:9" ht="12.5">
      <c r="A227" s="5">
        <v>1140892632</v>
      </c>
      <c r="B227" s="5" t="s">
        <v>23706</v>
      </c>
      <c r="C227" s="5" t="s">
        <v>1269</v>
      </c>
      <c r="E227" s="5" t="s">
        <v>1270</v>
      </c>
      <c r="G227" s="5">
        <v>3007733216</v>
      </c>
    </row>
    <row r="228" spans="1:9" ht="12.5">
      <c r="A228" s="5">
        <v>1110881534</v>
      </c>
      <c r="B228" s="5" t="s">
        <v>23706</v>
      </c>
      <c r="C228" s="5" t="s">
        <v>23811</v>
      </c>
      <c r="E228" s="5" t="s">
        <v>1247</v>
      </c>
      <c r="G228" s="5">
        <v>19155037870</v>
      </c>
    </row>
    <row r="229" spans="1:9" ht="12.5">
      <c r="A229" s="5">
        <v>32713482</v>
      </c>
      <c r="B229" s="5" t="s">
        <v>23706</v>
      </c>
      <c r="C229" s="5" t="s">
        <v>23812</v>
      </c>
      <c r="E229" s="5" t="s">
        <v>312</v>
      </c>
      <c r="G229" s="5">
        <v>3016969857</v>
      </c>
    </row>
    <row r="230" spans="1:9" ht="12.5">
      <c r="A230" s="5">
        <v>1045676524</v>
      </c>
      <c r="B230" s="5" t="s">
        <v>23706</v>
      </c>
      <c r="C230" s="5" t="s">
        <v>1277</v>
      </c>
      <c r="E230" s="5" t="s">
        <v>116</v>
      </c>
      <c r="G230" s="5">
        <v>7381101</v>
      </c>
    </row>
    <row r="231" spans="1:9" ht="12.5">
      <c r="A231" s="5">
        <v>0</v>
      </c>
      <c r="B231" s="5" t="s">
        <v>23706</v>
      </c>
      <c r="C231" s="5" t="s">
        <v>1282</v>
      </c>
      <c r="E231" s="5" t="s">
        <v>1283</v>
      </c>
      <c r="G231" s="5">
        <v>0</v>
      </c>
    </row>
    <row r="232" spans="1:9" ht="12.5">
      <c r="A232" s="5">
        <v>52396185</v>
      </c>
      <c r="B232" s="5" t="s">
        <v>23706</v>
      </c>
      <c r="C232" s="5" t="s">
        <v>1602</v>
      </c>
      <c r="E232" s="5" t="s">
        <v>2560</v>
      </c>
      <c r="G232" s="5">
        <v>3204903411</v>
      </c>
    </row>
    <row r="233" spans="1:9" ht="12.5">
      <c r="A233" s="5">
        <v>22669398</v>
      </c>
      <c r="B233" s="5" t="s">
        <v>23706</v>
      </c>
      <c r="C233" s="5" t="s">
        <v>1520</v>
      </c>
      <c r="E233" s="5" t="s">
        <v>1288</v>
      </c>
      <c r="G233" s="5">
        <v>3207329639</v>
      </c>
    </row>
    <row r="234" spans="1:9" ht="12.5">
      <c r="A234" s="5">
        <v>72281869</v>
      </c>
      <c r="B234" s="5" t="s">
        <v>23706</v>
      </c>
      <c r="C234" s="5" t="s">
        <v>84</v>
      </c>
      <c r="E234" s="5" t="s">
        <v>1344</v>
      </c>
      <c r="G234" s="5">
        <v>3157289619</v>
      </c>
    </row>
    <row r="235" spans="1:9" ht="12.5">
      <c r="A235" s="5">
        <v>1044212565</v>
      </c>
      <c r="B235" s="5" t="s">
        <v>23706</v>
      </c>
      <c r="C235" s="5" t="s">
        <v>1314</v>
      </c>
      <c r="E235" s="5" t="s">
        <v>1315</v>
      </c>
      <c r="G235" s="5">
        <v>3116554591</v>
      </c>
    </row>
    <row r="236" spans="1:9" ht="12.5">
      <c r="A236" s="5">
        <v>1127233954</v>
      </c>
      <c r="B236" s="5" t="s">
        <v>23706</v>
      </c>
      <c r="C236" s="5" t="s">
        <v>318</v>
      </c>
      <c r="E236" s="5" t="s">
        <v>1324</v>
      </c>
      <c r="G236" s="5">
        <v>3188682475</v>
      </c>
    </row>
    <row r="237" spans="1:9" ht="12.5">
      <c r="A237" s="5">
        <v>1234096195</v>
      </c>
      <c r="B237" s="5" t="s">
        <v>23706</v>
      </c>
      <c r="C237" s="5" t="s">
        <v>290</v>
      </c>
      <c r="E237" s="5" t="s">
        <v>93</v>
      </c>
      <c r="G237" s="5">
        <v>3506670596</v>
      </c>
    </row>
    <row r="238" spans="1:9" ht="12.5">
      <c r="A238" s="5">
        <v>72178067</v>
      </c>
      <c r="B238" s="5" t="s">
        <v>23706</v>
      </c>
      <c r="C238" s="5" t="s">
        <v>3580</v>
      </c>
      <c r="E238" s="5"/>
      <c r="G238" s="5">
        <v>300318287828</v>
      </c>
      <c r="I238" s="5" t="s">
        <v>23813</v>
      </c>
    </row>
    <row r="239" spans="1:9" ht="12.5">
      <c r="A239" s="5">
        <v>45757738</v>
      </c>
      <c r="B239" s="5" t="s">
        <v>23706</v>
      </c>
      <c r="C239" s="5" t="s">
        <v>1304</v>
      </c>
      <c r="E239" s="5" t="s">
        <v>1305</v>
      </c>
      <c r="G239" s="5">
        <v>3016275403</v>
      </c>
    </row>
    <row r="240" spans="1:9" ht="12.5">
      <c r="A240" s="5">
        <v>1234088339</v>
      </c>
      <c r="B240" s="5" t="s">
        <v>23706</v>
      </c>
      <c r="C240" s="5" t="s">
        <v>1312</v>
      </c>
      <c r="E240" s="5" t="s">
        <v>31</v>
      </c>
      <c r="G240" s="5">
        <v>2405482534</v>
      </c>
    </row>
    <row r="241" spans="1:7" ht="12.5">
      <c r="A241" s="5">
        <v>0</v>
      </c>
      <c r="B241" s="5" t="s">
        <v>23782</v>
      </c>
      <c r="C241" s="5" t="s">
        <v>1231</v>
      </c>
      <c r="G241" s="5">
        <v>0</v>
      </c>
    </row>
    <row r="242" spans="1:7" ht="12.5">
      <c r="A242" s="5">
        <v>1140884864</v>
      </c>
      <c r="B242" s="5" t="s">
        <v>23706</v>
      </c>
      <c r="C242" s="5" t="s">
        <v>1321</v>
      </c>
      <c r="E242" s="5" t="s">
        <v>1322</v>
      </c>
      <c r="G242" s="5">
        <v>3015083167</v>
      </c>
    </row>
    <row r="243" spans="1:7" ht="12.5">
      <c r="A243" s="5">
        <v>22466633</v>
      </c>
      <c r="B243" s="5" t="s">
        <v>23706</v>
      </c>
      <c r="C243" s="5" t="s">
        <v>23814</v>
      </c>
      <c r="E243" s="5" t="s">
        <v>23815</v>
      </c>
      <c r="G243" s="5">
        <v>3173807664</v>
      </c>
    </row>
    <row r="244" spans="1:7" ht="12.5">
      <c r="A244" s="5">
        <v>830067005</v>
      </c>
      <c r="B244" s="5" t="s">
        <v>23782</v>
      </c>
      <c r="C244" s="5" t="s">
        <v>1355</v>
      </c>
      <c r="G244" s="5">
        <v>3014760005</v>
      </c>
    </row>
    <row r="245" spans="1:7" ht="12.5">
      <c r="A245" s="5">
        <v>1062305546</v>
      </c>
      <c r="B245" s="5" t="s">
        <v>23706</v>
      </c>
      <c r="C245" s="5" t="s">
        <v>1331</v>
      </c>
      <c r="E245" s="5" t="s">
        <v>31</v>
      </c>
      <c r="G245" s="5">
        <v>2405509421</v>
      </c>
    </row>
    <row r="246" spans="1:7" ht="12.5">
      <c r="A246" s="5">
        <v>72291323</v>
      </c>
      <c r="B246" s="5" t="s">
        <v>23706</v>
      </c>
      <c r="C246" s="5" t="s">
        <v>582</v>
      </c>
      <c r="E246" s="5" t="s">
        <v>1360</v>
      </c>
      <c r="G246" s="5">
        <v>30020616131</v>
      </c>
    </row>
    <row r="247" spans="1:7" ht="12.5">
      <c r="A247" s="5">
        <v>1029860437</v>
      </c>
      <c r="B247" s="5" t="s">
        <v>23706</v>
      </c>
      <c r="C247" s="5" t="s">
        <v>1349</v>
      </c>
      <c r="E247" s="5" t="s">
        <v>1350</v>
      </c>
      <c r="G247" s="5">
        <v>3150003659</v>
      </c>
    </row>
    <row r="248" spans="1:7" ht="12.5">
      <c r="A248" s="5">
        <v>1048068053</v>
      </c>
      <c r="B248" s="5" t="s">
        <v>23706</v>
      </c>
      <c r="C248" s="5" t="s">
        <v>290</v>
      </c>
      <c r="E248" s="5" t="s">
        <v>1033</v>
      </c>
      <c r="G248" s="5">
        <v>3218220062</v>
      </c>
    </row>
    <row r="249" spans="1:7" ht="12.5">
      <c r="A249" s="5">
        <v>80807281</v>
      </c>
      <c r="B249" s="5" t="s">
        <v>23706</v>
      </c>
      <c r="C249" s="5" t="s">
        <v>600</v>
      </c>
      <c r="E249" s="5" t="s">
        <v>1477</v>
      </c>
      <c r="G249" s="5">
        <v>3178874863</v>
      </c>
    </row>
    <row r="250" spans="1:7" ht="12.5">
      <c r="A250" s="5">
        <v>32654988</v>
      </c>
      <c r="B250" s="5" t="s">
        <v>23706</v>
      </c>
      <c r="C250" s="5" t="s">
        <v>1335</v>
      </c>
      <c r="E250" s="5" t="s">
        <v>1336</v>
      </c>
      <c r="G250" s="5">
        <v>3158853901</v>
      </c>
    </row>
    <row r="251" spans="1:7" ht="12.5">
      <c r="A251" s="5">
        <v>1042253493</v>
      </c>
      <c r="B251" s="5" t="s">
        <v>23706</v>
      </c>
      <c r="C251" s="5" t="s">
        <v>1369</v>
      </c>
      <c r="E251" s="5" t="s">
        <v>1370</v>
      </c>
      <c r="G251" s="5">
        <v>8573067</v>
      </c>
    </row>
    <row r="252" spans="1:7" ht="12.5">
      <c r="A252" s="5">
        <v>64720247</v>
      </c>
      <c r="B252" s="5" t="s">
        <v>23706</v>
      </c>
      <c r="C252" s="5" t="s">
        <v>1365</v>
      </c>
      <c r="E252" s="5" t="s">
        <v>1366</v>
      </c>
      <c r="G252" s="5">
        <v>3004379943</v>
      </c>
    </row>
    <row r="253" spans="1:7" ht="12.5">
      <c r="A253" s="5">
        <v>55221593</v>
      </c>
      <c r="B253" s="5" t="s">
        <v>23706</v>
      </c>
      <c r="C253" s="5" t="s">
        <v>1395</v>
      </c>
      <c r="E253" s="5" t="s">
        <v>1396</v>
      </c>
      <c r="G253" s="5">
        <v>3014098063</v>
      </c>
    </row>
    <row r="254" spans="1:7" ht="12.5">
      <c r="A254" s="5">
        <v>1140879266</v>
      </c>
      <c r="B254" s="5" t="s">
        <v>23706</v>
      </c>
      <c r="C254" s="5" t="s">
        <v>23816</v>
      </c>
      <c r="E254" s="5" t="s">
        <v>23817</v>
      </c>
      <c r="G254" s="5">
        <v>3053819169</v>
      </c>
    </row>
    <row r="255" spans="1:7" ht="12.5">
      <c r="A255" s="5">
        <v>1140880381</v>
      </c>
      <c r="B255" s="5" t="s">
        <v>23706</v>
      </c>
      <c r="C255" s="5" t="s">
        <v>1389</v>
      </c>
      <c r="E255" s="5" t="s">
        <v>1390</v>
      </c>
      <c r="G255" s="5">
        <v>3003168380</v>
      </c>
    </row>
    <row r="256" spans="1:7" ht="12.5">
      <c r="A256" s="5">
        <v>0</v>
      </c>
      <c r="B256" s="5" t="s">
        <v>23706</v>
      </c>
      <c r="C256" s="5" t="s">
        <v>6086</v>
      </c>
      <c r="E256" s="5" t="s">
        <v>6087</v>
      </c>
      <c r="G256" s="5">
        <v>3004614501</v>
      </c>
    </row>
    <row r="257" spans="1:9" ht="12.5">
      <c r="A257" s="5">
        <v>0</v>
      </c>
      <c r="B257" s="5" t="s">
        <v>23706</v>
      </c>
      <c r="C257" s="5" t="s">
        <v>1386</v>
      </c>
      <c r="E257" s="5" t="s">
        <v>1387</v>
      </c>
      <c r="G257" s="5">
        <v>0</v>
      </c>
    </row>
    <row r="258" spans="1:9" ht="12.5">
      <c r="A258" s="5">
        <v>1001780492</v>
      </c>
      <c r="B258" s="5" t="s">
        <v>23706</v>
      </c>
      <c r="C258" s="5" t="s">
        <v>23818</v>
      </c>
      <c r="E258" s="5" t="s">
        <v>23819</v>
      </c>
      <c r="G258" s="5">
        <v>3003854546</v>
      </c>
    </row>
    <row r="259" spans="1:9" ht="12.5">
      <c r="A259" s="5">
        <v>1042446851</v>
      </c>
      <c r="B259" s="5" t="s">
        <v>23706</v>
      </c>
      <c r="C259" s="5" t="s">
        <v>1407</v>
      </c>
      <c r="E259" s="5" t="s">
        <v>31</v>
      </c>
      <c r="G259" s="5">
        <v>2405697041</v>
      </c>
    </row>
    <row r="260" spans="1:9" ht="12.5">
      <c r="A260" s="5">
        <v>1065574950</v>
      </c>
      <c r="B260" s="5" t="s">
        <v>23706</v>
      </c>
      <c r="C260" s="5" t="s">
        <v>23820</v>
      </c>
      <c r="E260" s="5" t="s">
        <v>23821</v>
      </c>
      <c r="G260" s="5">
        <v>3005668210</v>
      </c>
    </row>
    <row r="261" spans="1:9" ht="12.5">
      <c r="A261" s="5">
        <v>1234096683</v>
      </c>
      <c r="B261" s="5" t="s">
        <v>23706</v>
      </c>
      <c r="C261" s="5" t="s">
        <v>1411</v>
      </c>
      <c r="E261" s="5" t="s">
        <v>1412</v>
      </c>
      <c r="G261" s="5">
        <v>34641179836</v>
      </c>
    </row>
    <row r="262" spans="1:9" ht="12.5">
      <c r="A262" s="5">
        <v>9014971561</v>
      </c>
      <c r="B262" s="5" t="s">
        <v>23706</v>
      </c>
      <c r="C262" s="5" t="s">
        <v>23822</v>
      </c>
      <c r="E262" s="5" t="s">
        <v>23823</v>
      </c>
      <c r="G262" s="5">
        <v>3044617821</v>
      </c>
    </row>
    <row r="263" spans="1:9" ht="12.5">
      <c r="A263" s="5">
        <v>1001886423</v>
      </c>
      <c r="B263" s="5" t="s">
        <v>23706</v>
      </c>
      <c r="C263" s="5" t="s">
        <v>23824</v>
      </c>
      <c r="E263" s="5" t="s">
        <v>1423</v>
      </c>
      <c r="G263" s="5">
        <v>3178723007</v>
      </c>
    </row>
    <row r="264" spans="1:9" ht="12.5">
      <c r="A264" s="5">
        <v>1067909949</v>
      </c>
      <c r="B264" s="5" t="s">
        <v>23706</v>
      </c>
      <c r="C264" s="5" t="s">
        <v>1869</v>
      </c>
      <c r="E264" s="5" t="s">
        <v>31</v>
      </c>
      <c r="G264" s="5">
        <v>2405699071</v>
      </c>
    </row>
    <row r="265" spans="1:9" ht="12.5">
      <c r="A265" s="5">
        <v>1192904524</v>
      </c>
      <c r="B265" s="5" t="s">
        <v>23706</v>
      </c>
      <c r="C265" s="5" t="s">
        <v>1437</v>
      </c>
      <c r="E265" s="5" t="s">
        <v>23825</v>
      </c>
      <c r="G265" s="5">
        <v>3106766679</v>
      </c>
    </row>
    <row r="266" spans="1:9" ht="12.5">
      <c r="A266" s="5">
        <v>1140857152</v>
      </c>
      <c r="B266" s="5" t="s">
        <v>23706</v>
      </c>
      <c r="C266" s="5" t="s">
        <v>1428</v>
      </c>
      <c r="E266" s="5" t="s">
        <v>1429</v>
      </c>
      <c r="G266" s="5">
        <v>3118599812</v>
      </c>
    </row>
    <row r="267" spans="1:9" ht="12.5">
      <c r="A267" s="5">
        <v>1140825501</v>
      </c>
      <c r="B267" s="5" t="s">
        <v>23706</v>
      </c>
      <c r="C267" s="5" t="s">
        <v>1459</v>
      </c>
      <c r="E267" s="5" t="s">
        <v>1460</v>
      </c>
      <c r="G267" s="5">
        <v>3012238829</v>
      </c>
      <c r="I267" s="5" t="s">
        <v>23826</v>
      </c>
    </row>
    <row r="268" spans="1:9" ht="12.5">
      <c r="A268" s="5">
        <v>1140885414</v>
      </c>
      <c r="B268" s="5" t="s">
        <v>23706</v>
      </c>
      <c r="C268" s="5" t="s">
        <v>1349</v>
      </c>
      <c r="E268" s="5" t="s">
        <v>1454</v>
      </c>
      <c r="G268" s="5">
        <v>3022842643</v>
      </c>
    </row>
    <row r="269" spans="1:9" ht="12.5">
      <c r="A269" s="5">
        <v>1001870697</v>
      </c>
      <c r="B269" s="5" t="s">
        <v>23706</v>
      </c>
      <c r="C269" s="5" t="s">
        <v>1436</v>
      </c>
      <c r="E269" s="5" t="s">
        <v>37</v>
      </c>
      <c r="G269" s="5">
        <v>2405707114</v>
      </c>
    </row>
    <row r="270" spans="1:9" ht="12.5">
      <c r="A270" s="5">
        <v>52417265</v>
      </c>
      <c r="B270" s="5" t="s">
        <v>23706</v>
      </c>
      <c r="C270" s="5" t="s">
        <v>3450</v>
      </c>
      <c r="E270" s="5" t="s">
        <v>1450</v>
      </c>
      <c r="G270" s="5">
        <v>3002627762</v>
      </c>
    </row>
    <row r="271" spans="1:9" ht="12.5">
      <c r="A271" s="5">
        <v>1042851095</v>
      </c>
      <c r="B271" s="5" t="s">
        <v>23706</v>
      </c>
      <c r="C271" s="5" t="s">
        <v>2123</v>
      </c>
      <c r="E271" s="5" t="s">
        <v>23827</v>
      </c>
      <c r="G271" s="5">
        <v>3216984162</v>
      </c>
    </row>
    <row r="272" spans="1:9" ht="12.5">
      <c r="A272" s="5">
        <v>77025113</v>
      </c>
      <c r="B272" s="5" t="s">
        <v>23706</v>
      </c>
      <c r="C272" s="5" t="s">
        <v>1471</v>
      </c>
      <c r="E272" s="5" t="s">
        <v>1472</v>
      </c>
      <c r="G272" s="5">
        <v>164531944</v>
      </c>
    </row>
    <row r="273" spans="1:7" ht="12.5">
      <c r="A273" s="5">
        <v>1067892386</v>
      </c>
      <c r="B273" s="5" t="s">
        <v>23706</v>
      </c>
      <c r="C273" s="5" t="s">
        <v>23828</v>
      </c>
      <c r="E273" s="5" t="s">
        <v>1475</v>
      </c>
      <c r="G273" s="5">
        <v>3222850609</v>
      </c>
    </row>
    <row r="274" spans="1:7" ht="12.5">
      <c r="A274" s="5">
        <v>73187736</v>
      </c>
      <c r="B274" s="5" t="s">
        <v>23706</v>
      </c>
      <c r="C274" s="5" t="s">
        <v>23829</v>
      </c>
      <c r="E274" s="5" t="s">
        <v>1509</v>
      </c>
      <c r="G274" s="5">
        <v>3172444121</v>
      </c>
    </row>
    <row r="275" spans="1:7" ht="12.5">
      <c r="A275" s="5">
        <v>32750038</v>
      </c>
      <c r="B275" s="5" t="s">
        <v>23706</v>
      </c>
      <c r="C275" s="5" t="s">
        <v>9016</v>
      </c>
      <c r="E275" s="5" t="s">
        <v>9017</v>
      </c>
      <c r="G275" s="5">
        <v>3157543658</v>
      </c>
    </row>
    <row r="276" spans="1:7" ht="12.5">
      <c r="A276" s="5">
        <v>1140855945</v>
      </c>
      <c r="B276" s="5" t="s">
        <v>23706</v>
      </c>
      <c r="C276" s="5" t="s">
        <v>1520</v>
      </c>
      <c r="E276" s="5" t="s">
        <v>93</v>
      </c>
      <c r="G276" s="5">
        <v>3126708090</v>
      </c>
    </row>
    <row r="277" spans="1:7" ht="12.5">
      <c r="A277" s="5">
        <v>1042465249</v>
      </c>
      <c r="B277" s="5" t="s">
        <v>23706</v>
      </c>
      <c r="C277" s="5" t="s">
        <v>1482</v>
      </c>
      <c r="E277" s="5" t="s">
        <v>1483</v>
      </c>
      <c r="G277" s="5">
        <v>14030939</v>
      </c>
    </row>
    <row r="278" spans="1:7" ht="12.5">
      <c r="A278" s="5">
        <v>1045754762</v>
      </c>
      <c r="B278" s="5" t="s">
        <v>23706</v>
      </c>
      <c r="C278" s="5" t="s">
        <v>1494</v>
      </c>
      <c r="E278" s="5" t="s">
        <v>1495</v>
      </c>
      <c r="G278" s="5">
        <v>3023778517</v>
      </c>
    </row>
    <row r="279" spans="1:7" ht="12.5">
      <c r="A279" s="5">
        <v>2405758706</v>
      </c>
      <c r="B279" s="5" t="s">
        <v>23706</v>
      </c>
      <c r="C279" s="5" t="s">
        <v>1500</v>
      </c>
      <c r="E279" s="5" t="s">
        <v>31</v>
      </c>
      <c r="G279" s="5">
        <v>0</v>
      </c>
    </row>
    <row r="280" spans="1:7" ht="12.5">
      <c r="A280" s="5">
        <v>1140819658</v>
      </c>
      <c r="B280" s="5" t="s">
        <v>23706</v>
      </c>
      <c r="C280" s="5" t="s">
        <v>1514</v>
      </c>
      <c r="E280" s="5" t="s">
        <v>1515</v>
      </c>
      <c r="G280" s="5">
        <v>3106046741</v>
      </c>
    </row>
    <row r="281" spans="1:7" ht="12.5">
      <c r="A281" s="5">
        <v>57460731</v>
      </c>
      <c r="B281" s="5" t="s">
        <v>23706</v>
      </c>
      <c r="C281" s="5" t="s">
        <v>23830</v>
      </c>
      <c r="E281" s="5" t="s">
        <v>1503</v>
      </c>
      <c r="G281" s="5">
        <v>3176413394</v>
      </c>
    </row>
    <row r="282" spans="1:7" ht="12.5">
      <c r="A282" s="5">
        <v>1140824609</v>
      </c>
      <c r="B282" s="5" t="s">
        <v>23706</v>
      </c>
      <c r="C282" s="5" t="s">
        <v>1526</v>
      </c>
      <c r="E282" s="5" t="s">
        <v>23831</v>
      </c>
      <c r="G282" s="5">
        <v>50761124279</v>
      </c>
    </row>
    <row r="283" spans="1:7" ht="12.5">
      <c r="A283" s="5">
        <v>1082835155</v>
      </c>
      <c r="B283" s="5" t="s">
        <v>23706</v>
      </c>
      <c r="C283" s="5" t="s">
        <v>46</v>
      </c>
      <c r="E283" s="5" t="s">
        <v>1523</v>
      </c>
      <c r="G283" s="5">
        <v>3014105356</v>
      </c>
    </row>
    <row r="284" spans="1:7" ht="12.5">
      <c r="A284" s="5">
        <v>1018409137</v>
      </c>
      <c r="B284" s="5" t="s">
        <v>23706</v>
      </c>
      <c r="C284" s="5" t="s">
        <v>1533</v>
      </c>
      <c r="E284" s="5" t="s">
        <v>1534</v>
      </c>
      <c r="G284" s="5">
        <v>60307200</v>
      </c>
    </row>
    <row r="285" spans="1:7" ht="12.5">
      <c r="A285" s="5">
        <v>1140834498</v>
      </c>
      <c r="B285" s="5" t="s">
        <v>23706</v>
      </c>
      <c r="C285" s="5" t="s">
        <v>1536</v>
      </c>
      <c r="E285" s="5" t="s">
        <v>1305</v>
      </c>
      <c r="G285" s="5">
        <v>1140834498</v>
      </c>
    </row>
    <row r="286" spans="1:7" ht="12.5">
      <c r="A286" s="5">
        <v>1129583172</v>
      </c>
      <c r="B286" s="5" t="s">
        <v>23706</v>
      </c>
      <c r="C286" s="5" t="s">
        <v>1555</v>
      </c>
      <c r="E286" s="5" t="s">
        <v>23832</v>
      </c>
      <c r="G286" s="5">
        <v>3006124100</v>
      </c>
    </row>
    <row r="287" spans="1:7" ht="12.5">
      <c r="A287" s="5">
        <v>1047360706</v>
      </c>
      <c r="B287" s="5" t="s">
        <v>23706</v>
      </c>
      <c r="C287" s="5" t="s">
        <v>1539</v>
      </c>
      <c r="E287" s="5" t="s">
        <v>1540</v>
      </c>
      <c r="G287" s="5">
        <v>3174337517</v>
      </c>
    </row>
    <row r="288" spans="1:7" ht="12.5">
      <c r="A288" s="5">
        <v>1142918744</v>
      </c>
      <c r="B288" s="5" t="s">
        <v>23706</v>
      </c>
      <c r="C288" s="5" t="s">
        <v>1546</v>
      </c>
      <c r="E288" s="5" t="s">
        <v>1547</v>
      </c>
      <c r="G288" s="5">
        <v>3012800105</v>
      </c>
    </row>
    <row r="289" spans="1:7" ht="12.5">
      <c r="A289" s="5">
        <v>1140895622</v>
      </c>
      <c r="B289" s="5" t="s">
        <v>23706</v>
      </c>
      <c r="C289" s="5" t="s">
        <v>1542</v>
      </c>
      <c r="E289" s="5" t="s">
        <v>1543</v>
      </c>
      <c r="G289" s="5">
        <v>3046837580</v>
      </c>
    </row>
    <row r="290" spans="1:7" ht="12.5">
      <c r="A290" s="5">
        <v>72314705</v>
      </c>
      <c r="B290" s="5" t="s">
        <v>23706</v>
      </c>
      <c r="C290" s="5" t="s">
        <v>2533</v>
      </c>
      <c r="E290" s="5" t="s">
        <v>451</v>
      </c>
      <c r="G290" s="5">
        <v>3012025283</v>
      </c>
    </row>
    <row r="291" spans="1:7" ht="12.5">
      <c r="A291" s="5">
        <v>1126786323</v>
      </c>
      <c r="B291" s="5" t="s">
        <v>23706</v>
      </c>
      <c r="C291" s="5" t="s">
        <v>338</v>
      </c>
      <c r="E291" s="5" t="s">
        <v>1563</v>
      </c>
      <c r="G291" s="5">
        <v>3212054821</v>
      </c>
    </row>
    <row r="292" spans="1:7" ht="12.5">
      <c r="A292" s="5">
        <v>1140889500</v>
      </c>
      <c r="B292" s="5" t="s">
        <v>23706</v>
      </c>
      <c r="C292" s="5" t="s">
        <v>76</v>
      </c>
      <c r="E292" s="5" t="s">
        <v>1566</v>
      </c>
      <c r="G292" s="5">
        <v>3156707171</v>
      </c>
    </row>
    <row r="293" spans="1:7" ht="12.5">
      <c r="A293" s="5">
        <v>80068931</v>
      </c>
      <c r="B293" s="5" t="s">
        <v>23706</v>
      </c>
      <c r="C293" s="5" t="s">
        <v>7217</v>
      </c>
      <c r="E293" s="5" t="s">
        <v>7218</v>
      </c>
      <c r="G293" s="5">
        <v>3106306991</v>
      </c>
    </row>
    <row r="294" spans="1:7" ht="12.5">
      <c r="A294" s="5">
        <v>72249673</v>
      </c>
      <c r="B294" s="5" t="s">
        <v>23706</v>
      </c>
      <c r="C294" s="5" t="s">
        <v>1584</v>
      </c>
      <c r="E294" s="5" t="s">
        <v>1585</v>
      </c>
      <c r="G294" s="5">
        <v>3007849550</v>
      </c>
    </row>
    <row r="295" spans="1:7" ht="12.5">
      <c r="A295" s="5">
        <v>1002159863</v>
      </c>
      <c r="B295" s="5" t="s">
        <v>23706</v>
      </c>
      <c r="C295" s="5" t="s">
        <v>158</v>
      </c>
      <c r="E295" s="5" t="s">
        <v>3560</v>
      </c>
      <c r="G295" s="5">
        <v>3218473343</v>
      </c>
    </row>
    <row r="296" spans="1:7" ht="12.5">
      <c r="A296" s="5">
        <v>1140868286</v>
      </c>
      <c r="B296" s="5" t="s">
        <v>23706</v>
      </c>
      <c r="C296" s="5" t="s">
        <v>1588</v>
      </c>
      <c r="E296" s="5" t="s">
        <v>510</v>
      </c>
      <c r="G296" s="5">
        <v>3017352005</v>
      </c>
    </row>
    <row r="297" spans="1:7" ht="12.5">
      <c r="A297" s="5">
        <v>32787305</v>
      </c>
      <c r="B297" s="5" t="s">
        <v>23706</v>
      </c>
      <c r="C297" s="5" t="s">
        <v>23833</v>
      </c>
      <c r="E297" s="5" t="s">
        <v>23834</v>
      </c>
      <c r="G297" s="5">
        <v>4015973988</v>
      </c>
    </row>
    <row r="298" spans="1:7" ht="12.5">
      <c r="A298" s="5">
        <v>1047240155</v>
      </c>
      <c r="B298" s="5" t="s">
        <v>23706</v>
      </c>
      <c r="C298" s="5" t="s">
        <v>1611</v>
      </c>
      <c r="E298" s="5" t="s">
        <v>1664</v>
      </c>
      <c r="G298" s="5">
        <v>3007636328</v>
      </c>
    </row>
    <row r="299" spans="1:7" ht="12.5">
      <c r="A299" s="5">
        <v>1143448994</v>
      </c>
      <c r="B299" s="5" t="s">
        <v>23706</v>
      </c>
      <c r="C299" s="5" t="s">
        <v>3183</v>
      </c>
      <c r="E299" s="5"/>
      <c r="G299" s="5">
        <v>3043190657</v>
      </c>
    </row>
    <row r="300" spans="1:7" ht="12.5">
      <c r="A300" s="5">
        <v>1140892693</v>
      </c>
      <c r="B300" s="5" t="s">
        <v>23706</v>
      </c>
      <c r="C300" s="5" t="s">
        <v>1602</v>
      </c>
      <c r="E300" s="5" t="s">
        <v>1603</v>
      </c>
      <c r="G300" s="5">
        <v>3105455130</v>
      </c>
    </row>
    <row r="301" spans="1:7" ht="12.5">
      <c r="A301" s="5">
        <v>1042252045</v>
      </c>
      <c r="B301" s="5" t="s">
        <v>23706</v>
      </c>
      <c r="C301" s="5" t="s">
        <v>338</v>
      </c>
      <c r="E301" s="5" t="s">
        <v>1607</v>
      </c>
      <c r="G301" s="5">
        <v>3147871018</v>
      </c>
    </row>
    <row r="302" spans="1:7" ht="12.5">
      <c r="A302" s="5">
        <v>72212975</v>
      </c>
      <c r="B302" s="5" t="s">
        <v>23706</v>
      </c>
      <c r="C302" s="5" t="s">
        <v>1692</v>
      </c>
      <c r="E302" s="5" t="s">
        <v>387</v>
      </c>
      <c r="G302" s="5">
        <v>4528261</v>
      </c>
    </row>
    <row r="303" spans="1:7" ht="12.5">
      <c r="A303" s="5">
        <v>1142914121</v>
      </c>
      <c r="B303" s="5" t="s">
        <v>23706</v>
      </c>
      <c r="C303" s="5" t="s">
        <v>1314</v>
      </c>
      <c r="E303" s="5" t="s">
        <v>1620</v>
      </c>
      <c r="G303" s="5">
        <v>3008558535</v>
      </c>
    </row>
    <row r="304" spans="1:7" ht="12.5">
      <c r="A304" s="5">
        <v>1193074864</v>
      </c>
      <c r="B304" s="5" t="s">
        <v>23706</v>
      </c>
      <c r="C304" s="5" t="s">
        <v>84</v>
      </c>
      <c r="E304" s="5" t="s">
        <v>1616</v>
      </c>
      <c r="G304" s="5">
        <v>3166515252</v>
      </c>
    </row>
    <row r="305" spans="1:9" ht="12.5">
      <c r="A305" s="5">
        <v>1048068512</v>
      </c>
      <c r="B305" s="5" t="s">
        <v>23706</v>
      </c>
      <c r="C305" s="5" t="s">
        <v>226</v>
      </c>
      <c r="E305" s="5" t="s">
        <v>1624</v>
      </c>
      <c r="G305" s="5">
        <v>5912942</v>
      </c>
    </row>
    <row r="306" spans="1:9" ht="12.5">
      <c r="A306" s="5">
        <v>1129509087</v>
      </c>
      <c r="B306" s="5" t="s">
        <v>23706</v>
      </c>
      <c r="C306" s="5" t="s">
        <v>8990</v>
      </c>
      <c r="E306" s="5" t="s">
        <v>1628</v>
      </c>
      <c r="G306" s="5">
        <v>3005550029</v>
      </c>
    </row>
    <row r="307" spans="1:9" ht="12.5">
      <c r="A307" s="5">
        <v>1152450057</v>
      </c>
      <c r="B307" s="5" t="s">
        <v>23706</v>
      </c>
      <c r="C307" s="5" t="s">
        <v>262</v>
      </c>
      <c r="E307" s="5" t="s">
        <v>1633</v>
      </c>
      <c r="G307" s="10" t="s">
        <v>23835</v>
      </c>
      <c r="I307" s="5" t="s">
        <v>23836</v>
      </c>
    </row>
    <row r="308" spans="1:9" ht="12.5">
      <c r="A308" s="5">
        <v>1140833347</v>
      </c>
      <c r="B308" s="5" t="s">
        <v>23706</v>
      </c>
      <c r="C308" s="5" t="s">
        <v>1651</v>
      </c>
      <c r="E308" s="5" t="s">
        <v>1652</v>
      </c>
      <c r="G308" s="5">
        <v>3014164165</v>
      </c>
    </row>
    <row r="309" spans="1:9" ht="12.5">
      <c r="A309" s="5">
        <v>1192788363</v>
      </c>
      <c r="B309" s="5" t="s">
        <v>23706</v>
      </c>
      <c r="C309" s="5" t="s">
        <v>1658</v>
      </c>
      <c r="E309" s="5" t="s">
        <v>1659</v>
      </c>
      <c r="G309" s="5">
        <v>13476080627</v>
      </c>
    </row>
    <row r="310" spans="1:9" ht="12.5">
      <c r="A310" s="5">
        <v>1047419812</v>
      </c>
      <c r="B310" s="5" t="s">
        <v>23706</v>
      </c>
      <c r="C310" s="5" t="s">
        <v>4297</v>
      </c>
      <c r="E310" s="5" t="s">
        <v>1645</v>
      </c>
      <c r="G310" s="5">
        <v>3016533455</v>
      </c>
    </row>
    <row r="311" spans="1:9" ht="12.5">
      <c r="A311" s="5">
        <v>72267936</v>
      </c>
      <c r="B311" s="5" t="s">
        <v>23706</v>
      </c>
      <c r="C311" s="5" t="s">
        <v>703</v>
      </c>
      <c r="E311" s="5" t="s">
        <v>1664</v>
      </c>
      <c r="G311" s="5">
        <v>3017962144</v>
      </c>
    </row>
    <row r="312" spans="1:9" ht="12.5">
      <c r="A312" s="5">
        <v>1016949708</v>
      </c>
      <c r="B312" s="5" t="s">
        <v>23706</v>
      </c>
      <c r="C312" s="5" t="s">
        <v>1674</v>
      </c>
      <c r="E312" s="5" t="s">
        <v>1675</v>
      </c>
      <c r="G312" s="5">
        <v>3043845927</v>
      </c>
    </row>
    <row r="313" spans="1:9" ht="12.5">
      <c r="A313" s="5">
        <v>1140877655</v>
      </c>
      <c r="B313" s="5" t="s">
        <v>23706</v>
      </c>
      <c r="C313" s="5" t="s">
        <v>1584</v>
      </c>
      <c r="E313" s="5" t="s">
        <v>1669</v>
      </c>
      <c r="G313" s="5">
        <v>3135860866</v>
      </c>
    </row>
    <row r="314" spans="1:9" ht="12.5">
      <c r="A314" s="5">
        <v>1045717976</v>
      </c>
      <c r="B314" s="5" t="s">
        <v>23706</v>
      </c>
      <c r="C314" s="5" t="s">
        <v>1736</v>
      </c>
      <c r="E314" s="5" t="s">
        <v>1737</v>
      </c>
      <c r="G314" s="5">
        <v>3215794138</v>
      </c>
    </row>
    <row r="315" spans="1:9" ht="12.5">
      <c r="A315" s="5">
        <v>37270681</v>
      </c>
      <c r="B315" s="5" t="s">
        <v>23706</v>
      </c>
      <c r="C315" s="5" t="s">
        <v>1682</v>
      </c>
      <c r="E315" s="5" t="s">
        <v>1683</v>
      </c>
      <c r="G315" s="5">
        <v>3173672739</v>
      </c>
    </row>
    <row r="316" spans="1:9" ht="12.5">
      <c r="A316" s="5">
        <v>1044424624</v>
      </c>
      <c r="B316" s="5" t="s">
        <v>23706</v>
      </c>
      <c r="C316" s="5" t="s">
        <v>1714</v>
      </c>
      <c r="E316" s="5" t="s">
        <v>1683</v>
      </c>
      <c r="G316" s="5">
        <v>3104172030</v>
      </c>
    </row>
    <row r="317" spans="1:9" ht="12.5">
      <c r="A317" s="5">
        <v>1026271027</v>
      </c>
      <c r="B317" s="5" t="s">
        <v>23706</v>
      </c>
      <c r="C317" s="5" t="s">
        <v>1706</v>
      </c>
      <c r="E317" s="5" t="s">
        <v>23837</v>
      </c>
      <c r="G317" s="5">
        <v>3107647968</v>
      </c>
    </row>
    <row r="318" spans="1:9" ht="12.5">
      <c r="A318" s="5">
        <v>1044431061</v>
      </c>
      <c r="B318" s="5" t="s">
        <v>23706</v>
      </c>
      <c r="C318" s="5" t="s">
        <v>13060</v>
      </c>
      <c r="E318" s="5"/>
      <c r="G318" s="5">
        <v>3234582934</v>
      </c>
      <c r="I318" s="5" t="s">
        <v>23838</v>
      </c>
    </row>
    <row r="319" spans="1:9" ht="12.5">
      <c r="A319" s="5">
        <v>1149840298</v>
      </c>
      <c r="B319" s="5" t="s">
        <v>23706</v>
      </c>
      <c r="C319" s="5" t="s">
        <v>332</v>
      </c>
      <c r="E319" s="5" t="s">
        <v>1752</v>
      </c>
      <c r="G319" s="5">
        <v>3218299587</v>
      </c>
    </row>
    <row r="320" spans="1:9" ht="12.5">
      <c r="A320" s="5">
        <v>52645529</v>
      </c>
      <c r="B320" s="5" t="s">
        <v>23706</v>
      </c>
      <c r="C320" s="5" t="s">
        <v>1321</v>
      </c>
      <c r="E320" s="5" t="s">
        <v>1699</v>
      </c>
      <c r="G320" s="5">
        <v>3145812039</v>
      </c>
    </row>
    <row r="321" spans="1:7" ht="12.5">
      <c r="A321" s="5">
        <v>1140903198</v>
      </c>
      <c r="B321" s="5" t="s">
        <v>23706</v>
      </c>
      <c r="C321" s="5" t="s">
        <v>1702</v>
      </c>
      <c r="E321" s="5" t="s">
        <v>1703</v>
      </c>
      <c r="G321" s="5">
        <v>3008095865</v>
      </c>
    </row>
    <row r="322" spans="1:7" ht="12.5">
      <c r="A322" s="5">
        <v>1003315310</v>
      </c>
      <c r="B322" s="5" t="s">
        <v>23706</v>
      </c>
      <c r="C322" s="5" t="s">
        <v>1719</v>
      </c>
      <c r="E322" s="5" t="s">
        <v>1720</v>
      </c>
      <c r="G322" s="5">
        <v>3168273639</v>
      </c>
    </row>
    <row r="323" spans="1:7" ht="12.5">
      <c r="A323" s="5">
        <v>1140847768</v>
      </c>
      <c r="B323" s="5" t="s">
        <v>23706</v>
      </c>
      <c r="C323" s="5" t="s">
        <v>1304</v>
      </c>
      <c r="E323" s="5" t="s">
        <v>1730</v>
      </c>
      <c r="G323" s="5">
        <v>3175134911</v>
      </c>
    </row>
    <row r="324" spans="1:7" ht="12.5">
      <c r="A324" s="5">
        <v>72165221</v>
      </c>
      <c r="B324" s="5" t="s">
        <v>23706</v>
      </c>
      <c r="C324" s="5" t="s">
        <v>1726</v>
      </c>
      <c r="E324" s="5" t="s">
        <v>1831</v>
      </c>
      <c r="G324" s="5">
        <v>164544969</v>
      </c>
    </row>
    <row r="325" spans="1:7" ht="12.5">
      <c r="A325" s="5">
        <v>22478346</v>
      </c>
      <c r="B325" s="5" t="s">
        <v>23706</v>
      </c>
      <c r="C325" s="5" t="s">
        <v>1742</v>
      </c>
      <c r="E325" s="5" t="s">
        <v>1743</v>
      </c>
      <c r="G325" s="5">
        <v>2406191506</v>
      </c>
    </row>
    <row r="326" spans="1:7" ht="12.5">
      <c r="A326" s="5">
        <v>44003398</v>
      </c>
      <c r="B326" s="5" t="s">
        <v>23706</v>
      </c>
      <c r="C326" s="5" t="s">
        <v>23839</v>
      </c>
      <c r="E326" s="5" t="s">
        <v>1747</v>
      </c>
      <c r="G326" s="5">
        <v>3102570325</v>
      </c>
    </row>
    <row r="327" spans="1:7" ht="12.5">
      <c r="A327" s="5">
        <v>55313640</v>
      </c>
      <c r="B327" s="5" t="s">
        <v>23706</v>
      </c>
      <c r="C327" s="5" t="s">
        <v>11272</v>
      </c>
      <c r="E327" s="5" t="s">
        <v>1758</v>
      </c>
      <c r="G327" s="5">
        <v>3006548603</v>
      </c>
    </row>
    <row r="328" spans="1:7" ht="12.5">
      <c r="A328" s="5">
        <v>1046874522</v>
      </c>
      <c r="B328" s="5" t="s">
        <v>23706</v>
      </c>
      <c r="C328" s="5" t="s">
        <v>8406</v>
      </c>
      <c r="E328" s="5" t="s">
        <v>8407</v>
      </c>
      <c r="G328" s="5">
        <v>3127942021</v>
      </c>
    </row>
    <row r="329" spans="1:7" ht="12.5">
      <c r="A329" s="5">
        <v>1142161572</v>
      </c>
      <c r="B329" s="5" t="s">
        <v>23706</v>
      </c>
      <c r="C329" s="5" t="s">
        <v>332</v>
      </c>
      <c r="E329" s="5" t="s">
        <v>1763</v>
      </c>
      <c r="G329" s="5">
        <v>3205165349</v>
      </c>
    </row>
    <row r="330" spans="1:7" ht="12.5">
      <c r="A330" s="5">
        <v>1045735465</v>
      </c>
      <c r="B330" s="5" t="s">
        <v>23706</v>
      </c>
      <c r="C330" s="5" t="s">
        <v>1514</v>
      </c>
      <c r="E330" s="5" t="s">
        <v>1776</v>
      </c>
      <c r="G330" s="5">
        <v>3013878236</v>
      </c>
    </row>
    <row r="331" spans="1:7" ht="12.5">
      <c r="A331" s="5">
        <v>1140871530</v>
      </c>
      <c r="B331" s="5" t="s">
        <v>23706</v>
      </c>
      <c r="C331" s="5" t="s">
        <v>1773</v>
      </c>
      <c r="E331" s="5" t="s">
        <v>1774</v>
      </c>
      <c r="G331" s="5">
        <v>3145013622</v>
      </c>
    </row>
    <row r="332" spans="1:7" ht="12.5">
      <c r="A332" s="5">
        <v>1044606247</v>
      </c>
      <c r="B332" s="5" t="s">
        <v>23706</v>
      </c>
      <c r="C332" s="5" t="s">
        <v>9984</v>
      </c>
      <c r="E332" s="5" t="s">
        <v>9690</v>
      </c>
      <c r="G332" s="5">
        <v>4915739651974</v>
      </c>
    </row>
    <row r="333" spans="1:7" ht="12.5">
      <c r="A333" s="5">
        <v>1007211115</v>
      </c>
      <c r="B333" s="5" t="s">
        <v>23706</v>
      </c>
      <c r="C333" s="5" t="s">
        <v>23840</v>
      </c>
      <c r="E333" s="5" t="s">
        <v>1789</v>
      </c>
      <c r="G333" s="5">
        <v>3225363411</v>
      </c>
    </row>
    <row r="334" spans="1:7" ht="12.5">
      <c r="A334" s="5">
        <v>55303645</v>
      </c>
      <c r="B334" s="5" t="s">
        <v>23706</v>
      </c>
      <c r="C334" s="5" t="s">
        <v>1781</v>
      </c>
      <c r="E334" s="5"/>
      <c r="G334" s="5">
        <v>3205425252</v>
      </c>
    </row>
    <row r="335" spans="1:7" ht="12.5">
      <c r="A335" s="5">
        <v>1143430016</v>
      </c>
      <c r="B335" s="5" t="s">
        <v>23706</v>
      </c>
      <c r="C335" s="5" t="s">
        <v>1798</v>
      </c>
      <c r="E335" s="5" t="s">
        <v>1827</v>
      </c>
      <c r="G335" s="5">
        <v>3046688627</v>
      </c>
    </row>
    <row r="336" spans="1:7" ht="12.5">
      <c r="A336" s="5">
        <v>72271937</v>
      </c>
      <c r="B336" s="5" t="s">
        <v>23706</v>
      </c>
      <c r="C336" s="5" t="s">
        <v>1784</v>
      </c>
      <c r="E336" s="5" t="s">
        <v>1785</v>
      </c>
      <c r="G336" s="5">
        <v>3045334016</v>
      </c>
    </row>
    <row r="337" spans="1:9" ht="12.5">
      <c r="A337" s="5">
        <v>1046697374</v>
      </c>
      <c r="B337" s="5" t="s">
        <v>23706</v>
      </c>
      <c r="C337" s="5" t="s">
        <v>1795</v>
      </c>
      <c r="E337" s="5" t="s">
        <v>1796</v>
      </c>
      <c r="G337" s="5">
        <v>3244284354</v>
      </c>
    </row>
    <row r="338" spans="1:9" ht="12.5">
      <c r="A338" s="5">
        <v>32863446</v>
      </c>
      <c r="B338" s="5" t="s">
        <v>23706</v>
      </c>
      <c r="C338" s="5" t="s">
        <v>23841</v>
      </c>
      <c r="E338" s="5" t="s">
        <v>498</v>
      </c>
      <c r="G338" s="5">
        <v>3006273266</v>
      </c>
    </row>
    <row r="339" spans="1:9" ht="12.5">
      <c r="A339" s="5">
        <v>1047039794</v>
      </c>
      <c r="B339" s="5" t="s">
        <v>23706</v>
      </c>
      <c r="C339" s="5" t="s">
        <v>23842</v>
      </c>
      <c r="E339" s="5" t="s">
        <v>23843</v>
      </c>
      <c r="G339" s="5">
        <v>3004833797</v>
      </c>
    </row>
    <row r="340" spans="1:9" ht="12.5">
      <c r="A340" s="5">
        <v>1129570257</v>
      </c>
      <c r="B340" s="5" t="s">
        <v>23706</v>
      </c>
      <c r="C340" s="5" t="s">
        <v>703</v>
      </c>
      <c r="E340" s="5" t="s">
        <v>1774</v>
      </c>
      <c r="G340" s="5">
        <v>3145337495</v>
      </c>
    </row>
    <row r="341" spans="1:9" ht="12.5">
      <c r="A341" s="5">
        <v>1048065384</v>
      </c>
      <c r="B341" s="5" t="s">
        <v>23706</v>
      </c>
      <c r="C341" s="5" t="s">
        <v>226</v>
      </c>
      <c r="E341" s="5" t="s">
        <v>1808</v>
      </c>
      <c r="G341" s="5">
        <v>3113715714</v>
      </c>
      <c r="I341" s="5" t="s">
        <v>23844</v>
      </c>
    </row>
    <row r="342" spans="1:9" ht="12.5">
      <c r="A342" s="5">
        <v>1140855893</v>
      </c>
      <c r="B342" s="5" t="s">
        <v>23706</v>
      </c>
      <c r="C342" s="5" t="s">
        <v>1802</v>
      </c>
      <c r="E342" s="5" t="s">
        <v>1803</v>
      </c>
      <c r="G342" s="5">
        <v>3016917734</v>
      </c>
    </row>
    <row r="343" spans="1:9" ht="12.5">
      <c r="A343" s="5">
        <v>1002161954</v>
      </c>
      <c r="B343" s="5" t="s">
        <v>23706</v>
      </c>
      <c r="C343" s="5" t="s">
        <v>1812</v>
      </c>
      <c r="E343" s="5" t="s">
        <v>1813</v>
      </c>
      <c r="G343" s="5">
        <v>3150468241</v>
      </c>
    </row>
    <row r="344" spans="1:9" ht="12.5">
      <c r="A344" s="5">
        <v>1140817994</v>
      </c>
      <c r="B344" s="5" t="s">
        <v>23706</v>
      </c>
      <c r="C344" s="5" t="s">
        <v>1821</v>
      </c>
      <c r="E344" s="5" t="s">
        <v>23845</v>
      </c>
      <c r="G344" s="5">
        <v>3017255318</v>
      </c>
    </row>
    <row r="345" spans="1:9" ht="12.5">
      <c r="A345" s="5">
        <v>1045726272</v>
      </c>
      <c r="B345" s="5" t="s">
        <v>23706</v>
      </c>
      <c r="C345" s="5" t="s">
        <v>445</v>
      </c>
      <c r="E345" s="5" t="s">
        <v>1819</v>
      </c>
      <c r="G345" s="5">
        <v>3023057717</v>
      </c>
    </row>
    <row r="346" spans="1:9" ht="12.5">
      <c r="A346" s="5">
        <v>55223776</v>
      </c>
      <c r="B346" s="5" t="s">
        <v>23706</v>
      </c>
      <c r="C346" s="5" t="s">
        <v>1840</v>
      </c>
      <c r="E346" s="5" t="s">
        <v>455</v>
      </c>
      <c r="G346" s="5">
        <v>3005021107</v>
      </c>
    </row>
    <row r="347" spans="1:9" ht="12.5">
      <c r="A347" s="5">
        <v>1234090006</v>
      </c>
      <c r="B347" s="5" t="s">
        <v>23706</v>
      </c>
      <c r="C347" s="5" t="s">
        <v>582</v>
      </c>
      <c r="E347" s="5" t="s">
        <v>1859</v>
      </c>
      <c r="G347" s="5">
        <v>3015954609</v>
      </c>
    </row>
    <row r="348" spans="1:9" ht="12.5">
      <c r="A348" s="5">
        <v>1002388429</v>
      </c>
      <c r="B348" s="5" t="s">
        <v>23706</v>
      </c>
      <c r="C348" s="5" t="s">
        <v>23846</v>
      </c>
      <c r="E348" s="5" t="s">
        <v>23847</v>
      </c>
      <c r="G348" s="5">
        <v>3003456071</v>
      </c>
    </row>
    <row r="349" spans="1:9" ht="12.5">
      <c r="A349" s="5">
        <v>1140841858</v>
      </c>
      <c r="B349" s="5" t="s">
        <v>23706</v>
      </c>
      <c r="C349" s="5" t="s">
        <v>1830</v>
      </c>
      <c r="E349" s="5" t="s">
        <v>1831</v>
      </c>
      <c r="G349" s="5">
        <v>3001915137</v>
      </c>
    </row>
    <row r="350" spans="1:9" ht="12.5">
      <c r="A350" s="5">
        <v>26893311</v>
      </c>
      <c r="B350" s="5" t="s">
        <v>23706</v>
      </c>
      <c r="C350" s="5" t="s">
        <v>1812</v>
      </c>
      <c r="E350" s="5" t="s">
        <v>1847</v>
      </c>
      <c r="G350" s="5">
        <v>0</v>
      </c>
    </row>
    <row r="351" spans="1:9" ht="12.5">
      <c r="A351" s="5">
        <v>1140903905</v>
      </c>
      <c r="B351" s="5" t="s">
        <v>23706</v>
      </c>
      <c r="C351" s="5" t="s">
        <v>1850</v>
      </c>
      <c r="E351" s="5" t="s">
        <v>23848</v>
      </c>
      <c r="G351" s="5">
        <v>3057752173</v>
      </c>
    </row>
    <row r="352" spans="1:9" ht="12.5">
      <c r="A352" s="5">
        <v>1140874858</v>
      </c>
      <c r="B352" s="5" t="s">
        <v>23706</v>
      </c>
      <c r="C352" s="5" t="s">
        <v>1854</v>
      </c>
      <c r="E352" s="5" t="s">
        <v>1855</v>
      </c>
      <c r="G352" s="5">
        <v>34655354144</v>
      </c>
    </row>
    <row r="353" spans="1:7" ht="12.5">
      <c r="A353" s="5">
        <v>1129563892</v>
      </c>
      <c r="B353" s="5" t="s">
        <v>23706</v>
      </c>
      <c r="C353" s="5" t="s">
        <v>2889</v>
      </c>
      <c r="E353" s="5" t="s">
        <v>1865</v>
      </c>
      <c r="G353" s="5">
        <v>15514822719</v>
      </c>
    </row>
    <row r="354" spans="1:7" ht="12.5">
      <c r="A354" s="5">
        <v>84084493</v>
      </c>
      <c r="B354" s="5" t="s">
        <v>23706</v>
      </c>
      <c r="C354" s="5" t="s">
        <v>9125</v>
      </c>
      <c r="E354" s="5" t="s">
        <v>7298</v>
      </c>
      <c r="G354" s="5">
        <v>3183558783</v>
      </c>
    </row>
    <row r="355" spans="1:7" ht="12.5">
      <c r="A355" s="5">
        <v>1020754190</v>
      </c>
      <c r="B355" s="5" t="s">
        <v>23706</v>
      </c>
      <c r="C355" s="5" t="s">
        <v>1349</v>
      </c>
      <c r="E355" s="5" t="s">
        <v>1968</v>
      </c>
      <c r="G355" s="5">
        <v>3157485968</v>
      </c>
    </row>
    <row r="356" spans="1:7" ht="12.5">
      <c r="A356" s="5">
        <v>1045144368</v>
      </c>
      <c r="B356" s="5" t="s">
        <v>23706</v>
      </c>
      <c r="C356" s="5" t="s">
        <v>921</v>
      </c>
      <c r="E356" s="5" t="s">
        <v>1566</v>
      </c>
      <c r="G356" s="5">
        <v>3215888602</v>
      </c>
    </row>
    <row r="357" spans="1:7" ht="12.5">
      <c r="A357" s="5">
        <v>1045675275</v>
      </c>
      <c r="B357" s="5" t="s">
        <v>23706</v>
      </c>
      <c r="C357" s="5" t="s">
        <v>1879</v>
      </c>
      <c r="E357" s="5" t="s">
        <v>1880</v>
      </c>
      <c r="G357" s="5">
        <v>3016358575</v>
      </c>
    </row>
    <row r="358" spans="1:7" ht="12.5">
      <c r="A358" s="5">
        <v>22587327</v>
      </c>
      <c r="B358" s="5" t="s">
        <v>23706</v>
      </c>
      <c r="C358" s="5" t="s">
        <v>1742</v>
      </c>
      <c r="E358" s="5" t="s">
        <v>23849</v>
      </c>
      <c r="G358" s="5">
        <v>3128082491</v>
      </c>
    </row>
    <row r="359" spans="1:7" ht="12.5">
      <c r="A359" s="5">
        <v>900408543</v>
      </c>
      <c r="B359" s="5" t="s">
        <v>23782</v>
      </c>
      <c r="C359" s="5" t="s">
        <v>1959</v>
      </c>
      <c r="E359" s="5" t="s">
        <v>298</v>
      </c>
      <c r="G359" s="5">
        <v>3157420418</v>
      </c>
    </row>
    <row r="360" spans="1:7" ht="12.5">
      <c r="A360" s="5">
        <v>1140819712</v>
      </c>
      <c r="B360" s="5" t="s">
        <v>23706</v>
      </c>
      <c r="C360" s="5" t="s">
        <v>1876</v>
      </c>
      <c r="E360" s="5" t="s">
        <v>1877</v>
      </c>
      <c r="G360" s="5">
        <v>3043766239</v>
      </c>
    </row>
    <row r="361" spans="1:7" ht="12.5">
      <c r="A361" s="5">
        <v>72248365</v>
      </c>
      <c r="B361" s="5" t="s">
        <v>23706</v>
      </c>
      <c r="C361" s="5" t="s">
        <v>582</v>
      </c>
      <c r="E361" s="5" t="s">
        <v>23850</v>
      </c>
      <c r="G361" s="5">
        <v>2407219337</v>
      </c>
    </row>
    <row r="362" spans="1:7" ht="12.5">
      <c r="A362" s="5">
        <v>1129577148</v>
      </c>
      <c r="B362" s="5" t="s">
        <v>23706</v>
      </c>
      <c r="C362" s="5" t="s">
        <v>825</v>
      </c>
      <c r="E362" s="5" t="s">
        <v>1888</v>
      </c>
      <c r="G362" s="5">
        <v>3126230871</v>
      </c>
    </row>
    <row r="363" spans="1:7" ht="12.5">
      <c r="A363" s="5">
        <v>23108689</v>
      </c>
      <c r="B363" s="5" t="s">
        <v>23706</v>
      </c>
      <c r="C363" s="5" t="s">
        <v>1900</v>
      </c>
      <c r="E363" s="5" t="s">
        <v>1901</v>
      </c>
      <c r="G363" s="5">
        <v>3115645616</v>
      </c>
    </row>
    <row r="364" spans="1:7" ht="12.5">
      <c r="A364" s="5">
        <v>1043115898</v>
      </c>
      <c r="B364" s="5" t="s">
        <v>23706</v>
      </c>
      <c r="C364" s="5" t="s">
        <v>1928</v>
      </c>
      <c r="E364" s="5" t="s">
        <v>1929</v>
      </c>
      <c r="G364" s="5">
        <v>3145480471</v>
      </c>
    </row>
    <row r="365" spans="1:7" ht="12.5">
      <c r="A365" s="5">
        <v>32686969</v>
      </c>
      <c r="B365" s="5" t="s">
        <v>23782</v>
      </c>
      <c r="C365" s="5" t="s">
        <v>1904</v>
      </c>
      <c r="E365" s="5" t="s">
        <v>1905</v>
      </c>
      <c r="G365" s="5">
        <v>13057648205</v>
      </c>
    </row>
    <row r="366" spans="1:7" ht="12.5">
      <c r="A366" s="5">
        <v>890101691</v>
      </c>
      <c r="B366" s="5" t="s">
        <v>23782</v>
      </c>
      <c r="C366" s="5" t="s">
        <v>1913</v>
      </c>
      <c r="E366" s="5" t="s">
        <v>1914</v>
      </c>
      <c r="G366" s="5">
        <v>3003598301</v>
      </c>
    </row>
    <row r="367" spans="1:7" ht="12.5">
      <c r="A367" s="5">
        <v>1129573100</v>
      </c>
      <c r="B367" s="5" t="s">
        <v>23706</v>
      </c>
      <c r="C367" s="5" t="s">
        <v>1918</v>
      </c>
      <c r="E367" s="5" t="s">
        <v>1919</v>
      </c>
      <c r="G367" s="5">
        <v>3022614467</v>
      </c>
    </row>
    <row r="368" spans="1:7" ht="12.5">
      <c r="A368" s="5">
        <v>55223981</v>
      </c>
      <c r="B368" s="5" t="s">
        <v>23706</v>
      </c>
      <c r="C368" s="5" t="s">
        <v>1602</v>
      </c>
      <c r="E368" s="5" t="s">
        <v>1924</v>
      </c>
      <c r="G368" s="5">
        <v>3153539732</v>
      </c>
    </row>
    <row r="369" spans="1:9" ht="12.5">
      <c r="A369" s="5">
        <v>1129565320</v>
      </c>
      <c r="B369" s="5" t="s">
        <v>23706</v>
      </c>
      <c r="C369" s="5" t="s">
        <v>1939</v>
      </c>
      <c r="E369" s="5" t="s">
        <v>6441</v>
      </c>
      <c r="G369" s="5">
        <v>3015484574</v>
      </c>
    </row>
    <row r="370" spans="1:9" ht="12.5">
      <c r="A370" s="5">
        <v>1018457587</v>
      </c>
      <c r="B370" s="5" t="s">
        <v>23706</v>
      </c>
      <c r="C370" s="5" t="s">
        <v>2069</v>
      </c>
      <c r="E370" s="5" t="s">
        <v>2070</v>
      </c>
      <c r="G370" s="5">
        <v>525585534987</v>
      </c>
    </row>
    <row r="371" spans="1:9" ht="12.5">
      <c r="A371" s="5">
        <v>8512209</v>
      </c>
      <c r="B371" s="5" t="s">
        <v>23706</v>
      </c>
      <c r="C371" s="5" t="s">
        <v>1935</v>
      </c>
      <c r="E371" s="5" t="s">
        <v>1624</v>
      </c>
      <c r="G371" s="5">
        <v>3174010049</v>
      </c>
    </row>
    <row r="372" spans="1:9" ht="12.5">
      <c r="A372" s="5">
        <v>1046816690</v>
      </c>
      <c r="B372" s="5" t="s">
        <v>23706</v>
      </c>
      <c r="C372" s="5" t="s">
        <v>1946</v>
      </c>
      <c r="E372" s="5" t="s">
        <v>1947</v>
      </c>
      <c r="G372" s="5">
        <v>3042447180</v>
      </c>
    </row>
    <row r="373" spans="1:9" ht="12.5">
      <c r="A373" s="5">
        <v>1003376225</v>
      </c>
      <c r="B373" s="5" t="s">
        <v>23706</v>
      </c>
      <c r="C373" s="5" t="s">
        <v>17479</v>
      </c>
      <c r="E373" s="5" t="s">
        <v>23851</v>
      </c>
      <c r="G373" s="5">
        <v>3228690977</v>
      </c>
      <c r="I373" s="5" t="s">
        <v>23852</v>
      </c>
    </row>
    <row r="374" spans="1:9" ht="12.5">
      <c r="A374" s="5">
        <v>1046758923</v>
      </c>
      <c r="B374" s="5" t="s">
        <v>23706</v>
      </c>
      <c r="C374" s="5" t="s">
        <v>3450</v>
      </c>
      <c r="E374" s="5" t="s">
        <v>601</v>
      </c>
      <c r="G374" s="5">
        <v>3013022486</v>
      </c>
    </row>
    <row r="375" spans="1:9" ht="12.5">
      <c r="A375" s="5">
        <v>669480</v>
      </c>
      <c r="B375" s="5" t="s">
        <v>23706</v>
      </c>
      <c r="C375" s="5" t="s">
        <v>2016</v>
      </c>
      <c r="E375" s="5" t="s">
        <v>2017</v>
      </c>
      <c r="G375" s="5">
        <v>3007881065</v>
      </c>
    </row>
    <row r="376" spans="1:9" ht="12.5">
      <c r="A376" s="5">
        <v>1045743436</v>
      </c>
      <c r="B376" s="5" t="s">
        <v>23706</v>
      </c>
      <c r="C376" s="5" t="s">
        <v>23853</v>
      </c>
      <c r="E376" s="5" t="s">
        <v>23854</v>
      </c>
      <c r="G376" s="5">
        <v>3008004137</v>
      </c>
    </row>
    <row r="377" spans="1:9" ht="12.5">
      <c r="A377" s="5">
        <v>1113686376</v>
      </c>
      <c r="B377" s="5" t="s">
        <v>23706</v>
      </c>
      <c r="C377" s="5" t="s">
        <v>297</v>
      </c>
      <c r="E377" s="5" t="s">
        <v>1226</v>
      </c>
      <c r="G377" s="5">
        <v>14147085647</v>
      </c>
    </row>
    <row r="378" spans="1:9" ht="12.5">
      <c r="A378" s="5">
        <v>7234876</v>
      </c>
      <c r="B378" s="5" t="s">
        <v>23706</v>
      </c>
      <c r="C378" s="5" t="s">
        <v>1965</v>
      </c>
      <c r="E378" s="5" t="s">
        <v>1966</v>
      </c>
      <c r="G378" s="5">
        <v>3157218390</v>
      </c>
    </row>
    <row r="379" spans="1:9" ht="12.5">
      <c r="A379" s="5">
        <v>1002186624</v>
      </c>
      <c r="B379" s="5" t="s">
        <v>23706</v>
      </c>
      <c r="C379" s="5" t="s">
        <v>1980</v>
      </c>
      <c r="E379" s="5" t="s">
        <v>1981</v>
      </c>
      <c r="G379" s="5">
        <v>3243883371</v>
      </c>
    </row>
    <row r="380" spans="1:9" ht="12.5">
      <c r="A380" s="5">
        <v>1047230323</v>
      </c>
      <c r="B380" s="5" t="s">
        <v>23706</v>
      </c>
      <c r="C380" s="5" t="s">
        <v>1973</v>
      </c>
      <c r="E380" s="5" t="s">
        <v>1974</v>
      </c>
      <c r="G380" s="5">
        <v>3166289485</v>
      </c>
    </row>
    <row r="381" spans="1:9" ht="12.5">
      <c r="A381" s="5">
        <v>72286470</v>
      </c>
      <c r="B381" s="5" t="s">
        <v>23706</v>
      </c>
      <c r="C381" s="5" t="s">
        <v>1986</v>
      </c>
      <c r="E381" s="5" t="s">
        <v>1987</v>
      </c>
      <c r="G381" s="5">
        <v>3006686900</v>
      </c>
    </row>
    <row r="382" spans="1:9" ht="12.5">
      <c r="A382" s="5">
        <v>22468328</v>
      </c>
      <c r="B382" s="5" t="s">
        <v>23706</v>
      </c>
      <c r="C382" s="5" t="s">
        <v>1991</v>
      </c>
      <c r="E382" s="5"/>
      <c r="G382" s="5">
        <v>3106011462</v>
      </c>
      <c r="I382" s="5" t="s">
        <v>23855</v>
      </c>
    </row>
    <row r="383" spans="1:9" ht="12.5">
      <c r="A383" s="5">
        <v>1047405146</v>
      </c>
      <c r="B383" s="5" t="s">
        <v>23706</v>
      </c>
      <c r="C383" s="5" t="s">
        <v>23856</v>
      </c>
      <c r="E383" s="5"/>
      <c r="G383" s="5">
        <v>3007753380</v>
      </c>
      <c r="I383" s="5" t="s">
        <v>23857</v>
      </c>
    </row>
    <row r="384" spans="1:9" ht="12.5">
      <c r="A384" s="5">
        <v>1014191172</v>
      </c>
      <c r="B384" s="5" t="s">
        <v>23706</v>
      </c>
      <c r="C384" s="5" t="s">
        <v>371</v>
      </c>
      <c r="E384" s="5" t="s">
        <v>2011</v>
      </c>
      <c r="G384" s="5">
        <v>3177991112</v>
      </c>
    </row>
    <row r="385" spans="1:7" ht="12.5">
      <c r="A385" s="5">
        <v>55229105</v>
      </c>
      <c r="B385" s="5" t="s">
        <v>23706</v>
      </c>
      <c r="C385" s="5" t="s">
        <v>1999</v>
      </c>
      <c r="E385" s="5" t="s">
        <v>2000</v>
      </c>
      <c r="G385" s="5">
        <v>3007274333</v>
      </c>
    </row>
    <row r="386" spans="1:7" ht="12.5">
      <c r="A386" s="5">
        <v>22550989</v>
      </c>
      <c r="B386" s="5" t="s">
        <v>23706</v>
      </c>
      <c r="C386" s="5" t="s">
        <v>4487</v>
      </c>
      <c r="E386" s="5" t="s">
        <v>2004</v>
      </c>
      <c r="G386" s="5">
        <v>3012147788</v>
      </c>
    </row>
    <row r="387" spans="1:7" ht="12.5">
      <c r="A387" s="5">
        <v>901504872</v>
      </c>
      <c r="B387" s="5" t="s">
        <v>23782</v>
      </c>
      <c r="C387" s="5" t="s">
        <v>23858</v>
      </c>
      <c r="E387" s="5" t="s">
        <v>2029</v>
      </c>
      <c r="G387" s="5">
        <v>3164543781</v>
      </c>
    </row>
    <row r="388" spans="1:7" ht="12.5">
      <c r="A388" s="5">
        <v>1140901716</v>
      </c>
      <c r="B388" s="5" t="s">
        <v>23706</v>
      </c>
      <c r="C388" s="5" t="s">
        <v>23859</v>
      </c>
      <c r="E388" s="5" t="s">
        <v>4441</v>
      </c>
      <c r="G388" s="5">
        <v>3006954952</v>
      </c>
    </row>
    <row r="389" spans="1:7" ht="12.5">
      <c r="A389" s="5">
        <v>32714031</v>
      </c>
      <c r="B389" s="5" t="s">
        <v>23706</v>
      </c>
      <c r="C389" s="5" t="s">
        <v>2022</v>
      </c>
      <c r="E389" s="5" t="s">
        <v>2023</v>
      </c>
      <c r="G389" s="5">
        <v>3174420025</v>
      </c>
    </row>
    <row r="390" spans="1:7" ht="12.5">
      <c r="A390" s="5">
        <v>1044424389</v>
      </c>
      <c r="B390" s="5" t="s">
        <v>23706</v>
      </c>
      <c r="C390" s="5" t="s">
        <v>2034</v>
      </c>
      <c r="E390" s="5" t="s">
        <v>2035</v>
      </c>
      <c r="G390" s="5">
        <v>0</v>
      </c>
    </row>
    <row r="391" spans="1:7" ht="12.5">
      <c r="A391" s="5">
        <v>1140852537</v>
      </c>
      <c r="B391" s="5" t="s">
        <v>23706</v>
      </c>
      <c r="C391" s="5" t="s">
        <v>1546</v>
      </c>
      <c r="E391" s="5" t="s">
        <v>2038</v>
      </c>
      <c r="G391" s="5">
        <v>3005297181</v>
      </c>
    </row>
    <row r="392" spans="1:7" ht="12.5">
      <c r="A392" s="5">
        <v>55313649</v>
      </c>
      <c r="B392" s="5" t="s">
        <v>23706</v>
      </c>
      <c r="C392" s="5" t="s">
        <v>2051</v>
      </c>
      <c r="E392" s="5" t="s">
        <v>1758</v>
      </c>
      <c r="G392" s="5">
        <v>3006548603</v>
      </c>
    </row>
    <row r="393" spans="1:7" ht="12.5">
      <c r="A393" s="5">
        <v>0</v>
      </c>
      <c r="B393" s="5" t="s">
        <v>23706</v>
      </c>
      <c r="C393" s="5" t="s">
        <v>2040</v>
      </c>
      <c r="E393" s="5" t="s">
        <v>2041</v>
      </c>
      <c r="G393" s="5">
        <v>3154015161</v>
      </c>
    </row>
    <row r="394" spans="1:7" ht="12.5">
      <c r="A394" s="5">
        <v>8773703</v>
      </c>
      <c r="B394" s="5" t="s">
        <v>23706</v>
      </c>
      <c r="C394" s="5" t="s">
        <v>2045</v>
      </c>
      <c r="E394" s="5" t="s">
        <v>2046</v>
      </c>
      <c r="G394" s="5">
        <v>3046446071</v>
      </c>
    </row>
    <row r="395" spans="1:7" ht="12.5">
      <c r="A395" s="5">
        <v>17971779</v>
      </c>
      <c r="B395" s="5" t="s">
        <v>23706</v>
      </c>
      <c r="C395" s="5" t="s">
        <v>2107</v>
      </c>
      <c r="E395" s="5" t="s">
        <v>2108</v>
      </c>
      <c r="G395" s="5">
        <v>3017254126</v>
      </c>
    </row>
    <row r="396" spans="1:7" ht="12.5">
      <c r="A396" s="5">
        <v>1140849945</v>
      </c>
      <c r="B396" s="5" t="s">
        <v>23706</v>
      </c>
      <c r="C396" s="5" t="s">
        <v>23860</v>
      </c>
      <c r="E396" s="5" t="s">
        <v>2181</v>
      </c>
      <c r="G396" s="5">
        <v>3122120148</v>
      </c>
    </row>
    <row r="397" spans="1:7" ht="12.5">
      <c r="A397" s="5">
        <v>1082925032</v>
      </c>
      <c r="B397" s="5" t="s">
        <v>23706</v>
      </c>
      <c r="C397" s="5" t="s">
        <v>290</v>
      </c>
      <c r="E397" s="5" t="s">
        <v>2049</v>
      </c>
      <c r="G397" s="5">
        <v>3158084648</v>
      </c>
    </row>
    <row r="398" spans="1:7" ht="12.5">
      <c r="A398" s="5">
        <v>0</v>
      </c>
      <c r="B398" s="5" t="s">
        <v>23706</v>
      </c>
      <c r="C398" s="5" t="s">
        <v>2055</v>
      </c>
      <c r="E398" s="5">
        <v>0</v>
      </c>
      <c r="G398" s="5">
        <v>3154921199</v>
      </c>
    </row>
    <row r="399" spans="1:7" ht="12.5">
      <c r="A399" s="5">
        <v>8737403</v>
      </c>
      <c r="B399" s="5" t="s">
        <v>23706</v>
      </c>
      <c r="C399" s="5" t="s">
        <v>2061</v>
      </c>
      <c r="E399" s="5" t="s">
        <v>2062</v>
      </c>
      <c r="G399" s="5">
        <v>3106304282</v>
      </c>
    </row>
    <row r="400" spans="1:7" ht="12.5">
      <c r="A400" s="5">
        <v>1026272909</v>
      </c>
      <c r="B400" s="5" t="s">
        <v>23706</v>
      </c>
      <c r="C400" s="5" t="s">
        <v>8990</v>
      </c>
      <c r="E400" s="5" t="s">
        <v>23861</v>
      </c>
      <c r="G400" s="5">
        <v>5215579221110</v>
      </c>
    </row>
    <row r="401" spans="1:9" ht="12.5">
      <c r="A401" s="5">
        <v>1193537226</v>
      </c>
      <c r="B401" s="5" t="s">
        <v>23706</v>
      </c>
      <c r="C401" s="5" t="s">
        <v>2080</v>
      </c>
      <c r="E401" s="5" t="s">
        <v>455</v>
      </c>
      <c r="G401" s="5">
        <v>3024231004</v>
      </c>
    </row>
    <row r="402" spans="1:9" ht="12.5">
      <c r="A402" s="5">
        <v>1140896366</v>
      </c>
      <c r="B402" s="5" t="s">
        <v>23706</v>
      </c>
      <c r="C402" s="5" t="s">
        <v>84</v>
      </c>
      <c r="E402" s="5" t="s">
        <v>2088</v>
      </c>
      <c r="G402" s="5">
        <v>3113596214</v>
      </c>
    </row>
    <row r="403" spans="1:9" ht="12.5">
      <c r="A403" s="5">
        <v>1129581017</v>
      </c>
      <c r="B403" s="5" t="s">
        <v>23706</v>
      </c>
      <c r="C403" s="5" t="s">
        <v>226</v>
      </c>
      <c r="E403" s="5" t="s">
        <v>23862</v>
      </c>
      <c r="G403" s="5">
        <v>3006332592</v>
      </c>
    </row>
    <row r="404" spans="1:9" ht="12.5">
      <c r="A404" s="5">
        <v>1143262705</v>
      </c>
      <c r="B404" s="5" t="s">
        <v>23706</v>
      </c>
      <c r="C404" s="5" t="s">
        <v>2113</v>
      </c>
      <c r="E404" s="5" t="s">
        <v>1968</v>
      </c>
      <c r="G404" s="5">
        <v>3007426106</v>
      </c>
    </row>
    <row r="405" spans="1:9" ht="12.5">
      <c r="A405" s="5">
        <v>1140840050</v>
      </c>
      <c r="B405" s="5" t="s">
        <v>23706</v>
      </c>
      <c r="C405" s="5" t="s">
        <v>2101</v>
      </c>
      <c r="E405" s="5" t="s">
        <v>2102</v>
      </c>
      <c r="G405" s="5">
        <v>3216981443</v>
      </c>
    </row>
    <row r="406" spans="1:9" ht="12.5">
      <c r="A406" s="5">
        <v>1002209174</v>
      </c>
      <c r="B406" s="5" t="s">
        <v>23706</v>
      </c>
      <c r="C406" s="5" t="s">
        <v>2123</v>
      </c>
      <c r="E406" s="5" t="s">
        <v>2124</v>
      </c>
      <c r="G406" s="5">
        <v>17704010789</v>
      </c>
    </row>
    <row r="407" spans="1:9" ht="12.5">
      <c r="A407" s="5">
        <v>1002011993</v>
      </c>
      <c r="B407" s="5" t="s">
        <v>23706</v>
      </c>
      <c r="C407" s="5" t="s">
        <v>2134</v>
      </c>
      <c r="E407" s="5" t="s">
        <v>23863</v>
      </c>
      <c r="G407" s="5">
        <v>3014459144</v>
      </c>
    </row>
    <row r="408" spans="1:9" ht="12.5">
      <c r="A408" s="5">
        <v>80423394</v>
      </c>
      <c r="B408" s="5" t="s">
        <v>23706</v>
      </c>
      <c r="C408" s="5" t="s">
        <v>1513</v>
      </c>
      <c r="E408" s="5" t="s">
        <v>2144</v>
      </c>
      <c r="G408" s="5">
        <v>3102997207</v>
      </c>
    </row>
    <row r="409" spans="1:9" ht="12.5">
      <c r="A409" s="5">
        <v>1143159063</v>
      </c>
      <c r="B409" s="5" t="s">
        <v>23706</v>
      </c>
      <c r="C409" s="5" t="s">
        <v>226</v>
      </c>
      <c r="E409" s="5" t="s">
        <v>2131</v>
      </c>
      <c r="G409" s="5">
        <v>3023523898</v>
      </c>
    </row>
    <row r="410" spans="1:9" ht="12.5">
      <c r="A410" s="5">
        <v>1047337186</v>
      </c>
      <c r="B410" s="5" t="s">
        <v>23706</v>
      </c>
      <c r="C410" s="5" t="s">
        <v>46</v>
      </c>
      <c r="E410" s="5" t="s">
        <v>2140</v>
      </c>
      <c r="G410" s="5">
        <v>3216569116</v>
      </c>
    </row>
    <row r="411" spans="1:9" ht="12.5">
      <c r="A411" s="5">
        <v>1140835866</v>
      </c>
      <c r="B411" s="5" t="s">
        <v>23706</v>
      </c>
      <c r="C411" s="5" t="s">
        <v>825</v>
      </c>
      <c r="E411" s="5" t="s">
        <v>2153</v>
      </c>
      <c r="G411" s="5">
        <v>3218151708</v>
      </c>
      <c r="I411" s="5" t="s">
        <v>23864</v>
      </c>
    </row>
    <row r="412" spans="1:9" ht="12.5">
      <c r="A412" s="5">
        <v>53125286</v>
      </c>
      <c r="B412" s="5" t="s">
        <v>23706</v>
      </c>
      <c r="C412" s="5" t="s">
        <v>1173</v>
      </c>
      <c r="E412" s="5" t="s">
        <v>4364</v>
      </c>
      <c r="G412" s="5">
        <v>0</v>
      </c>
    </row>
    <row r="413" spans="1:9" ht="12.5">
      <c r="A413" s="5">
        <v>901255412</v>
      </c>
      <c r="B413" s="5" t="s">
        <v>23782</v>
      </c>
      <c r="C413" s="5" t="s">
        <v>2158</v>
      </c>
      <c r="G413" s="5">
        <v>3015379941</v>
      </c>
    </row>
    <row r="414" spans="1:9" ht="12.5">
      <c r="A414" s="5">
        <v>22478611</v>
      </c>
      <c r="B414" s="5" t="s">
        <v>23706</v>
      </c>
      <c r="C414" s="5" t="s">
        <v>3426</v>
      </c>
      <c r="E414" s="5" t="s">
        <v>319</v>
      </c>
      <c r="G414" s="5">
        <v>3007335753</v>
      </c>
    </row>
    <row r="415" spans="1:9" ht="12.5">
      <c r="A415" s="5">
        <v>901001147</v>
      </c>
      <c r="B415" s="5" t="s">
        <v>23782</v>
      </c>
      <c r="C415" s="5" t="s">
        <v>23865</v>
      </c>
      <c r="E415" s="5" t="s">
        <v>2173</v>
      </c>
      <c r="G415" s="5">
        <v>3003006459</v>
      </c>
    </row>
    <row r="416" spans="1:9" ht="12.5">
      <c r="A416" s="5">
        <v>900467904</v>
      </c>
      <c r="B416" s="5" t="s">
        <v>23706</v>
      </c>
      <c r="C416" s="5" t="s">
        <v>2178</v>
      </c>
      <c r="G416" s="5">
        <v>3015669546</v>
      </c>
    </row>
    <row r="417" spans="1:9" ht="12.5">
      <c r="A417" s="5">
        <v>1001817877</v>
      </c>
      <c r="B417" s="5" t="s">
        <v>23706</v>
      </c>
      <c r="C417" s="5" t="s">
        <v>2239</v>
      </c>
      <c r="E417" s="5" t="s">
        <v>2240</v>
      </c>
      <c r="G417" s="5">
        <v>3004281258</v>
      </c>
    </row>
    <row r="418" spans="1:9" ht="12.5">
      <c r="A418" s="5">
        <v>1007263531</v>
      </c>
      <c r="B418" s="5" t="s">
        <v>23706</v>
      </c>
      <c r="C418" s="5" t="s">
        <v>23866</v>
      </c>
      <c r="E418" s="5" t="s">
        <v>8644</v>
      </c>
      <c r="G418" s="5">
        <v>3182778929</v>
      </c>
    </row>
    <row r="419" spans="1:9" ht="12.5">
      <c r="A419" s="5">
        <v>2407582260</v>
      </c>
      <c r="B419" s="5" t="s">
        <v>23706</v>
      </c>
      <c r="C419" s="5" t="s">
        <v>2186</v>
      </c>
      <c r="E419" s="5" t="s">
        <v>31</v>
      </c>
      <c r="G419" s="5">
        <v>2407582260</v>
      </c>
    </row>
    <row r="420" spans="1:9" ht="12.5">
      <c r="A420" s="5">
        <v>901888751</v>
      </c>
      <c r="B420" s="5" t="s">
        <v>23782</v>
      </c>
      <c r="C420" s="5" t="s">
        <v>2201</v>
      </c>
      <c r="E420" s="5"/>
      <c r="G420" s="5">
        <v>3204899499</v>
      </c>
      <c r="I420" s="5" t="s">
        <v>23867</v>
      </c>
    </row>
    <row r="421" spans="1:9" ht="12.5">
      <c r="A421" s="5">
        <v>1140869145</v>
      </c>
      <c r="B421" s="5" t="s">
        <v>23706</v>
      </c>
      <c r="C421" s="5" t="s">
        <v>665</v>
      </c>
      <c r="E421" s="5" t="s">
        <v>399</v>
      </c>
      <c r="G421" s="5">
        <v>3157661816</v>
      </c>
    </row>
    <row r="422" spans="1:9" ht="12.5">
      <c r="A422" s="5">
        <v>1029720257</v>
      </c>
      <c r="B422" s="5" t="s">
        <v>23706</v>
      </c>
      <c r="C422" s="5" t="s">
        <v>4207</v>
      </c>
      <c r="E422" s="5" t="s">
        <v>23868</v>
      </c>
      <c r="G422" s="5">
        <v>3177320217</v>
      </c>
    </row>
    <row r="423" spans="1:9" ht="12.5">
      <c r="A423" s="5">
        <v>72047031</v>
      </c>
      <c r="B423" s="5" t="s">
        <v>23706</v>
      </c>
      <c r="C423" s="5" t="s">
        <v>1773</v>
      </c>
      <c r="E423" s="5" t="s">
        <v>23869</v>
      </c>
      <c r="G423" s="5">
        <v>3246881935</v>
      </c>
    </row>
    <row r="424" spans="1:9" ht="12.5">
      <c r="A424" s="5">
        <v>1124020376</v>
      </c>
      <c r="B424" s="5" t="s">
        <v>23706</v>
      </c>
      <c r="C424" s="5" t="s">
        <v>23870</v>
      </c>
      <c r="E424" s="5" t="s">
        <v>4169</v>
      </c>
      <c r="G424" s="5">
        <v>3138471335</v>
      </c>
    </row>
    <row r="425" spans="1:9" ht="12.5">
      <c r="A425" s="5">
        <v>1140902834</v>
      </c>
      <c r="B425" s="5" t="s">
        <v>23706</v>
      </c>
      <c r="C425" s="5" t="s">
        <v>2246</v>
      </c>
      <c r="E425" s="5" t="s">
        <v>23871</v>
      </c>
      <c r="G425" s="5">
        <v>3008513485</v>
      </c>
    </row>
    <row r="426" spans="1:9" ht="12.5">
      <c r="A426" s="5">
        <v>36623647</v>
      </c>
      <c r="B426" s="5" t="s">
        <v>23706</v>
      </c>
      <c r="C426" s="5" t="s">
        <v>2231</v>
      </c>
      <c r="E426" s="5" t="s">
        <v>2232</v>
      </c>
      <c r="G426" s="5">
        <v>3135132627</v>
      </c>
    </row>
    <row r="427" spans="1:9" ht="12.5">
      <c r="A427" s="5">
        <v>1129505920</v>
      </c>
      <c r="B427" s="5" t="s">
        <v>23706</v>
      </c>
      <c r="C427" s="5" t="s">
        <v>2236</v>
      </c>
      <c r="E427" s="5" t="s">
        <v>2237</v>
      </c>
      <c r="G427" s="5">
        <v>0</v>
      </c>
    </row>
    <row r="428" spans="1:9" ht="12.5">
      <c r="A428" s="5">
        <v>1005626262</v>
      </c>
      <c r="B428" s="5" t="s">
        <v>23706</v>
      </c>
      <c r="C428" s="5" t="s">
        <v>23872</v>
      </c>
      <c r="E428" s="5" t="s">
        <v>23873</v>
      </c>
      <c r="G428" s="5">
        <v>3135807122</v>
      </c>
    </row>
    <row r="429" spans="1:9" ht="12.5">
      <c r="A429" s="5">
        <v>1136881264</v>
      </c>
      <c r="B429" s="5" t="s">
        <v>23706</v>
      </c>
      <c r="C429" s="5" t="s">
        <v>23874</v>
      </c>
      <c r="E429" s="5" t="s">
        <v>2273</v>
      </c>
      <c r="G429" s="5">
        <v>0</v>
      </c>
    </row>
    <row r="430" spans="1:9" ht="12.5">
      <c r="A430" s="5">
        <v>1002207750</v>
      </c>
      <c r="B430" s="5" t="s">
        <v>23706</v>
      </c>
      <c r="C430" s="5" t="s">
        <v>1719</v>
      </c>
      <c r="E430" s="5" t="s">
        <v>2658</v>
      </c>
      <c r="G430" s="5">
        <v>3043765061</v>
      </c>
    </row>
    <row r="431" spans="1:9" ht="12.5">
      <c r="B431" s="5" t="s">
        <v>23706</v>
      </c>
      <c r="C431" s="5" t="s">
        <v>1200</v>
      </c>
      <c r="E431" s="5" t="s">
        <v>2277</v>
      </c>
      <c r="G431" s="5">
        <v>3157215229</v>
      </c>
    </row>
    <row r="432" spans="1:9" ht="12.5">
      <c r="A432" s="5">
        <v>1002159627</v>
      </c>
      <c r="B432" s="5" t="s">
        <v>23706</v>
      </c>
      <c r="C432" s="5" t="s">
        <v>1719</v>
      </c>
      <c r="E432" s="5" t="s">
        <v>2368</v>
      </c>
      <c r="G432" s="5">
        <v>3024031066</v>
      </c>
    </row>
    <row r="433" spans="1:9" ht="12.5">
      <c r="A433" s="5">
        <v>55313640</v>
      </c>
      <c r="B433" s="5" t="s">
        <v>23706</v>
      </c>
      <c r="C433" s="5" t="s">
        <v>2282</v>
      </c>
      <c r="E433" s="5" t="s">
        <v>2283</v>
      </c>
      <c r="G433" s="5">
        <v>3006548603</v>
      </c>
    </row>
    <row r="434" spans="1:9" ht="12.5">
      <c r="A434" s="5">
        <v>1140846280</v>
      </c>
      <c r="B434" s="5" t="s">
        <v>23706</v>
      </c>
      <c r="C434" s="5" t="s">
        <v>2296</v>
      </c>
      <c r="E434" s="5" t="s">
        <v>2297</v>
      </c>
      <c r="G434" s="5">
        <v>3183773739</v>
      </c>
    </row>
    <row r="435" spans="1:9" ht="12.5">
      <c r="A435" s="5">
        <v>1140895828</v>
      </c>
      <c r="B435" s="5" t="s">
        <v>23706</v>
      </c>
      <c r="C435" s="5" t="s">
        <v>2293</v>
      </c>
      <c r="E435" s="5" t="s">
        <v>2294</v>
      </c>
      <c r="G435" s="5">
        <v>3183960995</v>
      </c>
    </row>
    <row r="436" spans="1:9" ht="12.5">
      <c r="A436" s="5">
        <v>1082889192</v>
      </c>
      <c r="B436" s="5" t="s">
        <v>23706</v>
      </c>
      <c r="C436" s="5" t="s">
        <v>1184</v>
      </c>
      <c r="E436" s="5" t="s">
        <v>2305</v>
      </c>
      <c r="G436" s="5">
        <v>3150704749</v>
      </c>
    </row>
    <row r="437" spans="1:9" ht="12.5">
      <c r="A437" s="5">
        <v>1125269531</v>
      </c>
      <c r="B437" s="5" t="s">
        <v>23706</v>
      </c>
      <c r="C437" s="5" t="s">
        <v>2293</v>
      </c>
      <c r="E437" s="5" t="s">
        <v>23875</v>
      </c>
      <c r="G437" s="5">
        <v>168307302</v>
      </c>
    </row>
    <row r="438" spans="1:9" ht="12.5">
      <c r="A438" s="5">
        <v>1001818269</v>
      </c>
      <c r="B438" s="5" t="s">
        <v>23706</v>
      </c>
      <c r="C438" s="5" t="s">
        <v>283</v>
      </c>
      <c r="E438" s="5" t="s">
        <v>2319</v>
      </c>
      <c r="G438" s="5">
        <v>3218795753</v>
      </c>
    </row>
    <row r="439" spans="1:9" ht="12.5">
      <c r="A439" s="5">
        <v>99666278</v>
      </c>
      <c r="B439" s="5" t="s">
        <v>23706</v>
      </c>
      <c r="C439" s="5" t="s">
        <v>1026</v>
      </c>
      <c r="E439" s="5" t="s">
        <v>2311</v>
      </c>
      <c r="G439" s="5">
        <v>3166180703</v>
      </c>
    </row>
    <row r="440" spans="1:9" ht="12.5">
      <c r="A440" s="5">
        <v>0</v>
      </c>
      <c r="B440" s="5" t="s">
        <v>23706</v>
      </c>
      <c r="C440" s="5" t="s">
        <v>2397</v>
      </c>
      <c r="E440" s="5" t="s">
        <v>2398</v>
      </c>
      <c r="G440" s="5">
        <v>3053441761</v>
      </c>
    </row>
    <row r="441" spans="1:9" ht="12.5">
      <c r="A441" s="5">
        <v>1098744908</v>
      </c>
      <c r="B441" s="5" t="s">
        <v>23706</v>
      </c>
      <c r="C441" s="5" t="s">
        <v>84</v>
      </c>
      <c r="E441" s="5" t="s">
        <v>2038</v>
      </c>
      <c r="G441" s="5">
        <v>3043835435</v>
      </c>
    </row>
    <row r="442" spans="1:9" ht="12.5">
      <c r="A442" s="5">
        <v>1045742501</v>
      </c>
      <c r="B442" s="5" t="s">
        <v>23706</v>
      </c>
      <c r="C442" s="5" t="s">
        <v>2324</v>
      </c>
      <c r="E442" s="5" t="s">
        <v>227</v>
      </c>
      <c r="G442" s="5">
        <v>3015861068</v>
      </c>
    </row>
    <row r="443" spans="1:9" ht="12.5">
      <c r="A443" s="5">
        <v>1192796434</v>
      </c>
      <c r="B443" s="5" t="s">
        <v>23706</v>
      </c>
      <c r="C443" s="5" t="s">
        <v>2333</v>
      </c>
      <c r="E443" s="5" t="s">
        <v>2334</v>
      </c>
      <c r="G443" s="5">
        <v>3022820242</v>
      </c>
    </row>
    <row r="444" spans="1:9" ht="12.5">
      <c r="A444" s="5">
        <v>1042850218</v>
      </c>
      <c r="B444" s="5" t="s">
        <v>23706</v>
      </c>
      <c r="C444" s="5" t="s">
        <v>2293</v>
      </c>
      <c r="E444" s="5" t="s">
        <v>6441</v>
      </c>
      <c r="G444" s="5">
        <v>3041481574</v>
      </c>
    </row>
    <row r="445" spans="1:9" ht="12.5">
      <c r="A445" s="5">
        <v>1001822855</v>
      </c>
      <c r="B445" s="5" t="s">
        <v>23706</v>
      </c>
      <c r="C445" s="5" t="s">
        <v>297</v>
      </c>
      <c r="E445" s="5" t="s">
        <v>2328</v>
      </c>
      <c r="G445" s="5">
        <v>3014235619</v>
      </c>
    </row>
    <row r="446" spans="1:9" ht="12.5">
      <c r="A446" s="5">
        <v>72163074</v>
      </c>
      <c r="B446" s="5" t="s">
        <v>23706</v>
      </c>
      <c r="C446" s="5" t="s">
        <v>23876</v>
      </c>
      <c r="E446" s="5" t="s">
        <v>2341</v>
      </c>
      <c r="G446" s="5">
        <v>3012037810</v>
      </c>
    </row>
    <row r="447" spans="1:9" ht="12.5">
      <c r="A447" s="5">
        <v>1140829113</v>
      </c>
      <c r="B447" s="5" t="s">
        <v>23706</v>
      </c>
      <c r="C447" s="5" t="s">
        <v>14093</v>
      </c>
      <c r="E447" s="5"/>
      <c r="G447" s="5">
        <v>31062106376698</v>
      </c>
      <c r="I447" s="5" t="s">
        <v>23877</v>
      </c>
    </row>
    <row r="448" spans="1:9" ht="12.5">
      <c r="A448" s="5">
        <v>1048067722</v>
      </c>
      <c r="B448" s="5" t="s">
        <v>23706</v>
      </c>
      <c r="C448" s="5" t="s">
        <v>14034</v>
      </c>
      <c r="E448" s="5"/>
      <c r="G448" s="5">
        <v>3043117743</v>
      </c>
    </row>
    <row r="449" spans="1:7" ht="12.5">
      <c r="A449" s="5">
        <v>1234097527</v>
      </c>
      <c r="B449" s="5" t="s">
        <v>23706</v>
      </c>
      <c r="C449" s="5" t="s">
        <v>454</v>
      </c>
      <c r="E449" s="5" t="s">
        <v>9422</v>
      </c>
      <c r="G449" s="10" t="s">
        <v>23878</v>
      </c>
    </row>
    <row r="450" spans="1:7" ht="12.5">
      <c r="A450" s="5">
        <v>1010122581</v>
      </c>
      <c r="B450" s="5" t="s">
        <v>23706</v>
      </c>
      <c r="C450" s="5" t="s">
        <v>2361</v>
      </c>
      <c r="E450" s="5" t="s">
        <v>2362</v>
      </c>
      <c r="G450" s="5">
        <v>3176676303</v>
      </c>
    </row>
    <row r="451" spans="1:7" ht="12.5">
      <c r="A451" s="5">
        <v>1001917229</v>
      </c>
      <c r="B451" s="5" t="s">
        <v>23706</v>
      </c>
      <c r="C451" s="5" t="s">
        <v>2389</v>
      </c>
      <c r="E451" s="5" t="s">
        <v>2390</v>
      </c>
      <c r="G451" s="5">
        <v>3016686619</v>
      </c>
    </row>
    <row r="452" spans="1:7" ht="12.5">
      <c r="A452" s="5">
        <v>1129575991</v>
      </c>
      <c r="B452" s="5" t="s">
        <v>23706</v>
      </c>
      <c r="C452" s="5" t="s">
        <v>2652</v>
      </c>
      <c r="E452" s="5" t="s">
        <v>2368</v>
      </c>
      <c r="G452" s="5">
        <v>3007302234</v>
      </c>
    </row>
    <row r="453" spans="1:7" ht="12.5">
      <c r="A453" s="5">
        <v>1122722201</v>
      </c>
      <c r="B453" s="5" t="s">
        <v>23706</v>
      </c>
      <c r="C453" s="5" t="s">
        <v>2379</v>
      </c>
      <c r="E453" s="5" t="s">
        <v>498</v>
      </c>
      <c r="G453" s="5">
        <v>3014888021</v>
      </c>
    </row>
    <row r="454" spans="1:7" ht="12.5">
      <c r="A454" s="5">
        <v>901876344</v>
      </c>
      <c r="B454" s="5" t="s">
        <v>23706</v>
      </c>
      <c r="C454" s="5" t="s">
        <v>2376</v>
      </c>
      <c r="E454" s="5" t="s">
        <v>2159</v>
      </c>
      <c r="G454" s="5">
        <v>3106623313</v>
      </c>
    </row>
    <row r="455" spans="1:7" ht="12.5">
      <c r="A455" s="5">
        <v>22735060</v>
      </c>
      <c r="B455" s="5" t="s">
        <v>23706</v>
      </c>
      <c r="C455" s="5" t="s">
        <v>2385</v>
      </c>
      <c r="E455" s="5" t="s">
        <v>2386</v>
      </c>
      <c r="G455" s="5">
        <v>3042145559</v>
      </c>
    </row>
    <row r="456" spans="1:7" ht="12.5">
      <c r="A456" s="5">
        <v>1006957748</v>
      </c>
      <c r="B456" s="5" t="s">
        <v>23706</v>
      </c>
      <c r="C456" s="5" t="s">
        <v>2401</v>
      </c>
      <c r="E456" s="5" t="s">
        <v>2402</v>
      </c>
      <c r="G456" s="5">
        <v>3043833544</v>
      </c>
    </row>
    <row r="457" spans="1:7" ht="12.5">
      <c r="A457" s="5">
        <v>901876344</v>
      </c>
      <c r="B457" s="5" t="s">
        <v>23782</v>
      </c>
      <c r="C457" s="5" t="s">
        <v>2409</v>
      </c>
      <c r="G457" s="5">
        <v>3106623313</v>
      </c>
    </row>
    <row r="458" spans="1:7" ht="12.5">
      <c r="A458" s="5">
        <v>12546723</v>
      </c>
      <c r="B458" s="5" t="s">
        <v>23706</v>
      </c>
      <c r="C458" s="5" t="s">
        <v>23879</v>
      </c>
      <c r="E458" s="5" t="s">
        <v>2413</v>
      </c>
      <c r="G458" s="5">
        <v>3134163639</v>
      </c>
    </row>
    <row r="459" spans="1:7" ht="12.5">
      <c r="A459" s="5">
        <v>1140845909</v>
      </c>
      <c r="B459" s="5" t="s">
        <v>23706</v>
      </c>
      <c r="C459" s="5" t="s">
        <v>2418</v>
      </c>
      <c r="E459" s="5" t="s">
        <v>2419</v>
      </c>
      <c r="G459" s="5" t="s">
        <v>23880</v>
      </c>
    </row>
    <row r="460" spans="1:7" ht="12.5">
      <c r="A460" s="5">
        <v>0</v>
      </c>
      <c r="B460" s="5" t="s">
        <v>23706</v>
      </c>
      <c r="C460" s="5" t="s">
        <v>23765</v>
      </c>
      <c r="E460" s="5" t="s">
        <v>2423</v>
      </c>
      <c r="G460" s="5">
        <v>3016391435</v>
      </c>
    </row>
    <row r="461" spans="1:7" ht="12.5">
      <c r="A461" s="5">
        <v>55304172</v>
      </c>
      <c r="B461" s="5" t="s">
        <v>23706</v>
      </c>
      <c r="C461" s="5" t="s">
        <v>23881</v>
      </c>
      <c r="E461" s="5" t="s">
        <v>2429</v>
      </c>
      <c r="G461" s="5">
        <v>3017925190</v>
      </c>
    </row>
    <row r="462" spans="1:7" ht="12.5">
      <c r="A462" s="5">
        <v>7907721</v>
      </c>
      <c r="B462" s="5" t="s">
        <v>23706</v>
      </c>
      <c r="C462" s="5" t="s">
        <v>2434</v>
      </c>
      <c r="E462" s="5" t="s">
        <v>2435</v>
      </c>
      <c r="G462" s="5">
        <v>3008623546</v>
      </c>
    </row>
    <row r="463" spans="1:7" ht="12.5">
      <c r="A463" s="5">
        <v>1002210547</v>
      </c>
      <c r="B463" s="5" t="s">
        <v>23706</v>
      </c>
      <c r="C463" s="5" t="s">
        <v>158</v>
      </c>
      <c r="E463" s="5" t="s">
        <v>2447</v>
      </c>
      <c r="G463" s="5">
        <v>3135270850</v>
      </c>
    </row>
    <row r="464" spans="1:7" ht="12.5">
      <c r="A464" s="5">
        <v>9006172673</v>
      </c>
      <c r="B464" s="5" t="s">
        <v>23706</v>
      </c>
      <c r="C464" s="5" t="s">
        <v>2440</v>
      </c>
      <c r="G464" s="5">
        <v>3114188906</v>
      </c>
    </row>
    <row r="465" spans="1:9" ht="12.5">
      <c r="A465" s="5">
        <v>1140890417</v>
      </c>
      <c r="B465" s="5" t="s">
        <v>23706</v>
      </c>
      <c r="C465" s="5" t="s">
        <v>825</v>
      </c>
      <c r="E465" s="5" t="s">
        <v>23882</v>
      </c>
      <c r="G465" s="5">
        <v>3160813930</v>
      </c>
    </row>
    <row r="466" spans="1:9" ht="12.5">
      <c r="A466" s="5">
        <v>1140895461</v>
      </c>
      <c r="B466" s="5" t="s">
        <v>23706</v>
      </c>
      <c r="C466" s="5" t="s">
        <v>1216</v>
      </c>
      <c r="E466" s="5" t="s">
        <v>8927</v>
      </c>
      <c r="G466" s="5">
        <v>3145404704</v>
      </c>
      <c r="I466" s="5" t="s">
        <v>23883</v>
      </c>
    </row>
    <row r="467" spans="1:9" ht="12.5">
      <c r="A467" s="5">
        <v>79154272</v>
      </c>
      <c r="B467" s="5" t="s">
        <v>23706</v>
      </c>
      <c r="C467" s="5" t="s">
        <v>2452</v>
      </c>
      <c r="E467" s="5" t="s">
        <v>2453</v>
      </c>
      <c r="G467" s="5">
        <v>0</v>
      </c>
    </row>
    <row r="468" spans="1:9" ht="12.5">
      <c r="A468" s="5">
        <v>1065823920</v>
      </c>
      <c r="B468" s="5" t="s">
        <v>23706</v>
      </c>
      <c r="C468" s="5" t="s">
        <v>12552</v>
      </c>
      <c r="E468" s="5"/>
      <c r="G468" s="5">
        <v>3015266031</v>
      </c>
      <c r="I468" s="5" t="s">
        <v>23884</v>
      </c>
    </row>
    <row r="469" spans="1:9" ht="12.5">
      <c r="A469" s="5">
        <v>1140837600</v>
      </c>
      <c r="B469" s="5" t="s">
        <v>23706</v>
      </c>
      <c r="C469" s="5" t="s">
        <v>2500</v>
      </c>
      <c r="E469" s="5" t="s">
        <v>2501</v>
      </c>
      <c r="G469" s="5">
        <v>3005778957</v>
      </c>
      <c r="I469" s="5" t="s">
        <v>23885</v>
      </c>
    </row>
    <row r="470" spans="1:9" ht="12.5">
      <c r="A470" s="5">
        <v>1044427226</v>
      </c>
      <c r="B470" s="5" t="s">
        <v>23706</v>
      </c>
      <c r="C470" s="5" t="s">
        <v>2461</v>
      </c>
      <c r="E470" s="5" t="s">
        <v>2462</v>
      </c>
      <c r="G470" s="5">
        <v>3015540860</v>
      </c>
    </row>
    <row r="471" spans="1:9" ht="12.5">
      <c r="A471" s="5">
        <v>0</v>
      </c>
      <c r="B471" s="5" t="s">
        <v>23706</v>
      </c>
      <c r="C471" s="5" t="s">
        <v>2471</v>
      </c>
      <c r="E471" s="5" t="s">
        <v>2472</v>
      </c>
      <c r="G471" s="5">
        <v>3113043191</v>
      </c>
    </row>
    <row r="472" spans="1:9" ht="12.5">
      <c r="A472" s="5">
        <v>900832514</v>
      </c>
      <c r="B472" s="5" t="s">
        <v>23782</v>
      </c>
      <c r="C472" s="5" t="s">
        <v>2478</v>
      </c>
      <c r="G472" s="5">
        <v>3167523792</v>
      </c>
    </row>
    <row r="473" spans="1:9" ht="12.5">
      <c r="A473" s="5">
        <v>80874082</v>
      </c>
      <c r="B473" s="5" t="s">
        <v>23706</v>
      </c>
      <c r="C473" s="5" t="s">
        <v>1702</v>
      </c>
      <c r="E473" s="5" t="s">
        <v>2481</v>
      </c>
      <c r="G473" s="5">
        <v>3212433430</v>
      </c>
    </row>
    <row r="474" spans="1:9" ht="12.5">
      <c r="A474" s="5">
        <v>5522003</v>
      </c>
      <c r="B474" s="5" t="s">
        <v>23706</v>
      </c>
      <c r="C474" s="5" t="s">
        <v>2485</v>
      </c>
      <c r="E474" s="5" t="s">
        <v>1968</v>
      </c>
      <c r="G474" s="5">
        <v>314564920</v>
      </c>
    </row>
    <row r="475" spans="1:9" ht="12.5">
      <c r="A475" s="5">
        <v>441135</v>
      </c>
      <c r="B475" s="5" t="s">
        <v>23706</v>
      </c>
      <c r="C475" s="5" t="s">
        <v>14487</v>
      </c>
      <c r="E475" s="5"/>
      <c r="G475" s="10" t="s">
        <v>23886</v>
      </c>
      <c r="I475" s="5" t="s">
        <v>23887</v>
      </c>
    </row>
    <row r="476" spans="1:9" ht="12.5">
      <c r="A476" s="5">
        <v>22533618</v>
      </c>
      <c r="B476" s="5" t="s">
        <v>23706</v>
      </c>
      <c r="C476" s="5" t="s">
        <v>2494</v>
      </c>
      <c r="E476" s="5" t="s">
        <v>2495</v>
      </c>
      <c r="G476" s="5">
        <v>3017713595</v>
      </c>
    </row>
    <row r="477" spans="1:9" ht="12.5">
      <c r="A477" s="5">
        <v>1129575427</v>
      </c>
      <c r="B477" s="5" t="s">
        <v>23706</v>
      </c>
      <c r="C477" s="5" t="s">
        <v>290</v>
      </c>
      <c r="E477" s="5" t="s">
        <v>5529</v>
      </c>
      <c r="G477" s="10" t="s">
        <v>23888</v>
      </c>
      <c r="I477" s="5" t="s">
        <v>23889</v>
      </c>
    </row>
    <row r="478" spans="1:9" ht="12.5">
      <c r="A478" s="5">
        <v>72292061</v>
      </c>
      <c r="B478" s="5" t="s">
        <v>23706</v>
      </c>
      <c r="C478" s="5" t="s">
        <v>4254</v>
      </c>
      <c r="E478" s="5" t="s">
        <v>7757</v>
      </c>
      <c r="G478" s="5">
        <v>3152500267</v>
      </c>
      <c r="I478" s="5" t="s">
        <v>23890</v>
      </c>
    </row>
    <row r="479" spans="1:9" ht="12.5">
      <c r="A479" s="5">
        <v>32740632</v>
      </c>
      <c r="B479" s="5" t="s">
        <v>23706</v>
      </c>
      <c r="C479" s="5" t="s">
        <v>2522</v>
      </c>
      <c r="E479" s="5" t="s">
        <v>2523</v>
      </c>
      <c r="G479" s="5">
        <v>3215418318</v>
      </c>
    </row>
    <row r="480" spans="1:9" ht="12.5">
      <c r="A480" s="5">
        <v>1002207850</v>
      </c>
      <c r="B480" s="5" t="s">
        <v>23706</v>
      </c>
      <c r="C480" s="5" t="s">
        <v>182</v>
      </c>
      <c r="E480" s="5" t="s">
        <v>2517</v>
      </c>
      <c r="G480" s="5">
        <v>3024221600</v>
      </c>
    </row>
    <row r="481" spans="1:7" ht="12.5">
      <c r="A481" s="5">
        <v>1045752911</v>
      </c>
      <c r="B481" s="5" t="s">
        <v>23706</v>
      </c>
      <c r="C481" s="5" t="s">
        <v>23891</v>
      </c>
      <c r="E481" s="5" t="s">
        <v>2541</v>
      </c>
      <c r="G481" s="5">
        <v>3002242392</v>
      </c>
    </row>
    <row r="482" spans="1:7" ht="12.5">
      <c r="A482" s="5">
        <v>72173661</v>
      </c>
      <c r="B482" s="5" t="s">
        <v>23706</v>
      </c>
      <c r="C482" s="5" t="s">
        <v>2551</v>
      </c>
      <c r="E482" s="5" t="s">
        <v>2552</v>
      </c>
      <c r="G482" s="5">
        <v>3045355509</v>
      </c>
    </row>
    <row r="483" spans="1:7" ht="12.5">
      <c r="A483" s="5">
        <v>1044614111</v>
      </c>
      <c r="B483" s="5" t="s">
        <v>23706</v>
      </c>
      <c r="C483" s="5" t="s">
        <v>2533</v>
      </c>
      <c r="E483" s="5" t="s">
        <v>2534</v>
      </c>
      <c r="G483" s="5">
        <v>3185104956</v>
      </c>
    </row>
    <row r="484" spans="1:7" ht="12.5">
      <c r="A484" s="5">
        <v>1140824039</v>
      </c>
      <c r="B484" s="5" t="s">
        <v>23706</v>
      </c>
      <c r="C484" s="5" t="s">
        <v>2559</v>
      </c>
      <c r="E484" s="5" t="s">
        <v>2560</v>
      </c>
      <c r="G484" s="5">
        <v>3004073572</v>
      </c>
    </row>
    <row r="485" spans="1:7" ht="12.5">
      <c r="A485" s="5">
        <v>1148434782</v>
      </c>
      <c r="B485" s="5" t="s">
        <v>23706</v>
      </c>
      <c r="C485" s="5" t="s">
        <v>1773</v>
      </c>
      <c r="E485" s="5" t="s">
        <v>591</v>
      </c>
      <c r="G485" s="5">
        <v>3187428672</v>
      </c>
    </row>
    <row r="486" spans="1:7" ht="12.5">
      <c r="A486" s="5">
        <v>1124031694</v>
      </c>
      <c r="B486" s="5" t="s">
        <v>23706</v>
      </c>
      <c r="C486" s="5" t="s">
        <v>2565</v>
      </c>
      <c r="E486" s="5" t="s">
        <v>2566</v>
      </c>
      <c r="G486" s="5">
        <v>3235841924</v>
      </c>
    </row>
    <row r="487" spans="1:7" ht="12.5">
      <c r="A487" s="5">
        <v>1082975028</v>
      </c>
      <c r="B487" s="5" t="s">
        <v>23706</v>
      </c>
      <c r="C487" s="5" t="s">
        <v>10023</v>
      </c>
      <c r="E487" s="5" t="s">
        <v>2622</v>
      </c>
      <c r="G487" s="5">
        <v>3005502759</v>
      </c>
    </row>
    <row r="488" spans="1:7" ht="12.5">
      <c r="A488" s="5">
        <v>3272853</v>
      </c>
      <c r="B488" s="5" t="s">
        <v>23706</v>
      </c>
      <c r="C488" s="5" t="s">
        <v>2627</v>
      </c>
      <c r="E488" s="5" t="s">
        <v>2628</v>
      </c>
      <c r="G488" s="5">
        <v>3175052734</v>
      </c>
    </row>
    <row r="489" spans="1:7" ht="12.5">
      <c r="A489" s="5">
        <v>72015286</v>
      </c>
      <c r="B489" s="5" t="s">
        <v>23706</v>
      </c>
      <c r="C489" s="5" t="s">
        <v>2575</v>
      </c>
      <c r="E489" s="5" t="s">
        <v>2368</v>
      </c>
      <c r="G489" s="5">
        <v>3114248694</v>
      </c>
    </row>
    <row r="490" spans="1:7" ht="12.5">
      <c r="A490" s="5">
        <v>22667303</v>
      </c>
      <c r="B490" s="5" t="s">
        <v>23706</v>
      </c>
      <c r="C490" s="5" t="s">
        <v>2582</v>
      </c>
      <c r="E490" s="5" t="s">
        <v>2583</v>
      </c>
      <c r="G490" s="5">
        <v>3004511916</v>
      </c>
    </row>
    <row r="491" spans="1:7" ht="12.5">
      <c r="A491" s="5">
        <v>1140861045</v>
      </c>
      <c r="B491" s="5" t="s">
        <v>23706</v>
      </c>
      <c r="C491" s="5" t="s">
        <v>2613</v>
      </c>
      <c r="E491" s="5" t="s">
        <v>2614</v>
      </c>
      <c r="G491" s="5">
        <v>3008198792</v>
      </c>
    </row>
    <row r="492" spans="1:7" ht="12.5">
      <c r="A492" s="5">
        <v>32727702</v>
      </c>
      <c r="B492" s="5" t="s">
        <v>23706</v>
      </c>
      <c r="C492" s="5" t="s">
        <v>23892</v>
      </c>
      <c r="E492" s="5" t="s">
        <v>441</v>
      </c>
      <c r="G492" s="5">
        <v>3205215995</v>
      </c>
    </row>
    <row r="493" spans="1:7" ht="12.5">
      <c r="A493" s="5">
        <v>1002158632</v>
      </c>
      <c r="B493" s="5" t="s">
        <v>23706</v>
      </c>
      <c r="C493" s="5" t="s">
        <v>190</v>
      </c>
      <c r="E493" s="5" t="s">
        <v>2664</v>
      </c>
      <c r="G493" s="5">
        <v>3178934604</v>
      </c>
    </row>
    <row r="494" spans="1:7" ht="12.5">
      <c r="A494" s="5">
        <v>32719120</v>
      </c>
      <c r="B494" s="5" t="s">
        <v>23706</v>
      </c>
      <c r="C494" s="5" t="s">
        <v>2594</v>
      </c>
      <c r="E494" s="5" t="s">
        <v>2595</v>
      </c>
      <c r="G494" s="5">
        <v>3157183766</v>
      </c>
    </row>
    <row r="495" spans="1:7" ht="12.5">
      <c r="A495" s="5">
        <v>1118871630</v>
      </c>
      <c r="B495" s="5" t="s">
        <v>23706</v>
      </c>
      <c r="C495" s="5" t="s">
        <v>1918</v>
      </c>
      <c r="E495" s="5" t="s">
        <v>2598</v>
      </c>
      <c r="G495" s="5">
        <v>3168664030</v>
      </c>
    </row>
    <row r="496" spans="1:7" ht="12.5">
      <c r="A496" s="5">
        <v>1140890171</v>
      </c>
      <c r="B496" s="5" t="s">
        <v>23706</v>
      </c>
      <c r="C496" s="5" t="s">
        <v>2600</v>
      </c>
      <c r="E496" s="5" t="s">
        <v>1344</v>
      </c>
      <c r="G496" s="5">
        <v>3046526056</v>
      </c>
    </row>
    <row r="497" spans="1:7" ht="12.5">
      <c r="A497" s="5">
        <v>45507418</v>
      </c>
      <c r="B497" s="5" t="s">
        <v>23706</v>
      </c>
      <c r="C497" s="5" t="s">
        <v>2605</v>
      </c>
      <c r="E497" s="5" t="s">
        <v>2606</v>
      </c>
      <c r="G497" s="5">
        <v>3019085103</v>
      </c>
    </row>
    <row r="498" spans="1:7" ht="12.5">
      <c r="A498" s="5">
        <v>56136975</v>
      </c>
      <c r="B498" s="5" t="s">
        <v>23706</v>
      </c>
      <c r="C498" s="5" t="s">
        <v>2652</v>
      </c>
      <c r="E498" s="5" t="s">
        <v>2653</v>
      </c>
      <c r="G498" s="5">
        <v>17066167216</v>
      </c>
    </row>
    <row r="499" spans="1:7" ht="12.5">
      <c r="A499" s="5">
        <v>1193470238</v>
      </c>
      <c r="B499" s="5" t="s">
        <v>23706</v>
      </c>
      <c r="C499" s="5" t="s">
        <v>1935</v>
      </c>
      <c r="E499" s="5" t="s">
        <v>2620</v>
      </c>
      <c r="G499" s="5">
        <v>3146663091</v>
      </c>
    </row>
    <row r="500" spans="1:7" ht="12.5">
      <c r="A500" s="5">
        <v>1044428111</v>
      </c>
      <c r="B500" s="5" t="s">
        <v>23706</v>
      </c>
      <c r="C500" s="5" t="s">
        <v>297</v>
      </c>
      <c r="E500" s="5" t="s">
        <v>2622</v>
      </c>
      <c r="G500" s="5">
        <v>3002912259</v>
      </c>
    </row>
    <row r="501" spans="1:7" ht="12.5">
      <c r="A501" s="5">
        <v>1003433653</v>
      </c>
      <c r="B501" s="5" t="s">
        <v>23706</v>
      </c>
      <c r="C501" s="5" t="s">
        <v>595</v>
      </c>
      <c r="E501" s="5" t="s">
        <v>2624</v>
      </c>
      <c r="G501" s="5">
        <v>3003902287</v>
      </c>
    </row>
    <row r="502" spans="1:7" ht="12.5">
      <c r="A502" s="5">
        <v>1001780373</v>
      </c>
      <c r="B502" s="5" t="s">
        <v>23706</v>
      </c>
      <c r="C502" s="5" t="s">
        <v>23893</v>
      </c>
      <c r="E502" s="5" t="s">
        <v>699</v>
      </c>
      <c r="G502" s="5">
        <v>3146418058</v>
      </c>
    </row>
    <row r="503" spans="1:7" ht="12.5">
      <c r="A503" s="5">
        <v>32773466</v>
      </c>
      <c r="B503" s="5" t="s">
        <v>23706</v>
      </c>
      <c r="C503" s="5" t="s">
        <v>921</v>
      </c>
      <c r="E503" s="5" t="s">
        <v>399</v>
      </c>
      <c r="G503" s="5">
        <v>3126522722</v>
      </c>
    </row>
    <row r="504" spans="1:7" ht="12.5">
      <c r="A504" s="5">
        <v>9015860218</v>
      </c>
      <c r="B504" s="5" t="s">
        <v>23782</v>
      </c>
      <c r="C504" s="5" t="s">
        <v>2634</v>
      </c>
      <c r="G504" s="5">
        <v>3015744289</v>
      </c>
    </row>
    <row r="505" spans="1:7" ht="12.5">
      <c r="A505" s="5">
        <v>1043668071</v>
      </c>
      <c r="B505" s="5" t="s">
        <v>23706</v>
      </c>
      <c r="C505" s="5" t="s">
        <v>2361</v>
      </c>
      <c r="E505" s="5" t="s">
        <v>2642</v>
      </c>
      <c r="G505" s="5">
        <v>3006547347</v>
      </c>
    </row>
    <row r="506" spans="1:7" ht="12.5">
      <c r="A506" s="5">
        <v>1062955759</v>
      </c>
      <c r="B506" s="5" t="s">
        <v>23706</v>
      </c>
      <c r="C506" s="5" t="s">
        <v>968</v>
      </c>
      <c r="E506" s="5" t="s">
        <v>2673</v>
      </c>
      <c r="G506" s="5">
        <v>3219670367</v>
      </c>
    </row>
    <row r="507" spans="1:7" ht="12.5">
      <c r="A507" s="5">
        <v>1001818462</v>
      </c>
      <c r="B507" s="5" t="s">
        <v>23706</v>
      </c>
      <c r="C507" s="5" t="s">
        <v>9677</v>
      </c>
      <c r="E507" s="5" t="s">
        <v>8644</v>
      </c>
      <c r="G507" s="5" t="s">
        <v>23894</v>
      </c>
    </row>
    <row r="508" spans="1:7" ht="12.5">
      <c r="A508" s="5">
        <v>1001945648</v>
      </c>
      <c r="B508" s="5" t="s">
        <v>23706</v>
      </c>
      <c r="C508" s="5" t="s">
        <v>2678</v>
      </c>
      <c r="E508" s="5"/>
      <c r="G508" s="5">
        <v>3012527757</v>
      </c>
    </row>
    <row r="509" spans="1:7" ht="12.5">
      <c r="A509" s="5">
        <v>22462773</v>
      </c>
      <c r="B509" s="5" t="s">
        <v>23706</v>
      </c>
      <c r="C509" s="5" t="s">
        <v>521</v>
      </c>
      <c r="E509" s="5" t="s">
        <v>561</v>
      </c>
      <c r="G509" s="5">
        <v>3174986262</v>
      </c>
    </row>
    <row r="510" spans="1:7" ht="12.5">
      <c r="A510" s="5">
        <v>1129583677</v>
      </c>
      <c r="B510" s="5" t="s">
        <v>23706</v>
      </c>
      <c r="C510" s="5" t="s">
        <v>2680</v>
      </c>
      <c r="E510" s="5" t="s">
        <v>2681</v>
      </c>
      <c r="G510" s="5">
        <v>3205950605</v>
      </c>
    </row>
    <row r="511" spans="1:7" ht="12.5">
      <c r="A511" s="5">
        <v>9014496837</v>
      </c>
      <c r="B511" s="5" t="s">
        <v>23782</v>
      </c>
      <c r="C511" s="5" t="s">
        <v>2685</v>
      </c>
      <c r="G511" s="5">
        <v>3045565785</v>
      </c>
    </row>
    <row r="512" spans="1:7" ht="12.5">
      <c r="A512" s="5">
        <v>1121526487</v>
      </c>
      <c r="B512" s="5" t="s">
        <v>23706</v>
      </c>
      <c r="C512" s="5" t="s">
        <v>2692</v>
      </c>
      <c r="E512" s="5" t="s">
        <v>23895</v>
      </c>
      <c r="G512" s="5">
        <v>3005546610</v>
      </c>
    </row>
    <row r="513" spans="1:7" ht="12.5">
      <c r="A513" s="5">
        <v>1042247402</v>
      </c>
      <c r="B513" s="5" t="s">
        <v>23706</v>
      </c>
      <c r="C513" s="5" t="s">
        <v>2698</v>
      </c>
      <c r="E513" s="5" t="s">
        <v>2699</v>
      </c>
      <c r="G513" s="5">
        <v>3046114194</v>
      </c>
    </row>
    <row r="514" spans="1:7" ht="12.5">
      <c r="A514" s="5">
        <v>1140884194</v>
      </c>
      <c r="B514" s="5" t="s">
        <v>23706</v>
      </c>
      <c r="C514" s="5" t="s">
        <v>2701</v>
      </c>
      <c r="E514" s="5" t="s">
        <v>2702</v>
      </c>
      <c r="G514" s="5">
        <v>3004149204</v>
      </c>
    </row>
    <row r="515" spans="1:7" ht="12.5">
      <c r="A515" s="5">
        <v>32747797</v>
      </c>
      <c r="B515" s="5" t="s">
        <v>23706</v>
      </c>
      <c r="C515" s="5" t="s">
        <v>23896</v>
      </c>
      <c r="E515" s="5" t="s">
        <v>2711</v>
      </c>
      <c r="G515" s="5">
        <v>3157076259</v>
      </c>
    </row>
    <row r="516" spans="1:7" ht="12.5">
      <c r="A516" s="5">
        <v>1047214820</v>
      </c>
      <c r="B516" s="5" t="s">
        <v>23706</v>
      </c>
      <c r="C516" s="5" t="s">
        <v>1546</v>
      </c>
      <c r="E516" s="5" t="s">
        <v>9436</v>
      </c>
      <c r="G516" s="5">
        <v>3052776142</v>
      </c>
    </row>
    <row r="517" spans="1:7" ht="12.5">
      <c r="A517" s="5">
        <v>1025062734</v>
      </c>
      <c r="B517" s="5" t="s">
        <v>23706</v>
      </c>
      <c r="C517" s="5" t="s">
        <v>2707</v>
      </c>
      <c r="E517" s="5" t="s">
        <v>2708</v>
      </c>
      <c r="G517" s="5">
        <v>3107725720</v>
      </c>
    </row>
    <row r="518" spans="1:7" ht="12.5">
      <c r="A518" s="5">
        <v>1124006160</v>
      </c>
      <c r="B518" s="5" t="s">
        <v>23706</v>
      </c>
      <c r="C518" s="5" t="s">
        <v>2733</v>
      </c>
      <c r="E518" s="5" t="s">
        <v>8020</v>
      </c>
      <c r="G518" s="5">
        <v>3046718600</v>
      </c>
    </row>
    <row r="519" spans="1:7" ht="12.5">
      <c r="A519" s="5">
        <v>1002211102</v>
      </c>
      <c r="B519" s="5" t="s">
        <v>23706</v>
      </c>
      <c r="C519" s="5" t="s">
        <v>12954</v>
      </c>
      <c r="E519" s="5"/>
      <c r="G519" s="5">
        <v>3144870628</v>
      </c>
    </row>
    <row r="520" spans="1:7" ht="12.5">
      <c r="A520" s="5">
        <v>1140839996</v>
      </c>
      <c r="B520" s="5" t="s">
        <v>23706</v>
      </c>
      <c r="C520" s="5" t="s">
        <v>2721</v>
      </c>
      <c r="E520" s="5" t="s">
        <v>2722</v>
      </c>
      <c r="G520" s="5">
        <v>3145783942</v>
      </c>
    </row>
    <row r="521" spans="1:7" ht="12.5">
      <c r="A521" s="5">
        <v>3738233</v>
      </c>
      <c r="B521" s="5" t="s">
        <v>23706</v>
      </c>
      <c r="C521" s="5" t="s">
        <v>825</v>
      </c>
      <c r="E521" s="5" t="s">
        <v>2726</v>
      </c>
      <c r="G521" s="5">
        <v>3114272219</v>
      </c>
    </row>
    <row r="522" spans="1:7" ht="12.5">
      <c r="A522" s="5">
        <v>1140875286</v>
      </c>
      <c r="B522" s="5" t="s">
        <v>23706</v>
      </c>
      <c r="C522" s="5" t="s">
        <v>2533</v>
      </c>
      <c r="E522" s="5" t="s">
        <v>2739</v>
      </c>
      <c r="G522" s="5">
        <v>3008437440</v>
      </c>
    </row>
    <row r="523" spans="1:7" ht="12.5">
      <c r="A523" s="5">
        <v>82013749</v>
      </c>
      <c r="B523" s="5" t="s">
        <v>23706</v>
      </c>
      <c r="C523" s="5" t="s">
        <v>2742</v>
      </c>
      <c r="G523" s="5">
        <v>0</v>
      </c>
    </row>
    <row r="524" spans="1:7" ht="12.5">
      <c r="A524" s="5">
        <v>1140884194</v>
      </c>
      <c r="B524" s="5" t="s">
        <v>23706</v>
      </c>
      <c r="C524" s="5" t="s">
        <v>2744</v>
      </c>
      <c r="E524" s="5" t="s">
        <v>2745</v>
      </c>
      <c r="G524" s="5">
        <v>3004149204</v>
      </c>
    </row>
    <row r="525" spans="1:7" ht="12.5">
      <c r="A525" s="5">
        <v>1134159063</v>
      </c>
      <c r="B525" s="5" t="s">
        <v>23706</v>
      </c>
      <c r="C525" s="5" t="s">
        <v>226</v>
      </c>
      <c r="E525" s="5" t="s">
        <v>2131</v>
      </c>
      <c r="G525" s="5">
        <v>3023523898</v>
      </c>
    </row>
    <row r="526" spans="1:7" ht="12.5">
      <c r="A526" s="5">
        <v>1143443126</v>
      </c>
      <c r="B526" s="5" t="s">
        <v>23706</v>
      </c>
      <c r="C526" s="5" t="s">
        <v>2748</v>
      </c>
      <c r="E526" s="5" t="s">
        <v>2749</v>
      </c>
      <c r="G526" s="5">
        <v>232882849</v>
      </c>
    </row>
    <row r="527" spans="1:7" ht="12.5">
      <c r="A527" s="5">
        <v>49782096</v>
      </c>
      <c r="B527" s="5" t="s">
        <v>23706</v>
      </c>
      <c r="C527" s="5" t="s">
        <v>1611</v>
      </c>
      <c r="E527" s="5" t="s">
        <v>2765</v>
      </c>
      <c r="G527" s="5">
        <v>3113800288</v>
      </c>
    </row>
    <row r="528" spans="1:7" ht="12.5">
      <c r="A528" s="5">
        <v>1002208874</v>
      </c>
      <c r="B528" s="5" t="s">
        <v>23706</v>
      </c>
      <c r="C528" s="5" t="s">
        <v>84</v>
      </c>
      <c r="E528" s="5" t="s">
        <v>9441</v>
      </c>
      <c r="G528" s="5">
        <v>3014466175</v>
      </c>
    </row>
    <row r="529" spans="1:7" ht="12.5">
      <c r="A529" s="5">
        <v>32729501</v>
      </c>
      <c r="B529" s="5" t="s">
        <v>23706</v>
      </c>
      <c r="C529" s="5" t="s">
        <v>3279</v>
      </c>
      <c r="E529" s="5" t="s">
        <v>3280</v>
      </c>
      <c r="G529" s="5">
        <v>3157163109</v>
      </c>
    </row>
    <row r="530" spans="1:7" ht="12.5">
      <c r="A530" s="5">
        <v>0</v>
      </c>
      <c r="B530" s="5" t="s">
        <v>23706</v>
      </c>
      <c r="C530" s="5" t="s">
        <v>2770</v>
      </c>
      <c r="G530" s="5">
        <v>0</v>
      </c>
    </row>
    <row r="531" spans="1:7" ht="12.5">
      <c r="A531" s="5">
        <v>1001818385</v>
      </c>
      <c r="B531" s="5" t="s">
        <v>23706</v>
      </c>
      <c r="C531" s="5" t="s">
        <v>617</v>
      </c>
      <c r="E531" s="5" t="s">
        <v>2789</v>
      </c>
      <c r="G531" s="5">
        <v>3023445920</v>
      </c>
    </row>
    <row r="532" spans="1:7" ht="12.5">
      <c r="A532" s="5">
        <v>32878754</v>
      </c>
      <c r="B532" s="5" t="s">
        <v>23706</v>
      </c>
      <c r="C532" s="5" t="s">
        <v>2772</v>
      </c>
      <c r="E532" s="5" t="s">
        <v>591</v>
      </c>
      <c r="G532" s="5">
        <v>3106331825</v>
      </c>
    </row>
    <row r="533" spans="1:7" ht="12.5">
      <c r="A533" s="5">
        <v>1001854258</v>
      </c>
      <c r="B533" s="5" t="s">
        <v>23706</v>
      </c>
      <c r="C533" s="5" t="s">
        <v>5128</v>
      </c>
      <c r="E533" s="5" t="s">
        <v>3280</v>
      </c>
      <c r="G533" s="5">
        <v>14694036902</v>
      </c>
    </row>
    <row r="534" spans="1:7" ht="12.5">
      <c r="A534" s="5">
        <v>1043004598</v>
      </c>
      <c r="B534" s="5" t="s">
        <v>23706</v>
      </c>
      <c r="C534" s="5" t="s">
        <v>129</v>
      </c>
      <c r="E534" s="5" t="s">
        <v>2793</v>
      </c>
      <c r="G534" s="5">
        <v>3502615998</v>
      </c>
    </row>
    <row r="535" spans="1:7" ht="12.5">
      <c r="A535" s="5">
        <v>1140821823</v>
      </c>
      <c r="B535" s="5" t="s">
        <v>23706</v>
      </c>
      <c r="C535" s="5" t="s">
        <v>23897</v>
      </c>
      <c r="E535" s="5" t="s">
        <v>2778</v>
      </c>
      <c r="G535" s="5">
        <v>3003443855</v>
      </c>
    </row>
    <row r="536" spans="1:7" ht="12.5">
      <c r="A536" s="5">
        <v>1045671674</v>
      </c>
      <c r="B536" s="5" t="s">
        <v>23706</v>
      </c>
      <c r="C536" s="5" t="s">
        <v>2799</v>
      </c>
      <c r="E536" s="5" t="s">
        <v>2800</v>
      </c>
      <c r="G536" s="5">
        <v>3013589068</v>
      </c>
    </row>
    <row r="537" spans="1:7" ht="12.5">
      <c r="A537" s="5">
        <v>72279489</v>
      </c>
      <c r="B537" s="5" t="s">
        <v>23706</v>
      </c>
      <c r="C537" s="5" t="s">
        <v>2804</v>
      </c>
      <c r="E537" s="5" t="s">
        <v>2805</v>
      </c>
      <c r="G537" s="5">
        <v>3053300085</v>
      </c>
    </row>
    <row r="538" spans="1:7" ht="12.5">
      <c r="A538" s="5">
        <v>1140886181</v>
      </c>
      <c r="B538" s="5" t="s">
        <v>23706</v>
      </c>
      <c r="C538" s="5" t="s">
        <v>532</v>
      </c>
      <c r="E538" s="5" t="s">
        <v>2807</v>
      </c>
      <c r="G538" s="5">
        <v>3054210033</v>
      </c>
    </row>
    <row r="539" spans="1:7" ht="12.5">
      <c r="A539" s="5">
        <v>1045667823</v>
      </c>
      <c r="B539" s="5" t="s">
        <v>23706</v>
      </c>
      <c r="C539" s="5" t="s">
        <v>3331</v>
      </c>
      <c r="E539" s="5" t="s">
        <v>1566</v>
      </c>
      <c r="G539" s="5">
        <v>3017576558</v>
      </c>
    </row>
    <row r="540" spans="1:7" ht="12.5">
      <c r="A540" s="5">
        <v>1045734045</v>
      </c>
      <c r="B540" s="5" t="s">
        <v>23706</v>
      </c>
      <c r="C540" s="5" t="s">
        <v>2820</v>
      </c>
      <c r="E540" s="5"/>
      <c r="G540" s="5">
        <v>3162844144</v>
      </c>
    </row>
    <row r="541" spans="1:7" ht="12.5">
      <c r="A541" s="5">
        <v>1007924379</v>
      </c>
      <c r="B541" s="5" t="s">
        <v>23706</v>
      </c>
      <c r="C541" s="5" t="s">
        <v>1719</v>
      </c>
      <c r="E541" s="5" t="s">
        <v>2823</v>
      </c>
      <c r="G541" s="5">
        <v>3105407812</v>
      </c>
    </row>
    <row r="542" spans="1:7" ht="12.5">
      <c r="A542" s="5">
        <v>8631645</v>
      </c>
      <c r="B542" s="5" t="s">
        <v>23706</v>
      </c>
      <c r="C542" s="5" t="s">
        <v>46</v>
      </c>
      <c r="E542" s="5" t="s">
        <v>1585</v>
      </c>
      <c r="G542" s="5">
        <v>3107305057</v>
      </c>
    </row>
    <row r="543" spans="1:7" ht="12.5">
      <c r="A543" s="5">
        <v>22466269</v>
      </c>
      <c r="B543" s="5" t="s">
        <v>23706</v>
      </c>
      <c r="C543" s="5" t="s">
        <v>1204</v>
      </c>
      <c r="E543" s="5" t="s">
        <v>2362</v>
      </c>
      <c r="G543" s="5">
        <v>3107243152</v>
      </c>
    </row>
    <row r="544" spans="1:7" ht="12.5">
      <c r="A544" s="5">
        <v>1140900297</v>
      </c>
      <c r="B544" s="5" t="s">
        <v>23706</v>
      </c>
      <c r="C544" s="5" t="s">
        <v>2867</v>
      </c>
      <c r="E544" s="5" t="s">
        <v>2868</v>
      </c>
      <c r="G544" s="5">
        <v>3157253912</v>
      </c>
    </row>
    <row r="545" spans="1:9" ht="12.5">
      <c r="A545" s="5">
        <v>1045742992</v>
      </c>
      <c r="B545" s="5" t="s">
        <v>23706</v>
      </c>
      <c r="C545" s="5" t="s">
        <v>2856</v>
      </c>
      <c r="E545" s="5" t="s">
        <v>2857</v>
      </c>
      <c r="G545" s="5">
        <v>3002204810</v>
      </c>
    </row>
    <row r="546" spans="1:9" ht="12.5">
      <c r="A546" s="5">
        <v>1143466472</v>
      </c>
      <c r="B546" s="5" t="s">
        <v>23706</v>
      </c>
      <c r="C546" s="5" t="s">
        <v>2836</v>
      </c>
      <c r="E546" s="5" t="s">
        <v>2837</v>
      </c>
      <c r="G546" s="5">
        <v>3205148301</v>
      </c>
    </row>
    <row r="547" spans="1:9" ht="12.5">
      <c r="A547" s="5">
        <v>55247243</v>
      </c>
      <c r="B547" s="5" t="s">
        <v>23706</v>
      </c>
      <c r="C547" s="5" t="s">
        <v>2841</v>
      </c>
      <c r="E547" s="5" t="s">
        <v>2842</v>
      </c>
      <c r="G547" s="5">
        <v>3017386594</v>
      </c>
    </row>
    <row r="548" spans="1:9" ht="12.5">
      <c r="A548" s="5">
        <v>1045738295</v>
      </c>
      <c r="B548" s="5" t="s">
        <v>23706</v>
      </c>
      <c r="C548" s="5" t="s">
        <v>318</v>
      </c>
      <c r="E548" s="5" t="s">
        <v>1566</v>
      </c>
      <c r="G548" s="5">
        <v>3013505936</v>
      </c>
    </row>
    <row r="549" spans="1:9" ht="12.5">
      <c r="A549" s="5">
        <v>1140881203</v>
      </c>
      <c r="B549" s="5" t="s">
        <v>23706</v>
      </c>
      <c r="C549" s="5" t="s">
        <v>698</v>
      </c>
      <c r="E549" s="5" t="s">
        <v>2847</v>
      </c>
      <c r="G549" s="5">
        <v>3246852204</v>
      </c>
    </row>
    <row r="550" spans="1:9" ht="12.5">
      <c r="A550" s="5">
        <v>1003952613</v>
      </c>
      <c r="B550" s="5" t="s">
        <v>23706</v>
      </c>
      <c r="C550" s="5" t="s">
        <v>698</v>
      </c>
      <c r="E550" s="5" t="s">
        <v>699</v>
      </c>
      <c r="G550" s="5">
        <v>3007285223</v>
      </c>
    </row>
    <row r="551" spans="1:9" ht="12.5">
      <c r="A551" s="5">
        <v>1002000181</v>
      </c>
      <c r="B551" s="5" t="s">
        <v>23706</v>
      </c>
      <c r="C551" s="5" t="s">
        <v>2862</v>
      </c>
      <c r="E551" s="5" t="s">
        <v>2863</v>
      </c>
      <c r="G551" s="5">
        <v>3168297608</v>
      </c>
    </row>
    <row r="552" spans="1:9" ht="12.5">
      <c r="A552" s="5">
        <v>1065600913</v>
      </c>
      <c r="B552" s="5" t="s">
        <v>23706</v>
      </c>
      <c r="C552" s="5" t="s">
        <v>23898</v>
      </c>
      <c r="E552" s="5" t="s">
        <v>23899</v>
      </c>
      <c r="G552" s="5">
        <v>3242424504</v>
      </c>
    </row>
    <row r="553" spans="1:9" ht="12.5">
      <c r="A553" s="5">
        <v>1001867585</v>
      </c>
      <c r="B553" s="5" t="s">
        <v>23706</v>
      </c>
      <c r="C553" s="5" t="s">
        <v>2877</v>
      </c>
      <c r="E553" s="5" t="s">
        <v>2878</v>
      </c>
      <c r="G553" s="5">
        <v>3046298857</v>
      </c>
    </row>
    <row r="554" spans="1:9" ht="12.5">
      <c r="A554" s="5">
        <v>72251403</v>
      </c>
      <c r="B554" s="5" t="s">
        <v>23706</v>
      </c>
      <c r="C554" s="5" t="s">
        <v>2889</v>
      </c>
      <c r="E554" s="5" t="s">
        <v>2890</v>
      </c>
      <c r="G554" s="5">
        <v>3008100866</v>
      </c>
      <c r="I554" s="5" t="s">
        <v>23900</v>
      </c>
    </row>
    <row r="555" spans="1:9" ht="12.5">
      <c r="A555" s="5">
        <v>1124828029</v>
      </c>
      <c r="B555" s="5" t="s">
        <v>23706</v>
      </c>
      <c r="C555" s="5" t="s">
        <v>343</v>
      </c>
      <c r="E555" s="5" t="s">
        <v>387</v>
      </c>
      <c r="G555" s="5">
        <v>3227117619</v>
      </c>
    </row>
    <row r="556" spans="1:9" ht="12.5">
      <c r="A556" s="5">
        <v>1140903517</v>
      </c>
      <c r="B556" s="5" t="s">
        <v>23706</v>
      </c>
      <c r="C556" s="5" t="s">
        <v>2910</v>
      </c>
      <c r="E556" s="5" t="s">
        <v>2911</v>
      </c>
      <c r="G556" s="5">
        <v>3004084769</v>
      </c>
    </row>
    <row r="557" spans="1:9" ht="12.5">
      <c r="A557" s="5">
        <v>8674924</v>
      </c>
      <c r="B557" s="5" t="s">
        <v>23706</v>
      </c>
      <c r="C557" s="5" t="s">
        <v>2894</v>
      </c>
      <c r="E557" s="5" t="s">
        <v>23901</v>
      </c>
      <c r="G557" s="5">
        <v>3106390033</v>
      </c>
    </row>
    <row r="558" spans="1:9" ht="12.5">
      <c r="A558" s="5">
        <v>1003115922</v>
      </c>
      <c r="B558" s="5" t="s">
        <v>23706</v>
      </c>
      <c r="C558" s="5" t="s">
        <v>2903</v>
      </c>
      <c r="E558" s="5" t="s">
        <v>6315</v>
      </c>
      <c r="G558" s="5">
        <v>3135055211</v>
      </c>
    </row>
    <row r="559" spans="1:9" ht="12.5">
      <c r="A559" s="5">
        <v>1045669038</v>
      </c>
      <c r="B559" s="5" t="s">
        <v>23706</v>
      </c>
      <c r="C559" s="5" t="s">
        <v>2901</v>
      </c>
      <c r="E559" s="5"/>
      <c r="G559" s="5">
        <v>3215509226</v>
      </c>
    </row>
    <row r="560" spans="1:9" ht="12.5">
      <c r="A560" s="5">
        <v>1002421537</v>
      </c>
      <c r="B560" s="5" t="s">
        <v>23706</v>
      </c>
      <c r="C560" s="5" t="s">
        <v>2915</v>
      </c>
      <c r="E560" s="5" t="s">
        <v>2916</v>
      </c>
      <c r="G560" s="5">
        <v>3126654774</v>
      </c>
    </row>
    <row r="561" spans="1:9" ht="12.5">
      <c r="A561" s="5">
        <v>1001999947</v>
      </c>
      <c r="B561" s="5" t="s">
        <v>23706</v>
      </c>
      <c r="C561" s="5" t="s">
        <v>2920</v>
      </c>
      <c r="E561" s="5" t="s">
        <v>2921</v>
      </c>
      <c r="G561" s="5">
        <v>3246837959</v>
      </c>
    </row>
    <row r="562" spans="1:9" ht="12.5">
      <c r="A562" s="5">
        <v>1103948907</v>
      </c>
      <c r="B562" s="5" t="s">
        <v>23706</v>
      </c>
      <c r="C562" s="5" t="s">
        <v>1051</v>
      </c>
      <c r="E562" s="5" t="s">
        <v>2934</v>
      </c>
      <c r="G562" s="5">
        <v>3014368193</v>
      </c>
    </row>
    <row r="563" spans="1:9" ht="12.5">
      <c r="A563" s="5">
        <v>1020735711</v>
      </c>
      <c r="B563" s="5" t="s">
        <v>23706</v>
      </c>
      <c r="C563" s="5" t="s">
        <v>2799</v>
      </c>
      <c r="E563" s="5" t="s">
        <v>4184</v>
      </c>
      <c r="G563" s="5">
        <v>3017263131</v>
      </c>
    </row>
    <row r="564" spans="1:9" ht="12.5">
      <c r="A564" s="5">
        <v>8720019</v>
      </c>
      <c r="B564" s="5" t="s">
        <v>23706</v>
      </c>
      <c r="C564" s="5" t="s">
        <v>2926</v>
      </c>
      <c r="E564" s="5" t="s">
        <v>2927</v>
      </c>
      <c r="G564" s="5">
        <v>3205709843</v>
      </c>
    </row>
    <row r="565" spans="1:9" ht="12.5">
      <c r="A565" s="5">
        <v>72297019</v>
      </c>
      <c r="B565" s="5" t="s">
        <v>23706</v>
      </c>
      <c r="C565" s="5" t="s">
        <v>1051</v>
      </c>
      <c r="E565" s="5" t="s">
        <v>2931</v>
      </c>
      <c r="G565" s="5">
        <v>3002024266</v>
      </c>
    </row>
    <row r="566" spans="1:9" ht="12.5">
      <c r="A566" s="5">
        <v>1044422192</v>
      </c>
      <c r="B566" s="5" t="s">
        <v>23706</v>
      </c>
      <c r="C566" s="5" t="s">
        <v>2941</v>
      </c>
      <c r="E566" s="5" t="s">
        <v>23902</v>
      </c>
      <c r="G566" s="5">
        <v>3106163907</v>
      </c>
    </row>
    <row r="567" spans="1:9" ht="12.5">
      <c r="A567" s="5">
        <v>1002210872</v>
      </c>
      <c r="B567" s="5" t="s">
        <v>23706</v>
      </c>
      <c r="C567" s="5" t="s">
        <v>2940</v>
      </c>
      <c r="E567" s="5"/>
      <c r="G567" s="5">
        <v>3158063644</v>
      </c>
    </row>
    <row r="568" spans="1:9" ht="12.5">
      <c r="A568" s="5">
        <v>153351791</v>
      </c>
      <c r="B568" s="5" t="s">
        <v>23706</v>
      </c>
      <c r="C568" s="5" t="s">
        <v>1526</v>
      </c>
      <c r="E568" s="5" t="s">
        <v>2948</v>
      </c>
      <c r="G568" s="5">
        <v>56998261075</v>
      </c>
    </row>
    <row r="569" spans="1:9" ht="12.5">
      <c r="A569" s="5">
        <v>315032</v>
      </c>
      <c r="B569" s="5" t="s">
        <v>23706</v>
      </c>
      <c r="C569" s="5" t="s">
        <v>23903</v>
      </c>
      <c r="E569" s="5" t="s">
        <v>23904</v>
      </c>
      <c r="G569" s="5">
        <v>3007105186</v>
      </c>
    </row>
    <row r="570" spans="1:9" ht="12.5">
      <c r="A570" s="5">
        <v>1047223407</v>
      </c>
      <c r="B570" s="5" t="s">
        <v>23706</v>
      </c>
      <c r="C570" s="5" t="s">
        <v>12490</v>
      </c>
      <c r="E570" s="5"/>
      <c r="G570" s="5">
        <v>3104426028</v>
      </c>
      <c r="I570" s="5" t="s">
        <v>23905</v>
      </c>
    </row>
    <row r="571" spans="1:9" ht="12.5">
      <c r="A571" s="5">
        <v>72357686</v>
      </c>
      <c r="B571" s="5" t="s">
        <v>23706</v>
      </c>
      <c r="C571" s="5" t="s">
        <v>14242</v>
      </c>
      <c r="E571" s="5"/>
      <c r="G571" s="5">
        <v>76465214</v>
      </c>
    </row>
    <row r="572" spans="1:9" ht="12.5">
      <c r="A572" s="5">
        <v>1129528814</v>
      </c>
      <c r="B572" s="5" t="s">
        <v>23706</v>
      </c>
      <c r="C572" s="5" t="s">
        <v>23906</v>
      </c>
      <c r="E572" s="5" t="s">
        <v>23907</v>
      </c>
      <c r="G572" s="5">
        <v>3016583357</v>
      </c>
    </row>
    <row r="573" spans="1:9" ht="12.5">
      <c r="A573" s="5">
        <v>22461884</v>
      </c>
      <c r="B573" s="5" t="s">
        <v>23706</v>
      </c>
      <c r="C573" s="5" t="s">
        <v>2973</v>
      </c>
      <c r="E573" s="5" t="s">
        <v>2974</v>
      </c>
      <c r="G573" s="5">
        <v>3150699091</v>
      </c>
    </row>
    <row r="574" spans="1:9" ht="12.5">
      <c r="A574" s="5">
        <v>1044423138</v>
      </c>
      <c r="B574" s="5" t="s">
        <v>23706</v>
      </c>
      <c r="C574" s="5" t="s">
        <v>2985</v>
      </c>
      <c r="E574" s="5" t="s">
        <v>2986</v>
      </c>
      <c r="G574" s="5">
        <v>3015018927</v>
      </c>
    </row>
    <row r="575" spans="1:9" ht="12.5">
      <c r="A575" s="5">
        <v>1140899938</v>
      </c>
      <c r="B575" s="5" t="s">
        <v>23706</v>
      </c>
      <c r="C575" s="5" t="s">
        <v>23908</v>
      </c>
      <c r="E575" s="5" t="s">
        <v>601</v>
      </c>
      <c r="G575" s="5">
        <v>3006227861</v>
      </c>
    </row>
    <row r="576" spans="1:9" ht="12.5">
      <c r="A576" s="5">
        <v>1129572834</v>
      </c>
      <c r="B576" s="5" t="s">
        <v>23706</v>
      </c>
      <c r="C576" s="5" t="s">
        <v>2991</v>
      </c>
      <c r="E576" s="5" t="s">
        <v>2992</v>
      </c>
      <c r="G576" s="5">
        <v>3008450000</v>
      </c>
    </row>
    <row r="577" spans="1:9" ht="12.5">
      <c r="A577" s="5">
        <v>1140857774</v>
      </c>
      <c r="B577" s="5" t="s">
        <v>23706</v>
      </c>
      <c r="C577" s="5" t="s">
        <v>13009</v>
      </c>
      <c r="E577" s="5"/>
      <c r="G577" s="5">
        <v>3017824366</v>
      </c>
      <c r="I577" s="5" t="s">
        <v>23909</v>
      </c>
    </row>
    <row r="578" spans="1:9" ht="12.5">
      <c r="A578" s="5">
        <v>9010724862</v>
      </c>
      <c r="B578" s="5" t="s">
        <v>23782</v>
      </c>
      <c r="C578" s="5" t="s">
        <v>3000</v>
      </c>
      <c r="G578" s="5">
        <v>3135460642</v>
      </c>
    </row>
    <row r="579" spans="1:9" ht="12.5">
      <c r="A579" s="5">
        <v>1140814874</v>
      </c>
      <c r="B579" s="5" t="s">
        <v>23706</v>
      </c>
      <c r="C579" s="5" t="s">
        <v>3002</v>
      </c>
      <c r="E579" s="5" t="s">
        <v>3003</v>
      </c>
      <c r="G579" s="5">
        <v>0</v>
      </c>
    </row>
    <row r="580" spans="1:9" ht="12.5">
      <c r="A580" s="5">
        <v>1047471462</v>
      </c>
      <c r="B580" s="5" t="s">
        <v>23706</v>
      </c>
      <c r="C580" s="5" t="s">
        <v>3005</v>
      </c>
      <c r="E580" s="5" t="s">
        <v>3006</v>
      </c>
      <c r="G580" s="5">
        <v>3157132910</v>
      </c>
    </row>
    <row r="581" spans="1:9" ht="12.5">
      <c r="A581" s="5">
        <v>1143122142</v>
      </c>
      <c r="B581" s="5" t="s">
        <v>23706</v>
      </c>
      <c r="C581" s="5" t="s">
        <v>3010</v>
      </c>
      <c r="E581" s="5" t="s">
        <v>3011</v>
      </c>
      <c r="G581" s="5">
        <v>3145922884</v>
      </c>
    </row>
    <row r="582" spans="1:9" ht="12.5">
      <c r="A582" s="5">
        <v>74438715</v>
      </c>
      <c r="B582" s="5" t="s">
        <v>23706</v>
      </c>
      <c r="C582" s="5" t="s">
        <v>270</v>
      </c>
      <c r="E582" s="5" t="s">
        <v>3016</v>
      </c>
      <c r="G582" s="5">
        <v>33767967255</v>
      </c>
    </row>
    <row r="583" spans="1:9" ht="12.5">
      <c r="A583" s="5">
        <v>1140881330</v>
      </c>
      <c r="B583" s="5" t="s">
        <v>23706</v>
      </c>
      <c r="C583" s="5" t="s">
        <v>3028</v>
      </c>
      <c r="E583" s="5" t="s">
        <v>441</v>
      </c>
      <c r="G583" s="5">
        <v>3108922071</v>
      </c>
    </row>
    <row r="584" spans="1:9" ht="12.5">
      <c r="A584" s="5">
        <v>1066269806</v>
      </c>
      <c r="B584" s="5" t="s">
        <v>23706</v>
      </c>
      <c r="C584" s="5" t="s">
        <v>338</v>
      </c>
      <c r="E584" s="5" t="s">
        <v>3022</v>
      </c>
      <c r="G584" s="5">
        <v>3219173591</v>
      </c>
    </row>
    <row r="585" spans="1:9" ht="12.5">
      <c r="A585" s="5">
        <v>55223445</v>
      </c>
      <c r="B585" s="5" t="s">
        <v>23706</v>
      </c>
      <c r="C585" s="5" t="s">
        <v>3025</v>
      </c>
      <c r="E585" s="5" t="s">
        <v>2708</v>
      </c>
      <c r="G585" s="5">
        <v>2719457</v>
      </c>
    </row>
    <row r="586" spans="1:9" ht="12.5">
      <c r="A586" s="5">
        <v>1143250739</v>
      </c>
      <c r="B586" s="5" t="s">
        <v>23706</v>
      </c>
      <c r="C586" s="5" t="s">
        <v>595</v>
      </c>
      <c r="E586" s="5" t="s">
        <v>3048</v>
      </c>
      <c r="G586" s="5">
        <v>3007838951</v>
      </c>
    </row>
    <row r="587" spans="1:9" ht="12.5">
      <c r="A587" s="5">
        <v>8744892</v>
      </c>
      <c r="B587" s="5" t="s">
        <v>23706</v>
      </c>
      <c r="C587" s="5" t="s">
        <v>3033</v>
      </c>
      <c r="E587" s="5" t="s">
        <v>3034</v>
      </c>
      <c r="G587" s="5">
        <v>3145957488</v>
      </c>
    </row>
    <row r="588" spans="1:9" ht="12.5">
      <c r="A588" s="5">
        <v>1192768337</v>
      </c>
      <c r="B588" s="5" t="s">
        <v>23706</v>
      </c>
      <c r="C588" s="5" t="s">
        <v>23910</v>
      </c>
      <c r="E588" s="5" t="s">
        <v>23911</v>
      </c>
      <c r="G588" s="5">
        <v>3046511169</v>
      </c>
    </row>
    <row r="589" spans="1:9" ht="12.5">
      <c r="A589" s="5">
        <v>0</v>
      </c>
      <c r="B589" s="5" t="s">
        <v>23782</v>
      </c>
      <c r="C589" s="5" t="s">
        <v>1231</v>
      </c>
      <c r="G589" s="5">
        <v>0</v>
      </c>
    </row>
    <row r="590" spans="1:9" ht="12.5">
      <c r="A590" s="5">
        <v>1017926006</v>
      </c>
      <c r="B590" s="5" t="s">
        <v>23706</v>
      </c>
      <c r="C590" s="5" t="s">
        <v>3056</v>
      </c>
      <c r="E590" s="5" t="s">
        <v>3057</v>
      </c>
      <c r="G590" s="5">
        <v>3175266147</v>
      </c>
    </row>
    <row r="591" spans="1:9" ht="12.5">
      <c r="A591" s="5">
        <v>72137555</v>
      </c>
      <c r="B591" s="5" t="s">
        <v>23706</v>
      </c>
      <c r="C591" s="5" t="s">
        <v>226</v>
      </c>
      <c r="E591" s="5" t="s">
        <v>3053</v>
      </c>
      <c r="G591" s="5">
        <v>3157740283</v>
      </c>
    </row>
    <row r="592" spans="1:9" ht="12.5">
      <c r="A592" s="5">
        <v>22588705</v>
      </c>
      <c r="B592" s="5" t="s">
        <v>23706</v>
      </c>
      <c r="C592" s="5" t="s">
        <v>3062</v>
      </c>
      <c r="E592" s="5" t="s">
        <v>3063</v>
      </c>
      <c r="G592" s="5">
        <v>3006951254</v>
      </c>
    </row>
    <row r="593" spans="1:9" ht="12.5">
      <c r="A593" s="5">
        <v>1140866238</v>
      </c>
      <c r="B593" s="5" t="s">
        <v>23706</v>
      </c>
      <c r="C593" s="5" t="s">
        <v>1051</v>
      </c>
      <c r="E593" s="5" t="s">
        <v>116</v>
      </c>
      <c r="G593" s="5">
        <v>17866092370</v>
      </c>
    </row>
    <row r="594" spans="1:9" ht="12.5">
      <c r="A594" s="5">
        <v>52151759</v>
      </c>
      <c r="B594" s="5" t="s">
        <v>23706</v>
      </c>
      <c r="C594" s="5" t="s">
        <v>23912</v>
      </c>
      <c r="E594" s="5" t="s">
        <v>3068</v>
      </c>
      <c r="G594" s="5">
        <v>3134880446</v>
      </c>
    </row>
    <row r="595" spans="1:9" ht="12.5">
      <c r="A595" s="5">
        <v>1001888981</v>
      </c>
      <c r="B595" s="5" t="s">
        <v>23706</v>
      </c>
      <c r="C595" s="5" t="s">
        <v>6400</v>
      </c>
      <c r="E595" s="5" t="s">
        <v>10099</v>
      </c>
      <c r="G595" s="5">
        <v>3226471069</v>
      </c>
      <c r="I595" s="5" t="s">
        <v>23913</v>
      </c>
    </row>
    <row r="596" spans="1:9" ht="12.5">
      <c r="A596" s="5">
        <v>1102835514</v>
      </c>
      <c r="B596" s="5" t="s">
        <v>23706</v>
      </c>
      <c r="C596" s="5" t="s">
        <v>3075</v>
      </c>
      <c r="E596" s="5" t="s">
        <v>344</v>
      </c>
      <c r="G596" s="5">
        <v>3013708451</v>
      </c>
    </row>
    <row r="597" spans="1:9" ht="12.5">
      <c r="A597" s="5">
        <v>1002157575</v>
      </c>
      <c r="B597" s="5" t="s">
        <v>23706</v>
      </c>
      <c r="C597" s="5" t="s">
        <v>3082</v>
      </c>
      <c r="E597" s="5" t="s">
        <v>3083</v>
      </c>
      <c r="G597" s="5">
        <v>3145625519</v>
      </c>
    </row>
    <row r="598" spans="1:9" ht="12.5">
      <c r="A598" s="5">
        <v>1140901833</v>
      </c>
      <c r="B598" s="5" t="s">
        <v>23706</v>
      </c>
      <c r="C598" s="5" t="s">
        <v>3088</v>
      </c>
      <c r="E598" s="5" t="s">
        <v>3089</v>
      </c>
      <c r="G598" s="5">
        <v>3022752923</v>
      </c>
    </row>
    <row r="599" spans="1:9" ht="12.5">
      <c r="A599" s="5">
        <v>1055918691</v>
      </c>
      <c r="B599" s="5" t="s">
        <v>23706</v>
      </c>
      <c r="C599" s="5" t="s">
        <v>3095</v>
      </c>
      <c r="E599" s="5" t="s">
        <v>3096</v>
      </c>
      <c r="G599" s="5">
        <v>3008606738</v>
      </c>
    </row>
    <row r="600" spans="1:9" ht="12.5">
      <c r="A600" s="5">
        <v>1001996129</v>
      </c>
      <c r="B600" s="5" t="s">
        <v>23706</v>
      </c>
      <c r="C600" s="5" t="s">
        <v>9677</v>
      </c>
      <c r="E600" s="5" t="s">
        <v>2658</v>
      </c>
      <c r="G600" s="5">
        <v>3226169444</v>
      </c>
    </row>
    <row r="601" spans="1:9" ht="12.5">
      <c r="A601" s="5">
        <v>32634018</v>
      </c>
      <c r="B601" s="5" t="s">
        <v>23706</v>
      </c>
      <c r="C601" s="5" t="s">
        <v>3100</v>
      </c>
      <c r="E601" s="5" t="s">
        <v>3101</v>
      </c>
      <c r="G601" s="5">
        <v>3008160858</v>
      </c>
    </row>
    <row r="602" spans="1:9" ht="12.5">
      <c r="A602" s="5">
        <v>1045673669</v>
      </c>
      <c r="B602" s="5" t="s">
        <v>23706</v>
      </c>
      <c r="C602" s="5" t="s">
        <v>5071</v>
      </c>
      <c r="E602" s="5" t="s">
        <v>2560</v>
      </c>
      <c r="G602" s="5">
        <v>3242364443</v>
      </c>
    </row>
    <row r="603" spans="1:9" ht="12.5">
      <c r="A603" s="5">
        <v>72261775</v>
      </c>
      <c r="B603" s="5" t="s">
        <v>23706</v>
      </c>
      <c r="C603" s="5" t="s">
        <v>3161</v>
      </c>
      <c r="E603" s="5" t="s">
        <v>3162</v>
      </c>
      <c r="G603" s="5">
        <v>3126864634</v>
      </c>
    </row>
    <row r="604" spans="1:9" ht="12.5">
      <c r="A604" s="5">
        <v>72261127</v>
      </c>
      <c r="B604" s="5" t="s">
        <v>23706</v>
      </c>
      <c r="C604" s="5" t="s">
        <v>703</v>
      </c>
      <c r="E604" s="5" t="s">
        <v>3106</v>
      </c>
      <c r="G604" s="5">
        <v>3145160746</v>
      </c>
    </row>
    <row r="605" spans="1:9" ht="12.5">
      <c r="A605" s="5">
        <v>1045682627</v>
      </c>
      <c r="B605" s="5" t="s">
        <v>23706</v>
      </c>
      <c r="C605" s="5" t="s">
        <v>3118</v>
      </c>
      <c r="E605" s="5" t="s">
        <v>3119</v>
      </c>
      <c r="G605" s="5">
        <v>3508072070</v>
      </c>
    </row>
    <row r="606" spans="1:9" ht="12.5">
      <c r="A606" s="5">
        <v>55313403</v>
      </c>
      <c r="B606" s="5" t="s">
        <v>23706</v>
      </c>
      <c r="C606" s="5" t="s">
        <v>3113</v>
      </c>
      <c r="E606" s="5" t="s">
        <v>3114</v>
      </c>
      <c r="G606" s="5">
        <v>3004705682</v>
      </c>
    </row>
    <row r="607" spans="1:9" ht="12.5">
      <c r="A607" s="5">
        <v>72224984</v>
      </c>
      <c r="B607" s="5" t="s">
        <v>23706</v>
      </c>
      <c r="C607" s="5" t="s">
        <v>3139</v>
      </c>
      <c r="E607" s="5" t="s">
        <v>1831</v>
      </c>
      <c r="G607" s="5">
        <v>3012008566</v>
      </c>
    </row>
    <row r="608" spans="1:9" ht="12.5">
      <c r="A608" s="5">
        <v>379152</v>
      </c>
      <c r="B608" s="5" t="s">
        <v>23706</v>
      </c>
      <c r="C608" s="5" t="s">
        <v>3125</v>
      </c>
      <c r="E608" s="5" t="s">
        <v>3126</v>
      </c>
      <c r="G608" s="5">
        <v>3015439803</v>
      </c>
    </row>
    <row r="609" spans="1:9" ht="12.5">
      <c r="A609" s="5">
        <v>1045723678</v>
      </c>
      <c r="B609" s="5" t="s">
        <v>23706</v>
      </c>
      <c r="C609" s="5" t="s">
        <v>12606</v>
      </c>
      <c r="E609" s="5"/>
      <c r="G609" s="5">
        <v>3043765552</v>
      </c>
      <c r="I609" s="5" t="s">
        <v>23914</v>
      </c>
    </row>
    <row r="610" spans="1:9" ht="12.5">
      <c r="A610" s="5">
        <v>1045705610</v>
      </c>
      <c r="B610" s="5" t="s">
        <v>23706</v>
      </c>
      <c r="C610" s="5" t="s">
        <v>3152</v>
      </c>
      <c r="E610" s="5" t="s">
        <v>3153</v>
      </c>
      <c r="G610" s="5">
        <v>16469223690</v>
      </c>
    </row>
    <row r="611" spans="1:9" ht="12.5">
      <c r="A611" s="5">
        <v>1045705710</v>
      </c>
      <c r="B611" s="5" t="s">
        <v>23706</v>
      </c>
      <c r="C611" s="5" t="s">
        <v>3152</v>
      </c>
      <c r="E611" s="5" t="s">
        <v>3153</v>
      </c>
      <c r="G611" s="5">
        <v>16469223690</v>
      </c>
    </row>
    <row r="612" spans="1:9" ht="12.5">
      <c r="A612" s="5">
        <v>1001817962</v>
      </c>
      <c r="B612" s="5" t="s">
        <v>23706</v>
      </c>
      <c r="C612" s="5" t="s">
        <v>1651</v>
      </c>
      <c r="E612" s="5" t="s">
        <v>3144</v>
      </c>
      <c r="G612" s="5">
        <v>3162752516</v>
      </c>
    </row>
    <row r="613" spans="1:9" ht="12.5">
      <c r="A613" s="5">
        <v>1001779096</v>
      </c>
      <c r="B613" s="5" t="s">
        <v>23706</v>
      </c>
      <c r="C613" s="5" t="s">
        <v>115</v>
      </c>
      <c r="E613" s="5" t="s">
        <v>23915</v>
      </c>
      <c r="G613" s="5">
        <v>3007823133</v>
      </c>
    </row>
    <row r="614" spans="1:9" ht="12.5">
      <c r="A614" s="5">
        <v>1005411005</v>
      </c>
      <c r="B614" s="5" t="s">
        <v>23706</v>
      </c>
      <c r="C614" s="5" t="s">
        <v>3166</v>
      </c>
      <c r="E614" s="5" t="s">
        <v>3167</v>
      </c>
      <c r="G614" s="5">
        <v>3146884534</v>
      </c>
    </row>
    <row r="615" spans="1:9" ht="12.5">
      <c r="A615" s="5">
        <v>1129571250</v>
      </c>
      <c r="B615" s="5" t="s">
        <v>23706</v>
      </c>
      <c r="C615" s="5" t="s">
        <v>12117</v>
      </c>
      <c r="E615" s="5"/>
      <c r="G615" s="5">
        <v>3059260093</v>
      </c>
    </row>
    <row r="616" spans="1:9" ht="12.5">
      <c r="A616" s="5">
        <v>1140873771</v>
      </c>
      <c r="B616" s="5" t="s">
        <v>23706</v>
      </c>
      <c r="C616" s="5" t="s">
        <v>3230</v>
      </c>
      <c r="E616" s="5" t="s">
        <v>3231</v>
      </c>
      <c r="G616" s="5">
        <v>4113</v>
      </c>
    </row>
    <row r="617" spans="1:9" ht="12.5">
      <c r="A617" s="5">
        <v>1001817863</v>
      </c>
      <c r="B617" s="5" t="s">
        <v>23706</v>
      </c>
      <c r="C617" s="5" t="s">
        <v>2293</v>
      </c>
      <c r="E617" s="5" t="s">
        <v>3170</v>
      </c>
      <c r="G617" s="5">
        <v>3173688002</v>
      </c>
    </row>
    <row r="618" spans="1:9" ht="12.5">
      <c r="A618" s="5">
        <v>1001825854</v>
      </c>
      <c r="B618" s="5" t="s">
        <v>23706</v>
      </c>
      <c r="C618" s="5" t="s">
        <v>1136</v>
      </c>
      <c r="E618" s="5" t="s">
        <v>1855</v>
      </c>
      <c r="G618" s="5">
        <v>3008058839</v>
      </c>
    </row>
    <row r="619" spans="1:9" ht="12.5">
      <c r="A619" s="5">
        <v>22507710</v>
      </c>
      <c r="B619" s="5" t="s">
        <v>23706</v>
      </c>
      <c r="C619" s="5" t="s">
        <v>23916</v>
      </c>
      <c r="E619" s="5" t="s">
        <v>3185</v>
      </c>
      <c r="G619" s="5">
        <v>3103905134</v>
      </c>
    </row>
    <row r="620" spans="1:9" ht="12.5">
      <c r="A620" s="5">
        <v>1001886677</v>
      </c>
      <c r="B620" s="5" t="s">
        <v>23706</v>
      </c>
      <c r="C620" s="5" t="s">
        <v>3190</v>
      </c>
      <c r="E620" s="5" t="s">
        <v>23917</v>
      </c>
      <c r="G620" s="5">
        <v>3232203402</v>
      </c>
    </row>
    <row r="621" spans="1:9" ht="12.5">
      <c r="A621" s="5">
        <v>1043435727</v>
      </c>
      <c r="B621" s="5" t="s">
        <v>23706</v>
      </c>
      <c r="C621" s="5" t="s">
        <v>217</v>
      </c>
      <c r="E621" s="5" t="s">
        <v>3188</v>
      </c>
      <c r="G621" s="5">
        <v>23900082</v>
      </c>
    </row>
    <row r="622" spans="1:9" ht="12.5">
      <c r="A622" s="5">
        <v>1010143625</v>
      </c>
      <c r="B622" s="5" t="s">
        <v>23706</v>
      </c>
      <c r="C622" s="5" t="s">
        <v>1369</v>
      </c>
      <c r="E622" s="5" t="s">
        <v>3197</v>
      </c>
      <c r="G622" s="5">
        <v>3014169863</v>
      </c>
    </row>
    <row r="623" spans="1:9" ht="12.5">
      <c r="A623" s="5">
        <v>1045167489</v>
      </c>
      <c r="B623" s="5" t="s">
        <v>23706</v>
      </c>
      <c r="C623" s="5" t="s">
        <v>23918</v>
      </c>
      <c r="E623" s="5" t="s">
        <v>1490</v>
      </c>
      <c r="G623" s="5">
        <v>3222138508</v>
      </c>
    </row>
    <row r="624" spans="1:9" ht="12.5">
      <c r="A624" s="5">
        <v>72277652</v>
      </c>
      <c r="B624" s="5" t="s">
        <v>23706</v>
      </c>
      <c r="C624" s="5" t="s">
        <v>23919</v>
      </c>
      <c r="E624" s="5" t="s">
        <v>3203</v>
      </c>
      <c r="G624" s="5">
        <v>3007549322</v>
      </c>
    </row>
    <row r="625" spans="1:7" ht="12.5">
      <c r="A625" s="5">
        <v>1143117163</v>
      </c>
      <c r="B625" s="5" t="s">
        <v>23706</v>
      </c>
      <c r="C625" s="5" t="s">
        <v>3208</v>
      </c>
      <c r="E625" s="5" t="s">
        <v>3209</v>
      </c>
      <c r="G625" s="5">
        <v>3155420020</v>
      </c>
    </row>
    <row r="626" spans="1:7" ht="12.5">
      <c r="A626" s="5">
        <v>1140879632</v>
      </c>
      <c r="B626" s="5" t="s">
        <v>23706</v>
      </c>
      <c r="C626" s="5" t="s">
        <v>3213</v>
      </c>
      <c r="E626" s="5" t="s">
        <v>3214</v>
      </c>
      <c r="G626" s="5">
        <v>3212170032</v>
      </c>
    </row>
    <row r="627" spans="1:7" ht="12.5">
      <c r="A627" s="5">
        <v>72358365</v>
      </c>
      <c r="B627" s="5" t="s">
        <v>23706</v>
      </c>
      <c r="C627" s="5" t="s">
        <v>3218</v>
      </c>
      <c r="E627" s="5"/>
      <c r="G627" s="5">
        <v>3017795556</v>
      </c>
    </row>
    <row r="628" spans="1:7" ht="12.5">
      <c r="A628" s="5">
        <v>0</v>
      </c>
      <c r="B628" s="5" t="s">
        <v>23706</v>
      </c>
      <c r="C628" s="5" t="s">
        <v>1231</v>
      </c>
      <c r="G628" s="5">
        <v>0</v>
      </c>
    </row>
    <row r="629" spans="1:7" ht="12.5">
      <c r="A629" s="5">
        <v>0</v>
      </c>
      <c r="B629" s="5" t="s">
        <v>23706</v>
      </c>
      <c r="C629" s="5" t="s">
        <v>1231</v>
      </c>
      <c r="E629" s="5" t="s">
        <v>3221</v>
      </c>
      <c r="G629" s="5" t="s">
        <v>23920</v>
      </c>
    </row>
    <row r="630" spans="1:7" ht="12.5">
      <c r="A630" s="5">
        <v>1007781170</v>
      </c>
      <c r="B630" s="5" t="s">
        <v>23706</v>
      </c>
      <c r="C630" s="5" t="s">
        <v>3223</v>
      </c>
      <c r="E630" s="5" t="s">
        <v>3223</v>
      </c>
      <c r="G630" s="5">
        <v>3104168887</v>
      </c>
    </row>
    <row r="631" spans="1:7" ht="12.5">
      <c r="A631" s="5">
        <v>0</v>
      </c>
      <c r="B631" s="5" t="s">
        <v>23706</v>
      </c>
      <c r="C631" s="5" t="s">
        <v>3227</v>
      </c>
      <c r="E631" s="5" t="s">
        <v>3228</v>
      </c>
      <c r="G631" s="5">
        <v>17542692153</v>
      </c>
    </row>
    <row r="632" spans="1:7" ht="12.5">
      <c r="A632" s="5">
        <v>1119840584</v>
      </c>
      <c r="B632" s="5" t="s">
        <v>23706</v>
      </c>
      <c r="C632" s="5" t="s">
        <v>23921</v>
      </c>
      <c r="E632" s="5" t="s">
        <v>23922</v>
      </c>
      <c r="G632" s="5">
        <v>3182969868</v>
      </c>
    </row>
    <row r="633" spans="1:7" ht="12.5">
      <c r="A633" s="5">
        <v>1045747165</v>
      </c>
      <c r="B633" s="5" t="s">
        <v>23706</v>
      </c>
      <c r="C633" s="5" t="s">
        <v>480</v>
      </c>
      <c r="E633" s="5" t="s">
        <v>3241</v>
      </c>
      <c r="G633" s="5">
        <v>19549809669</v>
      </c>
    </row>
    <row r="634" spans="1:7" ht="12.5">
      <c r="A634" s="5">
        <v>84091291</v>
      </c>
      <c r="B634" s="5" t="s">
        <v>23706</v>
      </c>
      <c r="C634" s="5" t="s">
        <v>3245</v>
      </c>
      <c r="E634" s="5" t="s">
        <v>455</v>
      </c>
      <c r="G634" s="5">
        <v>3002004812</v>
      </c>
    </row>
    <row r="635" spans="1:7" ht="12.5">
      <c r="A635" s="5">
        <v>1140816778</v>
      </c>
      <c r="B635" s="5" t="s">
        <v>23706</v>
      </c>
      <c r="C635" s="5" t="s">
        <v>3295</v>
      </c>
      <c r="E635" s="5" t="s">
        <v>3296</v>
      </c>
      <c r="G635" s="5">
        <v>3113970616</v>
      </c>
    </row>
    <row r="636" spans="1:7" ht="12.5">
      <c r="A636" s="5">
        <v>1140834384</v>
      </c>
      <c r="B636" s="5" t="s">
        <v>23706</v>
      </c>
      <c r="C636" s="5" t="s">
        <v>13967</v>
      </c>
      <c r="E636" s="5" t="s">
        <v>1683</v>
      </c>
      <c r="G636" s="5">
        <v>3005073158</v>
      </c>
    </row>
    <row r="637" spans="1:7" ht="12.5">
      <c r="A637" s="5">
        <v>1045736536</v>
      </c>
      <c r="B637" s="5" t="s">
        <v>23706</v>
      </c>
      <c r="C637" s="5" t="s">
        <v>1369</v>
      </c>
      <c r="E637" s="5" t="s">
        <v>3271</v>
      </c>
      <c r="G637" s="5">
        <v>3013499354</v>
      </c>
    </row>
    <row r="638" spans="1:7" ht="12.5">
      <c r="A638" s="5">
        <v>1082965084</v>
      </c>
      <c r="B638" s="5" t="s">
        <v>23706</v>
      </c>
      <c r="C638" s="5" t="s">
        <v>23923</v>
      </c>
      <c r="E638" s="5" t="s">
        <v>23924</v>
      </c>
      <c r="G638" s="5">
        <v>3007241820</v>
      </c>
    </row>
    <row r="639" spans="1:7" ht="12.5">
      <c r="A639" s="5">
        <v>1079940128</v>
      </c>
      <c r="B639" s="5" t="s">
        <v>23706</v>
      </c>
      <c r="C639" s="5" t="s">
        <v>2361</v>
      </c>
      <c r="E639" s="5" t="s">
        <v>1752</v>
      </c>
      <c r="G639" s="5">
        <v>3137769819</v>
      </c>
    </row>
    <row r="640" spans="1:7" ht="12.5">
      <c r="A640" s="5">
        <v>1047381612</v>
      </c>
      <c r="B640" s="5" t="s">
        <v>23706</v>
      </c>
      <c r="C640" s="5" t="s">
        <v>825</v>
      </c>
      <c r="E640" s="5" t="s">
        <v>10019</v>
      </c>
      <c r="G640" s="5">
        <v>3008376773</v>
      </c>
    </row>
    <row r="641" spans="1:9" ht="12.5">
      <c r="A641" s="5">
        <v>1129579584</v>
      </c>
      <c r="B641" s="5" t="s">
        <v>23706</v>
      </c>
      <c r="C641" s="5" t="s">
        <v>3305</v>
      </c>
      <c r="E641" s="5" t="s">
        <v>3285</v>
      </c>
      <c r="G641" s="5">
        <v>3008109691</v>
      </c>
      <c r="I641" s="5" t="s">
        <v>23925</v>
      </c>
    </row>
    <row r="642" spans="1:9" ht="12.5">
      <c r="A642" s="5">
        <v>1193137751</v>
      </c>
      <c r="B642" s="5" t="s">
        <v>23706</v>
      </c>
      <c r="C642" s="5" t="s">
        <v>23926</v>
      </c>
      <c r="E642" s="5" t="s">
        <v>23927</v>
      </c>
      <c r="G642" s="5">
        <v>3225906968</v>
      </c>
    </row>
    <row r="643" spans="1:9" ht="12.5">
      <c r="A643" s="5">
        <v>1082963964</v>
      </c>
      <c r="B643" s="5" t="s">
        <v>23706</v>
      </c>
      <c r="C643" s="5" t="s">
        <v>3301</v>
      </c>
      <c r="E643" s="5" t="s">
        <v>3302</v>
      </c>
      <c r="G643" s="5">
        <v>3022899545</v>
      </c>
    </row>
    <row r="644" spans="1:9" ht="12.5">
      <c r="A644" s="5">
        <v>1140837107</v>
      </c>
      <c r="B644" s="5" t="s">
        <v>23706</v>
      </c>
      <c r="C644" s="5" t="s">
        <v>3305</v>
      </c>
      <c r="E644" s="5" t="s">
        <v>3306</v>
      </c>
      <c r="G644" s="5">
        <v>502620286</v>
      </c>
    </row>
    <row r="645" spans="1:9" ht="12.5">
      <c r="A645" s="5">
        <v>73167180</v>
      </c>
      <c r="B645" s="5" t="s">
        <v>23706</v>
      </c>
      <c r="C645" s="5" t="s">
        <v>3311</v>
      </c>
      <c r="E645" s="5" t="s">
        <v>3312</v>
      </c>
      <c r="G645" s="5">
        <v>3206988245</v>
      </c>
    </row>
    <row r="646" spans="1:9" ht="12.5">
      <c r="A646" s="5">
        <v>1002152872</v>
      </c>
      <c r="B646" s="5" t="s">
        <v>23706</v>
      </c>
      <c r="C646" s="5" t="s">
        <v>1736</v>
      </c>
      <c r="E646" s="5" t="s">
        <v>3324</v>
      </c>
      <c r="G646" s="5">
        <v>3153839590</v>
      </c>
    </row>
    <row r="647" spans="1:9" ht="12.5">
      <c r="A647" s="5">
        <v>1010129203</v>
      </c>
      <c r="B647" s="5" t="s">
        <v>23706</v>
      </c>
      <c r="C647" s="5" t="s">
        <v>3088</v>
      </c>
      <c r="E647" s="5" t="s">
        <v>498</v>
      </c>
      <c r="G647" s="5">
        <v>3028046689</v>
      </c>
    </row>
    <row r="648" spans="1:9" ht="12.5">
      <c r="A648" s="5">
        <v>22645270</v>
      </c>
      <c r="B648" s="5" t="s">
        <v>23706</v>
      </c>
      <c r="C648" s="5" t="s">
        <v>1489</v>
      </c>
      <c r="E648" s="5" t="s">
        <v>3336</v>
      </c>
      <c r="G648" s="5">
        <v>3215509481</v>
      </c>
    </row>
    <row r="649" spans="1:9" ht="12.5">
      <c r="A649" s="5">
        <v>1048071986</v>
      </c>
      <c r="B649" s="5" t="s">
        <v>23706</v>
      </c>
      <c r="C649" s="5" t="s">
        <v>3341</v>
      </c>
      <c r="E649" s="5" t="s">
        <v>3342</v>
      </c>
      <c r="G649" s="5">
        <v>7757433</v>
      </c>
    </row>
    <row r="650" spans="1:9" ht="12.5">
      <c r="A650" s="5">
        <v>1002011458</v>
      </c>
      <c r="B650" s="5" t="s">
        <v>23706</v>
      </c>
      <c r="C650" s="5" t="s">
        <v>3347</v>
      </c>
      <c r="E650" s="5" t="s">
        <v>3348</v>
      </c>
      <c r="G650" s="5">
        <v>3004730221</v>
      </c>
    </row>
    <row r="651" spans="1:9" ht="12.5">
      <c r="A651" s="5">
        <v>7570680</v>
      </c>
      <c r="B651" s="5" t="s">
        <v>23706</v>
      </c>
      <c r="C651" s="5" t="s">
        <v>3344</v>
      </c>
      <c r="E651" s="5" t="s">
        <v>3345</v>
      </c>
      <c r="G651" s="5">
        <v>3008170074</v>
      </c>
    </row>
    <row r="652" spans="1:9" ht="12.5">
      <c r="A652" s="5">
        <v>1001873847</v>
      </c>
      <c r="B652" s="5" t="s">
        <v>23706</v>
      </c>
      <c r="C652" s="5" t="s">
        <v>3352</v>
      </c>
      <c r="E652" s="5" t="s">
        <v>3353</v>
      </c>
      <c r="G652" s="5">
        <v>5955030</v>
      </c>
    </row>
    <row r="653" spans="1:9" ht="12.5">
      <c r="A653" s="5">
        <v>32873283</v>
      </c>
      <c r="B653" s="5" t="s">
        <v>23706</v>
      </c>
      <c r="C653" s="5" t="s">
        <v>8844</v>
      </c>
      <c r="E653" s="5" t="s">
        <v>6024</v>
      </c>
      <c r="G653" s="5">
        <v>3008108213</v>
      </c>
    </row>
    <row r="654" spans="1:9" ht="12.5">
      <c r="A654" s="5">
        <v>1002034144</v>
      </c>
      <c r="B654" s="5" t="s">
        <v>23706</v>
      </c>
      <c r="C654" s="5" t="s">
        <v>3363</v>
      </c>
      <c r="E654" s="5" t="s">
        <v>3364</v>
      </c>
      <c r="G654" s="5">
        <v>3008784451</v>
      </c>
      <c r="I654" s="5" t="s">
        <v>23928</v>
      </c>
    </row>
    <row r="655" spans="1:9" ht="12.5">
      <c r="A655" s="5">
        <v>1048064261</v>
      </c>
      <c r="B655" s="5" t="s">
        <v>23706</v>
      </c>
      <c r="C655" s="5" t="s">
        <v>638</v>
      </c>
      <c r="G655" s="5">
        <v>3148447946</v>
      </c>
    </row>
    <row r="656" spans="1:9" ht="12.5">
      <c r="A656" s="5">
        <v>381559</v>
      </c>
      <c r="B656" s="5" t="s">
        <v>23706</v>
      </c>
      <c r="C656" s="5" t="s">
        <v>9674</v>
      </c>
      <c r="E656" s="5" t="s">
        <v>9675</v>
      </c>
      <c r="G656" s="5">
        <v>3023208311</v>
      </c>
    </row>
    <row r="657" spans="1:7" ht="12.5">
      <c r="A657" s="5">
        <v>1026551702</v>
      </c>
      <c r="B657" s="5" t="s">
        <v>23706</v>
      </c>
      <c r="C657" s="5" t="s">
        <v>3368</v>
      </c>
      <c r="E657" s="5" t="s">
        <v>3369</v>
      </c>
      <c r="G657" s="5">
        <v>3216782120</v>
      </c>
    </row>
    <row r="658" spans="1:7" ht="12.5">
      <c r="A658" s="5">
        <v>22735483</v>
      </c>
      <c r="B658" s="5" t="s">
        <v>23706</v>
      </c>
      <c r="C658" s="5" t="s">
        <v>23929</v>
      </c>
      <c r="E658" s="5" t="s">
        <v>2413</v>
      </c>
      <c r="G658" s="5">
        <v>3115165870</v>
      </c>
    </row>
    <row r="659" spans="1:7" ht="12.5">
      <c r="A659" s="5">
        <v>9999</v>
      </c>
      <c r="B659" s="5" t="s">
        <v>23782</v>
      </c>
      <c r="C659" s="5" t="s">
        <v>23930</v>
      </c>
      <c r="E659" s="5" t="s">
        <v>23931</v>
      </c>
      <c r="G659" s="5">
        <v>3001720582</v>
      </c>
    </row>
    <row r="660" spans="1:7" ht="12.5">
      <c r="A660" s="5">
        <v>1140875365</v>
      </c>
      <c r="B660" s="5" t="s">
        <v>23706</v>
      </c>
      <c r="C660" s="5" t="s">
        <v>698</v>
      </c>
      <c r="E660" s="5" t="s">
        <v>3394</v>
      </c>
      <c r="G660" s="5">
        <v>3173708729</v>
      </c>
    </row>
    <row r="661" spans="1:7" ht="12.5">
      <c r="A661" s="5">
        <v>1143263331</v>
      </c>
      <c r="B661" s="5" t="s">
        <v>23706</v>
      </c>
      <c r="C661" s="5" t="s">
        <v>3389</v>
      </c>
      <c r="E661" s="5" t="s">
        <v>3390</v>
      </c>
      <c r="G661" s="5">
        <v>3247140358</v>
      </c>
    </row>
    <row r="662" spans="1:7" ht="12.5">
      <c r="A662" s="5">
        <v>1045740577</v>
      </c>
      <c r="B662" s="5" t="s">
        <v>23706</v>
      </c>
      <c r="C662" s="5" t="s">
        <v>3383</v>
      </c>
      <c r="E662" s="5" t="s">
        <v>3384</v>
      </c>
      <c r="G662" s="5">
        <v>3145783087</v>
      </c>
    </row>
    <row r="663" spans="1:7" ht="12.5">
      <c r="A663" s="5">
        <v>1193591396</v>
      </c>
      <c r="B663" s="5" t="s">
        <v>23706</v>
      </c>
      <c r="C663" s="5" t="s">
        <v>297</v>
      </c>
      <c r="E663" s="5" t="s">
        <v>3399</v>
      </c>
      <c r="G663" s="5">
        <v>3014499535</v>
      </c>
    </row>
    <row r="664" spans="1:7" ht="12.5">
      <c r="A664" s="5">
        <v>2410276838</v>
      </c>
      <c r="B664" s="5" t="s">
        <v>23706</v>
      </c>
      <c r="C664" s="5" t="s">
        <v>3403</v>
      </c>
      <c r="E664" s="5" t="s">
        <v>31</v>
      </c>
      <c r="G664" s="5">
        <v>3006021235</v>
      </c>
    </row>
    <row r="665" spans="1:7" ht="12.5">
      <c r="A665" s="5">
        <v>1001945555</v>
      </c>
      <c r="B665" s="5" t="s">
        <v>23706</v>
      </c>
      <c r="C665" s="5" t="s">
        <v>23932</v>
      </c>
      <c r="E665" s="5" t="s">
        <v>3418</v>
      </c>
      <c r="G665" s="5">
        <v>3167262441</v>
      </c>
    </row>
    <row r="666" spans="1:7" ht="12.5">
      <c r="A666" s="5">
        <v>72303526</v>
      </c>
      <c r="B666" s="5" t="s">
        <v>23706</v>
      </c>
      <c r="C666" s="5" t="s">
        <v>3405</v>
      </c>
      <c r="E666" s="5" t="s">
        <v>116</v>
      </c>
      <c r="G666" s="5">
        <v>3157555579</v>
      </c>
    </row>
    <row r="667" spans="1:7" ht="12.5">
      <c r="A667" s="5">
        <v>1065635561</v>
      </c>
      <c r="B667" s="5" t="s">
        <v>23706</v>
      </c>
      <c r="C667" s="5" t="s">
        <v>23933</v>
      </c>
      <c r="E667" s="5" t="s">
        <v>23934</v>
      </c>
      <c r="G667" s="5" t="s">
        <v>3411</v>
      </c>
    </row>
    <row r="668" spans="1:7" ht="12.5">
      <c r="A668" s="5">
        <v>22519735</v>
      </c>
      <c r="B668" s="5" t="s">
        <v>23706</v>
      </c>
      <c r="C668" s="5" t="s">
        <v>3413</v>
      </c>
      <c r="E668" s="5" t="s">
        <v>3414</v>
      </c>
      <c r="G668" s="5">
        <v>205420111</v>
      </c>
    </row>
    <row r="669" spans="1:7" ht="12.5">
      <c r="A669" s="5">
        <v>72148947</v>
      </c>
      <c r="B669" s="5" t="s">
        <v>23706</v>
      </c>
      <c r="C669" s="5" t="s">
        <v>362</v>
      </c>
      <c r="E669" s="5" t="s">
        <v>1070</v>
      </c>
      <c r="G669" s="5">
        <v>3126600430</v>
      </c>
    </row>
    <row r="670" spans="1:7" ht="12.5">
      <c r="A670" s="5">
        <v>1047038579</v>
      </c>
      <c r="B670" s="5" t="s">
        <v>23706</v>
      </c>
      <c r="C670" s="5" t="s">
        <v>23935</v>
      </c>
      <c r="E670" s="5" t="s">
        <v>3430</v>
      </c>
      <c r="G670" s="5">
        <v>3245840057</v>
      </c>
    </row>
    <row r="671" spans="1:7" ht="12.5">
      <c r="A671" s="5">
        <v>1140860616</v>
      </c>
      <c r="B671" s="5" t="s">
        <v>23706</v>
      </c>
      <c r="C671" s="5" t="s">
        <v>23936</v>
      </c>
      <c r="E671" s="5" t="s">
        <v>23712</v>
      </c>
      <c r="G671" s="5">
        <v>3042045457</v>
      </c>
    </row>
    <row r="672" spans="1:7" ht="12.5">
      <c r="A672" s="5">
        <v>1140890240</v>
      </c>
      <c r="B672" s="5" t="s">
        <v>23706</v>
      </c>
      <c r="C672" s="5" t="s">
        <v>8432</v>
      </c>
      <c r="E672" s="5" t="s">
        <v>23937</v>
      </c>
      <c r="G672" s="5">
        <v>3043918780</v>
      </c>
    </row>
    <row r="673" spans="1:9" ht="12.5">
      <c r="A673" s="5">
        <v>1140828850</v>
      </c>
      <c r="B673" s="5" t="s">
        <v>23706</v>
      </c>
      <c r="C673" s="5" t="s">
        <v>3470</v>
      </c>
      <c r="E673" s="5" t="s">
        <v>93</v>
      </c>
      <c r="G673" s="5">
        <v>3008014022</v>
      </c>
    </row>
    <row r="674" spans="1:9" ht="12.5">
      <c r="A674" s="5">
        <v>1129571610</v>
      </c>
      <c r="B674" s="5" t="s">
        <v>23706</v>
      </c>
      <c r="C674" s="5" t="s">
        <v>3441</v>
      </c>
      <c r="E674" s="5" t="s">
        <v>3442</v>
      </c>
      <c r="G674" s="5">
        <v>3137958983</v>
      </c>
    </row>
    <row r="675" spans="1:9" ht="12.5">
      <c r="A675" s="5">
        <v>1140838222</v>
      </c>
      <c r="B675" s="5" t="s">
        <v>23706</v>
      </c>
      <c r="C675" s="5" t="s">
        <v>1651</v>
      </c>
      <c r="E675" s="5" t="s">
        <v>2560</v>
      </c>
      <c r="G675" s="5">
        <v>3012780735</v>
      </c>
    </row>
    <row r="676" spans="1:9" ht="12.5">
      <c r="A676" s="5">
        <v>1020792146</v>
      </c>
      <c r="B676" s="5" t="s">
        <v>23706</v>
      </c>
      <c r="C676" s="5" t="s">
        <v>23938</v>
      </c>
      <c r="E676" s="5" t="s">
        <v>3448</v>
      </c>
      <c r="G676" s="5">
        <v>3208500979</v>
      </c>
    </row>
    <row r="677" spans="1:9" ht="12.5">
      <c r="A677" s="5">
        <v>1020802657</v>
      </c>
      <c r="B677" s="5" t="s">
        <v>23706</v>
      </c>
      <c r="C677" s="5" t="s">
        <v>3450</v>
      </c>
      <c r="E677" s="5" t="s">
        <v>3456</v>
      </c>
      <c r="G677" s="5">
        <v>3162513611</v>
      </c>
    </row>
    <row r="678" spans="1:9" ht="12.5">
      <c r="A678" s="5">
        <v>39779176</v>
      </c>
      <c r="B678" s="5" t="s">
        <v>23706</v>
      </c>
      <c r="C678" s="5" t="s">
        <v>3452</v>
      </c>
      <c r="E678" s="5" t="s">
        <v>498</v>
      </c>
      <c r="G678" s="5">
        <v>3185357533</v>
      </c>
    </row>
    <row r="679" spans="1:9" ht="12.5">
      <c r="A679" s="5">
        <v>1140893965</v>
      </c>
      <c r="B679" s="5" t="s">
        <v>23706</v>
      </c>
      <c r="C679" s="5" t="s">
        <v>23939</v>
      </c>
      <c r="E679" s="5" t="s">
        <v>3462</v>
      </c>
      <c r="G679" s="5">
        <v>3143998822</v>
      </c>
    </row>
    <row r="680" spans="1:9" ht="12.5">
      <c r="A680" s="5">
        <v>1127913646</v>
      </c>
      <c r="B680" s="5" t="s">
        <v>23706</v>
      </c>
      <c r="C680" s="5" t="s">
        <v>3477</v>
      </c>
      <c r="E680" s="5" t="s">
        <v>3478</v>
      </c>
      <c r="G680" s="5">
        <v>3176802414</v>
      </c>
    </row>
    <row r="681" spans="1:9" ht="12.5">
      <c r="A681" s="5">
        <v>1002208919</v>
      </c>
      <c r="B681" s="5" t="s">
        <v>23706</v>
      </c>
      <c r="C681" s="5" t="s">
        <v>3466</v>
      </c>
      <c r="E681" s="5" t="s">
        <v>3467</v>
      </c>
      <c r="G681" s="5">
        <v>3024009260</v>
      </c>
    </row>
    <row r="682" spans="1:9" ht="12.5">
      <c r="A682" s="5">
        <v>1002032948</v>
      </c>
      <c r="B682" s="5" t="s">
        <v>23706</v>
      </c>
      <c r="C682" s="5" t="s">
        <v>1075</v>
      </c>
      <c r="E682" s="5" t="s">
        <v>1968</v>
      </c>
      <c r="G682" s="5">
        <v>3012785841</v>
      </c>
    </row>
    <row r="683" spans="1:9" ht="12.5">
      <c r="A683" s="5">
        <v>32760959</v>
      </c>
      <c r="B683" s="5" t="s">
        <v>23706</v>
      </c>
      <c r="C683" s="5" t="s">
        <v>23940</v>
      </c>
      <c r="E683" s="5" t="s">
        <v>3486</v>
      </c>
      <c r="G683" s="5">
        <v>3008004475</v>
      </c>
    </row>
    <row r="684" spans="1:9" ht="12.5">
      <c r="A684" s="5">
        <v>1083009291</v>
      </c>
      <c r="B684" s="5" t="s">
        <v>23706</v>
      </c>
      <c r="C684" s="5" t="s">
        <v>1706</v>
      </c>
      <c r="E684" s="5" t="s">
        <v>1344</v>
      </c>
      <c r="G684" s="5">
        <v>3004377796</v>
      </c>
    </row>
    <row r="685" spans="1:9" ht="12.5">
      <c r="A685" s="5">
        <v>900521807</v>
      </c>
      <c r="B685" s="5" t="s">
        <v>23706</v>
      </c>
      <c r="C685" s="5" t="s">
        <v>5734</v>
      </c>
      <c r="E685" s="5"/>
      <c r="G685" s="5">
        <v>3153543653</v>
      </c>
      <c r="I685" s="5" t="s">
        <v>23941</v>
      </c>
    </row>
    <row r="686" spans="1:9" ht="12.5">
      <c r="A686" s="5">
        <v>1234091712</v>
      </c>
      <c r="B686" s="5" t="s">
        <v>23706</v>
      </c>
      <c r="C686" s="5" t="s">
        <v>13822</v>
      </c>
      <c r="E686" s="5"/>
      <c r="G686" s="5">
        <v>3057683063</v>
      </c>
      <c r="I686" s="5" t="s">
        <v>23942</v>
      </c>
    </row>
    <row r="687" spans="1:9" ht="12.5">
      <c r="A687" s="5">
        <v>1140877680</v>
      </c>
      <c r="B687" s="5" t="s">
        <v>23706</v>
      </c>
      <c r="C687" s="5" t="s">
        <v>3503</v>
      </c>
      <c r="E687" s="5" t="s">
        <v>23943</v>
      </c>
      <c r="G687" s="5">
        <v>3003855188</v>
      </c>
    </row>
    <row r="688" spans="1:9" ht="12.5">
      <c r="A688" s="5">
        <v>1143465929</v>
      </c>
      <c r="B688" s="5" t="s">
        <v>23706</v>
      </c>
      <c r="C688" s="5" t="s">
        <v>3499</v>
      </c>
      <c r="E688" s="5" t="s">
        <v>3500</v>
      </c>
      <c r="G688" s="5">
        <v>3102167454</v>
      </c>
    </row>
    <row r="689" spans="1:7" ht="12.5">
      <c r="A689" s="5">
        <v>32776419</v>
      </c>
      <c r="B689" s="5" t="s">
        <v>23706</v>
      </c>
      <c r="C689" s="5" t="s">
        <v>2652</v>
      </c>
      <c r="E689" s="5" t="s">
        <v>3512</v>
      </c>
      <c r="G689" s="5">
        <v>3112205624</v>
      </c>
    </row>
    <row r="690" spans="1:7" ht="12.5">
      <c r="A690" s="5">
        <v>1001915669</v>
      </c>
      <c r="B690" s="5" t="s">
        <v>23706</v>
      </c>
      <c r="C690" s="5" t="s">
        <v>3524</v>
      </c>
      <c r="E690" s="5"/>
      <c r="G690" s="5">
        <v>3103603142</v>
      </c>
    </row>
    <row r="691" spans="1:7" ht="12.5">
      <c r="A691" s="5">
        <v>32748863</v>
      </c>
      <c r="B691" s="5" t="s">
        <v>23706</v>
      </c>
      <c r="C691" s="5" t="s">
        <v>3526</v>
      </c>
      <c r="E691" s="5"/>
      <c r="G691" s="5">
        <v>3174289182</v>
      </c>
    </row>
    <row r="692" spans="1:7" ht="12.5">
      <c r="A692" s="5">
        <v>72217547</v>
      </c>
      <c r="B692" s="5" t="s">
        <v>23706</v>
      </c>
      <c r="C692" s="5" t="s">
        <v>1496</v>
      </c>
      <c r="E692" s="5" t="s">
        <v>3527</v>
      </c>
      <c r="G692" s="5">
        <v>3215396160</v>
      </c>
    </row>
    <row r="693" spans="1:7" ht="12.5">
      <c r="A693" s="5">
        <v>852847</v>
      </c>
      <c r="B693" s="5" t="s">
        <v>23706</v>
      </c>
      <c r="C693" s="5" t="s">
        <v>1051</v>
      </c>
      <c r="E693" s="5" t="s">
        <v>298</v>
      </c>
      <c r="G693" s="5">
        <v>3103505380</v>
      </c>
    </row>
    <row r="694" spans="1:7" ht="12.5">
      <c r="A694" s="5">
        <v>1010152196</v>
      </c>
      <c r="B694" s="5" t="s">
        <v>23706</v>
      </c>
      <c r="C694" s="5" t="s">
        <v>3564</v>
      </c>
      <c r="E694" s="5" t="s">
        <v>3565</v>
      </c>
      <c r="G694" s="5">
        <v>3153365871</v>
      </c>
    </row>
    <row r="695" spans="1:7" ht="12.5">
      <c r="A695" s="5">
        <v>1129572857</v>
      </c>
      <c r="B695" s="5" t="s">
        <v>23706</v>
      </c>
      <c r="C695" s="5" t="s">
        <v>23944</v>
      </c>
      <c r="E695" s="5" t="s">
        <v>3537</v>
      </c>
      <c r="G695" s="5">
        <v>3016217150</v>
      </c>
    </row>
    <row r="696" spans="1:7" ht="12.5">
      <c r="A696" s="5">
        <v>1131064135</v>
      </c>
      <c r="B696" s="5" t="s">
        <v>23706</v>
      </c>
      <c r="C696" s="5" t="s">
        <v>3549</v>
      </c>
      <c r="E696" s="5" t="s">
        <v>3550</v>
      </c>
      <c r="G696" s="5">
        <v>3235129634</v>
      </c>
    </row>
    <row r="697" spans="1:7" ht="12.5">
      <c r="A697" s="5">
        <v>1140898078</v>
      </c>
      <c r="B697" s="5" t="s">
        <v>23706</v>
      </c>
      <c r="C697" s="5" t="s">
        <v>23945</v>
      </c>
      <c r="E697" s="5" t="s">
        <v>3543</v>
      </c>
      <c r="G697" s="5">
        <v>3046631211</v>
      </c>
    </row>
    <row r="698" spans="1:7" ht="12.5">
      <c r="A698" s="5">
        <v>1001780389</v>
      </c>
      <c r="B698" s="5" t="s">
        <v>23706</v>
      </c>
      <c r="C698" s="5" t="s">
        <v>3559</v>
      </c>
      <c r="E698" s="5" t="s">
        <v>3560</v>
      </c>
      <c r="G698" s="5">
        <v>3016888389</v>
      </c>
    </row>
    <row r="699" spans="1:7" ht="12.5">
      <c r="A699" s="5">
        <v>32769928</v>
      </c>
      <c r="B699" s="5" t="s">
        <v>23706</v>
      </c>
      <c r="C699" s="5" t="s">
        <v>3554</v>
      </c>
      <c r="E699" s="5" t="s">
        <v>3555</v>
      </c>
      <c r="G699" s="5">
        <v>3133486214</v>
      </c>
    </row>
    <row r="700" spans="1:7" ht="12.5">
      <c r="A700" s="5">
        <v>1140893435</v>
      </c>
      <c r="B700" s="5" t="s">
        <v>23706</v>
      </c>
      <c r="C700" s="5" t="s">
        <v>3547</v>
      </c>
      <c r="E700" s="5" t="s">
        <v>31</v>
      </c>
      <c r="G700" s="5">
        <v>3168234898</v>
      </c>
    </row>
    <row r="701" spans="1:7" ht="12.5">
      <c r="A701" s="5">
        <v>1081792070</v>
      </c>
      <c r="B701" s="5" t="s">
        <v>23706</v>
      </c>
      <c r="C701" s="5" t="s">
        <v>2818</v>
      </c>
      <c r="E701" s="5" t="s">
        <v>1776</v>
      </c>
      <c r="G701" s="5">
        <v>3113858248</v>
      </c>
    </row>
    <row r="702" spans="1:7" ht="12.5">
      <c r="A702" s="5">
        <v>72283641</v>
      </c>
      <c r="B702" s="5" t="s">
        <v>23706</v>
      </c>
      <c r="C702" s="5" t="s">
        <v>23946</v>
      </c>
      <c r="E702" s="5" t="s">
        <v>116</v>
      </c>
      <c r="G702" s="5">
        <v>3208608128</v>
      </c>
    </row>
    <row r="703" spans="1:7" ht="12.5">
      <c r="A703" s="5">
        <v>22468326</v>
      </c>
      <c r="B703" s="5" t="s">
        <v>23706</v>
      </c>
      <c r="C703" s="5" t="s">
        <v>23947</v>
      </c>
      <c r="E703" s="5" t="s">
        <v>3571</v>
      </c>
      <c r="G703" s="5">
        <v>3202117860</v>
      </c>
    </row>
    <row r="704" spans="1:7" ht="12.5">
      <c r="A704" s="5">
        <v>1029860780</v>
      </c>
      <c r="B704" s="5" t="s">
        <v>23706</v>
      </c>
      <c r="C704" s="5" t="s">
        <v>3588</v>
      </c>
      <c r="E704" s="5" t="s">
        <v>4169</v>
      </c>
      <c r="G704" s="5">
        <v>3005587285</v>
      </c>
    </row>
    <row r="705" spans="1:9" ht="12.5">
      <c r="A705" s="5">
        <v>1140880423</v>
      </c>
      <c r="B705" s="5" t="s">
        <v>23706</v>
      </c>
      <c r="C705" s="5" t="s">
        <v>1542</v>
      </c>
      <c r="E705" s="5" t="s">
        <v>451</v>
      </c>
      <c r="G705" s="5">
        <v>3006675662</v>
      </c>
    </row>
    <row r="706" spans="1:9" ht="12.5">
      <c r="A706" s="5">
        <v>468379</v>
      </c>
      <c r="B706" s="5" t="s">
        <v>23706</v>
      </c>
      <c r="C706" s="5" t="s">
        <v>3584</v>
      </c>
      <c r="E706" s="5" t="s">
        <v>93</v>
      </c>
      <c r="G706" s="5">
        <v>3014333190</v>
      </c>
    </row>
    <row r="707" spans="1:9" ht="12.5">
      <c r="A707" s="5">
        <v>1140825082</v>
      </c>
      <c r="B707" s="5" t="s">
        <v>23706</v>
      </c>
      <c r="C707" s="5" t="s">
        <v>1742</v>
      </c>
      <c r="E707" s="5" t="s">
        <v>3607</v>
      </c>
      <c r="G707" s="5">
        <v>3002733283</v>
      </c>
    </row>
    <row r="708" spans="1:9" ht="12.5">
      <c r="A708" s="5">
        <v>2410633004</v>
      </c>
      <c r="B708" s="5" t="s">
        <v>23706</v>
      </c>
      <c r="C708" s="5" t="s">
        <v>3594</v>
      </c>
      <c r="E708" s="5" t="s">
        <v>31</v>
      </c>
      <c r="G708" s="5">
        <v>3478458739</v>
      </c>
    </row>
    <row r="709" spans="1:9" ht="12.5">
      <c r="A709" s="5">
        <v>1140848171</v>
      </c>
      <c r="B709" s="5" t="s">
        <v>23706</v>
      </c>
      <c r="C709" s="5" t="s">
        <v>3603</v>
      </c>
      <c r="E709" s="5" t="s">
        <v>3604</v>
      </c>
      <c r="G709" s="5">
        <v>3004378731</v>
      </c>
    </row>
    <row r="710" spans="1:9" ht="12.5">
      <c r="A710" s="5">
        <v>45565072</v>
      </c>
      <c r="B710" s="5" t="s">
        <v>23706</v>
      </c>
      <c r="C710" s="5" t="s">
        <v>799</v>
      </c>
      <c r="E710" s="5" t="s">
        <v>23948</v>
      </c>
      <c r="G710" s="5">
        <v>3143556216</v>
      </c>
    </row>
    <row r="711" spans="1:9" ht="12.5">
      <c r="A711" s="5">
        <v>1082912070</v>
      </c>
      <c r="B711" s="5" t="s">
        <v>23706</v>
      </c>
      <c r="C711" s="5" t="s">
        <v>2856</v>
      </c>
      <c r="E711" s="5" t="s">
        <v>3601</v>
      </c>
      <c r="G711" s="5">
        <v>3107460370</v>
      </c>
    </row>
    <row r="712" spans="1:9" ht="12.5">
      <c r="A712" s="5">
        <v>1045722117</v>
      </c>
      <c r="B712" s="5" t="s">
        <v>23706</v>
      </c>
      <c r="C712" s="5" t="s">
        <v>825</v>
      </c>
      <c r="E712" s="5" t="s">
        <v>3616</v>
      </c>
      <c r="G712" s="5">
        <v>3024060581</v>
      </c>
    </row>
    <row r="713" spans="1:9" ht="12.5">
      <c r="A713" s="5">
        <v>19322053</v>
      </c>
      <c r="B713" s="5" t="s">
        <v>23706</v>
      </c>
      <c r="C713" s="5" t="s">
        <v>3612</v>
      </c>
      <c r="E713" s="5" t="s">
        <v>3613</v>
      </c>
      <c r="G713" s="5">
        <v>0</v>
      </c>
    </row>
    <row r="714" spans="1:9" ht="12.5">
      <c r="A714" s="5">
        <v>72302465</v>
      </c>
      <c r="B714" s="5" t="s">
        <v>23706</v>
      </c>
      <c r="C714" s="5" t="s">
        <v>1051</v>
      </c>
      <c r="E714" s="5" t="s">
        <v>3624</v>
      </c>
      <c r="G714" s="5">
        <v>3148143879</v>
      </c>
    </row>
    <row r="715" spans="1:9" ht="12.5">
      <c r="A715" s="5">
        <v>1140829406</v>
      </c>
      <c r="B715" s="5" t="s">
        <v>23706</v>
      </c>
      <c r="C715" s="5" t="s">
        <v>3621</v>
      </c>
      <c r="E715" s="5" t="s">
        <v>3622</v>
      </c>
      <c r="G715" s="5">
        <v>4188057</v>
      </c>
    </row>
    <row r="716" spans="1:9" ht="12.5">
      <c r="A716" s="5">
        <v>22551560</v>
      </c>
      <c r="B716" s="5" t="s">
        <v>23706</v>
      </c>
      <c r="C716" s="5" t="s">
        <v>3628</v>
      </c>
      <c r="E716" s="5" t="s">
        <v>3629</v>
      </c>
      <c r="G716" s="5">
        <v>3135208717</v>
      </c>
    </row>
    <row r="717" spans="1:9" ht="12.5">
      <c r="A717" s="5">
        <v>1043660133</v>
      </c>
      <c r="B717" s="5" t="s">
        <v>23706</v>
      </c>
      <c r="C717" s="5" t="s">
        <v>3632</v>
      </c>
      <c r="E717" s="5" t="s">
        <v>3633</v>
      </c>
      <c r="G717" s="5">
        <v>6053867230</v>
      </c>
    </row>
    <row r="718" spans="1:9" ht="12.5">
      <c r="A718" s="5">
        <v>43107714</v>
      </c>
      <c r="B718" s="5" t="s">
        <v>23706</v>
      </c>
      <c r="C718" s="5" t="s">
        <v>9417</v>
      </c>
      <c r="E718" s="5" t="s">
        <v>2144</v>
      </c>
      <c r="G718" s="5">
        <v>3045460222</v>
      </c>
    </row>
    <row r="719" spans="1:9" ht="12.5">
      <c r="A719" s="5">
        <v>32748915</v>
      </c>
      <c r="B719" s="5" t="s">
        <v>23706</v>
      </c>
      <c r="C719" s="5" t="s">
        <v>3653</v>
      </c>
      <c r="E719" s="5" t="s">
        <v>116</v>
      </c>
      <c r="G719" s="10" t="s">
        <v>23949</v>
      </c>
    </row>
    <row r="720" spans="1:9" ht="12.5">
      <c r="A720" s="5">
        <v>1002241187</v>
      </c>
      <c r="B720" s="5" t="s">
        <v>23706</v>
      </c>
      <c r="C720" s="5" t="s">
        <v>14017</v>
      </c>
      <c r="E720" s="5"/>
      <c r="G720" s="5">
        <v>3015245531</v>
      </c>
      <c r="I720" s="5" t="s">
        <v>23950</v>
      </c>
    </row>
    <row r="721" spans="1:7" ht="12.5">
      <c r="A721" s="5">
        <v>1192748549</v>
      </c>
      <c r="B721" s="5" t="s">
        <v>23706</v>
      </c>
      <c r="C721" s="5" t="s">
        <v>7228</v>
      </c>
      <c r="E721" s="5" t="s">
        <v>3665</v>
      </c>
      <c r="G721" s="5">
        <v>3226141550</v>
      </c>
    </row>
    <row r="722" spans="1:7" ht="12.5">
      <c r="A722" s="5">
        <v>1007124631</v>
      </c>
      <c r="B722" s="5" t="s">
        <v>23706</v>
      </c>
      <c r="C722" s="5" t="s">
        <v>3647</v>
      </c>
      <c r="E722" s="5" t="s">
        <v>3648</v>
      </c>
      <c r="G722" s="5">
        <v>3226247690</v>
      </c>
    </row>
    <row r="723" spans="1:7" ht="12.5">
      <c r="A723" s="5">
        <v>1045746938</v>
      </c>
      <c r="B723" s="5" t="s">
        <v>23706</v>
      </c>
      <c r="C723" s="5" t="s">
        <v>3650</v>
      </c>
      <c r="E723" s="5" t="s">
        <v>3651</v>
      </c>
      <c r="G723" s="5">
        <v>3016016376</v>
      </c>
    </row>
    <row r="724" spans="1:7" ht="12.5">
      <c r="A724" s="5">
        <v>1016834193</v>
      </c>
      <c r="B724" s="5" t="s">
        <v>23706</v>
      </c>
      <c r="C724" s="5" t="s">
        <v>3676</v>
      </c>
      <c r="E724" s="5" t="s">
        <v>3677</v>
      </c>
      <c r="G724" s="5">
        <v>3004290540</v>
      </c>
    </row>
    <row r="725" spans="1:7" ht="12.5">
      <c r="A725" s="5">
        <v>32686904</v>
      </c>
      <c r="B725" s="5" t="s">
        <v>23706</v>
      </c>
      <c r="C725" s="5" t="s">
        <v>262</v>
      </c>
      <c r="E725" s="5" t="s">
        <v>3658</v>
      </c>
      <c r="G725" s="5">
        <v>3008103250</v>
      </c>
    </row>
    <row r="726" spans="1:7" ht="12.5">
      <c r="A726" s="5">
        <v>1129505352</v>
      </c>
      <c r="B726" s="5" t="s">
        <v>23706</v>
      </c>
      <c r="C726" s="5" t="s">
        <v>3549</v>
      </c>
      <c r="E726" s="5" t="s">
        <v>23951</v>
      </c>
      <c r="G726" s="5">
        <v>3212746683</v>
      </c>
    </row>
    <row r="727" spans="1:7" ht="12.5">
      <c r="A727" s="5">
        <v>1048067692</v>
      </c>
      <c r="B727" s="5" t="s">
        <v>23706</v>
      </c>
      <c r="C727" s="5" t="s">
        <v>7744</v>
      </c>
      <c r="E727" s="5" t="s">
        <v>699</v>
      </c>
      <c r="G727" s="5">
        <v>3150508044</v>
      </c>
    </row>
    <row r="728" spans="1:7" ht="12.5">
      <c r="A728" s="5">
        <v>22468401</v>
      </c>
      <c r="B728" s="5" t="s">
        <v>23706</v>
      </c>
      <c r="C728" s="5" t="s">
        <v>3686</v>
      </c>
      <c r="E728" s="5" t="s">
        <v>2517</v>
      </c>
      <c r="G728" s="5">
        <v>3104236051</v>
      </c>
    </row>
    <row r="729" spans="1:7" ht="12.5">
      <c r="A729" s="5">
        <v>55313139</v>
      </c>
      <c r="B729" s="5" t="s">
        <v>23706</v>
      </c>
      <c r="C729" s="5" t="s">
        <v>3450</v>
      </c>
      <c r="E729" s="5" t="s">
        <v>3690</v>
      </c>
      <c r="G729" s="5">
        <v>3107067779</v>
      </c>
    </row>
    <row r="730" spans="1:7" ht="12.5">
      <c r="A730" s="5">
        <v>901891383</v>
      </c>
      <c r="B730" s="5" t="s">
        <v>23782</v>
      </c>
      <c r="C730" s="5" t="s">
        <v>23952</v>
      </c>
      <c r="E730" s="5" t="s">
        <v>3715</v>
      </c>
      <c r="G730" s="5">
        <v>3242656240</v>
      </c>
    </row>
    <row r="731" spans="1:7" ht="12.5">
      <c r="A731" s="5">
        <v>11408562229</v>
      </c>
      <c r="B731" s="5" t="s">
        <v>23706</v>
      </c>
      <c r="C731" s="5" t="s">
        <v>445</v>
      </c>
      <c r="E731" s="5" t="s">
        <v>3694</v>
      </c>
      <c r="G731" s="5">
        <v>0</v>
      </c>
    </row>
    <row r="732" spans="1:7" ht="12.5">
      <c r="A732" s="5">
        <v>1001897437</v>
      </c>
      <c r="B732" s="5" t="s">
        <v>23706</v>
      </c>
      <c r="C732" s="5" t="s">
        <v>84</v>
      </c>
      <c r="E732" s="5" t="s">
        <v>3616</v>
      </c>
      <c r="G732" s="5">
        <v>3175769823</v>
      </c>
    </row>
    <row r="733" spans="1:7" ht="12.5">
      <c r="A733" s="5">
        <v>72153558</v>
      </c>
      <c r="B733" s="5" t="s">
        <v>23706</v>
      </c>
      <c r="C733" s="5" t="s">
        <v>84</v>
      </c>
      <c r="E733" s="5" t="s">
        <v>3697</v>
      </c>
      <c r="G733" s="5">
        <v>3133333730</v>
      </c>
    </row>
    <row r="734" spans="1:7" ht="12.5">
      <c r="A734" s="5">
        <v>114085687</v>
      </c>
      <c r="B734" s="5" t="s">
        <v>23706</v>
      </c>
      <c r="C734" s="5" t="s">
        <v>3706</v>
      </c>
      <c r="E734" s="5" t="s">
        <v>3707</v>
      </c>
      <c r="G734" s="5">
        <v>3006316298</v>
      </c>
    </row>
    <row r="735" spans="1:7" ht="12.5">
      <c r="A735" s="5">
        <v>1047229116</v>
      </c>
      <c r="B735" s="5" t="s">
        <v>23706</v>
      </c>
      <c r="C735" s="5" t="s">
        <v>23953</v>
      </c>
      <c r="E735" s="5" t="s">
        <v>23954</v>
      </c>
      <c r="G735" s="5">
        <v>3135966368</v>
      </c>
    </row>
    <row r="736" spans="1:7" ht="12.5">
      <c r="A736" s="5">
        <v>1140885936</v>
      </c>
      <c r="B736" s="5" t="s">
        <v>23706</v>
      </c>
      <c r="C736" s="5" t="s">
        <v>3450</v>
      </c>
      <c r="E736" s="5" t="s">
        <v>3968</v>
      </c>
      <c r="G736" s="5">
        <v>3145354220</v>
      </c>
    </row>
    <row r="737" spans="1:9" ht="12.5">
      <c r="A737" s="5">
        <v>1048068520</v>
      </c>
      <c r="B737" s="5" t="s">
        <v>23706</v>
      </c>
      <c r="C737" s="5" t="s">
        <v>3647</v>
      </c>
      <c r="E737" s="5" t="s">
        <v>40</v>
      </c>
      <c r="G737" s="5">
        <v>3163040373</v>
      </c>
    </row>
    <row r="738" spans="1:9" ht="12.5">
      <c r="A738" s="5">
        <v>72156249</v>
      </c>
      <c r="B738" s="5" t="s">
        <v>23706</v>
      </c>
      <c r="C738" s="5" t="s">
        <v>5182</v>
      </c>
      <c r="E738" s="5" t="s">
        <v>2423</v>
      </c>
      <c r="G738" s="5">
        <v>164745602</v>
      </c>
    </row>
    <row r="739" spans="1:9" ht="12.5">
      <c r="A739" s="5">
        <v>0</v>
      </c>
      <c r="B739" s="5" t="s">
        <v>23706</v>
      </c>
      <c r="C739" s="5" t="s">
        <v>23955</v>
      </c>
      <c r="E739" s="5" t="s">
        <v>3728</v>
      </c>
      <c r="G739" s="5">
        <v>0</v>
      </c>
    </row>
    <row r="740" spans="1:9" ht="12.5">
      <c r="A740" s="5">
        <v>79326014</v>
      </c>
      <c r="B740" s="5" t="s">
        <v>23706</v>
      </c>
      <c r="C740" s="5" t="s">
        <v>3732</v>
      </c>
      <c r="E740" s="5" t="s">
        <v>3733</v>
      </c>
      <c r="G740" s="5">
        <v>3205746096</v>
      </c>
      <c r="I740" s="5" t="s">
        <v>23956</v>
      </c>
    </row>
    <row r="741" spans="1:9" ht="12.5">
      <c r="A741" s="5">
        <v>55304262</v>
      </c>
      <c r="B741" s="5" t="s">
        <v>23706</v>
      </c>
      <c r="C741" s="5" t="s">
        <v>3737</v>
      </c>
      <c r="E741" s="5" t="s">
        <v>2419</v>
      </c>
      <c r="G741" s="5">
        <v>6956024</v>
      </c>
    </row>
    <row r="742" spans="1:9" ht="12.5">
      <c r="A742" s="5">
        <v>1129572844</v>
      </c>
      <c r="B742" s="5" t="s">
        <v>23706</v>
      </c>
      <c r="C742" s="5" t="s">
        <v>23957</v>
      </c>
      <c r="E742" s="5" t="s">
        <v>3740</v>
      </c>
      <c r="G742" s="5">
        <v>3107283662</v>
      </c>
    </row>
    <row r="743" spans="1:9" ht="12.5">
      <c r="A743" s="5">
        <v>1001999924</v>
      </c>
      <c r="B743" s="5" t="s">
        <v>23706</v>
      </c>
      <c r="C743" s="5" t="s">
        <v>4207</v>
      </c>
      <c r="E743" s="5" t="s">
        <v>3779</v>
      </c>
      <c r="G743" s="5">
        <v>3184088611</v>
      </c>
    </row>
    <row r="744" spans="1:9" ht="12.5">
      <c r="A744" s="5">
        <v>72004348</v>
      </c>
      <c r="B744" s="5" t="s">
        <v>23706</v>
      </c>
      <c r="C744" s="5" t="s">
        <v>2889</v>
      </c>
      <c r="E744" s="5" t="s">
        <v>3749</v>
      </c>
      <c r="G744" s="5">
        <v>19546386150</v>
      </c>
    </row>
    <row r="745" spans="1:9" ht="12.5">
      <c r="A745" s="5">
        <v>1043011339</v>
      </c>
      <c r="B745" s="5" t="s">
        <v>23706</v>
      </c>
      <c r="C745" s="5" t="s">
        <v>3772</v>
      </c>
      <c r="E745" s="5" t="s">
        <v>23958</v>
      </c>
      <c r="G745" s="5">
        <v>3012958428</v>
      </c>
    </row>
    <row r="746" spans="1:9" ht="12.5">
      <c r="A746" s="5">
        <v>32870417</v>
      </c>
      <c r="B746" s="5" t="s">
        <v>23706</v>
      </c>
      <c r="C746" s="5" t="s">
        <v>23959</v>
      </c>
      <c r="E746" s="5" t="s">
        <v>3768</v>
      </c>
      <c r="G746" s="5">
        <v>3205579328</v>
      </c>
    </row>
    <row r="747" spans="1:9" ht="12.5">
      <c r="A747" s="5">
        <v>1140898846</v>
      </c>
      <c r="B747" s="5" t="s">
        <v>23706</v>
      </c>
      <c r="C747" s="5" t="s">
        <v>3761</v>
      </c>
      <c r="E747" s="5" t="s">
        <v>3762</v>
      </c>
      <c r="G747" s="5">
        <v>3154145966</v>
      </c>
    </row>
    <row r="748" spans="1:9" ht="12.5">
      <c r="A748" s="5">
        <v>1129535382</v>
      </c>
      <c r="B748" s="5" t="s">
        <v>23706</v>
      </c>
      <c r="C748" s="5" t="s">
        <v>3756</v>
      </c>
      <c r="E748" s="5" t="s">
        <v>693</v>
      </c>
      <c r="G748" s="5">
        <v>3014441370</v>
      </c>
    </row>
    <row r="749" spans="1:9" ht="12.5">
      <c r="A749" s="5">
        <v>1073510272</v>
      </c>
      <c r="B749" s="5" t="s">
        <v>23706</v>
      </c>
      <c r="C749" s="5" t="s">
        <v>3784</v>
      </c>
      <c r="E749" s="5" t="s">
        <v>3785</v>
      </c>
      <c r="G749" s="5">
        <v>104010588</v>
      </c>
    </row>
    <row r="750" spans="1:9" ht="12.5">
      <c r="A750" s="5">
        <v>41354234</v>
      </c>
      <c r="B750" s="5" t="s">
        <v>23706</v>
      </c>
      <c r="C750" s="5" t="s">
        <v>23960</v>
      </c>
      <c r="E750" s="5" t="s">
        <v>3789</v>
      </c>
      <c r="G750" s="5">
        <v>126922492</v>
      </c>
    </row>
    <row r="751" spans="1:9" ht="12.5">
      <c r="A751" s="5">
        <v>1143470207</v>
      </c>
      <c r="B751" s="5" t="s">
        <v>23706</v>
      </c>
      <c r="C751" s="5" t="s">
        <v>2856</v>
      </c>
      <c r="E751" s="5" t="s">
        <v>3801</v>
      </c>
      <c r="G751" s="5">
        <v>3016257466</v>
      </c>
    </row>
    <row r="752" spans="1:9" ht="12.5">
      <c r="A752" s="5">
        <v>50710484</v>
      </c>
      <c r="B752" s="5" t="s">
        <v>23706</v>
      </c>
      <c r="C752" s="5" t="s">
        <v>23961</v>
      </c>
      <c r="E752" s="5" t="s">
        <v>2419</v>
      </c>
      <c r="G752" s="5">
        <v>15897</v>
      </c>
    </row>
    <row r="753" spans="1:7" ht="12.5">
      <c r="A753" s="5">
        <v>72262474</v>
      </c>
      <c r="B753" s="5" t="s">
        <v>23706</v>
      </c>
      <c r="C753" s="5" t="s">
        <v>3792</v>
      </c>
      <c r="E753" s="5" t="s">
        <v>3793</v>
      </c>
      <c r="G753" s="5">
        <v>3007077222</v>
      </c>
    </row>
    <row r="754" spans="1:7" ht="12.5">
      <c r="A754" s="5">
        <v>1234095489</v>
      </c>
      <c r="B754" s="5" t="s">
        <v>23706</v>
      </c>
      <c r="C754" s="5" t="s">
        <v>3797</v>
      </c>
      <c r="E754" s="5" t="s">
        <v>3798</v>
      </c>
      <c r="G754" s="5">
        <v>3245502191</v>
      </c>
    </row>
    <row r="755" spans="1:7" ht="12.5">
      <c r="A755" s="5">
        <v>1140864101</v>
      </c>
      <c r="B755" s="5" t="s">
        <v>23706</v>
      </c>
      <c r="C755" s="5" t="s">
        <v>3818</v>
      </c>
      <c r="E755" s="5" t="s">
        <v>3819</v>
      </c>
      <c r="G755" s="5">
        <v>3024246133</v>
      </c>
    </row>
    <row r="756" spans="1:7" ht="12.5">
      <c r="A756" s="5">
        <v>1001823231</v>
      </c>
      <c r="B756" s="5" t="s">
        <v>23706</v>
      </c>
      <c r="C756" s="5" t="s">
        <v>1173</v>
      </c>
      <c r="E756" s="5" t="s">
        <v>1141</v>
      </c>
      <c r="G756" s="5">
        <v>17081709</v>
      </c>
    </row>
    <row r="757" spans="1:7" ht="12.5">
      <c r="A757" s="5">
        <v>1047485741</v>
      </c>
      <c r="B757" s="5" t="s">
        <v>23706</v>
      </c>
      <c r="C757" s="5" t="s">
        <v>23962</v>
      </c>
      <c r="E757" s="5" t="s">
        <v>23963</v>
      </c>
      <c r="G757" s="5">
        <v>3106100361</v>
      </c>
    </row>
    <row r="758" spans="1:7" ht="12.5">
      <c r="A758" s="5">
        <v>22463678</v>
      </c>
      <c r="B758" s="5" t="s">
        <v>23706</v>
      </c>
      <c r="C758" s="5" t="s">
        <v>2772</v>
      </c>
      <c r="E758" s="5" t="s">
        <v>3830</v>
      </c>
      <c r="G758" s="5">
        <v>3015426969</v>
      </c>
    </row>
    <row r="759" spans="1:7" ht="12.5">
      <c r="A759" s="5">
        <v>1007496356</v>
      </c>
      <c r="B759" s="5" t="s">
        <v>23706</v>
      </c>
      <c r="C759" s="5" t="s">
        <v>3806</v>
      </c>
      <c r="E759" s="5" t="s">
        <v>3807</v>
      </c>
      <c r="G759" s="5">
        <v>3026003941</v>
      </c>
    </row>
    <row r="760" spans="1:7" ht="12.5">
      <c r="A760" s="5">
        <v>1140899395</v>
      </c>
      <c r="B760" s="5" t="s">
        <v>23706</v>
      </c>
      <c r="C760" s="5" t="s">
        <v>6012</v>
      </c>
      <c r="E760" s="5" t="s">
        <v>23964</v>
      </c>
      <c r="G760" s="5">
        <v>3013952545</v>
      </c>
    </row>
    <row r="761" spans="1:7" ht="12.5">
      <c r="A761" s="5">
        <v>72126222</v>
      </c>
      <c r="B761" s="5" t="s">
        <v>23706</v>
      </c>
      <c r="C761" s="5" t="s">
        <v>9264</v>
      </c>
      <c r="E761" s="5" t="s">
        <v>3810</v>
      </c>
      <c r="G761" s="5">
        <v>3006882930</v>
      </c>
    </row>
    <row r="762" spans="1:7" ht="12.5">
      <c r="A762" s="5">
        <v>80412148</v>
      </c>
      <c r="B762" s="5" t="s">
        <v>23706</v>
      </c>
      <c r="C762" s="5" t="s">
        <v>3813</v>
      </c>
      <c r="E762" s="5" t="s">
        <v>3814</v>
      </c>
      <c r="G762" s="5">
        <v>205211102</v>
      </c>
    </row>
    <row r="763" spans="1:7" ht="12.5">
      <c r="A763" s="5">
        <v>1047414803</v>
      </c>
      <c r="B763" s="5" t="s">
        <v>23706</v>
      </c>
      <c r="C763" s="5" t="s">
        <v>1321</v>
      </c>
      <c r="E763" s="5" t="s">
        <v>3834</v>
      </c>
      <c r="G763" s="5">
        <v>13057915561</v>
      </c>
    </row>
    <row r="764" spans="1:7" ht="12.5">
      <c r="A764" s="5">
        <v>1140859580</v>
      </c>
      <c r="B764" s="5" t="s">
        <v>23706</v>
      </c>
      <c r="C764" s="5" t="s">
        <v>332</v>
      </c>
      <c r="E764" s="5" t="s">
        <v>23965</v>
      </c>
      <c r="G764" s="5">
        <v>3205420874</v>
      </c>
    </row>
    <row r="765" spans="1:7" ht="12.5">
      <c r="A765" s="5">
        <v>0</v>
      </c>
      <c r="B765" s="5" t="s">
        <v>23706</v>
      </c>
      <c r="C765" s="5" t="s">
        <v>2061</v>
      </c>
      <c r="E765" s="5" t="s">
        <v>3843</v>
      </c>
      <c r="G765" s="5">
        <v>0</v>
      </c>
    </row>
    <row r="766" spans="1:7" ht="12.5">
      <c r="A766" s="5">
        <v>0</v>
      </c>
      <c r="B766" s="5" t="s">
        <v>23706</v>
      </c>
      <c r="C766" s="5" t="s">
        <v>23916</v>
      </c>
      <c r="E766" s="5" t="s">
        <v>2677</v>
      </c>
      <c r="G766" s="5">
        <v>18098997974</v>
      </c>
    </row>
    <row r="767" spans="1:7" ht="12.5">
      <c r="A767" s="5">
        <v>1043303548</v>
      </c>
      <c r="B767" s="5" t="s">
        <v>23706</v>
      </c>
      <c r="C767" s="5" t="s">
        <v>3848</v>
      </c>
      <c r="E767" s="5" t="s">
        <v>3849</v>
      </c>
      <c r="G767" s="5">
        <v>3021247219</v>
      </c>
    </row>
    <row r="768" spans="1:7" ht="12.5">
      <c r="A768" s="5">
        <v>22655551</v>
      </c>
      <c r="B768" s="5" t="s">
        <v>23706</v>
      </c>
      <c r="C768" s="5" t="s">
        <v>3426</v>
      </c>
      <c r="E768" s="5" t="s">
        <v>4054</v>
      </c>
      <c r="G768" s="5">
        <v>3188215977</v>
      </c>
    </row>
    <row r="769" spans="1:11" ht="12.5">
      <c r="A769" s="5">
        <v>1016834483</v>
      </c>
      <c r="B769" s="5" t="s">
        <v>23706</v>
      </c>
      <c r="C769" s="5" t="s">
        <v>23966</v>
      </c>
      <c r="E769" s="5" t="s">
        <v>9231</v>
      </c>
      <c r="G769" s="5">
        <v>3113098239</v>
      </c>
    </row>
    <row r="770" spans="1:11" ht="12.5">
      <c r="A770" s="5">
        <v>8661112</v>
      </c>
      <c r="B770" s="5" t="s">
        <v>23706</v>
      </c>
      <c r="C770" s="5" t="s">
        <v>3861</v>
      </c>
      <c r="E770" s="5" t="s">
        <v>3862</v>
      </c>
      <c r="G770" s="5">
        <v>53441399</v>
      </c>
    </row>
    <row r="771" spans="1:11" ht="12.5">
      <c r="A771" s="5">
        <v>0</v>
      </c>
      <c r="B771" s="5" t="s">
        <v>23706</v>
      </c>
      <c r="C771" s="5" t="s">
        <v>3865</v>
      </c>
      <c r="E771" s="5" t="s">
        <v>3866</v>
      </c>
      <c r="G771" s="5">
        <v>0</v>
      </c>
    </row>
    <row r="772" spans="1:11" ht="12.5">
      <c r="A772" s="5">
        <v>1143154490</v>
      </c>
      <c r="B772" s="5" t="s">
        <v>23706</v>
      </c>
      <c r="C772" s="5" t="s">
        <v>23967</v>
      </c>
      <c r="E772" s="5" t="s">
        <v>3869</v>
      </c>
      <c r="G772" s="5">
        <v>2411113224</v>
      </c>
    </row>
    <row r="773" spans="1:11" ht="12.5">
      <c r="A773" s="5">
        <v>55239136</v>
      </c>
      <c r="B773" s="5" t="s">
        <v>23706</v>
      </c>
      <c r="C773" s="5" t="s">
        <v>23968</v>
      </c>
      <c r="E773" s="5" t="s">
        <v>3872</v>
      </c>
      <c r="G773" s="5">
        <v>3016852090</v>
      </c>
    </row>
    <row r="774" spans="1:11" ht="12.5">
      <c r="A774" s="5">
        <v>1140861989</v>
      </c>
      <c r="B774" s="5" t="s">
        <v>23706</v>
      </c>
      <c r="C774" s="5" t="s">
        <v>3876</v>
      </c>
      <c r="E774" s="5" t="s">
        <v>3877</v>
      </c>
      <c r="G774" s="5">
        <v>3014858503</v>
      </c>
    </row>
    <row r="775" spans="1:11" ht="12.5">
      <c r="A775" s="5">
        <v>1034576238</v>
      </c>
      <c r="B775" s="5" t="s">
        <v>23706</v>
      </c>
      <c r="C775" s="5" t="s">
        <v>595</v>
      </c>
      <c r="E775" s="5" t="s">
        <v>3926</v>
      </c>
      <c r="G775" s="5">
        <v>3004575324</v>
      </c>
    </row>
    <row r="776" spans="1:11" ht="12.5">
      <c r="A776" s="5">
        <v>22516756</v>
      </c>
      <c r="B776" s="5" t="s">
        <v>23706</v>
      </c>
      <c r="C776" s="5" t="s">
        <v>1742</v>
      </c>
      <c r="E776" s="5" t="s">
        <v>2890</v>
      </c>
      <c r="G776" s="5">
        <v>3015657857</v>
      </c>
    </row>
    <row r="777" spans="1:11" ht="12.5">
      <c r="A777" s="5">
        <v>1140819466</v>
      </c>
      <c r="B777" s="5" t="s">
        <v>23706</v>
      </c>
      <c r="C777" s="5" t="s">
        <v>3884</v>
      </c>
      <c r="E777" s="5" t="s">
        <v>1968</v>
      </c>
      <c r="G777" s="5">
        <v>3106600947</v>
      </c>
    </row>
    <row r="778" spans="1:11" ht="12.5">
      <c r="A778" s="5">
        <v>1062397422</v>
      </c>
      <c r="B778" s="5" t="s">
        <v>23706</v>
      </c>
      <c r="C778" s="5" t="s">
        <v>23969</v>
      </c>
      <c r="E778" s="5"/>
      <c r="G778" s="5">
        <v>3128896624</v>
      </c>
      <c r="H778" s="5"/>
      <c r="I778" s="5" t="s">
        <v>23970</v>
      </c>
      <c r="K778" s="56">
        <v>32570</v>
      </c>
    </row>
    <row r="779" spans="1:11" ht="12.5">
      <c r="A779" s="5">
        <v>1025462280</v>
      </c>
      <c r="B779" s="5" t="s">
        <v>23706</v>
      </c>
      <c r="C779" s="5" t="s">
        <v>3880</v>
      </c>
      <c r="E779" s="5" t="s">
        <v>3881</v>
      </c>
      <c r="G779" s="5">
        <v>3176399886</v>
      </c>
    </row>
    <row r="780" spans="1:11" ht="12.5">
      <c r="A780" s="5">
        <v>51748609</v>
      </c>
      <c r="B780" s="5" t="s">
        <v>23706</v>
      </c>
      <c r="C780" s="5" t="s">
        <v>3888</v>
      </c>
      <c r="E780" s="5" t="s">
        <v>3889</v>
      </c>
      <c r="G780" s="5">
        <v>3013634381</v>
      </c>
    </row>
    <row r="781" spans="1:11" ht="12.5">
      <c r="A781" s="5">
        <v>72344777</v>
      </c>
      <c r="B781" s="5" t="s">
        <v>23706</v>
      </c>
      <c r="C781" s="5" t="s">
        <v>84</v>
      </c>
      <c r="E781" s="5" t="s">
        <v>4441</v>
      </c>
      <c r="G781" s="5">
        <v>3006913351</v>
      </c>
    </row>
    <row r="782" spans="1:11" ht="12.5">
      <c r="A782" s="5">
        <v>1083034276</v>
      </c>
      <c r="B782" s="5" t="s">
        <v>23706</v>
      </c>
      <c r="C782" s="5" t="s">
        <v>440</v>
      </c>
      <c r="E782" s="5" t="s">
        <v>1566</v>
      </c>
      <c r="G782" s="5">
        <v>3137655922</v>
      </c>
    </row>
    <row r="783" spans="1:11" ht="12.5">
      <c r="A783" s="5">
        <v>0</v>
      </c>
      <c r="B783" s="5" t="s">
        <v>23706</v>
      </c>
      <c r="C783" s="5" t="s">
        <v>3908</v>
      </c>
      <c r="E783" s="5" t="s">
        <v>3909</v>
      </c>
      <c r="G783" s="5">
        <v>3176438506</v>
      </c>
    </row>
    <row r="784" spans="1:11" ht="12.5">
      <c r="A784" s="5">
        <v>1042242285</v>
      </c>
      <c r="B784" s="5" t="s">
        <v>23706</v>
      </c>
      <c r="C784" s="5" t="s">
        <v>1136</v>
      </c>
      <c r="E784" s="5" t="s">
        <v>3912</v>
      </c>
      <c r="G784" s="5">
        <v>3242219654</v>
      </c>
    </row>
    <row r="785" spans="1:7" ht="12.5">
      <c r="A785" s="5">
        <v>1083553388</v>
      </c>
      <c r="B785" s="5" t="s">
        <v>23706</v>
      </c>
      <c r="C785" s="5" t="s">
        <v>10023</v>
      </c>
      <c r="E785" s="5" t="s">
        <v>493</v>
      </c>
      <c r="G785" s="5">
        <v>3102506452</v>
      </c>
    </row>
    <row r="786" spans="1:7" ht="12.5">
      <c r="A786" s="5">
        <v>0</v>
      </c>
      <c r="B786" s="5" t="s">
        <v>23706</v>
      </c>
      <c r="C786" s="5" t="s">
        <v>23971</v>
      </c>
      <c r="E786" s="5" t="s">
        <v>3922</v>
      </c>
      <c r="G786" s="5">
        <v>6643683298</v>
      </c>
    </row>
    <row r="787" spans="1:7" ht="12.5">
      <c r="A787" s="5">
        <v>1125290870</v>
      </c>
      <c r="B787" s="5" t="s">
        <v>23706</v>
      </c>
      <c r="C787" s="5" t="s">
        <v>3932</v>
      </c>
      <c r="E787" s="5" t="s">
        <v>3620</v>
      </c>
      <c r="G787" s="5">
        <v>3508629989</v>
      </c>
    </row>
    <row r="788" spans="1:7" ht="12.5">
      <c r="A788" s="5">
        <v>55302603</v>
      </c>
      <c r="B788" s="5" t="s">
        <v>23706</v>
      </c>
      <c r="C788" s="5" t="s">
        <v>4302</v>
      </c>
      <c r="E788" s="5" t="s">
        <v>1083</v>
      </c>
      <c r="G788" s="5">
        <v>3157333955</v>
      </c>
    </row>
    <row r="789" spans="1:7" ht="12.5">
      <c r="A789" s="5">
        <v>1140884912</v>
      </c>
      <c r="B789" s="5" t="s">
        <v>23706</v>
      </c>
      <c r="C789" s="5" t="s">
        <v>23972</v>
      </c>
      <c r="E789" s="5" t="s">
        <v>23973</v>
      </c>
      <c r="G789" s="5">
        <v>3173669658</v>
      </c>
    </row>
    <row r="790" spans="1:7" ht="12.5">
      <c r="A790" s="5">
        <v>1143147568</v>
      </c>
      <c r="B790" s="5" t="s">
        <v>23706</v>
      </c>
      <c r="C790" s="5" t="s">
        <v>392</v>
      </c>
      <c r="E790" s="5" t="s">
        <v>3442</v>
      </c>
      <c r="G790" s="5">
        <v>17734490049</v>
      </c>
    </row>
    <row r="791" spans="1:7" ht="12.5">
      <c r="A791" s="5">
        <v>31324552</v>
      </c>
      <c r="B791" s="5" t="s">
        <v>23706</v>
      </c>
      <c r="C791" s="5" t="s">
        <v>3954</v>
      </c>
      <c r="E791" s="5" t="s">
        <v>23974</v>
      </c>
      <c r="G791" s="5">
        <v>3046693945</v>
      </c>
    </row>
    <row r="792" spans="1:7" ht="12.5">
      <c r="A792" s="5">
        <v>9009686729</v>
      </c>
      <c r="B792" s="5" t="s">
        <v>23782</v>
      </c>
      <c r="C792" s="5" t="s">
        <v>3939</v>
      </c>
      <c r="G792" s="5">
        <v>3175181022</v>
      </c>
    </row>
    <row r="793" spans="1:7" ht="12.5">
      <c r="A793" s="5">
        <v>1003456754</v>
      </c>
      <c r="B793" s="5" t="s">
        <v>23706</v>
      </c>
      <c r="C793" s="5" t="s">
        <v>1051</v>
      </c>
      <c r="E793" s="5" t="s">
        <v>3950</v>
      </c>
      <c r="G793" s="5">
        <v>3008916925</v>
      </c>
    </row>
    <row r="794" spans="1:7" ht="12.5">
      <c r="A794" s="5">
        <v>92513433</v>
      </c>
      <c r="B794" s="5" t="s">
        <v>23706</v>
      </c>
      <c r="C794" s="5" t="s">
        <v>1051</v>
      </c>
      <c r="E794" s="5" t="s">
        <v>3950</v>
      </c>
      <c r="G794" s="5">
        <v>3174772605</v>
      </c>
    </row>
    <row r="795" spans="1:7" ht="12.5">
      <c r="A795" s="5">
        <v>1129528968</v>
      </c>
      <c r="B795" s="5" t="s">
        <v>23706</v>
      </c>
      <c r="C795" s="5" t="s">
        <v>4000</v>
      </c>
      <c r="E795" s="5" t="s">
        <v>255</v>
      </c>
      <c r="G795" s="5">
        <v>3013684743</v>
      </c>
    </row>
    <row r="796" spans="1:7" ht="12.5">
      <c r="A796" s="5">
        <v>79788592</v>
      </c>
      <c r="B796" s="5" t="s">
        <v>23706</v>
      </c>
      <c r="C796" s="5" t="s">
        <v>3958</v>
      </c>
      <c r="E796" s="5" t="s">
        <v>3959</v>
      </c>
      <c r="G796" s="5">
        <v>3123065852</v>
      </c>
    </row>
    <row r="797" spans="1:7" ht="12.5">
      <c r="A797" s="5">
        <v>1216972352</v>
      </c>
      <c r="B797" s="5" t="s">
        <v>23706</v>
      </c>
      <c r="C797" s="5" t="s">
        <v>3962</v>
      </c>
      <c r="E797" s="5" t="s">
        <v>3963</v>
      </c>
      <c r="G797" s="5">
        <v>3126564463</v>
      </c>
    </row>
    <row r="798" spans="1:7" ht="12.5">
      <c r="A798" s="5">
        <v>1140878065</v>
      </c>
      <c r="B798" s="5" t="s">
        <v>23706</v>
      </c>
      <c r="C798" s="5" t="s">
        <v>595</v>
      </c>
      <c r="E798" s="5" t="s">
        <v>116</v>
      </c>
      <c r="G798" s="5">
        <v>3003972360</v>
      </c>
    </row>
    <row r="799" spans="1:7" ht="12.5">
      <c r="A799" s="5">
        <v>2411870977</v>
      </c>
      <c r="B799" s="5" t="s">
        <v>23706</v>
      </c>
      <c r="C799" s="5" t="s">
        <v>3973</v>
      </c>
      <c r="E799" s="5" t="s">
        <v>3974</v>
      </c>
      <c r="G799" s="5">
        <v>3189068572</v>
      </c>
    </row>
    <row r="800" spans="1:7" ht="12.5">
      <c r="A800" s="5">
        <v>1045721993</v>
      </c>
      <c r="B800" s="5" t="s">
        <v>23706</v>
      </c>
      <c r="C800" s="5" t="s">
        <v>638</v>
      </c>
      <c r="E800" s="5" t="s">
        <v>23975</v>
      </c>
      <c r="G800" s="5">
        <v>3014403869</v>
      </c>
    </row>
    <row r="801" spans="1:9" ht="12.5">
      <c r="A801" s="5">
        <v>1043661129</v>
      </c>
      <c r="B801" s="5" t="s">
        <v>23706</v>
      </c>
      <c r="C801" s="5" t="s">
        <v>1719</v>
      </c>
      <c r="E801" s="5" t="s">
        <v>23976</v>
      </c>
      <c r="G801" s="5">
        <v>3003484102</v>
      </c>
    </row>
    <row r="802" spans="1:9" ht="12.5">
      <c r="A802" s="5">
        <v>100779388</v>
      </c>
      <c r="B802" s="5" t="s">
        <v>23706</v>
      </c>
      <c r="C802" s="5" t="s">
        <v>3984</v>
      </c>
      <c r="E802" s="5" t="s">
        <v>3985</v>
      </c>
      <c r="G802" s="5">
        <v>3136141840</v>
      </c>
    </row>
    <row r="803" spans="1:9" ht="12.5">
      <c r="A803" s="5">
        <v>1129571165</v>
      </c>
      <c r="B803" s="5" t="s">
        <v>23706</v>
      </c>
      <c r="C803" s="5" t="s">
        <v>3993</v>
      </c>
      <c r="E803" s="5" t="s">
        <v>3988</v>
      </c>
      <c r="G803" s="5">
        <v>3166946981</v>
      </c>
    </row>
    <row r="804" spans="1:9" ht="12.5">
      <c r="A804" s="5">
        <v>32688398</v>
      </c>
      <c r="B804" s="5" t="s">
        <v>23706</v>
      </c>
      <c r="C804" s="5" t="s">
        <v>4004</v>
      </c>
      <c r="E804" s="5" t="s">
        <v>1234</v>
      </c>
      <c r="G804" s="5">
        <v>26230928</v>
      </c>
    </row>
    <row r="805" spans="1:9" ht="12.5">
      <c r="A805" s="5">
        <v>1140867913</v>
      </c>
      <c r="B805" s="5" t="s">
        <v>23706</v>
      </c>
      <c r="C805" s="5" t="s">
        <v>1546</v>
      </c>
      <c r="E805" s="5" t="s">
        <v>1726</v>
      </c>
      <c r="G805" s="5">
        <v>3215929527</v>
      </c>
    </row>
    <row r="806" spans="1:9" ht="12.5">
      <c r="A806" s="5">
        <v>94495495</v>
      </c>
      <c r="B806" s="5" t="s">
        <v>23706</v>
      </c>
      <c r="C806" s="5" t="s">
        <v>4008</v>
      </c>
      <c r="E806" s="5"/>
      <c r="G806" s="5">
        <v>3144430705</v>
      </c>
      <c r="I806" s="5" t="s">
        <v>23977</v>
      </c>
    </row>
    <row r="807" spans="1:9" ht="12.5">
      <c r="A807" s="5">
        <v>92640186</v>
      </c>
      <c r="B807" s="5" t="s">
        <v>23706</v>
      </c>
      <c r="C807" s="5" t="s">
        <v>2889</v>
      </c>
      <c r="E807" s="5" t="s">
        <v>4009</v>
      </c>
      <c r="G807" s="5">
        <v>3042734865</v>
      </c>
      <c r="I807" s="5" t="s">
        <v>23978</v>
      </c>
    </row>
    <row r="808" spans="1:9" ht="12.5">
      <c r="A808" s="5">
        <v>39087175</v>
      </c>
      <c r="B808" s="5" t="s">
        <v>23706</v>
      </c>
      <c r="C808" s="5" t="s">
        <v>23979</v>
      </c>
      <c r="E808" s="5" t="s">
        <v>4015</v>
      </c>
      <c r="G808" s="5">
        <v>3205310463</v>
      </c>
    </row>
    <row r="809" spans="1:9" ht="12.5">
      <c r="A809" s="5">
        <v>1042850730</v>
      </c>
      <c r="B809" s="5" t="s">
        <v>23706</v>
      </c>
      <c r="C809" s="5" t="s">
        <v>4086</v>
      </c>
      <c r="E809" s="5" t="s">
        <v>4087</v>
      </c>
      <c r="G809" s="5">
        <v>3226073254</v>
      </c>
    </row>
    <row r="810" spans="1:9" ht="12.5">
      <c r="A810" s="5">
        <v>1001918638</v>
      </c>
      <c r="B810" s="5" t="s">
        <v>23706</v>
      </c>
      <c r="C810" s="5" t="s">
        <v>1779</v>
      </c>
      <c r="E810" s="5" t="s">
        <v>23980</v>
      </c>
      <c r="G810" s="5">
        <v>3205692515</v>
      </c>
    </row>
    <row r="811" spans="1:9" ht="12.5">
      <c r="A811" s="5">
        <v>77194999</v>
      </c>
      <c r="B811" s="5" t="s">
        <v>23706</v>
      </c>
      <c r="C811" s="5" t="s">
        <v>4026</v>
      </c>
      <c r="E811" s="5" t="s">
        <v>4027</v>
      </c>
      <c r="G811" s="5">
        <v>3205422250</v>
      </c>
    </row>
    <row r="812" spans="1:9" ht="12.5">
      <c r="A812" s="5">
        <v>74189254</v>
      </c>
      <c r="B812" s="5" t="s">
        <v>23706</v>
      </c>
      <c r="C812" s="5" t="s">
        <v>3962</v>
      </c>
      <c r="E812" s="5" t="s">
        <v>2386</v>
      </c>
      <c r="G812" s="5">
        <v>3107566363</v>
      </c>
    </row>
    <row r="813" spans="1:9" ht="12.5">
      <c r="A813" s="5">
        <v>72272487</v>
      </c>
      <c r="B813" s="5" t="s">
        <v>23706</v>
      </c>
      <c r="C813" s="5" t="s">
        <v>23981</v>
      </c>
      <c r="E813" s="5" t="s">
        <v>1859</v>
      </c>
      <c r="G813" s="5">
        <v>3172812799</v>
      </c>
    </row>
    <row r="814" spans="1:9" ht="12.5">
      <c r="A814" s="5">
        <v>1516391003</v>
      </c>
      <c r="B814" s="5" t="s">
        <v>23706</v>
      </c>
      <c r="C814" s="5" t="s">
        <v>4042</v>
      </c>
      <c r="E814" s="5" t="s">
        <v>4043</v>
      </c>
      <c r="G814" s="5">
        <v>15196391003</v>
      </c>
    </row>
    <row r="815" spans="1:9" ht="12.5">
      <c r="A815" s="5">
        <v>1010224863</v>
      </c>
      <c r="B815" s="5" t="s">
        <v>23706</v>
      </c>
      <c r="C815" s="5" t="s">
        <v>711</v>
      </c>
      <c r="E815" s="5" t="s">
        <v>4070</v>
      </c>
      <c r="G815" s="5">
        <v>3192835538</v>
      </c>
      <c r="I815" s="5" t="s">
        <v>23982</v>
      </c>
    </row>
    <row r="816" spans="1:9" ht="12.5">
      <c r="A816" s="5">
        <v>26813653</v>
      </c>
      <c r="B816" s="5" t="s">
        <v>23706</v>
      </c>
      <c r="C816" s="5" t="s">
        <v>4717</v>
      </c>
      <c r="E816" s="5" t="s">
        <v>551</v>
      </c>
      <c r="G816" s="5">
        <v>3022601836</v>
      </c>
    </row>
    <row r="817" spans="1:7" ht="12.5">
      <c r="A817" s="5">
        <v>1042245429</v>
      </c>
      <c r="B817" s="5" t="s">
        <v>23706</v>
      </c>
      <c r="C817" s="5" t="s">
        <v>4053</v>
      </c>
      <c r="E817" s="5" t="s">
        <v>4054</v>
      </c>
      <c r="G817" s="5">
        <v>3002789561</v>
      </c>
    </row>
    <row r="818" spans="1:7" ht="12.5">
      <c r="A818" s="5">
        <v>901353126</v>
      </c>
      <c r="B818" s="5" t="s">
        <v>23782</v>
      </c>
      <c r="C818" s="5" t="s">
        <v>23983</v>
      </c>
      <c r="E818" s="5" t="s">
        <v>23984</v>
      </c>
      <c r="G818" s="5">
        <v>3170871130</v>
      </c>
    </row>
    <row r="819" spans="1:7" ht="12.5">
      <c r="A819" s="5">
        <v>79118117</v>
      </c>
      <c r="B819" s="5" t="s">
        <v>23706</v>
      </c>
      <c r="C819" s="5" t="s">
        <v>4058</v>
      </c>
      <c r="E819" s="5" t="s">
        <v>4059</v>
      </c>
      <c r="G819" s="5">
        <v>3157182330</v>
      </c>
    </row>
    <row r="820" spans="1:7" ht="12.5">
      <c r="A820" s="5">
        <v>1042242724</v>
      </c>
      <c r="B820" s="5" t="s">
        <v>23706</v>
      </c>
      <c r="C820" s="5" t="s">
        <v>4074</v>
      </c>
      <c r="E820" s="5" t="s">
        <v>4075</v>
      </c>
      <c r="G820" s="5">
        <v>3023021643</v>
      </c>
    </row>
    <row r="821" spans="1:7" ht="12.5">
      <c r="A821" s="5">
        <v>8901117938</v>
      </c>
      <c r="B821" s="5" t="s">
        <v>23706</v>
      </c>
      <c r="C821" s="5" t="s">
        <v>23985</v>
      </c>
      <c r="G821" s="5">
        <v>3185161408</v>
      </c>
    </row>
    <row r="822" spans="1:7" ht="12.5">
      <c r="A822" s="5">
        <v>55312303</v>
      </c>
      <c r="B822" s="5" t="s">
        <v>23706</v>
      </c>
      <c r="C822" s="5" t="s">
        <v>4107</v>
      </c>
      <c r="E822" s="5" t="s">
        <v>4108</v>
      </c>
      <c r="G822" s="5">
        <v>31664237392</v>
      </c>
    </row>
    <row r="823" spans="1:7" ht="12.5">
      <c r="A823" s="5">
        <v>1140895375</v>
      </c>
      <c r="B823" s="5" t="s">
        <v>23706</v>
      </c>
      <c r="C823" s="5" t="s">
        <v>158</v>
      </c>
      <c r="E823" s="5" t="s">
        <v>1683</v>
      </c>
      <c r="G823" s="5">
        <v>3005790117</v>
      </c>
    </row>
    <row r="824" spans="1:7" ht="12.5">
      <c r="A824" s="5">
        <v>1048224697</v>
      </c>
      <c r="B824" s="5" t="s">
        <v>23706</v>
      </c>
      <c r="C824" s="5" t="s">
        <v>4092</v>
      </c>
      <c r="E824" s="5" t="s">
        <v>4093</v>
      </c>
      <c r="G824" s="5">
        <v>3232219374</v>
      </c>
    </row>
    <row r="825" spans="1:7" ht="12.5">
      <c r="A825" s="5">
        <v>1043434295</v>
      </c>
      <c r="B825" s="5" t="s">
        <v>23706</v>
      </c>
      <c r="C825" s="5" t="s">
        <v>4102</v>
      </c>
      <c r="E825" s="5" t="s">
        <v>4103</v>
      </c>
      <c r="G825" s="5">
        <v>3204928484</v>
      </c>
    </row>
    <row r="826" spans="1:7" ht="12.5">
      <c r="A826" s="5">
        <v>32694500</v>
      </c>
      <c r="B826" s="5" t="s">
        <v>23706</v>
      </c>
      <c r="C826" s="5" t="s">
        <v>4215</v>
      </c>
      <c r="E826" s="5" t="s">
        <v>3442</v>
      </c>
      <c r="G826" s="5">
        <v>3106442346</v>
      </c>
    </row>
    <row r="827" spans="1:7" ht="12.5">
      <c r="A827" s="5">
        <v>1045674390</v>
      </c>
      <c r="B827" s="5" t="s">
        <v>23706</v>
      </c>
      <c r="C827" s="5" t="s">
        <v>32</v>
      </c>
      <c r="E827" s="5"/>
      <c r="G827" s="5">
        <v>2412082838</v>
      </c>
    </row>
    <row r="828" spans="1:7" ht="12.5">
      <c r="A828" s="5">
        <v>1065651554</v>
      </c>
      <c r="B828" s="5" t="s">
        <v>23706</v>
      </c>
      <c r="C828" s="5" t="s">
        <v>968</v>
      </c>
      <c r="E828" s="5" t="s">
        <v>1664</v>
      </c>
      <c r="G828" s="5">
        <v>13058483979</v>
      </c>
    </row>
    <row r="829" spans="1:7" ht="12.5">
      <c r="A829" s="5">
        <v>9016338942</v>
      </c>
      <c r="B829" s="5" t="s">
        <v>23782</v>
      </c>
      <c r="C829" s="5" t="s">
        <v>4112</v>
      </c>
      <c r="E829" s="5" t="s">
        <v>4113</v>
      </c>
      <c r="G829" s="5">
        <v>3017085272</v>
      </c>
    </row>
    <row r="830" spans="1:7" ht="12.5">
      <c r="A830" s="5">
        <v>1140838793</v>
      </c>
      <c r="B830" s="5" t="s">
        <v>23706</v>
      </c>
      <c r="C830" s="5" t="s">
        <v>1651</v>
      </c>
      <c r="E830" s="5" t="s">
        <v>116</v>
      </c>
      <c r="G830" s="5">
        <v>3234626503</v>
      </c>
    </row>
    <row r="831" spans="1:7" ht="12.5">
      <c r="A831" s="5">
        <v>32609331</v>
      </c>
      <c r="B831" s="5" t="s">
        <v>23706</v>
      </c>
      <c r="C831" s="5" t="s">
        <v>4174</v>
      </c>
      <c r="E831" s="5" t="s">
        <v>4175</v>
      </c>
      <c r="G831" s="5">
        <v>3128213377</v>
      </c>
    </row>
    <row r="832" spans="1:7" ht="12.5">
      <c r="A832" s="5">
        <v>1042451604</v>
      </c>
      <c r="B832" s="5" t="s">
        <v>23706</v>
      </c>
      <c r="C832" s="5" t="s">
        <v>297</v>
      </c>
      <c r="E832" s="5" t="s">
        <v>1344</v>
      </c>
      <c r="G832" s="5">
        <v>3106939904</v>
      </c>
    </row>
    <row r="833" spans="1:9" ht="12.5">
      <c r="A833" s="5">
        <v>1020739688</v>
      </c>
      <c r="B833" s="5" t="s">
        <v>23706</v>
      </c>
      <c r="C833" s="5" t="s">
        <v>4145</v>
      </c>
      <c r="E833" s="5" t="s">
        <v>583</v>
      </c>
      <c r="G833" s="5">
        <v>17865318201</v>
      </c>
    </row>
    <row r="834" spans="1:9" ht="12.5">
      <c r="A834" s="5">
        <v>1140883360</v>
      </c>
      <c r="B834" s="5" t="s">
        <v>23706</v>
      </c>
      <c r="C834" s="5" t="s">
        <v>3341</v>
      </c>
      <c r="E834" s="5" t="s">
        <v>4125</v>
      </c>
      <c r="G834" s="5">
        <v>3135526811</v>
      </c>
    </row>
    <row r="835" spans="1:9" ht="12.5">
      <c r="A835" s="5">
        <v>1121335805</v>
      </c>
      <c r="B835" s="5" t="s">
        <v>23706</v>
      </c>
      <c r="C835" s="5" t="s">
        <v>23986</v>
      </c>
      <c r="E835" s="5" t="s">
        <v>4129</v>
      </c>
      <c r="G835" s="5">
        <v>3162750854</v>
      </c>
    </row>
    <row r="836" spans="1:9" ht="12.5">
      <c r="A836" s="5">
        <v>342820</v>
      </c>
      <c r="B836" s="5" t="s">
        <v>23706</v>
      </c>
      <c r="C836" s="5" t="s">
        <v>4131</v>
      </c>
      <c r="E836" s="5" t="s">
        <v>4132</v>
      </c>
      <c r="G836" s="5">
        <v>3164336106</v>
      </c>
    </row>
    <row r="837" spans="1:9" ht="12.5">
      <c r="A837" s="5">
        <v>1002158370</v>
      </c>
      <c r="B837" s="5" t="s">
        <v>23706</v>
      </c>
      <c r="C837" s="5" t="s">
        <v>8949</v>
      </c>
      <c r="E837" s="5" t="s">
        <v>8950</v>
      </c>
      <c r="G837" s="5">
        <v>3016851449</v>
      </c>
    </row>
    <row r="838" spans="1:9" ht="12.5">
      <c r="A838" s="5">
        <v>1048064633</v>
      </c>
      <c r="B838" s="5" t="s">
        <v>23706</v>
      </c>
      <c r="C838" s="5" t="s">
        <v>1651</v>
      </c>
      <c r="E838" s="5" t="s">
        <v>4152</v>
      </c>
      <c r="G838" s="5">
        <v>34604218619</v>
      </c>
    </row>
    <row r="839" spans="1:9" ht="12.5">
      <c r="A839" s="5">
        <v>1042429785</v>
      </c>
      <c r="B839" s="5" t="s">
        <v>23706</v>
      </c>
      <c r="C839" s="5" t="s">
        <v>3025</v>
      </c>
      <c r="E839" s="5" t="s">
        <v>4149</v>
      </c>
      <c r="G839" s="5">
        <v>3005754818</v>
      </c>
    </row>
    <row r="840" spans="1:9" ht="12.5">
      <c r="A840" s="5">
        <v>1044433624</v>
      </c>
      <c r="B840" s="5" t="s">
        <v>23706</v>
      </c>
      <c r="C840" s="5" t="s">
        <v>23987</v>
      </c>
      <c r="E840" s="5" t="s">
        <v>23988</v>
      </c>
      <c r="G840" s="5">
        <v>3127608327</v>
      </c>
    </row>
    <row r="841" spans="1:9" ht="12.5">
      <c r="A841" s="5">
        <v>32696701</v>
      </c>
      <c r="B841" s="5" t="s">
        <v>23706</v>
      </c>
      <c r="C841" s="5" t="s">
        <v>14370</v>
      </c>
      <c r="E841" s="5"/>
      <c r="G841" s="5">
        <v>3005259249</v>
      </c>
      <c r="I841" s="5" t="s">
        <v>23989</v>
      </c>
    </row>
    <row r="842" spans="1:9" ht="12.5">
      <c r="A842" s="5">
        <v>1065849018</v>
      </c>
      <c r="B842" s="5" t="s">
        <v>23706</v>
      </c>
      <c r="C842" s="5" t="s">
        <v>4168</v>
      </c>
      <c r="E842" s="5" t="s">
        <v>4169</v>
      </c>
      <c r="G842" s="5">
        <v>3006894298</v>
      </c>
    </row>
    <row r="843" spans="1:9" ht="12.5">
      <c r="A843" s="5">
        <v>900968672</v>
      </c>
      <c r="B843" s="5" t="s">
        <v>23782</v>
      </c>
      <c r="C843" s="5" t="s">
        <v>23990</v>
      </c>
      <c r="E843" s="5" t="s">
        <v>23990</v>
      </c>
      <c r="G843" s="5">
        <v>3175181022</v>
      </c>
    </row>
    <row r="844" spans="1:9" ht="12.5">
      <c r="A844" s="5">
        <v>0</v>
      </c>
      <c r="B844" s="5" t="s">
        <v>23706</v>
      </c>
      <c r="C844" s="5" t="s">
        <v>23991</v>
      </c>
      <c r="E844" s="5" t="s">
        <v>2622</v>
      </c>
      <c r="G844" s="5">
        <v>18329074697</v>
      </c>
    </row>
    <row r="845" spans="1:9" ht="12.5">
      <c r="A845" s="5">
        <v>22667907</v>
      </c>
      <c r="B845" s="5" t="s">
        <v>23706</v>
      </c>
      <c r="C845" s="5" t="s">
        <v>4179</v>
      </c>
      <c r="E845" s="5" t="s">
        <v>4180</v>
      </c>
      <c r="G845" s="5">
        <v>3006435027</v>
      </c>
    </row>
    <row r="846" spans="1:9" ht="12.5">
      <c r="A846" s="5">
        <v>1001914795</v>
      </c>
      <c r="B846" s="5" t="s">
        <v>23706</v>
      </c>
      <c r="C846" s="5" t="s">
        <v>1773</v>
      </c>
      <c r="E846" s="5" t="s">
        <v>4184</v>
      </c>
      <c r="G846" s="5">
        <v>3045733898</v>
      </c>
    </row>
    <row r="847" spans="1:9" ht="12.5">
      <c r="A847" s="5">
        <v>1001941557</v>
      </c>
      <c r="B847" s="5" t="s">
        <v>23706</v>
      </c>
      <c r="C847" s="5" t="s">
        <v>283</v>
      </c>
      <c r="E847" s="5" t="s">
        <v>4441</v>
      </c>
      <c r="G847" s="5">
        <v>3126435537</v>
      </c>
    </row>
    <row r="848" spans="1:9" ht="12.5">
      <c r="A848" s="5">
        <v>1140855388</v>
      </c>
      <c r="B848" s="5" t="s">
        <v>23706</v>
      </c>
      <c r="C848" s="5" t="s">
        <v>8654</v>
      </c>
      <c r="E848" s="5" t="s">
        <v>4218</v>
      </c>
      <c r="G848" s="10" t="s">
        <v>23992</v>
      </c>
    </row>
    <row r="849" spans="1:9" ht="12.5">
      <c r="A849" s="5">
        <v>1140856385</v>
      </c>
      <c r="B849" s="5" t="s">
        <v>23706</v>
      </c>
      <c r="C849" s="5" t="s">
        <v>968</v>
      </c>
      <c r="E849" s="5" t="s">
        <v>4193</v>
      </c>
      <c r="G849" s="5">
        <v>3012574632</v>
      </c>
    </row>
    <row r="850" spans="1:9" ht="12.5">
      <c r="A850" s="5">
        <v>1140824096</v>
      </c>
      <c r="B850" s="5" t="s">
        <v>23706</v>
      </c>
      <c r="C850" s="5" t="s">
        <v>1349</v>
      </c>
      <c r="E850" s="5" t="s">
        <v>4391</v>
      </c>
      <c r="G850" s="5">
        <v>3105313347</v>
      </c>
    </row>
    <row r="851" spans="1:9" ht="12.5">
      <c r="A851" s="5">
        <v>72276169</v>
      </c>
      <c r="B851" s="5" t="s">
        <v>23706</v>
      </c>
      <c r="C851" s="5" t="s">
        <v>6864</v>
      </c>
      <c r="E851" s="5" t="s">
        <v>4199</v>
      </c>
      <c r="G851" s="5">
        <v>3122968193</v>
      </c>
    </row>
    <row r="852" spans="1:9" ht="12.5">
      <c r="A852" s="5">
        <v>1023244944</v>
      </c>
      <c r="B852" s="5" t="s">
        <v>23706</v>
      </c>
      <c r="C852" s="5" t="s">
        <v>23993</v>
      </c>
      <c r="E852" s="5" t="s">
        <v>4208</v>
      </c>
      <c r="G852" s="5">
        <v>3246492154</v>
      </c>
    </row>
    <row r="853" spans="1:9" ht="12.5">
      <c r="A853" s="5">
        <v>1031421410</v>
      </c>
      <c r="B853" s="5" t="s">
        <v>23706</v>
      </c>
      <c r="C853" s="5" t="s">
        <v>4207</v>
      </c>
      <c r="E853" s="5" t="s">
        <v>4208</v>
      </c>
      <c r="G853" s="5">
        <v>3022977046</v>
      </c>
    </row>
    <row r="854" spans="1:9" ht="12.5">
      <c r="A854" s="5">
        <v>1143118640</v>
      </c>
      <c r="B854" s="5" t="s">
        <v>23706</v>
      </c>
      <c r="C854" s="5" t="s">
        <v>4211</v>
      </c>
      <c r="E854" s="5" t="s">
        <v>4212</v>
      </c>
      <c r="G854" s="5">
        <v>3042035368</v>
      </c>
    </row>
    <row r="855" spans="1:9" ht="12.5">
      <c r="A855" s="5">
        <v>1001853756</v>
      </c>
      <c r="B855" s="5" t="s">
        <v>23706</v>
      </c>
      <c r="C855" s="5" t="s">
        <v>4241</v>
      </c>
      <c r="E855" s="5" t="s">
        <v>23994</v>
      </c>
      <c r="G855" s="5">
        <v>3017961778</v>
      </c>
    </row>
    <row r="856" spans="1:9" ht="12.5">
      <c r="A856" s="5">
        <v>0</v>
      </c>
      <c r="B856" s="5" t="s">
        <v>23706</v>
      </c>
      <c r="C856" s="5" t="s">
        <v>7442</v>
      </c>
      <c r="E856" s="5" t="s">
        <v>4231</v>
      </c>
      <c r="G856" s="5">
        <v>3013638788</v>
      </c>
    </row>
    <row r="857" spans="1:9" ht="12.5">
      <c r="A857" s="5">
        <v>32793546</v>
      </c>
      <c r="B857" s="5" t="s">
        <v>23706</v>
      </c>
      <c r="C857" s="5" t="s">
        <v>4352</v>
      </c>
      <c r="E857" s="5" t="s">
        <v>4353</v>
      </c>
      <c r="G857" s="5">
        <v>3114189941</v>
      </c>
    </row>
    <row r="858" spans="1:9" ht="12.5">
      <c r="A858" s="5">
        <v>72210723</v>
      </c>
      <c r="B858" s="5" t="s">
        <v>23706</v>
      </c>
      <c r="C858" s="5" t="s">
        <v>2418</v>
      </c>
      <c r="E858" s="5" t="s">
        <v>2000</v>
      </c>
      <c r="G858" s="5">
        <v>0</v>
      </c>
    </row>
    <row r="859" spans="1:9" ht="12.5">
      <c r="A859" s="5">
        <v>1140879347</v>
      </c>
      <c r="B859" s="5" t="s">
        <v>23706</v>
      </c>
      <c r="C859" s="5" t="s">
        <v>297</v>
      </c>
      <c r="E859" s="5" t="s">
        <v>23995</v>
      </c>
      <c r="G859" s="5">
        <v>3003735055</v>
      </c>
    </row>
    <row r="860" spans="1:9" ht="12.5">
      <c r="A860" s="5">
        <v>52802804</v>
      </c>
      <c r="B860" s="5" t="s">
        <v>23706</v>
      </c>
      <c r="C860" s="5" t="s">
        <v>283</v>
      </c>
      <c r="E860" s="5" t="s">
        <v>23996</v>
      </c>
      <c r="G860" s="5">
        <v>3187125302</v>
      </c>
    </row>
    <row r="861" spans="1:9" ht="12.5">
      <c r="A861" s="5">
        <v>1002129361</v>
      </c>
      <c r="B861" s="5" t="s">
        <v>23706</v>
      </c>
      <c r="C861" s="5" t="s">
        <v>4266</v>
      </c>
      <c r="E861" s="5" t="s">
        <v>9441</v>
      </c>
      <c r="G861" s="5">
        <v>3013687261</v>
      </c>
    </row>
    <row r="862" spans="1:9" ht="12.5">
      <c r="A862" s="5">
        <v>1143135418</v>
      </c>
      <c r="B862" s="5" t="s">
        <v>23706</v>
      </c>
      <c r="C862" s="5" t="s">
        <v>290</v>
      </c>
      <c r="E862" s="5" t="s">
        <v>4246</v>
      </c>
      <c r="G862" s="5">
        <v>30157180100</v>
      </c>
      <c r="I862" s="5" t="s">
        <v>23997</v>
      </c>
    </row>
    <row r="863" spans="1:9" ht="12.5">
      <c r="A863" s="5">
        <v>1143255219</v>
      </c>
      <c r="B863" s="5" t="s">
        <v>23706</v>
      </c>
      <c r="C863" s="5" t="s">
        <v>11014</v>
      </c>
      <c r="E863" s="5" t="s">
        <v>4281</v>
      </c>
      <c r="G863" s="5">
        <v>3004768221</v>
      </c>
    </row>
    <row r="864" spans="1:9" ht="12.5">
      <c r="A864" s="5">
        <v>1001818957</v>
      </c>
      <c r="B864" s="5" t="s">
        <v>23706</v>
      </c>
      <c r="C864" s="5" t="s">
        <v>4250</v>
      </c>
      <c r="E864" s="5" t="s">
        <v>4251</v>
      </c>
      <c r="G864" s="5">
        <v>3205592824</v>
      </c>
    </row>
    <row r="865" spans="1:9" ht="12.5">
      <c r="A865" s="5">
        <v>1042242436</v>
      </c>
      <c r="B865" s="5" t="s">
        <v>23706</v>
      </c>
      <c r="C865" s="5" t="s">
        <v>12073</v>
      </c>
      <c r="E865" s="5"/>
      <c r="G865" s="5">
        <v>3166212722</v>
      </c>
    </row>
    <row r="866" spans="1:9" ht="12.5">
      <c r="A866" s="5">
        <v>1043874409</v>
      </c>
      <c r="B866" s="5" t="s">
        <v>23706</v>
      </c>
      <c r="C866" s="5" t="s">
        <v>12679</v>
      </c>
      <c r="E866" s="5"/>
      <c r="G866" s="5">
        <v>3225236847</v>
      </c>
    </row>
    <row r="867" spans="1:9" ht="12.5">
      <c r="A867" s="5">
        <v>1193201958</v>
      </c>
      <c r="B867" s="5" t="s">
        <v>23706</v>
      </c>
      <c r="C867" s="5" t="s">
        <v>290</v>
      </c>
      <c r="E867" s="5" t="s">
        <v>4270</v>
      </c>
      <c r="G867" s="5">
        <v>3004753197</v>
      </c>
      <c r="I867" s="5" t="s">
        <v>23998</v>
      </c>
    </row>
    <row r="868" spans="1:9" ht="12.5">
      <c r="A868" s="5">
        <v>72132141</v>
      </c>
      <c r="B868" s="5" t="s">
        <v>23706</v>
      </c>
      <c r="C868" s="5" t="s">
        <v>4261</v>
      </c>
      <c r="E868" s="5" t="s">
        <v>236</v>
      </c>
      <c r="G868" s="5">
        <v>3003237568</v>
      </c>
    </row>
    <row r="869" spans="1:9" ht="12.5">
      <c r="A869" s="5">
        <v>1082940985</v>
      </c>
      <c r="B869" s="5" t="s">
        <v>23706</v>
      </c>
      <c r="C869" s="5" t="s">
        <v>4275</v>
      </c>
      <c r="E869" s="5" t="s">
        <v>23999</v>
      </c>
      <c r="G869" s="5">
        <v>3105628531</v>
      </c>
    </row>
    <row r="870" spans="1:9" ht="12.5">
      <c r="A870" s="5">
        <v>55313421</v>
      </c>
      <c r="B870" s="5" t="s">
        <v>23706</v>
      </c>
      <c r="C870" s="5" t="s">
        <v>10047</v>
      </c>
      <c r="E870" s="5" t="s">
        <v>4292</v>
      </c>
      <c r="G870" s="5">
        <v>3017851009</v>
      </c>
    </row>
    <row r="871" spans="1:9" ht="12.5">
      <c r="A871" s="5">
        <v>1193444869</v>
      </c>
      <c r="B871" s="5" t="s">
        <v>23706</v>
      </c>
      <c r="C871" s="5" t="s">
        <v>4297</v>
      </c>
      <c r="E871" s="5" t="s">
        <v>4298</v>
      </c>
      <c r="G871" s="5">
        <v>3012787116</v>
      </c>
    </row>
    <row r="872" spans="1:9" ht="12.5">
      <c r="A872" s="5">
        <v>9313267</v>
      </c>
      <c r="B872" s="5" t="s">
        <v>23706</v>
      </c>
      <c r="C872" s="5" t="s">
        <v>24000</v>
      </c>
      <c r="E872" s="5" t="s">
        <v>2863</v>
      </c>
      <c r="G872" s="5">
        <v>3008208809</v>
      </c>
    </row>
    <row r="873" spans="1:9" ht="12.5">
      <c r="A873" s="5">
        <v>801197101559</v>
      </c>
      <c r="B873" s="5" t="s">
        <v>23706</v>
      </c>
      <c r="C873" s="5" t="s">
        <v>24001</v>
      </c>
      <c r="E873" s="5" t="s">
        <v>24002</v>
      </c>
      <c r="G873" s="5">
        <v>13058124451</v>
      </c>
    </row>
    <row r="874" spans="1:9" ht="12.5">
      <c r="A874" s="5">
        <v>1001779733</v>
      </c>
      <c r="B874" s="5" t="s">
        <v>23706</v>
      </c>
      <c r="C874" s="5" t="s">
        <v>4302</v>
      </c>
      <c r="E874" s="5" t="s">
        <v>24003</v>
      </c>
      <c r="G874" s="5">
        <v>3205449072</v>
      </c>
    </row>
    <row r="875" spans="1:9" ht="12.5">
      <c r="A875" s="5">
        <v>1140851821</v>
      </c>
      <c r="B875" s="5" t="s">
        <v>23706</v>
      </c>
      <c r="C875" s="5" t="s">
        <v>843</v>
      </c>
      <c r="E875" s="5" t="s">
        <v>4323</v>
      </c>
      <c r="G875" s="5">
        <v>3012445757</v>
      </c>
    </row>
    <row r="876" spans="1:9" ht="12.5">
      <c r="A876" s="5">
        <v>1045725636</v>
      </c>
      <c r="B876" s="5" t="s">
        <v>23706</v>
      </c>
      <c r="C876" s="5" t="s">
        <v>24004</v>
      </c>
      <c r="E876" s="5" t="s">
        <v>24005</v>
      </c>
      <c r="G876" s="5">
        <v>17377810902</v>
      </c>
    </row>
    <row r="877" spans="1:9" ht="12.5">
      <c r="A877" s="5">
        <v>1234094951</v>
      </c>
      <c r="B877" s="5" t="s">
        <v>23706</v>
      </c>
      <c r="C877" s="5" t="s">
        <v>1026</v>
      </c>
      <c r="E877" s="5" t="s">
        <v>4339</v>
      </c>
      <c r="G877" s="5">
        <v>3107411365</v>
      </c>
    </row>
    <row r="878" spans="1:9" ht="12.5">
      <c r="A878" s="5">
        <v>1045754529</v>
      </c>
      <c r="B878" s="5" t="s">
        <v>23706</v>
      </c>
      <c r="C878" s="5" t="s">
        <v>290</v>
      </c>
      <c r="E878" s="5" t="s">
        <v>4318</v>
      </c>
      <c r="G878" s="5">
        <v>3205423127</v>
      </c>
    </row>
    <row r="879" spans="1:9" ht="12.5">
      <c r="A879" s="5">
        <v>1140900565</v>
      </c>
      <c r="B879" s="5" t="s">
        <v>23706</v>
      </c>
      <c r="C879" s="5" t="s">
        <v>4328</v>
      </c>
      <c r="E879" s="5" t="s">
        <v>4329</v>
      </c>
      <c r="G879" s="5">
        <v>3016569876</v>
      </c>
    </row>
    <row r="880" spans="1:9" ht="12.5">
      <c r="A880" s="5">
        <v>1048271706</v>
      </c>
      <c r="B880" s="5" t="s">
        <v>23706</v>
      </c>
      <c r="C880" s="5" t="s">
        <v>23806</v>
      </c>
      <c r="E880" s="5" t="s">
        <v>4343</v>
      </c>
      <c r="G880" s="5">
        <v>3116552814</v>
      </c>
    </row>
    <row r="881" spans="1:7" ht="12.5">
      <c r="A881" s="5">
        <v>72345701</v>
      </c>
      <c r="B881" s="5" t="s">
        <v>23706</v>
      </c>
      <c r="C881" s="5" t="s">
        <v>4145</v>
      </c>
      <c r="E881" s="5" t="s">
        <v>24006</v>
      </c>
      <c r="G881" s="5">
        <v>13226848992</v>
      </c>
    </row>
    <row r="882" spans="1:7" ht="12.5">
      <c r="A882" s="5">
        <v>72084775</v>
      </c>
      <c r="B882" s="5" t="s">
        <v>23706</v>
      </c>
      <c r="C882" s="5" t="s">
        <v>703</v>
      </c>
      <c r="E882" s="5" t="s">
        <v>4346</v>
      </c>
      <c r="G882" s="5">
        <v>3114323534</v>
      </c>
    </row>
    <row r="883" spans="1:7" ht="12.5">
      <c r="A883" s="5">
        <v>55314345</v>
      </c>
      <c r="B883" s="5" t="s">
        <v>23706</v>
      </c>
      <c r="C883" s="5" t="s">
        <v>4348</v>
      </c>
      <c r="E883" s="5" t="s">
        <v>1859</v>
      </c>
      <c r="G883" s="5">
        <v>3007609778</v>
      </c>
    </row>
    <row r="884" spans="1:7" ht="12.5">
      <c r="A884" s="5">
        <v>1129569990</v>
      </c>
      <c r="B884" s="5" t="s">
        <v>23706</v>
      </c>
      <c r="C884" s="5" t="s">
        <v>4351</v>
      </c>
      <c r="E884" s="5"/>
      <c r="G884" s="5">
        <v>3008148314</v>
      </c>
    </row>
    <row r="885" spans="1:7" ht="12.5">
      <c r="A885" s="5">
        <v>1050004747</v>
      </c>
      <c r="B885" s="5" t="s">
        <v>23706</v>
      </c>
      <c r="C885" s="5" t="s">
        <v>24007</v>
      </c>
      <c r="E885" s="5" t="s">
        <v>24008</v>
      </c>
      <c r="G885" s="5">
        <v>3011519441</v>
      </c>
    </row>
    <row r="886" spans="1:7" ht="12.5">
      <c r="A886" s="5">
        <v>1234093965</v>
      </c>
      <c r="B886" s="5" t="s">
        <v>23706</v>
      </c>
      <c r="C886" s="5" t="s">
        <v>4360</v>
      </c>
      <c r="E886" s="5" t="s">
        <v>3342</v>
      </c>
      <c r="G886" s="5">
        <v>3003726129</v>
      </c>
    </row>
    <row r="887" spans="1:7" ht="12.5">
      <c r="A887" s="5">
        <v>1129569019</v>
      </c>
      <c r="B887" s="5" t="s">
        <v>23706</v>
      </c>
      <c r="C887" s="5" t="s">
        <v>2150</v>
      </c>
      <c r="E887" s="5"/>
      <c r="G887" s="5">
        <v>3012394343</v>
      </c>
    </row>
    <row r="888" spans="1:7" ht="12.5">
      <c r="A888" s="5">
        <v>1140844807</v>
      </c>
      <c r="B888" s="5" t="s">
        <v>23706</v>
      </c>
      <c r="C888" s="5" t="s">
        <v>4429</v>
      </c>
      <c r="E888" s="5" t="s">
        <v>4430</v>
      </c>
      <c r="G888" s="5">
        <v>113773706</v>
      </c>
    </row>
    <row r="889" spans="1:7" ht="12.5">
      <c r="A889" s="5">
        <v>1042450600</v>
      </c>
      <c r="B889" s="5" t="s">
        <v>23706</v>
      </c>
      <c r="C889" s="5" t="s">
        <v>703</v>
      </c>
      <c r="E889" s="5" t="s">
        <v>24009</v>
      </c>
      <c r="G889" s="5">
        <v>3046338839</v>
      </c>
    </row>
    <row r="890" spans="1:7" ht="12.5">
      <c r="A890" s="5">
        <v>1002331868</v>
      </c>
      <c r="B890" s="5" t="s">
        <v>23706</v>
      </c>
      <c r="C890" s="5" t="s">
        <v>4371</v>
      </c>
      <c r="E890" s="5" t="s">
        <v>4372</v>
      </c>
      <c r="G890" s="5">
        <v>3132013203</v>
      </c>
    </row>
    <row r="891" spans="1:7" ht="12.5">
      <c r="A891" s="5">
        <v>1047036745</v>
      </c>
      <c r="B891" s="5" t="s">
        <v>23706</v>
      </c>
      <c r="C891" s="5" t="s">
        <v>1184</v>
      </c>
      <c r="E891" s="5" t="s">
        <v>10210</v>
      </c>
      <c r="G891" s="5">
        <v>3157814995</v>
      </c>
    </row>
    <row r="892" spans="1:7" ht="12.5">
      <c r="A892" s="5">
        <v>1129564338</v>
      </c>
      <c r="B892" s="5" t="s">
        <v>23706</v>
      </c>
      <c r="C892" s="5" t="s">
        <v>1314</v>
      </c>
      <c r="E892" s="5" t="s">
        <v>1288</v>
      </c>
      <c r="G892" s="5">
        <v>3007011327</v>
      </c>
    </row>
    <row r="893" spans="1:7" ht="12.5">
      <c r="A893" s="5">
        <v>1118800416</v>
      </c>
      <c r="B893" s="5" t="s">
        <v>23706</v>
      </c>
      <c r="C893" s="5" t="s">
        <v>4411</v>
      </c>
      <c r="E893" s="5" t="s">
        <v>4412</v>
      </c>
      <c r="G893" s="5">
        <v>3205464594</v>
      </c>
    </row>
    <row r="894" spans="1:7" ht="12.5">
      <c r="A894" s="5">
        <v>1140890956</v>
      </c>
      <c r="B894" s="5" t="s">
        <v>23706</v>
      </c>
      <c r="C894" s="5" t="s">
        <v>297</v>
      </c>
      <c r="E894" s="5" t="s">
        <v>2624</v>
      </c>
      <c r="G894" s="5">
        <v>3145496771</v>
      </c>
    </row>
    <row r="895" spans="1:7" ht="12.5">
      <c r="A895" s="5">
        <v>72286811</v>
      </c>
      <c r="B895" s="5" t="s">
        <v>23706</v>
      </c>
      <c r="C895" s="5" t="s">
        <v>4385</v>
      </c>
      <c r="E895" s="5" t="s">
        <v>4386</v>
      </c>
      <c r="G895" s="5">
        <v>3008077533</v>
      </c>
    </row>
    <row r="896" spans="1:7" ht="12.5">
      <c r="A896" s="5">
        <v>1042440442</v>
      </c>
      <c r="B896" s="5" t="s">
        <v>23706</v>
      </c>
      <c r="C896" s="5" t="s">
        <v>190</v>
      </c>
      <c r="E896" s="5" t="s">
        <v>4395</v>
      </c>
      <c r="G896" s="5">
        <v>0</v>
      </c>
    </row>
    <row r="897" spans="1:9" ht="12.5">
      <c r="A897" s="5">
        <v>1013257765</v>
      </c>
      <c r="B897" s="5" t="s">
        <v>23706</v>
      </c>
      <c r="C897" s="5" t="s">
        <v>584</v>
      </c>
      <c r="E897" s="5" t="s">
        <v>4397</v>
      </c>
      <c r="G897" s="5">
        <v>34667359759</v>
      </c>
    </row>
    <row r="898" spans="1:9" ht="12.5">
      <c r="A898" s="5">
        <v>1140844579</v>
      </c>
      <c r="B898" s="5" t="s">
        <v>23706</v>
      </c>
      <c r="C898" s="5" t="s">
        <v>1742</v>
      </c>
      <c r="E898" s="5" t="s">
        <v>4401</v>
      </c>
      <c r="G898" s="5">
        <v>3012185289</v>
      </c>
    </row>
    <row r="899" spans="1:9" ht="12.5">
      <c r="A899" s="5">
        <v>1129571302</v>
      </c>
      <c r="B899" s="5" t="s">
        <v>23706</v>
      </c>
      <c r="C899" s="5" t="s">
        <v>4407</v>
      </c>
      <c r="E899" s="5" t="s">
        <v>4408</v>
      </c>
      <c r="G899" s="5">
        <v>3205315481</v>
      </c>
    </row>
    <row r="900" spans="1:9" ht="12.5">
      <c r="A900" s="5">
        <v>1140849464</v>
      </c>
      <c r="B900" s="5" t="s">
        <v>23706</v>
      </c>
      <c r="C900" s="5" t="s">
        <v>4417</v>
      </c>
      <c r="E900" s="5" t="s">
        <v>1234</v>
      </c>
      <c r="G900" s="5">
        <v>3183422136</v>
      </c>
    </row>
    <row r="901" spans="1:9" ht="12.5">
      <c r="A901" s="5">
        <v>1140830017</v>
      </c>
      <c r="B901" s="5" t="s">
        <v>23706</v>
      </c>
      <c r="C901" s="5" t="s">
        <v>8990</v>
      </c>
      <c r="E901" s="5" t="s">
        <v>4424</v>
      </c>
      <c r="G901" s="5">
        <v>3012623588</v>
      </c>
    </row>
    <row r="902" spans="1:9" ht="12.5">
      <c r="A902" s="5">
        <v>1128048594</v>
      </c>
      <c r="B902" s="5" t="s">
        <v>23706</v>
      </c>
      <c r="C902" s="5" t="s">
        <v>1651</v>
      </c>
      <c r="E902" s="5" t="s">
        <v>4469</v>
      </c>
      <c r="G902" s="5">
        <v>3008024594</v>
      </c>
    </row>
    <row r="903" spans="1:9" ht="12.5">
      <c r="A903" s="5">
        <v>1042242242285</v>
      </c>
      <c r="B903" s="5" t="s">
        <v>23706</v>
      </c>
      <c r="C903" s="5" t="s">
        <v>1136</v>
      </c>
      <c r="E903" s="5" t="s">
        <v>3912</v>
      </c>
      <c r="G903" s="5">
        <v>3242219654</v>
      </c>
    </row>
    <row r="904" spans="1:9" ht="12.5">
      <c r="A904" s="5">
        <v>1140880710</v>
      </c>
      <c r="B904" s="5" t="s">
        <v>23706</v>
      </c>
      <c r="C904" s="5" t="s">
        <v>532</v>
      </c>
      <c r="E904" s="5" t="s">
        <v>2793</v>
      </c>
      <c r="G904" s="5">
        <v>3006998903</v>
      </c>
    </row>
    <row r="905" spans="1:9" ht="12.5">
      <c r="A905" s="5">
        <v>1045672640</v>
      </c>
      <c r="B905" s="5" t="s">
        <v>23706</v>
      </c>
      <c r="C905" s="5" t="s">
        <v>24010</v>
      </c>
      <c r="E905" s="5" t="s">
        <v>7286</v>
      </c>
      <c r="G905" s="5">
        <v>3209651493</v>
      </c>
    </row>
    <row r="906" spans="1:9" ht="12.5">
      <c r="A906" s="5">
        <v>1045721449</v>
      </c>
      <c r="B906" s="5" t="s">
        <v>23706</v>
      </c>
      <c r="C906" s="5" t="s">
        <v>4458</v>
      </c>
      <c r="E906" s="5" t="s">
        <v>4459</v>
      </c>
      <c r="G906" s="5">
        <v>3008448397</v>
      </c>
    </row>
    <row r="907" spans="1:9" ht="12.5">
      <c r="A907" s="5">
        <v>1041691632</v>
      </c>
      <c r="B907" s="5" t="s">
        <v>23706</v>
      </c>
      <c r="C907" s="5" t="s">
        <v>14121</v>
      </c>
      <c r="E907" s="5"/>
      <c r="G907" s="10" t="s">
        <v>24011</v>
      </c>
      <c r="I907" s="5" t="s">
        <v>24012</v>
      </c>
    </row>
    <row r="908" spans="1:9" ht="12.5">
      <c r="A908" s="5">
        <v>1045766944</v>
      </c>
      <c r="B908" s="5" t="s">
        <v>23706</v>
      </c>
      <c r="C908" s="5" t="s">
        <v>968</v>
      </c>
      <c r="E908" s="5" t="s">
        <v>2368</v>
      </c>
      <c r="G908" s="5">
        <v>3136214673</v>
      </c>
      <c r="I908" s="5" t="s">
        <v>24013</v>
      </c>
    </row>
    <row r="909" spans="1:9" ht="12.5">
      <c r="A909" s="5">
        <v>72251565</v>
      </c>
      <c r="B909" s="5" t="s">
        <v>23706</v>
      </c>
      <c r="C909" s="5" t="s">
        <v>2533</v>
      </c>
      <c r="E909" s="5" t="s">
        <v>2277</v>
      </c>
      <c r="G909" s="5">
        <v>3243095056</v>
      </c>
    </row>
    <row r="910" spans="1:9" ht="12.5">
      <c r="A910" s="5">
        <v>1006989031</v>
      </c>
      <c r="B910" s="5" t="s">
        <v>23706</v>
      </c>
      <c r="C910" s="5" t="s">
        <v>4451</v>
      </c>
      <c r="E910" s="5" t="s">
        <v>4452</v>
      </c>
      <c r="G910" s="5">
        <v>3002709518</v>
      </c>
    </row>
    <row r="911" spans="1:9" ht="12.5">
      <c r="A911" s="5">
        <v>49778162</v>
      </c>
      <c r="B911" s="5" t="s">
        <v>23706</v>
      </c>
      <c r="C911" s="5" t="s">
        <v>4456</v>
      </c>
      <c r="E911" s="5" t="s">
        <v>40</v>
      </c>
      <c r="G911" s="5">
        <v>3213437763</v>
      </c>
    </row>
    <row r="912" spans="1:9" ht="12.5">
      <c r="A912" s="5">
        <v>1140877218</v>
      </c>
      <c r="B912" s="5" t="s">
        <v>23706</v>
      </c>
      <c r="C912" s="5" t="s">
        <v>968</v>
      </c>
      <c r="E912" s="5" t="s">
        <v>4184</v>
      </c>
      <c r="G912" s="5">
        <v>3015460628</v>
      </c>
    </row>
    <row r="913" spans="1:7" ht="12.5">
      <c r="A913" s="5">
        <v>0</v>
      </c>
      <c r="B913" s="5" t="s">
        <v>23706</v>
      </c>
      <c r="C913" s="5" t="s">
        <v>968</v>
      </c>
      <c r="E913" s="5" t="s">
        <v>1607</v>
      </c>
      <c r="G913" s="5">
        <v>13473592505</v>
      </c>
    </row>
    <row r="914" spans="1:7" ht="12.5">
      <c r="A914" s="5">
        <v>22408961</v>
      </c>
      <c r="B914" s="5" t="s">
        <v>23706</v>
      </c>
      <c r="C914" s="5" t="s">
        <v>4465</v>
      </c>
      <c r="E914" s="5" t="s">
        <v>4466</v>
      </c>
      <c r="G914" s="5">
        <v>3006631795</v>
      </c>
    </row>
    <row r="915" spans="1:7" ht="12.5">
      <c r="A915" s="5">
        <v>32735577</v>
      </c>
      <c r="B915" s="5" t="s">
        <v>23706</v>
      </c>
      <c r="C915" s="5" t="s">
        <v>4474</v>
      </c>
      <c r="E915" s="5" t="s">
        <v>4475</v>
      </c>
      <c r="G915" s="5">
        <v>3114031778</v>
      </c>
    </row>
    <row r="916" spans="1:7" ht="12.5">
      <c r="A916" s="5">
        <v>80417403</v>
      </c>
      <c r="B916" s="5" t="s">
        <v>23706</v>
      </c>
      <c r="C916" s="5" t="s">
        <v>5576</v>
      </c>
      <c r="E916" s="5" t="s">
        <v>2708</v>
      </c>
      <c r="G916" s="5">
        <v>3184001715</v>
      </c>
    </row>
    <row r="917" spans="1:7" ht="12.5">
      <c r="A917" s="5">
        <v>1129564168</v>
      </c>
      <c r="B917" s="5" t="s">
        <v>23706</v>
      </c>
      <c r="C917" s="5" t="s">
        <v>4482</v>
      </c>
      <c r="E917" s="5" t="s">
        <v>4483</v>
      </c>
      <c r="G917" s="5">
        <v>3232211755</v>
      </c>
    </row>
    <row r="918" spans="1:7" ht="12.5">
      <c r="A918" s="5">
        <v>1146447316</v>
      </c>
      <c r="B918" s="5" t="s">
        <v>23706</v>
      </c>
      <c r="C918" s="5" t="s">
        <v>338</v>
      </c>
      <c r="E918" s="5" t="s">
        <v>4526</v>
      </c>
      <c r="G918" s="5">
        <v>3016624010</v>
      </c>
    </row>
    <row r="919" spans="1:7" ht="12.5">
      <c r="A919" s="5">
        <v>22624424</v>
      </c>
      <c r="B919" s="5" t="s">
        <v>23706</v>
      </c>
      <c r="C919" s="5" t="s">
        <v>4490</v>
      </c>
      <c r="E919" s="5" t="s">
        <v>4491</v>
      </c>
      <c r="G919" s="5">
        <v>3215829339</v>
      </c>
    </row>
    <row r="920" spans="1:7" ht="12.5">
      <c r="A920" s="5">
        <v>72344765</v>
      </c>
      <c r="B920" s="5" t="s">
        <v>23706</v>
      </c>
      <c r="C920" s="5" t="s">
        <v>4519</v>
      </c>
      <c r="E920" s="5" t="s">
        <v>24014</v>
      </c>
      <c r="G920" s="5">
        <v>3174343404</v>
      </c>
    </row>
    <row r="921" spans="1:7" ht="12.5">
      <c r="A921" s="5">
        <v>1140887033</v>
      </c>
      <c r="B921" s="5" t="s">
        <v>23706</v>
      </c>
      <c r="C921" s="5" t="s">
        <v>4487</v>
      </c>
      <c r="E921" s="5" t="s">
        <v>4488</v>
      </c>
      <c r="G921" s="5">
        <v>3104023006</v>
      </c>
    </row>
    <row r="922" spans="1:7" ht="12.5">
      <c r="A922" s="5">
        <v>1140850997</v>
      </c>
      <c r="B922" s="5" t="s">
        <v>23706</v>
      </c>
      <c r="C922" s="5" t="s">
        <v>4496</v>
      </c>
      <c r="E922" s="5" t="s">
        <v>4497</v>
      </c>
      <c r="G922" s="5">
        <v>3160931234</v>
      </c>
    </row>
    <row r="923" spans="1:7" ht="12.5">
      <c r="A923" s="5">
        <v>1140835080</v>
      </c>
      <c r="B923" s="5" t="s">
        <v>23706</v>
      </c>
      <c r="C923" s="5" t="s">
        <v>4504</v>
      </c>
      <c r="E923" s="5" t="s">
        <v>4323</v>
      </c>
      <c r="G923" s="5">
        <v>3008760327</v>
      </c>
    </row>
    <row r="924" spans="1:7" ht="12.5">
      <c r="A924" s="5">
        <v>1140899685</v>
      </c>
      <c r="B924" s="5" t="s">
        <v>23706</v>
      </c>
      <c r="C924" s="5" t="s">
        <v>4503</v>
      </c>
      <c r="E924" s="5"/>
      <c r="G924" s="5">
        <v>3015568680</v>
      </c>
    </row>
    <row r="925" spans="1:7" ht="12.5">
      <c r="A925" s="5">
        <v>1019075044</v>
      </c>
      <c r="B925" s="5" t="s">
        <v>23706</v>
      </c>
      <c r="C925" s="5" t="s">
        <v>843</v>
      </c>
      <c r="E925" s="5" t="s">
        <v>1789</v>
      </c>
      <c r="G925" s="5">
        <v>3058127196</v>
      </c>
    </row>
    <row r="926" spans="1:7" ht="12.5">
      <c r="A926" s="5">
        <v>1026251878</v>
      </c>
      <c r="B926" s="5" t="s">
        <v>23706</v>
      </c>
      <c r="C926" s="5" t="s">
        <v>4536</v>
      </c>
      <c r="E926" s="5" t="s">
        <v>2041</v>
      </c>
      <c r="G926" s="5">
        <v>3185164486</v>
      </c>
    </row>
    <row r="927" spans="1:7" ht="12.5">
      <c r="A927" s="5">
        <v>901587942</v>
      </c>
      <c r="B927" s="5" t="s">
        <v>23782</v>
      </c>
      <c r="C927" s="5" t="s">
        <v>4541</v>
      </c>
      <c r="G927" s="5">
        <v>3001963770</v>
      </c>
    </row>
    <row r="928" spans="1:7" ht="12.5">
      <c r="A928" s="5">
        <v>1001779854</v>
      </c>
      <c r="B928" s="5" t="s">
        <v>23706</v>
      </c>
      <c r="C928" s="5" t="s">
        <v>4562</v>
      </c>
      <c r="E928" s="5" t="s">
        <v>4563</v>
      </c>
      <c r="G928" s="5" t="s">
        <v>24015</v>
      </c>
    </row>
    <row r="929" spans="1:7" ht="12.5">
      <c r="A929" s="5">
        <v>1140825508</v>
      </c>
      <c r="B929" s="5" t="s">
        <v>23706</v>
      </c>
      <c r="C929" s="5" t="s">
        <v>12863</v>
      </c>
      <c r="E929" s="5"/>
      <c r="G929" s="5">
        <v>3157214282</v>
      </c>
    </row>
    <row r="930" spans="1:7" ht="12.5">
      <c r="A930" s="5">
        <v>1043126052</v>
      </c>
      <c r="B930" s="5" t="s">
        <v>23706</v>
      </c>
      <c r="C930" s="5" t="s">
        <v>24016</v>
      </c>
      <c r="E930" s="5" t="s">
        <v>24017</v>
      </c>
      <c r="G930" s="5">
        <v>3205624592</v>
      </c>
    </row>
    <row r="931" spans="1:7" ht="12.5">
      <c r="A931" s="5">
        <v>1140828496</v>
      </c>
      <c r="B931" s="5" t="s">
        <v>23706</v>
      </c>
      <c r="C931" s="5" t="s">
        <v>4569</v>
      </c>
      <c r="E931" s="5" t="s">
        <v>4570</v>
      </c>
      <c r="G931" s="5">
        <v>8752057</v>
      </c>
    </row>
    <row r="932" spans="1:7" ht="12.5">
      <c r="A932" s="5">
        <v>72206281</v>
      </c>
      <c r="B932" s="5" t="s">
        <v>23706</v>
      </c>
      <c r="C932" s="5" t="s">
        <v>4572</v>
      </c>
      <c r="E932" s="5" t="s">
        <v>4573</v>
      </c>
      <c r="G932" s="5">
        <v>128789344</v>
      </c>
    </row>
    <row r="933" spans="1:7" ht="12.5">
      <c r="A933" s="5">
        <v>22657693</v>
      </c>
      <c r="B933" s="5" t="s">
        <v>23706</v>
      </c>
      <c r="C933" s="5" t="s">
        <v>3784</v>
      </c>
      <c r="E933" s="5" t="s">
        <v>4575</v>
      </c>
      <c r="G933" s="5">
        <v>3205425431</v>
      </c>
    </row>
    <row r="934" spans="1:7" ht="12.5">
      <c r="A934" s="5">
        <v>1234343370</v>
      </c>
      <c r="B934" s="5" t="s">
        <v>23706</v>
      </c>
      <c r="C934" s="5" t="s">
        <v>4582</v>
      </c>
      <c r="E934" s="5" t="s">
        <v>4583</v>
      </c>
      <c r="G934" s="5">
        <v>3103841591</v>
      </c>
    </row>
    <row r="935" spans="1:7" ht="12.5">
      <c r="A935" s="5">
        <v>72248541</v>
      </c>
      <c r="B935" s="5" t="s">
        <v>23706</v>
      </c>
      <c r="C935" s="5" t="s">
        <v>4585</v>
      </c>
      <c r="E935" s="5" t="s">
        <v>3550</v>
      </c>
      <c r="G935" s="5">
        <v>3164520660</v>
      </c>
    </row>
    <row r="936" spans="1:7" ht="12.5">
      <c r="A936" s="5">
        <v>1140858931</v>
      </c>
      <c r="B936" s="5" t="s">
        <v>23706</v>
      </c>
      <c r="C936" s="5" t="s">
        <v>4594</v>
      </c>
      <c r="E936" s="5" t="s">
        <v>24018</v>
      </c>
      <c r="G936" s="5">
        <v>3187691123</v>
      </c>
    </row>
    <row r="937" spans="1:7" ht="12.5">
      <c r="A937" s="5">
        <v>1006110276</v>
      </c>
      <c r="B937" s="5" t="s">
        <v>23706</v>
      </c>
      <c r="C937" s="5" t="s">
        <v>2293</v>
      </c>
      <c r="E937" s="5" t="s">
        <v>4590</v>
      </c>
      <c r="G937" s="5">
        <v>3168227783</v>
      </c>
    </row>
    <row r="938" spans="1:7" ht="12.5">
      <c r="A938" s="5">
        <v>1140984578</v>
      </c>
      <c r="B938" s="5" t="s">
        <v>23706</v>
      </c>
      <c r="C938" s="5" t="s">
        <v>84</v>
      </c>
      <c r="E938" s="5" t="s">
        <v>4600</v>
      </c>
      <c r="G938" s="5">
        <v>3008370746</v>
      </c>
    </row>
    <row r="939" spans="1:7" ht="12.5">
      <c r="A939" s="5">
        <v>8020106144</v>
      </c>
      <c r="B939" s="5" t="s">
        <v>23782</v>
      </c>
      <c r="C939" s="5" t="s">
        <v>12362</v>
      </c>
      <c r="G939" s="5">
        <v>3016373200</v>
      </c>
    </row>
    <row r="940" spans="1:7" ht="12.5">
      <c r="A940" s="5">
        <v>1143461773</v>
      </c>
      <c r="B940" s="5" t="s">
        <v>23706</v>
      </c>
      <c r="C940" s="5" t="s">
        <v>4610</v>
      </c>
      <c r="E940" s="5" t="s">
        <v>236</v>
      </c>
      <c r="G940" s="5">
        <v>3016260061</v>
      </c>
    </row>
    <row r="941" spans="1:7" ht="12.5">
      <c r="A941" s="5">
        <v>77184431</v>
      </c>
      <c r="B941" s="5" t="s">
        <v>23706</v>
      </c>
      <c r="C941" s="5" t="s">
        <v>4612</v>
      </c>
      <c r="E941" s="5" t="s">
        <v>2277</v>
      </c>
      <c r="G941" s="5">
        <v>3155252368</v>
      </c>
    </row>
    <row r="942" spans="1:7" ht="12.5">
      <c r="A942" s="5">
        <v>8485395</v>
      </c>
      <c r="B942" s="5" t="s">
        <v>23706</v>
      </c>
      <c r="C942" s="5" t="s">
        <v>4618</v>
      </c>
      <c r="E942" s="5" t="s">
        <v>2699</v>
      </c>
      <c r="G942" s="5">
        <v>4636715</v>
      </c>
    </row>
    <row r="943" spans="1:7" ht="12.5">
      <c r="A943" s="5">
        <v>100210872</v>
      </c>
      <c r="B943" s="5" t="s">
        <v>23706</v>
      </c>
      <c r="C943" s="5" t="s">
        <v>190</v>
      </c>
      <c r="E943" s="5" t="s">
        <v>4620</v>
      </c>
      <c r="G943" s="5">
        <v>0</v>
      </c>
    </row>
    <row r="944" spans="1:7" ht="12.5">
      <c r="A944" s="5">
        <v>0</v>
      </c>
      <c r="B944" s="5" t="s">
        <v>23706</v>
      </c>
      <c r="C944" s="5" t="s">
        <v>4623</v>
      </c>
      <c r="E944" s="5">
        <v>0</v>
      </c>
      <c r="G944" s="5">
        <v>0</v>
      </c>
    </row>
    <row r="945" spans="1:7" ht="12.5">
      <c r="A945" s="5">
        <v>1042241901</v>
      </c>
      <c r="B945" s="5" t="s">
        <v>23706</v>
      </c>
      <c r="C945" s="5" t="s">
        <v>24019</v>
      </c>
      <c r="E945" s="5" t="s">
        <v>24020</v>
      </c>
      <c r="G945" s="5">
        <v>3114389910</v>
      </c>
    </row>
    <row r="946" spans="1:7" ht="12.5">
      <c r="A946" s="5">
        <v>1140851627</v>
      </c>
      <c r="B946" s="5" t="s">
        <v>23706</v>
      </c>
      <c r="C946" s="5" t="s">
        <v>24021</v>
      </c>
      <c r="E946" s="5" t="s">
        <v>4625</v>
      </c>
      <c r="G946" s="5">
        <v>3107131591</v>
      </c>
    </row>
    <row r="947" spans="1:7" ht="12.5">
      <c r="A947" s="5">
        <v>1121330211</v>
      </c>
      <c r="B947" s="5" t="s">
        <v>23706</v>
      </c>
      <c r="C947" s="5" t="s">
        <v>24000</v>
      </c>
      <c r="E947" s="5" t="s">
        <v>7331</v>
      </c>
      <c r="G947" s="5">
        <v>3002831830</v>
      </c>
    </row>
    <row r="948" spans="1:7" ht="12.5">
      <c r="A948" s="5">
        <v>1126908937</v>
      </c>
      <c r="B948" s="5" t="s">
        <v>23706</v>
      </c>
      <c r="C948" s="5" t="s">
        <v>24022</v>
      </c>
      <c r="E948" s="5" t="s">
        <v>24023</v>
      </c>
      <c r="G948" s="5">
        <v>3013837962</v>
      </c>
    </row>
    <row r="949" spans="1:7" ht="12.5">
      <c r="A949" s="5">
        <v>32861127</v>
      </c>
      <c r="B949" s="5" t="s">
        <v>23706</v>
      </c>
      <c r="C949" s="5" t="s">
        <v>1959</v>
      </c>
      <c r="E949" s="5" t="s">
        <v>298</v>
      </c>
      <c r="G949" s="5">
        <v>3157420418</v>
      </c>
    </row>
    <row r="950" spans="1:7" ht="12.5">
      <c r="A950" s="5">
        <v>1234095887</v>
      </c>
      <c r="B950" s="5" t="s">
        <v>23706</v>
      </c>
      <c r="C950" s="5" t="s">
        <v>84</v>
      </c>
      <c r="E950" s="5" t="s">
        <v>4630</v>
      </c>
      <c r="G950" s="5">
        <v>3013708185</v>
      </c>
    </row>
    <row r="951" spans="1:7" ht="12.5">
      <c r="A951" s="5">
        <v>43206898</v>
      </c>
      <c r="B951" s="5" t="s">
        <v>23706</v>
      </c>
      <c r="C951" s="5" t="s">
        <v>158</v>
      </c>
      <c r="E951" s="5" t="s">
        <v>23845</v>
      </c>
      <c r="G951" s="5">
        <v>3215408807</v>
      </c>
    </row>
    <row r="952" spans="1:7" ht="12.5">
      <c r="A952" s="5">
        <v>1018495337</v>
      </c>
      <c r="B952" s="5" t="s">
        <v>23706</v>
      </c>
      <c r="C952" s="5" t="s">
        <v>633</v>
      </c>
      <c r="E952" s="5" t="s">
        <v>24024</v>
      </c>
      <c r="G952" s="5">
        <v>3208162910</v>
      </c>
    </row>
    <row r="953" spans="1:7" ht="12.5">
      <c r="A953" s="5">
        <v>44160184</v>
      </c>
      <c r="B953" s="5" t="s">
        <v>23706</v>
      </c>
      <c r="C953" s="5" t="s">
        <v>4639</v>
      </c>
      <c r="E953" s="5" t="s">
        <v>4640</v>
      </c>
      <c r="G953" s="5">
        <v>3013645460</v>
      </c>
    </row>
    <row r="954" spans="1:7" ht="12.5">
      <c r="A954" s="5">
        <v>1129564365</v>
      </c>
      <c r="B954" s="5" t="s">
        <v>23706</v>
      </c>
      <c r="C954" s="5" t="s">
        <v>24025</v>
      </c>
      <c r="E954" s="5" t="s">
        <v>4646</v>
      </c>
      <c r="G954" s="5">
        <v>3173694439</v>
      </c>
    </row>
    <row r="955" spans="1:7" ht="12.5">
      <c r="A955" s="5">
        <v>1077472160</v>
      </c>
      <c r="B955" s="5" t="s">
        <v>23706</v>
      </c>
      <c r="C955" s="5" t="s">
        <v>1051</v>
      </c>
      <c r="E955" s="5" t="s">
        <v>24026</v>
      </c>
      <c r="G955" s="5">
        <v>17862798387</v>
      </c>
    </row>
    <row r="956" spans="1:7" ht="12.5">
      <c r="A956" s="5">
        <v>1143166566</v>
      </c>
      <c r="B956" s="5" t="s">
        <v>23706</v>
      </c>
      <c r="C956" s="5" t="s">
        <v>7038</v>
      </c>
      <c r="E956" s="5" t="s">
        <v>3223</v>
      </c>
      <c r="G956" s="5">
        <v>3186670707</v>
      </c>
    </row>
    <row r="957" spans="1:7" ht="12.5">
      <c r="A957" s="5">
        <v>22400123</v>
      </c>
      <c r="B957" s="5" t="s">
        <v>23706</v>
      </c>
      <c r="C957" s="5" t="s">
        <v>4654</v>
      </c>
      <c r="E957" s="5" t="s">
        <v>4655</v>
      </c>
      <c r="G957" s="5">
        <v>13053384931</v>
      </c>
    </row>
    <row r="958" spans="1:7" ht="12.5">
      <c r="A958" s="5">
        <v>1043135712</v>
      </c>
      <c r="B958" s="5" t="s">
        <v>23706</v>
      </c>
      <c r="C958" s="5" t="s">
        <v>24027</v>
      </c>
      <c r="E958" s="5" t="s">
        <v>2837</v>
      </c>
      <c r="G958" s="5">
        <v>3011486903</v>
      </c>
    </row>
    <row r="959" spans="1:7" ht="12.5">
      <c r="A959" s="5">
        <v>1001867074</v>
      </c>
      <c r="B959" s="5" t="s">
        <v>23706</v>
      </c>
      <c r="C959" s="5" t="s">
        <v>4665</v>
      </c>
      <c r="E959" s="5" t="s">
        <v>1115</v>
      </c>
      <c r="G959" s="5">
        <v>3022820261</v>
      </c>
    </row>
    <row r="960" spans="1:7" ht="12.5">
      <c r="A960" s="5">
        <v>80164465</v>
      </c>
      <c r="B960" s="5" t="s">
        <v>23706</v>
      </c>
      <c r="C960" s="5" t="s">
        <v>1513</v>
      </c>
      <c r="E960" s="5" t="s">
        <v>4669</v>
      </c>
      <c r="G960" s="5">
        <v>3188833795</v>
      </c>
    </row>
    <row r="961" spans="1:7" ht="12.5">
      <c r="A961" s="5">
        <v>1140836777</v>
      </c>
      <c r="B961" s="5" t="s">
        <v>23706</v>
      </c>
      <c r="C961" s="5" t="s">
        <v>24028</v>
      </c>
      <c r="E961" s="5" t="s">
        <v>601</v>
      </c>
      <c r="G961" s="5">
        <v>3006836554</v>
      </c>
    </row>
    <row r="962" spans="1:7" ht="12.5">
      <c r="A962" s="5">
        <v>900916475</v>
      </c>
      <c r="B962" s="5" t="s">
        <v>23706</v>
      </c>
      <c r="C962" s="5" t="s">
        <v>4674</v>
      </c>
      <c r="G962" s="5">
        <v>3002627762</v>
      </c>
    </row>
    <row r="963" spans="1:7" ht="12.5">
      <c r="A963" s="5">
        <v>72175003</v>
      </c>
      <c r="B963" s="5" t="s">
        <v>23706</v>
      </c>
      <c r="C963" s="5" t="s">
        <v>11932</v>
      </c>
      <c r="E963" s="5" t="s">
        <v>4683</v>
      </c>
      <c r="G963" s="5">
        <v>3157204100</v>
      </c>
    </row>
    <row r="964" spans="1:7" ht="12.5">
      <c r="A964" s="5">
        <v>32735118</v>
      </c>
      <c r="B964" s="5" t="s">
        <v>23706</v>
      </c>
      <c r="C964" s="5" t="s">
        <v>4685</v>
      </c>
      <c r="E964" s="5" t="s">
        <v>446</v>
      </c>
      <c r="G964" s="5">
        <v>3045710986</v>
      </c>
    </row>
    <row r="965" spans="1:7" ht="12.5">
      <c r="A965" s="5">
        <v>85451240</v>
      </c>
      <c r="B965" s="5" t="s">
        <v>23706</v>
      </c>
      <c r="C965" s="5" t="s">
        <v>1935</v>
      </c>
      <c r="E965" s="5" t="s">
        <v>4695</v>
      </c>
      <c r="G965" s="5">
        <v>3107272834</v>
      </c>
    </row>
    <row r="966" spans="1:7" ht="12.5">
      <c r="A966" s="5">
        <v>55223462</v>
      </c>
      <c r="B966" s="5" t="s">
        <v>23706</v>
      </c>
      <c r="C966" s="5" t="s">
        <v>4738</v>
      </c>
      <c r="E966" s="5" t="s">
        <v>4739</v>
      </c>
      <c r="G966" s="5">
        <v>3017970570</v>
      </c>
    </row>
    <row r="967" spans="1:7" ht="12.5">
      <c r="A967" s="5">
        <v>1235039209</v>
      </c>
      <c r="B967" s="5" t="s">
        <v>23706</v>
      </c>
      <c r="C967" s="5" t="s">
        <v>4705</v>
      </c>
      <c r="E967" s="5" t="s">
        <v>4706</v>
      </c>
      <c r="G967" s="5">
        <v>3182803558</v>
      </c>
    </row>
    <row r="968" spans="1:7" ht="12.5">
      <c r="A968" s="5">
        <v>32780832</v>
      </c>
      <c r="B968" s="5" t="s">
        <v>23706</v>
      </c>
      <c r="C968" s="5" t="s">
        <v>4710</v>
      </c>
      <c r="E968" s="5" t="s">
        <v>4711</v>
      </c>
      <c r="G968" s="5">
        <v>3213335580</v>
      </c>
    </row>
    <row r="969" spans="1:7" ht="12.5">
      <c r="A969" s="5">
        <v>1098782100</v>
      </c>
      <c r="B969" s="5" t="s">
        <v>23706</v>
      </c>
      <c r="C969" s="5" t="s">
        <v>338</v>
      </c>
      <c r="E969" s="5" t="s">
        <v>8644</v>
      </c>
      <c r="G969" s="5">
        <v>3142881716</v>
      </c>
    </row>
    <row r="970" spans="1:7" ht="12.5">
      <c r="A970" s="5">
        <v>1140897694</v>
      </c>
      <c r="B970" s="5" t="s">
        <v>23706</v>
      </c>
      <c r="C970" s="5" t="s">
        <v>5181</v>
      </c>
      <c r="E970" s="5" t="s">
        <v>4727</v>
      </c>
      <c r="G970" s="5">
        <v>0</v>
      </c>
    </row>
    <row r="971" spans="1:7" ht="12.5">
      <c r="A971" s="5">
        <v>1045705333</v>
      </c>
      <c r="B971" s="5" t="s">
        <v>23706</v>
      </c>
      <c r="C971" s="5" t="s">
        <v>4754</v>
      </c>
      <c r="E971" s="5" t="s">
        <v>4755</v>
      </c>
      <c r="G971" s="5">
        <v>17863700214</v>
      </c>
    </row>
    <row r="972" spans="1:7" ht="12.5">
      <c r="A972" s="5">
        <v>1002034547</v>
      </c>
      <c r="B972" s="5" t="s">
        <v>23706</v>
      </c>
      <c r="C972" s="5" t="s">
        <v>24029</v>
      </c>
      <c r="E972" s="5" t="s">
        <v>4730</v>
      </c>
      <c r="G972" s="5">
        <v>3146649148</v>
      </c>
    </row>
    <row r="973" spans="1:7" ht="12.5">
      <c r="A973" s="5">
        <v>1006515342</v>
      </c>
      <c r="B973" s="5" t="s">
        <v>23706</v>
      </c>
      <c r="C973" s="5" t="s">
        <v>4735</v>
      </c>
      <c r="E973" s="5" t="s">
        <v>4736</v>
      </c>
      <c r="G973" s="5">
        <v>3019796476</v>
      </c>
    </row>
    <row r="974" spans="1:7" ht="12.5">
      <c r="A974" s="5">
        <v>1000149283</v>
      </c>
      <c r="B974" s="5" t="s">
        <v>23706</v>
      </c>
      <c r="C974" s="5" t="s">
        <v>24030</v>
      </c>
      <c r="E974" s="5" t="s">
        <v>4744</v>
      </c>
      <c r="G974" s="5">
        <v>3165317948</v>
      </c>
    </row>
    <row r="975" spans="1:7" ht="12.5">
      <c r="A975" s="5">
        <v>1123635099</v>
      </c>
      <c r="B975" s="5" t="s">
        <v>23706</v>
      </c>
      <c r="C975" s="5" t="s">
        <v>1349</v>
      </c>
      <c r="E975" s="5" t="s">
        <v>4747</v>
      </c>
      <c r="G975" s="5">
        <v>3108042766</v>
      </c>
    </row>
    <row r="976" spans="1:7" ht="12.5">
      <c r="A976" s="5">
        <v>52213145</v>
      </c>
      <c r="B976" s="5" t="s">
        <v>23706</v>
      </c>
      <c r="C976" s="5" t="s">
        <v>4774</v>
      </c>
      <c r="E976" s="5" t="s">
        <v>3285</v>
      </c>
      <c r="G976" s="5">
        <v>3205468224</v>
      </c>
    </row>
    <row r="977" spans="1:7" ht="12.5">
      <c r="A977" s="5">
        <v>1048071320</v>
      </c>
      <c r="B977" s="5" t="s">
        <v>23706</v>
      </c>
      <c r="C977" s="5" t="s">
        <v>332</v>
      </c>
      <c r="E977" s="5" t="s">
        <v>1344</v>
      </c>
      <c r="G977" s="5">
        <v>3018964911</v>
      </c>
    </row>
    <row r="978" spans="1:7" ht="12.5">
      <c r="A978" s="5">
        <v>1048066986</v>
      </c>
      <c r="B978" s="5" t="s">
        <v>23706</v>
      </c>
      <c r="C978" s="5" t="s">
        <v>4762</v>
      </c>
      <c r="E978" s="5" t="s">
        <v>4763</v>
      </c>
      <c r="G978" s="5">
        <v>3158664163</v>
      </c>
    </row>
    <row r="979" spans="1:7" ht="12.5">
      <c r="A979" s="5">
        <v>72167595</v>
      </c>
      <c r="B979" s="5" t="s">
        <v>23706</v>
      </c>
      <c r="C979" s="5" t="s">
        <v>5917</v>
      </c>
      <c r="E979" s="5" t="s">
        <v>4646</v>
      </c>
      <c r="G979" s="5">
        <v>3184559976</v>
      </c>
    </row>
    <row r="980" spans="1:7" ht="12.5">
      <c r="A980" s="5">
        <v>10079773273</v>
      </c>
      <c r="B980" s="5" t="s">
        <v>23706</v>
      </c>
      <c r="C980" s="5" t="s">
        <v>4780</v>
      </c>
      <c r="E980" s="5" t="s">
        <v>4781</v>
      </c>
      <c r="G980" s="5">
        <v>195739533</v>
      </c>
    </row>
    <row r="981" spans="1:7" ht="12.5">
      <c r="A981" s="5">
        <v>1129577971</v>
      </c>
      <c r="B981" s="5" t="s">
        <v>23706</v>
      </c>
      <c r="C981" s="5" t="s">
        <v>24031</v>
      </c>
      <c r="E981" s="5" t="s">
        <v>3785</v>
      </c>
      <c r="G981" s="5">
        <v>3183740725</v>
      </c>
    </row>
    <row r="982" spans="1:7" ht="12.5">
      <c r="A982" s="5">
        <v>1067602737</v>
      </c>
      <c r="B982" s="5" t="s">
        <v>23706</v>
      </c>
      <c r="C982" s="5" t="s">
        <v>953</v>
      </c>
      <c r="E982" s="5" t="s">
        <v>372</v>
      </c>
      <c r="G982" s="5">
        <v>0</v>
      </c>
    </row>
    <row r="983" spans="1:7" ht="12.5">
      <c r="A983" s="5">
        <v>1087796531</v>
      </c>
      <c r="B983" s="5" t="s">
        <v>23706</v>
      </c>
      <c r="C983" s="5" t="s">
        <v>1798</v>
      </c>
      <c r="E983" s="5" t="s">
        <v>24032</v>
      </c>
      <c r="G983" s="5">
        <v>3156701234</v>
      </c>
    </row>
    <row r="984" spans="1:7" ht="12.5">
      <c r="A984" s="5">
        <v>1002232913</v>
      </c>
      <c r="B984" s="5" t="s">
        <v>23706</v>
      </c>
      <c r="C984" s="5" t="s">
        <v>4798</v>
      </c>
      <c r="E984" s="5" t="s">
        <v>24033</v>
      </c>
      <c r="G984" s="5">
        <v>3018702355</v>
      </c>
    </row>
    <row r="985" spans="1:7" ht="12.5">
      <c r="A985" s="5">
        <v>1041692019</v>
      </c>
      <c r="B985" s="5" t="s">
        <v>23706</v>
      </c>
      <c r="C985" s="5" t="s">
        <v>698</v>
      </c>
      <c r="E985" s="5" t="s">
        <v>4805</v>
      </c>
      <c r="G985" s="5">
        <v>3116729321</v>
      </c>
    </row>
    <row r="986" spans="1:7" ht="12.5">
      <c r="A986" s="5">
        <v>1140858879</v>
      </c>
      <c r="B986" s="5" t="s">
        <v>23706</v>
      </c>
      <c r="C986" s="5" t="s">
        <v>283</v>
      </c>
      <c r="E986" s="5" t="s">
        <v>699</v>
      </c>
      <c r="G986" s="5">
        <v>3013215661</v>
      </c>
    </row>
    <row r="987" spans="1:7" ht="12.5">
      <c r="A987" s="5">
        <v>1006680246</v>
      </c>
      <c r="B987" s="5" t="s">
        <v>23706</v>
      </c>
      <c r="C987" s="5" t="s">
        <v>1026</v>
      </c>
      <c r="E987" s="5" t="s">
        <v>2368</v>
      </c>
      <c r="G987" s="5">
        <v>3218440050</v>
      </c>
    </row>
    <row r="988" spans="1:7" ht="12.5">
      <c r="A988" s="5">
        <v>1005660547</v>
      </c>
      <c r="B988" s="5" t="s">
        <v>23706</v>
      </c>
      <c r="C988" s="5" t="s">
        <v>1928</v>
      </c>
      <c r="E988" s="5" t="s">
        <v>4823</v>
      </c>
      <c r="G988" s="5">
        <v>3137545246</v>
      </c>
    </row>
    <row r="989" spans="1:7" ht="12.5">
      <c r="A989" s="5">
        <v>1044216474</v>
      </c>
      <c r="B989" s="5" t="s">
        <v>23706</v>
      </c>
      <c r="C989" s="5" t="s">
        <v>3932</v>
      </c>
      <c r="E989" s="5" t="s">
        <v>6940</v>
      </c>
      <c r="G989" s="5">
        <v>3008060488</v>
      </c>
    </row>
    <row r="990" spans="1:7" ht="12.5">
      <c r="A990" s="5">
        <v>1048264683</v>
      </c>
      <c r="B990" s="5" t="s">
        <v>23706</v>
      </c>
      <c r="C990" s="5" t="s">
        <v>856</v>
      </c>
      <c r="E990" s="5" t="s">
        <v>4842</v>
      </c>
      <c r="G990" s="5">
        <v>3042985233</v>
      </c>
    </row>
    <row r="991" spans="1:7" ht="12.5">
      <c r="A991" s="5">
        <v>22585584</v>
      </c>
      <c r="B991" s="5" t="s">
        <v>23706</v>
      </c>
      <c r="C991" s="5" t="s">
        <v>11284</v>
      </c>
      <c r="E991" s="5" t="s">
        <v>4835</v>
      </c>
      <c r="G991" s="10" t="s">
        <v>24034</v>
      </c>
    </row>
    <row r="992" spans="1:7" ht="12.5">
      <c r="A992" s="5">
        <v>1042244592</v>
      </c>
      <c r="B992" s="5" t="s">
        <v>23706</v>
      </c>
      <c r="C992" s="5" t="s">
        <v>13161</v>
      </c>
      <c r="E992" s="5"/>
      <c r="G992" s="5">
        <v>3244485611</v>
      </c>
    </row>
    <row r="993" spans="1:7" ht="12.5">
      <c r="A993" s="5">
        <v>72192891</v>
      </c>
      <c r="B993" s="5" t="s">
        <v>23706</v>
      </c>
      <c r="C993" s="5" t="s">
        <v>4840</v>
      </c>
      <c r="E993" s="5" t="s">
        <v>116</v>
      </c>
      <c r="G993" s="5">
        <v>3004917332</v>
      </c>
    </row>
    <row r="994" spans="1:7" ht="12.5">
      <c r="A994" s="5">
        <v>80852240</v>
      </c>
      <c r="B994" s="5" t="s">
        <v>23706</v>
      </c>
      <c r="C994" s="5" t="s">
        <v>2545</v>
      </c>
      <c r="E994" s="5" t="s">
        <v>6140</v>
      </c>
      <c r="G994" s="5">
        <v>3017925741</v>
      </c>
    </row>
    <row r="995" spans="1:7" ht="12.5">
      <c r="A995" s="5">
        <v>1140885725</v>
      </c>
      <c r="B995" s="5" t="s">
        <v>23706</v>
      </c>
      <c r="C995" s="5" t="s">
        <v>2836</v>
      </c>
      <c r="E995" s="5" t="s">
        <v>4847</v>
      </c>
      <c r="G995" s="5">
        <v>3026090941</v>
      </c>
    </row>
    <row r="996" spans="1:7" ht="12.5">
      <c r="A996" s="5">
        <v>1140872558</v>
      </c>
      <c r="B996" s="5" t="s">
        <v>23706</v>
      </c>
      <c r="C996" s="5" t="s">
        <v>1692</v>
      </c>
      <c r="E996" s="5" t="s">
        <v>298</v>
      </c>
      <c r="G996" s="5">
        <v>3013575380</v>
      </c>
    </row>
    <row r="997" spans="1:7" ht="12.5">
      <c r="A997" s="5">
        <v>9016614759</v>
      </c>
      <c r="B997" s="5" t="s">
        <v>23782</v>
      </c>
      <c r="C997" s="5" t="s">
        <v>4864</v>
      </c>
      <c r="E997" s="5" t="s">
        <v>4865</v>
      </c>
      <c r="G997" s="5">
        <v>3106321533</v>
      </c>
    </row>
    <row r="998" spans="1:7" ht="12.5">
      <c r="A998" s="5">
        <v>57449646</v>
      </c>
      <c r="B998" s="5" t="s">
        <v>23706</v>
      </c>
      <c r="C998" s="5" t="s">
        <v>645</v>
      </c>
      <c r="E998" s="5" t="s">
        <v>3565</v>
      </c>
      <c r="G998" s="5">
        <v>3023275940</v>
      </c>
    </row>
    <row r="999" spans="1:7" ht="12.5">
      <c r="A999" s="5">
        <v>1001934532</v>
      </c>
      <c r="B999" s="5" t="s">
        <v>23706</v>
      </c>
      <c r="C999" s="5" t="s">
        <v>4881</v>
      </c>
      <c r="E999" s="5" t="s">
        <v>583</v>
      </c>
      <c r="G999" s="5">
        <v>3105999160</v>
      </c>
    </row>
    <row r="1000" spans="1:7" ht="12.5">
      <c r="A1000" s="5">
        <v>32668592</v>
      </c>
      <c r="B1000" s="5" t="s">
        <v>23706</v>
      </c>
      <c r="C1000" s="5" t="s">
        <v>7115</v>
      </c>
      <c r="E1000" s="5" t="s">
        <v>4430</v>
      </c>
      <c r="G1000" s="5">
        <v>3185159146</v>
      </c>
    </row>
    <row r="1001" spans="1:7" ht="12.5">
      <c r="A1001" s="5">
        <v>1002157561</v>
      </c>
      <c r="B1001" s="5" t="s">
        <v>23706</v>
      </c>
      <c r="C1001" s="5" t="s">
        <v>4887</v>
      </c>
      <c r="E1001" s="5" t="s">
        <v>2423</v>
      </c>
      <c r="G1001" s="5">
        <v>3008907262</v>
      </c>
    </row>
    <row r="1002" spans="1:7" ht="12.5">
      <c r="A1002" s="5">
        <v>1002162815</v>
      </c>
      <c r="B1002" s="5" t="s">
        <v>23706</v>
      </c>
      <c r="C1002" s="5" t="s">
        <v>13909</v>
      </c>
      <c r="E1002" s="5"/>
      <c r="G1002" s="5">
        <v>3046167890</v>
      </c>
    </row>
    <row r="1003" spans="1:7" ht="12.5">
      <c r="A1003" s="5">
        <v>22584758</v>
      </c>
      <c r="B1003" s="5" t="s">
        <v>23706</v>
      </c>
      <c r="C1003" s="5" t="s">
        <v>4897</v>
      </c>
      <c r="E1003" s="5" t="s">
        <v>4898</v>
      </c>
      <c r="G1003" s="5">
        <v>3106242990</v>
      </c>
    </row>
    <row r="1004" spans="1:7" ht="12.5">
      <c r="A1004" s="5">
        <v>1002211741</v>
      </c>
      <c r="B1004" s="5" t="s">
        <v>23706</v>
      </c>
      <c r="C1004" s="5" t="s">
        <v>2799</v>
      </c>
      <c r="E1004" s="5" t="s">
        <v>24035</v>
      </c>
      <c r="G1004" s="5">
        <v>3105667005</v>
      </c>
    </row>
    <row r="1005" spans="1:7" ht="12.5">
      <c r="A1005" s="5">
        <v>32608060</v>
      </c>
      <c r="B1005" s="5" t="s">
        <v>23706</v>
      </c>
      <c r="C1005" s="5" t="s">
        <v>4906</v>
      </c>
      <c r="E1005" s="5"/>
      <c r="G1005" s="5">
        <v>3183607759</v>
      </c>
    </row>
    <row r="1006" spans="1:7" ht="12.5">
      <c r="A1006" s="5">
        <v>32641128</v>
      </c>
      <c r="B1006" s="5" t="s">
        <v>23706</v>
      </c>
      <c r="C1006" s="5" t="s">
        <v>11491</v>
      </c>
      <c r="E1006" s="5" t="s">
        <v>4909</v>
      </c>
      <c r="G1006" s="5">
        <v>3205420119</v>
      </c>
    </row>
    <row r="1007" spans="1:7" ht="12.5">
      <c r="A1007" s="5">
        <v>1001872894</v>
      </c>
      <c r="B1007" s="5" t="s">
        <v>23706</v>
      </c>
      <c r="C1007" s="5" t="s">
        <v>4915</v>
      </c>
      <c r="E1007" s="5" t="s">
        <v>24036</v>
      </c>
      <c r="G1007" s="5">
        <v>3044284127</v>
      </c>
    </row>
    <row r="1008" spans="1:7" ht="12.5">
      <c r="A1008" s="5">
        <v>1020795472</v>
      </c>
      <c r="B1008" s="5" t="s">
        <v>23706</v>
      </c>
      <c r="C1008" s="5" t="s">
        <v>698</v>
      </c>
      <c r="E1008" s="5" t="s">
        <v>1585</v>
      </c>
      <c r="G1008" s="5">
        <v>3165316328</v>
      </c>
    </row>
    <row r="1009" spans="1:9" ht="12.5">
      <c r="A1009" s="5">
        <v>22516734</v>
      </c>
      <c r="B1009" s="5" t="s">
        <v>23706</v>
      </c>
      <c r="C1009" s="5" t="s">
        <v>24037</v>
      </c>
      <c r="E1009" s="5" t="s">
        <v>1503</v>
      </c>
      <c r="G1009" s="5">
        <v>3013903481</v>
      </c>
    </row>
    <row r="1010" spans="1:9" ht="12.5">
      <c r="A1010" s="5">
        <v>1140884789</v>
      </c>
      <c r="B1010" s="5" t="s">
        <v>23706</v>
      </c>
      <c r="C1010" s="5" t="s">
        <v>1314</v>
      </c>
      <c r="E1010" s="5" t="s">
        <v>23869</v>
      </c>
      <c r="G1010" s="5">
        <v>3106328049</v>
      </c>
    </row>
    <row r="1011" spans="1:9" ht="12.5">
      <c r="A1011" s="5">
        <v>1101623020</v>
      </c>
      <c r="B1011" s="5" t="s">
        <v>23706</v>
      </c>
      <c r="C1011" s="5" t="s">
        <v>10531</v>
      </c>
      <c r="E1011" s="5" t="s">
        <v>2368</v>
      </c>
      <c r="G1011" s="5">
        <v>3052891232</v>
      </c>
    </row>
    <row r="1012" spans="1:9" ht="12.5">
      <c r="A1012" s="5">
        <v>1140821224</v>
      </c>
      <c r="B1012" s="5" t="s">
        <v>23706</v>
      </c>
      <c r="C1012" s="5" t="s">
        <v>4929</v>
      </c>
      <c r="E1012" s="5" t="s">
        <v>4930</v>
      </c>
      <c r="G1012" s="5">
        <v>573005631561</v>
      </c>
    </row>
    <row r="1013" spans="1:9" ht="12.5">
      <c r="A1013" s="5">
        <v>55303876</v>
      </c>
      <c r="B1013" s="5" t="s">
        <v>23706</v>
      </c>
      <c r="C1013" s="5" t="s">
        <v>4938</v>
      </c>
      <c r="E1013" s="5" t="s">
        <v>4939</v>
      </c>
      <c r="G1013" s="5">
        <v>3186598255</v>
      </c>
    </row>
    <row r="1014" spans="1:9" ht="12.5">
      <c r="A1014" s="5">
        <v>1129574366</v>
      </c>
      <c r="B1014" s="5" t="s">
        <v>23706</v>
      </c>
      <c r="C1014" s="5" t="s">
        <v>4934</v>
      </c>
      <c r="E1014" s="5" t="s">
        <v>583</v>
      </c>
      <c r="G1014" s="5">
        <v>3238135245</v>
      </c>
    </row>
    <row r="1015" spans="1:9" ht="12.5">
      <c r="A1015" s="5">
        <v>1043932752</v>
      </c>
      <c r="B1015" s="5" t="s">
        <v>23706</v>
      </c>
      <c r="C1015" s="5" t="s">
        <v>1349</v>
      </c>
      <c r="E1015" s="5" t="s">
        <v>24038</v>
      </c>
      <c r="G1015" s="5">
        <v>3113889439</v>
      </c>
    </row>
    <row r="1016" spans="1:9" ht="12.5">
      <c r="A1016" s="5">
        <v>1140839482</v>
      </c>
      <c r="B1016" s="5" t="s">
        <v>23706</v>
      </c>
      <c r="C1016" s="5" t="s">
        <v>4956</v>
      </c>
      <c r="E1016" s="5" t="s">
        <v>4957</v>
      </c>
      <c r="G1016" s="5">
        <v>3135739800</v>
      </c>
    </row>
    <row r="1017" spans="1:9" ht="12.5">
      <c r="A1017" s="5">
        <v>1096034679</v>
      </c>
      <c r="B1017" s="5" t="s">
        <v>23706</v>
      </c>
      <c r="C1017" s="5" t="s">
        <v>13618</v>
      </c>
      <c r="E1017" s="5"/>
      <c r="G1017" s="5">
        <v>3125118337</v>
      </c>
      <c r="I1017" s="5" t="s">
        <v>24039</v>
      </c>
    </row>
    <row r="1018" spans="1:9" ht="12.5">
      <c r="A1018" s="5">
        <v>32845849</v>
      </c>
      <c r="B1018" s="5" t="s">
        <v>23706</v>
      </c>
      <c r="C1018" s="5" t="s">
        <v>4961</v>
      </c>
      <c r="E1018" s="5" t="s">
        <v>4962</v>
      </c>
      <c r="G1018" s="5">
        <v>3156151131</v>
      </c>
    </row>
    <row r="1019" spans="1:9" ht="12.5">
      <c r="A1019" s="5">
        <v>1140842269</v>
      </c>
      <c r="B1019" s="5" t="s">
        <v>23706</v>
      </c>
      <c r="C1019" s="5" t="s">
        <v>1651</v>
      </c>
      <c r="E1019" s="5" t="s">
        <v>4968</v>
      </c>
      <c r="G1019" s="5">
        <v>3059227701</v>
      </c>
    </row>
    <row r="1020" spans="1:9" ht="12.5">
      <c r="A1020" s="5">
        <v>1140886958</v>
      </c>
      <c r="B1020" s="5" t="s">
        <v>23706</v>
      </c>
      <c r="C1020" s="5" t="s">
        <v>4973</v>
      </c>
      <c r="E1020" s="5" t="s">
        <v>5112</v>
      </c>
      <c r="G1020" s="5">
        <v>3012089960</v>
      </c>
    </row>
    <row r="1021" spans="1:9" ht="12.5">
      <c r="A1021" s="5">
        <v>1042449310</v>
      </c>
      <c r="B1021" s="5" t="s">
        <v>23706</v>
      </c>
      <c r="C1021" s="5" t="s">
        <v>1513</v>
      </c>
      <c r="E1021" s="5" t="s">
        <v>4982</v>
      </c>
      <c r="G1021" s="5">
        <v>3206349902</v>
      </c>
    </row>
    <row r="1022" spans="1:9" ht="12.5">
      <c r="A1022" s="5">
        <v>1129543855</v>
      </c>
      <c r="B1022" s="5" t="s">
        <v>23706</v>
      </c>
      <c r="C1022" s="5" t="s">
        <v>24040</v>
      </c>
      <c r="E1022" s="5" t="s">
        <v>6028</v>
      </c>
      <c r="G1022" s="5">
        <v>3002068419</v>
      </c>
    </row>
    <row r="1023" spans="1:9" ht="12.5">
      <c r="A1023" s="5">
        <v>1140902616</v>
      </c>
      <c r="B1023" s="5" t="s">
        <v>23706</v>
      </c>
      <c r="C1023" s="5" t="s">
        <v>4992</v>
      </c>
      <c r="E1023" s="5" t="s">
        <v>2560</v>
      </c>
      <c r="G1023" s="5">
        <v>3507547854</v>
      </c>
    </row>
    <row r="1024" spans="1:9" ht="12.5">
      <c r="A1024" s="5">
        <v>1010086830</v>
      </c>
      <c r="B1024" s="5" t="s">
        <v>23706</v>
      </c>
      <c r="C1024" s="5" t="s">
        <v>1051</v>
      </c>
      <c r="E1024" s="5"/>
      <c r="G1024" s="5">
        <v>308162659</v>
      </c>
    </row>
    <row r="1025" spans="1:7" ht="12.5">
      <c r="A1025" s="5">
        <v>22550720</v>
      </c>
      <c r="B1025" s="5" t="s">
        <v>23706</v>
      </c>
      <c r="C1025" s="5" t="s">
        <v>5007</v>
      </c>
      <c r="E1025" s="5"/>
      <c r="G1025" s="5">
        <v>3229447327</v>
      </c>
    </row>
    <row r="1026" spans="1:7" ht="12.5">
      <c r="A1026" s="5">
        <v>1043012170</v>
      </c>
      <c r="B1026" s="5" t="s">
        <v>23706</v>
      </c>
      <c r="C1026" s="5" t="s">
        <v>968</v>
      </c>
      <c r="E1026" s="5" t="s">
        <v>5009</v>
      </c>
      <c r="G1026" s="5">
        <v>3004340336</v>
      </c>
    </row>
    <row r="1027" spans="1:7" ht="12.5">
      <c r="A1027" s="5">
        <v>51785856</v>
      </c>
      <c r="B1027" s="5" t="s">
        <v>23706</v>
      </c>
      <c r="C1027" s="5" t="s">
        <v>5014</v>
      </c>
      <c r="E1027" s="5" t="s">
        <v>5015</v>
      </c>
      <c r="G1027" s="5">
        <v>13312434171</v>
      </c>
    </row>
    <row r="1028" spans="1:7" ht="12.5">
      <c r="A1028" s="5">
        <v>64545259</v>
      </c>
      <c r="B1028" s="5" t="s">
        <v>23706</v>
      </c>
      <c r="C1028" s="5" t="s">
        <v>4004</v>
      </c>
      <c r="E1028" s="5" t="s">
        <v>5022</v>
      </c>
      <c r="G1028" s="5">
        <v>3157264794</v>
      </c>
    </row>
    <row r="1029" spans="1:7" ht="12.5">
      <c r="A1029" s="5">
        <v>1002094147</v>
      </c>
      <c r="B1029" s="5" t="s">
        <v>23706</v>
      </c>
      <c r="C1029" s="5" t="s">
        <v>23859</v>
      </c>
      <c r="E1029" s="5" t="s">
        <v>601</v>
      </c>
      <c r="G1029" s="5">
        <v>3226854055</v>
      </c>
    </row>
    <row r="1030" spans="1:7" ht="12.5">
      <c r="A1030" s="5">
        <v>1001919685</v>
      </c>
      <c r="B1030" s="5" t="s">
        <v>23706</v>
      </c>
      <c r="C1030" s="5" t="s">
        <v>24041</v>
      </c>
      <c r="E1030" s="5" t="s">
        <v>24042</v>
      </c>
      <c r="G1030" s="5">
        <v>3104967124</v>
      </c>
    </row>
    <row r="1031" spans="1:7" ht="12.5">
      <c r="A1031" s="5">
        <v>1234093959</v>
      </c>
      <c r="B1031" s="5" t="s">
        <v>23706</v>
      </c>
      <c r="C1031" s="5" t="s">
        <v>480</v>
      </c>
      <c r="E1031" s="5" t="s">
        <v>1683</v>
      </c>
      <c r="G1031" s="5">
        <v>3115483461</v>
      </c>
    </row>
    <row r="1032" spans="1:7" ht="12.5">
      <c r="A1032" s="5">
        <v>1140890896</v>
      </c>
      <c r="B1032" s="5" t="s">
        <v>23706</v>
      </c>
      <c r="C1032" s="5" t="s">
        <v>1349</v>
      </c>
      <c r="E1032" s="5" t="s">
        <v>5046</v>
      </c>
      <c r="G1032" s="5">
        <v>3017850753</v>
      </c>
    </row>
    <row r="1033" spans="1:7" ht="12.5">
      <c r="A1033" s="5">
        <v>1001993786</v>
      </c>
      <c r="B1033" s="5" t="s">
        <v>23706</v>
      </c>
      <c r="C1033" s="5" t="s">
        <v>7228</v>
      </c>
      <c r="E1033" s="5" t="s">
        <v>24043</v>
      </c>
      <c r="G1033" s="5">
        <v>3166204826</v>
      </c>
    </row>
    <row r="1034" spans="1:7" ht="12.5">
      <c r="A1034" s="5">
        <v>1140877805</v>
      </c>
      <c r="B1034" s="5" t="s">
        <v>23706</v>
      </c>
      <c r="C1034" s="5" t="s">
        <v>11151</v>
      </c>
      <c r="E1034" s="5" t="s">
        <v>1585</v>
      </c>
      <c r="G1034" s="5">
        <v>3008060384</v>
      </c>
    </row>
    <row r="1035" spans="1:7" ht="12.5">
      <c r="A1035" s="5">
        <v>1140814144</v>
      </c>
      <c r="B1035" s="5" t="s">
        <v>23706</v>
      </c>
      <c r="C1035" s="5" t="s">
        <v>2958</v>
      </c>
      <c r="E1035" s="5" t="s">
        <v>5027</v>
      </c>
      <c r="G1035" s="5">
        <v>3015013641</v>
      </c>
    </row>
    <row r="1036" spans="1:7" ht="12.5">
      <c r="A1036" s="5">
        <v>447748258571</v>
      </c>
      <c r="B1036" s="5" t="s">
        <v>23706</v>
      </c>
      <c r="C1036" s="5" t="s">
        <v>4536</v>
      </c>
      <c r="E1036" s="5" t="s">
        <v>5032</v>
      </c>
      <c r="G1036" s="5">
        <v>7748258571</v>
      </c>
    </row>
    <row r="1037" spans="1:7" ht="12.5">
      <c r="A1037" s="5">
        <v>1129527423</v>
      </c>
      <c r="B1037" s="5" t="s">
        <v>23706</v>
      </c>
      <c r="C1037" s="5" t="s">
        <v>5035</v>
      </c>
      <c r="E1037" s="5" t="s">
        <v>5036</v>
      </c>
      <c r="G1037" s="5">
        <v>3187955699</v>
      </c>
    </row>
    <row r="1038" spans="1:7" ht="12.5">
      <c r="A1038" s="5">
        <v>4915141603018</v>
      </c>
      <c r="B1038" s="5" t="s">
        <v>23706</v>
      </c>
      <c r="C1038" s="5" t="s">
        <v>5041</v>
      </c>
      <c r="E1038" s="5" t="s">
        <v>24044</v>
      </c>
      <c r="G1038" s="5">
        <v>4915141603018</v>
      </c>
    </row>
    <row r="1039" spans="1:7" ht="12.5">
      <c r="A1039" s="5">
        <v>1121330748</v>
      </c>
      <c r="B1039" s="5" t="s">
        <v>23706</v>
      </c>
      <c r="C1039" s="5" t="s">
        <v>5051</v>
      </c>
      <c r="E1039" s="5" t="s">
        <v>5052</v>
      </c>
      <c r="G1039" s="5">
        <v>3204580008</v>
      </c>
    </row>
    <row r="1040" spans="1:7" ht="12.5">
      <c r="A1040" s="5">
        <v>8289376</v>
      </c>
      <c r="B1040" s="5" t="s">
        <v>23706</v>
      </c>
      <c r="C1040" s="5" t="s">
        <v>3139</v>
      </c>
      <c r="E1040" s="5" t="s">
        <v>5055</v>
      </c>
      <c r="G1040" s="5">
        <v>0</v>
      </c>
    </row>
    <row r="1041" spans="1:9" ht="12.5">
      <c r="A1041" s="5">
        <v>1045691531</v>
      </c>
      <c r="B1041" s="5" t="s">
        <v>23706</v>
      </c>
      <c r="C1041" s="5" t="s">
        <v>332</v>
      </c>
      <c r="E1041" s="5" t="s">
        <v>5059</v>
      </c>
      <c r="G1041" s="5">
        <v>3006344995</v>
      </c>
    </row>
    <row r="1042" spans="1:9" ht="12.5">
      <c r="A1042" s="5">
        <v>1140886688</v>
      </c>
      <c r="B1042" s="5" t="s">
        <v>23706</v>
      </c>
      <c r="C1042" s="5" t="s">
        <v>1719</v>
      </c>
      <c r="E1042" s="5" t="s">
        <v>5067</v>
      </c>
      <c r="G1042" s="5">
        <v>3216680671</v>
      </c>
    </row>
    <row r="1043" spans="1:9" ht="12.5">
      <c r="A1043" s="5">
        <v>1047506220</v>
      </c>
      <c r="B1043" s="5" t="s">
        <v>23706</v>
      </c>
      <c r="C1043" s="5" t="s">
        <v>1928</v>
      </c>
      <c r="E1043" s="5" t="s">
        <v>5067</v>
      </c>
      <c r="G1043" s="5">
        <v>3012181032</v>
      </c>
    </row>
    <row r="1044" spans="1:9" ht="12.5">
      <c r="A1044" s="5">
        <v>1143161263</v>
      </c>
      <c r="B1044" s="5" t="s">
        <v>23706</v>
      </c>
      <c r="C1044" s="5" t="s">
        <v>24045</v>
      </c>
      <c r="E1044" s="5" t="s">
        <v>11152</v>
      </c>
      <c r="G1044" s="5">
        <v>3028008923</v>
      </c>
    </row>
    <row r="1045" spans="1:9" ht="12.5">
      <c r="A1045" s="5">
        <v>33104426</v>
      </c>
      <c r="B1045" s="5" t="s">
        <v>23706</v>
      </c>
      <c r="C1045" s="5" t="s">
        <v>5076</v>
      </c>
      <c r="E1045" s="5" t="s">
        <v>5077</v>
      </c>
      <c r="G1045" s="5">
        <v>3008162675</v>
      </c>
    </row>
    <row r="1046" spans="1:9" ht="12.5">
      <c r="A1046" s="5">
        <v>1140886454</v>
      </c>
      <c r="B1046" s="5" t="s">
        <v>23706</v>
      </c>
      <c r="C1046" s="5" t="s">
        <v>1369</v>
      </c>
      <c r="E1046" s="5" t="s">
        <v>24046</v>
      </c>
      <c r="G1046" s="5">
        <v>3218041357</v>
      </c>
    </row>
    <row r="1047" spans="1:9" ht="12.5">
      <c r="A1047" s="5">
        <v>1139424250</v>
      </c>
      <c r="B1047" s="5" t="s">
        <v>23706</v>
      </c>
      <c r="C1047" s="5" t="s">
        <v>11322</v>
      </c>
      <c r="E1047" s="5" t="s">
        <v>24047</v>
      </c>
      <c r="G1047" s="5">
        <v>3008057798</v>
      </c>
    </row>
    <row r="1048" spans="1:9" ht="12.5">
      <c r="A1048" s="5">
        <v>1048067144</v>
      </c>
      <c r="B1048" s="5" t="s">
        <v>23706</v>
      </c>
      <c r="C1048" s="5" t="s">
        <v>5135</v>
      </c>
      <c r="E1048" s="5" t="s">
        <v>24048</v>
      </c>
      <c r="G1048" s="5">
        <v>3045739199</v>
      </c>
    </row>
    <row r="1049" spans="1:9" ht="12.5">
      <c r="A1049" s="5">
        <v>1080422166</v>
      </c>
      <c r="B1049" s="5" t="s">
        <v>23706</v>
      </c>
      <c r="C1049" s="5" t="s">
        <v>15552</v>
      </c>
      <c r="E1049" s="5"/>
      <c r="G1049" s="5">
        <v>3017229158</v>
      </c>
      <c r="I1049" s="5" t="s">
        <v>24049</v>
      </c>
    </row>
    <row r="1050" spans="1:9" ht="12.5">
      <c r="A1050" s="5">
        <v>3718783</v>
      </c>
      <c r="B1050" s="5" t="s">
        <v>23706</v>
      </c>
      <c r="C1050" s="5" t="s">
        <v>5100</v>
      </c>
      <c r="E1050" s="5" t="s">
        <v>1924</v>
      </c>
      <c r="G1050" s="5">
        <v>3005869319</v>
      </c>
    </row>
    <row r="1051" spans="1:9" ht="12.5">
      <c r="A1051" s="5">
        <v>3004848680</v>
      </c>
      <c r="B1051" s="5" t="s">
        <v>23706</v>
      </c>
      <c r="C1051" s="5" t="s">
        <v>5118</v>
      </c>
      <c r="E1051" s="5" t="s">
        <v>5119</v>
      </c>
      <c r="G1051" s="5">
        <v>3004848680</v>
      </c>
    </row>
    <row r="1052" spans="1:9" ht="12.5">
      <c r="A1052" s="5">
        <v>37947586</v>
      </c>
      <c r="B1052" s="5" t="s">
        <v>23706</v>
      </c>
      <c r="C1052" s="5" t="s">
        <v>5103</v>
      </c>
      <c r="E1052" s="5" t="s">
        <v>1566</v>
      </c>
      <c r="G1052" s="5">
        <v>3215896376</v>
      </c>
    </row>
    <row r="1053" spans="1:9" ht="12.5">
      <c r="A1053" s="5">
        <v>1233691332</v>
      </c>
      <c r="B1053" s="5" t="s">
        <v>23706</v>
      </c>
      <c r="C1053" s="5" t="s">
        <v>1349</v>
      </c>
      <c r="E1053" s="5" t="s">
        <v>4424</v>
      </c>
      <c r="G1053" s="5">
        <v>3154857878</v>
      </c>
    </row>
    <row r="1054" spans="1:9" ht="12.5">
      <c r="A1054" s="5">
        <v>1000729591</v>
      </c>
      <c r="B1054" s="5" t="s">
        <v>23706</v>
      </c>
      <c r="C1054" s="5" t="s">
        <v>5128</v>
      </c>
      <c r="E1054" s="5" t="s">
        <v>116</v>
      </c>
      <c r="G1054" s="5">
        <v>3168797009</v>
      </c>
      <c r="I1054" s="5" t="s">
        <v>24050</v>
      </c>
    </row>
    <row r="1055" spans="1:9" ht="12.5">
      <c r="A1055" s="5">
        <v>64477956</v>
      </c>
      <c r="B1055" s="5" t="s">
        <v>23706</v>
      </c>
      <c r="C1055" s="5" t="s">
        <v>1850</v>
      </c>
      <c r="E1055" s="5" t="s">
        <v>2837</v>
      </c>
      <c r="G1055" s="5">
        <v>3103991239</v>
      </c>
    </row>
    <row r="1056" spans="1:9" ht="12.5">
      <c r="A1056" s="5">
        <v>72247763</v>
      </c>
      <c r="B1056" s="5" t="s">
        <v>23706</v>
      </c>
      <c r="C1056" s="5" t="s">
        <v>4360</v>
      </c>
      <c r="E1056" s="5" t="s">
        <v>5149</v>
      </c>
      <c r="G1056" s="5">
        <v>145944490</v>
      </c>
    </row>
    <row r="1057" spans="1:7" ht="12.5">
      <c r="A1057" s="5">
        <v>1234097915</v>
      </c>
      <c r="B1057" s="5" t="s">
        <v>23706</v>
      </c>
      <c r="C1057" s="5" t="s">
        <v>5305</v>
      </c>
      <c r="E1057" s="5" t="s">
        <v>5306</v>
      </c>
      <c r="G1057" s="5">
        <v>3014014408</v>
      </c>
    </row>
    <row r="1058" spans="1:7" ht="12.5">
      <c r="A1058" s="5">
        <v>1129574228</v>
      </c>
      <c r="B1058" s="5" t="s">
        <v>23706</v>
      </c>
      <c r="C1058" s="5" t="s">
        <v>5159</v>
      </c>
      <c r="E1058" s="5" t="s">
        <v>3785</v>
      </c>
      <c r="G1058" s="5">
        <v>3116902567</v>
      </c>
    </row>
    <row r="1059" spans="1:7" ht="12.5">
      <c r="A1059" s="5">
        <v>1234093227</v>
      </c>
      <c r="B1059" s="5" t="s">
        <v>23706</v>
      </c>
      <c r="C1059" s="5" t="s">
        <v>24051</v>
      </c>
      <c r="E1059" s="5" t="s">
        <v>5164</v>
      </c>
      <c r="G1059" s="5">
        <v>3043507464</v>
      </c>
    </row>
    <row r="1060" spans="1:7" ht="12.5">
      <c r="A1060" s="5">
        <v>1143456963</v>
      </c>
      <c r="B1060" s="5" t="s">
        <v>23706</v>
      </c>
      <c r="C1060" s="5" t="s">
        <v>5186</v>
      </c>
      <c r="E1060" s="5" t="s">
        <v>5187</v>
      </c>
      <c r="G1060" s="5">
        <v>3103837558</v>
      </c>
    </row>
    <row r="1061" spans="1:7" ht="12.5">
      <c r="A1061" s="5">
        <v>1140815178</v>
      </c>
      <c r="B1061" s="5" t="s">
        <v>23706</v>
      </c>
      <c r="C1061" s="5" t="s">
        <v>5176</v>
      </c>
      <c r="E1061" s="5" t="s">
        <v>5177</v>
      </c>
      <c r="G1061" s="5">
        <v>3003851130</v>
      </c>
    </row>
    <row r="1062" spans="1:7" ht="12.5">
      <c r="A1062" s="5">
        <v>1140850708</v>
      </c>
      <c r="B1062" s="5" t="s">
        <v>23706</v>
      </c>
      <c r="C1062" s="5" t="s">
        <v>5182</v>
      </c>
      <c r="E1062" s="5" t="s">
        <v>5183</v>
      </c>
      <c r="G1062" s="5">
        <v>3002219667</v>
      </c>
    </row>
    <row r="1063" spans="1:7" ht="12.5">
      <c r="A1063" s="5">
        <v>1001947051</v>
      </c>
      <c r="B1063" s="5" t="s">
        <v>23706</v>
      </c>
      <c r="C1063" s="5" t="s">
        <v>2915</v>
      </c>
      <c r="E1063" s="5" t="s">
        <v>23720</v>
      </c>
      <c r="G1063" s="5">
        <v>3046274764</v>
      </c>
    </row>
    <row r="1064" spans="1:7" ht="12.5">
      <c r="A1064" s="5">
        <v>1052997772</v>
      </c>
      <c r="B1064" s="5" t="s">
        <v>23706</v>
      </c>
      <c r="C1064" s="5" t="s">
        <v>24052</v>
      </c>
      <c r="E1064" s="5" t="s">
        <v>24053</v>
      </c>
      <c r="G1064" s="5">
        <v>3016321485</v>
      </c>
    </row>
    <row r="1065" spans="1:7" ht="12.5">
      <c r="A1065" s="5">
        <v>1044424311</v>
      </c>
      <c r="B1065" s="5" t="s">
        <v>23706</v>
      </c>
      <c r="C1065" s="5" t="s">
        <v>4407</v>
      </c>
      <c r="E1065" s="5" t="s">
        <v>5205</v>
      </c>
      <c r="G1065" s="5">
        <v>3002381311</v>
      </c>
    </row>
    <row r="1066" spans="1:7" ht="12.5">
      <c r="A1066" s="5">
        <v>0</v>
      </c>
      <c r="B1066" s="5" t="s">
        <v>23706</v>
      </c>
      <c r="C1066" s="5" t="s">
        <v>968</v>
      </c>
      <c r="E1066" s="5" t="s">
        <v>1607</v>
      </c>
      <c r="G1066" s="5">
        <v>13473592505</v>
      </c>
    </row>
    <row r="1067" spans="1:7" ht="12.5">
      <c r="A1067" s="5">
        <v>1018498640</v>
      </c>
      <c r="B1067" s="5" t="s">
        <v>23706</v>
      </c>
      <c r="C1067" s="5" t="s">
        <v>1714</v>
      </c>
      <c r="E1067" s="5" t="s">
        <v>5352</v>
      </c>
      <c r="G1067" s="5">
        <v>3182886105</v>
      </c>
    </row>
    <row r="1068" spans="1:7" ht="12.5">
      <c r="A1068" s="5">
        <v>32742684</v>
      </c>
      <c r="B1068" s="5" t="s">
        <v>23706</v>
      </c>
      <c r="C1068" s="5" t="s">
        <v>5276</v>
      </c>
      <c r="E1068" s="5" t="s">
        <v>5277</v>
      </c>
      <c r="G1068" s="5">
        <v>13172051941</v>
      </c>
    </row>
    <row r="1069" spans="1:7" ht="12.5">
      <c r="A1069" s="5">
        <v>0</v>
      </c>
      <c r="B1069" s="5" t="s">
        <v>23706</v>
      </c>
      <c r="C1069" s="5" t="s">
        <v>5276</v>
      </c>
      <c r="E1069" s="5" t="s">
        <v>5277</v>
      </c>
      <c r="G1069" s="5">
        <v>13172051941</v>
      </c>
    </row>
    <row r="1070" spans="1:7" ht="12.5">
      <c r="A1070" s="5">
        <v>1140893693</v>
      </c>
      <c r="B1070" s="5" t="s">
        <v>23706</v>
      </c>
      <c r="C1070" s="5" t="s">
        <v>129</v>
      </c>
      <c r="E1070" s="5" t="s">
        <v>3330</v>
      </c>
      <c r="G1070" s="5">
        <v>3043777605</v>
      </c>
    </row>
    <row r="1071" spans="1:7" ht="12.5">
      <c r="A1071" s="5">
        <v>12398497780</v>
      </c>
      <c r="B1071" s="5" t="s">
        <v>23706</v>
      </c>
      <c r="C1071" s="5" t="s">
        <v>1051</v>
      </c>
      <c r="E1071" s="5" t="s">
        <v>1164</v>
      </c>
      <c r="G1071" s="5">
        <v>12398497780</v>
      </c>
    </row>
    <row r="1072" spans="1:7" ht="12.5">
      <c r="A1072" s="5">
        <v>1143245758</v>
      </c>
      <c r="B1072" s="5" t="s">
        <v>23706</v>
      </c>
      <c r="C1072" s="5" t="s">
        <v>4458</v>
      </c>
      <c r="E1072" s="5" t="s">
        <v>8119</v>
      </c>
      <c r="G1072" s="10" t="s">
        <v>24054</v>
      </c>
    </row>
    <row r="1073" spans="1:9" ht="12.5">
      <c r="A1073" s="5">
        <v>1038412070</v>
      </c>
      <c r="B1073" s="5" t="s">
        <v>23706</v>
      </c>
      <c r="C1073" s="5" t="s">
        <v>2818</v>
      </c>
      <c r="E1073" s="5" t="s">
        <v>1831</v>
      </c>
      <c r="G1073" s="5">
        <v>3022203516</v>
      </c>
      <c r="I1073" s="5" t="s">
        <v>24055</v>
      </c>
    </row>
    <row r="1074" spans="1:9" ht="12.5">
      <c r="A1074" s="5">
        <v>22519817</v>
      </c>
      <c r="B1074" s="5" t="s">
        <v>23706</v>
      </c>
      <c r="C1074" s="5" t="s">
        <v>1821</v>
      </c>
      <c r="E1074" s="5" t="s">
        <v>24056</v>
      </c>
      <c r="G1074" s="5">
        <v>3205732265</v>
      </c>
    </row>
    <row r="1075" spans="1:9" ht="12.5">
      <c r="A1075" s="5">
        <v>1140825934</v>
      </c>
      <c r="B1075" s="5" t="s">
        <v>23706</v>
      </c>
      <c r="C1075" s="5" t="s">
        <v>226</v>
      </c>
      <c r="E1075" s="5" t="s">
        <v>5231</v>
      </c>
      <c r="G1075" s="5">
        <v>3015571696</v>
      </c>
    </row>
    <row r="1076" spans="1:9" ht="12.5">
      <c r="A1076" s="5">
        <v>1140900555</v>
      </c>
      <c r="B1076" s="5" t="s">
        <v>23706</v>
      </c>
      <c r="C1076" s="5" t="s">
        <v>5235</v>
      </c>
      <c r="E1076" s="5" t="s">
        <v>5236</v>
      </c>
      <c r="G1076" s="5">
        <v>3107210591</v>
      </c>
    </row>
    <row r="1077" spans="1:9" ht="12.5">
      <c r="A1077" s="5">
        <v>900087673</v>
      </c>
      <c r="B1077" s="5" t="s">
        <v>23782</v>
      </c>
      <c r="C1077" s="5" t="s">
        <v>24057</v>
      </c>
      <c r="E1077" s="5" t="s">
        <v>5240</v>
      </c>
      <c r="G1077" s="5">
        <v>3136301106</v>
      </c>
    </row>
    <row r="1078" spans="1:9" ht="12.5">
      <c r="A1078" s="5">
        <v>1140895611</v>
      </c>
      <c r="B1078" s="5" t="s">
        <v>23706</v>
      </c>
      <c r="C1078" s="5" t="s">
        <v>8001</v>
      </c>
      <c r="E1078" s="5" t="s">
        <v>24058</v>
      </c>
      <c r="G1078" s="5">
        <v>3176805343</v>
      </c>
    </row>
    <row r="1079" spans="1:9" ht="12.5">
      <c r="A1079" s="5">
        <v>32784869</v>
      </c>
      <c r="B1079" s="5" t="s">
        <v>23706</v>
      </c>
      <c r="C1079" s="5" t="s">
        <v>9417</v>
      </c>
      <c r="E1079" s="5" t="s">
        <v>399</v>
      </c>
      <c r="G1079" s="5">
        <v>3008368606</v>
      </c>
    </row>
    <row r="1080" spans="1:9" ht="12.5">
      <c r="A1080" s="5">
        <v>72357016</v>
      </c>
      <c r="B1080" s="5" t="s">
        <v>23706</v>
      </c>
      <c r="C1080" s="5" t="s">
        <v>4992</v>
      </c>
      <c r="E1080" s="5" t="s">
        <v>2807</v>
      </c>
      <c r="G1080" s="5">
        <v>3150494997</v>
      </c>
    </row>
    <row r="1081" spans="1:9" ht="12.5">
      <c r="A1081" s="5">
        <v>1002026486</v>
      </c>
      <c r="B1081" s="5" t="s">
        <v>23706</v>
      </c>
      <c r="C1081" s="5" t="s">
        <v>332</v>
      </c>
      <c r="E1081" s="5" t="s">
        <v>24059</v>
      </c>
      <c r="G1081" s="5">
        <v>3012502182</v>
      </c>
    </row>
    <row r="1082" spans="1:9" ht="12.5">
      <c r="A1082" s="5">
        <v>1126665621</v>
      </c>
      <c r="B1082" s="5" t="s">
        <v>23706</v>
      </c>
      <c r="C1082" s="5" t="s">
        <v>5262</v>
      </c>
      <c r="E1082" s="5" t="s">
        <v>5263</v>
      </c>
      <c r="G1082" s="5">
        <v>3205580868</v>
      </c>
    </row>
    <row r="1083" spans="1:9" ht="12.5">
      <c r="A1083" s="5">
        <v>1001779375</v>
      </c>
      <c r="B1083" s="5" t="s">
        <v>23706</v>
      </c>
      <c r="C1083" s="5" t="s">
        <v>5273</v>
      </c>
      <c r="E1083" s="5" t="s">
        <v>433</v>
      </c>
      <c r="G1083" s="5">
        <v>3017336288</v>
      </c>
    </row>
    <row r="1084" spans="1:9" ht="12.5">
      <c r="A1084" s="5">
        <v>1140888318</v>
      </c>
      <c r="B1084" s="5" t="s">
        <v>23706</v>
      </c>
      <c r="C1084" s="5" t="s">
        <v>5288</v>
      </c>
      <c r="E1084" s="5" t="s">
        <v>3642</v>
      </c>
      <c r="G1084" s="5">
        <v>3157400580</v>
      </c>
    </row>
    <row r="1085" spans="1:9" ht="12.5">
      <c r="A1085" s="5">
        <v>72272083</v>
      </c>
      <c r="B1085" s="5" t="s">
        <v>23706</v>
      </c>
      <c r="C1085" s="5" t="s">
        <v>1051</v>
      </c>
      <c r="E1085" s="5" t="s">
        <v>498</v>
      </c>
      <c r="G1085" s="5">
        <v>50769217679</v>
      </c>
    </row>
    <row r="1086" spans="1:9" ht="12.5">
      <c r="A1086" s="5">
        <v>1126789463</v>
      </c>
      <c r="B1086" s="5" t="s">
        <v>23706</v>
      </c>
      <c r="C1086" s="5" t="s">
        <v>1136</v>
      </c>
      <c r="E1086" s="5" t="s">
        <v>5347</v>
      </c>
      <c r="G1086" s="5">
        <v>12899272378</v>
      </c>
    </row>
    <row r="1087" spans="1:9" ht="12.5">
      <c r="A1087" s="5">
        <v>1042850449</v>
      </c>
      <c r="B1087" s="5" t="s">
        <v>23706</v>
      </c>
      <c r="C1087" s="5" t="s">
        <v>5295</v>
      </c>
      <c r="E1087" s="5" t="s">
        <v>5296</v>
      </c>
      <c r="G1087" s="5">
        <v>3207878552</v>
      </c>
    </row>
    <row r="1088" spans="1:9" ht="12.5">
      <c r="A1088" s="5">
        <v>1140835441</v>
      </c>
      <c r="B1088" s="5" t="s">
        <v>23706</v>
      </c>
      <c r="C1088" s="5" t="s">
        <v>5326</v>
      </c>
      <c r="E1088" s="5" t="s">
        <v>24060</v>
      </c>
      <c r="G1088" s="5">
        <v>3008577668</v>
      </c>
    </row>
    <row r="1089" spans="1:9" ht="12.5">
      <c r="A1089" s="5">
        <v>1041691398</v>
      </c>
      <c r="B1089" s="5" t="s">
        <v>23706</v>
      </c>
      <c r="C1089" s="5" t="s">
        <v>5300</v>
      </c>
      <c r="E1089" s="5" t="s">
        <v>5301</v>
      </c>
      <c r="G1089" s="5">
        <v>3134508475</v>
      </c>
    </row>
    <row r="1090" spans="1:9" ht="12.5">
      <c r="A1090" s="5">
        <v>1001817955</v>
      </c>
      <c r="B1090" s="5" t="s">
        <v>23706</v>
      </c>
      <c r="C1090" s="5" t="s">
        <v>12933</v>
      </c>
      <c r="E1090" s="5"/>
      <c r="G1090" s="5">
        <v>3046494553</v>
      </c>
      <c r="I1090" s="5" t="s">
        <v>24061</v>
      </c>
    </row>
    <row r="1091" spans="1:9" ht="12.5">
      <c r="A1091" s="5">
        <v>1234092404</v>
      </c>
      <c r="B1091" s="5" t="s">
        <v>23706</v>
      </c>
      <c r="C1091" s="5" t="s">
        <v>617</v>
      </c>
      <c r="E1091" s="5" t="s">
        <v>5313</v>
      </c>
      <c r="G1091" s="5">
        <v>3016911041</v>
      </c>
    </row>
    <row r="1092" spans="1:9" ht="12.5">
      <c r="A1092" s="5">
        <v>806775</v>
      </c>
      <c r="B1092" s="5" t="s">
        <v>23706</v>
      </c>
      <c r="C1092" s="5" t="s">
        <v>5316</v>
      </c>
      <c r="E1092" s="5" t="s">
        <v>5317</v>
      </c>
      <c r="G1092" s="5">
        <v>3196213630</v>
      </c>
    </row>
    <row r="1093" spans="1:9" ht="12.5">
      <c r="A1093" s="5">
        <v>0</v>
      </c>
      <c r="B1093" s="5" t="s">
        <v>23706</v>
      </c>
      <c r="C1093" s="5" t="s">
        <v>24062</v>
      </c>
      <c r="E1093" s="5" t="s">
        <v>5216</v>
      </c>
      <c r="G1093" s="5">
        <v>0</v>
      </c>
    </row>
    <row r="1094" spans="1:9" ht="12.5">
      <c r="A1094" s="5">
        <v>1048072167</v>
      </c>
      <c r="B1094" s="5" t="s">
        <v>23706</v>
      </c>
      <c r="C1094" s="5" t="s">
        <v>5332</v>
      </c>
      <c r="E1094" s="5" t="s">
        <v>5333</v>
      </c>
      <c r="G1094" s="5">
        <v>3102636686</v>
      </c>
    </row>
    <row r="1095" spans="1:9" ht="12.5">
      <c r="A1095" s="5">
        <v>1001912365</v>
      </c>
      <c r="B1095" s="5" t="s">
        <v>23706</v>
      </c>
      <c r="C1095" s="5" t="s">
        <v>6790</v>
      </c>
      <c r="E1095" s="5" t="s">
        <v>3560</v>
      </c>
      <c r="G1095" s="5">
        <v>3015832280</v>
      </c>
    </row>
    <row r="1096" spans="1:9" ht="12.5">
      <c r="A1096" s="5">
        <v>32775013</v>
      </c>
      <c r="B1096" s="5" t="s">
        <v>23706</v>
      </c>
      <c r="C1096" s="5" t="s">
        <v>14447</v>
      </c>
      <c r="E1096" s="5"/>
      <c r="G1096" s="5">
        <v>312864078064</v>
      </c>
      <c r="I1096" s="5" t="s">
        <v>24063</v>
      </c>
    </row>
    <row r="1097" spans="1:9" ht="12.5">
      <c r="A1097" s="5">
        <v>16535500</v>
      </c>
      <c r="B1097" s="5" t="s">
        <v>23706</v>
      </c>
      <c r="C1097" s="5" t="s">
        <v>5357</v>
      </c>
      <c r="E1097" s="5" t="s">
        <v>5358</v>
      </c>
      <c r="G1097" s="5">
        <v>3004420302</v>
      </c>
    </row>
    <row r="1098" spans="1:9" ht="12.5">
      <c r="A1098" s="5">
        <v>1066280706</v>
      </c>
      <c r="B1098" s="5" t="s">
        <v>23706</v>
      </c>
      <c r="C1098" s="5" t="s">
        <v>595</v>
      </c>
      <c r="E1098" s="5" t="s">
        <v>24064</v>
      </c>
      <c r="G1098" s="5">
        <v>3125948612</v>
      </c>
    </row>
    <row r="1099" spans="1:9" ht="12.5">
      <c r="A1099" s="5">
        <v>1129577077</v>
      </c>
      <c r="B1099" s="5" t="s">
        <v>23706</v>
      </c>
      <c r="C1099" s="5" t="s">
        <v>3301</v>
      </c>
      <c r="E1099" s="5" t="s">
        <v>5364</v>
      </c>
      <c r="G1099" s="5">
        <v>3146014820</v>
      </c>
    </row>
    <row r="1100" spans="1:9" ht="12.5">
      <c r="A1100" s="5">
        <v>79553980</v>
      </c>
      <c r="B1100" s="5" t="s">
        <v>23706</v>
      </c>
      <c r="C1100" s="5" t="s">
        <v>5128</v>
      </c>
      <c r="E1100" s="5" t="s">
        <v>5370</v>
      </c>
      <c r="G1100" s="10" t="s">
        <v>24065</v>
      </c>
    </row>
    <row r="1101" spans="1:9" ht="12.5">
      <c r="A1101" s="5">
        <v>1140858159</v>
      </c>
      <c r="B1101" s="5" t="s">
        <v>23706</v>
      </c>
      <c r="C1101" s="5" t="s">
        <v>7602</v>
      </c>
      <c r="E1101" s="5" t="s">
        <v>5376</v>
      </c>
      <c r="G1101" s="5">
        <v>3005507555</v>
      </c>
    </row>
    <row r="1102" spans="1:9" ht="12.5">
      <c r="A1102" s="5">
        <v>1042241181</v>
      </c>
      <c r="B1102" s="5" t="s">
        <v>23706</v>
      </c>
      <c r="C1102" s="5" t="s">
        <v>9432</v>
      </c>
      <c r="E1102" s="5"/>
      <c r="G1102" s="5">
        <v>3016856910</v>
      </c>
    </row>
    <row r="1103" spans="1:9" ht="12.5">
      <c r="A1103" s="5">
        <v>1192805772</v>
      </c>
      <c r="B1103" s="5" t="s">
        <v>23706</v>
      </c>
      <c r="C1103" s="5" t="s">
        <v>1026</v>
      </c>
      <c r="E1103" s="5" t="s">
        <v>5382</v>
      </c>
      <c r="G1103" s="5">
        <v>3222696961</v>
      </c>
    </row>
    <row r="1104" spans="1:9" ht="12.5">
      <c r="A1104" s="5">
        <v>32895685</v>
      </c>
      <c r="B1104" s="5" t="s">
        <v>23706</v>
      </c>
      <c r="C1104" s="5" t="s">
        <v>5386</v>
      </c>
      <c r="E1104" s="5" t="s">
        <v>399</v>
      </c>
      <c r="G1104" s="5">
        <v>3104536468</v>
      </c>
    </row>
    <row r="1105" spans="1:9" ht="12.5">
      <c r="A1105" s="5">
        <v>1140894406</v>
      </c>
      <c r="B1105" s="5" t="s">
        <v>23706</v>
      </c>
      <c r="C1105" s="5" t="s">
        <v>7560</v>
      </c>
      <c r="E1105" s="5" t="s">
        <v>1987</v>
      </c>
      <c r="G1105" s="5">
        <v>3004138441</v>
      </c>
    </row>
    <row r="1106" spans="1:9" ht="12.5">
      <c r="A1106" s="5">
        <v>1140882663</v>
      </c>
      <c r="B1106" s="5" t="s">
        <v>23706</v>
      </c>
      <c r="C1106" s="5" t="s">
        <v>13508</v>
      </c>
      <c r="E1106" s="5"/>
      <c r="G1106" s="5">
        <v>3015488453</v>
      </c>
    </row>
    <row r="1107" spans="1:9" ht="12.5">
      <c r="A1107" s="5">
        <v>1193403786</v>
      </c>
      <c r="B1107" s="5" t="s">
        <v>23706</v>
      </c>
      <c r="C1107" s="5" t="s">
        <v>3450</v>
      </c>
      <c r="E1107" s="5" t="s">
        <v>24066</v>
      </c>
      <c r="G1107" s="5">
        <v>3026059905</v>
      </c>
    </row>
    <row r="1108" spans="1:9" ht="12.5">
      <c r="A1108" s="5">
        <v>98666278</v>
      </c>
      <c r="B1108" s="5" t="s">
        <v>23706</v>
      </c>
      <c r="C1108" s="5" t="s">
        <v>24067</v>
      </c>
      <c r="E1108" s="5" t="s">
        <v>2311</v>
      </c>
      <c r="G1108" s="5">
        <v>3166180703</v>
      </c>
    </row>
    <row r="1109" spans="1:9" ht="12.5">
      <c r="A1109" s="5">
        <v>1129520310</v>
      </c>
      <c r="B1109" s="5" t="s">
        <v>23706</v>
      </c>
      <c r="C1109" s="5" t="s">
        <v>24068</v>
      </c>
      <c r="E1109" s="5" t="s">
        <v>561</v>
      </c>
      <c r="G1109" s="5">
        <v>3042952054</v>
      </c>
    </row>
    <row r="1110" spans="1:9" ht="12.5">
      <c r="A1110" s="5">
        <v>1002156535</v>
      </c>
      <c r="B1110" s="5" t="s">
        <v>23706</v>
      </c>
      <c r="C1110" s="5" t="s">
        <v>5400</v>
      </c>
      <c r="E1110" s="5"/>
      <c r="G1110" s="5">
        <v>3013157902</v>
      </c>
    </row>
    <row r="1111" spans="1:9" ht="12.5">
      <c r="A1111" s="5">
        <v>901508360</v>
      </c>
      <c r="B1111" s="5" t="s">
        <v>23782</v>
      </c>
      <c r="C1111" s="5" t="s">
        <v>5401</v>
      </c>
      <c r="E1111" s="5" t="s">
        <v>5402</v>
      </c>
      <c r="G1111" s="5">
        <v>3243683471</v>
      </c>
    </row>
    <row r="1112" spans="1:9" ht="12.5">
      <c r="A1112" s="5">
        <v>1129498417</v>
      </c>
      <c r="B1112" s="5" t="s">
        <v>23706</v>
      </c>
      <c r="C1112" s="5" t="s">
        <v>24069</v>
      </c>
      <c r="E1112" s="5" t="s">
        <v>5409</v>
      </c>
      <c r="G1112" s="5">
        <v>3205476027</v>
      </c>
    </row>
    <row r="1113" spans="1:9" ht="12.5">
      <c r="A1113" s="5">
        <v>1007968790</v>
      </c>
      <c r="B1113" s="5" t="s">
        <v>23706</v>
      </c>
      <c r="C1113" s="5" t="s">
        <v>270</v>
      </c>
      <c r="E1113" s="5" t="s">
        <v>2495</v>
      </c>
      <c r="G1113" s="5">
        <v>3173269661</v>
      </c>
    </row>
    <row r="1114" spans="1:9" ht="12.5">
      <c r="A1114" s="5">
        <v>1140878386</v>
      </c>
      <c r="B1114" s="5" t="s">
        <v>23706</v>
      </c>
      <c r="C1114" s="5" t="s">
        <v>3450</v>
      </c>
      <c r="E1114" s="5" t="s">
        <v>5424</v>
      </c>
      <c r="G1114" s="5">
        <v>3017593916</v>
      </c>
    </row>
    <row r="1115" spans="1:9" ht="12.5">
      <c r="A1115" s="5">
        <v>1119392688</v>
      </c>
      <c r="B1115" s="5" t="s">
        <v>23706</v>
      </c>
      <c r="C1115" s="5" t="s">
        <v>24070</v>
      </c>
      <c r="E1115" s="5" t="s">
        <v>10938</v>
      </c>
      <c r="G1115" s="5">
        <v>3105552865</v>
      </c>
    </row>
    <row r="1116" spans="1:9" ht="12.5">
      <c r="A1116" s="5">
        <v>64479811</v>
      </c>
      <c r="B1116" s="5" t="s">
        <v>23706</v>
      </c>
      <c r="C1116" s="5" t="s">
        <v>11659</v>
      </c>
      <c r="E1116" s="5" t="s">
        <v>4640</v>
      </c>
      <c r="G1116" s="5">
        <v>3133673131</v>
      </c>
      <c r="I1116" s="5" t="s">
        <v>24071</v>
      </c>
    </row>
    <row r="1117" spans="1:9" ht="12.5">
      <c r="A1117" s="5">
        <v>16775223</v>
      </c>
      <c r="B1117" s="5" t="s">
        <v>23706</v>
      </c>
      <c r="C1117" s="5" t="s">
        <v>5429</v>
      </c>
      <c r="E1117" s="5" t="s">
        <v>5430</v>
      </c>
      <c r="G1117" s="5">
        <v>3146613624</v>
      </c>
    </row>
    <row r="1118" spans="1:9" ht="12.5">
      <c r="A1118" s="5">
        <v>1047359325</v>
      </c>
      <c r="B1118" s="5" t="s">
        <v>23706</v>
      </c>
      <c r="C1118" s="5" t="s">
        <v>14213</v>
      </c>
      <c r="E1118" s="5"/>
      <c r="G1118" s="5">
        <v>3017217176</v>
      </c>
      <c r="I1118" s="5" t="s">
        <v>24072</v>
      </c>
    </row>
    <row r="1119" spans="1:9" ht="12.5">
      <c r="A1119" s="5">
        <v>32767430</v>
      </c>
      <c r="B1119" s="5" t="s">
        <v>23706</v>
      </c>
      <c r="C1119" s="5" t="s">
        <v>2113</v>
      </c>
      <c r="E1119" s="5" t="s">
        <v>1566</v>
      </c>
      <c r="G1119" s="5">
        <v>3103608162</v>
      </c>
    </row>
    <row r="1120" spans="1:9" ht="12.5">
      <c r="A1120" s="5">
        <v>1140828128</v>
      </c>
      <c r="B1120" s="5" t="s">
        <v>23706</v>
      </c>
      <c r="C1120" s="5" t="s">
        <v>5447</v>
      </c>
      <c r="E1120" s="5" t="s">
        <v>367</v>
      </c>
      <c r="G1120" s="5">
        <v>19732884924</v>
      </c>
    </row>
    <row r="1121" spans="1:9" ht="12.5">
      <c r="A1121" s="5">
        <v>1083044687</v>
      </c>
      <c r="B1121" s="5" t="s">
        <v>23706</v>
      </c>
      <c r="C1121" s="5" t="s">
        <v>2836</v>
      </c>
      <c r="E1121" s="5" t="s">
        <v>5452</v>
      </c>
      <c r="G1121" s="5">
        <v>3002525621</v>
      </c>
    </row>
    <row r="1122" spans="1:9" ht="12.5">
      <c r="A1122" s="5">
        <v>1001817322</v>
      </c>
      <c r="B1122" s="5" t="s">
        <v>23706</v>
      </c>
      <c r="C1122" s="5" t="s">
        <v>1719</v>
      </c>
      <c r="E1122" s="5" t="s">
        <v>5461</v>
      </c>
      <c r="G1122" s="5">
        <v>3106396270</v>
      </c>
    </row>
    <row r="1123" spans="1:9" ht="12.5">
      <c r="A1123" s="5">
        <v>1140880020</v>
      </c>
      <c r="B1123" s="5" t="s">
        <v>23706</v>
      </c>
      <c r="C1123" s="5" t="s">
        <v>1798</v>
      </c>
      <c r="E1123" s="5" t="s">
        <v>5467</v>
      </c>
      <c r="G1123" s="5">
        <v>3008617951</v>
      </c>
    </row>
    <row r="1124" spans="1:9" ht="12.5">
      <c r="A1124" s="5">
        <v>55308204</v>
      </c>
      <c r="B1124" s="5" t="s">
        <v>23706</v>
      </c>
      <c r="C1124" s="5" t="s">
        <v>3584</v>
      </c>
      <c r="E1124" s="5" t="s">
        <v>24073</v>
      </c>
      <c r="G1124" s="5">
        <v>3205659770</v>
      </c>
    </row>
    <row r="1125" spans="1:9" ht="12.5">
      <c r="A1125" s="5">
        <v>17990008</v>
      </c>
      <c r="B1125" s="5" t="s">
        <v>23706</v>
      </c>
      <c r="C1125" s="5" t="s">
        <v>5473</v>
      </c>
      <c r="E1125" s="5" t="s">
        <v>1295</v>
      </c>
      <c r="G1125" s="5">
        <v>3043261471</v>
      </c>
    </row>
    <row r="1126" spans="1:9" ht="12.5">
      <c r="A1126" s="5">
        <v>1048071469</v>
      </c>
      <c r="B1126" s="5" t="s">
        <v>23706</v>
      </c>
      <c r="C1126" s="5" t="s">
        <v>5478</v>
      </c>
      <c r="E1126" s="5" t="s">
        <v>5479</v>
      </c>
      <c r="G1126" s="5">
        <v>3014902842</v>
      </c>
    </row>
    <row r="1127" spans="1:9" ht="12.5">
      <c r="A1127" s="5">
        <v>1107065158</v>
      </c>
      <c r="B1127" s="5" t="s">
        <v>23706</v>
      </c>
      <c r="C1127" s="5" t="s">
        <v>3305</v>
      </c>
      <c r="E1127" s="5" t="s">
        <v>5481</v>
      </c>
      <c r="G1127" s="5">
        <v>3001507575</v>
      </c>
    </row>
    <row r="1128" spans="1:9" ht="12.5">
      <c r="A1128" s="5">
        <v>1140888629</v>
      </c>
      <c r="B1128" s="5" t="s">
        <v>23706</v>
      </c>
      <c r="C1128" s="5" t="s">
        <v>332</v>
      </c>
      <c r="E1128" s="5" t="s">
        <v>5490</v>
      </c>
      <c r="G1128" s="5" t="s">
        <v>24074</v>
      </c>
    </row>
    <row r="1129" spans="1:9" ht="12.5">
      <c r="A1129" s="5">
        <v>1103741817</v>
      </c>
      <c r="B1129" s="5" t="s">
        <v>23706</v>
      </c>
      <c r="C1129" s="5" t="s">
        <v>2361</v>
      </c>
      <c r="E1129" s="5" t="s">
        <v>5494</v>
      </c>
      <c r="G1129" s="5">
        <v>3012805057</v>
      </c>
      <c r="I1129" s="5" t="s">
        <v>24075</v>
      </c>
    </row>
    <row r="1130" spans="1:9" ht="12.5">
      <c r="A1130" s="5">
        <v>1140856868</v>
      </c>
      <c r="B1130" s="5" t="s">
        <v>23706</v>
      </c>
      <c r="C1130" s="5" t="s">
        <v>2836</v>
      </c>
      <c r="E1130" s="5" t="s">
        <v>5501</v>
      </c>
      <c r="G1130" s="5">
        <v>3017247920</v>
      </c>
    </row>
    <row r="1131" spans="1:9" ht="12.5">
      <c r="A1131" s="5">
        <v>1006896683</v>
      </c>
      <c r="B1131" s="5" t="s">
        <v>23706</v>
      </c>
      <c r="C1131" s="5" t="s">
        <v>5497</v>
      </c>
      <c r="E1131" s="5" t="s">
        <v>2041</v>
      </c>
      <c r="G1131" s="5">
        <v>3134192640</v>
      </c>
    </row>
    <row r="1132" spans="1:9" ht="12.5">
      <c r="A1132" s="5">
        <v>1140831961</v>
      </c>
      <c r="B1132" s="5" t="s">
        <v>23706</v>
      </c>
      <c r="C1132" s="5" t="s">
        <v>24076</v>
      </c>
      <c r="E1132" s="5" t="s">
        <v>455</v>
      </c>
      <c r="G1132" s="5">
        <v>3017861263</v>
      </c>
    </row>
    <row r="1133" spans="1:9" ht="12.5">
      <c r="A1133" s="5">
        <v>1067957206</v>
      </c>
      <c r="B1133" s="5" t="s">
        <v>23706</v>
      </c>
      <c r="C1133" s="5" t="s">
        <v>4562</v>
      </c>
      <c r="E1133" s="5" t="s">
        <v>24077</v>
      </c>
      <c r="G1133" s="5">
        <v>3227689986</v>
      </c>
    </row>
    <row r="1134" spans="1:9" ht="12.5">
      <c r="A1134" s="5">
        <v>1192771160</v>
      </c>
      <c r="B1134" s="5" t="s">
        <v>23706</v>
      </c>
      <c r="C1134" s="5" t="s">
        <v>5511</v>
      </c>
      <c r="E1134" s="5" t="s">
        <v>4175</v>
      </c>
      <c r="G1134" s="5">
        <v>3176439333</v>
      </c>
    </row>
    <row r="1135" spans="1:9" ht="12.5">
      <c r="A1135" s="5">
        <v>1032504833</v>
      </c>
      <c r="B1135" s="5" t="s">
        <v>23706</v>
      </c>
      <c r="C1135" s="5" t="s">
        <v>2296</v>
      </c>
      <c r="E1135" s="5" t="s">
        <v>1033</v>
      </c>
      <c r="G1135" s="5">
        <v>3004113183</v>
      </c>
    </row>
    <row r="1136" spans="1:9" ht="12.5">
      <c r="A1136" s="5">
        <v>1140888858</v>
      </c>
      <c r="B1136" s="5" t="s">
        <v>23706</v>
      </c>
      <c r="C1136" s="5" t="s">
        <v>3641</v>
      </c>
      <c r="E1136" s="5" t="s">
        <v>5524</v>
      </c>
      <c r="G1136" s="5">
        <v>3009025157</v>
      </c>
    </row>
    <row r="1137" spans="1:7" ht="12.5">
      <c r="A1137" s="5">
        <v>1003174582</v>
      </c>
      <c r="B1137" s="5" t="s">
        <v>23706</v>
      </c>
      <c r="C1137" s="5" t="s">
        <v>2903</v>
      </c>
      <c r="E1137" s="5" t="s">
        <v>4441</v>
      </c>
      <c r="G1137" s="5">
        <v>3150154630</v>
      </c>
    </row>
    <row r="1138" spans="1:7" ht="12.5">
      <c r="A1138" s="5">
        <v>1140856778</v>
      </c>
      <c r="B1138" s="5" t="s">
        <v>23706</v>
      </c>
      <c r="C1138" s="5" t="s">
        <v>5535</v>
      </c>
      <c r="E1138" s="5" t="s">
        <v>5536</v>
      </c>
      <c r="G1138" s="5">
        <v>47744</v>
      </c>
    </row>
    <row r="1139" spans="1:7" ht="12.5">
      <c r="A1139" s="5">
        <v>667974078</v>
      </c>
      <c r="B1139" s="5" t="s">
        <v>23706</v>
      </c>
      <c r="C1139" s="5" t="s">
        <v>5538</v>
      </c>
      <c r="E1139" s="5" t="s">
        <v>5539</v>
      </c>
      <c r="G1139" s="5">
        <v>19196220060</v>
      </c>
    </row>
    <row r="1140" spans="1:7" ht="12.5">
      <c r="A1140" s="5">
        <v>1044605861</v>
      </c>
      <c r="B1140" s="5" t="s">
        <v>23706</v>
      </c>
      <c r="C1140" s="5" t="s">
        <v>1051</v>
      </c>
      <c r="E1140" s="5" t="s">
        <v>5548</v>
      </c>
      <c r="G1140" s="5">
        <v>3023595972</v>
      </c>
    </row>
    <row r="1141" spans="1:7" ht="12.5">
      <c r="A1141" s="5">
        <v>1016095383</v>
      </c>
      <c r="B1141" s="5" t="s">
        <v>23706</v>
      </c>
      <c r="C1141" s="5" t="s">
        <v>5552</v>
      </c>
      <c r="E1141" s="5" t="s">
        <v>1752</v>
      </c>
      <c r="G1141" s="5">
        <v>3103102061</v>
      </c>
    </row>
    <row r="1142" spans="1:7" ht="12.5">
      <c r="A1142" s="5">
        <v>0</v>
      </c>
      <c r="B1142" s="5" t="s">
        <v>23706</v>
      </c>
      <c r="C1142" s="5" t="s">
        <v>5182</v>
      </c>
      <c r="E1142" s="5" t="s">
        <v>2477</v>
      </c>
      <c r="G1142" s="5">
        <v>0</v>
      </c>
    </row>
    <row r="1143" spans="1:7" ht="12.5">
      <c r="A1143" s="5">
        <v>1045741574</v>
      </c>
      <c r="B1143" s="5" t="s">
        <v>23706</v>
      </c>
      <c r="C1143" s="5" t="s">
        <v>332</v>
      </c>
      <c r="E1143" s="5" t="s">
        <v>6986</v>
      </c>
      <c r="G1143" s="5">
        <v>3160569727</v>
      </c>
    </row>
    <row r="1144" spans="1:7" ht="12.5">
      <c r="A1144" s="5">
        <v>1140894913</v>
      </c>
      <c r="B1144" s="5" t="s">
        <v>23706</v>
      </c>
      <c r="C1144" s="5" t="s">
        <v>5579</v>
      </c>
      <c r="E1144" s="5" t="s">
        <v>3450</v>
      </c>
      <c r="G1144" s="5">
        <v>3205438007</v>
      </c>
    </row>
    <row r="1145" spans="1:7" ht="12.5">
      <c r="A1145" s="5">
        <v>1045675825</v>
      </c>
      <c r="B1145" s="5" t="s">
        <v>23706</v>
      </c>
      <c r="C1145" s="5" t="s">
        <v>5562</v>
      </c>
      <c r="E1145" s="5" t="s">
        <v>3744</v>
      </c>
      <c r="G1145" s="5">
        <v>0</v>
      </c>
    </row>
    <row r="1146" spans="1:7" ht="12.5">
      <c r="A1146" s="5">
        <v>1080427560</v>
      </c>
      <c r="B1146" s="5" t="s">
        <v>23706</v>
      </c>
      <c r="C1146" s="5" t="s">
        <v>11451</v>
      </c>
      <c r="E1146" s="5" t="s">
        <v>4430</v>
      </c>
      <c r="G1146" s="5">
        <v>3017063923</v>
      </c>
    </row>
    <row r="1147" spans="1:7" ht="12.5">
      <c r="A1147" s="5">
        <v>1118813508</v>
      </c>
      <c r="B1147" s="5" t="s">
        <v>23706</v>
      </c>
      <c r="C1147" s="5" t="s">
        <v>480</v>
      </c>
      <c r="E1147" s="5" t="s">
        <v>5564</v>
      </c>
      <c r="G1147" s="5">
        <v>3214050778</v>
      </c>
    </row>
    <row r="1148" spans="1:7" ht="12.5">
      <c r="A1148" s="5">
        <v>1124034765</v>
      </c>
      <c r="B1148" s="5" t="s">
        <v>23706</v>
      </c>
      <c r="C1148" s="5" t="s">
        <v>5572</v>
      </c>
      <c r="E1148" s="5" t="s">
        <v>5573</v>
      </c>
      <c r="G1148" s="5">
        <v>3022964478</v>
      </c>
    </row>
    <row r="1149" spans="1:7" ht="12.5">
      <c r="A1149" s="5">
        <v>1042850323</v>
      </c>
      <c r="B1149" s="5" t="s">
        <v>23706</v>
      </c>
      <c r="C1149" s="5" t="s">
        <v>5576</v>
      </c>
      <c r="E1149" s="5" t="s">
        <v>5577</v>
      </c>
      <c r="G1149" s="5">
        <v>3002857892</v>
      </c>
    </row>
    <row r="1150" spans="1:7" ht="12.5">
      <c r="A1150" s="5">
        <v>1140884897</v>
      </c>
      <c r="B1150" s="5" t="s">
        <v>23706</v>
      </c>
      <c r="C1150" s="5" t="s">
        <v>10047</v>
      </c>
      <c r="E1150" s="5" t="s">
        <v>2429</v>
      </c>
      <c r="G1150" s="5">
        <v>3003953658</v>
      </c>
    </row>
    <row r="1151" spans="1:7" ht="12.5">
      <c r="A1151" s="5">
        <v>1140902117</v>
      </c>
      <c r="B1151" s="5" t="s">
        <v>23706</v>
      </c>
      <c r="C1151" s="5" t="s">
        <v>5587</v>
      </c>
      <c r="E1151" s="5" t="s">
        <v>5588</v>
      </c>
      <c r="G1151" s="5">
        <v>3016778949</v>
      </c>
    </row>
    <row r="1152" spans="1:7" ht="12.5">
      <c r="A1152" s="5">
        <v>0</v>
      </c>
      <c r="B1152" s="5" t="s">
        <v>23706</v>
      </c>
      <c r="C1152" s="5" t="s">
        <v>3126</v>
      </c>
      <c r="E1152" s="5" t="s">
        <v>5585</v>
      </c>
      <c r="G1152" s="5">
        <v>0</v>
      </c>
    </row>
    <row r="1153" spans="1:9" ht="12.5">
      <c r="A1153" s="5">
        <v>55229533</v>
      </c>
      <c r="B1153" s="5" t="s">
        <v>23706</v>
      </c>
      <c r="C1153" s="5" t="s">
        <v>5611</v>
      </c>
      <c r="E1153" s="5" t="s">
        <v>596</v>
      </c>
      <c r="G1153" s="5">
        <v>3003716714</v>
      </c>
      <c r="I1153" s="5" t="s">
        <v>24078</v>
      </c>
    </row>
    <row r="1154" spans="1:9" ht="12.5">
      <c r="A1154" s="5">
        <v>866564</v>
      </c>
      <c r="B1154" s="5" t="s">
        <v>23706</v>
      </c>
      <c r="C1154" s="5" t="s">
        <v>5593</v>
      </c>
      <c r="E1154" s="5" t="s">
        <v>3442</v>
      </c>
      <c r="G1154" s="5">
        <v>593998906917</v>
      </c>
    </row>
    <row r="1155" spans="1:9" ht="12.5">
      <c r="A1155" s="5">
        <v>114089697</v>
      </c>
      <c r="B1155" s="5" t="s">
        <v>23706</v>
      </c>
      <c r="C1155" s="5" t="s">
        <v>2701</v>
      </c>
      <c r="E1155" s="5" t="s">
        <v>1607</v>
      </c>
      <c r="G1155" s="5">
        <v>3153889125</v>
      </c>
    </row>
    <row r="1156" spans="1:9" ht="12.5">
      <c r="A1156" s="5">
        <v>2000005523</v>
      </c>
      <c r="B1156" s="5" t="s">
        <v>23706</v>
      </c>
      <c r="C1156" s="5" t="s">
        <v>584</v>
      </c>
      <c r="E1156" s="5" t="s">
        <v>1924</v>
      </c>
      <c r="G1156" s="5">
        <v>3124150180</v>
      </c>
    </row>
    <row r="1157" spans="1:9" ht="12.5">
      <c r="A1157" s="5">
        <v>1001914094</v>
      </c>
      <c r="B1157" s="5" t="s">
        <v>23706</v>
      </c>
      <c r="C1157" s="5" t="s">
        <v>290</v>
      </c>
      <c r="E1157" s="5" t="s">
        <v>5606</v>
      </c>
      <c r="G1157" s="5">
        <v>3232205042</v>
      </c>
    </row>
    <row r="1158" spans="1:9" ht="12.5">
      <c r="A1158" s="5">
        <v>1140874379</v>
      </c>
      <c r="B1158" s="5" t="s">
        <v>23706</v>
      </c>
      <c r="C1158" s="5" t="s">
        <v>5621</v>
      </c>
      <c r="E1158" s="5" t="s">
        <v>5622</v>
      </c>
      <c r="G1158" s="5">
        <v>4963320</v>
      </c>
    </row>
    <row r="1159" spans="1:9" ht="12.5">
      <c r="A1159" s="5">
        <v>1018493820</v>
      </c>
      <c r="B1159" s="5" t="s">
        <v>23706</v>
      </c>
      <c r="C1159" s="5" t="s">
        <v>3466</v>
      </c>
      <c r="E1159" s="5" t="s">
        <v>5628</v>
      </c>
      <c r="G1159" s="5">
        <v>3187754640</v>
      </c>
    </row>
    <row r="1160" spans="1:9" ht="12.5">
      <c r="A1160" s="5">
        <v>1140869653</v>
      </c>
      <c r="B1160" s="5" t="s">
        <v>23706</v>
      </c>
      <c r="C1160" s="5" t="s">
        <v>262</v>
      </c>
      <c r="E1160" s="5" t="s">
        <v>5617</v>
      </c>
      <c r="G1160" s="5">
        <v>3103637919</v>
      </c>
    </row>
    <row r="1161" spans="1:9" ht="12.5">
      <c r="A1161" s="5">
        <v>32769014</v>
      </c>
      <c r="B1161" s="5" t="s">
        <v>23706</v>
      </c>
      <c r="C1161" s="5" t="s">
        <v>24079</v>
      </c>
      <c r="E1161" s="5" t="s">
        <v>5634</v>
      </c>
      <c r="G1161" s="5">
        <v>3126811736</v>
      </c>
    </row>
    <row r="1162" spans="1:9" ht="12.5">
      <c r="A1162" s="5">
        <v>1152204842</v>
      </c>
      <c r="B1162" s="5" t="s">
        <v>23706</v>
      </c>
      <c r="C1162" s="5" t="s">
        <v>1411</v>
      </c>
      <c r="E1162" s="5" t="s">
        <v>5637</v>
      </c>
      <c r="G1162" s="5">
        <v>3999949</v>
      </c>
    </row>
    <row r="1163" spans="1:9" ht="12.5">
      <c r="A1163" s="5">
        <v>1140823116</v>
      </c>
      <c r="B1163" s="5" t="s">
        <v>23706</v>
      </c>
      <c r="C1163" s="5" t="s">
        <v>13170</v>
      </c>
      <c r="E1163" s="5"/>
      <c r="G1163" s="5">
        <v>3016202060</v>
      </c>
      <c r="I1163" s="5" t="s">
        <v>24080</v>
      </c>
    </row>
    <row r="1164" spans="1:9" ht="12.5">
      <c r="A1164" s="5">
        <v>1042246554</v>
      </c>
      <c r="B1164" s="5" t="s">
        <v>23706</v>
      </c>
      <c r="C1164" s="5" t="s">
        <v>2123</v>
      </c>
      <c r="E1164" s="5" t="s">
        <v>5656</v>
      </c>
      <c r="G1164" s="5">
        <v>3106321118</v>
      </c>
    </row>
    <row r="1165" spans="1:9" ht="12.5">
      <c r="A1165" s="5">
        <v>22620466</v>
      </c>
      <c r="B1165" s="5" t="s">
        <v>23706</v>
      </c>
      <c r="C1165" s="5" t="s">
        <v>5645</v>
      </c>
      <c r="E1165" s="5" t="s">
        <v>5646</v>
      </c>
      <c r="G1165" s="5">
        <v>3106328469</v>
      </c>
    </row>
    <row r="1166" spans="1:9" ht="12.5">
      <c r="A1166" s="5">
        <v>1121934897</v>
      </c>
      <c r="B1166" s="5" t="s">
        <v>23706</v>
      </c>
      <c r="C1166" s="5" t="s">
        <v>3466</v>
      </c>
      <c r="E1166" s="5" t="s">
        <v>5650</v>
      </c>
      <c r="G1166" s="5">
        <v>3115762793</v>
      </c>
    </row>
    <row r="1167" spans="1:9" ht="12.5">
      <c r="A1167" s="5">
        <v>1140883751</v>
      </c>
      <c r="B1167" s="5" t="s">
        <v>23706</v>
      </c>
      <c r="C1167" s="5" t="s">
        <v>5661</v>
      </c>
      <c r="E1167" s="5" t="s">
        <v>5662</v>
      </c>
      <c r="G1167" s="5">
        <v>3017763025</v>
      </c>
    </row>
    <row r="1168" spans="1:9" ht="12.5">
      <c r="A1168" s="5">
        <v>32729105</v>
      </c>
      <c r="B1168" s="5" t="s">
        <v>23706</v>
      </c>
      <c r="C1168" s="5" t="s">
        <v>4215</v>
      </c>
      <c r="E1168" s="5" t="s">
        <v>5430</v>
      </c>
      <c r="G1168" s="5">
        <v>3135344600</v>
      </c>
    </row>
    <row r="1169" spans="1:7" ht="12.5">
      <c r="A1169" s="5">
        <v>344537</v>
      </c>
      <c r="B1169" s="5" t="s">
        <v>23706</v>
      </c>
      <c r="C1169" s="5" t="s">
        <v>5666</v>
      </c>
      <c r="E1169" s="5" t="s">
        <v>5667</v>
      </c>
      <c r="G1169" s="5">
        <v>3183660440</v>
      </c>
    </row>
    <row r="1170" spans="1:7" ht="12.5">
      <c r="A1170" s="5">
        <v>1042850969</v>
      </c>
      <c r="B1170" s="5" t="s">
        <v>23706</v>
      </c>
      <c r="C1170" s="5" t="s">
        <v>5675</v>
      </c>
      <c r="E1170" s="5" t="s">
        <v>85</v>
      </c>
      <c r="G1170" s="5">
        <v>3007302552</v>
      </c>
    </row>
    <row r="1171" spans="1:7" ht="12.5">
      <c r="A1171" s="5">
        <v>1004717801</v>
      </c>
      <c r="B1171" s="5" t="s">
        <v>23706</v>
      </c>
      <c r="C1171" s="5" t="s">
        <v>24081</v>
      </c>
      <c r="E1171" s="5" t="s">
        <v>183</v>
      </c>
      <c r="G1171" s="5">
        <v>3113487156</v>
      </c>
    </row>
    <row r="1172" spans="1:7" ht="12.5">
      <c r="A1172" s="5">
        <v>1234088977</v>
      </c>
      <c r="B1172" s="5" t="s">
        <v>23706</v>
      </c>
      <c r="C1172" s="5" t="s">
        <v>5685</v>
      </c>
      <c r="E1172" s="5" t="s">
        <v>7003</v>
      </c>
      <c r="G1172" s="5">
        <v>3014566336</v>
      </c>
    </row>
    <row r="1173" spans="1:7" ht="12.5">
      <c r="A1173" s="5">
        <v>22549719</v>
      </c>
      <c r="B1173" s="5" t="s">
        <v>23706</v>
      </c>
      <c r="C1173" s="5" t="s">
        <v>5689</v>
      </c>
      <c r="E1173" s="5" t="s">
        <v>5690</v>
      </c>
      <c r="G1173" s="5">
        <v>3008157338</v>
      </c>
    </row>
    <row r="1174" spans="1:7" ht="12.5">
      <c r="A1174" s="5">
        <v>1140814424</v>
      </c>
      <c r="B1174" s="5" t="s">
        <v>23706</v>
      </c>
      <c r="C1174" s="5" t="s">
        <v>205</v>
      </c>
      <c r="E1174" s="5" t="s">
        <v>5694</v>
      </c>
      <c r="G1174" s="5">
        <v>3015000305</v>
      </c>
    </row>
    <row r="1175" spans="1:7" ht="12.5">
      <c r="A1175" s="5">
        <v>32796734</v>
      </c>
      <c r="B1175" s="5" t="s">
        <v>23706</v>
      </c>
      <c r="C1175" s="5" t="s">
        <v>5707</v>
      </c>
      <c r="E1175" s="5" t="s">
        <v>5708</v>
      </c>
      <c r="G1175" s="5">
        <v>5895444</v>
      </c>
    </row>
    <row r="1176" spans="1:7" ht="12.5">
      <c r="A1176" s="5">
        <v>1129578323</v>
      </c>
      <c r="B1176" s="5" t="s">
        <v>23706</v>
      </c>
      <c r="C1176" s="5" t="s">
        <v>921</v>
      </c>
      <c r="E1176" s="5" t="s">
        <v>6501</v>
      </c>
      <c r="G1176" s="5">
        <v>3012905950</v>
      </c>
    </row>
    <row r="1177" spans="1:7" ht="12.5">
      <c r="A1177" s="5">
        <v>1010143525</v>
      </c>
      <c r="B1177" s="5" t="s">
        <v>23706</v>
      </c>
      <c r="C1177" s="5" t="s">
        <v>1369</v>
      </c>
      <c r="E1177" s="5" t="s">
        <v>3197</v>
      </c>
      <c r="G1177" s="5">
        <v>3014169863</v>
      </c>
    </row>
    <row r="1178" spans="1:7" ht="12.5">
      <c r="A1178" s="5">
        <v>1234095757</v>
      </c>
      <c r="B1178" s="5" t="s">
        <v>23706</v>
      </c>
      <c r="C1178" s="5" t="s">
        <v>5700</v>
      </c>
      <c r="E1178" s="5" t="s">
        <v>24082</v>
      </c>
      <c r="G1178" s="5">
        <v>3024183142</v>
      </c>
    </row>
    <row r="1179" spans="1:7" ht="12.5">
      <c r="A1179" s="5">
        <v>8664236</v>
      </c>
      <c r="B1179" s="5" t="s">
        <v>23706</v>
      </c>
      <c r="C1179" s="5" t="s">
        <v>5704</v>
      </c>
      <c r="E1179" s="5" t="s">
        <v>455</v>
      </c>
      <c r="G1179" s="5">
        <v>0</v>
      </c>
    </row>
    <row r="1180" spans="1:7" ht="12.5">
      <c r="A1180" s="5">
        <v>1018461808</v>
      </c>
      <c r="B1180" s="5" t="s">
        <v>23706</v>
      </c>
      <c r="C1180" s="5" t="s">
        <v>76</v>
      </c>
      <c r="E1180" s="5" t="s">
        <v>24083</v>
      </c>
      <c r="G1180" s="5">
        <v>3144623459</v>
      </c>
    </row>
    <row r="1181" spans="1:7" ht="12.5">
      <c r="A1181" s="5">
        <v>1140844819</v>
      </c>
      <c r="B1181" s="5" t="s">
        <v>23706</v>
      </c>
      <c r="C1181" s="5" t="s">
        <v>968</v>
      </c>
      <c r="E1181" s="5" t="s">
        <v>1350</v>
      </c>
      <c r="G1181" s="5">
        <v>3215403687</v>
      </c>
    </row>
    <row r="1182" spans="1:7" ht="12.5">
      <c r="A1182" s="5">
        <v>72275596</v>
      </c>
      <c r="B1182" s="5" t="s">
        <v>23706</v>
      </c>
      <c r="C1182" s="5" t="s">
        <v>24084</v>
      </c>
      <c r="E1182" s="5" t="s">
        <v>5727</v>
      </c>
      <c r="G1182" s="5">
        <v>0</v>
      </c>
    </row>
    <row r="1183" spans="1:7" ht="12.5">
      <c r="A1183" s="5">
        <v>1045740977</v>
      </c>
      <c r="B1183" s="5" t="s">
        <v>23706</v>
      </c>
      <c r="C1183" s="5" t="s">
        <v>5747</v>
      </c>
      <c r="E1183" s="5" t="s">
        <v>24085</v>
      </c>
      <c r="G1183" s="5">
        <v>3014775009</v>
      </c>
    </row>
    <row r="1184" spans="1:7" ht="12.5">
      <c r="A1184" s="5">
        <v>1140881901</v>
      </c>
      <c r="B1184" s="5" t="s">
        <v>23706</v>
      </c>
      <c r="C1184" s="5" t="s">
        <v>5736</v>
      </c>
      <c r="E1184" s="5" t="s">
        <v>2368</v>
      </c>
      <c r="G1184" s="5">
        <v>3012868888</v>
      </c>
    </row>
    <row r="1185" spans="1:9" ht="12.5">
      <c r="A1185" s="5">
        <v>1003004414</v>
      </c>
      <c r="B1185" s="5" t="s">
        <v>23706</v>
      </c>
      <c r="C1185" s="5" t="s">
        <v>24086</v>
      </c>
      <c r="E1185" s="5" t="s">
        <v>5741</v>
      </c>
      <c r="G1185" s="5">
        <v>3008080336</v>
      </c>
    </row>
    <row r="1186" spans="1:9" ht="12.5">
      <c r="A1186" s="5">
        <v>9005479092</v>
      </c>
      <c r="B1186" s="5" t="s">
        <v>23782</v>
      </c>
      <c r="C1186" s="5" t="s">
        <v>24087</v>
      </c>
      <c r="E1186" s="5" t="s">
        <v>3330</v>
      </c>
      <c r="G1186" s="5">
        <v>3012722390</v>
      </c>
    </row>
    <row r="1187" spans="1:9" ht="12.5">
      <c r="A1187" s="5">
        <v>55306103</v>
      </c>
      <c r="B1187" s="5" t="s">
        <v>23706</v>
      </c>
      <c r="C1187" s="5" t="s">
        <v>5761</v>
      </c>
      <c r="E1187" s="5" t="s">
        <v>11950</v>
      </c>
      <c r="G1187" s="5">
        <v>3008039079</v>
      </c>
      <c r="I1187" s="5" t="s">
        <v>24088</v>
      </c>
    </row>
    <row r="1188" spans="1:9" ht="12.5">
      <c r="A1188" s="5">
        <v>72346299</v>
      </c>
      <c r="B1188" s="5" t="s">
        <v>23706</v>
      </c>
      <c r="C1188" s="5" t="s">
        <v>5767</v>
      </c>
      <c r="E1188" s="5" t="s">
        <v>5768</v>
      </c>
      <c r="G1188" s="5">
        <v>3012939818</v>
      </c>
    </row>
    <row r="1189" spans="1:9" ht="12.5">
      <c r="A1189" s="5">
        <v>1022334797</v>
      </c>
      <c r="B1189" s="5" t="s">
        <v>23706</v>
      </c>
      <c r="C1189" s="5" t="s">
        <v>5774</v>
      </c>
      <c r="E1189" s="5" t="s">
        <v>5775</v>
      </c>
      <c r="G1189" s="5">
        <v>3105467269</v>
      </c>
    </row>
    <row r="1190" spans="1:9" ht="12.5">
      <c r="A1190" s="5">
        <v>1005280742</v>
      </c>
      <c r="B1190" s="5" t="s">
        <v>23706</v>
      </c>
      <c r="C1190" s="5" t="s">
        <v>13666</v>
      </c>
      <c r="E1190" s="5"/>
      <c r="G1190" s="5">
        <v>3123838194</v>
      </c>
      <c r="I1190" s="5" t="s">
        <v>24089</v>
      </c>
    </row>
    <row r="1191" spans="1:9" ht="12.5">
      <c r="A1191" s="5">
        <v>1234091634</v>
      </c>
      <c r="B1191" s="5" t="s">
        <v>23706</v>
      </c>
      <c r="C1191" s="5" t="s">
        <v>5787</v>
      </c>
      <c r="E1191" s="5" t="s">
        <v>1295</v>
      </c>
      <c r="G1191" s="5">
        <v>3234230230</v>
      </c>
    </row>
    <row r="1192" spans="1:9" ht="12.5">
      <c r="A1192" s="5">
        <v>72261782</v>
      </c>
      <c r="B1192" s="5" t="s">
        <v>23706</v>
      </c>
      <c r="C1192" s="5" t="s">
        <v>2575</v>
      </c>
      <c r="E1192" s="5" t="s">
        <v>24090</v>
      </c>
      <c r="G1192" s="5">
        <v>3106328734</v>
      </c>
    </row>
    <row r="1193" spans="1:9" ht="12.5">
      <c r="A1193" s="5">
        <v>1143164381</v>
      </c>
      <c r="B1193" s="5" t="s">
        <v>23706</v>
      </c>
      <c r="C1193" s="5" t="s">
        <v>24091</v>
      </c>
      <c r="E1193" s="5" t="s">
        <v>583</v>
      </c>
      <c r="G1193" s="5">
        <v>3006300680</v>
      </c>
    </row>
    <row r="1194" spans="1:9" ht="12.5">
      <c r="A1194" s="5">
        <v>1002378612</v>
      </c>
      <c r="B1194" s="5" t="s">
        <v>23706</v>
      </c>
      <c r="C1194" s="5" t="s">
        <v>24092</v>
      </c>
      <c r="E1194" s="5" t="s">
        <v>24093</v>
      </c>
      <c r="G1194" s="5">
        <v>3005080797</v>
      </c>
    </row>
    <row r="1195" spans="1:9" ht="12.5">
      <c r="A1195" s="5">
        <v>41504500</v>
      </c>
      <c r="B1195" s="5" t="s">
        <v>23706</v>
      </c>
      <c r="C1195" s="5" t="s">
        <v>24094</v>
      </c>
      <c r="E1195" s="5" t="s">
        <v>5808</v>
      </c>
      <c r="G1195" s="5">
        <v>3106985916</v>
      </c>
    </row>
    <row r="1196" spans="1:9" ht="12.5">
      <c r="A1196" s="5">
        <v>22732485</v>
      </c>
      <c r="B1196" s="5" t="s">
        <v>23706</v>
      </c>
      <c r="C1196" s="5" t="s">
        <v>2856</v>
      </c>
      <c r="E1196" s="5" t="s">
        <v>5817</v>
      </c>
      <c r="G1196" s="5">
        <v>3006787585</v>
      </c>
    </row>
    <row r="1197" spans="1:9" ht="12.5">
      <c r="A1197" s="5">
        <v>55150847</v>
      </c>
      <c r="B1197" s="5" t="s">
        <v>23706</v>
      </c>
      <c r="C1197" s="5" t="s">
        <v>8150</v>
      </c>
      <c r="E1197" s="5" t="s">
        <v>8151</v>
      </c>
      <c r="G1197" s="5">
        <v>3102709637</v>
      </c>
    </row>
    <row r="1198" spans="1:9" ht="12.5">
      <c r="A1198" s="5">
        <v>49772950</v>
      </c>
      <c r="B1198" s="5" t="s">
        <v>23706</v>
      </c>
      <c r="C1198" s="5" t="s">
        <v>5822</v>
      </c>
      <c r="E1198" s="5" t="s">
        <v>6315</v>
      </c>
      <c r="G1198" s="5">
        <v>3166972341</v>
      </c>
    </row>
    <row r="1199" spans="1:9" ht="12.5">
      <c r="A1199" s="5">
        <v>1001999529</v>
      </c>
      <c r="B1199" s="5" t="s">
        <v>23706</v>
      </c>
      <c r="C1199" s="5" t="s">
        <v>1038</v>
      </c>
      <c r="E1199" s="5" t="s">
        <v>24095</v>
      </c>
      <c r="G1199" s="5">
        <v>3205526103</v>
      </c>
    </row>
    <row r="1200" spans="1:9" ht="12.5">
      <c r="A1200" s="5">
        <v>1140882985</v>
      </c>
      <c r="B1200" s="5" t="s">
        <v>23706</v>
      </c>
      <c r="C1200" s="5" t="s">
        <v>5830</v>
      </c>
      <c r="E1200" s="5" t="s">
        <v>5831</v>
      </c>
      <c r="G1200" s="5">
        <v>3005040045</v>
      </c>
    </row>
    <row r="1201" spans="1:7" ht="12.5">
      <c r="A1201" s="5">
        <v>1001994102</v>
      </c>
      <c r="B1201" s="5" t="s">
        <v>23706</v>
      </c>
      <c r="C1201" s="5" t="s">
        <v>115</v>
      </c>
      <c r="E1201" s="5" t="s">
        <v>5838</v>
      </c>
      <c r="G1201" s="5">
        <v>3122437496</v>
      </c>
    </row>
    <row r="1202" spans="1:7" ht="12.5">
      <c r="A1202" s="5">
        <v>8634647</v>
      </c>
      <c r="B1202" s="5" t="s">
        <v>23706</v>
      </c>
      <c r="C1202" s="5" t="s">
        <v>1736</v>
      </c>
      <c r="E1202" s="5" t="s">
        <v>11085</v>
      </c>
      <c r="G1202" s="5">
        <v>3244414544</v>
      </c>
    </row>
    <row r="1203" spans="1:7" ht="12.5">
      <c r="A1203" s="5">
        <v>1193218694</v>
      </c>
      <c r="B1203" s="5" t="s">
        <v>23706</v>
      </c>
      <c r="C1203" s="5" t="s">
        <v>182</v>
      </c>
      <c r="E1203" s="5" t="s">
        <v>1585</v>
      </c>
      <c r="G1203" s="5">
        <v>3016646459</v>
      </c>
    </row>
    <row r="1204" spans="1:7" ht="12.5">
      <c r="A1204" s="5">
        <v>1020731745</v>
      </c>
      <c r="B1204" s="5" t="s">
        <v>23706</v>
      </c>
      <c r="C1204" s="5" t="s">
        <v>5856</v>
      </c>
      <c r="E1204" s="5" t="s">
        <v>5857</v>
      </c>
      <c r="G1204" s="5">
        <v>3215695053</v>
      </c>
    </row>
    <row r="1205" spans="1:7" ht="12.5">
      <c r="A1205" s="5">
        <v>1140851297</v>
      </c>
      <c r="B1205" s="5" t="s">
        <v>23706</v>
      </c>
      <c r="C1205" s="5" t="s">
        <v>217</v>
      </c>
      <c r="E1205" s="5" t="s">
        <v>5861</v>
      </c>
      <c r="G1205" s="5">
        <v>3508337141</v>
      </c>
    </row>
    <row r="1206" spans="1:7" ht="12.5">
      <c r="A1206" s="5">
        <v>1047454713</v>
      </c>
      <c r="B1206" s="5" t="s">
        <v>23706</v>
      </c>
      <c r="C1206" s="5" t="s">
        <v>4241</v>
      </c>
      <c r="E1206" s="5" t="s">
        <v>5867</v>
      </c>
      <c r="G1206" s="5">
        <v>3008100681</v>
      </c>
    </row>
    <row r="1207" spans="1:7" ht="12.5">
      <c r="A1207" s="5">
        <v>1048075537</v>
      </c>
      <c r="B1207" s="5" t="s">
        <v>23706</v>
      </c>
      <c r="C1207" s="5" t="s">
        <v>3126</v>
      </c>
      <c r="E1207" s="5" t="s">
        <v>5873</v>
      </c>
      <c r="G1207" s="5">
        <v>301243813791</v>
      </c>
    </row>
    <row r="1208" spans="1:7" ht="12.5">
      <c r="A1208" s="5">
        <v>1083034537</v>
      </c>
      <c r="B1208" s="5" t="s">
        <v>23706</v>
      </c>
      <c r="C1208" s="5" t="s">
        <v>24096</v>
      </c>
      <c r="E1208" s="5" t="s">
        <v>5876</v>
      </c>
      <c r="G1208" s="5">
        <v>3012157433</v>
      </c>
    </row>
    <row r="1209" spans="1:7" ht="12.5">
      <c r="A1209" s="5">
        <v>1007017651</v>
      </c>
      <c r="B1209" s="5" t="s">
        <v>23706</v>
      </c>
      <c r="C1209" s="5" t="s">
        <v>12563</v>
      </c>
      <c r="E1209" s="5"/>
      <c r="G1209" s="5">
        <v>5614055572</v>
      </c>
    </row>
    <row r="1210" spans="1:7" ht="12.5">
      <c r="A1210" s="5">
        <v>1001915010</v>
      </c>
      <c r="B1210" s="5" t="s">
        <v>23706</v>
      </c>
      <c r="C1210" s="5" t="s">
        <v>2385</v>
      </c>
      <c r="E1210" s="5" t="s">
        <v>591</v>
      </c>
      <c r="G1210" s="5">
        <v>3206886831</v>
      </c>
    </row>
    <row r="1211" spans="1:7" ht="12.5">
      <c r="A1211" s="5">
        <v>5019466</v>
      </c>
      <c r="B1211" s="5" t="s">
        <v>23706</v>
      </c>
      <c r="C1211" s="5" t="s">
        <v>787</v>
      </c>
      <c r="E1211" s="5" t="s">
        <v>455</v>
      </c>
      <c r="G1211" s="5">
        <v>3043142160</v>
      </c>
    </row>
    <row r="1212" spans="1:7" ht="12.5">
      <c r="A1212" s="5">
        <v>1140820692</v>
      </c>
      <c r="B1212" s="5" t="s">
        <v>23706</v>
      </c>
      <c r="C1212" s="5" t="s">
        <v>825</v>
      </c>
      <c r="E1212" s="5" t="s">
        <v>5888</v>
      </c>
      <c r="G1212" s="5">
        <v>3013501441</v>
      </c>
    </row>
    <row r="1213" spans="1:7" ht="12.5">
      <c r="A1213" s="5">
        <v>3126578363</v>
      </c>
      <c r="B1213" s="5" t="s">
        <v>23706</v>
      </c>
      <c r="C1213" s="5" t="s">
        <v>5884</v>
      </c>
      <c r="E1213" s="5" t="s">
        <v>5885</v>
      </c>
      <c r="G1213" s="5">
        <v>3126578363</v>
      </c>
    </row>
    <row r="1214" spans="1:7" ht="12.5">
      <c r="A1214" s="5">
        <v>1047485147</v>
      </c>
      <c r="B1214" s="5" t="s">
        <v>23706</v>
      </c>
      <c r="C1214" s="5" t="s">
        <v>1069</v>
      </c>
      <c r="E1214" s="5" t="s">
        <v>5896</v>
      </c>
      <c r="G1214" s="5">
        <v>3214871570</v>
      </c>
    </row>
    <row r="1215" spans="1:7" ht="12.5">
      <c r="A1215" s="5">
        <v>1047040080</v>
      </c>
      <c r="B1215" s="5" t="s">
        <v>23706</v>
      </c>
      <c r="C1215" s="5" t="s">
        <v>10753</v>
      </c>
      <c r="E1215" s="5" t="s">
        <v>10754</v>
      </c>
      <c r="G1215" s="5">
        <v>3044900659</v>
      </c>
    </row>
    <row r="1216" spans="1:7" ht="12.5">
      <c r="A1216" s="5">
        <v>84039979</v>
      </c>
      <c r="B1216" s="5" t="s">
        <v>23706</v>
      </c>
      <c r="C1216" s="5" t="s">
        <v>1702</v>
      </c>
      <c r="E1216" s="5" t="s">
        <v>5902</v>
      </c>
      <c r="G1216" s="5">
        <v>3007073426</v>
      </c>
    </row>
    <row r="1217" spans="1:7" ht="12.5">
      <c r="A1217" s="5">
        <v>80054549</v>
      </c>
      <c r="B1217" s="5" t="s">
        <v>23706</v>
      </c>
      <c r="C1217" s="5" t="s">
        <v>2575</v>
      </c>
      <c r="E1217" s="5" t="s">
        <v>5904</v>
      </c>
      <c r="G1217" s="5">
        <v>3202432446</v>
      </c>
    </row>
    <row r="1218" spans="1:7" ht="12.5">
      <c r="A1218" s="5">
        <v>1001853523</v>
      </c>
      <c r="B1218" s="5" t="s">
        <v>23706</v>
      </c>
      <c r="C1218" s="5" t="s">
        <v>638</v>
      </c>
      <c r="E1218" s="5" t="s">
        <v>5911</v>
      </c>
      <c r="G1218" s="5">
        <v>3011561394</v>
      </c>
    </row>
    <row r="1219" spans="1:7" ht="12.5">
      <c r="A1219" s="5">
        <v>1127226502</v>
      </c>
      <c r="B1219" s="5" t="s">
        <v>23706</v>
      </c>
      <c r="C1219" s="5" t="s">
        <v>5927</v>
      </c>
      <c r="E1219" s="5" t="s">
        <v>5928</v>
      </c>
      <c r="G1219" s="5">
        <v>17863293183</v>
      </c>
    </row>
    <row r="1220" spans="1:7" ht="12.5">
      <c r="A1220" s="5">
        <v>85470895</v>
      </c>
      <c r="B1220" s="5" t="s">
        <v>23706</v>
      </c>
      <c r="C1220" s="5" t="s">
        <v>5182</v>
      </c>
      <c r="E1220" s="5" t="s">
        <v>5923</v>
      </c>
      <c r="G1220" s="5">
        <v>3006624819</v>
      </c>
    </row>
    <row r="1221" spans="1:7" ht="12.5">
      <c r="A1221" s="5">
        <v>1140846621</v>
      </c>
      <c r="B1221" s="5" t="s">
        <v>23706</v>
      </c>
      <c r="C1221" s="5" t="s">
        <v>3650</v>
      </c>
      <c r="E1221" s="5" t="s">
        <v>1987</v>
      </c>
      <c r="G1221" s="5" t="s">
        <v>5935</v>
      </c>
    </row>
    <row r="1222" spans="1:7" ht="12.5">
      <c r="A1222" s="5">
        <v>1140870084</v>
      </c>
      <c r="B1222" s="5" t="s">
        <v>23706</v>
      </c>
      <c r="C1222" s="5" t="s">
        <v>532</v>
      </c>
      <c r="E1222" s="5" t="s">
        <v>2729</v>
      </c>
      <c r="G1222" s="5">
        <v>3017487511</v>
      </c>
    </row>
    <row r="1223" spans="1:7" ht="12.5">
      <c r="A1223" s="5">
        <v>72247284</v>
      </c>
      <c r="B1223" s="5" t="s">
        <v>23706</v>
      </c>
      <c r="C1223" s="5" t="s">
        <v>968</v>
      </c>
      <c r="E1223" s="5" t="s">
        <v>5941</v>
      </c>
      <c r="G1223" s="5">
        <v>3014069141</v>
      </c>
    </row>
    <row r="1224" spans="1:7" ht="12.5">
      <c r="A1224" s="5">
        <v>1140884635</v>
      </c>
      <c r="B1224" s="5" t="s">
        <v>23706</v>
      </c>
      <c r="C1224" s="5" t="s">
        <v>297</v>
      </c>
      <c r="E1224" s="5" t="s">
        <v>2240</v>
      </c>
      <c r="G1224" s="5">
        <v>3147755621</v>
      </c>
    </row>
    <row r="1225" spans="1:7" ht="12.5">
      <c r="A1225" s="5">
        <v>1167839399</v>
      </c>
      <c r="B1225" s="5" t="s">
        <v>23706</v>
      </c>
      <c r="C1225" s="5" t="s">
        <v>968</v>
      </c>
      <c r="E1225" s="5" t="s">
        <v>4193</v>
      </c>
      <c r="G1225" s="5">
        <v>3012574633</v>
      </c>
    </row>
    <row r="1226" spans="1:7" ht="12.5">
      <c r="A1226" s="5">
        <v>1045686183</v>
      </c>
      <c r="B1226" s="5" t="s">
        <v>23706</v>
      </c>
      <c r="C1226" s="5" t="s">
        <v>4856</v>
      </c>
      <c r="E1226" s="5" t="s">
        <v>24097</v>
      </c>
      <c r="G1226" s="5">
        <v>3012153002</v>
      </c>
    </row>
    <row r="1227" spans="1:7" ht="12.5">
      <c r="A1227" s="5">
        <v>15047046</v>
      </c>
      <c r="B1227" s="5" t="s">
        <v>23706</v>
      </c>
      <c r="C1227" s="5" t="s">
        <v>5959</v>
      </c>
      <c r="E1227" s="5" t="s">
        <v>5960</v>
      </c>
      <c r="G1227" s="5">
        <v>3205426073</v>
      </c>
    </row>
    <row r="1228" spans="1:7" ht="12.5">
      <c r="A1228" s="5">
        <v>87171359</v>
      </c>
      <c r="B1228" s="5" t="s">
        <v>23706</v>
      </c>
      <c r="C1228" s="5" t="s">
        <v>226</v>
      </c>
      <c r="E1228" s="5" t="s">
        <v>5964</v>
      </c>
      <c r="G1228" s="5">
        <v>50766773802</v>
      </c>
    </row>
    <row r="1229" spans="1:7" ht="12.5">
      <c r="A1229" s="5">
        <v>1052953084</v>
      </c>
      <c r="B1229" s="5" t="s">
        <v>23706</v>
      </c>
      <c r="C1229" s="5" t="s">
        <v>24098</v>
      </c>
      <c r="E1229" s="5" t="s">
        <v>24099</v>
      </c>
      <c r="G1229" s="5">
        <v>3232913037</v>
      </c>
    </row>
    <row r="1230" spans="1:7" ht="12.5">
      <c r="A1230" s="5">
        <v>22467419</v>
      </c>
      <c r="B1230" s="5" t="s">
        <v>23706</v>
      </c>
      <c r="C1230" s="5" t="s">
        <v>5971</v>
      </c>
      <c r="E1230" s="5" t="s">
        <v>5119</v>
      </c>
      <c r="G1230" s="5">
        <v>3164733317</v>
      </c>
    </row>
    <row r="1231" spans="1:7" ht="12.5">
      <c r="A1231" s="5">
        <v>1047473800</v>
      </c>
      <c r="B1231" s="5" t="s">
        <v>23706</v>
      </c>
      <c r="C1231" s="5" t="s">
        <v>84</v>
      </c>
      <c r="E1231" s="5" t="s">
        <v>5985</v>
      </c>
      <c r="G1231" s="5">
        <v>3116853400</v>
      </c>
    </row>
    <row r="1232" spans="1:7" ht="12.5">
      <c r="A1232" s="5">
        <v>8737574</v>
      </c>
      <c r="B1232" s="5" t="s">
        <v>23706</v>
      </c>
      <c r="C1232" s="5" t="s">
        <v>5975</v>
      </c>
      <c r="E1232" s="5" t="s">
        <v>5976</v>
      </c>
      <c r="G1232" s="5">
        <v>3182111248</v>
      </c>
    </row>
    <row r="1233" spans="1:9" ht="12.5">
      <c r="A1233" s="5">
        <v>1140855686</v>
      </c>
      <c r="B1233" s="5" t="s">
        <v>23706</v>
      </c>
      <c r="C1233" s="5" t="s">
        <v>283</v>
      </c>
      <c r="E1233" s="5" t="s">
        <v>5989</v>
      </c>
      <c r="G1233" s="5">
        <v>3104382746</v>
      </c>
    </row>
    <row r="1234" spans="1:9" ht="12.5">
      <c r="A1234" s="5">
        <v>1140849759</v>
      </c>
      <c r="B1234" s="5" t="s">
        <v>23706</v>
      </c>
      <c r="C1234" s="5" t="s">
        <v>843</v>
      </c>
      <c r="E1234" s="5" t="s">
        <v>5995</v>
      </c>
      <c r="G1234" s="5">
        <v>3006014269</v>
      </c>
    </row>
    <row r="1235" spans="1:9" ht="12.5">
      <c r="A1235" s="5">
        <v>1140879902</v>
      </c>
      <c r="B1235" s="5" t="s">
        <v>23706</v>
      </c>
      <c r="C1235" s="5" t="s">
        <v>4482</v>
      </c>
      <c r="E1235" s="5" t="s">
        <v>6000</v>
      </c>
      <c r="G1235" s="5">
        <v>3106127160</v>
      </c>
    </row>
    <row r="1236" spans="1:9" ht="12.5">
      <c r="A1236" s="5">
        <v>32606436</v>
      </c>
      <c r="B1236" s="5" t="s">
        <v>23706</v>
      </c>
      <c r="C1236" s="5" t="s">
        <v>6008</v>
      </c>
      <c r="E1236" s="5" t="s">
        <v>6009</v>
      </c>
      <c r="G1236" s="5">
        <v>3126608647</v>
      </c>
    </row>
    <row r="1237" spans="1:9" ht="12.5">
      <c r="A1237" s="5">
        <v>64744882</v>
      </c>
      <c r="B1237" s="5" t="s">
        <v>23706</v>
      </c>
      <c r="C1237" s="5" t="s">
        <v>6016</v>
      </c>
      <c r="E1237" s="5" t="s">
        <v>6017</v>
      </c>
      <c r="G1237" s="5">
        <v>3146543482</v>
      </c>
    </row>
    <row r="1238" spans="1:9" ht="12.5">
      <c r="A1238" s="5">
        <v>1105461498</v>
      </c>
      <c r="B1238" s="5" t="s">
        <v>23706</v>
      </c>
      <c r="C1238" s="5" t="s">
        <v>1314</v>
      </c>
      <c r="E1238" s="5" t="s">
        <v>24100</v>
      </c>
      <c r="G1238" s="5" t="s">
        <v>6022</v>
      </c>
    </row>
    <row r="1239" spans="1:9" ht="12.5">
      <c r="A1239" s="5">
        <v>1140886787</v>
      </c>
      <c r="B1239" s="5" t="s">
        <v>23706</v>
      </c>
      <c r="C1239" s="5" t="s">
        <v>6032</v>
      </c>
      <c r="E1239" s="5" t="s">
        <v>2429</v>
      </c>
      <c r="G1239" s="5">
        <v>17642993108</v>
      </c>
    </row>
    <row r="1240" spans="1:9" ht="12.5">
      <c r="A1240" s="5">
        <v>51884372</v>
      </c>
      <c r="B1240" s="5" t="s">
        <v>23706</v>
      </c>
      <c r="C1240" s="5" t="s">
        <v>24101</v>
      </c>
      <c r="E1240" s="5" t="s">
        <v>6028</v>
      </c>
      <c r="G1240" s="5">
        <v>16107161764</v>
      </c>
    </row>
    <row r="1241" spans="1:9" ht="12.5">
      <c r="A1241" s="5">
        <v>582933056</v>
      </c>
      <c r="B1241" s="5" t="s">
        <v>23706</v>
      </c>
      <c r="C1241" s="5" t="s">
        <v>6037</v>
      </c>
      <c r="E1241" s="5" t="s">
        <v>6038</v>
      </c>
      <c r="G1241" s="5">
        <v>14076278462</v>
      </c>
    </row>
    <row r="1242" spans="1:9" ht="12.5">
      <c r="A1242" s="5">
        <v>1140897556</v>
      </c>
      <c r="B1242" s="5" t="s">
        <v>23706</v>
      </c>
      <c r="C1242" s="5" t="s">
        <v>2293</v>
      </c>
      <c r="E1242" s="5" t="s">
        <v>6042</v>
      </c>
      <c r="G1242" s="5">
        <v>3103937807</v>
      </c>
    </row>
    <row r="1243" spans="1:9" ht="12.5">
      <c r="A1243" s="5">
        <v>52690019</v>
      </c>
      <c r="B1243" s="5" t="s">
        <v>23706</v>
      </c>
      <c r="C1243" s="5" t="s">
        <v>6052</v>
      </c>
      <c r="E1243" s="5" t="s">
        <v>6053</v>
      </c>
      <c r="G1243" s="5">
        <v>3183118706</v>
      </c>
    </row>
    <row r="1244" spans="1:9" ht="12.5">
      <c r="A1244" s="5">
        <v>886476</v>
      </c>
      <c r="B1244" s="5" t="s">
        <v>23706</v>
      </c>
      <c r="C1244" s="5" t="s">
        <v>6047</v>
      </c>
      <c r="E1244" s="5" t="s">
        <v>24102</v>
      </c>
      <c r="G1244" s="5">
        <v>3127047545</v>
      </c>
    </row>
    <row r="1245" spans="1:9" ht="12.5">
      <c r="A1245" s="5">
        <v>1005236159</v>
      </c>
      <c r="B1245" s="5" t="s">
        <v>23706</v>
      </c>
      <c r="C1245" s="5" t="s">
        <v>595</v>
      </c>
      <c r="E1245" s="5" t="s">
        <v>6058</v>
      </c>
      <c r="G1245" s="5">
        <v>3003415463</v>
      </c>
      <c r="I1245" s="5" t="s">
        <v>24103</v>
      </c>
    </row>
    <row r="1246" spans="1:9" ht="12.5">
      <c r="A1246" s="5">
        <v>1000942483</v>
      </c>
      <c r="B1246" s="5" t="s">
        <v>23706</v>
      </c>
      <c r="C1246" s="5" t="s">
        <v>595</v>
      </c>
      <c r="E1246" s="5" t="s">
        <v>6064</v>
      </c>
      <c r="G1246" s="5">
        <v>3115169827</v>
      </c>
    </row>
    <row r="1247" spans="1:9" ht="12.5">
      <c r="A1247" s="5">
        <v>1140872166</v>
      </c>
      <c r="B1247" s="5" t="s">
        <v>23706</v>
      </c>
      <c r="C1247" s="5" t="s">
        <v>1194</v>
      </c>
      <c r="E1247" s="5" t="s">
        <v>3442</v>
      </c>
      <c r="G1247" s="5">
        <v>3015710880</v>
      </c>
    </row>
    <row r="1248" spans="1:9" ht="12.5">
      <c r="A1248" s="5">
        <v>79980622</v>
      </c>
      <c r="B1248" s="5" t="s">
        <v>23706</v>
      </c>
      <c r="C1248" s="5" t="s">
        <v>6070</v>
      </c>
      <c r="E1248" s="5" t="s">
        <v>31</v>
      </c>
      <c r="G1248" s="5">
        <v>3153997339</v>
      </c>
    </row>
    <row r="1249" spans="1:9" ht="12.5">
      <c r="A1249" s="5">
        <v>80121984</v>
      </c>
      <c r="B1249" s="5" t="s">
        <v>23706</v>
      </c>
      <c r="C1249" s="5" t="s">
        <v>2894</v>
      </c>
      <c r="E1249" s="5" t="s">
        <v>2677</v>
      </c>
      <c r="G1249" s="5">
        <v>3202911103</v>
      </c>
    </row>
    <row r="1250" spans="1:9" ht="12.5">
      <c r="A1250" s="5">
        <v>1140848869</v>
      </c>
      <c r="B1250" s="5" t="s">
        <v>23706</v>
      </c>
      <c r="C1250" s="5" t="s">
        <v>158</v>
      </c>
      <c r="E1250" s="5" t="s">
        <v>4847</v>
      </c>
      <c r="G1250" s="5">
        <v>17864246373</v>
      </c>
    </row>
    <row r="1251" spans="1:9" ht="12.5">
      <c r="A1251" s="5">
        <v>1002212186</v>
      </c>
      <c r="B1251" s="5" t="s">
        <v>23706</v>
      </c>
      <c r="C1251" s="5" t="s">
        <v>270</v>
      </c>
      <c r="E1251" s="5" t="s">
        <v>6081</v>
      </c>
      <c r="G1251" s="5">
        <v>3046354329</v>
      </c>
    </row>
    <row r="1252" spans="1:9" ht="12.5">
      <c r="A1252" s="5">
        <v>55306342</v>
      </c>
      <c r="B1252" s="5" t="s">
        <v>23706</v>
      </c>
      <c r="C1252" s="5" t="s">
        <v>2973</v>
      </c>
      <c r="E1252" s="5" t="s">
        <v>2419</v>
      </c>
      <c r="G1252" s="5">
        <v>3004772457</v>
      </c>
    </row>
    <row r="1253" spans="1:9" ht="12.5">
      <c r="A1253" s="5">
        <v>1020741786</v>
      </c>
      <c r="B1253" s="5" t="s">
        <v>23706</v>
      </c>
      <c r="C1253" s="5" t="s">
        <v>8481</v>
      </c>
      <c r="E1253" s="5"/>
      <c r="G1253" s="5">
        <v>3004614501</v>
      </c>
    </row>
    <row r="1254" spans="1:9" ht="12.5">
      <c r="A1254" s="5">
        <v>1118866787</v>
      </c>
      <c r="B1254" s="5" t="s">
        <v>23706</v>
      </c>
      <c r="C1254" s="5" t="s">
        <v>6089</v>
      </c>
      <c r="E1254" s="5" t="s">
        <v>441</v>
      </c>
      <c r="G1254" s="5">
        <v>3146846722</v>
      </c>
    </row>
    <row r="1255" spans="1:9" ht="12.5">
      <c r="A1255" s="5">
        <v>1045710345</v>
      </c>
      <c r="B1255" s="5" t="s">
        <v>23706</v>
      </c>
      <c r="C1255" s="5" t="s">
        <v>6096</v>
      </c>
      <c r="E1255" s="5" t="s">
        <v>6097</v>
      </c>
      <c r="G1255" s="5">
        <v>3166909508</v>
      </c>
    </row>
    <row r="1256" spans="1:9" ht="12.5">
      <c r="A1256" s="5">
        <v>1032383688</v>
      </c>
      <c r="B1256" s="5" t="s">
        <v>23706</v>
      </c>
      <c r="C1256" s="5" t="s">
        <v>6101</v>
      </c>
      <c r="E1256" s="5" t="s">
        <v>1264</v>
      </c>
      <c r="G1256" s="5">
        <v>3002223118</v>
      </c>
    </row>
    <row r="1257" spans="1:9" ht="12.5">
      <c r="A1257" s="5">
        <v>1140869999</v>
      </c>
      <c r="B1257" s="5" t="s">
        <v>23706</v>
      </c>
      <c r="C1257" s="5" t="s">
        <v>4562</v>
      </c>
      <c r="E1257" s="5" t="s">
        <v>1585</v>
      </c>
      <c r="G1257" s="5">
        <v>3127923687</v>
      </c>
    </row>
    <row r="1258" spans="1:9" ht="12.5">
      <c r="A1258" s="5">
        <v>0</v>
      </c>
      <c r="B1258" s="5" t="s">
        <v>23706</v>
      </c>
      <c r="C1258" s="5" t="s">
        <v>5538</v>
      </c>
      <c r="E1258" s="5" t="s">
        <v>5539</v>
      </c>
      <c r="G1258" s="5">
        <v>0</v>
      </c>
    </row>
    <row r="1259" spans="1:9" ht="12.5">
      <c r="A1259" s="5">
        <v>140826078</v>
      </c>
      <c r="B1259" s="5" t="s">
        <v>23706</v>
      </c>
      <c r="C1259" s="5" t="s">
        <v>584</v>
      </c>
      <c r="E1259" s="5" t="s">
        <v>1947</v>
      </c>
      <c r="G1259" s="5">
        <v>0</v>
      </c>
    </row>
    <row r="1260" spans="1:9" ht="12.5">
      <c r="A1260" s="5">
        <v>1047502709</v>
      </c>
      <c r="B1260" s="5" t="s">
        <v>23706</v>
      </c>
      <c r="C1260" s="5" t="s">
        <v>12290</v>
      </c>
      <c r="E1260" s="5"/>
      <c r="G1260" s="5">
        <v>3154165888</v>
      </c>
      <c r="I1260" s="5" t="s">
        <v>24104</v>
      </c>
    </row>
    <row r="1261" spans="1:9" ht="12.5">
      <c r="A1261" s="5">
        <v>1020801474</v>
      </c>
      <c r="B1261" s="5" t="s">
        <v>23706</v>
      </c>
      <c r="C1261" s="5" t="s">
        <v>1391</v>
      </c>
      <c r="E1261" s="5" t="s">
        <v>24105</v>
      </c>
      <c r="G1261" s="5">
        <v>3023488724</v>
      </c>
    </row>
    <row r="1262" spans="1:9" ht="12.5">
      <c r="A1262" s="5">
        <v>1129522150</v>
      </c>
      <c r="B1262" s="5" t="s">
        <v>23706</v>
      </c>
      <c r="C1262" s="5" t="s">
        <v>6126</v>
      </c>
      <c r="E1262" s="5" t="s">
        <v>1540</v>
      </c>
      <c r="G1262" s="5">
        <v>3152433843</v>
      </c>
    </row>
    <row r="1263" spans="1:9" ht="12.5">
      <c r="A1263" s="5">
        <v>1001782466</v>
      </c>
      <c r="B1263" s="5" t="s">
        <v>23706</v>
      </c>
      <c r="C1263" s="5" t="s">
        <v>6123</v>
      </c>
      <c r="E1263" s="5" t="s">
        <v>6124</v>
      </c>
      <c r="G1263" s="5">
        <v>3183762807</v>
      </c>
    </row>
    <row r="1264" spans="1:9" ht="12.5">
      <c r="A1264" s="5">
        <v>8713794</v>
      </c>
      <c r="B1264" s="5" t="s">
        <v>23706</v>
      </c>
      <c r="C1264" s="5" t="s">
        <v>4026</v>
      </c>
      <c r="E1264" s="5" t="s">
        <v>6134</v>
      </c>
      <c r="G1264" s="5">
        <v>3102276409</v>
      </c>
    </row>
    <row r="1265" spans="1:9" ht="12.5">
      <c r="A1265" s="5">
        <v>1007738491</v>
      </c>
      <c r="B1265" s="5" t="s">
        <v>23706</v>
      </c>
      <c r="C1265" s="5" t="s">
        <v>190</v>
      </c>
      <c r="E1265" s="5" t="s">
        <v>6131</v>
      </c>
      <c r="G1265" s="5">
        <v>3103673789</v>
      </c>
    </row>
    <row r="1266" spans="1:9" ht="12.5">
      <c r="A1266" s="5">
        <v>1002134500</v>
      </c>
      <c r="B1266" s="5" t="s">
        <v>23706</v>
      </c>
      <c r="C1266" s="5" t="s">
        <v>24106</v>
      </c>
      <c r="E1266" s="5" t="s">
        <v>6146</v>
      </c>
      <c r="G1266" s="5">
        <v>3023112460</v>
      </c>
    </row>
    <row r="1267" spans="1:9" ht="12.5">
      <c r="A1267" s="5">
        <v>1022324378</v>
      </c>
      <c r="B1267" s="5" t="s">
        <v>23706</v>
      </c>
      <c r="C1267" s="5" t="s">
        <v>7553</v>
      </c>
      <c r="E1267" s="5" t="s">
        <v>1683</v>
      </c>
      <c r="G1267" s="5">
        <v>3057037192</v>
      </c>
    </row>
    <row r="1268" spans="1:9" ht="12.5">
      <c r="A1268" s="5">
        <v>1140891384</v>
      </c>
      <c r="B1268" s="5" t="s">
        <v>23706</v>
      </c>
      <c r="C1268" s="5" t="s">
        <v>6148</v>
      </c>
      <c r="E1268" s="5" t="s">
        <v>6149</v>
      </c>
      <c r="G1268" s="5">
        <v>3017255296</v>
      </c>
    </row>
    <row r="1269" spans="1:9" ht="12.5">
      <c r="A1269" s="5">
        <v>1143455374</v>
      </c>
      <c r="B1269" s="5" t="s">
        <v>23706</v>
      </c>
      <c r="C1269" s="5" t="s">
        <v>84</v>
      </c>
      <c r="E1269" s="5" t="s">
        <v>5494</v>
      </c>
      <c r="G1269" s="5">
        <v>3144456460</v>
      </c>
    </row>
    <row r="1270" spans="1:9" ht="12.5">
      <c r="A1270" s="5">
        <v>1208818</v>
      </c>
      <c r="B1270" s="5" t="s">
        <v>23706</v>
      </c>
      <c r="C1270" s="5" t="s">
        <v>6153</v>
      </c>
      <c r="E1270" s="5" t="s">
        <v>3101</v>
      </c>
      <c r="G1270" s="5">
        <v>3012688823</v>
      </c>
    </row>
    <row r="1271" spans="1:9" ht="12.5">
      <c r="A1271" s="5">
        <v>1002024210</v>
      </c>
      <c r="B1271" s="5" t="s">
        <v>23706</v>
      </c>
      <c r="C1271" s="5" t="s">
        <v>3217</v>
      </c>
      <c r="E1271" s="5" t="s">
        <v>6354</v>
      </c>
      <c r="G1271" s="5">
        <v>3006470265</v>
      </c>
    </row>
    <row r="1272" spans="1:9" ht="12.5">
      <c r="A1272" s="5">
        <v>1140855363</v>
      </c>
      <c r="B1272" s="5" t="s">
        <v>23706</v>
      </c>
      <c r="C1272" s="5" t="s">
        <v>6168</v>
      </c>
      <c r="E1272" s="5" t="s">
        <v>3280</v>
      </c>
      <c r="G1272" s="5">
        <v>3234155972</v>
      </c>
    </row>
    <row r="1273" spans="1:9" ht="12.5">
      <c r="A1273" s="5">
        <v>1034281565</v>
      </c>
      <c r="B1273" s="5" t="s">
        <v>23706</v>
      </c>
      <c r="C1273" s="5" t="s">
        <v>595</v>
      </c>
      <c r="E1273" s="5" t="s">
        <v>3442</v>
      </c>
      <c r="G1273" s="5">
        <v>3105190535</v>
      </c>
    </row>
    <row r="1274" spans="1:9" ht="12.5">
      <c r="A1274" s="5">
        <v>1043876320</v>
      </c>
      <c r="B1274" s="5" t="s">
        <v>23706</v>
      </c>
      <c r="C1274" s="5" t="s">
        <v>13189</v>
      </c>
      <c r="E1274" s="5"/>
      <c r="G1274" s="10" t="s">
        <v>24107</v>
      </c>
      <c r="I1274" s="5" t="s">
        <v>24108</v>
      </c>
    </row>
    <row r="1275" spans="1:9" ht="12.5">
      <c r="A1275" s="5">
        <v>1143269145</v>
      </c>
      <c r="B1275" s="5" t="s">
        <v>23706</v>
      </c>
      <c r="C1275" s="5" t="s">
        <v>6174</v>
      </c>
      <c r="E1275" s="5" t="s">
        <v>3001</v>
      </c>
      <c r="G1275" s="5" t="s">
        <v>6176</v>
      </c>
    </row>
    <row r="1276" spans="1:9" ht="12.5">
      <c r="A1276" s="5">
        <v>1193561975</v>
      </c>
      <c r="B1276" s="5" t="s">
        <v>23706</v>
      </c>
      <c r="C1276" s="5" t="s">
        <v>182</v>
      </c>
      <c r="E1276" s="5" t="s">
        <v>6186</v>
      </c>
      <c r="G1276" s="5">
        <v>3044625359</v>
      </c>
    </row>
    <row r="1277" spans="1:9" ht="12.5">
      <c r="A1277" s="5">
        <v>1007603910</v>
      </c>
      <c r="B1277" s="5" t="s">
        <v>23706</v>
      </c>
      <c r="C1277" s="5" t="s">
        <v>13613</v>
      </c>
      <c r="E1277" s="5"/>
      <c r="G1277" s="5">
        <v>3156670982</v>
      </c>
      <c r="I1277" s="5" t="s">
        <v>24109</v>
      </c>
    </row>
    <row r="1278" spans="1:9" ht="12.5">
      <c r="A1278" s="5">
        <v>22493188</v>
      </c>
      <c r="B1278" s="5" t="s">
        <v>23706</v>
      </c>
      <c r="C1278" s="5" t="s">
        <v>6179</v>
      </c>
      <c r="E1278" s="5"/>
      <c r="G1278" s="5">
        <v>8717222</v>
      </c>
    </row>
    <row r="1279" spans="1:9" ht="12.5">
      <c r="A1279" s="5">
        <v>1042456707</v>
      </c>
      <c r="B1279" s="5" t="s">
        <v>23706</v>
      </c>
      <c r="C1279" s="5" t="s">
        <v>24110</v>
      </c>
      <c r="E1279" s="5" t="s">
        <v>1003</v>
      </c>
      <c r="G1279" s="5">
        <v>3014679879</v>
      </c>
    </row>
    <row r="1280" spans="1:9" ht="12.5">
      <c r="A1280" s="5">
        <v>901127997</v>
      </c>
      <c r="B1280" s="5" t="s">
        <v>23782</v>
      </c>
      <c r="C1280" s="5" t="s">
        <v>6200</v>
      </c>
      <c r="E1280" s="5" t="s">
        <v>6199</v>
      </c>
      <c r="G1280" s="5">
        <v>3205434657</v>
      </c>
    </row>
    <row r="1281" spans="1:7" ht="12.5">
      <c r="A1281" s="5">
        <v>1003500788</v>
      </c>
      <c r="B1281" s="5" t="s">
        <v>23706</v>
      </c>
      <c r="C1281" s="5" t="s">
        <v>3450</v>
      </c>
      <c r="E1281" s="5" t="s">
        <v>6201</v>
      </c>
      <c r="G1281" s="5">
        <v>3242829109</v>
      </c>
    </row>
    <row r="1282" spans="1:7" ht="12.5">
      <c r="A1282" s="5">
        <v>1053322811</v>
      </c>
      <c r="B1282" s="5" t="s">
        <v>23706</v>
      </c>
      <c r="C1282" s="5" t="s">
        <v>24111</v>
      </c>
      <c r="E1282" s="5" t="s">
        <v>6208</v>
      </c>
      <c r="G1282" s="5">
        <v>3204122777</v>
      </c>
    </row>
    <row r="1283" spans="1:7" ht="12.5">
      <c r="A1283" s="5">
        <v>1100249730</v>
      </c>
      <c r="B1283" s="5" t="s">
        <v>23706</v>
      </c>
      <c r="C1283" s="5" t="s">
        <v>6219</v>
      </c>
      <c r="E1283" s="5" t="s">
        <v>6220</v>
      </c>
      <c r="G1283" s="5">
        <v>3118892998</v>
      </c>
    </row>
    <row r="1284" spans="1:7" ht="12.5">
      <c r="A1284" s="5">
        <v>1085042527</v>
      </c>
      <c r="B1284" s="5" t="s">
        <v>23706</v>
      </c>
      <c r="C1284" s="5" t="s">
        <v>6214</v>
      </c>
      <c r="E1284" s="5" t="s">
        <v>6215</v>
      </c>
      <c r="G1284" s="5">
        <v>3023169038</v>
      </c>
    </row>
    <row r="1285" spans="1:7" ht="12.5">
      <c r="A1285" s="5">
        <v>1143461163</v>
      </c>
      <c r="B1285" s="5" t="s">
        <v>23706</v>
      </c>
      <c r="C1285" s="5" t="s">
        <v>3450</v>
      </c>
      <c r="E1285" s="5" t="s">
        <v>24112</v>
      </c>
      <c r="G1285" s="5">
        <v>15713561379</v>
      </c>
    </row>
    <row r="1286" spans="1:7" ht="12.5">
      <c r="A1286" s="5">
        <v>1140842452</v>
      </c>
      <c r="B1286" s="5" t="s">
        <v>23706</v>
      </c>
      <c r="C1286" s="5" t="s">
        <v>445</v>
      </c>
      <c r="E1286" s="5" t="s">
        <v>6211</v>
      </c>
      <c r="G1286" s="5">
        <v>3128485110</v>
      </c>
    </row>
    <row r="1287" spans="1:7" ht="12.5">
      <c r="A1287" s="5">
        <v>1006743325</v>
      </c>
      <c r="B1287" s="5" t="s">
        <v>23706</v>
      </c>
      <c r="C1287" s="5" t="s">
        <v>6225</v>
      </c>
      <c r="E1287" s="5" t="s">
        <v>6226</v>
      </c>
      <c r="G1287" s="5">
        <v>3105279112</v>
      </c>
    </row>
    <row r="1288" spans="1:7" ht="12.5">
      <c r="A1288" s="5">
        <v>1193586286</v>
      </c>
      <c r="B1288" s="5" t="s">
        <v>23706</v>
      </c>
      <c r="C1288" s="5" t="s">
        <v>6232</v>
      </c>
      <c r="E1288" s="5" t="s">
        <v>6233</v>
      </c>
      <c r="G1288" s="5">
        <v>3127248481</v>
      </c>
    </row>
    <row r="1289" spans="1:7" ht="12.5">
      <c r="A1289" s="5">
        <v>1140876898</v>
      </c>
      <c r="B1289" s="5" t="s">
        <v>23706</v>
      </c>
      <c r="C1289" s="5" t="s">
        <v>1349</v>
      </c>
      <c r="E1289" s="5" t="s">
        <v>24113</v>
      </c>
      <c r="G1289" s="5">
        <v>3014728290</v>
      </c>
    </row>
    <row r="1290" spans="1:7" ht="12.5">
      <c r="A1290" s="5">
        <v>1044422266</v>
      </c>
      <c r="B1290" s="5" t="s">
        <v>23706</v>
      </c>
      <c r="C1290" s="5" t="s">
        <v>5128</v>
      </c>
      <c r="E1290" s="5" t="s">
        <v>6243</v>
      </c>
      <c r="G1290" s="5">
        <v>3003900766</v>
      </c>
    </row>
    <row r="1291" spans="1:7" ht="12.5">
      <c r="A1291" s="5">
        <v>1044432074</v>
      </c>
      <c r="B1291" s="5" t="s">
        <v>23706</v>
      </c>
      <c r="C1291" s="5" t="s">
        <v>1349</v>
      </c>
      <c r="E1291" s="5" t="s">
        <v>24114</v>
      </c>
      <c r="G1291" s="5">
        <v>3014550986</v>
      </c>
    </row>
    <row r="1292" spans="1:7" ht="12.5">
      <c r="A1292" s="5">
        <v>52451702</v>
      </c>
      <c r="B1292" s="5" t="s">
        <v>23706</v>
      </c>
      <c r="C1292" s="5" t="s">
        <v>6245</v>
      </c>
      <c r="E1292" s="5" t="s">
        <v>24115</v>
      </c>
      <c r="G1292" s="5">
        <v>3153490919</v>
      </c>
    </row>
    <row r="1293" spans="1:7" ht="12.5">
      <c r="A1293" s="5">
        <v>22479384</v>
      </c>
      <c r="B1293" s="5" t="s">
        <v>23706</v>
      </c>
      <c r="C1293" s="5" t="s">
        <v>445</v>
      </c>
      <c r="E1293" s="5" t="s">
        <v>6259</v>
      </c>
      <c r="G1293" s="5">
        <v>3016616953</v>
      </c>
    </row>
    <row r="1294" spans="1:7" ht="12.5">
      <c r="A1294" s="5">
        <v>88141883</v>
      </c>
      <c r="B1294" s="5" t="s">
        <v>23706</v>
      </c>
      <c r="C1294" s="5" t="s">
        <v>24116</v>
      </c>
      <c r="E1294" s="5" t="s">
        <v>6263</v>
      </c>
      <c r="G1294" s="5">
        <v>3102307916</v>
      </c>
    </row>
    <row r="1295" spans="1:7" ht="12.5">
      <c r="A1295" s="5">
        <v>1042242024</v>
      </c>
      <c r="B1295" s="5" t="s">
        <v>23706</v>
      </c>
      <c r="C1295" s="5" t="s">
        <v>6348</v>
      </c>
      <c r="E1295" s="5" t="s">
        <v>2062</v>
      </c>
      <c r="G1295" s="5">
        <v>0</v>
      </c>
    </row>
    <row r="1296" spans="1:7" ht="12.5">
      <c r="A1296" s="5">
        <v>1143356372</v>
      </c>
      <c r="B1296" s="5" t="s">
        <v>23706</v>
      </c>
      <c r="C1296" s="5" t="s">
        <v>2293</v>
      </c>
      <c r="E1296" s="5" t="s">
        <v>6329</v>
      </c>
      <c r="G1296" s="5">
        <v>3226803890</v>
      </c>
    </row>
    <row r="1297" spans="1:9" ht="12.5">
      <c r="A1297" s="5">
        <v>1042241824</v>
      </c>
      <c r="B1297" s="5" t="s">
        <v>23706</v>
      </c>
      <c r="C1297" s="5" t="s">
        <v>1714</v>
      </c>
      <c r="E1297" s="5" t="s">
        <v>3629</v>
      </c>
      <c r="G1297" s="5">
        <v>3107439266</v>
      </c>
    </row>
    <row r="1298" spans="1:9" ht="12.5">
      <c r="A1298" s="5">
        <v>80197134</v>
      </c>
      <c r="B1298" s="5" t="s">
        <v>23706</v>
      </c>
      <c r="C1298" s="5" t="s">
        <v>6280</v>
      </c>
      <c r="E1298" s="5" t="s">
        <v>6281</v>
      </c>
      <c r="G1298" s="5">
        <v>3203473047</v>
      </c>
    </row>
    <row r="1299" spans="1:9" ht="12.5">
      <c r="A1299" s="5">
        <v>1140904474</v>
      </c>
      <c r="B1299" s="5" t="s">
        <v>23706</v>
      </c>
      <c r="C1299" s="5" t="s">
        <v>12268</v>
      </c>
      <c r="E1299" s="5"/>
      <c r="G1299" s="5">
        <v>3106113291</v>
      </c>
      <c r="I1299" s="5" t="s">
        <v>24117</v>
      </c>
    </row>
    <row r="1300" spans="1:9" ht="12.5">
      <c r="A1300" s="5">
        <v>1047450213</v>
      </c>
      <c r="B1300" s="5" t="s">
        <v>23706</v>
      </c>
      <c r="C1300" s="5" t="s">
        <v>14256</v>
      </c>
      <c r="E1300" s="5"/>
      <c r="G1300" s="5">
        <v>31477372744</v>
      </c>
      <c r="I1300" s="5" t="s">
        <v>24118</v>
      </c>
    </row>
    <row r="1301" spans="1:9" ht="12.5">
      <c r="A1301" s="5">
        <v>2601251222</v>
      </c>
      <c r="B1301" s="5" t="s">
        <v>23706</v>
      </c>
      <c r="C1301" s="5" t="s">
        <v>24119</v>
      </c>
      <c r="E1301" s="5" t="s">
        <v>4346</v>
      </c>
      <c r="G1301" s="5">
        <v>18298293545629</v>
      </c>
    </row>
    <row r="1302" spans="1:9" ht="12.5">
      <c r="A1302" s="5">
        <v>1043497379</v>
      </c>
      <c r="B1302" s="5" t="s">
        <v>23706</v>
      </c>
      <c r="C1302" s="5" t="s">
        <v>1038</v>
      </c>
      <c r="E1302" s="5" t="s">
        <v>6308</v>
      </c>
      <c r="G1302" s="5">
        <v>3156331359</v>
      </c>
    </row>
    <row r="1303" spans="1:9" ht="12.5">
      <c r="A1303" s="5">
        <v>7228994</v>
      </c>
      <c r="B1303" s="5" t="s">
        <v>23706</v>
      </c>
      <c r="C1303" s="5" t="s">
        <v>968</v>
      </c>
      <c r="E1303" s="5" t="s">
        <v>455</v>
      </c>
      <c r="G1303" s="5">
        <v>3004142863</v>
      </c>
    </row>
    <row r="1304" spans="1:9" ht="12.5">
      <c r="A1304" s="5">
        <v>1143239898</v>
      </c>
      <c r="B1304" s="5" t="s">
        <v>23706</v>
      </c>
      <c r="C1304" s="5" t="s">
        <v>5128</v>
      </c>
      <c r="E1304" s="5" t="s">
        <v>6313</v>
      </c>
      <c r="G1304" s="5">
        <v>3008810305</v>
      </c>
    </row>
    <row r="1305" spans="1:9" ht="12.5">
      <c r="A1305" s="5">
        <v>1013671518</v>
      </c>
      <c r="B1305" s="5" t="s">
        <v>23706</v>
      </c>
      <c r="C1305" s="5" t="s">
        <v>270</v>
      </c>
      <c r="E1305" s="5" t="s">
        <v>6315</v>
      </c>
      <c r="G1305" s="5">
        <v>3115689875</v>
      </c>
    </row>
    <row r="1306" spans="1:9" ht="12.5">
      <c r="A1306" s="5">
        <v>1143461721</v>
      </c>
      <c r="B1306" s="5" t="s">
        <v>23706</v>
      </c>
      <c r="C1306" s="5" t="s">
        <v>6318</v>
      </c>
      <c r="E1306" s="5" t="s">
        <v>6319</v>
      </c>
      <c r="G1306" s="5">
        <v>3022265815</v>
      </c>
    </row>
    <row r="1307" spans="1:9" ht="12.5">
      <c r="A1307" s="5">
        <v>1020725647</v>
      </c>
      <c r="B1307" s="5" t="s">
        <v>23706</v>
      </c>
      <c r="C1307" s="5" t="s">
        <v>2481</v>
      </c>
      <c r="E1307" s="5" t="s">
        <v>6324</v>
      </c>
      <c r="G1307" s="5">
        <v>3216414503</v>
      </c>
    </row>
    <row r="1308" spans="1:9" ht="12.5">
      <c r="A1308" s="5">
        <v>1098651751</v>
      </c>
      <c r="B1308" s="5" t="s">
        <v>23706</v>
      </c>
      <c r="C1308" s="5" t="s">
        <v>1520</v>
      </c>
      <c r="E1308" s="5" t="s">
        <v>6335</v>
      </c>
      <c r="G1308" s="5">
        <v>3113191571</v>
      </c>
    </row>
    <row r="1309" spans="1:9" ht="12.5">
      <c r="A1309" s="5">
        <v>1140879851</v>
      </c>
      <c r="B1309" s="5" t="s">
        <v>23706</v>
      </c>
      <c r="C1309" s="5" t="s">
        <v>6339</v>
      </c>
      <c r="E1309" s="5" t="s">
        <v>6340</v>
      </c>
      <c r="G1309" s="5">
        <v>3004966065</v>
      </c>
    </row>
    <row r="1310" spans="1:9" ht="12.5">
      <c r="A1310" s="5">
        <v>79748098</v>
      </c>
      <c r="B1310" s="5" t="s">
        <v>23706</v>
      </c>
      <c r="C1310" s="5" t="s">
        <v>6345</v>
      </c>
      <c r="E1310" s="5" t="s">
        <v>6346</v>
      </c>
      <c r="G1310" s="5">
        <v>0</v>
      </c>
    </row>
    <row r="1311" spans="1:9" ht="12.5">
      <c r="A1311" s="5">
        <v>1042249174</v>
      </c>
      <c r="B1311" s="5" t="s">
        <v>23706</v>
      </c>
      <c r="C1311" s="5" t="s">
        <v>6348</v>
      </c>
      <c r="E1311" s="5" t="s">
        <v>6349</v>
      </c>
      <c r="G1311" s="5">
        <v>3184094610</v>
      </c>
      <c r="I1311" s="5" t="s">
        <v>24120</v>
      </c>
    </row>
    <row r="1312" spans="1:9" ht="12.5">
      <c r="A1312" s="5">
        <v>1082881812</v>
      </c>
      <c r="B1312" s="5" t="s">
        <v>23706</v>
      </c>
      <c r="C1312" s="5" t="s">
        <v>6358</v>
      </c>
      <c r="E1312" s="5" t="s">
        <v>6359</v>
      </c>
      <c r="G1312" s="5">
        <v>3104123627</v>
      </c>
    </row>
    <row r="1313" spans="1:7" ht="12.5">
      <c r="A1313" s="5">
        <v>9010011477</v>
      </c>
      <c r="B1313" s="5" t="s">
        <v>23782</v>
      </c>
      <c r="C1313" s="5" t="s">
        <v>6364</v>
      </c>
      <c r="E1313" s="5" t="s">
        <v>4113</v>
      </c>
      <c r="G1313" s="5">
        <v>3003006459</v>
      </c>
    </row>
    <row r="1314" spans="1:7" ht="12.5">
      <c r="A1314" s="5">
        <v>1128228492</v>
      </c>
      <c r="B1314" s="5" t="s">
        <v>23706</v>
      </c>
      <c r="C1314" s="5" t="s">
        <v>4261</v>
      </c>
      <c r="E1314" s="5" t="s">
        <v>6368</v>
      </c>
      <c r="G1314" s="5">
        <v>3215599552</v>
      </c>
    </row>
    <row r="1315" spans="1:7" ht="12.5">
      <c r="A1315" s="5">
        <v>1234091922</v>
      </c>
      <c r="B1315" s="5" t="s">
        <v>23706</v>
      </c>
      <c r="C1315" s="5" t="s">
        <v>297</v>
      </c>
      <c r="E1315" s="5" t="s">
        <v>6371</v>
      </c>
      <c r="G1315" s="5">
        <v>3002466767</v>
      </c>
    </row>
    <row r="1316" spans="1:7" ht="12.5">
      <c r="A1316" s="5">
        <v>900495470</v>
      </c>
      <c r="B1316" s="5" t="s">
        <v>23782</v>
      </c>
      <c r="C1316" s="5" t="s">
        <v>6393</v>
      </c>
      <c r="E1316" s="5" t="s">
        <v>6394</v>
      </c>
      <c r="G1316" s="5">
        <v>3137820782</v>
      </c>
    </row>
    <row r="1317" spans="1:7" ht="12.5">
      <c r="A1317" s="5">
        <v>1002207604</v>
      </c>
      <c r="B1317" s="5" t="s">
        <v>23706</v>
      </c>
      <c r="C1317" s="5" t="s">
        <v>6377</v>
      </c>
      <c r="E1317" s="5" t="s">
        <v>6378</v>
      </c>
      <c r="G1317" s="5">
        <v>3168725230</v>
      </c>
    </row>
    <row r="1318" spans="1:7" ht="12.5">
      <c r="A1318" s="5">
        <v>32757435</v>
      </c>
      <c r="B1318" s="5" t="s">
        <v>23706</v>
      </c>
      <c r="C1318" s="5" t="s">
        <v>6383</v>
      </c>
      <c r="E1318" s="5" t="s">
        <v>6384</v>
      </c>
      <c r="G1318" s="5">
        <v>3126705497</v>
      </c>
    </row>
    <row r="1319" spans="1:7" ht="12.5">
      <c r="A1319" s="5">
        <v>1129572954</v>
      </c>
      <c r="B1319" s="5" t="s">
        <v>23706</v>
      </c>
      <c r="C1319" s="5" t="s">
        <v>2471</v>
      </c>
      <c r="E1319" s="5" t="s">
        <v>6386</v>
      </c>
      <c r="G1319" s="5">
        <v>3113043191</v>
      </c>
    </row>
    <row r="1320" spans="1:7" ht="12.5">
      <c r="A1320" s="5">
        <v>1235253373</v>
      </c>
      <c r="B1320" s="5" t="s">
        <v>23706</v>
      </c>
      <c r="C1320" s="5" t="s">
        <v>6388</v>
      </c>
      <c r="E1320" s="5" t="s">
        <v>6389</v>
      </c>
      <c r="G1320" s="5">
        <v>3155827751</v>
      </c>
    </row>
    <row r="1321" spans="1:7" ht="12.5">
      <c r="A1321" s="5">
        <v>1048068735</v>
      </c>
      <c r="B1321" s="5" t="s">
        <v>23706</v>
      </c>
      <c r="C1321" s="5" t="s">
        <v>1140</v>
      </c>
      <c r="E1321" s="5" t="s">
        <v>6391</v>
      </c>
      <c r="G1321" s="5">
        <v>3150472213</v>
      </c>
    </row>
    <row r="1322" spans="1:7" ht="12.5">
      <c r="A1322" s="5">
        <v>1082995260</v>
      </c>
      <c r="B1322" s="5" t="s">
        <v>23706</v>
      </c>
      <c r="C1322" s="5" t="s">
        <v>6400</v>
      </c>
      <c r="E1322" s="5" t="s">
        <v>255</v>
      </c>
      <c r="G1322" s="5">
        <v>3116035211</v>
      </c>
    </row>
    <row r="1323" spans="1:7" ht="12.5">
      <c r="A1323" s="5">
        <v>22461210</v>
      </c>
      <c r="B1323" s="5" t="s">
        <v>23706</v>
      </c>
      <c r="C1323" s="5" t="s">
        <v>6405</v>
      </c>
      <c r="E1323" s="5" t="s">
        <v>2837</v>
      </c>
      <c r="G1323" s="5">
        <v>3152358173</v>
      </c>
    </row>
    <row r="1324" spans="1:7" ht="12.5">
      <c r="A1324" s="5">
        <v>32759037</v>
      </c>
      <c r="B1324" s="5" t="s">
        <v>23706</v>
      </c>
      <c r="C1324" s="5" t="s">
        <v>5076</v>
      </c>
      <c r="E1324" s="5" t="s">
        <v>6408</v>
      </c>
      <c r="G1324" s="5">
        <v>3504574956</v>
      </c>
    </row>
    <row r="1325" spans="1:7" ht="12.5">
      <c r="A1325" s="5">
        <v>1129567097</v>
      </c>
      <c r="B1325" s="5" t="s">
        <v>23706</v>
      </c>
      <c r="C1325" s="5" t="s">
        <v>1051</v>
      </c>
      <c r="E1325" s="5" t="s">
        <v>6413</v>
      </c>
      <c r="G1325" s="5">
        <v>3013892260</v>
      </c>
    </row>
    <row r="1326" spans="1:7" ht="12.5">
      <c r="A1326" s="5">
        <v>1042257968</v>
      </c>
      <c r="B1326" s="5" t="s">
        <v>23706</v>
      </c>
      <c r="C1326" s="5" t="s">
        <v>5975</v>
      </c>
      <c r="E1326" s="5" t="s">
        <v>6411</v>
      </c>
      <c r="G1326" s="5">
        <v>3157354515</v>
      </c>
    </row>
    <row r="1327" spans="1:7" ht="12.5">
      <c r="A1327" s="5">
        <v>1029720002</v>
      </c>
      <c r="B1327" s="5" t="s">
        <v>23706</v>
      </c>
      <c r="C1327" s="5" t="s">
        <v>24121</v>
      </c>
      <c r="E1327" s="5" t="s">
        <v>24122</v>
      </c>
      <c r="G1327" s="5" t="s">
        <v>24123</v>
      </c>
    </row>
    <row r="1328" spans="1:7" ht="12.5">
      <c r="A1328" s="5">
        <v>1140878169</v>
      </c>
      <c r="B1328" s="5" t="s">
        <v>23706</v>
      </c>
      <c r="C1328" s="5" t="s">
        <v>7179</v>
      </c>
      <c r="E1328" s="5" t="s">
        <v>24124</v>
      </c>
      <c r="G1328" s="5">
        <v>3003978829</v>
      </c>
    </row>
    <row r="1329" spans="1:9" ht="12.5">
      <c r="A1329" s="5">
        <v>49795016</v>
      </c>
      <c r="B1329" s="5" t="s">
        <v>23706</v>
      </c>
      <c r="C1329" s="5" t="s">
        <v>4562</v>
      </c>
      <c r="E1329" s="5" t="s">
        <v>4957</v>
      </c>
      <c r="G1329" s="5">
        <v>3164388124</v>
      </c>
    </row>
    <row r="1330" spans="1:9" ht="12.5">
      <c r="A1330" s="5">
        <v>1143123378</v>
      </c>
      <c r="B1330" s="5" t="s">
        <v>23706</v>
      </c>
      <c r="C1330" s="5" t="s">
        <v>6431</v>
      </c>
      <c r="E1330" s="5" t="s">
        <v>4590</v>
      </c>
      <c r="G1330" s="5">
        <v>3024528978</v>
      </c>
    </row>
    <row r="1331" spans="1:9" ht="12.5">
      <c r="A1331" s="5">
        <v>1045727436</v>
      </c>
      <c r="B1331" s="5" t="s">
        <v>23706</v>
      </c>
      <c r="C1331" s="5" t="s">
        <v>332</v>
      </c>
      <c r="E1331" s="5" t="s">
        <v>6436</v>
      </c>
      <c r="G1331" s="5">
        <v>3235855703</v>
      </c>
    </row>
    <row r="1332" spans="1:9" ht="12.5">
      <c r="A1332" s="5">
        <v>1140868847</v>
      </c>
      <c r="B1332" s="5" t="s">
        <v>23706</v>
      </c>
      <c r="C1332" s="5" t="s">
        <v>3503</v>
      </c>
      <c r="E1332" s="5" t="s">
        <v>6444</v>
      </c>
      <c r="G1332" s="5">
        <v>3004631989</v>
      </c>
    </row>
    <row r="1333" spans="1:9" ht="12.5">
      <c r="A1333" s="5">
        <v>1140875146</v>
      </c>
      <c r="B1333" s="5" t="s">
        <v>23706</v>
      </c>
      <c r="C1333" s="5" t="s">
        <v>3641</v>
      </c>
      <c r="E1333" s="5" t="s">
        <v>6452</v>
      </c>
      <c r="G1333" s="5">
        <v>6552436</v>
      </c>
    </row>
    <row r="1334" spans="1:9" ht="12.5">
      <c r="A1334" s="5">
        <v>8684255</v>
      </c>
      <c r="B1334" s="5" t="s">
        <v>23706</v>
      </c>
      <c r="C1334" s="5" t="s">
        <v>2894</v>
      </c>
      <c r="E1334" s="5" t="s">
        <v>6449</v>
      </c>
      <c r="G1334" s="5">
        <v>3106327688</v>
      </c>
    </row>
    <row r="1335" spans="1:9" ht="12.5">
      <c r="A1335" s="5">
        <v>1140896581</v>
      </c>
      <c r="B1335" s="5" t="s">
        <v>23706</v>
      </c>
      <c r="C1335" s="5" t="s">
        <v>6465</v>
      </c>
      <c r="E1335" s="5" t="s">
        <v>6466</v>
      </c>
      <c r="G1335" s="5">
        <v>13054292214</v>
      </c>
    </row>
    <row r="1336" spans="1:9" ht="12.5">
      <c r="A1336" s="5">
        <v>1045755742</v>
      </c>
      <c r="B1336" s="5" t="s">
        <v>23706</v>
      </c>
      <c r="C1336" s="5" t="s">
        <v>6470</v>
      </c>
      <c r="E1336" s="5" t="s">
        <v>6471</v>
      </c>
      <c r="G1336" s="5">
        <v>0</v>
      </c>
    </row>
    <row r="1337" spans="1:9" ht="12.5">
      <c r="A1337" s="5">
        <v>1140819602</v>
      </c>
      <c r="B1337" s="5" t="s">
        <v>23706</v>
      </c>
      <c r="C1337" s="5" t="s">
        <v>182</v>
      </c>
      <c r="E1337" s="5" t="s">
        <v>1226</v>
      </c>
      <c r="G1337" s="5">
        <v>3017540552</v>
      </c>
    </row>
    <row r="1338" spans="1:9" ht="12.5">
      <c r="A1338" s="5">
        <v>22462984</v>
      </c>
      <c r="B1338" s="5" t="s">
        <v>23706</v>
      </c>
      <c r="C1338" s="5" t="s">
        <v>6482</v>
      </c>
      <c r="E1338" s="5" t="s">
        <v>382</v>
      </c>
      <c r="G1338" s="5">
        <v>3203854828</v>
      </c>
    </row>
    <row r="1339" spans="1:9" ht="12.5">
      <c r="A1339" s="5">
        <v>1143437105</v>
      </c>
      <c r="B1339" s="5" t="s">
        <v>23706</v>
      </c>
      <c r="C1339" s="5" t="s">
        <v>6476</v>
      </c>
      <c r="E1339" s="5" t="s">
        <v>6477</v>
      </c>
      <c r="G1339" s="5">
        <v>3008496429</v>
      </c>
    </row>
    <row r="1340" spans="1:9" ht="12.5">
      <c r="A1340" s="5">
        <v>1141516120</v>
      </c>
      <c r="B1340" s="5" t="s">
        <v>23706</v>
      </c>
      <c r="C1340" s="5" t="s">
        <v>6479</v>
      </c>
      <c r="E1340" s="5" t="s">
        <v>6480</v>
      </c>
      <c r="G1340" s="5">
        <v>3122546838</v>
      </c>
    </row>
    <row r="1341" spans="1:9" ht="12.5">
      <c r="A1341" s="5">
        <v>901276595</v>
      </c>
      <c r="B1341" s="5" t="s">
        <v>23782</v>
      </c>
      <c r="C1341" s="5" t="s">
        <v>1742</v>
      </c>
      <c r="E1341" s="5" t="s">
        <v>93</v>
      </c>
      <c r="G1341" s="5">
        <v>3008463114</v>
      </c>
      <c r="I1341" s="5" t="s">
        <v>24125</v>
      </c>
    </row>
    <row r="1342" spans="1:9" ht="12.5">
      <c r="A1342" s="5">
        <v>26201340</v>
      </c>
      <c r="B1342" s="5" t="s">
        <v>23706</v>
      </c>
      <c r="C1342" s="5" t="s">
        <v>8856</v>
      </c>
      <c r="E1342" s="5" t="s">
        <v>6488</v>
      </c>
      <c r="G1342" s="5">
        <v>3122995559</v>
      </c>
    </row>
    <row r="1343" spans="1:9" ht="12.5">
      <c r="A1343" s="5">
        <v>1045741744</v>
      </c>
      <c r="B1343" s="5" t="s">
        <v>23706</v>
      </c>
      <c r="C1343" s="5" t="s">
        <v>6496</v>
      </c>
      <c r="E1343" s="5" t="s">
        <v>24126</v>
      </c>
      <c r="G1343" s="5">
        <v>3162790617</v>
      </c>
      <c r="I1343" s="5" t="s">
        <v>24127</v>
      </c>
    </row>
    <row r="1344" spans="1:9" ht="12.5">
      <c r="A1344" s="5">
        <v>1081929456</v>
      </c>
      <c r="B1344" s="5" t="s">
        <v>23706</v>
      </c>
      <c r="C1344" s="5" t="s">
        <v>12263</v>
      </c>
      <c r="E1344" s="5"/>
      <c r="G1344" s="10" t="s">
        <v>24128</v>
      </c>
      <c r="I1344" s="5" t="s">
        <v>24129</v>
      </c>
    </row>
    <row r="1345" spans="1:9" ht="12.5">
      <c r="A1345" s="5">
        <v>1140893698</v>
      </c>
      <c r="B1345" s="5" t="s">
        <v>23706</v>
      </c>
      <c r="C1345" s="5" t="s">
        <v>6519</v>
      </c>
      <c r="E1345" s="5" t="s">
        <v>6520</v>
      </c>
      <c r="G1345" s="5">
        <v>3126600519</v>
      </c>
      <c r="I1345" s="5" t="s">
        <v>24130</v>
      </c>
    </row>
    <row r="1346" spans="1:9" ht="12.5">
      <c r="A1346" s="5">
        <v>1042463465</v>
      </c>
      <c r="B1346" s="5" t="s">
        <v>23706</v>
      </c>
      <c r="C1346" s="5" t="s">
        <v>404</v>
      </c>
      <c r="E1346" s="5" t="s">
        <v>6501</v>
      </c>
      <c r="G1346" s="5">
        <v>3002182349</v>
      </c>
      <c r="I1346" s="5" t="s">
        <v>24131</v>
      </c>
    </row>
    <row r="1347" spans="1:9" ht="12.5">
      <c r="A1347" s="5">
        <v>1140850867</v>
      </c>
      <c r="B1347" s="5" t="s">
        <v>23706</v>
      </c>
      <c r="C1347" s="5" t="s">
        <v>6348</v>
      </c>
      <c r="E1347" s="5" t="s">
        <v>6505</v>
      </c>
      <c r="G1347" s="5">
        <v>3185530632</v>
      </c>
    </row>
    <row r="1348" spans="1:9" ht="12.5">
      <c r="A1348" s="5">
        <v>1139574702</v>
      </c>
      <c r="B1348" s="5" t="s">
        <v>23706</v>
      </c>
      <c r="C1348" s="5" t="s">
        <v>6526</v>
      </c>
      <c r="E1348" s="5" t="s">
        <v>6527</v>
      </c>
      <c r="G1348" s="5">
        <v>3015587628</v>
      </c>
    </row>
    <row r="1349" spans="1:9" ht="12.5">
      <c r="A1349" s="5">
        <v>52413165</v>
      </c>
      <c r="B1349" s="5" t="s">
        <v>23706</v>
      </c>
      <c r="C1349" s="5" t="s">
        <v>6508</v>
      </c>
      <c r="E1349" s="5" t="s">
        <v>24132</v>
      </c>
      <c r="G1349" s="5">
        <v>3143302416</v>
      </c>
    </row>
    <row r="1350" spans="1:9" ht="12.5">
      <c r="A1350" s="5">
        <v>1042850272</v>
      </c>
      <c r="B1350" s="5" t="s">
        <v>23706</v>
      </c>
      <c r="C1350" s="5" t="s">
        <v>6377</v>
      </c>
      <c r="E1350" s="5" t="s">
        <v>6515</v>
      </c>
      <c r="G1350" s="5">
        <v>0</v>
      </c>
    </row>
    <row r="1351" spans="1:9" ht="12.5">
      <c r="A1351" s="5">
        <v>1044616446</v>
      </c>
      <c r="B1351" s="5" t="s">
        <v>23706</v>
      </c>
      <c r="C1351" s="5" t="s">
        <v>24133</v>
      </c>
      <c r="E1351" s="5" t="s">
        <v>3188</v>
      </c>
      <c r="G1351" s="5">
        <v>0</v>
      </c>
    </row>
    <row r="1352" spans="1:9" ht="12.5">
      <c r="A1352" s="5">
        <v>1140902025</v>
      </c>
      <c r="B1352" s="5" t="s">
        <v>23706</v>
      </c>
      <c r="C1352" s="5" t="s">
        <v>24134</v>
      </c>
      <c r="E1352" s="5" t="s">
        <v>24135</v>
      </c>
      <c r="G1352" s="5">
        <v>3113556589</v>
      </c>
    </row>
    <row r="1353" spans="1:9" ht="12.5">
      <c r="A1353" s="5">
        <v>1001942323</v>
      </c>
      <c r="B1353" s="5" t="s">
        <v>23706</v>
      </c>
      <c r="C1353" s="5" t="s">
        <v>24136</v>
      </c>
      <c r="E1353" s="5" t="s">
        <v>24137</v>
      </c>
      <c r="G1353" s="5">
        <v>3114146232</v>
      </c>
      <c r="I1353" s="5" t="s">
        <v>24138</v>
      </c>
    </row>
    <row r="1354" spans="1:9" ht="12.5">
      <c r="A1354" s="5">
        <v>1047337051</v>
      </c>
      <c r="B1354" s="5" t="s">
        <v>23706</v>
      </c>
      <c r="C1354" s="5" t="s">
        <v>297</v>
      </c>
      <c r="E1354" s="5" t="s">
        <v>1585</v>
      </c>
      <c r="G1354" s="5">
        <v>3166569808</v>
      </c>
      <c r="I1354" s="5" t="s">
        <v>24139</v>
      </c>
    </row>
    <row r="1355" spans="1:9" ht="12.5">
      <c r="A1355" s="5">
        <v>32738879</v>
      </c>
      <c r="B1355" s="5" t="s">
        <v>23706</v>
      </c>
      <c r="C1355" s="5" t="s">
        <v>6536</v>
      </c>
      <c r="E1355" s="5" t="s">
        <v>6537</v>
      </c>
      <c r="G1355" s="5">
        <v>3205438136</v>
      </c>
    </row>
    <row r="1356" spans="1:9" ht="12.5">
      <c r="A1356" s="5">
        <v>1082885578</v>
      </c>
      <c r="B1356" s="5" t="s">
        <v>23706</v>
      </c>
      <c r="C1356" s="5" t="s">
        <v>24140</v>
      </c>
      <c r="E1356" s="5" t="s">
        <v>24141</v>
      </c>
      <c r="G1356" s="5">
        <v>3045405174</v>
      </c>
      <c r="I1356" s="5" t="s">
        <v>24142</v>
      </c>
    </row>
    <row r="1357" spans="1:9" ht="12.5">
      <c r="A1357" s="5">
        <v>1234090331</v>
      </c>
      <c r="B1357" s="5" t="s">
        <v>23706</v>
      </c>
      <c r="C1357" s="5" t="s">
        <v>13818</v>
      </c>
      <c r="E1357" s="5" t="s">
        <v>6013</v>
      </c>
      <c r="G1357" s="5">
        <v>3006377973</v>
      </c>
    </row>
    <row r="1358" spans="1:9" ht="12.5">
      <c r="A1358" s="5">
        <v>22449309</v>
      </c>
      <c r="B1358" s="5" t="s">
        <v>23706</v>
      </c>
      <c r="C1358" s="5" t="s">
        <v>6557</v>
      </c>
      <c r="E1358" s="5" t="s">
        <v>3862</v>
      </c>
      <c r="G1358" s="5">
        <v>3103616155</v>
      </c>
    </row>
    <row r="1359" spans="1:9" ht="12.5">
      <c r="A1359" s="5">
        <v>32747062</v>
      </c>
      <c r="B1359" s="5" t="s">
        <v>23706</v>
      </c>
      <c r="C1359" s="5" t="s">
        <v>6561</v>
      </c>
      <c r="E1359" s="5"/>
      <c r="G1359" s="5">
        <v>3103633466</v>
      </c>
    </row>
    <row r="1360" spans="1:9" ht="12.5">
      <c r="A1360" s="5">
        <v>32686138</v>
      </c>
      <c r="B1360" s="5" t="s">
        <v>23706</v>
      </c>
      <c r="C1360" s="5" t="s">
        <v>6568</v>
      </c>
      <c r="E1360" s="5" t="s">
        <v>6569</v>
      </c>
      <c r="G1360" s="5">
        <v>19549946278</v>
      </c>
      <c r="I1360" s="5" t="s">
        <v>24143</v>
      </c>
    </row>
    <row r="1361" spans="1:9" ht="12.5">
      <c r="A1361" s="5">
        <v>22656186</v>
      </c>
      <c r="B1361" s="5" t="s">
        <v>23706</v>
      </c>
      <c r="C1361" s="5" t="s">
        <v>24144</v>
      </c>
      <c r="E1361" s="5" t="s">
        <v>23963</v>
      </c>
      <c r="G1361" s="5">
        <v>3013390482</v>
      </c>
    </row>
    <row r="1362" spans="1:9" ht="12.5">
      <c r="A1362" s="5">
        <v>1140844784</v>
      </c>
      <c r="B1362" s="5" t="s">
        <v>23706</v>
      </c>
      <c r="C1362" s="5" t="s">
        <v>6575</v>
      </c>
      <c r="E1362" s="5" t="s">
        <v>24145</v>
      </c>
      <c r="G1362" s="5">
        <v>3006237979</v>
      </c>
    </row>
    <row r="1363" spans="1:9" ht="12.5">
      <c r="A1363" s="5">
        <v>1143162431</v>
      </c>
      <c r="B1363" s="5" t="s">
        <v>23706</v>
      </c>
      <c r="C1363" s="5" t="s">
        <v>968</v>
      </c>
      <c r="E1363" s="5" t="s">
        <v>1855</v>
      </c>
      <c r="G1363" s="5">
        <v>3016380968</v>
      </c>
      <c r="I1363" s="5" t="s">
        <v>24146</v>
      </c>
    </row>
    <row r="1364" spans="1:9" ht="12.5">
      <c r="A1364" s="5">
        <v>1140874138</v>
      </c>
      <c r="B1364" s="5" t="s">
        <v>23706</v>
      </c>
      <c r="C1364" s="5" t="s">
        <v>24147</v>
      </c>
      <c r="E1364" s="5" t="s">
        <v>6580</v>
      </c>
      <c r="G1364" s="5">
        <v>3232844922</v>
      </c>
    </row>
    <row r="1365" spans="1:9" ht="12.5">
      <c r="A1365" s="5">
        <v>1064842277</v>
      </c>
      <c r="B1365" s="5" t="s">
        <v>23706</v>
      </c>
      <c r="C1365" s="5" t="s">
        <v>1304</v>
      </c>
      <c r="E1365" s="5" t="s">
        <v>404</v>
      </c>
      <c r="G1365" s="5" t="s">
        <v>6585</v>
      </c>
    </row>
    <row r="1366" spans="1:9" ht="12.5">
      <c r="A1366" s="5">
        <v>1002136743</v>
      </c>
      <c r="B1366" s="5" t="s">
        <v>23706</v>
      </c>
      <c r="C1366" s="5" t="s">
        <v>6591</v>
      </c>
      <c r="E1366" s="5" t="s">
        <v>1683</v>
      </c>
      <c r="G1366" s="5">
        <v>393518417532</v>
      </c>
    </row>
    <row r="1367" spans="1:9" ht="12.5">
      <c r="A1367" s="5">
        <v>1143456366</v>
      </c>
      <c r="B1367" s="5" t="s">
        <v>23706</v>
      </c>
      <c r="C1367" s="5" t="s">
        <v>6609</v>
      </c>
      <c r="E1367" s="5" t="s">
        <v>6610</v>
      </c>
      <c r="G1367" s="5">
        <v>3008396748</v>
      </c>
    </row>
    <row r="1368" spans="1:9" ht="12.5">
      <c r="A1368" s="5">
        <v>10218661</v>
      </c>
      <c r="B1368" s="5" t="s">
        <v>23706</v>
      </c>
      <c r="C1368" s="5" t="s">
        <v>24148</v>
      </c>
      <c r="E1368" s="5" t="s">
        <v>6598</v>
      </c>
      <c r="G1368" s="5">
        <v>3148213832</v>
      </c>
    </row>
    <row r="1369" spans="1:9" ht="12.5">
      <c r="A1369" s="5">
        <v>1234095399</v>
      </c>
      <c r="B1369" s="5" t="s">
        <v>23706</v>
      </c>
      <c r="C1369" s="5" t="s">
        <v>6616</v>
      </c>
      <c r="E1369" s="5" t="s">
        <v>24149</v>
      </c>
      <c r="G1369" s="5">
        <v>3022132088</v>
      </c>
    </row>
    <row r="1370" spans="1:9" ht="12.5">
      <c r="A1370" s="5">
        <v>1010076902</v>
      </c>
      <c r="B1370" s="5" t="s">
        <v>23706</v>
      </c>
      <c r="C1370" s="5" t="s">
        <v>6603</v>
      </c>
      <c r="E1370" s="5" t="s">
        <v>6604</v>
      </c>
      <c r="G1370" s="5">
        <v>3137458850</v>
      </c>
      <c r="I1370" s="5" t="s">
        <v>24150</v>
      </c>
    </row>
    <row r="1371" spans="1:9" ht="12.5">
      <c r="A1371" s="5">
        <v>1002209627</v>
      </c>
      <c r="B1371" s="5" t="s">
        <v>23706</v>
      </c>
      <c r="C1371" s="5" t="s">
        <v>158</v>
      </c>
      <c r="E1371" s="5" t="s">
        <v>6201</v>
      </c>
      <c r="G1371" s="5">
        <v>3004520064</v>
      </c>
    </row>
    <row r="1372" spans="1:9" ht="12.5">
      <c r="A1372" s="5">
        <v>72311041</v>
      </c>
      <c r="B1372" s="5" t="s">
        <v>23706</v>
      </c>
      <c r="C1372" s="5" t="s">
        <v>5182</v>
      </c>
      <c r="E1372" s="5" t="s">
        <v>6635</v>
      </c>
      <c r="G1372" s="5">
        <v>3004079805</v>
      </c>
    </row>
    <row r="1373" spans="1:9" ht="12.5">
      <c r="A1373" s="5">
        <v>1046701410</v>
      </c>
      <c r="B1373" s="5" t="s">
        <v>23706</v>
      </c>
      <c r="C1373" s="5" t="s">
        <v>24151</v>
      </c>
      <c r="E1373" s="5" t="s">
        <v>24152</v>
      </c>
      <c r="G1373" s="5">
        <v>3003289100</v>
      </c>
    </row>
    <row r="1374" spans="1:9" ht="12.5">
      <c r="A1374" s="5">
        <v>1053006509</v>
      </c>
      <c r="B1374" s="5" t="s">
        <v>23706</v>
      </c>
      <c r="C1374" s="5" t="s">
        <v>311</v>
      </c>
      <c r="E1374" s="5" t="s">
        <v>24023</v>
      </c>
      <c r="G1374" s="5">
        <v>3150669065</v>
      </c>
      <c r="I1374" s="5" t="s">
        <v>24153</v>
      </c>
    </row>
    <row r="1375" spans="1:9" ht="12.5">
      <c r="A1375" s="5">
        <v>2420237323</v>
      </c>
      <c r="B1375" s="5" t="s">
        <v>23706</v>
      </c>
      <c r="C1375" s="5" t="s">
        <v>6639</v>
      </c>
      <c r="E1375" s="5" t="s">
        <v>2699</v>
      </c>
      <c r="G1375" s="5">
        <v>0</v>
      </c>
    </row>
    <row r="1376" spans="1:9" ht="12.5">
      <c r="A1376" s="5">
        <v>11851590</v>
      </c>
      <c r="B1376" s="5" t="s">
        <v>23706</v>
      </c>
      <c r="C1376" s="5" t="s">
        <v>968</v>
      </c>
      <c r="E1376" s="5" t="s">
        <v>6642</v>
      </c>
      <c r="G1376" s="5">
        <v>11111</v>
      </c>
    </row>
    <row r="1377" spans="1:9" ht="12.5">
      <c r="A1377" s="5">
        <v>1088327752</v>
      </c>
      <c r="B1377" s="5" t="s">
        <v>23706</v>
      </c>
      <c r="C1377" s="5" t="s">
        <v>595</v>
      </c>
      <c r="E1377" s="5" t="s">
        <v>24154</v>
      </c>
      <c r="G1377" s="5">
        <v>3002805372</v>
      </c>
    </row>
    <row r="1378" spans="1:9" ht="12.5">
      <c r="A1378" s="5">
        <v>22423671</v>
      </c>
      <c r="B1378" s="5" t="s">
        <v>23706</v>
      </c>
      <c r="C1378" s="5" t="s">
        <v>12230</v>
      </c>
      <c r="E1378" s="5"/>
      <c r="G1378" s="5">
        <v>3218046491</v>
      </c>
    </row>
    <row r="1379" spans="1:9" ht="12.5">
      <c r="A1379" s="5">
        <v>1140888822</v>
      </c>
      <c r="B1379" s="5" t="s">
        <v>23706</v>
      </c>
      <c r="C1379" s="5" t="s">
        <v>3075</v>
      </c>
      <c r="E1379" s="5" t="s">
        <v>4323</v>
      </c>
      <c r="G1379" s="5">
        <v>3006906441</v>
      </c>
    </row>
    <row r="1380" spans="1:9" ht="12.5">
      <c r="A1380" s="5">
        <v>1234091764</v>
      </c>
      <c r="B1380" s="5" t="s">
        <v>23706</v>
      </c>
      <c r="C1380" s="5" t="s">
        <v>1973</v>
      </c>
      <c r="E1380" s="5" t="s">
        <v>6667</v>
      </c>
      <c r="G1380" s="5">
        <v>3212304332</v>
      </c>
      <c r="I1380" s="5" t="s">
        <v>24155</v>
      </c>
    </row>
    <row r="1381" spans="1:9" ht="12.5">
      <c r="A1381" s="5">
        <v>1020820445</v>
      </c>
      <c r="B1381" s="5" t="s">
        <v>23706</v>
      </c>
      <c r="C1381" s="5" t="s">
        <v>338</v>
      </c>
      <c r="E1381" s="5" t="s">
        <v>6673</v>
      </c>
      <c r="G1381" s="5">
        <v>3143649035</v>
      </c>
    </row>
    <row r="1382" spans="1:9" ht="12.5">
      <c r="A1382" s="5">
        <v>1193228261</v>
      </c>
      <c r="B1382" s="5" t="s">
        <v>23706</v>
      </c>
      <c r="C1382" s="5" t="s">
        <v>1038</v>
      </c>
      <c r="E1382" s="5" t="s">
        <v>24156</v>
      </c>
      <c r="G1382" s="5">
        <v>3042717531</v>
      </c>
    </row>
    <row r="1383" spans="1:9" ht="12.5">
      <c r="A1383" s="5">
        <v>1083048017</v>
      </c>
      <c r="B1383" s="5" t="s">
        <v>23706</v>
      </c>
      <c r="C1383" s="5" t="s">
        <v>24157</v>
      </c>
      <c r="E1383" s="5" t="s">
        <v>4054</v>
      </c>
      <c r="G1383" s="5">
        <v>3234404745</v>
      </c>
      <c r="I1383" s="5" t="s">
        <v>24158</v>
      </c>
    </row>
    <row r="1384" spans="1:9" ht="12.5">
      <c r="A1384" s="5">
        <v>1001998619</v>
      </c>
      <c r="B1384" s="5" t="s">
        <v>23706</v>
      </c>
      <c r="C1384" s="5" t="s">
        <v>7113</v>
      </c>
      <c r="E1384" s="5" t="s">
        <v>6684</v>
      </c>
      <c r="G1384" s="5">
        <v>3004473832</v>
      </c>
    </row>
    <row r="1385" spans="1:9" ht="12.5">
      <c r="A1385" s="5">
        <v>1044610480</v>
      </c>
      <c r="B1385" s="5" t="s">
        <v>23706</v>
      </c>
      <c r="C1385" s="5" t="s">
        <v>297</v>
      </c>
      <c r="E1385" s="5" t="s">
        <v>4625</v>
      </c>
      <c r="G1385" s="5">
        <v>3024496529</v>
      </c>
    </row>
    <row r="1386" spans="1:9" ht="12.5">
      <c r="A1386" s="5">
        <v>1010013476</v>
      </c>
      <c r="B1386" s="5" t="s">
        <v>23706</v>
      </c>
      <c r="C1386" s="5" t="s">
        <v>6696</v>
      </c>
      <c r="E1386" s="5" t="s">
        <v>6697</v>
      </c>
      <c r="G1386" s="5">
        <v>3104712536</v>
      </c>
    </row>
    <row r="1387" spans="1:9" ht="12.5">
      <c r="A1387" s="5">
        <v>1127913645</v>
      </c>
      <c r="B1387" s="5" t="s">
        <v>23706</v>
      </c>
      <c r="C1387" s="5" t="s">
        <v>6702</v>
      </c>
      <c r="E1387" s="5" t="s">
        <v>6703</v>
      </c>
      <c r="G1387" s="5">
        <v>3162121020</v>
      </c>
      <c r="I1387" s="5" t="s">
        <v>24159</v>
      </c>
    </row>
    <row r="1388" spans="1:9" ht="12.5">
      <c r="A1388" s="5">
        <v>1001854962</v>
      </c>
      <c r="B1388" s="5" t="s">
        <v>23706</v>
      </c>
      <c r="C1388" s="5" t="s">
        <v>158</v>
      </c>
      <c r="E1388" s="5" t="s">
        <v>6711</v>
      </c>
      <c r="G1388" s="5">
        <v>3015406760</v>
      </c>
    </row>
    <row r="1389" spans="1:9" ht="12.5">
      <c r="A1389" s="5">
        <v>22463875</v>
      </c>
      <c r="B1389" s="5" t="s">
        <v>23706</v>
      </c>
      <c r="C1389" s="5" t="s">
        <v>1959</v>
      </c>
      <c r="E1389" s="5" t="s">
        <v>2341</v>
      </c>
      <c r="G1389" s="5">
        <v>3006254255</v>
      </c>
      <c r="I1389" s="5" t="s">
        <v>24160</v>
      </c>
    </row>
    <row r="1390" spans="1:9" ht="12.5">
      <c r="A1390" s="5">
        <v>22733029</v>
      </c>
      <c r="B1390" s="5" t="s">
        <v>23706</v>
      </c>
      <c r="C1390" s="5" t="s">
        <v>6722</v>
      </c>
      <c r="E1390" s="5" t="s">
        <v>561</v>
      </c>
      <c r="G1390" s="5">
        <v>3003476056</v>
      </c>
    </row>
    <row r="1391" spans="1:9" ht="12.5">
      <c r="A1391" s="5">
        <v>1127792233</v>
      </c>
      <c r="B1391" s="5" t="s">
        <v>23706</v>
      </c>
      <c r="C1391" s="5" t="s">
        <v>158</v>
      </c>
      <c r="E1391" s="5" t="s">
        <v>24161</v>
      </c>
      <c r="G1391" s="5">
        <v>3057058660</v>
      </c>
    </row>
    <row r="1392" spans="1:9" ht="12.5">
      <c r="A1392" s="5">
        <v>1043121569</v>
      </c>
      <c r="B1392" s="5" t="s">
        <v>23706</v>
      </c>
      <c r="C1392" s="5" t="s">
        <v>24162</v>
      </c>
      <c r="E1392" s="5" t="s">
        <v>4346</v>
      </c>
      <c r="G1392" s="5">
        <v>3004593474</v>
      </c>
      <c r="I1392" s="5" t="s">
        <v>24163</v>
      </c>
    </row>
    <row r="1393" spans="1:9" ht="12.5">
      <c r="A1393" s="5">
        <v>1043004949</v>
      </c>
      <c r="B1393" s="5" t="s">
        <v>23706</v>
      </c>
      <c r="C1393" s="5" t="s">
        <v>14405</v>
      </c>
      <c r="E1393" s="5"/>
      <c r="G1393" s="5">
        <v>301413587883</v>
      </c>
      <c r="I1393" s="5" t="s">
        <v>24164</v>
      </c>
    </row>
    <row r="1394" spans="1:9" ht="12.5">
      <c r="A1394" s="5">
        <v>1129569559</v>
      </c>
      <c r="B1394" s="5" t="s">
        <v>23706</v>
      </c>
      <c r="C1394" s="5" t="s">
        <v>6729</v>
      </c>
      <c r="E1394" s="5" t="s">
        <v>6730</v>
      </c>
      <c r="G1394" s="5">
        <v>3003862231</v>
      </c>
    </row>
    <row r="1395" spans="1:9" ht="12.5">
      <c r="A1395" s="5">
        <v>9011335286</v>
      </c>
      <c r="B1395" s="5" t="s">
        <v>23782</v>
      </c>
      <c r="C1395" s="5" t="s">
        <v>6738</v>
      </c>
      <c r="E1395" s="5" t="s">
        <v>2159</v>
      </c>
      <c r="G1395" s="5">
        <v>3228890463</v>
      </c>
      <c r="I1395" s="5" t="s">
        <v>24165</v>
      </c>
    </row>
    <row r="1396" spans="1:9" ht="12.5">
      <c r="A1396" s="5">
        <v>1140858922</v>
      </c>
      <c r="B1396" s="5" t="s">
        <v>23706</v>
      </c>
      <c r="C1396" s="5" t="s">
        <v>1114</v>
      </c>
      <c r="E1396" s="5" t="s">
        <v>2890</v>
      </c>
      <c r="G1396" s="5">
        <v>3184154455</v>
      </c>
      <c r="I1396" s="5" t="s">
        <v>24166</v>
      </c>
    </row>
    <row r="1397" spans="1:9" ht="12.5">
      <c r="A1397" s="5">
        <v>80133471</v>
      </c>
      <c r="B1397" s="5" t="s">
        <v>23706</v>
      </c>
      <c r="C1397" s="5" t="s">
        <v>85</v>
      </c>
      <c r="E1397" s="5" t="s">
        <v>24167</v>
      </c>
      <c r="G1397" s="5">
        <v>3132215469</v>
      </c>
      <c r="I1397" s="5" t="s">
        <v>24168</v>
      </c>
    </row>
    <row r="1398" spans="1:9" ht="12.5">
      <c r="A1398" s="5">
        <v>1124034063</v>
      </c>
      <c r="B1398" s="5" t="s">
        <v>23706</v>
      </c>
      <c r="C1398" s="5" t="s">
        <v>3450</v>
      </c>
      <c r="E1398" s="5" t="s">
        <v>6751</v>
      </c>
      <c r="G1398" s="5">
        <v>3215063580</v>
      </c>
    </row>
    <row r="1399" spans="1:9" ht="12.5">
      <c r="A1399" s="5">
        <v>22368091</v>
      </c>
      <c r="B1399" s="5" t="s">
        <v>23706</v>
      </c>
      <c r="C1399" s="5" t="s">
        <v>3544</v>
      </c>
      <c r="E1399" s="5" t="s">
        <v>6747</v>
      </c>
      <c r="G1399" s="5">
        <v>3008305726</v>
      </c>
    </row>
    <row r="1400" spans="1:9" ht="12.5">
      <c r="A1400" s="5">
        <v>1079933713</v>
      </c>
      <c r="B1400" s="5" t="s">
        <v>23706</v>
      </c>
      <c r="C1400" s="5" t="s">
        <v>1555</v>
      </c>
      <c r="E1400" s="5" t="s">
        <v>2642</v>
      </c>
      <c r="G1400" s="5">
        <v>3117099721</v>
      </c>
      <c r="I1400" s="5" t="s">
        <v>24169</v>
      </c>
    </row>
    <row r="1401" spans="1:9" ht="12.5">
      <c r="A1401" s="5">
        <v>1140850363</v>
      </c>
      <c r="B1401" s="5" t="s">
        <v>23706</v>
      </c>
      <c r="C1401" s="5" t="s">
        <v>1773</v>
      </c>
      <c r="E1401" s="5" t="s">
        <v>1752</v>
      </c>
      <c r="G1401" s="5">
        <v>3188267302</v>
      </c>
    </row>
    <row r="1402" spans="1:9" ht="12.5">
      <c r="A1402" s="5">
        <v>1140856033</v>
      </c>
      <c r="B1402" s="5" t="s">
        <v>23706</v>
      </c>
      <c r="C1402" s="5" t="s">
        <v>5051</v>
      </c>
      <c r="E1402" s="5" t="s">
        <v>236</v>
      </c>
      <c r="G1402" s="5">
        <v>3002739717</v>
      </c>
    </row>
    <row r="1403" spans="1:9" ht="12.5">
      <c r="A1403" s="5">
        <v>1044423593</v>
      </c>
      <c r="B1403" s="5" t="s">
        <v>23706</v>
      </c>
      <c r="C1403" s="5" t="s">
        <v>10412</v>
      </c>
      <c r="E1403" s="5" t="s">
        <v>6885</v>
      </c>
      <c r="G1403" s="5">
        <v>3105095725</v>
      </c>
    </row>
    <row r="1404" spans="1:9" ht="12.5">
      <c r="A1404" s="5">
        <v>1140841267</v>
      </c>
      <c r="B1404" s="5" t="s">
        <v>23706</v>
      </c>
      <c r="C1404" s="5" t="s">
        <v>6771</v>
      </c>
      <c r="E1404" s="5" t="s">
        <v>24170</v>
      </c>
      <c r="G1404" s="5">
        <v>3187169314</v>
      </c>
      <c r="I1404" s="5" t="s">
        <v>24171</v>
      </c>
    </row>
    <row r="1405" spans="1:9" ht="12.5">
      <c r="A1405" s="5">
        <v>1084451299</v>
      </c>
      <c r="B1405" s="5" t="s">
        <v>23706</v>
      </c>
      <c r="C1405" s="5" t="s">
        <v>6790</v>
      </c>
      <c r="E1405" s="5" t="s">
        <v>4323</v>
      </c>
      <c r="G1405" s="5">
        <v>3002040326</v>
      </c>
    </row>
    <row r="1406" spans="1:9" ht="12.5">
      <c r="A1406" s="5">
        <v>1127244674</v>
      </c>
      <c r="B1406" s="5" t="s">
        <v>23706</v>
      </c>
      <c r="C1406" s="5" t="s">
        <v>6785</v>
      </c>
      <c r="E1406" s="5" t="s">
        <v>6786</v>
      </c>
      <c r="G1406" s="5">
        <v>3144650611</v>
      </c>
    </row>
    <row r="1407" spans="1:9" ht="12.5">
      <c r="A1407" s="5">
        <v>80503496</v>
      </c>
      <c r="B1407" s="5" t="s">
        <v>23706</v>
      </c>
      <c r="C1407" s="5" t="s">
        <v>6792</v>
      </c>
      <c r="E1407" s="5" t="s">
        <v>7325</v>
      </c>
      <c r="G1407" s="5">
        <v>17864269698</v>
      </c>
    </row>
    <row r="1408" spans="1:9" ht="12.5">
      <c r="A1408" s="5">
        <v>1140859581</v>
      </c>
      <c r="B1408" s="5" t="s">
        <v>23706</v>
      </c>
      <c r="C1408" s="5" t="s">
        <v>6476</v>
      </c>
      <c r="E1408" s="5" t="s">
        <v>6389</v>
      </c>
      <c r="G1408" s="5">
        <v>3600187</v>
      </c>
    </row>
    <row r="1409" spans="1:9" ht="12.5">
      <c r="A1409" s="5">
        <v>1082876977</v>
      </c>
      <c r="B1409" s="5" t="s">
        <v>23706</v>
      </c>
      <c r="C1409" s="5" t="s">
        <v>6867</v>
      </c>
      <c r="E1409" s="5" t="s">
        <v>4526</v>
      </c>
      <c r="G1409" s="5">
        <v>3057525677</v>
      </c>
      <c r="I1409" s="5" t="s">
        <v>24172</v>
      </c>
    </row>
    <row r="1410" spans="1:9" ht="12.5">
      <c r="A1410" s="5">
        <v>1042455093</v>
      </c>
      <c r="B1410" s="5" t="s">
        <v>23706</v>
      </c>
      <c r="C1410" s="5" t="s">
        <v>8568</v>
      </c>
      <c r="E1410" s="5" t="s">
        <v>6800</v>
      </c>
      <c r="G1410" s="5">
        <v>3228844381</v>
      </c>
      <c r="I1410" s="5" t="s">
        <v>24173</v>
      </c>
    </row>
    <row r="1411" spans="1:9" ht="12.5">
      <c r="A1411" s="5">
        <v>1140882525</v>
      </c>
      <c r="B1411" s="5" t="s">
        <v>23706</v>
      </c>
      <c r="C1411" s="5" t="s">
        <v>24174</v>
      </c>
      <c r="E1411" s="5" t="s">
        <v>24175</v>
      </c>
      <c r="G1411" s="5">
        <v>3013383487</v>
      </c>
      <c r="I1411" s="5" t="s">
        <v>24176</v>
      </c>
    </row>
    <row r="1412" spans="1:9" ht="12.5">
      <c r="A1412" s="5">
        <v>53124125</v>
      </c>
      <c r="B1412" s="5" t="s">
        <v>23706</v>
      </c>
      <c r="C1412" s="5" t="s">
        <v>24177</v>
      </c>
      <c r="E1412" s="5" t="s">
        <v>6806</v>
      </c>
      <c r="G1412" s="5">
        <v>0</v>
      </c>
    </row>
    <row r="1413" spans="1:9" ht="12.5">
      <c r="A1413" s="5">
        <v>1007615881</v>
      </c>
      <c r="B1413" s="5" t="s">
        <v>23706</v>
      </c>
      <c r="C1413" s="5" t="s">
        <v>24178</v>
      </c>
      <c r="E1413" s="5" t="s">
        <v>8240</v>
      </c>
      <c r="G1413" s="5">
        <v>3137182283</v>
      </c>
    </row>
    <row r="1414" spans="1:9" ht="12.5">
      <c r="A1414" s="5">
        <v>1118824007</v>
      </c>
      <c r="B1414" s="5" t="s">
        <v>23706</v>
      </c>
      <c r="C1414" s="5" t="s">
        <v>6809</v>
      </c>
      <c r="E1414" s="5" t="s">
        <v>6810</v>
      </c>
      <c r="G1414" s="5">
        <v>3007139209</v>
      </c>
      <c r="I1414" s="5" t="s">
        <v>24179</v>
      </c>
    </row>
    <row r="1415" spans="1:9" ht="12.5">
      <c r="A1415" s="5">
        <v>1128056337</v>
      </c>
      <c r="B1415" s="5" t="s">
        <v>23706</v>
      </c>
      <c r="C1415" s="5" t="s">
        <v>24180</v>
      </c>
      <c r="E1415" s="5" t="s">
        <v>6815</v>
      </c>
      <c r="G1415" s="5">
        <v>3003958306</v>
      </c>
    </row>
    <row r="1416" spans="1:9" ht="12.5">
      <c r="A1416" s="5">
        <v>1001997037</v>
      </c>
      <c r="B1416" s="5" t="s">
        <v>23706</v>
      </c>
      <c r="C1416" s="5" t="s">
        <v>6834</v>
      </c>
      <c r="E1416" s="5" t="s">
        <v>455</v>
      </c>
      <c r="G1416" s="5">
        <v>13057938232</v>
      </c>
    </row>
    <row r="1417" spans="1:9" ht="12.5">
      <c r="A1417" s="5">
        <v>1143160074</v>
      </c>
      <c r="B1417" s="5" t="s">
        <v>23706</v>
      </c>
      <c r="C1417" s="5" t="s">
        <v>13937</v>
      </c>
      <c r="E1417" s="5"/>
      <c r="G1417" s="5">
        <v>320940951551</v>
      </c>
      <c r="I1417" s="5" t="s">
        <v>24181</v>
      </c>
    </row>
    <row r="1418" spans="1:9" ht="12.5">
      <c r="A1418" s="5">
        <v>1007353560</v>
      </c>
      <c r="B1418" s="5" t="s">
        <v>23706</v>
      </c>
      <c r="C1418" s="5" t="s">
        <v>825</v>
      </c>
      <c r="E1418" s="5" t="s">
        <v>6836</v>
      </c>
      <c r="G1418" s="5">
        <v>3012548335</v>
      </c>
      <c r="I1418" s="5" t="s">
        <v>24182</v>
      </c>
    </row>
    <row r="1419" spans="1:9" ht="12.5">
      <c r="A1419" s="5">
        <v>1002033831</v>
      </c>
      <c r="B1419" s="5" t="s">
        <v>23706</v>
      </c>
      <c r="C1419" s="5" t="s">
        <v>6846</v>
      </c>
      <c r="E1419" s="5" t="s">
        <v>6847</v>
      </c>
      <c r="G1419" s="5">
        <v>3054397088</v>
      </c>
    </row>
    <row r="1420" spans="1:9" ht="12.5">
      <c r="A1420" s="5">
        <v>901624240</v>
      </c>
      <c r="B1420" s="5" t="s">
        <v>23782</v>
      </c>
      <c r="C1420" s="5" t="s">
        <v>6850</v>
      </c>
      <c r="E1420" s="5" t="s">
        <v>6851</v>
      </c>
      <c r="G1420" s="5">
        <v>3151760837</v>
      </c>
    </row>
    <row r="1421" spans="1:9" ht="12.5">
      <c r="A1421" s="5">
        <v>114088460</v>
      </c>
      <c r="B1421" s="5" t="s">
        <v>23706</v>
      </c>
      <c r="C1421" s="5" t="s">
        <v>297</v>
      </c>
      <c r="E1421" s="5" t="s">
        <v>1628</v>
      </c>
      <c r="G1421" s="5">
        <v>34675382414</v>
      </c>
    </row>
    <row r="1422" spans="1:9" ht="12.5">
      <c r="A1422" s="5">
        <v>1002133439</v>
      </c>
      <c r="B1422" s="5" t="s">
        <v>23706</v>
      </c>
      <c r="C1422" s="5" t="s">
        <v>6864</v>
      </c>
      <c r="E1422" s="5" t="s">
        <v>3616</v>
      </c>
      <c r="G1422" s="5">
        <v>3005594993</v>
      </c>
    </row>
    <row r="1423" spans="1:9" ht="12.5">
      <c r="A1423" s="5">
        <v>1143459348</v>
      </c>
      <c r="B1423" s="5" t="s">
        <v>23706</v>
      </c>
      <c r="C1423" s="5" t="s">
        <v>24183</v>
      </c>
      <c r="E1423" s="5" t="s">
        <v>24184</v>
      </c>
      <c r="G1423" s="5">
        <v>3015720761</v>
      </c>
      <c r="I1423" s="5" t="s">
        <v>24185</v>
      </c>
    </row>
    <row r="1424" spans="1:9" ht="12.5">
      <c r="A1424" s="5">
        <v>1001817657</v>
      </c>
      <c r="B1424" s="5" t="s">
        <v>23706</v>
      </c>
      <c r="C1424" s="5" t="s">
        <v>318</v>
      </c>
      <c r="E1424" s="5" t="s">
        <v>6878</v>
      </c>
      <c r="G1424" s="5">
        <v>3114317772</v>
      </c>
      <c r="I1424" s="5" t="s">
        <v>24186</v>
      </c>
    </row>
    <row r="1425" spans="1:9" ht="12.5">
      <c r="A1425" s="5">
        <v>1193200909</v>
      </c>
      <c r="B1425" s="5" t="s">
        <v>23706</v>
      </c>
      <c r="C1425" s="5" t="s">
        <v>6891</v>
      </c>
      <c r="E1425" s="5" t="s">
        <v>399</v>
      </c>
      <c r="G1425" s="5">
        <v>3205937079</v>
      </c>
    </row>
    <row r="1426" spans="1:9" ht="12.5">
      <c r="A1426" s="5">
        <v>63530515</v>
      </c>
      <c r="B1426" s="5" t="s">
        <v>23706</v>
      </c>
      <c r="C1426" s="5" t="s">
        <v>10209</v>
      </c>
      <c r="E1426" s="5" t="s">
        <v>6885</v>
      </c>
      <c r="G1426" s="5">
        <v>3017457818</v>
      </c>
    </row>
    <row r="1427" spans="1:9" ht="12.5">
      <c r="A1427" s="5">
        <v>1048222781</v>
      </c>
      <c r="B1427" s="5" t="s">
        <v>23706</v>
      </c>
      <c r="C1427" s="5" t="s">
        <v>1376</v>
      </c>
      <c r="E1427" s="5" t="s">
        <v>6896</v>
      </c>
      <c r="G1427" s="5">
        <v>83257758</v>
      </c>
      <c r="I1427" s="5" t="s">
        <v>24187</v>
      </c>
    </row>
    <row r="1428" spans="1:9" ht="12.5">
      <c r="A1428" s="5">
        <v>1140885036</v>
      </c>
      <c r="B1428" s="5" t="s">
        <v>23706</v>
      </c>
      <c r="C1428" s="5" t="s">
        <v>24188</v>
      </c>
      <c r="E1428" s="5" t="s">
        <v>24189</v>
      </c>
      <c r="G1428" s="5">
        <v>3155204525</v>
      </c>
    </row>
    <row r="1429" spans="1:9" ht="12.5">
      <c r="A1429" s="5">
        <v>1140876116</v>
      </c>
      <c r="B1429" s="5" t="s">
        <v>23706</v>
      </c>
      <c r="C1429" s="5" t="s">
        <v>6908</v>
      </c>
      <c r="E1429" s="5" t="s">
        <v>6909</v>
      </c>
      <c r="G1429" s="5">
        <v>3102238676</v>
      </c>
      <c r="I1429" s="5" t="s">
        <v>24190</v>
      </c>
    </row>
    <row r="1430" spans="1:9" ht="12.5">
      <c r="A1430" s="5">
        <v>1140872987</v>
      </c>
      <c r="B1430" s="5" t="s">
        <v>23706</v>
      </c>
      <c r="C1430" s="5" t="s">
        <v>6914</v>
      </c>
      <c r="E1430" s="5" t="s">
        <v>6915</v>
      </c>
      <c r="G1430" s="5">
        <v>3218387622</v>
      </c>
    </row>
    <row r="1431" spans="1:9" ht="12.5">
      <c r="A1431" s="5">
        <v>1129575335</v>
      </c>
      <c r="B1431" s="5" t="s">
        <v>23706</v>
      </c>
      <c r="C1431" s="5" t="s">
        <v>6929</v>
      </c>
      <c r="E1431" s="5" t="s">
        <v>6930</v>
      </c>
      <c r="G1431" s="5">
        <v>3012943870</v>
      </c>
      <c r="I1431" s="5" t="s">
        <v>24191</v>
      </c>
    </row>
    <row r="1432" spans="1:9" ht="12.5">
      <c r="A1432" s="5">
        <v>19120779</v>
      </c>
      <c r="B1432" s="5" t="s">
        <v>23706</v>
      </c>
      <c r="C1432" s="5" t="s">
        <v>6920</v>
      </c>
      <c r="E1432" s="5" t="s">
        <v>24192</v>
      </c>
      <c r="G1432" s="5">
        <v>3153083288</v>
      </c>
    </row>
    <row r="1433" spans="1:9" ht="12.5">
      <c r="A1433" s="5">
        <v>22675223</v>
      </c>
      <c r="B1433" s="5" t="s">
        <v>23706</v>
      </c>
      <c r="C1433" s="5" t="s">
        <v>6926</v>
      </c>
      <c r="E1433" s="5" t="s">
        <v>6927</v>
      </c>
      <c r="G1433" s="5">
        <v>3127908264</v>
      </c>
    </row>
    <row r="1434" spans="1:9" ht="12.5">
      <c r="A1434" s="5">
        <v>1234089508</v>
      </c>
      <c r="B1434" s="5" t="s">
        <v>23706</v>
      </c>
      <c r="C1434" s="5" t="s">
        <v>1588</v>
      </c>
      <c r="E1434" s="5" t="s">
        <v>6935</v>
      </c>
      <c r="G1434" s="5">
        <v>3015418841</v>
      </c>
    </row>
    <row r="1435" spans="1:9" ht="12.5">
      <c r="A1435" s="5">
        <v>1140887536</v>
      </c>
      <c r="B1435" s="5" t="s">
        <v>23706</v>
      </c>
      <c r="C1435" s="5" t="s">
        <v>1779</v>
      </c>
      <c r="E1435" s="5" t="s">
        <v>6940</v>
      </c>
      <c r="G1435" s="5">
        <v>3233994044</v>
      </c>
    </row>
    <row r="1436" spans="1:9" ht="12.5">
      <c r="A1436" s="5">
        <v>1140864273</v>
      </c>
      <c r="B1436" s="5" t="s">
        <v>23706</v>
      </c>
      <c r="C1436" s="5" t="s">
        <v>2466</v>
      </c>
      <c r="E1436" s="5" t="s">
        <v>3641</v>
      </c>
      <c r="G1436" s="5">
        <v>3004873611</v>
      </c>
    </row>
    <row r="1437" spans="1:9" ht="12.5">
      <c r="A1437" s="5">
        <v>19248918</v>
      </c>
      <c r="B1437" s="5" t="s">
        <v>23706</v>
      </c>
      <c r="C1437" s="5" t="s">
        <v>1200</v>
      </c>
      <c r="E1437" s="5" t="s">
        <v>6951</v>
      </c>
      <c r="G1437" s="5">
        <v>3004663960</v>
      </c>
    </row>
    <row r="1438" spans="1:9" ht="12.5">
      <c r="A1438" s="5">
        <v>1045695157</v>
      </c>
      <c r="B1438" s="5" t="s">
        <v>23706</v>
      </c>
      <c r="C1438" s="5" t="s">
        <v>532</v>
      </c>
      <c r="E1438" s="5" t="s">
        <v>6940</v>
      </c>
      <c r="G1438" s="5">
        <v>3004404722</v>
      </c>
      <c r="I1438" s="5" t="s">
        <v>24193</v>
      </c>
    </row>
    <row r="1439" spans="1:9" ht="12.5">
      <c r="A1439" s="5">
        <v>1071428437</v>
      </c>
      <c r="B1439" s="5" t="s">
        <v>23706</v>
      </c>
      <c r="C1439" s="5" t="s">
        <v>6967</v>
      </c>
      <c r="E1439" s="5" t="s">
        <v>24194</v>
      </c>
      <c r="G1439" s="5">
        <v>3128933100</v>
      </c>
    </row>
    <row r="1440" spans="1:9" ht="12.5">
      <c r="A1440" s="5">
        <v>31436452</v>
      </c>
      <c r="B1440" s="5" t="s">
        <v>23706</v>
      </c>
      <c r="C1440" s="5" t="s">
        <v>6975</v>
      </c>
      <c r="E1440" s="5" t="s">
        <v>6976</v>
      </c>
      <c r="G1440" s="5">
        <v>3505575430</v>
      </c>
    </row>
    <row r="1441" spans="1:9" ht="12.5">
      <c r="A1441" s="5">
        <v>9017391626</v>
      </c>
      <c r="B1441" s="5" t="s">
        <v>23782</v>
      </c>
      <c r="C1441" s="5" t="s">
        <v>6978</v>
      </c>
      <c r="E1441" s="5" t="s">
        <v>6979</v>
      </c>
      <c r="G1441" s="5">
        <v>3003526130</v>
      </c>
      <c r="I1441" s="5" t="s">
        <v>24195</v>
      </c>
    </row>
    <row r="1442" spans="1:9" ht="12.5">
      <c r="A1442" s="5">
        <v>1043871758</v>
      </c>
      <c r="B1442" s="5" t="s">
        <v>23706</v>
      </c>
      <c r="C1442" s="5" t="s">
        <v>703</v>
      </c>
      <c r="E1442" s="5" t="s">
        <v>6885</v>
      </c>
      <c r="G1442" s="5">
        <v>3116303372</v>
      </c>
    </row>
    <row r="1443" spans="1:9" ht="12.5">
      <c r="A1443" s="5">
        <v>1129576839</v>
      </c>
      <c r="B1443" s="5" t="s">
        <v>23706</v>
      </c>
      <c r="C1443" s="5" t="s">
        <v>6991</v>
      </c>
      <c r="E1443" s="5" t="s">
        <v>6992</v>
      </c>
      <c r="G1443" s="5">
        <v>3005507682</v>
      </c>
      <c r="I1443" s="5" t="s">
        <v>24196</v>
      </c>
    </row>
    <row r="1444" spans="1:9" ht="12.5">
      <c r="A1444" s="5">
        <v>1044395121</v>
      </c>
      <c r="B1444" s="5" t="s">
        <v>23706</v>
      </c>
      <c r="C1444" s="5" t="s">
        <v>4102</v>
      </c>
      <c r="E1444" s="5" t="s">
        <v>6986</v>
      </c>
      <c r="G1444" s="5">
        <v>3017717509</v>
      </c>
    </row>
    <row r="1445" spans="1:9" ht="12.5">
      <c r="A1445" s="5">
        <v>1047489451</v>
      </c>
      <c r="B1445" s="5" t="s">
        <v>23706</v>
      </c>
      <c r="C1445" s="5" t="s">
        <v>1719</v>
      </c>
      <c r="E1445" s="5" t="s">
        <v>6998</v>
      </c>
      <c r="G1445" s="5">
        <v>3205173778</v>
      </c>
      <c r="I1445" s="5" t="s">
        <v>24197</v>
      </c>
    </row>
    <row r="1446" spans="1:9" ht="12.5">
      <c r="A1446" s="5">
        <v>85468505</v>
      </c>
      <c r="B1446" s="5" t="s">
        <v>23706</v>
      </c>
      <c r="C1446" s="5" t="s">
        <v>6790</v>
      </c>
      <c r="E1446" s="5" t="s">
        <v>387</v>
      </c>
      <c r="G1446" s="5">
        <v>3013812886</v>
      </c>
    </row>
    <row r="1447" spans="1:9" ht="12.5">
      <c r="A1447" s="5">
        <v>860504495</v>
      </c>
      <c r="B1447" s="5" t="s">
        <v>23782</v>
      </c>
      <c r="C1447" s="5" t="s">
        <v>7079</v>
      </c>
      <c r="E1447" s="5" t="s">
        <v>7079</v>
      </c>
      <c r="G1447" s="5">
        <v>3176683426</v>
      </c>
      <c r="I1447" s="5" t="s">
        <v>24198</v>
      </c>
    </row>
    <row r="1448" spans="1:9" ht="12.5">
      <c r="A1448" s="5">
        <v>1003381583</v>
      </c>
      <c r="B1448" s="5" t="s">
        <v>23706</v>
      </c>
      <c r="C1448" s="5" t="s">
        <v>12156</v>
      </c>
      <c r="E1448" s="5"/>
      <c r="G1448" s="5">
        <v>3017429329</v>
      </c>
      <c r="I1448" s="5" t="s">
        <v>24199</v>
      </c>
    </row>
    <row r="1449" spans="1:9" ht="12.5">
      <c r="A1449" s="5">
        <v>1103109897</v>
      </c>
      <c r="B1449" s="5" t="s">
        <v>23706</v>
      </c>
      <c r="C1449" s="5" t="s">
        <v>2466</v>
      </c>
      <c r="E1449" s="5" t="s">
        <v>7008</v>
      </c>
      <c r="G1449" s="5">
        <v>3005757847</v>
      </c>
      <c r="I1449" s="5" t="s">
        <v>24200</v>
      </c>
    </row>
    <row r="1450" spans="1:9" ht="12.5">
      <c r="A1450" s="5">
        <v>1045754324</v>
      </c>
      <c r="B1450" s="5" t="s">
        <v>23706</v>
      </c>
      <c r="C1450" s="5" t="s">
        <v>10418</v>
      </c>
      <c r="E1450" s="5" t="s">
        <v>7014</v>
      </c>
      <c r="G1450" s="5">
        <v>3013119871</v>
      </c>
    </row>
    <row r="1451" spans="1:9" ht="12.5">
      <c r="A1451" s="5">
        <v>53122448</v>
      </c>
      <c r="B1451" s="5" t="s">
        <v>23706</v>
      </c>
      <c r="C1451" s="5" t="s">
        <v>6178</v>
      </c>
      <c r="E1451" s="5" t="s">
        <v>7018</v>
      </c>
      <c r="G1451" s="5">
        <v>351919397039</v>
      </c>
    </row>
    <row r="1452" spans="1:9" ht="12.5">
      <c r="A1452" s="5">
        <v>1042246743</v>
      </c>
      <c r="B1452" s="5" t="s">
        <v>23706</v>
      </c>
      <c r="C1452" s="5" t="s">
        <v>590</v>
      </c>
      <c r="E1452" s="5" t="s">
        <v>7033</v>
      </c>
      <c r="G1452" s="5">
        <v>3185234008</v>
      </c>
      <c r="I1452" s="5" t="s">
        <v>24201</v>
      </c>
    </row>
    <row r="1453" spans="1:9" ht="12.5">
      <c r="A1453" s="5">
        <v>1098680977</v>
      </c>
      <c r="B1453" s="5" t="s">
        <v>23706</v>
      </c>
      <c r="C1453" s="5" t="s">
        <v>332</v>
      </c>
      <c r="E1453" s="5" t="s">
        <v>24202</v>
      </c>
      <c r="G1453" s="5">
        <v>3005491109</v>
      </c>
    </row>
    <row r="1454" spans="1:9" ht="12.5">
      <c r="A1454" s="5">
        <v>1140815137</v>
      </c>
      <c r="B1454" s="5" t="s">
        <v>23706</v>
      </c>
      <c r="C1454" s="5" t="s">
        <v>7027</v>
      </c>
      <c r="E1454" s="5" t="s">
        <v>7028</v>
      </c>
      <c r="G1454" s="5">
        <v>3004856816</v>
      </c>
    </row>
    <row r="1455" spans="1:9" ht="12.5">
      <c r="A1455" s="5">
        <v>1001881030</v>
      </c>
      <c r="B1455" s="5" t="s">
        <v>23706</v>
      </c>
      <c r="C1455" s="5" t="s">
        <v>7038</v>
      </c>
      <c r="E1455" s="5" t="s">
        <v>3223</v>
      </c>
      <c r="G1455" s="5">
        <v>3186670707</v>
      </c>
    </row>
    <row r="1456" spans="1:9" ht="12.5">
      <c r="A1456" s="5">
        <v>1124020431</v>
      </c>
      <c r="B1456" s="5" t="s">
        <v>23706</v>
      </c>
      <c r="C1456" s="5" t="s">
        <v>2889</v>
      </c>
      <c r="E1456" s="5" t="s">
        <v>7043</v>
      </c>
      <c r="G1456" s="5">
        <v>3226927831</v>
      </c>
    </row>
    <row r="1457" spans="1:9" ht="12.5">
      <c r="A1457" s="5">
        <v>1043604800</v>
      </c>
      <c r="B1457" s="5" t="s">
        <v>23706</v>
      </c>
      <c r="C1457" s="5" t="s">
        <v>24203</v>
      </c>
      <c r="E1457" s="5" t="s">
        <v>24204</v>
      </c>
      <c r="G1457" s="5">
        <v>15714409464</v>
      </c>
    </row>
    <row r="1458" spans="1:9" ht="12.5">
      <c r="A1458" s="5">
        <v>1193504447</v>
      </c>
      <c r="B1458" s="5" t="s">
        <v>23706</v>
      </c>
      <c r="C1458" s="5" t="s">
        <v>7054</v>
      </c>
      <c r="E1458" s="5" t="s">
        <v>7055</v>
      </c>
      <c r="G1458" s="5">
        <v>3045422750</v>
      </c>
      <c r="I1458" s="5" t="s">
        <v>24205</v>
      </c>
    </row>
    <row r="1459" spans="1:9" ht="12.5">
      <c r="A1459" s="5">
        <v>52086656</v>
      </c>
      <c r="B1459" s="5" t="s">
        <v>23706</v>
      </c>
      <c r="C1459" s="5" t="s">
        <v>23896</v>
      </c>
      <c r="E1459" s="5" t="s">
        <v>24206</v>
      </c>
      <c r="G1459" s="5">
        <v>3218082485</v>
      </c>
    </row>
    <row r="1460" spans="1:9" ht="12.5">
      <c r="A1460" s="5">
        <v>73074069</v>
      </c>
      <c r="B1460" s="5" t="s">
        <v>23706</v>
      </c>
      <c r="C1460" s="5" t="s">
        <v>7064</v>
      </c>
      <c r="E1460" s="5"/>
      <c r="G1460" s="5">
        <v>3008368202</v>
      </c>
    </row>
    <row r="1461" spans="1:9" ht="12.5">
      <c r="A1461" s="5">
        <v>1001915823</v>
      </c>
      <c r="B1461" s="5" t="s">
        <v>23706</v>
      </c>
      <c r="C1461" s="5" t="s">
        <v>24207</v>
      </c>
      <c r="E1461" s="5" t="s">
        <v>1336</v>
      </c>
      <c r="G1461" s="5">
        <v>3005452756</v>
      </c>
    </row>
    <row r="1462" spans="1:9" ht="12.5">
      <c r="A1462" s="5">
        <v>1010079016</v>
      </c>
      <c r="B1462" s="5" t="s">
        <v>23706</v>
      </c>
      <c r="C1462" s="5" t="s">
        <v>7179</v>
      </c>
      <c r="E1462" s="5" t="s">
        <v>7070</v>
      </c>
      <c r="G1462" s="5">
        <v>5144309591</v>
      </c>
    </row>
    <row r="1463" spans="1:9" ht="12.5">
      <c r="A1463" s="5">
        <v>1234089896</v>
      </c>
      <c r="B1463" s="5" t="s">
        <v>23706</v>
      </c>
      <c r="C1463" s="5" t="s">
        <v>417</v>
      </c>
      <c r="E1463" s="5" t="s">
        <v>2368</v>
      </c>
      <c r="G1463" s="5">
        <v>3145448072</v>
      </c>
      <c r="I1463" s="5" t="s">
        <v>24208</v>
      </c>
    </row>
    <row r="1464" spans="1:9" ht="12.5">
      <c r="A1464" s="5">
        <v>1234089353</v>
      </c>
      <c r="B1464" s="5" t="s">
        <v>23706</v>
      </c>
      <c r="C1464" s="5" t="s">
        <v>297</v>
      </c>
      <c r="E1464" s="5" t="s">
        <v>1747</v>
      </c>
      <c r="G1464" s="5">
        <v>3007266661</v>
      </c>
      <c r="I1464" s="5" t="s">
        <v>24209</v>
      </c>
    </row>
    <row r="1465" spans="1:9" ht="12.5">
      <c r="A1465" s="5">
        <v>1140861498</v>
      </c>
      <c r="B1465" s="5" t="s">
        <v>23706</v>
      </c>
      <c r="C1465" s="5" t="s">
        <v>7085</v>
      </c>
      <c r="E1465" s="5" t="s">
        <v>7086</v>
      </c>
      <c r="G1465" s="5">
        <v>3003200692</v>
      </c>
      <c r="I1465" s="5" t="s">
        <v>24210</v>
      </c>
    </row>
    <row r="1466" spans="1:9" ht="12.5">
      <c r="A1466" s="5">
        <v>1001818109</v>
      </c>
      <c r="B1466" s="5" t="s">
        <v>23706</v>
      </c>
      <c r="C1466" s="5" t="s">
        <v>2466</v>
      </c>
      <c r="E1466" s="5" t="s">
        <v>7102</v>
      </c>
      <c r="G1466" s="5">
        <v>3143663864</v>
      </c>
      <c r="I1466" s="5" t="s">
        <v>24211</v>
      </c>
    </row>
    <row r="1467" spans="1:9" ht="12.5">
      <c r="A1467" s="5">
        <v>1152438586</v>
      </c>
      <c r="B1467" s="5" t="s">
        <v>23706</v>
      </c>
      <c r="C1467" s="5" t="s">
        <v>3584</v>
      </c>
      <c r="E1467" s="5" t="s">
        <v>7096</v>
      </c>
      <c r="G1467" s="5">
        <v>3246871637</v>
      </c>
      <c r="I1467" s="5" t="s">
        <v>24212</v>
      </c>
    </row>
    <row r="1468" spans="1:9" ht="12.5">
      <c r="A1468" s="5">
        <v>1129568300</v>
      </c>
      <c r="B1468" s="5" t="s">
        <v>23706</v>
      </c>
      <c r="C1468" s="5" t="s">
        <v>1989</v>
      </c>
      <c r="E1468" s="5" t="s">
        <v>7109</v>
      </c>
      <c r="G1468" s="5">
        <v>3188278550</v>
      </c>
    </row>
    <row r="1469" spans="1:9" ht="12.5">
      <c r="A1469" s="5">
        <v>1140872827</v>
      </c>
      <c r="B1469" s="5" t="s">
        <v>23706</v>
      </c>
      <c r="C1469" s="5" t="s">
        <v>4145</v>
      </c>
      <c r="E1469" s="5" t="s">
        <v>7128</v>
      </c>
      <c r="G1469" s="5">
        <v>3118111062</v>
      </c>
    </row>
    <row r="1470" spans="1:9" ht="12.5">
      <c r="A1470" s="5">
        <v>1047042098</v>
      </c>
      <c r="B1470" s="5" t="s">
        <v>23706</v>
      </c>
      <c r="C1470" s="5" t="s">
        <v>7115</v>
      </c>
      <c r="E1470" s="5" t="s">
        <v>7116</v>
      </c>
      <c r="G1470" s="5">
        <v>3008719083</v>
      </c>
    </row>
    <row r="1471" spans="1:9" ht="12.5">
      <c r="A1471" s="5">
        <v>1042247722</v>
      </c>
      <c r="B1471" s="5" t="s">
        <v>23706</v>
      </c>
      <c r="C1471" s="5" t="s">
        <v>24213</v>
      </c>
      <c r="E1471" s="5" t="s">
        <v>24214</v>
      </c>
      <c r="G1471" s="5">
        <v>3022464356</v>
      </c>
    </row>
    <row r="1472" spans="1:9" ht="12.5">
      <c r="A1472" s="5">
        <v>32656168</v>
      </c>
      <c r="B1472" s="5" t="s">
        <v>23706</v>
      </c>
      <c r="C1472" s="5" t="s">
        <v>7164</v>
      </c>
      <c r="E1472" s="5" t="s">
        <v>7165</v>
      </c>
      <c r="G1472" s="5">
        <v>3153325830</v>
      </c>
    </row>
    <row r="1473" spans="1:9" ht="12.5">
      <c r="A1473" s="5">
        <v>1044614875</v>
      </c>
      <c r="B1473" s="5" t="s">
        <v>23706</v>
      </c>
      <c r="C1473" s="5" t="s">
        <v>290</v>
      </c>
      <c r="E1473" s="5" t="s">
        <v>596</v>
      </c>
      <c r="G1473" s="5">
        <v>3005983168</v>
      </c>
    </row>
    <row r="1474" spans="1:9" ht="12.5">
      <c r="A1474" s="5">
        <v>1140871854</v>
      </c>
      <c r="B1474" s="5" t="s">
        <v>23706</v>
      </c>
      <c r="C1474" s="5" t="s">
        <v>3564</v>
      </c>
      <c r="E1474" s="5" t="s">
        <v>24215</v>
      </c>
      <c r="G1474" s="5">
        <v>981388055</v>
      </c>
    </row>
    <row r="1475" spans="1:9" ht="12.5">
      <c r="A1475" s="5">
        <v>1140887945</v>
      </c>
      <c r="B1475" s="5" t="s">
        <v>23706</v>
      </c>
      <c r="C1475" s="5" t="s">
        <v>1204</v>
      </c>
      <c r="E1475" s="5" t="s">
        <v>7146</v>
      </c>
      <c r="G1475" s="5">
        <v>3159274731</v>
      </c>
    </row>
    <row r="1476" spans="1:9" ht="12.5">
      <c r="A1476" s="5">
        <v>1129572628</v>
      </c>
      <c r="B1476" s="5" t="s">
        <v>23706</v>
      </c>
      <c r="C1476" s="5" t="s">
        <v>24216</v>
      </c>
      <c r="E1476" s="5" t="s">
        <v>1831</v>
      </c>
      <c r="G1476" s="5">
        <v>5930982958009</v>
      </c>
    </row>
    <row r="1477" spans="1:9" ht="12.5">
      <c r="A1477" s="5">
        <v>1140875620</v>
      </c>
      <c r="B1477" s="5" t="s">
        <v>23706</v>
      </c>
      <c r="C1477" s="5" t="s">
        <v>2466</v>
      </c>
      <c r="E1477" s="5" t="s">
        <v>7158</v>
      </c>
      <c r="G1477" s="5">
        <v>3052960945</v>
      </c>
      <c r="I1477" s="5" t="s">
        <v>24217</v>
      </c>
    </row>
    <row r="1478" spans="1:9" ht="12.5">
      <c r="A1478" s="5">
        <v>1010041258</v>
      </c>
      <c r="B1478" s="5" t="s">
        <v>23706</v>
      </c>
      <c r="C1478" s="5" t="s">
        <v>2841</v>
      </c>
      <c r="E1478" s="5" t="s">
        <v>7043</v>
      </c>
      <c r="G1478" s="5">
        <v>3007290599</v>
      </c>
      <c r="I1478" s="5" t="s">
        <v>24218</v>
      </c>
    </row>
    <row r="1479" spans="1:9" ht="12.5">
      <c r="A1479" s="5">
        <v>1234095334</v>
      </c>
      <c r="B1479" s="5" t="s">
        <v>23706</v>
      </c>
      <c r="C1479" s="5" t="s">
        <v>6639</v>
      </c>
      <c r="E1479" s="5" t="s">
        <v>7174</v>
      </c>
      <c r="G1479" s="5">
        <v>795430</v>
      </c>
    </row>
    <row r="1480" spans="1:9" ht="12.5">
      <c r="A1480" s="5">
        <v>1129524339</v>
      </c>
      <c r="B1480" s="5" t="s">
        <v>23706</v>
      </c>
      <c r="C1480" s="5" t="s">
        <v>24219</v>
      </c>
      <c r="E1480" s="5" t="s">
        <v>24220</v>
      </c>
      <c r="G1480" s="5">
        <v>3138786371</v>
      </c>
    </row>
    <row r="1481" spans="1:9" ht="12.5">
      <c r="A1481" s="5">
        <v>1048224551</v>
      </c>
      <c r="B1481" s="5" t="s">
        <v>23706</v>
      </c>
      <c r="C1481" s="5" t="s">
        <v>2080</v>
      </c>
      <c r="E1481" s="5" t="s">
        <v>7184</v>
      </c>
      <c r="G1481" s="5">
        <v>3017367771</v>
      </c>
    </row>
    <row r="1482" spans="1:9" ht="12.5">
      <c r="A1482" s="5">
        <v>1140815804</v>
      </c>
      <c r="B1482" s="5" t="s">
        <v>23706</v>
      </c>
      <c r="C1482" s="5" t="s">
        <v>4840</v>
      </c>
      <c r="E1482" s="5" t="s">
        <v>6315</v>
      </c>
      <c r="G1482" s="5">
        <v>3017604108</v>
      </c>
    </row>
    <row r="1483" spans="1:9" ht="12.5">
      <c r="A1483" s="5">
        <v>55230729</v>
      </c>
      <c r="B1483" s="5" t="s">
        <v>23706</v>
      </c>
      <c r="C1483" s="5" t="s">
        <v>1304</v>
      </c>
      <c r="E1483" s="5" t="s">
        <v>3450</v>
      </c>
      <c r="G1483" s="5">
        <v>3012791979</v>
      </c>
      <c r="I1483" s="5" t="s">
        <v>24221</v>
      </c>
    </row>
    <row r="1484" spans="1:9" ht="12.5">
      <c r="A1484" s="5">
        <v>1140890861</v>
      </c>
      <c r="B1484" s="5" t="s">
        <v>23706</v>
      </c>
      <c r="C1484" s="5" t="s">
        <v>7193</v>
      </c>
      <c r="E1484" s="5" t="s">
        <v>24222</v>
      </c>
      <c r="G1484" s="5">
        <v>3215242839</v>
      </c>
    </row>
    <row r="1485" spans="1:9" ht="12.5">
      <c r="A1485" s="5">
        <v>1129527437</v>
      </c>
      <c r="B1485" s="5" t="s">
        <v>23706</v>
      </c>
      <c r="C1485" s="5" t="s">
        <v>7207</v>
      </c>
      <c r="E1485" s="5" t="s">
        <v>7208</v>
      </c>
      <c r="G1485" s="5">
        <v>50763123762</v>
      </c>
    </row>
    <row r="1486" spans="1:9" ht="12.5">
      <c r="A1486" s="5">
        <v>55306140</v>
      </c>
      <c r="B1486" s="5" t="s">
        <v>23706</v>
      </c>
      <c r="C1486" s="5" t="s">
        <v>2941</v>
      </c>
      <c r="E1486" s="5" t="s">
        <v>3450</v>
      </c>
      <c r="G1486" s="5">
        <v>3108181272</v>
      </c>
    </row>
    <row r="1487" spans="1:9" ht="12.5">
      <c r="A1487" s="5">
        <v>45762125</v>
      </c>
      <c r="B1487" s="5" t="s">
        <v>23706</v>
      </c>
      <c r="C1487" s="5" t="s">
        <v>7202</v>
      </c>
      <c r="E1487" s="5" t="s">
        <v>7203</v>
      </c>
      <c r="G1487" s="5">
        <v>3008183491</v>
      </c>
    </row>
    <row r="1488" spans="1:9" ht="12.5">
      <c r="A1488" s="5">
        <v>22448870</v>
      </c>
      <c r="B1488" s="5" t="s">
        <v>23706</v>
      </c>
      <c r="C1488" s="5" t="s">
        <v>7212</v>
      </c>
      <c r="E1488" s="5" t="s">
        <v>7213</v>
      </c>
      <c r="G1488" s="5">
        <v>3164705834</v>
      </c>
    </row>
    <row r="1489" spans="1:9" ht="12.5">
      <c r="A1489" s="5">
        <v>1067710523</v>
      </c>
      <c r="B1489" s="5" t="s">
        <v>23706</v>
      </c>
      <c r="C1489" s="5" t="s">
        <v>12381</v>
      </c>
      <c r="E1489" s="5" t="s">
        <v>23784</v>
      </c>
      <c r="G1489" s="5">
        <v>3003284539</v>
      </c>
    </row>
    <row r="1490" spans="1:9" ht="12.5">
      <c r="A1490" s="5">
        <v>1007814788</v>
      </c>
      <c r="B1490" s="5" t="s">
        <v>23706</v>
      </c>
      <c r="C1490" s="5" t="s">
        <v>24223</v>
      </c>
      <c r="E1490" s="5" t="s">
        <v>24224</v>
      </c>
      <c r="G1490" s="5">
        <v>3243155454</v>
      </c>
    </row>
    <row r="1491" spans="1:9" ht="12.5">
      <c r="A1491" s="5">
        <v>1143392237</v>
      </c>
      <c r="B1491" s="5" t="s">
        <v>23706</v>
      </c>
      <c r="C1491" s="5" t="s">
        <v>7228</v>
      </c>
      <c r="E1491" s="5" t="s">
        <v>7229</v>
      </c>
      <c r="G1491" s="5">
        <v>3157357860</v>
      </c>
      <c r="I1491" s="5" t="s">
        <v>24225</v>
      </c>
    </row>
    <row r="1492" spans="1:9" ht="12.5">
      <c r="A1492" s="5">
        <v>123228475</v>
      </c>
      <c r="B1492" s="5" t="s">
        <v>23706</v>
      </c>
      <c r="C1492" s="5" t="s">
        <v>7234</v>
      </c>
      <c r="E1492" s="5" t="s">
        <v>7235</v>
      </c>
      <c r="G1492" s="10" t="s">
        <v>24226</v>
      </c>
      <c r="I1492" s="5" t="s">
        <v>24227</v>
      </c>
    </row>
    <row r="1493" spans="1:9" ht="12.5">
      <c r="A1493" s="5">
        <v>1020835642</v>
      </c>
      <c r="B1493" s="5" t="s">
        <v>23706</v>
      </c>
      <c r="C1493" s="5" t="s">
        <v>1719</v>
      </c>
      <c r="E1493" s="5" t="s">
        <v>2729</v>
      </c>
      <c r="G1493" s="5">
        <v>3166922664</v>
      </c>
    </row>
    <row r="1494" spans="1:9" ht="12.5">
      <c r="A1494" s="5">
        <v>63364635</v>
      </c>
      <c r="B1494" s="5" t="s">
        <v>23706</v>
      </c>
      <c r="C1494" s="5" t="s">
        <v>4174</v>
      </c>
      <c r="E1494" s="5" t="s">
        <v>693</v>
      </c>
      <c r="G1494" s="5">
        <v>3158952867</v>
      </c>
      <c r="I1494" s="5" t="s">
        <v>24228</v>
      </c>
    </row>
    <row r="1495" spans="1:9" ht="12.5">
      <c r="A1495" s="5">
        <v>22468933</v>
      </c>
      <c r="B1495" s="5" t="s">
        <v>23706</v>
      </c>
      <c r="C1495" s="5" t="s">
        <v>7253</v>
      </c>
      <c r="E1495" s="5" t="s">
        <v>3285</v>
      </c>
      <c r="G1495" s="5">
        <v>3006141481</v>
      </c>
    </row>
    <row r="1496" spans="1:9" ht="12.5">
      <c r="A1496" s="5">
        <v>1045022336</v>
      </c>
      <c r="B1496" s="5" t="s">
        <v>23706</v>
      </c>
      <c r="C1496" s="5" t="s">
        <v>12429</v>
      </c>
      <c r="E1496" s="5"/>
      <c r="G1496" s="5">
        <v>3104311662</v>
      </c>
      <c r="I1496" s="5" t="s">
        <v>24229</v>
      </c>
    </row>
    <row r="1497" spans="1:9" ht="12.5">
      <c r="A1497" s="5">
        <v>45558419</v>
      </c>
      <c r="B1497" s="5" t="s">
        <v>23706</v>
      </c>
      <c r="C1497" s="5" t="s">
        <v>16702</v>
      </c>
      <c r="E1497" s="5"/>
      <c r="G1497" s="5">
        <v>3002167124</v>
      </c>
      <c r="I1497" s="5" t="s">
        <v>24230</v>
      </c>
    </row>
    <row r="1498" spans="1:9" ht="12.5">
      <c r="A1498" s="5">
        <v>1143463085</v>
      </c>
      <c r="B1498" s="5" t="s">
        <v>23706</v>
      </c>
      <c r="C1498" s="5" t="s">
        <v>6012</v>
      </c>
      <c r="E1498" s="5" t="s">
        <v>7265</v>
      </c>
      <c r="G1498" s="5">
        <v>3008773600</v>
      </c>
    </row>
    <row r="1499" spans="1:9" ht="12.5">
      <c r="A1499" s="5">
        <v>1143424957</v>
      </c>
      <c r="B1499" s="5" t="s">
        <v>23706</v>
      </c>
      <c r="C1499" s="5" t="s">
        <v>290</v>
      </c>
      <c r="E1499" s="5" t="s">
        <v>2583</v>
      </c>
      <c r="G1499" s="5">
        <v>971543788341</v>
      </c>
    </row>
    <row r="1500" spans="1:9" ht="12.5">
      <c r="A1500" s="5">
        <v>1010135853</v>
      </c>
      <c r="B1500" s="5" t="s">
        <v>23706</v>
      </c>
      <c r="C1500" s="5" t="s">
        <v>617</v>
      </c>
      <c r="E1500" s="5" t="s">
        <v>7271</v>
      </c>
      <c r="G1500" s="5">
        <v>3002963878</v>
      </c>
      <c r="I1500" s="5" t="s">
        <v>24231</v>
      </c>
    </row>
    <row r="1501" spans="1:9" ht="12.5">
      <c r="A1501" s="5">
        <v>1052975112</v>
      </c>
      <c r="B1501" s="5" t="s">
        <v>23706</v>
      </c>
      <c r="C1501" s="5" t="s">
        <v>24232</v>
      </c>
      <c r="E1501" s="5" t="s">
        <v>218</v>
      </c>
      <c r="G1501" s="5">
        <v>3053230353</v>
      </c>
    </row>
    <row r="1502" spans="1:9" ht="12.5">
      <c r="A1502" s="5">
        <v>1140873774</v>
      </c>
      <c r="B1502" s="5" t="s">
        <v>23706</v>
      </c>
      <c r="C1502" s="5" t="s">
        <v>7285</v>
      </c>
      <c r="E1502" s="5" t="s">
        <v>7286</v>
      </c>
      <c r="G1502" s="5">
        <v>3106144621</v>
      </c>
    </row>
    <row r="1503" spans="1:9" ht="12.5">
      <c r="A1503" s="5">
        <v>1140867368</v>
      </c>
      <c r="B1503" s="5" t="s">
        <v>23706</v>
      </c>
      <c r="C1503" s="5" t="s">
        <v>318</v>
      </c>
      <c r="E1503" s="5" t="s">
        <v>7288</v>
      </c>
      <c r="G1503" s="5">
        <v>3156280239</v>
      </c>
    </row>
    <row r="1504" spans="1:9" ht="12.5">
      <c r="A1504" s="5">
        <v>1143463898</v>
      </c>
      <c r="B1504" s="5" t="s">
        <v>23706</v>
      </c>
      <c r="C1504" s="5" t="s">
        <v>24233</v>
      </c>
      <c r="E1504" s="5" t="s">
        <v>1585</v>
      </c>
      <c r="G1504" s="5">
        <v>3232891009</v>
      </c>
    </row>
    <row r="1505" spans="1:9" ht="12.5">
      <c r="A1505" s="5">
        <v>55313414</v>
      </c>
      <c r="B1505" s="5" t="s">
        <v>23706</v>
      </c>
      <c r="C1505" s="5" t="s">
        <v>7297</v>
      </c>
      <c r="E1505" s="5" t="s">
        <v>7298</v>
      </c>
      <c r="G1505" s="5">
        <v>3104186705</v>
      </c>
      <c r="I1505" s="5" t="s">
        <v>24234</v>
      </c>
    </row>
    <row r="1506" spans="1:9" ht="12.5">
      <c r="A1506" s="5">
        <v>1140814977</v>
      </c>
      <c r="B1506" s="5" t="s">
        <v>23706</v>
      </c>
      <c r="C1506" s="5" t="s">
        <v>5856</v>
      </c>
      <c r="E1506" s="5" t="s">
        <v>24235</v>
      </c>
      <c r="G1506" s="5">
        <v>3174406045</v>
      </c>
    </row>
    <row r="1507" spans="1:9" ht="12.5">
      <c r="A1507" s="5">
        <v>1140875116</v>
      </c>
      <c r="B1507" s="5" t="s">
        <v>23706</v>
      </c>
      <c r="C1507" s="5" t="s">
        <v>24236</v>
      </c>
      <c r="E1507" s="5" t="s">
        <v>24237</v>
      </c>
      <c r="G1507" s="5">
        <v>3186297234</v>
      </c>
    </row>
    <row r="1508" spans="1:9" ht="12.5">
      <c r="A1508" s="5">
        <v>22478816</v>
      </c>
      <c r="B1508" s="5" t="s">
        <v>23706</v>
      </c>
      <c r="C1508" s="5" t="s">
        <v>24238</v>
      </c>
      <c r="E1508" s="5" t="s">
        <v>6909</v>
      </c>
      <c r="G1508" s="5">
        <v>3157350200</v>
      </c>
      <c r="I1508" s="5" t="s">
        <v>24239</v>
      </c>
    </row>
    <row r="1509" spans="1:9" ht="12.5">
      <c r="A1509" s="5">
        <v>1234090294</v>
      </c>
      <c r="B1509" s="5" t="s">
        <v>23706</v>
      </c>
      <c r="C1509" s="5" t="s">
        <v>7315</v>
      </c>
      <c r="E1509" s="5" t="s">
        <v>7316</v>
      </c>
      <c r="G1509" s="5">
        <v>3013289177</v>
      </c>
    </row>
    <row r="1510" spans="1:9" ht="12.5">
      <c r="A1510" s="5">
        <v>1048064299</v>
      </c>
      <c r="B1510" s="5" t="s">
        <v>23706</v>
      </c>
      <c r="C1510" s="5" t="s">
        <v>270</v>
      </c>
      <c r="E1510" s="5" t="s">
        <v>2642</v>
      </c>
      <c r="G1510" s="5">
        <v>3004567208</v>
      </c>
    </row>
    <row r="1511" spans="1:9" ht="12.5">
      <c r="A1511" s="5">
        <v>1143158154</v>
      </c>
      <c r="B1511" s="5" t="s">
        <v>23706</v>
      </c>
      <c r="C1511" s="5" t="s">
        <v>7330</v>
      </c>
      <c r="E1511" s="5" t="s">
        <v>7331</v>
      </c>
      <c r="G1511" s="5">
        <v>3219480585</v>
      </c>
    </row>
    <row r="1512" spans="1:9" ht="12.5">
      <c r="A1512" s="5">
        <v>1143159641</v>
      </c>
      <c r="B1512" s="5" t="s">
        <v>23706</v>
      </c>
      <c r="C1512" s="5" t="s">
        <v>6908</v>
      </c>
      <c r="E1512" s="5" t="s">
        <v>7325</v>
      </c>
      <c r="G1512" s="5">
        <v>3002089175</v>
      </c>
    </row>
    <row r="1513" spans="1:9" ht="12.5">
      <c r="A1513" s="5">
        <v>1003382795</v>
      </c>
      <c r="B1513" s="5" t="s">
        <v>23706</v>
      </c>
      <c r="C1513" s="5" t="s">
        <v>7341</v>
      </c>
      <c r="E1513" s="5" t="s">
        <v>24240</v>
      </c>
      <c r="G1513" s="5">
        <v>3104556702</v>
      </c>
      <c r="I1513" s="5" t="s">
        <v>24241</v>
      </c>
    </row>
    <row r="1514" spans="1:9" ht="12.5">
      <c r="A1514" s="5">
        <v>1002357638</v>
      </c>
      <c r="B1514" s="5" t="s">
        <v>23706</v>
      </c>
      <c r="C1514" s="5" t="s">
        <v>182</v>
      </c>
      <c r="E1514" s="5" t="s">
        <v>24215</v>
      </c>
      <c r="G1514" s="5">
        <v>3117821540</v>
      </c>
      <c r="I1514" s="5" t="s">
        <v>24242</v>
      </c>
    </row>
    <row r="1515" spans="1:9" ht="12.5">
      <c r="A1515" s="5">
        <v>1010025554</v>
      </c>
      <c r="B1515" s="5" t="s">
        <v>23706</v>
      </c>
      <c r="C1515" s="5" t="s">
        <v>7356</v>
      </c>
      <c r="E1515" s="5" t="s">
        <v>6711</v>
      </c>
      <c r="G1515" s="5">
        <v>3046367532</v>
      </c>
      <c r="I1515" s="5" t="s">
        <v>24243</v>
      </c>
    </row>
    <row r="1516" spans="1:9" ht="12.5">
      <c r="A1516" s="5">
        <v>1081809435</v>
      </c>
      <c r="B1516" s="5" t="s">
        <v>23706</v>
      </c>
      <c r="C1516" s="5" t="s">
        <v>7348</v>
      </c>
      <c r="E1516" s="5" t="s">
        <v>7349</v>
      </c>
      <c r="G1516" s="5">
        <v>3015253677</v>
      </c>
      <c r="I1516" s="5" t="s">
        <v>24244</v>
      </c>
    </row>
    <row r="1517" spans="1:9" ht="12.5">
      <c r="A1517" s="5">
        <v>1048065258</v>
      </c>
      <c r="B1517" s="5" t="s">
        <v>23706</v>
      </c>
      <c r="C1517" s="5" t="s">
        <v>4207</v>
      </c>
      <c r="E1517" s="5" t="s">
        <v>24099</v>
      </c>
      <c r="G1517" s="5">
        <v>3002605603</v>
      </c>
    </row>
    <row r="1518" spans="1:9" ht="12.5">
      <c r="A1518" s="5">
        <v>1201213328</v>
      </c>
      <c r="B1518" s="5" t="s">
        <v>23706</v>
      </c>
      <c r="C1518" s="5" t="s">
        <v>5288</v>
      </c>
      <c r="E1518" s="5" t="s">
        <v>4625</v>
      </c>
      <c r="G1518" s="5">
        <v>3233385903</v>
      </c>
    </row>
    <row r="1519" spans="1:9" ht="12.5">
      <c r="A1519" s="5">
        <v>1121045697</v>
      </c>
      <c r="B1519" s="5" t="s">
        <v>23706</v>
      </c>
      <c r="C1519" s="5" t="s">
        <v>4465</v>
      </c>
      <c r="E1519" s="5" t="s">
        <v>7378</v>
      </c>
      <c r="G1519" s="5">
        <v>3107083669</v>
      </c>
      <c r="I1519" s="5" t="s">
        <v>24245</v>
      </c>
    </row>
    <row r="1520" spans="1:9" ht="12.5">
      <c r="A1520" s="5">
        <v>1140848232</v>
      </c>
      <c r="B1520" s="5" t="s">
        <v>23706</v>
      </c>
      <c r="C1520" s="5" t="s">
        <v>7374</v>
      </c>
      <c r="E1520" s="5" t="s">
        <v>24246</v>
      </c>
      <c r="G1520" s="5">
        <v>0</v>
      </c>
    </row>
    <row r="1521" spans="1:9" ht="12.5">
      <c r="A1521" s="5">
        <v>1015481985</v>
      </c>
      <c r="B1521" s="5" t="s">
        <v>23706</v>
      </c>
      <c r="C1521" s="5" t="s">
        <v>318</v>
      </c>
      <c r="E1521" s="5" t="s">
        <v>7389</v>
      </c>
      <c r="G1521" s="5">
        <v>216624895</v>
      </c>
      <c r="I1521" s="5" t="s">
        <v>24247</v>
      </c>
    </row>
    <row r="1522" spans="1:9" ht="12.5">
      <c r="A1522" s="5">
        <v>39785591</v>
      </c>
      <c r="B1522" s="5" t="s">
        <v>23706</v>
      </c>
      <c r="C1522" s="5" t="s">
        <v>7384</v>
      </c>
      <c r="E1522" s="5" t="s">
        <v>1819</v>
      </c>
      <c r="G1522" s="5">
        <v>3107676333</v>
      </c>
    </row>
    <row r="1523" spans="1:9" ht="12.5">
      <c r="A1523" s="5">
        <v>32781752</v>
      </c>
      <c r="B1523" s="5" t="s">
        <v>23706</v>
      </c>
      <c r="C1523" s="5" t="s">
        <v>24248</v>
      </c>
      <c r="E1523" s="5" t="s">
        <v>24249</v>
      </c>
      <c r="G1523" s="5">
        <v>3133463333</v>
      </c>
      <c r="I1523" s="5" t="s">
        <v>24250</v>
      </c>
    </row>
    <row r="1524" spans="1:9" ht="12.5">
      <c r="A1524" s="5">
        <v>1044428115</v>
      </c>
      <c r="B1524" s="5" t="s">
        <v>23706</v>
      </c>
      <c r="C1524" s="5" t="s">
        <v>1051</v>
      </c>
      <c r="E1524" s="5" t="s">
        <v>24251</v>
      </c>
      <c r="G1524" s="5">
        <v>3244058616</v>
      </c>
    </row>
    <row r="1525" spans="1:9" ht="12.5">
      <c r="A1525" s="5">
        <v>1042423766</v>
      </c>
      <c r="B1525" s="5" t="s">
        <v>23706</v>
      </c>
      <c r="C1525" s="5" t="s">
        <v>24252</v>
      </c>
      <c r="E1525" s="5" t="s">
        <v>387</v>
      </c>
      <c r="G1525" s="5">
        <v>3007656538</v>
      </c>
      <c r="I1525" s="5" t="s">
        <v>24253</v>
      </c>
    </row>
    <row r="1526" spans="1:9" ht="12.5">
      <c r="A1526" s="5">
        <v>33215397</v>
      </c>
      <c r="B1526" s="5" t="s">
        <v>23706</v>
      </c>
      <c r="C1526" s="5" t="s">
        <v>7417</v>
      </c>
      <c r="E1526" s="5" t="s">
        <v>7418</v>
      </c>
      <c r="G1526" s="5">
        <v>3114032961</v>
      </c>
      <c r="I1526" s="5" t="s">
        <v>24254</v>
      </c>
    </row>
    <row r="1527" spans="1:9" ht="12.5">
      <c r="A1527" s="5">
        <v>1140895660</v>
      </c>
      <c r="B1527" s="5" t="s">
        <v>23706</v>
      </c>
      <c r="C1527" s="5" t="s">
        <v>703</v>
      </c>
      <c r="E1527" s="5" t="s">
        <v>11152</v>
      </c>
      <c r="G1527" s="5">
        <v>3057936226</v>
      </c>
    </row>
    <row r="1528" spans="1:9" ht="12.5">
      <c r="A1528" s="5">
        <v>72164910</v>
      </c>
      <c r="B1528" s="5" t="s">
        <v>23706</v>
      </c>
      <c r="C1528" s="5" t="s">
        <v>5429</v>
      </c>
      <c r="E1528" s="5" t="s">
        <v>7426</v>
      </c>
      <c r="G1528" s="5">
        <v>3197596099</v>
      </c>
    </row>
    <row r="1529" spans="1:9" ht="12.5">
      <c r="A1529" s="5">
        <v>72258573</v>
      </c>
      <c r="B1529" s="5" t="s">
        <v>23706</v>
      </c>
      <c r="C1529" s="5" t="s">
        <v>7428</v>
      </c>
      <c r="E1529" s="5" t="s">
        <v>7429</v>
      </c>
      <c r="G1529" s="5">
        <v>3023473900</v>
      </c>
    </row>
    <row r="1530" spans="1:9" ht="12.5">
      <c r="A1530" s="5">
        <v>900798756</v>
      </c>
      <c r="B1530" s="5" t="s">
        <v>23782</v>
      </c>
      <c r="C1530" s="5" t="s">
        <v>7431</v>
      </c>
      <c r="E1530" s="5" t="s">
        <v>2159</v>
      </c>
      <c r="G1530" s="5">
        <v>3147791720</v>
      </c>
    </row>
    <row r="1531" spans="1:9" ht="12.5">
      <c r="A1531" s="5">
        <v>72003667</v>
      </c>
      <c r="B1531" s="5" t="s">
        <v>23706</v>
      </c>
      <c r="C1531" s="5" t="s">
        <v>24255</v>
      </c>
      <c r="E1531" s="5" t="s">
        <v>7434</v>
      </c>
      <c r="G1531" s="5">
        <v>3229149552</v>
      </c>
    </row>
    <row r="1532" spans="1:9" ht="12.5">
      <c r="A1532" s="5">
        <v>9197066</v>
      </c>
      <c r="B1532" s="5" t="s">
        <v>23706</v>
      </c>
      <c r="C1532" s="5" t="s">
        <v>7438</v>
      </c>
      <c r="E1532" s="5" t="s">
        <v>5573</v>
      </c>
      <c r="G1532" s="5">
        <v>3015789870</v>
      </c>
    </row>
    <row r="1533" spans="1:9" ht="12.5">
      <c r="A1533" s="5">
        <v>1234092321</v>
      </c>
      <c r="B1533" s="5" t="s">
        <v>23706</v>
      </c>
      <c r="C1533" s="5" t="s">
        <v>7441</v>
      </c>
      <c r="E1533" s="5"/>
      <c r="G1533" s="5">
        <v>3024694357</v>
      </c>
    </row>
    <row r="1534" spans="1:9" ht="12.5">
      <c r="A1534" s="5">
        <v>1082963863</v>
      </c>
      <c r="B1534" s="5" t="s">
        <v>23706</v>
      </c>
      <c r="C1534" s="5" t="s">
        <v>7442</v>
      </c>
      <c r="E1534" s="5" t="s">
        <v>4231</v>
      </c>
      <c r="G1534" s="5">
        <v>3013638788</v>
      </c>
    </row>
    <row r="1535" spans="1:9" ht="12.5">
      <c r="A1535" s="5">
        <v>55300602</v>
      </c>
      <c r="B1535" s="5" t="s">
        <v>23706</v>
      </c>
      <c r="C1535" s="5" t="s">
        <v>461</v>
      </c>
      <c r="E1535" s="5" t="s">
        <v>1831</v>
      </c>
      <c r="G1535" s="5">
        <v>3168348918</v>
      </c>
      <c r="I1535" s="5" t="s">
        <v>24256</v>
      </c>
    </row>
    <row r="1536" spans="1:9" ht="12.5">
      <c r="A1536" s="5">
        <v>1045713848</v>
      </c>
      <c r="B1536" s="5" t="s">
        <v>23706</v>
      </c>
      <c r="C1536" s="5" t="s">
        <v>1946</v>
      </c>
      <c r="E1536" s="5" t="s">
        <v>1747</v>
      </c>
      <c r="G1536" s="5">
        <v>3182278250</v>
      </c>
    </row>
    <row r="1537" spans="1:9" ht="12.5">
      <c r="A1537" s="5">
        <v>1017126264</v>
      </c>
      <c r="B1537" s="5" t="s">
        <v>23706</v>
      </c>
      <c r="C1537" s="5" t="s">
        <v>7457</v>
      </c>
      <c r="E1537" s="5" t="s">
        <v>7454</v>
      </c>
      <c r="G1537" s="5">
        <v>3246807716</v>
      </c>
      <c r="I1537" s="5" t="s">
        <v>24257</v>
      </c>
    </row>
    <row r="1538" spans="1:9" ht="12.5">
      <c r="A1538" s="5">
        <v>1143140381</v>
      </c>
      <c r="B1538" s="5" t="s">
        <v>23706</v>
      </c>
      <c r="C1538" s="5" t="s">
        <v>24258</v>
      </c>
      <c r="E1538" s="5" t="s">
        <v>24259</v>
      </c>
      <c r="G1538" s="5">
        <v>3006264849</v>
      </c>
    </row>
    <row r="1539" spans="1:9" ht="12.5">
      <c r="A1539" s="5">
        <v>1048442179</v>
      </c>
      <c r="B1539" s="5" t="s">
        <v>23706</v>
      </c>
      <c r="C1539" s="5" t="s">
        <v>698</v>
      </c>
      <c r="E1539" s="5" t="s">
        <v>24260</v>
      </c>
      <c r="G1539" s="5">
        <v>3232954869</v>
      </c>
      <c r="I1539" s="5" t="s">
        <v>24261</v>
      </c>
    </row>
    <row r="1540" spans="1:9" ht="12.5">
      <c r="A1540" s="5">
        <v>72337578</v>
      </c>
      <c r="B1540" s="5" t="s">
        <v>23706</v>
      </c>
      <c r="C1540" s="5" t="s">
        <v>24262</v>
      </c>
      <c r="E1540" s="5" t="s">
        <v>498</v>
      </c>
      <c r="G1540" s="5">
        <v>3016271535</v>
      </c>
    </row>
    <row r="1541" spans="1:9" ht="12.5">
      <c r="A1541" s="5">
        <v>32770121</v>
      </c>
      <c r="B1541" s="5" t="s">
        <v>23706</v>
      </c>
      <c r="C1541" s="5" t="s">
        <v>7483</v>
      </c>
      <c r="E1541" s="5" t="s">
        <v>7484</v>
      </c>
      <c r="G1541" s="5">
        <v>3114757844</v>
      </c>
      <c r="I1541" s="5" t="s">
        <v>24263</v>
      </c>
    </row>
    <row r="1542" spans="1:9" ht="12.5">
      <c r="A1542" s="5">
        <v>1067597505</v>
      </c>
      <c r="B1542" s="5" t="s">
        <v>23706</v>
      </c>
      <c r="C1542" s="5" t="s">
        <v>24264</v>
      </c>
      <c r="E1542" s="5" t="s">
        <v>2837</v>
      </c>
      <c r="G1542" s="5">
        <v>3052660359</v>
      </c>
    </row>
    <row r="1543" spans="1:9" ht="12.5">
      <c r="A1543" s="5">
        <v>1140877673</v>
      </c>
      <c r="B1543" s="5" t="s">
        <v>23706</v>
      </c>
      <c r="C1543" s="5" t="s">
        <v>7473</v>
      </c>
      <c r="E1543" s="5" t="s">
        <v>24265</v>
      </c>
      <c r="G1543" s="5">
        <v>3183622707</v>
      </c>
      <c r="I1543" s="5" t="s">
        <v>24266</v>
      </c>
    </row>
    <row r="1544" spans="1:9" ht="12.5">
      <c r="A1544" s="5">
        <v>1098812312</v>
      </c>
      <c r="B1544" s="5" t="s">
        <v>23706</v>
      </c>
      <c r="C1544" s="5" t="s">
        <v>3450</v>
      </c>
      <c r="E1544" s="5" t="s">
        <v>7331</v>
      </c>
      <c r="G1544" s="5">
        <v>3219127915</v>
      </c>
      <c r="I1544" s="5" t="s">
        <v>24267</v>
      </c>
    </row>
    <row r="1545" spans="1:9" ht="12.5">
      <c r="A1545" s="5">
        <v>1007259348</v>
      </c>
      <c r="B1545" s="5" t="s">
        <v>23706</v>
      </c>
      <c r="C1545" s="5" t="s">
        <v>1069</v>
      </c>
      <c r="E1545" s="5" t="s">
        <v>393</v>
      </c>
      <c r="G1545" s="5">
        <v>3218807949</v>
      </c>
    </row>
    <row r="1546" spans="1:9" ht="12.5">
      <c r="A1546" s="5">
        <v>1140898163</v>
      </c>
      <c r="B1546" s="5" t="s">
        <v>23706</v>
      </c>
      <c r="C1546" s="5" t="s">
        <v>6470</v>
      </c>
      <c r="E1546" s="5" t="s">
        <v>24268</v>
      </c>
      <c r="G1546" s="5">
        <v>3045271987</v>
      </c>
    </row>
    <row r="1547" spans="1:9" ht="12.5">
      <c r="A1547" s="5">
        <v>1015467153</v>
      </c>
      <c r="B1547" s="5" t="s">
        <v>23706</v>
      </c>
      <c r="C1547" s="5" t="s">
        <v>5035</v>
      </c>
      <c r="E1547" s="5" t="s">
        <v>24269</v>
      </c>
      <c r="G1547" s="5">
        <v>3503710536</v>
      </c>
    </row>
    <row r="1548" spans="1:9" ht="12.5">
      <c r="A1548" s="5">
        <v>1010137398</v>
      </c>
      <c r="B1548" s="5" t="s">
        <v>23706</v>
      </c>
      <c r="C1548" s="5" t="s">
        <v>7510</v>
      </c>
      <c r="E1548" s="5" t="s">
        <v>4054</v>
      </c>
      <c r="G1548" s="5">
        <v>909484</v>
      </c>
      <c r="I1548" s="5" t="s">
        <v>24270</v>
      </c>
    </row>
    <row r="1549" spans="1:9" ht="12.5">
      <c r="A1549" s="5">
        <v>1048064134</v>
      </c>
      <c r="B1549" s="5" t="s">
        <v>23706</v>
      </c>
      <c r="C1549" s="5" t="s">
        <v>7515</v>
      </c>
      <c r="E1549" s="5" t="s">
        <v>7516</v>
      </c>
      <c r="G1549" s="5">
        <v>3002566594</v>
      </c>
      <c r="I1549" s="5" t="s">
        <v>24271</v>
      </c>
    </row>
    <row r="1550" spans="1:9" ht="12.5">
      <c r="A1550" s="5">
        <v>42707534</v>
      </c>
      <c r="B1550" s="5" t="s">
        <v>23706</v>
      </c>
      <c r="C1550" s="5" t="s">
        <v>1051</v>
      </c>
      <c r="E1550" s="5" t="s">
        <v>693</v>
      </c>
      <c r="G1550" s="5">
        <v>3208162659</v>
      </c>
    </row>
    <row r="1551" spans="1:9" ht="12.5">
      <c r="A1551" s="5">
        <v>9002312611</v>
      </c>
      <c r="B1551" s="5" t="s">
        <v>23782</v>
      </c>
      <c r="C1551" s="5" t="s">
        <v>7524</v>
      </c>
      <c r="E1551" s="5" t="s">
        <v>4113</v>
      </c>
      <c r="G1551" s="5">
        <v>3016285585</v>
      </c>
    </row>
    <row r="1552" spans="1:9" ht="12.5">
      <c r="A1552" s="5">
        <v>18244945</v>
      </c>
      <c r="B1552" s="5" t="s">
        <v>23706</v>
      </c>
      <c r="C1552" s="5" t="s">
        <v>2862</v>
      </c>
      <c r="E1552" s="5" t="s">
        <v>7530</v>
      </c>
      <c r="G1552" s="5">
        <v>16469372355</v>
      </c>
      <c r="I1552" s="5" t="s">
        <v>24272</v>
      </c>
    </row>
    <row r="1553" spans="1:9" ht="12.5">
      <c r="A1553" s="5">
        <v>55179411</v>
      </c>
      <c r="B1553" s="5" t="s">
        <v>23706</v>
      </c>
      <c r="C1553" s="5" t="s">
        <v>24273</v>
      </c>
      <c r="E1553" s="5" t="s">
        <v>24274</v>
      </c>
      <c r="G1553" s="5">
        <v>3106135430</v>
      </c>
    </row>
    <row r="1554" spans="1:9" ht="12.5">
      <c r="A1554" s="5">
        <v>1140857697</v>
      </c>
      <c r="B1554" s="5" t="s">
        <v>23706</v>
      </c>
      <c r="C1554" s="5" t="s">
        <v>3405</v>
      </c>
      <c r="E1554" s="5" t="s">
        <v>24275</v>
      </c>
      <c r="G1554" s="5">
        <v>5491150150630</v>
      </c>
    </row>
    <row r="1555" spans="1:9" ht="12.5">
      <c r="A1555" s="5">
        <v>72346690</v>
      </c>
      <c r="B1555" s="5" t="s">
        <v>23706</v>
      </c>
      <c r="C1555" s="5" t="s">
        <v>1513</v>
      </c>
      <c r="E1555" s="5" t="s">
        <v>291</v>
      </c>
      <c r="G1555" s="5">
        <v>3173754408</v>
      </c>
      <c r="I1555" s="5" t="s">
        <v>24276</v>
      </c>
    </row>
    <row r="1556" spans="1:9" ht="12.5">
      <c r="A1556" s="5">
        <v>1001282286</v>
      </c>
      <c r="B1556" s="5" t="s">
        <v>23706</v>
      </c>
      <c r="C1556" s="5" t="s">
        <v>7555</v>
      </c>
      <c r="E1556" s="5"/>
      <c r="G1556" s="10" t="s">
        <v>24277</v>
      </c>
    </row>
    <row r="1557" spans="1:9" ht="12.5">
      <c r="A1557" s="5">
        <v>1007116609</v>
      </c>
      <c r="B1557" s="5" t="s">
        <v>23706</v>
      </c>
      <c r="C1557" s="5" t="s">
        <v>417</v>
      </c>
      <c r="E1557" s="5" t="s">
        <v>24278</v>
      </c>
      <c r="G1557" s="5">
        <v>3216655154</v>
      </c>
      <c r="I1557" s="5" t="s">
        <v>24279</v>
      </c>
    </row>
    <row r="1558" spans="1:9" ht="12.5">
      <c r="A1558" s="5">
        <v>1140884476</v>
      </c>
      <c r="B1558" s="5" t="s">
        <v>23706</v>
      </c>
      <c r="C1558" s="5" t="s">
        <v>7560</v>
      </c>
      <c r="E1558" s="5" t="s">
        <v>10067</v>
      </c>
      <c r="G1558" s="5">
        <v>0</v>
      </c>
    </row>
    <row r="1559" spans="1:9" ht="12.5">
      <c r="A1559" s="5">
        <v>1001820589</v>
      </c>
      <c r="B1559" s="5" t="s">
        <v>23706</v>
      </c>
      <c r="C1559" s="5" t="s">
        <v>7927</v>
      </c>
      <c r="E1559" s="5" t="s">
        <v>7928</v>
      </c>
      <c r="G1559" s="5">
        <v>3054498222</v>
      </c>
    </row>
    <row r="1560" spans="1:9" ht="12.5">
      <c r="A1560" s="5">
        <v>1065811200</v>
      </c>
      <c r="B1560" s="5" t="s">
        <v>23706</v>
      </c>
      <c r="C1560" s="5" t="s">
        <v>7560</v>
      </c>
      <c r="E1560" s="5" t="s">
        <v>7564</v>
      </c>
      <c r="G1560" s="5">
        <v>7863544281</v>
      </c>
    </row>
    <row r="1561" spans="1:9" ht="12.5">
      <c r="A1561" s="5">
        <v>1020758374</v>
      </c>
      <c r="B1561" s="5" t="s">
        <v>23706</v>
      </c>
      <c r="C1561" s="5" t="s">
        <v>1349</v>
      </c>
      <c r="E1561" s="5" t="s">
        <v>7567</v>
      </c>
      <c r="G1561" s="5" t="s">
        <v>7569</v>
      </c>
    </row>
    <row r="1562" spans="1:9" ht="12.5">
      <c r="A1562" s="5">
        <v>1042446279</v>
      </c>
      <c r="B1562" s="5" t="s">
        <v>23706</v>
      </c>
      <c r="C1562" s="5" t="s">
        <v>947</v>
      </c>
      <c r="E1562" s="5" t="s">
        <v>7572</v>
      </c>
      <c r="G1562" s="5">
        <v>3016552449</v>
      </c>
      <c r="I1562" s="5" t="s">
        <v>24280</v>
      </c>
    </row>
    <row r="1563" spans="1:9" ht="12.5">
      <c r="A1563" s="5">
        <v>8000933915</v>
      </c>
      <c r="B1563" s="5" t="s">
        <v>23782</v>
      </c>
      <c r="C1563" s="5" t="s">
        <v>24281</v>
      </c>
      <c r="E1563" s="5"/>
      <c r="G1563" s="5">
        <v>3007335753</v>
      </c>
      <c r="I1563" s="5" t="s">
        <v>24282</v>
      </c>
    </row>
    <row r="1564" spans="1:9" ht="12.5">
      <c r="A1564" s="5">
        <v>1129495739</v>
      </c>
      <c r="B1564" s="5" t="s">
        <v>23706</v>
      </c>
      <c r="C1564" s="5" t="s">
        <v>7587</v>
      </c>
      <c r="E1564" s="5" t="s">
        <v>24283</v>
      </c>
      <c r="G1564" s="5">
        <v>3104423243</v>
      </c>
    </row>
    <row r="1565" spans="1:9" ht="12.5">
      <c r="A1565" s="5">
        <v>1140848433</v>
      </c>
      <c r="B1565" s="5" t="s">
        <v>23706</v>
      </c>
      <c r="C1565" s="5" t="s">
        <v>24284</v>
      </c>
      <c r="E1565" s="5" t="s">
        <v>7578</v>
      </c>
      <c r="G1565" s="5">
        <v>3005074397</v>
      </c>
    </row>
    <row r="1566" spans="1:9" ht="12.5">
      <c r="A1566" s="5">
        <v>8167901</v>
      </c>
      <c r="B1566" s="5" t="s">
        <v>23706</v>
      </c>
      <c r="C1566" s="5" t="s">
        <v>7683</v>
      </c>
      <c r="E1566" s="5" t="s">
        <v>1901</v>
      </c>
      <c r="G1566" s="5">
        <v>50768513580</v>
      </c>
    </row>
    <row r="1567" spans="1:9" ht="12.5">
      <c r="A1567" s="5">
        <v>1140880921</v>
      </c>
      <c r="B1567" s="5" t="s">
        <v>23706</v>
      </c>
      <c r="C1567" s="5" t="s">
        <v>290</v>
      </c>
      <c r="E1567" s="5" t="s">
        <v>7592</v>
      </c>
      <c r="G1567" s="5">
        <v>3013450345</v>
      </c>
      <c r="I1567" s="5" t="s">
        <v>24285</v>
      </c>
    </row>
    <row r="1568" spans="1:9" ht="12.5">
      <c r="A1568" s="5">
        <v>22551384</v>
      </c>
      <c r="B1568" s="5" t="s">
        <v>23706</v>
      </c>
      <c r="C1568" s="5" t="s">
        <v>7597</v>
      </c>
      <c r="E1568" s="5" t="s">
        <v>7598</v>
      </c>
      <c r="G1568" s="5">
        <v>3002627762</v>
      </c>
    </row>
    <row r="1569" spans="1:9" ht="12.5">
      <c r="A1569" s="5">
        <v>0</v>
      </c>
      <c r="B1569" s="5" t="s">
        <v>23706</v>
      </c>
      <c r="C1569" s="5" t="s">
        <v>24286</v>
      </c>
      <c r="E1569" s="5" t="s">
        <v>24287</v>
      </c>
      <c r="G1569" s="5">
        <v>527491061366</v>
      </c>
      <c r="I1569" s="5" t="s">
        <v>24288</v>
      </c>
    </row>
    <row r="1570" spans="1:9" ht="12.5">
      <c r="A1570" s="5">
        <v>0</v>
      </c>
      <c r="B1570" s="5" t="s">
        <v>23706</v>
      </c>
      <c r="C1570" s="5" t="s">
        <v>4261</v>
      </c>
      <c r="E1570" s="5" t="s">
        <v>7601</v>
      </c>
      <c r="G1570" s="5">
        <v>19543974714</v>
      </c>
    </row>
    <row r="1571" spans="1:9" ht="12.5">
      <c r="A1571" s="5">
        <v>0</v>
      </c>
      <c r="B1571" s="5" t="s">
        <v>23706</v>
      </c>
      <c r="C1571" s="5" t="s">
        <v>7604</v>
      </c>
      <c r="E1571" s="5" t="s">
        <v>7605</v>
      </c>
      <c r="G1571" s="5">
        <v>0</v>
      </c>
    </row>
    <row r="1572" spans="1:9" ht="12.5">
      <c r="A1572" s="5">
        <v>1001817158</v>
      </c>
      <c r="B1572" s="5" t="s">
        <v>23706</v>
      </c>
      <c r="C1572" s="5" t="s">
        <v>76</v>
      </c>
      <c r="E1572" s="5" t="s">
        <v>3550</v>
      </c>
      <c r="G1572" s="5">
        <v>3104300883</v>
      </c>
      <c r="I1572" s="5" t="s">
        <v>24289</v>
      </c>
    </row>
    <row r="1573" spans="1:9" ht="12.5">
      <c r="A1573" s="5">
        <v>1140904528</v>
      </c>
      <c r="B1573" s="5" t="s">
        <v>23706</v>
      </c>
      <c r="C1573" s="5" t="s">
        <v>7615</v>
      </c>
      <c r="E1573" s="5"/>
      <c r="G1573" s="5">
        <v>3165222133</v>
      </c>
    </row>
    <row r="1574" spans="1:9" ht="12.5">
      <c r="A1574" s="5">
        <v>32606993</v>
      </c>
      <c r="B1574" s="5" t="s">
        <v>23706</v>
      </c>
      <c r="C1574" s="5" t="s">
        <v>7624</v>
      </c>
      <c r="E1574" s="5" t="s">
        <v>7625</v>
      </c>
      <c r="G1574" s="5">
        <v>7161</v>
      </c>
    </row>
    <row r="1575" spans="1:9" ht="12.5">
      <c r="A1575" s="5">
        <v>114910377</v>
      </c>
      <c r="B1575" s="5" t="s">
        <v>23706</v>
      </c>
      <c r="C1575" s="5" t="s">
        <v>4670</v>
      </c>
      <c r="E1575" s="5" t="s">
        <v>2837</v>
      </c>
      <c r="G1575" s="10" t="s">
        <v>24290</v>
      </c>
      <c r="I1575" s="5" t="s">
        <v>24291</v>
      </c>
    </row>
    <row r="1576" spans="1:9" ht="12.5">
      <c r="A1576" s="5">
        <v>1627200200064</v>
      </c>
      <c r="B1576" s="5" t="s">
        <v>23706</v>
      </c>
      <c r="C1576" s="5" t="s">
        <v>13465</v>
      </c>
      <c r="E1576" s="5"/>
      <c r="G1576" s="10" t="s">
        <v>24292</v>
      </c>
      <c r="I1576" s="5" t="s">
        <v>24293</v>
      </c>
    </row>
    <row r="1577" spans="1:9" ht="12.5">
      <c r="A1577" s="5">
        <v>1042859474</v>
      </c>
      <c r="B1577" s="5" t="s">
        <v>23706</v>
      </c>
      <c r="C1577" s="5" t="s">
        <v>1136</v>
      </c>
      <c r="E1577" s="5" t="s">
        <v>24294</v>
      </c>
      <c r="G1577" s="5">
        <v>301250892</v>
      </c>
      <c r="I1577" s="5" t="s">
        <v>24295</v>
      </c>
    </row>
    <row r="1578" spans="1:9" ht="12.5">
      <c r="A1578" s="5">
        <v>3024083398</v>
      </c>
      <c r="B1578" s="5" t="s">
        <v>23706</v>
      </c>
      <c r="C1578" s="5" t="s">
        <v>7638</v>
      </c>
      <c r="E1578" s="5" t="s">
        <v>7639</v>
      </c>
      <c r="G1578" s="5">
        <v>3024083398</v>
      </c>
    </row>
    <row r="1579" spans="1:9" ht="12.5">
      <c r="A1579" s="5">
        <v>1140815803</v>
      </c>
      <c r="B1579" s="5" t="s">
        <v>23706</v>
      </c>
      <c r="C1579" s="5" t="s">
        <v>825</v>
      </c>
      <c r="E1579" s="5" t="s">
        <v>6315</v>
      </c>
      <c r="G1579" s="5">
        <v>3005514268</v>
      </c>
      <c r="I1579" s="5" t="s">
        <v>24296</v>
      </c>
    </row>
    <row r="1580" spans="1:9" ht="12.5">
      <c r="A1580" s="5">
        <v>1140847181</v>
      </c>
      <c r="B1580" s="5" t="s">
        <v>23706</v>
      </c>
      <c r="C1580" s="5" t="s">
        <v>7660</v>
      </c>
      <c r="E1580" s="5" t="s">
        <v>7661</v>
      </c>
      <c r="G1580" s="5">
        <v>3112173067</v>
      </c>
    </row>
    <row r="1581" spans="1:9" ht="12.5">
      <c r="A1581" s="5">
        <v>1129572558</v>
      </c>
      <c r="B1581" s="5" t="s">
        <v>23706</v>
      </c>
      <c r="C1581" s="5" t="s">
        <v>7654</v>
      </c>
      <c r="E1581" s="5" t="s">
        <v>7650</v>
      </c>
      <c r="G1581" s="5">
        <v>3003793231</v>
      </c>
      <c r="I1581" s="5" t="s">
        <v>24297</v>
      </c>
    </row>
    <row r="1582" spans="1:9" ht="12.5">
      <c r="A1582" s="5">
        <v>1140833364</v>
      </c>
      <c r="B1582" s="5" t="s">
        <v>23706</v>
      </c>
      <c r="C1582" s="5" t="s">
        <v>4250</v>
      </c>
      <c r="E1582" s="5" t="s">
        <v>7655</v>
      </c>
      <c r="G1582" s="5">
        <v>3046814886</v>
      </c>
      <c r="I1582" s="5" t="s">
        <v>24298</v>
      </c>
    </row>
    <row r="1583" spans="1:9" ht="12.5">
      <c r="A1583" s="5">
        <v>1065833207</v>
      </c>
      <c r="B1583" s="5" t="s">
        <v>23706</v>
      </c>
      <c r="C1583" s="5" t="s">
        <v>3450</v>
      </c>
      <c r="E1583" s="5" t="s">
        <v>1628</v>
      </c>
      <c r="G1583" s="5">
        <v>5756135617</v>
      </c>
    </row>
    <row r="1584" spans="1:9" ht="12.5">
      <c r="A1584" s="5">
        <v>1001821483</v>
      </c>
      <c r="B1584" s="5" t="s">
        <v>23706</v>
      </c>
      <c r="C1584" s="5" t="s">
        <v>7666</v>
      </c>
      <c r="E1584" s="5" t="s">
        <v>7667</v>
      </c>
      <c r="G1584" s="5">
        <v>17542682125</v>
      </c>
      <c r="I1584" s="5" t="s">
        <v>24299</v>
      </c>
    </row>
    <row r="1585" spans="1:9" ht="12.5">
      <c r="A1585" s="5">
        <v>1140866616</v>
      </c>
      <c r="B1585" s="5" t="s">
        <v>23706</v>
      </c>
      <c r="C1585" s="5" t="s">
        <v>1928</v>
      </c>
      <c r="E1585" s="5" t="s">
        <v>24300</v>
      </c>
      <c r="G1585" s="5">
        <v>3007389560</v>
      </c>
    </row>
    <row r="1586" spans="1:9" ht="12.5">
      <c r="A1586" s="5">
        <v>1140869967</v>
      </c>
      <c r="B1586" s="5" t="s">
        <v>23706</v>
      </c>
      <c r="C1586" s="5" t="s">
        <v>7687</v>
      </c>
      <c r="E1586" s="5" t="s">
        <v>7688</v>
      </c>
      <c r="G1586" s="5">
        <v>3002039141</v>
      </c>
    </row>
    <row r="1587" spans="1:9" ht="12.5">
      <c r="A1587" s="5">
        <v>1045683671</v>
      </c>
      <c r="B1587" s="5" t="s">
        <v>23706</v>
      </c>
      <c r="C1587" s="5" t="s">
        <v>5761</v>
      </c>
      <c r="E1587" s="5" t="s">
        <v>7697</v>
      </c>
      <c r="G1587" s="5">
        <v>447554027109</v>
      </c>
    </row>
    <row r="1588" spans="1:9" ht="12.5">
      <c r="A1588" s="5">
        <v>1063948971</v>
      </c>
      <c r="B1588" s="5" t="s">
        <v>23706</v>
      </c>
      <c r="C1588" s="5" t="s">
        <v>23935</v>
      </c>
      <c r="E1588" s="5" t="s">
        <v>7695</v>
      </c>
      <c r="G1588" s="5">
        <v>3207590396</v>
      </c>
    </row>
    <row r="1589" spans="1:9" ht="12.5">
      <c r="A1589" s="5">
        <v>75083246</v>
      </c>
      <c r="B1589" s="5" t="s">
        <v>23706</v>
      </c>
      <c r="C1589" s="5" t="s">
        <v>1773</v>
      </c>
      <c r="E1589" s="5" t="s">
        <v>24301</v>
      </c>
      <c r="G1589" s="5">
        <v>3017892923</v>
      </c>
      <c r="I1589" s="5" t="s">
        <v>23790</v>
      </c>
    </row>
    <row r="1590" spans="1:9" ht="12.5">
      <c r="A1590" s="5">
        <v>1140903266</v>
      </c>
      <c r="B1590" s="5" t="s">
        <v>23706</v>
      </c>
      <c r="C1590" s="5" t="s">
        <v>7706</v>
      </c>
      <c r="E1590" s="5" t="s">
        <v>7707</v>
      </c>
      <c r="G1590" s="5">
        <v>3103851418</v>
      </c>
    </row>
    <row r="1591" spans="1:9" ht="12.5">
      <c r="A1591" s="5">
        <v>45480264</v>
      </c>
      <c r="B1591" s="5" t="s">
        <v>23706</v>
      </c>
      <c r="C1591" s="5" t="s">
        <v>4215</v>
      </c>
      <c r="E1591" s="5" t="s">
        <v>7714</v>
      </c>
      <c r="G1591" s="5">
        <v>3157545734</v>
      </c>
      <c r="I1591" s="5" t="s">
        <v>24302</v>
      </c>
    </row>
    <row r="1592" spans="1:9" ht="12.5">
      <c r="A1592" s="5">
        <v>80779097</v>
      </c>
      <c r="B1592" s="5" t="s">
        <v>23706</v>
      </c>
      <c r="C1592" s="5" t="s">
        <v>1051</v>
      </c>
      <c r="E1592" s="5" t="s">
        <v>7728</v>
      </c>
      <c r="G1592" s="5">
        <v>14438463365</v>
      </c>
    </row>
    <row r="1593" spans="1:9" ht="12.5">
      <c r="A1593" s="5">
        <v>1122402913</v>
      </c>
      <c r="B1593" s="5" t="s">
        <v>23706</v>
      </c>
      <c r="C1593" s="5" t="s">
        <v>4856</v>
      </c>
      <c r="E1593" s="5" t="s">
        <v>24303</v>
      </c>
      <c r="G1593" s="5">
        <v>3171550007</v>
      </c>
    </row>
    <row r="1594" spans="1:9" ht="12.5">
      <c r="A1594" s="5">
        <v>1010003390</v>
      </c>
      <c r="B1594" s="5" t="s">
        <v>23706</v>
      </c>
      <c r="C1594" s="5" t="s">
        <v>703</v>
      </c>
      <c r="E1594" s="5" t="s">
        <v>1585</v>
      </c>
      <c r="G1594" s="5">
        <v>3122167615</v>
      </c>
    </row>
    <row r="1595" spans="1:9" ht="12.5">
      <c r="A1595" s="5">
        <v>72313986</v>
      </c>
      <c r="B1595" s="5" t="s">
        <v>23706</v>
      </c>
      <c r="C1595" s="5" t="s">
        <v>7738</v>
      </c>
      <c r="E1595" s="5" t="s">
        <v>5573</v>
      </c>
      <c r="G1595" s="5">
        <v>31136331663</v>
      </c>
    </row>
    <row r="1596" spans="1:9" ht="12.5">
      <c r="A1596" s="5">
        <v>1220463717</v>
      </c>
      <c r="B1596" s="5" t="s">
        <v>23706</v>
      </c>
      <c r="C1596" s="5" t="s">
        <v>2101</v>
      </c>
      <c r="E1596" s="5" t="s">
        <v>7752</v>
      </c>
      <c r="G1596" s="5">
        <v>17865256179</v>
      </c>
    </row>
    <row r="1597" spans="1:9" ht="12.5">
      <c r="A1597" s="5">
        <v>1140896053</v>
      </c>
      <c r="B1597" s="5" t="s">
        <v>23706</v>
      </c>
      <c r="C1597" s="5" t="s">
        <v>7744</v>
      </c>
      <c r="E1597" s="5" t="s">
        <v>7745</v>
      </c>
      <c r="G1597" s="5">
        <v>3003327114</v>
      </c>
      <c r="I1597" s="5" t="s">
        <v>24304</v>
      </c>
    </row>
    <row r="1598" spans="1:9" ht="12.5">
      <c r="A1598" s="5">
        <v>1010001335</v>
      </c>
      <c r="B1598" s="5" t="s">
        <v>23706</v>
      </c>
      <c r="C1598" s="5" t="s">
        <v>1069</v>
      </c>
      <c r="E1598" s="5" t="s">
        <v>7762</v>
      </c>
      <c r="G1598" s="5">
        <v>3164868034</v>
      </c>
    </row>
    <row r="1599" spans="1:9" ht="12.5">
      <c r="A1599" s="5">
        <v>1237690586</v>
      </c>
      <c r="B1599" s="5" t="s">
        <v>23706</v>
      </c>
      <c r="C1599" s="5" t="s">
        <v>3982</v>
      </c>
      <c r="E1599" s="5" t="s">
        <v>7768</v>
      </c>
      <c r="G1599" s="5">
        <v>3006748354</v>
      </c>
    </row>
    <row r="1600" spans="1:9" ht="12.5">
      <c r="A1600" s="5">
        <v>1018484473</v>
      </c>
      <c r="B1600" s="5" t="s">
        <v>23706</v>
      </c>
      <c r="C1600" s="5" t="s">
        <v>24305</v>
      </c>
      <c r="E1600" s="5" t="s">
        <v>10850</v>
      </c>
      <c r="G1600" s="5">
        <v>3007657567</v>
      </c>
    </row>
    <row r="1601" spans="1:9" ht="12.5">
      <c r="A1601" s="5">
        <v>1045738243</v>
      </c>
      <c r="B1601" s="5" t="s">
        <v>23706</v>
      </c>
      <c r="C1601" s="5" t="s">
        <v>297</v>
      </c>
      <c r="E1601" s="5" t="s">
        <v>2708</v>
      </c>
      <c r="G1601" s="5">
        <v>3019193099</v>
      </c>
    </row>
    <row r="1602" spans="1:9" ht="12.5">
      <c r="A1602" s="5">
        <v>1140875383</v>
      </c>
      <c r="B1602" s="5" t="s">
        <v>23706</v>
      </c>
      <c r="C1602" s="5" t="s">
        <v>2466</v>
      </c>
      <c r="E1602" s="5" t="s">
        <v>3280</v>
      </c>
      <c r="G1602" s="5">
        <v>3152425248</v>
      </c>
    </row>
    <row r="1603" spans="1:9" ht="12.5">
      <c r="A1603" s="5">
        <v>1042250874</v>
      </c>
      <c r="B1603" s="5" t="s">
        <v>23706</v>
      </c>
      <c r="C1603" s="5" t="s">
        <v>7782</v>
      </c>
      <c r="E1603" s="5"/>
      <c r="G1603" s="10" t="s">
        <v>24306</v>
      </c>
      <c r="I1603" s="5" t="s">
        <v>24307</v>
      </c>
    </row>
    <row r="1604" spans="1:9" ht="12.5">
      <c r="A1604" s="5">
        <v>3001804680</v>
      </c>
      <c r="B1604" s="5" t="s">
        <v>23706</v>
      </c>
      <c r="C1604" s="5" t="s">
        <v>24308</v>
      </c>
      <c r="E1604" s="5" t="s">
        <v>2533</v>
      </c>
      <c r="G1604" s="5">
        <v>0</v>
      </c>
    </row>
    <row r="1605" spans="1:9" ht="12.5">
      <c r="A1605" s="5">
        <v>1044434834</v>
      </c>
      <c r="B1605" s="5" t="s">
        <v>23706</v>
      </c>
      <c r="C1605" s="5" t="s">
        <v>3861</v>
      </c>
      <c r="E1605" s="5" t="s">
        <v>372</v>
      </c>
      <c r="G1605" s="5">
        <v>3233272355</v>
      </c>
    </row>
    <row r="1606" spans="1:9" ht="12.5">
      <c r="A1606" s="5">
        <v>1046697921</v>
      </c>
      <c r="B1606" s="5" t="s">
        <v>23706</v>
      </c>
      <c r="C1606" s="5" t="s">
        <v>1069</v>
      </c>
      <c r="E1606" s="5" t="s">
        <v>10510</v>
      </c>
      <c r="G1606" s="5">
        <v>3002839116</v>
      </c>
    </row>
    <row r="1607" spans="1:9" ht="12.5">
      <c r="A1607" s="5">
        <v>8567081</v>
      </c>
      <c r="B1607" s="5" t="s">
        <v>23706</v>
      </c>
      <c r="C1607" s="5" t="s">
        <v>24309</v>
      </c>
      <c r="E1607" s="5" t="s">
        <v>7800</v>
      </c>
      <c r="G1607" s="5">
        <v>3006928918</v>
      </c>
      <c r="I1607" s="5" t="s">
        <v>24310</v>
      </c>
    </row>
    <row r="1608" spans="1:9" ht="12.5">
      <c r="A1608" s="5">
        <v>1140866410</v>
      </c>
      <c r="B1608" s="5" t="s">
        <v>23706</v>
      </c>
      <c r="C1608" s="5" t="s">
        <v>2061</v>
      </c>
      <c r="E1608" s="5" t="s">
        <v>8388</v>
      </c>
      <c r="G1608" s="5">
        <v>3107193674</v>
      </c>
    </row>
    <row r="1609" spans="1:9" ht="12.5">
      <c r="A1609" s="5">
        <v>32786391</v>
      </c>
      <c r="B1609" s="5" t="s">
        <v>23706</v>
      </c>
      <c r="C1609" s="5" t="s">
        <v>1779</v>
      </c>
      <c r="E1609" s="5" t="s">
        <v>7806</v>
      </c>
      <c r="G1609" s="5">
        <v>3002112147</v>
      </c>
      <c r="I1609" s="5" t="s">
        <v>24311</v>
      </c>
    </row>
    <row r="1610" spans="1:9" ht="12.5">
      <c r="A1610" s="5">
        <v>1143428590</v>
      </c>
      <c r="B1610" s="5" t="s">
        <v>23706</v>
      </c>
      <c r="C1610" s="5" t="s">
        <v>7808</v>
      </c>
      <c r="E1610" s="5" t="s">
        <v>7809</v>
      </c>
      <c r="G1610" s="5">
        <v>3007357473</v>
      </c>
    </row>
    <row r="1611" spans="1:9" ht="12.5">
      <c r="A1611" s="5">
        <v>1129579656</v>
      </c>
      <c r="B1611" s="5" t="s">
        <v>23706</v>
      </c>
      <c r="C1611" s="5" t="s">
        <v>6388</v>
      </c>
      <c r="E1611" s="5" t="s">
        <v>7811</v>
      </c>
      <c r="G1611" s="5">
        <v>3016797831</v>
      </c>
    </row>
    <row r="1612" spans="1:9" ht="12.5">
      <c r="A1612" s="5">
        <v>900835922</v>
      </c>
      <c r="B1612" s="5" t="s">
        <v>23706</v>
      </c>
      <c r="C1612" s="5" t="s">
        <v>7817</v>
      </c>
      <c r="E1612" s="5" t="s">
        <v>7818</v>
      </c>
      <c r="G1612" s="5">
        <v>3195545411</v>
      </c>
    </row>
    <row r="1613" spans="1:9" ht="12.5">
      <c r="A1613" s="5">
        <v>1048434039</v>
      </c>
      <c r="B1613" s="5" t="s">
        <v>23706</v>
      </c>
      <c r="C1613" s="5" t="s">
        <v>3564</v>
      </c>
      <c r="E1613" s="5" t="s">
        <v>24312</v>
      </c>
      <c r="G1613" s="5">
        <v>3117029774</v>
      </c>
      <c r="I1613" s="5" t="s">
        <v>24313</v>
      </c>
    </row>
    <row r="1614" spans="1:9" ht="12.5">
      <c r="A1614" s="5">
        <v>1124531778</v>
      </c>
      <c r="B1614" s="5" t="s">
        <v>23706</v>
      </c>
      <c r="C1614" s="5" t="s">
        <v>7844</v>
      </c>
      <c r="E1614" s="5" t="s">
        <v>7845</v>
      </c>
      <c r="G1614" s="5">
        <v>3013058892</v>
      </c>
      <c r="I1614" s="5" t="s">
        <v>24314</v>
      </c>
    </row>
    <row r="1615" spans="1:9" ht="12.5">
      <c r="A1615" s="5">
        <v>1001819879</v>
      </c>
      <c r="B1615" s="5" t="s">
        <v>23706</v>
      </c>
      <c r="C1615" s="5" t="s">
        <v>7885</v>
      </c>
      <c r="E1615" s="5" t="s">
        <v>596</v>
      </c>
      <c r="G1615" s="5">
        <v>3043828685</v>
      </c>
      <c r="I1615" s="5" t="s">
        <v>24315</v>
      </c>
    </row>
    <row r="1616" spans="1:9" ht="12.5">
      <c r="A1616" s="5">
        <v>0</v>
      </c>
      <c r="B1616" s="5" t="s">
        <v>23706</v>
      </c>
      <c r="C1616" s="5" t="s">
        <v>115</v>
      </c>
      <c r="E1616" s="5" t="s">
        <v>7826</v>
      </c>
      <c r="G1616" s="5">
        <v>3007664799</v>
      </c>
      <c r="I1616" s="5" t="s">
        <v>24316</v>
      </c>
    </row>
    <row r="1617" spans="1:9" ht="12.5">
      <c r="A1617" s="5">
        <v>1124009391</v>
      </c>
      <c r="B1617" s="5" t="s">
        <v>23706</v>
      </c>
      <c r="C1617" s="5" t="s">
        <v>3954</v>
      </c>
      <c r="E1617" s="5" t="s">
        <v>7836</v>
      </c>
      <c r="G1617" s="5">
        <v>3013727119</v>
      </c>
    </row>
    <row r="1618" spans="1:9" ht="12.5">
      <c r="A1618" s="5">
        <v>1140835162</v>
      </c>
      <c r="B1618" s="5" t="s">
        <v>23706</v>
      </c>
      <c r="C1618" s="5" t="s">
        <v>4904</v>
      </c>
      <c r="E1618" s="5" t="s">
        <v>7831</v>
      </c>
      <c r="G1618" s="5">
        <v>3002296004</v>
      </c>
    </row>
    <row r="1619" spans="1:9" ht="12.5">
      <c r="A1619" s="5">
        <v>72344821</v>
      </c>
      <c r="B1619" s="5" t="s">
        <v>23706</v>
      </c>
      <c r="C1619" s="5" t="s">
        <v>6639</v>
      </c>
      <c r="E1619" s="5" t="s">
        <v>5430</v>
      </c>
      <c r="G1619" s="5">
        <v>3126008597</v>
      </c>
      <c r="I1619" s="5" t="s">
        <v>24317</v>
      </c>
    </row>
    <row r="1620" spans="1:9" ht="12.5">
      <c r="A1620" s="5">
        <v>1020828316</v>
      </c>
      <c r="B1620" s="5" t="s">
        <v>23706</v>
      </c>
      <c r="C1620" s="5" t="s">
        <v>7872</v>
      </c>
      <c r="E1620" s="5" t="s">
        <v>7873</v>
      </c>
      <c r="G1620" s="5">
        <v>3001598282</v>
      </c>
      <c r="I1620" s="5" t="s">
        <v>24318</v>
      </c>
    </row>
    <row r="1621" spans="1:9" ht="12.5">
      <c r="A1621" s="5">
        <v>1020750871</v>
      </c>
      <c r="B1621" s="5" t="s">
        <v>23706</v>
      </c>
      <c r="C1621" s="5" t="s">
        <v>2941</v>
      </c>
      <c r="E1621" s="5" t="s">
        <v>24319</v>
      </c>
      <c r="G1621" s="5">
        <v>3205195139</v>
      </c>
      <c r="I1621" s="5" t="s">
        <v>24320</v>
      </c>
    </row>
    <row r="1622" spans="1:9" ht="12.5">
      <c r="A1622" s="5">
        <v>72268125</v>
      </c>
      <c r="B1622" s="5" t="s">
        <v>23706</v>
      </c>
      <c r="C1622" s="5" t="s">
        <v>24321</v>
      </c>
      <c r="E1622" s="5" t="s">
        <v>24322</v>
      </c>
      <c r="G1622" s="5">
        <v>3105365759</v>
      </c>
    </row>
    <row r="1623" spans="1:9" ht="12.5">
      <c r="A1623" s="5">
        <v>22476854</v>
      </c>
      <c r="B1623" s="5" t="s">
        <v>23706</v>
      </c>
      <c r="C1623" s="5" t="s">
        <v>7860</v>
      </c>
      <c r="E1623" s="5" t="s">
        <v>7861</v>
      </c>
      <c r="G1623" s="5">
        <v>1463303994</v>
      </c>
    </row>
    <row r="1624" spans="1:9" ht="12.5">
      <c r="A1624" s="5">
        <v>1041895928</v>
      </c>
      <c r="B1624" s="5" t="s">
        <v>23706</v>
      </c>
      <c r="C1624" s="5" t="s">
        <v>11200</v>
      </c>
      <c r="E1624" s="5" t="s">
        <v>7880</v>
      </c>
      <c r="G1624" s="5">
        <v>3046304222</v>
      </c>
      <c r="I1624" s="5" t="s">
        <v>24323</v>
      </c>
    </row>
    <row r="1625" spans="1:9" ht="12.5">
      <c r="A1625" s="5">
        <v>32855972</v>
      </c>
      <c r="B1625" s="5" t="s">
        <v>23706</v>
      </c>
      <c r="C1625" s="5" t="s">
        <v>4738</v>
      </c>
      <c r="E1625" s="5" t="s">
        <v>24324</v>
      </c>
      <c r="G1625" s="5">
        <v>3165398651</v>
      </c>
    </row>
    <row r="1626" spans="1:9" ht="12.5">
      <c r="A1626" s="5">
        <v>9010746718</v>
      </c>
      <c r="B1626" s="5" t="s">
        <v>23706</v>
      </c>
      <c r="C1626" s="5" t="s">
        <v>24325</v>
      </c>
      <c r="E1626" s="5" t="s">
        <v>3001</v>
      </c>
      <c r="G1626" s="5">
        <v>3113043191</v>
      </c>
    </row>
    <row r="1627" spans="1:9" ht="12.5">
      <c r="A1627" s="5">
        <v>1122815449</v>
      </c>
      <c r="B1627" s="5" t="s">
        <v>23706</v>
      </c>
      <c r="C1627" s="5" t="s">
        <v>617</v>
      </c>
      <c r="E1627" s="5" t="s">
        <v>24326</v>
      </c>
      <c r="G1627" s="5">
        <v>3183752045</v>
      </c>
    </row>
    <row r="1628" spans="1:9" ht="12.5">
      <c r="A1628" s="5">
        <v>1143469738</v>
      </c>
      <c r="B1628" s="5" t="s">
        <v>23706</v>
      </c>
      <c r="C1628" s="5" t="s">
        <v>698</v>
      </c>
      <c r="E1628" s="5" t="s">
        <v>2931</v>
      </c>
      <c r="G1628" s="5">
        <v>3104267039</v>
      </c>
    </row>
    <row r="1629" spans="1:9" ht="12.5">
      <c r="A1629" s="5">
        <v>8565464</v>
      </c>
      <c r="B1629" s="5" t="s">
        <v>23706</v>
      </c>
      <c r="C1629" s="5" t="s">
        <v>5562</v>
      </c>
      <c r="E1629" s="5" t="s">
        <v>363</v>
      </c>
      <c r="G1629" s="5">
        <v>3005099650</v>
      </c>
    </row>
    <row r="1630" spans="1:9" ht="12.5">
      <c r="A1630" s="5">
        <v>1119396834</v>
      </c>
      <c r="B1630" s="5" t="s">
        <v>23706</v>
      </c>
      <c r="C1630" s="5" t="s">
        <v>12059</v>
      </c>
      <c r="E1630" s="5" t="s">
        <v>5564</v>
      </c>
      <c r="G1630" s="5">
        <v>3135952833</v>
      </c>
    </row>
    <row r="1631" spans="1:9" ht="12.5">
      <c r="A1631" s="5">
        <v>22464965</v>
      </c>
      <c r="B1631" s="5" t="s">
        <v>23706</v>
      </c>
      <c r="C1631" s="5" t="s">
        <v>7908</v>
      </c>
      <c r="E1631" s="5" t="s">
        <v>7909</v>
      </c>
      <c r="G1631" s="5">
        <v>3168338127</v>
      </c>
    </row>
    <row r="1632" spans="1:9" ht="12.5">
      <c r="A1632" s="5">
        <v>1193580893</v>
      </c>
      <c r="B1632" s="5" t="s">
        <v>23706</v>
      </c>
      <c r="C1632" s="5" t="s">
        <v>590</v>
      </c>
      <c r="E1632" s="5" t="s">
        <v>7920</v>
      </c>
      <c r="G1632" s="5">
        <v>3166838074</v>
      </c>
      <c r="I1632" s="5" t="s">
        <v>24327</v>
      </c>
    </row>
    <row r="1633" spans="1:9" ht="12.5">
      <c r="A1633" s="5">
        <v>8061226</v>
      </c>
      <c r="B1633" s="5" t="s">
        <v>23706</v>
      </c>
      <c r="C1633" s="5" t="s">
        <v>7939</v>
      </c>
      <c r="E1633" s="5" t="s">
        <v>7940</v>
      </c>
      <c r="G1633" s="5">
        <v>584140137146</v>
      </c>
    </row>
    <row r="1634" spans="1:9" ht="12.5">
      <c r="A1634" s="5">
        <v>1140820344</v>
      </c>
      <c r="B1634" s="5" t="s">
        <v>23706</v>
      </c>
      <c r="C1634" s="5" t="s">
        <v>2799</v>
      </c>
      <c r="E1634" s="5" t="s">
        <v>7925</v>
      </c>
      <c r="G1634" s="5">
        <v>3004783152</v>
      </c>
    </row>
    <row r="1635" spans="1:9" ht="12.5">
      <c r="A1635" s="5">
        <v>1034517595</v>
      </c>
      <c r="B1635" s="5" t="s">
        <v>23706</v>
      </c>
      <c r="C1635" s="5" t="s">
        <v>182</v>
      </c>
      <c r="E1635" s="5" t="s">
        <v>9231</v>
      </c>
      <c r="G1635" s="5">
        <v>638612865</v>
      </c>
      <c r="I1635" s="5" t="s">
        <v>24328</v>
      </c>
    </row>
    <row r="1636" spans="1:9" ht="12.5">
      <c r="A1636" s="5">
        <v>1121883599</v>
      </c>
      <c r="B1636" s="5" t="s">
        <v>23706</v>
      </c>
      <c r="C1636" s="5" t="s">
        <v>3584</v>
      </c>
      <c r="E1636" s="5" t="s">
        <v>7935</v>
      </c>
      <c r="G1636" s="5">
        <v>3156128028</v>
      </c>
      <c r="I1636" s="5" t="s">
        <v>24329</v>
      </c>
    </row>
    <row r="1637" spans="1:9" ht="12.5">
      <c r="A1637" s="5">
        <v>23610164</v>
      </c>
      <c r="B1637" s="5" t="s">
        <v>23706</v>
      </c>
      <c r="C1637" s="5" t="s">
        <v>332</v>
      </c>
      <c r="E1637" s="5" t="s">
        <v>7953</v>
      </c>
      <c r="G1637" s="5">
        <v>5804123420008</v>
      </c>
      <c r="I1637" s="5" t="s">
        <v>24330</v>
      </c>
    </row>
    <row r="1638" spans="1:9" ht="12.5">
      <c r="A1638" s="5">
        <v>3004245282</v>
      </c>
      <c r="B1638" s="5" t="s">
        <v>23706</v>
      </c>
      <c r="C1638" s="5" t="s">
        <v>6476</v>
      </c>
      <c r="E1638" s="5" t="s">
        <v>1344</v>
      </c>
      <c r="G1638" s="5">
        <v>3004245282</v>
      </c>
    </row>
    <row r="1639" spans="1:9" ht="12.5">
      <c r="A1639" s="5">
        <v>1140870166</v>
      </c>
      <c r="B1639" s="5" t="s">
        <v>23706</v>
      </c>
      <c r="C1639" s="5" t="s">
        <v>7959</v>
      </c>
      <c r="E1639" s="5" t="s">
        <v>7203</v>
      </c>
      <c r="G1639" s="5">
        <v>3004397253</v>
      </c>
    </row>
    <row r="1640" spans="1:9" ht="12.5">
      <c r="A1640" s="5">
        <v>1140856897</v>
      </c>
      <c r="B1640" s="5" t="s">
        <v>23706</v>
      </c>
      <c r="C1640" s="5" t="s">
        <v>7968</v>
      </c>
      <c r="E1640" s="5" t="s">
        <v>7969</v>
      </c>
      <c r="G1640" s="5">
        <v>3008332601</v>
      </c>
      <c r="I1640" s="5" t="s">
        <v>24331</v>
      </c>
    </row>
    <row r="1641" spans="1:9" ht="12.5">
      <c r="A1641" s="5">
        <v>1083001788</v>
      </c>
      <c r="B1641" s="5" t="s">
        <v>23706</v>
      </c>
      <c r="C1641" s="5" t="s">
        <v>7963</v>
      </c>
      <c r="E1641" s="5"/>
      <c r="G1641" s="5">
        <v>3000000002</v>
      </c>
    </row>
    <row r="1642" spans="1:9" ht="12.5">
      <c r="A1642" s="5">
        <v>6490252</v>
      </c>
      <c r="B1642" s="5" t="s">
        <v>23706</v>
      </c>
      <c r="C1642" s="5" t="s">
        <v>7964</v>
      </c>
      <c r="E1642" s="5" t="s">
        <v>7965</v>
      </c>
      <c r="G1642" s="5">
        <v>0</v>
      </c>
    </row>
    <row r="1643" spans="1:9" ht="12.5">
      <c r="A1643" s="5">
        <v>1042430920</v>
      </c>
      <c r="B1643" s="5" t="s">
        <v>23706</v>
      </c>
      <c r="C1643" s="5" t="s">
        <v>6864</v>
      </c>
      <c r="E1643" s="5" t="s">
        <v>7980</v>
      </c>
      <c r="G1643" s="5">
        <v>3192516630</v>
      </c>
    </row>
    <row r="1644" spans="1:9" ht="12.5">
      <c r="A1644" s="5">
        <v>1140864521</v>
      </c>
      <c r="B1644" s="5" t="s">
        <v>23706</v>
      </c>
      <c r="C1644" s="5" t="s">
        <v>3450</v>
      </c>
      <c r="E1644" s="5" t="s">
        <v>7975</v>
      </c>
      <c r="G1644" s="5">
        <v>3242911372</v>
      </c>
      <c r="I1644" s="5" t="s">
        <v>24332</v>
      </c>
    </row>
    <row r="1645" spans="1:9" ht="12.5">
      <c r="A1645" s="5">
        <v>22413505</v>
      </c>
      <c r="B1645" s="5" t="s">
        <v>23706</v>
      </c>
      <c r="C1645" s="5" t="s">
        <v>7986</v>
      </c>
      <c r="E1645" s="5" t="s">
        <v>7987</v>
      </c>
      <c r="G1645" s="5">
        <v>3004646038</v>
      </c>
    </row>
    <row r="1646" spans="1:9" ht="12.5">
      <c r="A1646" s="5">
        <v>1048066469</v>
      </c>
      <c r="B1646" s="5" t="s">
        <v>23706</v>
      </c>
      <c r="C1646" s="5" t="s">
        <v>7908</v>
      </c>
      <c r="E1646" s="5" t="s">
        <v>7991</v>
      </c>
      <c r="G1646" s="5">
        <v>3046618575</v>
      </c>
    </row>
    <row r="1647" spans="1:9" ht="12.5">
      <c r="A1647" s="5">
        <v>9012846077</v>
      </c>
      <c r="B1647" s="5" t="s">
        <v>23706</v>
      </c>
      <c r="C1647" s="5" t="s">
        <v>7996</v>
      </c>
      <c r="E1647" s="5"/>
      <c r="G1647" s="5">
        <v>3225561246</v>
      </c>
      <c r="I1647" s="5" t="s">
        <v>24333</v>
      </c>
    </row>
    <row r="1648" spans="1:9" ht="12.5">
      <c r="A1648" s="5">
        <v>1043297218</v>
      </c>
      <c r="B1648" s="5" t="s">
        <v>23706</v>
      </c>
      <c r="C1648" s="5" t="s">
        <v>11194</v>
      </c>
      <c r="E1648" s="5" t="s">
        <v>24334</v>
      </c>
      <c r="G1648" s="5">
        <v>3113842629</v>
      </c>
      <c r="I1648" s="5" t="s">
        <v>24335</v>
      </c>
    </row>
    <row r="1649" spans="1:9" ht="12.5">
      <c r="A1649" s="5">
        <v>1234093526</v>
      </c>
      <c r="B1649" s="5" t="s">
        <v>23706</v>
      </c>
      <c r="C1649" s="5" t="s">
        <v>8001</v>
      </c>
      <c r="E1649" s="5" t="s">
        <v>8002</v>
      </c>
      <c r="G1649" s="5">
        <v>3105306014</v>
      </c>
      <c r="I1649" s="5" t="s">
        <v>24336</v>
      </c>
    </row>
    <row r="1650" spans="1:9" ht="12.5">
      <c r="A1650" s="5">
        <v>0</v>
      </c>
      <c r="B1650" s="5" t="s">
        <v>23706</v>
      </c>
      <c r="C1650" s="5">
        <v>0</v>
      </c>
      <c r="E1650" s="5">
        <v>0</v>
      </c>
      <c r="G1650" s="5">
        <v>0</v>
      </c>
    </row>
    <row r="1651" spans="1:9" ht="12.5">
      <c r="A1651" s="5">
        <v>22511489</v>
      </c>
      <c r="B1651" s="5" t="s">
        <v>23706</v>
      </c>
      <c r="C1651" s="5" t="s">
        <v>24337</v>
      </c>
      <c r="E1651" s="5" t="s">
        <v>8008</v>
      </c>
      <c r="G1651" s="5">
        <v>3022050768</v>
      </c>
    </row>
    <row r="1652" spans="1:9" ht="12.5">
      <c r="A1652" s="5">
        <v>1140892183</v>
      </c>
      <c r="B1652" s="5" t="s">
        <v>23706</v>
      </c>
      <c r="C1652" s="5" t="s">
        <v>1173</v>
      </c>
      <c r="E1652" s="5" t="s">
        <v>24338</v>
      </c>
      <c r="G1652" s="5">
        <v>3168711277</v>
      </c>
    </row>
    <row r="1653" spans="1:9" ht="12.5">
      <c r="A1653" s="5">
        <v>55312093</v>
      </c>
      <c r="B1653" s="5" t="s">
        <v>23706</v>
      </c>
      <c r="C1653" s="5" t="s">
        <v>4670</v>
      </c>
      <c r="E1653" s="5" t="s">
        <v>8025</v>
      </c>
      <c r="G1653" s="10" t="s">
        <v>24339</v>
      </c>
      <c r="I1653" s="5" t="s">
        <v>24340</v>
      </c>
    </row>
    <row r="1654" spans="1:9" ht="12.5">
      <c r="A1654" s="5">
        <v>1143168807</v>
      </c>
      <c r="B1654" s="5" t="s">
        <v>23706</v>
      </c>
      <c r="C1654" s="5" t="s">
        <v>4102</v>
      </c>
      <c r="E1654" s="5" t="s">
        <v>455</v>
      </c>
      <c r="G1654" s="5">
        <v>3154120772</v>
      </c>
    </row>
    <row r="1655" spans="1:9" ht="12.5">
      <c r="A1655" s="5">
        <v>1140842083</v>
      </c>
      <c r="B1655" s="5" t="s">
        <v>23706</v>
      </c>
      <c r="C1655" s="5" t="s">
        <v>2818</v>
      </c>
      <c r="E1655" s="5" t="s">
        <v>8033</v>
      </c>
      <c r="G1655" s="5">
        <v>3046441978</v>
      </c>
    </row>
    <row r="1656" spans="1:9" ht="12.5">
      <c r="A1656" s="5">
        <v>1234097139</v>
      </c>
      <c r="B1656" s="5" t="s">
        <v>23706</v>
      </c>
      <c r="C1656" s="5" t="s">
        <v>968</v>
      </c>
      <c r="E1656" s="5" t="s">
        <v>8020</v>
      </c>
      <c r="G1656" s="5">
        <v>3165244633</v>
      </c>
    </row>
    <row r="1657" spans="1:9" ht="12.5">
      <c r="A1657" s="5">
        <v>98712023</v>
      </c>
      <c r="B1657" s="5" t="s">
        <v>23706</v>
      </c>
      <c r="C1657" s="5" t="s">
        <v>24341</v>
      </c>
      <c r="E1657" s="5" t="s">
        <v>24342</v>
      </c>
      <c r="G1657" s="5">
        <v>3105736346</v>
      </c>
    </row>
    <row r="1658" spans="1:9" ht="12.5">
      <c r="A1658" s="5">
        <v>1140860483</v>
      </c>
      <c r="B1658" s="5" t="s">
        <v>23706</v>
      </c>
      <c r="C1658" s="5" t="s">
        <v>1038</v>
      </c>
      <c r="E1658" s="5" t="s">
        <v>10938</v>
      </c>
      <c r="G1658" s="5">
        <v>3003890651</v>
      </c>
    </row>
    <row r="1659" spans="1:9" ht="12.5">
      <c r="A1659" s="5">
        <v>1001781721</v>
      </c>
      <c r="B1659" s="5" t="s">
        <v>23706</v>
      </c>
      <c r="C1659" s="5" t="s">
        <v>4458</v>
      </c>
      <c r="E1659" s="5" t="s">
        <v>8050</v>
      </c>
      <c r="G1659" s="5">
        <v>3154701183</v>
      </c>
    </row>
    <row r="1660" spans="1:9" ht="12.5">
      <c r="A1660" s="5">
        <v>1048065244</v>
      </c>
      <c r="B1660" s="5" t="s">
        <v>23706</v>
      </c>
      <c r="C1660" s="5" t="s">
        <v>8055</v>
      </c>
      <c r="E1660" s="5" t="s">
        <v>6028</v>
      </c>
      <c r="G1660" s="5">
        <v>3011950597</v>
      </c>
    </row>
    <row r="1661" spans="1:9" ht="12.5">
      <c r="A1661" s="5">
        <v>1005105114</v>
      </c>
      <c r="B1661" s="5" t="s">
        <v>23706</v>
      </c>
      <c r="C1661" s="5" t="s">
        <v>2293</v>
      </c>
      <c r="E1661" s="5" t="s">
        <v>24024</v>
      </c>
      <c r="G1661" s="5">
        <v>18137702085</v>
      </c>
    </row>
    <row r="1662" spans="1:9" ht="12.5">
      <c r="A1662" s="5">
        <v>72151116</v>
      </c>
      <c r="B1662" s="5" t="s">
        <v>23706</v>
      </c>
      <c r="C1662" s="5" t="s">
        <v>1464</v>
      </c>
      <c r="E1662" s="5" t="s">
        <v>4441</v>
      </c>
      <c r="G1662" s="5">
        <v>3184153355</v>
      </c>
    </row>
    <row r="1663" spans="1:9" ht="12.5">
      <c r="A1663" s="5">
        <v>32740897</v>
      </c>
      <c r="B1663" s="5" t="s">
        <v>23706</v>
      </c>
      <c r="C1663" s="5" t="s">
        <v>8069</v>
      </c>
      <c r="E1663" s="5" t="s">
        <v>604</v>
      </c>
      <c r="G1663" s="5">
        <v>3022876217</v>
      </c>
    </row>
    <row r="1664" spans="1:9" ht="12.5">
      <c r="A1664" s="5">
        <v>22433438</v>
      </c>
      <c r="B1664" s="5" t="s">
        <v>23706</v>
      </c>
      <c r="C1664" s="5" t="s">
        <v>8071</v>
      </c>
      <c r="E1664" s="5" t="s">
        <v>8072</v>
      </c>
      <c r="G1664" s="5">
        <v>3007472003</v>
      </c>
    </row>
    <row r="1665" spans="1:9" ht="12.5">
      <c r="A1665" s="5">
        <v>1102885117</v>
      </c>
      <c r="B1665" s="5" t="s">
        <v>23706</v>
      </c>
      <c r="C1665" s="5" t="s">
        <v>3347</v>
      </c>
      <c r="E1665" s="5" t="s">
        <v>8078</v>
      </c>
      <c r="G1665" s="5">
        <v>3004842067</v>
      </c>
    </row>
    <row r="1666" spans="1:9" ht="12.5">
      <c r="A1666" s="5">
        <v>955301015</v>
      </c>
      <c r="B1666" s="5" t="s">
        <v>23706</v>
      </c>
      <c r="C1666" s="5" t="s">
        <v>595</v>
      </c>
      <c r="E1666" s="5" t="s">
        <v>291</v>
      </c>
      <c r="G1666" s="5">
        <v>593997661157</v>
      </c>
      <c r="I1666" s="5" t="s">
        <v>24343</v>
      </c>
    </row>
    <row r="1667" spans="1:9" ht="12.5">
      <c r="A1667" s="5">
        <v>0</v>
      </c>
      <c r="B1667" s="5" t="s">
        <v>23706</v>
      </c>
      <c r="C1667" s="5" t="s">
        <v>8088</v>
      </c>
      <c r="E1667" s="5" t="s">
        <v>2000</v>
      </c>
      <c r="G1667" s="5">
        <v>18292851600</v>
      </c>
      <c r="I1667" s="5" t="s">
        <v>24344</v>
      </c>
    </row>
    <row r="1668" spans="1:9" ht="12.5">
      <c r="A1668" s="5">
        <v>1042245841</v>
      </c>
      <c r="B1668" s="5" t="s">
        <v>23706</v>
      </c>
      <c r="C1668" s="5" t="s">
        <v>1136</v>
      </c>
      <c r="E1668" s="5" t="s">
        <v>8092</v>
      </c>
      <c r="G1668" s="5">
        <v>3104420754</v>
      </c>
    </row>
    <row r="1669" spans="1:9" ht="12.5">
      <c r="A1669" s="5">
        <v>8647325</v>
      </c>
      <c r="B1669" s="5" t="s">
        <v>23706</v>
      </c>
      <c r="C1669" s="5" t="s">
        <v>46</v>
      </c>
      <c r="E1669" s="5" t="s">
        <v>8097</v>
      </c>
      <c r="G1669" s="5">
        <v>13058126552</v>
      </c>
      <c r="I1669" s="5" t="s">
        <v>24345</v>
      </c>
    </row>
    <row r="1670" spans="1:9" ht="12.5">
      <c r="A1670" s="5">
        <v>1083024421</v>
      </c>
      <c r="B1670" s="5" t="s">
        <v>23706</v>
      </c>
      <c r="C1670" s="5" t="s">
        <v>1464</v>
      </c>
      <c r="E1670" s="5" t="s">
        <v>2677</v>
      </c>
      <c r="G1670" s="5">
        <v>317436697</v>
      </c>
      <c r="I1670" s="5" t="s">
        <v>24346</v>
      </c>
    </row>
    <row r="1671" spans="1:9" ht="12.5">
      <c r="A1671" s="5">
        <v>72198515</v>
      </c>
      <c r="B1671" s="5" t="s">
        <v>23706</v>
      </c>
      <c r="C1671" s="5" t="s">
        <v>4000</v>
      </c>
      <c r="E1671" s="5" t="s">
        <v>5606</v>
      </c>
      <c r="G1671" s="5">
        <v>15068634923</v>
      </c>
    </row>
    <row r="1672" spans="1:9" ht="12.5">
      <c r="A1672" s="5">
        <v>1234567890</v>
      </c>
      <c r="B1672" s="5" t="s">
        <v>23706</v>
      </c>
      <c r="C1672" s="5" t="s">
        <v>182</v>
      </c>
      <c r="E1672" s="5" t="s">
        <v>1683</v>
      </c>
      <c r="G1672" s="5">
        <v>3226141550</v>
      </c>
      <c r="I1672" s="5" t="s">
        <v>24347</v>
      </c>
    </row>
    <row r="1673" spans="1:9" ht="12.5">
      <c r="A1673" s="5">
        <v>123446879</v>
      </c>
      <c r="B1673" s="5" t="s">
        <v>23706</v>
      </c>
      <c r="C1673" s="5" t="s">
        <v>182</v>
      </c>
      <c r="E1673" s="5" t="s">
        <v>1683</v>
      </c>
      <c r="G1673" s="5">
        <v>3115689098</v>
      </c>
      <c r="I1673" s="5" t="s">
        <v>24348</v>
      </c>
    </row>
    <row r="1674" spans="1:9" ht="12.5">
      <c r="A1674" s="5">
        <v>1043436526</v>
      </c>
      <c r="B1674" s="5" t="s">
        <v>23706</v>
      </c>
      <c r="C1674" s="5" t="s">
        <v>4500</v>
      </c>
      <c r="E1674" s="5" t="s">
        <v>93</v>
      </c>
      <c r="G1674" s="5">
        <v>3024254554</v>
      </c>
      <c r="I1674" s="5" t="s">
        <v>24349</v>
      </c>
    </row>
    <row r="1675" spans="1:9" ht="12.5">
      <c r="A1675" s="5">
        <v>1019066074</v>
      </c>
      <c r="B1675" s="5" t="s">
        <v>23706</v>
      </c>
      <c r="C1675" s="5" t="s">
        <v>8108</v>
      </c>
      <c r="E1675" s="5" t="s">
        <v>8109</v>
      </c>
      <c r="G1675" s="5">
        <v>3003193389</v>
      </c>
    </row>
    <row r="1676" spans="1:9" ht="12.5">
      <c r="A1676" s="5">
        <v>1143142587</v>
      </c>
      <c r="B1676" s="5" t="s">
        <v>23706</v>
      </c>
      <c r="C1676" s="5" t="s">
        <v>24350</v>
      </c>
      <c r="E1676" s="5" t="s">
        <v>1205</v>
      </c>
      <c r="G1676" s="5">
        <v>3150603371</v>
      </c>
    </row>
    <row r="1677" spans="1:9" ht="12.5">
      <c r="A1677" s="5">
        <v>1045731589</v>
      </c>
      <c r="B1677" s="5" t="s">
        <v>23706</v>
      </c>
      <c r="C1677" s="5" t="s">
        <v>417</v>
      </c>
      <c r="E1677" s="5" t="s">
        <v>8124</v>
      </c>
      <c r="G1677" s="5">
        <v>3014889217</v>
      </c>
    </row>
    <row r="1678" spans="1:9" ht="12.5">
      <c r="A1678" s="5">
        <v>80414810</v>
      </c>
      <c r="B1678" s="5" t="s">
        <v>23706</v>
      </c>
      <c r="C1678" s="5" t="s">
        <v>8129</v>
      </c>
      <c r="E1678" s="5" t="s">
        <v>2000</v>
      </c>
      <c r="G1678" s="5">
        <v>3158033385</v>
      </c>
    </row>
    <row r="1679" spans="1:9" ht="12.5">
      <c r="A1679" s="5">
        <v>0</v>
      </c>
      <c r="B1679" s="5" t="s">
        <v>23706</v>
      </c>
      <c r="C1679" s="5" t="s">
        <v>8139</v>
      </c>
      <c r="E1679" s="5" t="s">
        <v>8140</v>
      </c>
      <c r="G1679" s="5">
        <v>0</v>
      </c>
    </row>
    <row r="1680" spans="1:9" ht="12.5">
      <c r="A1680" s="5">
        <v>1140903687</v>
      </c>
      <c r="B1680" s="5" t="s">
        <v>23706</v>
      </c>
      <c r="C1680" s="5" t="s">
        <v>1069</v>
      </c>
      <c r="E1680" s="5" t="s">
        <v>8145</v>
      </c>
      <c r="G1680" s="5">
        <v>3205423550</v>
      </c>
      <c r="I1680" s="5" t="s">
        <v>24351</v>
      </c>
    </row>
    <row r="1681" spans="1:9" ht="12.5">
      <c r="A1681" s="5">
        <v>1001820774</v>
      </c>
      <c r="B1681" s="5" t="s">
        <v>23706</v>
      </c>
      <c r="C1681" s="5" t="s">
        <v>24352</v>
      </c>
      <c r="E1681" s="5" t="s">
        <v>24353</v>
      </c>
      <c r="G1681" s="5">
        <v>3237737966</v>
      </c>
      <c r="I1681" s="5" t="s">
        <v>24354</v>
      </c>
    </row>
    <row r="1682" spans="1:9" ht="12.5">
      <c r="A1682" s="5">
        <v>1077864820</v>
      </c>
      <c r="B1682" s="5" t="s">
        <v>23706</v>
      </c>
      <c r="C1682" s="5" t="s">
        <v>1314</v>
      </c>
      <c r="E1682" s="5" t="s">
        <v>24355</v>
      </c>
      <c r="G1682" s="5">
        <v>3214463378</v>
      </c>
      <c r="I1682" s="5" t="s">
        <v>24356</v>
      </c>
    </row>
    <row r="1683" spans="1:9" ht="12.5">
      <c r="A1683" s="5">
        <v>40231054566</v>
      </c>
      <c r="B1683" s="5" t="s">
        <v>23706</v>
      </c>
      <c r="C1683" s="5" t="s">
        <v>968</v>
      </c>
      <c r="E1683" s="5" t="s">
        <v>8252</v>
      </c>
      <c r="G1683" s="10" t="s">
        <v>24357</v>
      </c>
      <c r="I1683" s="5" t="s">
        <v>24358</v>
      </c>
    </row>
    <row r="1684" spans="1:9" ht="12.5">
      <c r="A1684" s="5">
        <v>8567980</v>
      </c>
      <c r="B1684" s="5" t="s">
        <v>23706</v>
      </c>
      <c r="C1684" s="5" t="s">
        <v>8174</v>
      </c>
      <c r="E1684" s="5" t="s">
        <v>8175</v>
      </c>
      <c r="G1684" s="5">
        <v>3025117222</v>
      </c>
      <c r="I1684" s="5" t="s">
        <v>24359</v>
      </c>
    </row>
    <row r="1685" spans="1:9" ht="12.5">
      <c r="A1685" s="5">
        <v>8001163170</v>
      </c>
      <c r="B1685" s="5" t="s">
        <v>23706</v>
      </c>
      <c r="C1685" s="5" t="s">
        <v>24360</v>
      </c>
      <c r="E1685" s="5" t="s">
        <v>2159</v>
      </c>
      <c r="G1685" s="5">
        <v>3005860158</v>
      </c>
      <c r="I1685" s="5" t="s">
        <v>8173</v>
      </c>
    </row>
    <row r="1686" spans="1:9" ht="12.5">
      <c r="A1686" s="5">
        <v>1083047463</v>
      </c>
      <c r="B1686" s="5" t="s">
        <v>23706</v>
      </c>
      <c r="C1686" s="5" t="s">
        <v>24361</v>
      </c>
      <c r="E1686" s="5" t="s">
        <v>5606</v>
      </c>
      <c r="G1686" s="5">
        <v>0</v>
      </c>
    </row>
    <row r="1687" spans="1:9" ht="12.5">
      <c r="A1687" s="5">
        <v>1234089592</v>
      </c>
      <c r="B1687" s="5" t="s">
        <v>23706</v>
      </c>
      <c r="C1687" s="5" t="s">
        <v>158</v>
      </c>
      <c r="E1687" s="5" t="s">
        <v>24362</v>
      </c>
      <c r="G1687" s="5">
        <v>3103651978</v>
      </c>
      <c r="I1687" s="5" t="s">
        <v>24363</v>
      </c>
    </row>
    <row r="1688" spans="1:9" ht="12.5">
      <c r="A1688" s="5">
        <v>64575406</v>
      </c>
      <c r="B1688" s="5" t="s">
        <v>23706</v>
      </c>
      <c r="C1688" s="5" t="s">
        <v>3503</v>
      </c>
      <c r="E1688" s="5" t="s">
        <v>8191</v>
      </c>
      <c r="G1688" s="5">
        <v>527221682089</v>
      </c>
      <c r="I1688" s="5" t="s">
        <v>24364</v>
      </c>
    </row>
    <row r="1689" spans="1:9" ht="12.5">
      <c r="A1689" s="5">
        <v>1082893756</v>
      </c>
      <c r="B1689" s="5" t="s">
        <v>23706</v>
      </c>
      <c r="C1689" s="5" t="s">
        <v>8196</v>
      </c>
      <c r="E1689" s="5" t="s">
        <v>8197</v>
      </c>
      <c r="G1689" s="5">
        <v>3008329249</v>
      </c>
      <c r="I1689" s="5" t="s">
        <v>24365</v>
      </c>
    </row>
    <row r="1690" spans="1:9" ht="12.5">
      <c r="A1690" s="5">
        <v>25287518</v>
      </c>
      <c r="B1690" s="5" t="s">
        <v>23706</v>
      </c>
      <c r="C1690" s="5" t="s">
        <v>8205</v>
      </c>
      <c r="E1690" s="5" t="s">
        <v>8206</v>
      </c>
      <c r="G1690" s="5">
        <v>3166913377</v>
      </c>
    </row>
    <row r="1691" spans="1:9" ht="12.5">
      <c r="A1691" s="5">
        <v>1144210859</v>
      </c>
      <c r="B1691" s="5" t="s">
        <v>23706</v>
      </c>
      <c r="C1691" s="5" t="s">
        <v>1349</v>
      </c>
      <c r="E1691" s="5" t="s">
        <v>3616</v>
      </c>
      <c r="G1691" s="5">
        <v>3104630926</v>
      </c>
    </row>
    <row r="1692" spans="1:9" ht="12.5">
      <c r="A1692" s="5">
        <v>8901016912</v>
      </c>
      <c r="B1692" s="5" t="s">
        <v>23706</v>
      </c>
      <c r="C1692" s="5" t="s">
        <v>8208</v>
      </c>
      <c r="E1692" s="5" t="s">
        <v>2159</v>
      </c>
      <c r="G1692" s="5">
        <v>3138347371</v>
      </c>
    </row>
    <row r="1693" spans="1:9" ht="12.5">
      <c r="A1693" s="5">
        <v>1140837047</v>
      </c>
      <c r="B1693" s="5" t="s">
        <v>23706</v>
      </c>
      <c r="C1693" s="5" t="s">
        <v>332</v>
      </c>
      <c r="E1693" s="5" t="s">
        <v>8215</v>
      </c>
      <c r="G1693" s="5">
        <v>3105277555</v>
      </c>
    </row>
    <row r="1694" spans="1:9" ht="12.5">
      <c r="A1694" s="5">
        <v>7027429008</v>
      </c>
      <c r="B1694" s="5" t="s">
        <v>23706</v>
      </c>
      <c r="C1694" s="5" t="s">
        <v>8220</v>
      </c>
      <c r="E1694" s="5" t="s">
        <v>8221</v>
      </c>
      <c r="G1694" s="5">
        <v>17027429008</v>
      </c>
    </row>
    <row r="1695" spans="1:9" ht="12.5">
      <c r="A1695" s="5">
        <v>22551298</v>
      </c>
      <c r="B1695" s="5" t="s">
        <v>23706</v>
      </c>
      <c r="C1695" s="5" t="s">
        <v>8223</v>
      </c>
      <c r="E1695" s="5" t="s">
        <v>8224</v>
      </c>
      <c r="G1695" s="5">
        <v>3004259835</v>
      </c>
      <c r="I1695" s="5" t="s">
        <v>24366</v>
      </c>
    </row>
    <row r="1696" spans="1:9" ht="12.5">
      <c r="A1696" s="5">
        <v>0</v>
      </c>
      <c r="B1696" s="5" t="s">
        <v>23706</v>
      </c>
      <c r="C1696" s="5" t="s">
        <v>8231</v>
      </c>
      <c r="E1696" s="5" t="s">
        <v>24367</v>
      </c>
      <c r="G1696" s="5">
        <v>3244313909</v>
      </c>
    </row>
    <row r="1697" spans="1:9" ht="12.5">
      <c r="A1697" s="5">
        <v>1045667959</v>
      </c>
      <c r="B1697" s="5" t="s">
        <v>23706</v>
      </c>
      <c r="C1697" s="5" t="s">
        <v>8245</v>
      </c>
      <c r="E1697" s="5" t="s">
        <v>8246</v>
      </c>
      <c r="G1697" s="5">
        <v>3012930040</v>
      </c>
      <c r="I1697" s="5" t="s">
        <v>24368</v>
      </c>
    </row>
    <row r="1698" spans="1:9" ht="12.5">
      <c r="A1698" s="5">
        <v>1140882177</v>
      </c>
      <c r="B1698" s="5" t="s">
        <v>23706</v>
      </c>
      <c r="C1698" s="5" t="s">
        <v>1773</v>
      </c>
      <c r="E1698" s="5" t="s">
        <v>8240</v>
      </c>
      <c r="G1698" s="5">
        <v>3205215209</v>
      </c>
      <c r="I1698" s="5" t="s">
        <v>24369</v>
      </c>
    </row>
    <row r="1699" spans="1:9" ht="12.5">
      <c r="A1699" s="5">
        <v>1140838576</v>
      </c>
      <c r="B1699" s="5" t="s">
        <v>23706</v>
      </c>
      <c r="C1699" s="5" t="s">
        <v>8257</v>
      </c>
      <c r="E1699" s="5" t="s">
        <v>93</v>
      </c>
      <c r="G1699" s="5">
        <v>3102372468</v>
      </c>
      <c r="I1699" s="5" t="s">
        <v>24370</v>
      </c>
    </row>
    <row r="1700" spans="1:9" ht="12.5">
      <c r="A1700" s="5">
        <v>1047490763</v>
      </c>
      <c r="B1700" s="5" t="s">
        <v>23706</v>
      </c>
      <c r="C1700" s="5" t="s">
        <v>1692</v>
      </c>
      <c r="E1700" s="5" t="s">
        <v>2726</v>
      </c>
      <c r="G1700" s="5">
        <v>3043280854</v>
      </c>
      <c r="I1700" s="5" t="s">
        <v>24371</v>
      </c>
    </row>
    <row r="1701" spans="1:9" ht="12.5">
      <c r="A1701" s="5">
        <v>45460351</v>
      </c>
      <c r="B1701" s="5" t="s">
        <v>23706</v>
      </c>
      <c r="C1701" s="5" t="s">
        <v>24372</v>
      </c>
      <c r="E1701" s="5" t="s">
        <v>8263</v>
      </c>
      <c r="G1701" s="5">
        <v>3205493637</v>
      </c>
    </row>
    <row r="1702" spans="1:9" ht="12.5">
      <c r="A1702" s="5">
        <v>1020728280</v>
      </c>
      <c r="B1702" s="5" t="s">
        <v>23706</v>
      </c>
      <c r="C1702" s="5" t="s">
        <v>1706</v>
      </c>
      <c r="E1702" s="5" t="s">
        <v>2398</v>
      </c>
      <c r="G1702" s="5">
        <v>13054972673</v>
      </c>
      <c r="I1702" s="5" t="s">
        <v>24373</v>
      </c>
    </row>
    <row r="1703" spans="1:9" ht="12.5">
      <c r="A1703" s="5">
        <v>1004960334</v>
      </c>
      <c r="B1703" s="5" t="s">
        <v>23706</v>
      </c>
      <c r="C1703" s="5" t="s">
        <v>8279</v>
      </c>
      <c r="E1703" s="5" t="s">
        <v>8280</v>
      </c>
      <c r="G1703" s="5">
        <v>3165753137</v>
      </c>
      <c r="I1703" s="5" t="s">
        <v>24374</v>
      </c>
    </row>
    <row r="1704" spans="1:9" ht="12.5">
      <c r="A1704" s="5">
        <v>1033812878</v>
      </c>
      <c r="B1704" s="5" t="s">
        <v>23706</v>
      </c>
      <c r="C1704" s="5" t="s">
        <v>8318</v>
      </c>
      <c r="E1704" s="5" t="s">
        <v>8319</v>
      </c>
      <c r="G1704" s="5">
        <v>3118769807</v>
      </c>
    </row>
    <row r="1705" spans="1:9" ht="12.5">
      <c r="A1705" s="5">
        <v>9014221828</v>
      </c>
      <c r="B1705" s="5" t="s">
        <v>23782</v>
      </c>
      <c r="C1705" s="5" t="s">
        <v>8285</v>
      </c>
      <c r="E1705" s="5" t="s">
        <v>2159</v>
      </c>
      <c r="G1705" s="5">
        <v>3204899499</v>
      </c>
      <c r="I1705" s="5" t="s">
        <v>23867</v>
      </c>
    </row>
    <row r="1706" spans="1:9" ht="12.5">
      <c r="A1706" s="5">
        <v>1140849973</v>
      </c>
      <c r="B1706" s="5" t="s">
        <v>23706</v>
      </c>
      <c r="C1706" s="5" t="s">
        <v>24375</v>
      </c>
      <c r="E1706" s="5" t="s">
        <v>8291</v>
      </c>
      <c r="G1706" s="5">
        <v>3205787065</v>
      </c>
      <c r="I1706" s="5" t="s">
        <v>24376</v>
      </c>
    </row>
    <row r="1707" spans="1:9" ht="12.5">
      <c r="A1707" s="5">
        <v>22667998</v>
      </c>
      <c r="B1707" s="5" t="s">
        <v>23706</v>
      </c>
      <c r="C1707" s="5" t="s">
        <v>2652</v>
      </c>
      <c r="E1707" s="5" t="s">
        <v>2622</v>
      </c>
      <c r="G1707" s="5">
        <v>17868203226</v>
      </c>
      <c r="I1707" s="5" t="s">
        <v>24377</v>
      </c>
    </row>
    <row r="1708" spans="1:9" ht="12.5">
      <c r="A1708" s="5">
        <v>883704</v>
      </c>
      <c r="B1708" s="5" t="s">
        <v>23706</v>
      </c>
      <c r="C1708" s="5" t="s">
        <v>3227</v>
      </c>
      <c r="E1708" s="5" t="s">
        <v>3228</v>
      </c>
      <c r="G1708" s="5">
        <v>17542692153</v>
      </c>
    </row>
    <row r="1709" spans="1:9" ht="12.5">
      <c r="A1709" s="5">
        <v>3158007393</v>
      </c>
      <c r="B1709" s="5" t="s">
        <v>23706</v>
      </c>
      <c r="C1709" s="5" t="s">
        <v>23918</v>
      </c>
      <c r="E1709" s="5" t="s">
        <v>8305</v>
      </c>
      <c r="G1709" s="5">
        <v>3158007393</v>
      </c>
      <c r="I1709" s="5" t="s">
        <v>24378</v>
      </c>
    </row>
    <row r="1710" spans="1:9" ht="12.5">
      <c r="A1710" s="5">
        <v>1129543039</v>
      </c>
      <c r="B1710" s="5" t="s">
        <v>23706</v>
      </c>
      <c r="C1710" s="5" t="s">
        <v>24379</v>
      </c>
      <c r="E1710" s="5" t="s">
        <v>24380</v>
      </c>
      <c r="G1710" s="5">
        <v>3116526194</v>
      </c>
    </row>
    <row r="1711" spans="1:9" ht="12.5">
      <c r="A1711" s="5">
        <v>112951008</v>
      </c>
      <c r="B1711" s="5" t="s">
        <v>23706</v>
      </c>
      <c r="C1711" s="5" t="s">
        <v>23741</v>
      </c>
      <c r="E1711" s="5" t="s">
        <v>24381</v>
      </c>
      <c r="G1711" s="5">
        <v>3104859534</v>
      </c>
    </row>
    <row r="1712" spans="1:9" ht="12.5">
      <c r="A1712" s="5">
        <v>1140895033</v>
      </c>
      <c r="B1712" s="5" t="s">
        <v>23706</v>
      </c>
      <c r="C1712" s="5" t="s">
        <v>84</v>
      </c>
      <c r="E1712" s="5" t="s">
        <v>8314</v>
      </c>
      <c r="G1712" s="5">
        <v>3116533390</v>
      </c>
      <c r="I1712" s="5" t="s">
        <v>24382</v>
      </c>
    </row>
    <row r="1713" spans="1:9" ht="12.5">
      <c r="A1713" s="5">
        <v>1042458281</v>
      </c>
      <c r="B1713" s="5" t="s">
        <v>23706</v>
      </c>
      <c r="C1713" s="5" t="s">
        <v>270</v>
      </c>
      <c r="E1713" s="5" t="s">
        <v>1264</v>
      </c>
      <c r="G1713" s="5">
        <v>3023903202</v>
      </c>
    </row>
    <row r="1714" spans="1:9" ht="12.5">
      <c r="A1714" s="5">
        <v>1140888540</v>
      </c>
      <c r="B1714" s="5" t="s">
        <v>23706</v>
      </c>
      <c r="C1714" s="5" t="s">
        <v>10023</v>
      </c>
      <c r="E1714" s="5" t="s">
        <v>8330</v>
      </c>
      <c r="G1714" s="5">
        <v>3145955628</v>
      </c>
    </row>
    <row r="1715" spans="1:9" ht="12.5">
      <c r="A1715" s="5">
        <v>1140831392</v>
      </c>
      <c r="B1715" s="5" t="s">
        <v>23706</v>
      </c>
      <c r="C1715" s="5" t="s">
        <v>226</v>
      </c>
      <c r="E1715" s="5" t="s">
        <v>2362</v>
      </c>
      <c r="G1715" s="5">
        <v>3156837670</v>
      </c>
      <c r="I1715" s="5" t="s">
        <v>24383</v>
      </c>
    </row>
    <row r="1716" spans="1:9" ht="12.5">
      <c r="A1716" s="5">
        <v>1143148733</v>
      </c>
      <c r="B1716" s="5" t="s">
        <v>23706</v>
      </c>
      <c r="C1716" s="5" t="s">
        <v>3075</v>
      </c>
      <c r="E1716" s="5" t="s">
        <v>8337</v>
      </c>
      <c r="G1716" s="5">
        <v>3002309814</v>
      </c>
    </row>
    <row r="1717" spans="1:9" ht="12.5">
      <c r="A1717" s="5">
        <v>37819854</v>
      </c>
      <c r="B1717" s="5" t="s">
        <v>23706</v>
      </c>
      <c r="C1717" s="5" t="s">
        <v>8343</v>
      </c>
      <c r="E1717" s="5" t="s">
        <v>8344</v>
      </c>
      <c r="G1717" s="5">
        <v>3156837670</v>
      </c>
    </row>
    <row r="1718" spans="1:9" ht="12.5">
      <c r="A1718" s="5">
        <v>52807419</v>
      </c>
      <c r="B1718" s="5" t="s">
        <v>23706</v>
      </c>
      <c r="C1718" s="5" t="s">
        <v>8367</v>
      </c>
      <c r="E1718" s="5" t="s">
        <v>93</v>
      </c>
      <c r="G1718" s="10" t="s">
        <v>24384</v>
      </c>
      <c r="I1718" s="5" t="s">
        <v>24385</v>
      </c>
    </row>
    <row r="1719" spans="1:9" ht="12.5">
      <c r="A1719" s="5">
        <v>1044211917</v>
      </c>
      <c r="B1719" s="5" t="s">
        <v>23706</v>
      </c>
      <c r="C1719" s="5" t="s">
        <v>3450</v>
      </c>
      <c r="E1719" s="5" t="s">
        <v>1628</v>
      </c>
      <c r="G1719" s="5">
        <v>3106562073</v>
      </c>
      <c r="I1719" s="5" t="s">
        <v>24386</v>
      </c>
    </row>
    <row r="1720" spans="1:9" ht="12.5">
      <c r="A1720" s="5">
        <v>1140861068</v>
      </c>
      <c r="B1720" s="5" t="s">
        <v>23706</v>
      </c>
      <c r="C1720" s="5" t="s">
        <v>8350</v>
      </c>
      <c r="E1720" s="5" t="s">
        <v>1540</v>
      </c>
      <c r="G1720" s="5">
        <v>3057726638</v>
      </c>
    </row>
    <row r="1721" spans="1:9" ht="12.5">
      <c r="A1721" s="5">
        <v>1020799984</v>
      </c>
      <c r="B1721" s="5" t="s">
        <v>23706</v>
      </c>
      <c r="C1721" s="5" t="s">
        <v>1555</v>
      </c>
      <c r="E1721" s="5" t="s">
        <v>510</v>
      </c>
      <c r="G1721" s="5">
        <v>3102887371</v>
      </c>
    </row>
    <row r="1722" spans="1:9" ht="12.5">
      <c r="A1722" s="5">
        <v>22669679</v>
      </c>
      <c r="B1722" s="5" t="s">
        <v>23706</v>
      </c>
      <c r="C1722" s="5" t="s">
        <v>8357</v>
      </c>
      <c r="E1722" s="5" t="s">
        <v>8358</v>
      </c>
      <c r="G1722" s="5">
        <v>0</v>
      </c>
    </row>
    <row r="1723" spans="1:9" ht="12.5">
      <c r="A1723" s="5">
        <v>1042241189</v>
      </c>
      <c r="B1723" s="5" t="s">
        <v>23706</v>
      </c>
      <c r="C1723" s="5" t="s">
        <v>3564</v>
      </c>
      <c r="E1723" s="5" t="s">
        <v>8360</v>
      </c>
      <c r="G1723" s="5">
        <v>3243155523</v>
      </c>
      <c r="I1723" s="5" t="s">
        <v>24387</v>
      </c>
    </row>
    <row r="1724" spans="1:9" ht="12.5">
      <c r="A1724" s="5">
        <v>1082833240</v>
      </c>
      <c r="B1724" s="5" t="s">
        <v>23706</v>
      </c>
      <c r="C1724" s="5" t="s">
        <v>5182</v>
      </c>
      <c r="E1724" s="5" t="s">
        <v>8365</v>
      </c>
      <c r="G1724" s="5">
        <v>3238130953</v>
      </c>
    </row>
    <row r="1725" spans="1:9" ht="12.5">
      <c r="A1725" s="5">
        <v>0</v>
      </c>
      <c r="B1725" s="5" t="s">
        <v>23706</v>
      </c>
      <c r="C1725" s="5" t="s">
        <v>8380</v>
      </c>
      <c r="E1725" s="5" t="s">
        <v>1865</v>
      </c>
      <c r="G1725" s="5">
        <v>0</v>
      </c>
    </row>
    <row r="1726" spans="1:9" ht="12.5">
      <c r="A1726" s="5">
        <v>1001778580</v>
      </c>
      <c r="B1726" s="5" t="s">
        <v>23706</v>
      </c>
      <c r="C1726" s="5" t="s">
        <v>24388</v>
      </c>
      <c r="E1726" s="5" t="s">
        <v>8604</v>
      </c>
      <c r="G1726" s="5">
        <v>3148429221</v>
      </c>
    </row>
    <row r="1727" spans="1:9" ht="12.5">
      <c r="A1727" s="5">
        <v>1140897953</v>
      </c>
      <c r="B1727" s="5" t="s">
        <v>23706</v>
      </c>
      <c r="C1727" s="5" t="s">
        <v>1349</v>
      </c>
      <c r="E1727" s="5" t="s">
        <v>2560</v>
      </c>
      <c r="G1727" s="5">
        <v>3004508991</v>
      </c>
    </row>
    <row r="1728" spans="1:9" ht="12.5">
      <c r="A1728" s="5">
        <v>1045703254</v>
      </c>
      <c r="B1728" s="5" t="s">
        <v>23706</v>
      </c>
      <c r="C1728" s="5" t="s">
        <v>24096</v>
      </c>
      <c r="E1728" s="5" t="s">
        <v>8382</v>
      </c>
      <c r="G1728" s="5">
        <v>3116881566</v>
      </c>
    </row>
    <row r="1729" spans="1:9" ht="12.5">
      <c r="A1729" s="5">
        <v>8642810</v>
      </c>
      <c r="B1729" s="5" t="s">
        <v>23706</v>
      </c>
      <c r="C1729" s="5" t="s">
        <v>8387</v>
      </c>
      <c r="E1729" s="5" t="s">
        <v>8388</v>
      </c>
      <c r="G1729" s="5">
        <v>3165244074</v>
      </c>
      <c r="I1729" s="5" t="s">
        <v>24389</v>
      </c>
    </row>
    <row r="1730" spans="1:9" ht="12.5">
      <c r="A1730" s="5">
        <v>30575554</v>
      </c>
      <c r="B1730" s="5" t="s">
        <v>23706</v>
      </c>
      <c r="C1730" s="5" t="s">
        <v>11357</v>
      </c>
      <c r="E1730" s="5" t="s">
        <v>24390</v>
      </c>
      <c r="G1730" s="5">
        <v>3176611944</v>
      </c>
      <c r="I1730" s="5" t="s">
        <v>24391</v>
      </c>
    </row>
    <row r="1731" spans="1:9" ht="12.5">
      <c r="A1731" s="5">
        <v>1143159260</v>
      </c>
      <c r="B1731" s="5" t="s">
        <v>23706</v>
      </c>
      <c r="C1731" s="5" t="s">
        <v>13708</v>
      </c>
      <c r="E1731" s="5"/>
      <c r="G1731" s="5">
        <v>3242829432</v>
      </c>
      <c r="I1731" s="5" t="s">
        <v>24392</v>
      </c>
    </row>
    <row r="1732" spans="1:9" ht="12.5">
      <c r="A1732" s="5">
        <v>1143466549</v>
      </c>
      <c r="B1732" s="5" t="s">
        <v>23706</v>
      </c>
      <c r="C1732" s="5" t="s">
        <v>4856</v>
      </c>
      <c r="E1732" s="5" t="s">
        <v>2620</v>
      </c>
      <c r="G1732" s="5">
        <v>3004164256</v>
      </c>
    </row>
    <row r="1733" spans="1:9" ht="12.5">
      <c r="A1733" s="5">
        <v>1005663360</v>
      </c>
      <c r="B1733" s="5" t="s">
        <v>23706</v>
      </c>
      <c r="C1733" s="5" t="s">
        <v>8439</v>
      </c>
      <c r="E1733" s="5" t="s">
        <v>8440</v>
      </c>
      <c r="G1733" s="5">
        <v>3002740557</v>
      </c>
    </row>
    <row r="1734" spans="1:9" ht="12.5">
      <c r="A1734" s="5">
        <v>1003498149</v>
      </c>
      <c r="B1734" s="5" t="s">
        <v>23706</v>
      </c>
      <c r="C1734" s="5" t="s">
        <v>24393</v>
      </c>
      <c r="E1734" s="5" t="s">
        <v>8425</v>
      </c>
      <c r="G1734" s="5">
        <v>3008138601</v>
      </c>
      <c r="I1734" s="5" t="s">
        <v>24394</v>
      </c>
    </row>
    <row r="1735" spans="1:9" ht="12.5">
      <c r="A1735" s="5">
        <v>1234091256</v>
      </c>
      <c r="B1735" s="5" t="s">
        <v>23706</v>
      </c>
      <c r="C1735" s="5" t="s">
        <v>24395</v>
      </c>
      <c r="E1735" s="5" t="s">
        <v>8414</v>
      </c>
      <c r="G1735" s="5">
        <v>3017212885</v>
      </c>
    </row>
    <row r="1736" spans="1:9" ht="12.5">
      <c r="A1736" s="5">
        <v>1140895171</v>
      </c>
      <c r="B1736" s="5" t="s">
        <v>23706</v>
      </c>
      <c r="C1736" s="5" t="s">
        <v>84</v>
      </c>
      <c r="E1736" s="5" t="s">
        <v>8446</v>
      </c>
      <c r="G1736" s="5">
        <v>3014395851</v>
      </c>
    </row>
    <row r="1737" spans="1:9" ht="12.5">
      <c r="A1737" s="5">
        <v>1102870706</v>
      </c>
      <c r="B1737" s="5" t="s">
        <v>23706</v>
      </c>
      <c r="C1737" s="5" t="s">
        <v>8432</v>
      </c>
      <c r="E1737" s="5" t="s">
        <v>8433</v>
      </c>
      <c r="G1737" s="5">
        <v>3006107337</v>
      </c>
      <c r="I1737" s="5" t="s">
        <v>24396</v>
      </c>
    </row>
    <row r="1738" spans="1:9" ht="12.5">
      <c r="A1738" s="5">
        <v>1691170</v>
      </c>
      <c r="B1738" s="5" t="s">
        <v>23706</v>
      </c>
      <c r="C1738" s="5" t="s">
        <v>11458</v>
      </c>
      <c r="E1738" s="5" t="s">
        <v>24397</v>
      </c>
      <c r="G1738" s="5">
        <v>393899088763</v>
      </c>
      <c r="I1738" s="5" t="s">
        <v>24398</v>
      </c>
    </row>
    <row r="1739" spans="1:9" ht="12.5">
      <c r="A1739" s="5">
        <v>1129577003</v>
      </c>
      <c r="B1739" s="5" t="s">
        <v>23706</v>
      </c>
      <c r="C1739" s="5" t="s">
        <v>217</v>
      </c>
      <c r="E1739" s="5" t="s">
        <v>3525</v>
      </c>
      <c r="G1739" s="5">
        <v>3014003649</v>
      </c>
    </row>
    <row r="1740" spans="1:9" ht="12.5">
      <c r="A1740" s="5">
        <v>1042850334</v>
      </c>
      <c r="B1740" s="5" t="s">
        <v>23706</v>
      </c>
      <c r="C1740" s="5" t="s">
        <v>5288</v>
      </c>
      <c r="E1740" s="5" t="s">
        <v>23861</v>
      </c>
      <c r="G1740" s="5">
        <v>3146021201</v>
      </c>
      <c r="I1740" s="5" t="s">
        <v>24399</v>
      </c>
    </row>
    <row r="1741" spans="1:9" ht="12.5">
      <c r="A1741" s="5">
        <v>1001854237</v>
      </c>
      <c r="B1741" s="5" t="s">
        <v>23706</v>
      </c>
      <c r="C1741" s="5" t="s">
        <v>8454</v>
      </c>
      <c r="E1741" s="5" t="s">
        <v>8455</v>
      </c>
      <c r="G1741" s="5">
        <v>3043619461</v>
      </c>
      <c r="I1741" s="5" t="s">
        <v>24400</v>
      </c>
    </row>
    <row r="1742" spans="1:9" ht="12.5">
      <c r="A1742" s="5">
        <v>1192744856</v>
      </c>
      <c r="B1742" s="5" t="s">
        <v>23706</v>
      </c>
      <c r="C1742" s="5" t="s">
        <v>1243</v>
      </c>
      <c r="E1742" s="5" t="s">
        <v>7184</v>
      </c>
      <c r="G1742" s="5">
        <v>3246843222</v>
      </c>
      <c r="I1742" s="5" t="s">
        <v>24401</v>
      </c>
    </row>
    <row r="1743" spans="1:9" ht="12.5">
      <c r="A1743" s="5">
        <v>1045724248</v>
      </c>
      <c r="B1743" s="5" t="s">
        <v>23706</v>
      </c>
      <c r="C1743" s="5" t="s">
        <v>8471</v>
      </c>
      <c r="E1743" s="5" t="s">
        <v>8472</v>
      </c>
      <c r="G1743" s="5">
        <v>34684725923</v>
      </c>
    </row>
    <row r="1744" spans="1:9" ht="12.5">
      <c r="A1744" s="5">
        <v>15682350</v>
      </c>
      <c r="B1744" s="5" t="s">
        <v>23706</v>
      </c>
      <c r="C1744" s="5" t="s">
        <v>8475</v>
      </c>
      <c r="E1744" s="5" t="s">
        <v>372</v>
      </c>
      <c r="G1744" s="5">
        <v>3015535844</v>
      </c>
    </row>
    <row r="1745" spans="1:9" ht="12.5">
      <c r="A1745" s="5">
        <v>72238807</v>
      </c>
      <c r="B1745" s="5" t="s">
        <v>23706</v>
      </c>
      <c r="C1745" s="5" t="s">
        <v>7560</v>
      </c>
      <c r="E1745" s="5" t="s">
        <v>8479</v>
      </c>
      <c r="G1745" s="5">
        <v>3107103333</v>
      </c>
    </row>
    <row r="1746" spans="1:9" ht="12.5">
      <c r="A1746" s="5">
        <v>1234096142</v>
      </c>
      <c r="B1746" s="5" t="s">
        <v>23706</v>
      </c>
      <c r="C1746" s="5" t="s">
        <v>2361</v>
      </c>
      <c r="E1746" s="5" t="s">
        <v>510</v>
      </c>
      <c r="G1746" s="5">
        <v>3158175508</v>
      </c>
    </row>
    <row r="1747" spans="1:9" ht="12.5">
      <c r="A1747" s="5">
        <v>55301992</v>
      </c>
      <c r="B1747" s="5" t="s">
        <v>23706</v>
      </c>
      <c r="C1747" s="5" t="s">
        <v>8485</v>
      </c>
      <c r="E1747" s="5" t="s">
        <v>8486</v>
      </c>
      <c r="G1747" s="5">
        <v>0</v>
      </c>
    </row>
    <row r="1748" spans="1:9" ht="12.5">
      <c r="A1748" s="5">
        <v>1140846731</v>
      </c>
      <c r="B1748" s="5" t="s">
        <v>23706</v>
      </c>
      <c r="C1748" s="5" t="s">
        <v>1200</v>
      </c>
      <c r="E1748" s="5" t="s">
        <v>8488</v>
      </c>
      <c r="G1748" s="5">
        <v>3163969183</v>
      </c>
    </row>
    <row r="1749" spans="1:9" ht="12.5">
      <c r="A1749" s="5">
        <v>1221968699</v>
      </c>
      <c r="B1749" s="5" t="s">
        <v>23706</v>
      </c>
      <c r="C1749" s="5" t="s">
        <v>24402</v>
      </c>
      <c r="E1749" s="5" t="s">
        <v>24403</v>
      </c>
      <c r="G1749" s="5">
        <v>3008205218</v>
      </c>
    </row>
    <row r="1750" spans="1:9" ht="12.5">
      <c r="A1750" s="5">
        <v>72003963</v>
      </c>
      <c r="B1750" s="5" t="s">
        <v>23706</v>
      </c>
      <c r="C1750" s="5" t="s">
        <v>8496</v>
      </c>
      <c r="E1750" s="5" t="s">
        <v>6287</v>
      </c>
      <c r="G1750" s="5">
        <v>3008298523</v>
      </c>
      <c r="I1750" s="5" t="s">
        <v>24404</v>
      </c>
    </row>
    <row r="1751" spans="1:9" ht="12.5">
      <c r="A1751" s="5">
        <v>901228343</v>
      </c>
      <c r="B1751" s="5" t="s">
        <v>23782</v>
      </c>
      <c r="C1751" s="5" t="s">
        <v>8504</v>
      </c>
      <c r="E1751" s="5"/>
      <c r="G1751" s="5">
        <v>3209674178</v>
      </c>
    </row>
    <row r="1752" spans="1:9" ht="12.5">
      <c r="A1752" s="5">
        <v>1140854950</v>
      </c>
      <c r="B1752" s="5" t="s">
        <v>23706</v>
      </c>
      <c r="C1752" s="5" t="s">
        <v>8510</v>
      </c>
      <c r="E1752" s="5" t="s">
        <v>8511</v>
      </c>
      <c r="G1752" s="5">
        <v>3046491202</v>
      </c>
      <c r="I1752" s="5" t="s">
        <v>24405</v>
      </c>
    </row>
    <row r="1753" spans="1:9" ht="12.5">
      <c r="A1753" s="5">
        <v>1125793830</v>
      </c>
      <c r="B1753" s="5" t="s">
        <v>23706</v>
      </c>
      <c r="C1753" s="5" t="s">
        <v>23872</v>
      </c>
      <c r="E1753" s="5" t="s">
        <v>47</v>
      </c>
      <c r="G1753" s="5">
        <v>3042407206</v>
      </c>
      <c r="I1753" s="5" t="s">
        <v>24406</v>
      </c>
    </row>
    <row r="1754" spans="1:9" ht="12.5">
      <c r="A1754" s="5">
        <v>1052091181</v>
      </c>
      <c r="B1754" s="5" t="s">
        <v>23706</v>
      </c>
      <c r="C1754" s="5" t="s">
        <v>3075</v>
      </c>
      <c r="E1754" s="5" t="s">
        <v>8522</v>
      </c>
      <c r="G1754" s="5">
        <v>3003413524</v>
      </c>
      <c r="I1754" s="5" t="s">
        <v>24407</v>
      </c>
    </row>
    <row r="1755" spans="1:9" ht="12.5">
      <c r="A1755" s="5">
        <v>1045680898</v>
      </c>
      <c r="B1755" s="5" t="s">
        <v>23706</v>
      </c>
      <c r="C1755" s="5" t="s">
        <v>9178</v>
      </c>
      <c r="E1755" s="5" t="s">
        <v>9179</v>
      </c>
      <c r="G1755" s="5">
        <v>3012334915</v>
      </c>
    </row>
    <row r="1756" spans="1:9" ht="12.5">
      <c r="A1756" s="5">
        <v>22491398</v>
      </c>
      <c r="B1756" s="5" t="s">
        <v>23706</v>
      </c>
      <c r="C1756" s="5" t="s">
        <v>24408</v>
      </c>
      <c r="E1756" s="5" t="s">
        <v>8528</v>
      </c>
      <c r="G1756" s="5">
        <v>3018117852</v>
      </c>
    </row>
    <row r="1757" spans="1:9" ht="12.5">
      <c r="A1757" s="5">
        <v>1001944050</v>
      </c>
      <c r="B1757" s="5" t="s">
        <v>23706</v>
      </c>
      <c r="C1757" s="5" t="s">
        <v>5685</v>
      </c>
      <c r="E1757" s="5" t="s">
        <v>8533</v>
      </c>
      <c r="G1757" s="10" t="s">
        <v>24409</v>
      </c>
    </row>
    <row r="1758" spans="1:9" ht="12.5">
      <c r="A1758" s="5">
        <v>113029936</v>
      </c>
      <c r="B1758" s="5" t="s">
        <v>23706</v>
      </c>
      <c r="C1758" s="5" t="s">
        <v>8540</v>
      </c>
      <c r="E1758" s="5" t="s">
        <v>8541</v>
      </c>
      <c r="G1758" s="5">
        <v>3022992802</v>
      </c>
      <c r="I1758" s="5" t="s">
        <v>24410</v>
      </c>
    </row>
    <row r="1759" spans="1:9" ht="12.5">
      <c r="A1759" s="5">
        <v>1140866459</v>
      </c>
      <c r="B1759" s="5" t="s">
        <v>23706</v>
      </c>
      <c r="C1759" s="5" t="s">
        <v>24411</v>
      </c>
      <c r="E1759" s="5" t="s">
        <v>3565</v>
      </c>
      <c r="G1759" s="5">
        <v>3215748571</v>
      </c>
    </row>
    <row r="1760" spans="1:9" ht="12.5">
      <c r="A1760" s="5">
        <v>1124004788</v>
      </c>
      <c r="B1760" s="5" t="s">
        <v>23706</v>
      </c>
      <c r="C1760" s="5" t="s">
        <v>638</v>
      </c>
      <c r="E1760" s="5" t="s">
        <v>7043</v>
      </c>
      <c r="G1760" s="5">
        <v>3222123914</v>
      </c>
      <c r="I1760" s="5" t="s">
        <v>24412</v>
      </c>
    </row>
    <row r="1761" spans="1:9" ht="12.5">
      <c r="A1761" s="5">
        <v>55301204</v>
      </c>
      <c r="B1761" s="5" t="s">
        <v>23706</v>
      </c>
      <c r="C1761" s="5" t="s">
        <v>5761</v>
      </c>
      <c r="E1761" s="5" t="s">
        <v>8563</v>
      </c>
      <c r="G1761" s="5">
        <v>3105095798</v>
      </c>
    </row>
    <row r="1762" spans="1:9" ht="12.5">
      <c r="A1762" s="5">
        <v>1045715009</v>
      </c>
      <c r="B1762" s="5" t="s">
        <v>23706</v>
      </c>
      <c r="C1762" s="5" t="s">
        <v>290</v>
      </c>
      <c r="E1762" s="5" t="s">
        <v>8557</v>
      </c>
      <c r="G1762" s="5">
        <v>3007471391</v>
      </c>
    </row>
    <row r="1763" spans="1:9" ht="12.5">
      <c r="A1763" s="5">
        <v>1192804007</v>
      </c>
      <c r="B1763" s="5" t="s">
        <v>23706</v>
      </c>
      <c r="C1763" s="5" t="s">
        <v>698</v>
      </c>
      <c r="E1763" s="5" t="s">
        <v>2749</v>
      </c>
      <c r="G1763" s="5">
        <v>3014894720</v>
      </c>
    </row>
    <row r="1764" spans="1:9" ht="12.5">
      <c r="A1764" s="5">
        <v>49781950</v>
      </c>
      <c r="B1764" s="5" t="s">
        <v>23706</v>
      </c>
      <c r="C1764" s="5" t="s">
        <v>262</v>
      </c>
      <c r="E1764" s="5" t="s">
        <v>8560</v>
      </c>
      <c r="G1764" s="5">
        <v>3003897684</v>
      </c>
    </row>
    <row r="1765" spans="1:9" ht="12.5">
      <c r="A1765" s="5">
        <v>72275722</v>
      </c>
      <c r="B1765" s="5" t="s">
        <v>23706</v>
      </c>
      <c r="C1765" s="5" t="s">
        <v>4458</v>
      </c>
      <c r="E1765" s="5" t="s">
        <v>312</v>
      </c>
      <c r="G1765" s="5">
        <v>3006147425</v>
      </c>
    </row>
    <row r="1766" spans="1:9" ht="12.5">
      <c r="A1766" s="5">
        <v>77025796</v>
      </c>
      <c r="B1766" s="5" t="s">
        <v>23706</v>
      </c>
      <c r="C1766" s="5" t="s">
        <v>10948</v>
      </c>
      <c r="E1766" s="5" t="s">
        <v>1390</v>
      </c>
      <c r="G1766" s="5">
        <v>0</v>
      </c>
    </row>
    <row r="1767" spans="1:9" ht="12.5">
      <c r="A1767" s="5">
        <v>1044211617</v>
      </c>
      <c r="B1767" s="5" t="s">
        <v>23706</v>
      </c>
      <c r="C1767" s="5" t="s">
        <v>8579</v>
      </c>
      <c r="E1767" s="5" t="s">
        <v>8580</v>
      </c>
      <c r="G1767" s="5">
        <v>3147271426</v>
      </c>
    </row>
    <row r="1768" spans="1:9" ht="12.5">
      <c r="A1768" s="5">
        <v>1140869294</v>
      </c>
      <c r="B1768" s="5" t="s">
        <v>23706</v>
      </c>
      <c r="C1768" s="5" t="s">
        <v>76</v>
      </c>
      <c r="E1768" s="5" t="s">
        <v>8585</v>
      </c>
      <c r="G1768" s="5">
        <v>3014063275</v>
      </c>
      <c r="I1768" s="5" t="s">
        <v>24413</v>
      </c>
    </row>
    <row r="1769" spans="1:9" ht="12.5">
      <c r="A1769" s="5">
        <v>1001787801</v>
      </c>
      <c r="B1769" s="5" t="s">
        <v>23706</v>
      </c>
      <c r="C1769" s="5" t="s">
        <v>5128</v>
      </c>
      <c r="E1769" s="5" t="s">
        <v>11905</v>
      </c>
      <c r="G1769" s="5">
        <v>3226321850</v>
      </c>
      <c r="I1769" s="5" t="s">
        <v>24414</v>
      </c>
    </row>
    <row r="1770" spans="1:9" ht="12.5">
      <c r="A1770" s="5">
        <v>8486565</v>
      </c>
      <c r="B1770" s="5" t="s">
        <v>23706</v>
      </c>
      <c r="C1770" s="5" t="s">
        <v>584</v>
      </c>
      <c r="E1770" s="5" t="s">
        <v>24415</v>
      </c>
      <c r="G1770" s="5">
        <v>0</v>
      </c>
    </row>
    <row r="1771" spans="1:9" ht="12.5">
      <c r="A1771" s="5">
        <v>1193234908</v>
      </c>
      <c r="B1771" s="5" t="s">
        <v>23706</v>
      </c>
      <c r="C1771" s="5" t="s">
        <v>1546</v>
      </c>
      <c r="E1771" s="5" t="s">
        <v>7991</v>
      </c>
      <c r="G1771" s="5">
        <v>3105203293</v>
      </c>
      <c r="I1771" s="5" t="s">
        <v>24416</v>
      </c>
    </row>
    <row r="1772" spans="1:9" ht="12.5">
      <c r="A1772" s="5">
        <v>264167</v>
      </c>
      <c r="B1772" s="5" t="s">
        <v>23706</v>
      </c>
      <c r="C1772" s="5" t="s">
        <v>8598</v>
      </c>
      <c r="E1772" s="5" t="s">
        <v>24417</v>
      </c>
      <c r="G1772" s="5">
        <v>3023881376</v>
      </c>
    </row>
    <row r="1773" spans="1:9" ht="12.5">
      <c r="A1773" s="5">
        <v>22494108</v>
      </c>
      <c r="B1773" s="5" t="s">
        <v>23706</v>
      </c>
      <c r="C1773" s="5" t="s">
        <v>76</v>
      </c>
      <c r="E1773" s="5" t="s">
        <v>6711</v>
      </c>
      <c r="G1773" s="5">
        <v>3007567345</v>
      </c>
    </row>
    <row r="1774" spans="1:9" ht="12.5">
      <c r="A1774" s="5">
        <v>1129565726</v>
      </c>
      <c r="B1774" s="5" t="s">
        <v>23706</v>
      </c>
      <c r="C1774" s="5" t="s">
        <v>226</v>
      </c>
      <c r="E1774" s="5" t="s">
        <v>11234</v>
      </c>
      <c r="G1774" s="5">
        <v>3013099731</v>
      </c>
    </row>
    <row r="1775" spans="1:9" ht="12.5">
      <c r="A1775" s="5">
        <v>1043000488</v>
      </c>
      <c r="B1775" s="5" t="s">
        <v>23706</v>
      </c>
      <c r="C1775" s="5" t="s">
        <v>825</v>
      </c>
      <c r="E1775" s="5" t="s">
        <v>8613</v>
      </c>
      <c r="G1775" s="5">
        <v>3013459777</v>
      </c>
    </row>
    <row r="1776" spans="1:9" ht="12.5">
      <c r="A1776" s="5">
        <v>8784357</v>
      </c>
      <c r="B1776" s="5" t="s">
        <v>23706</v>
      </c>
      <c r="C1776" s="5" t="s">
        <v>8616</v>
      </c>
      <c r="E1776" s="5" t="s">
        <v>4573</v>
      </c>
      <c r="G1776" s="5">
        <v>3104389209</v>
      </c>
    </row>
    <row r="1777" spans="1:9" ht="12.5">
      <c r="A1777" s="5">
        <v>1146534849</v>
      </c>
      <c r="B1777" s="5" t="s">
        <v>23706</v>
      </c>
      <c r="C1777" s="5" t="s">
        <v>13520</v>
      </c>
      <c r="E1777" s="5"/>
      <c r="G1777" s="5">
        <v>3118234583</v>
      </c>
    </row>
    <row r="1778" spans="1:9" ht="12.5">
      <c r="A1778" s="5">
        <v>12544103</v>
      </c>
      <c r="B1778" s="5" t="s">
        <v>23706</v>
      </c>
      <c r="C1778" s="5" t="s">
        <v>7687</v>
      </c>
      <c r="E1778" s="5" t="s">
        <v>24418</v>
      </c>
      <c r="G1778" s="5">
        <v>3126910321</v>
      </c>
      <c r="I1778" s="5" t="s">
        <v>24419</v>
      </c>
    </row>
    <row r="1779" spans="1:9" ht="12.5">
      <c r="A1779" s="5">
        <v>52814988</v>
      </c>
      <c r="B1779" s="5" t="s">
        <v>23706</v>
      </c>
      <c r="C1779" s="5" t="s">
        <v>8630</v>
      </c>
      <c r="E1779" s="5" t="s">
        <v>3525</v>
      </c>
      <c r="G1779" s="5">
        <v>3164543781</v>
      </c>
    </row>
    <row r="1780" spans="1:9" ht="12.5">
      <c r="A1780" s="5">
        <v>1045679285</v>
      </c>
      <c r="B1780" s="5" t="s">
        <v>23706</v>
      </c>
      <c r="C1780" s="5" t="s">
        <v>24420</v>
      </c>
      <c r="E1780" s="5" t="s">
        <v>24421</v>
      </c>
      <c r="G1780" s="5">
        <v>3012666399</v>
      </c>
    </row>
    <row r="1781" spans="1:9" ht="12.5">
      <c r="A1781" s="5">
        <v>1036663571</v>
      </c>
      <c r="B1781" s="5" t="s">
        <v>23706</v>
      </c>
      <c r="C1781" s="5" t="s">
        <v>84</v>
      </c>
      <c r="E1781" s="5" t="s">
        <v>1566</v>
      </c>
      <c r="G1781" s="5">
        <v>3012463494</v>
      </c>
      <c r="I1781" s="5" t="s">
        <v>24422</v>
      </c>
    </row>
    <row r="1782" spans="1:9" ht="12.5">
      <c r="A1782" s="5">
        <v>1047044461</v>
      </c>
      <c r="B1782" s="5" t="s">
        <v>23706</v>
      </c>
      <c r="C1782" s="5" t="s">
        <v>2985</v>
      </c>
      <c r="E1782" s="5" t="s">
        <v>24423</v>
      </c>
      <c r="G1782" s="5">
        <v>3006878638</v>
      </c>
      <c r="I1782" s="5" t="s">
        <v>24424</v>
      </c>
    </row>
    <row r="1783" spans="1:9" ht="12.5">
      <c r="A1783" s="5">
        <v>1110363591</v>
      </c>
      <c r="B1783" s="5" t="s">
        <v>23706</v>
      </c>
      <c r="C1783" s="5" t="s">
        <v>4973</v>
      </c>
      <c r="E1783" s="5" t="s">
        <v>93</v>
      </c>
      <c r="G1783" s="5">
        <v>3104932529</v>
      </c>
      <c r="I1783" s="5" t="s">
        <v>24425</v>
      </c>
    </row>
    <row r="1784" spans="1:9" ht="12.5">
      <c r="A1784" s="5">
        <v>1140848974</v>
      </c>
      <c r="B1784" s="5" t="s">
        <v>23706</v>
      </c>
      <c r="C1784" s="5" t="s">
        <v>730</v>
      </c>
      <c r="E1784" s="5" t="s">
        <v>1566</v>
      </c>
      <c r="G1784" s="5">
        <v>3012762288</v>
      </c>
    </row>
    <row r="1785" spans="1:9" ht="12.5">
      <c r="A1785" s="5">
        <v>1234096436</v>
      </c>
      <c r="B1785" s="5" t="s">
        <v>23706</v>
      </c>
      <c r="C1785" s="5" t="s">
        <v>24426</v>
      </c>
      <c r="E1785" s="5" t="s">
        <v>8644</v>
      </c>
      <c r="G1785" s="5">
        <v>3157520378</v>
      </c>
    </row>
    <row r="1786" spans="1:9" ht="12.5">
      <c r="A1786" s="5">
        <v>104741462</v>
      </c>
      <c r="B1786" s="5" t="s">
        <v>23706</v>
      </c>
      <c r="C1786" s="5" t="s">
        <v>24427</v>
      </c>
      <c r="E1786" s="5" t="s">
        <v>8659</v>
      </c>
      <c r="G1786" s="5">
        <v>3157132910</v>
      </c>
    </row>
    <row r="1787" spans="1:9" ht="12.5">
      <c r="A1787" s="5">
        <v>52250159</v>
      </c>
      <c r="B1787" s="5" t="s">
        <v>23706</v>
      </c>
      <c r="C1787" s="5" t="s">
        <v>24428</v>
      </c>
      <c r="E1787" s="5" t="s">
        <v>1145</v>
      </c>
      <c r="G1787" s="5">
        <v>3157538423</v>
      </c>
    </row>
    <row r="1788" spans="1:9" ht="12.5">
      <c r="A1788" s="5">
        <v>1055918601</v>
      </c>
      <c r="B1788" s="5" t="s">
        <v>23706</v>
      </c>
      <c r="C1788" s="5" t="s">
        <v>14520</v>
      </c>
      <c r="E1788" s="5"/>
      <c r="G1788" s="5">
        <v>3008606738</v>
      </c>
      <c r="I1788" s="5" t="s">
        <v>24429</v>
      </c>
    </row>
    <row r="1789" spans="1:9" ht="12.5">
      <c r="A1789" s="5">
        <v>1047381329</v>
      </c>
      <c r="B1789" s="5" t="s">
        <v>23706</v>
      </c>
      <c r="C1789" s="5" t="s">
        <v>24430</v>
      </c>
      <c r="E1789" s="5" t="s">
        <v>8669</v>
      </c>
      <c r="G1789" s="5">
        <v>4367761544685</v>
      </c>
      <c r="I1789" s="5" t="s">
        <v>24431</v>
      </c>
    </row>
    <row r="1790" spans="1:9" ht="12.5">
      <c r="A1790" s="5">
        <v>92555264</v>
      </c>
      <c r="B1790" s="5" t="s">
        <v>23706</v>
      </c>
      <c r="C1790" s="5" t="s">
        <v>2533</v>
      </c>
      <c r="E1790" s="5" t="s">
        <v>604</v>
      </c>
      <c r="G1790" s="5">
        <v>3004822021</v>
      </c>
    </row>
    <row r="1791" spans="1:9" ht="12.5">
      <c r="A1791" s="5">
        <v>24604220</v>
      </c>
      <c r="B1791" s="5" t="s">
        <v>23706</v>
      </c>
      <c r="C1791" s="5" t="s">
        <v>8685</v>
      </c>
      <c r="E1791" s="5" t="s">
        <v>8686</v>
      </c>
      <c r="G1791" s="5">
        <v>3163543233</v>
      </c>
    </row>
    <row r="1792" spans="1:9" ht="12.5">
      <c r="A1792" s="5">
        <v>890102010</v>
      </c>
      <c r="B1792" s="5" t="s">
        <v>23782</v>
      </c>
      <c r="C1792" s="5" t="s">
        <v>24432</v>
      </c>
      <c r="E1792" s="5"/>
      <c r="G1792" s="5">
        <v>3023251890</v>
      </c>
      <c r="I1792" s="5" t="s">
        <v>24433</v>
      </c>
    </row>
    <row r="1793" spans="1:9" ht="12.5">
      <c r="A1793" s="5">
        <v>40230840841</v>
      </c>
      <c r="B1793" s="5" t="s">
        <v>23706</v>
      </c>
      <c r="C1793" s="5" t="s">
        <v>5917</v>
      </c>
      <c r="E1793" s="5" t="s">
        <v>8690</v>
      </c>
      <c r="G1793" s="5">
        <v>6178667912</v>
      </c>
    </row>
    <row r="1794" spans="1:9" ht="12.5">
      <c r="A1794" s="5">
        <v>1010014765</v>
      </c>
      <c r="B1794" s="5" t="s">
        <v>23706</v>
      </c>
      <c r="C1794" s="5" t="s">
        <v>8696</v>
      </c>
      <c r="E1794" s="5" t="s">
        <v>8697</v>
      </c>
      <c r="G1794" s="5">
        <v>3174419970</v>
      </c>
    </row>
    <row r="1795" spans="1:9" ht="12.5">
      <c r="A1795" s="5">
        <v>1234089273</v>
      </c>
      <c r="B1795" s="5" t="s">
        <v>23706</v>
      </c>
      <c r="C1795" s="5" t="s">
        <v>24434</v>
      </c>
      <c r="E1795" s="5" t="s">
        <v>8702</v>
      </c>
      <c r="G1795" s="5">
        <v>3016359897</v>
      </c>
      <c r="I1795" s="5" t="s">
        <v>24435</v>
      </c>
    </row>
    <row r="1796" spans="1:9" ht="12.5">
      <c r="A1796" s="5">
        <v>10140846895</v>
      </c>
      <c r="B1796" s="5" t="s">
        <v>23706</v>
      </c>
      <c r="C1796" s="5" t="s">
        <v>445</v>
      </c>
      <c r="E1796" s="5" t="s">
        <v>8699</v>
      </c>
      <c r="G1796" s="5">
        <v>3013529652</v>
      </c>
    </row>
    <row r="1797" spans="1:9" ht="12.5">
      <c r="A1797" s="5">
        <v>84077713</v>
      </c>
      <c r="B1797" s="5" t="s">
        <v>23706</v>
      </c>
      <c r="C1797" s="5" t="s">
        <v>8705</v>
      </c>
      <c r="E1797" s="5" t="s">
        <v>8706</v>
      </c>
      <c r="G1797" s="5">
        <v>3013513196</v>
      </c>
    </row>
    <row r="1798" spans="1:9" ht="12.5">
      <c r="A1798" s="5">
        <v>1046711014</v>
      </c>
      <c r="B1798" s="5" t="s">
        <v>23706</v>
      </c>
      <c r="C1798" s="5" t="s">
        <v>5128</v>
      </c>
      <c r="E1798" s="5" t="s">
        <v>8711</v>
      </c>
      <c r="G1798" s="5">
        <v>3107144361</v>
      </c>
    </row>
    <row r="1799" spans="1:9" ht="12.5">
      <c r="A1799" s="5">
        <v>1221980328</v>
      </c>
      <c r="B1799" s="5" t="s">
        <v>23706</v>
      </c>
      <c r="C1799" s="5" t="s">
        <v>968</v>
      </c>
      <c r="E1799" s="5" t="s">
        <v>8716</v>
      </c>
      <c r="G1799" s="5">
        <v>3014429893</v>
      </c>
    </row>
    <row r="1800" spans="1:9" ht="12.5">
      <c r="A1800" s="5">
        <v>50919331</v>
      </c>
      <c r="B1800" s="5" t="s">
        <v>23706</v>
      </c>
      <c r="C1800" s="5" t="s">
        <v>24436</v>
      </c>
      <c r="E1800" s="5" t="s">
        <v>8734</v>
      </c>
      <c r="G1800" s="5">
        <v>3006972936</v>
      </c>
      <c r="I1800" s="5" t="s">
        <v>24437</v>
      </c>
    </row>
    <row r="1801" spans="1:9" ht="12.5">
      <c r="A1801" s="5">
        <v>1102866288</v>
      </c>
      <c r="B1801" s="5" t="s">
        <v>23706</v>
      </c>
      <c r="C1801" s="5" t="s">
        <v>703</v>
      </c>
      <c r="E1801" s="5" t="s">
        <v>8739</v>
      </c>
      <c r="G1801" s="5">
        <v>3014818839</v>
      </c>
    </row>
    <row r="1802" spans="1:9" ht="12.5">
      <c r="A1802" s="5">
        <v>72170284</v>
      </c>
      <c r="B1802" s="5" t="s">
        <v>23706</v>
      </c>
      <c r="C1802" s="5" t="s">
        <v>3962</v>
      </c>
      <c r="E1802" s="5" t="s">
        <v>1137</v>
      </c>
      <c r="G1802" s="5">
        <v>3145196650</v>
      </c>
    </row>
    <row r="1803" spans="1:9" ht="12.5">
      <c r="A1803" s="5">
        <v>1010173395</v>
      </c>
      <c r="B1803" s="5" t="s">
        <v>23706</v>
      </c>
      <c r="C1803" s="5" t="s">
        <v>10515</v>
      </c>
      <c r="E1803" s="5" t="s">
        <v>24438</v>
      </c>
      <c r="G1803" s="5">
        <v>3045743836</v>
      </c>
      <c r="I1803" s="5" t="s">
        <v>24439</v>
      </c>
    </row>
    <row r="1804" spans="1:9" ht="12.5">
      <c r="A1804" s="5">
        <v>1070596809</v>
      </c>
      <c r="B1804" s="5" t="s">
        <v>23706</v>
      </c>
      <c r="C1804" s="5" t="s">
        <v>4297</v>
      </c>
      <c r="E1804" s="5" t="s">
        <v>2890</v>
      </c>
      <c r="G1804" s="5">
        <v>3173676673</v>
      </c>
      <c r="I1804" s="5" t="s">
        <v>24440</v>
      </c>
    </row>
    <row r="1805" spans="1:9" ht="12.5">
      <c r="A1805" s="5">
        <v>1045679976</v>
      </c>
      <c r="B1805" s="5" t="s">
        <v>23706</v>
      </c>
      <c r="C1805" s="5" t="s">
        <v>24441</v>
      </c>
      <c r="E1805" s="5" t="s">
        <v>24442</v>
      </c>
      <c r="G1805" s="5">
        <v>3215595519</v>
      </c>
    </row>
    <row r="1806" spans="1:9" ht="12.5">
      <c r="A1806" s="5">
        <v>0</v>
      </c>
      <c r="B1806" s="5" t="s">
        <v>23706</v>
      </c>
      <c r="C1806" s="5" t="s">
        <v>24443</v>
      </c>
      <c r="E1806" s="5" t="s">
        <v>8756</v>
      </c>
      <c r="G1806" s="5">
        <v>3012771247</v>
      </c>
    </row>
    <row r="1807" spans="1:9" ht="12.5">
      <c r="A1807" s="5">
        <v>1143119836</v>
      </c>
      <c r="B1807" s="5" t="s">
        <v>23706</v>
      </c>
      <c r="C1807" s="5" t="s">
        <v>8759</v>
      </c>
      <c r="E1807" s="5" t="s">
        <v>8760</v>
      </c>
      <c r="G1807" s="5">
        <v>4606948</v>
      </c>
    </row>
    <row r="1808" spans="1:9" ht="12.5">
      <c r="A1808" s="5">
        <v>1005624935</v>
      </c>
      <c r="B1808" s="5" t="s">
        <v>23706</v>
      </c>
      <c r="C1808" s="5" t="s">
        <v>2361</v>
      </c>
      <c r="E1808" s="5" t="s">
        <v>3749</v>
      </c>
      <c r="G1808" s="5">
        <v>3005537698</v>
      </c>
      <c r="I1808" s="5" t="s">
        <v>24444</v>
      </c>
    </row>
    <row r="1809" spans="1:9" ht="12.5">
      <c r="A1809" s="5">
        <v>1140892968</v>
      </c>
      <c r="B1809" s="5" t="s">
        <v>23706</v>
      </c>
      <c r="C1809" s="5" t="s">
        <v>24445</v>
      </c>
      <c r="E1809" s="5" t="s">
        <v>24446</v>
      </c>
      <c r="G1809" s="5">
        <v>3183319632</v>
      </c>
      <c r="I1809" s="5" t="s">
        <v>24447</v>
      </c>
    </row>
    <row r="1810" spans="1:9" ht="12.5">
      <c r="A1810" s="5">
        <v>1143372247</v>
      </c>
      <c r="B1810" s="5" t="s">
        <v>23706</v>
      </c>
      <c r="C1810" s="5" t="s">
        <v>1204</v>
      </c>
      <c r="E1810" s="5" t="s">
        <v>2517</v>
      </c>
      <c r="G1810" s="5">
        <v>3225960096</v>
      </c>
      <c r="I1810" s="5" t="s">
        <v>24448</v>
      </c>
    </row>
    <row r="1811" spans="1:9" ht="12.5">
      <c r="A1811" s="5">
        <v>57299576</v>
      </c>
      <c r="B1811" s="5" t="s">
        <v>23706</v>
      </c>
      <c r="C1811" s="5" t="s">
        <v>24449</v>
      </c>
      <c r="E1811" s="5" t="s">
        <v>8800</v>
      </c>
      <c r="G1811" s="5">
        <v>3017077772</v>
      </c>
    </row>
    <row r="1812" spans="1:9" ht="12.5">
      <c r="A1812" s="5">
        <v>72310758</v>
      </c>
      <c r="B1812" s="5" t="s">
        <v>23706</v>
      </c>
      <c r="C1812" s="5" t="s">
        <v>1687</v>
      </c>
      <c r="E1812" s="5" t="s">
        <v>2495</v>
      </c>
      <c r="G1812" s="5">
        <v>3003229431</v>
      </c>
      <c r="I1812" s="5" t="s">
        <v>24450</v>
      </c>
    </row>
    <row r="1813" spans="1:9" ht="12.5">
      <c r="A1813" s="5">
        <v>72272568</v>
      </c>
      <c r="B1813" s="5" t="s">
        <v>23706</v>
      </c>
      <c r="C1813" s="5" t="s">
        <v>1736</v>
      </c>
      <c r="E1813" s="5" t="s">
        <v>116</v>
      </c>
      <c r="G1813" s="5">
        <v>3135713981</v>
      </c>
      <c r="I1813" s="5" t="s">
        <v>24451</v>
      </c>
    </row>
    <row r="1814" spans="1:9" ht="12.5">
      <c r="A1814" s="5">
        <v>72098133</v>
      </c>
      <c r="B1814" s="5" t="s">
        <v>23706</v>
      </c>
      <c r="C1814" s="5" t="s">
        <v>11652</v>
      </c>
      <c r="E1814" s="5" t="s">
        <v>8798</v>
      </c>
      <c r="G1814" s="5">
        <v>3238904444</v>
      </c>
    </row>
    <row r="1815" spans="1:9" ht="12.5">
      <c r="A1815" s="5">
        <v>72277862</v>
      </c>
      <c r="B1815" s="5" t="s">
        <v>23706</v>
      </c>
      <c r="C1815" s="5" t="s">
        <v>5576</v>
      </c>
      <c r="E1815" s="5" t="s">
        <v>8807</v>
      </c>
      <c r="G1815" s="5">
        <v>3205792617</v>
      </c>
      <c r="I1815" s="5" t="s">
        <v>24452</v>
      </c>
    </row>
    <row r="1816" spans="1:9" ht="12.5">
      <c r="A1816" s="5">
        <v>0</v>
      </c>
      <c r="B1816" s="5" t="s">
        <v>23706</v>
      </c>
      <c r="C1816" s="5" t="s">
        <v>445</v>
      </c>
      <c r="E1816" s="5" t="s">
        <v>3877</v>
      </c>
      <c r="G1816" s="5">
        <v>0</v>
      </c>
    </row>
    <row r="1817" spans="1:9" ht="12.5">
      <c r="A1817" s="5">
        <v>23084981</v>
      </c>
      <c r="B1817" s="5" t="s">
        <v>23706</v>
      </c>
      <c r="C1817" s="5" t="s">
        <v>8811</v>
      </c>
      <c r="E1817" s="5" t="s">
        <v>455</v>
      </c>
      <c r="G1817" s="5">
        <v>3046688627</v>
      </c>
      <c r="I1817" s="5" t="s">
        <v>24453</v>
      </c>
    </row>
    <row r="1818" spans="1:9" ht="12.5">
      <c r="A1818" s="5">
        <v>1129568365</v>
      </c>
      <c r="B1818" s="5" t="s">
        <v>23706</v>
      </c>
      <c r="C1818" s="5" t="s">
        <v>24454</v>
      </c>
      <c r="E1818" s="5" t="s">
        <v>24455</v>
      </c>
      <c r="G1818" s="5">
        <v>3243606110</v>
      </c>
      <c r="I1818" s="5" t="s">
        <v>24456</v>
      </c>
    </row>
    <row r="1819" spans="1:9" ht="12.5">
      <c r="A1819" s="5">
        <v>1045761202</v>
      </c>
      <c r="B1819" s="5" t="s">
        <v>23706</v>
      </c>
      <c r="C1819" s="5" t="s">
        <v>8822</v>
      </c>
      <c r="E1819" s="5" t="s">
        <v>8823</v>
      </c>
      <c r="G1819" s="5">
        <v>3174863301</v>
      </c>
      <c r="I1819" s="5" t="s">
        <v>24457</v>
      </c>
    </row>
    <row r="1820" spans="1:9" ht="12.5">
      <c r="A1820" s="5">
        <v>1140857132</v>
      </c>
      <c r="B1820" s="5" t="s">
        <v>23706</v>
      </c>
      <c r="C1820" s="5" t="s">
        <v>1798</v>
      </c>
      <c r="E1820" s="5" t="s">
        <v>1968</v>
      </c>
      <c r="G1820" s="5">
        <v>3004474213</v>
      </c>
      <c r="I1820" s="5" t="s">
        <v>24458</v>
      </c>
    </row>
    <row r="1821" spans="1:9" ht="12.5">
      <c r="A1821" s="5">
        <v>1065830976</v>
      </c>
      <c r="B1821" s="5" t="s">
        <v>23706</v>
      </c>
      <c r="C1821" s="5" t="s">
        <v>8833</v>
      </c>
      <c r="E1821" s="5" t="s">
        <v>8834</v>
      </c>
      <c r="G1821" s="5">
        <v>3156852856</v>
      </c>
    </row>
    <row r="1822" spans="1:9" ht="12.5">
      <c r="A1822" s="5">
        <v>1140893453</v>
      </c>
      <c r="B1822" s="5" t="s">
        <v>23706</v>
      </c>
      <c r="C1822" s="5" t="s">
        <v>3139</v>
      </c>
      <c r="E1822" s="5" t="s">
        <v>8839</v>
      </c>
      <c r="G1822" s="5">
        <v>3003996801</v>
      </c>
      <c r="I1822" s="5" t="s">
        <v>24459</v>
      </c>
    </row>
    <row r="1823" spans="1:9" ht="12.5">
      <c r="A1823" s="5">
        <v>1193122351</v>
      </c>
      <c r="B1823" s="5" t="s">
        <v>23706</v>
      </c>
      <c r="C1823" s="5" t="s">
        <v>8861</v>
      </c>
      <c r="E1823" s="5" t="s">
        <v>8862</v>
      </c>
      <c r="G1823" s="5">
        <v>3015847567</v>
      </c>
    </row>
    <row r="1824" spans="1:9" ht="12.5">
      <c r="A1824" s="5">
        <v>1104259753</v>
      </c>
      <c r="B1824" s="5" t="s">
        <v>23706</v>
      </c>
      <c r="C1824" s="5" t="s">
        <v>8850</v>
      </c>
      <c r="E1824" s="5" t="s">
        <v>8851</v>
      </c>
      <c r="G1824" s="5">
        <v>3052468073</v>
      </c>
      <c r="I1824" s="5" t="s">
        <v>24460</v>
      </c>
    </row>
    <row r="1825" spans="1:9" ht="12.5">
      <c r="A1825" s="5">
        <v>108033666</v>
      </c>
      <c r="B1825" s="5" t="s">
        <v>23706</v>
      </c>
      <c r="C1825" s="5" t="s">
        <v>84</v>
      </c>
      <c r="E1825" s="5" t="s">
        <v>7325</v>
      </c>
      <c r="G1825" s="5">
        <v>3005057739</v>
      </c>
    </row>
    <row r="1826" spans="1:9" ht="12.5">
      <c r="A1826" s="5">
        <v>55305751</v>
      </c>
      <c r="B1826" s="5" t="s">
        <v>23706</v>
      </c>
      <c r="C1826" s="5" t="s">
        <v>4174</v>
      </c>
      <c r="E1826" s="5" t="s">
        <v>1387</v>
      </c>
      <c r="G1826" s="5">
        <v>3158714603</v>
      </c>
    </row>
    <row r="1827" spans="1:9" ht="12.5">
      <c r="A1827" s="5">
        <v>1193131398</v>
      </c>
      <c r="B1827" s="5" t="s">
        <v>23706</v>
      </c>
      <c r="C1827" s="5" t="s">
        <v>8870</v>
      </c>
      <c r="E1827" s="5" t="s">
        <v>8871</v>
      </c>
      <c r="G1827" s="5">
        <v>3046418455</v>
      </c>
    </row>
    <row r="1828" spans="1:9" ht="12.5">
      <c r="A1828" s="5">
        <v>1042257378</v>
      </c>
      <c r="B1828" s="5" t="s">
        <v>23782</v>
      </c>
      <c r="C1828" s="5" t="s">
        <v>2836</v>
      </c>
      <c r="E1828" s="5" t="s">
        <v>8878</v>
      </c>
      <c r="G1828" s="5">
        <v>3233924387</v>
      </c>
      <c r="I1828" s="5" t="s">
        <v>24461</v>
      </c>
    </row>
    <row r="1829" spans="1:9" ht="12.5">
      <c r="A1829" s="5">
        <v>1047352784</v>
      </c>
      <c r="B1829" s="5" t="s">
        <v>23706</v>
      </c>
      <c r="C1829" s="5" t="s">
        <v>17535</v>
      </c>
      <c r="E1829" s="5"/>
      <c r="G1829" s="5">
        <v>3194239021</v>
      </c>
    </row>
    <row r="1830" spans="1:9" ht="12.5">
      <c r="A1830" s="5">
        <v>22538376</v>
      </c>
      <c r="B1830" s="5" t="s">
        <v>23706</v>
      </c>
      <c r="C1830" s="5" t="s">
        <v>8882</v>
      </c>
      <c r="E1830" s="5" t="s">
        <v>8883</v>
      </c>
      <c r="G1830" s="5">
        <v>3225191364</v>
      </c>
    </row>
    <row r="1831" spans="1:9" ht="12.5">
      <c r="A1831" s="5">
        <v>101998413</v>
      </c>
      <c r="B1831" s="5" t="s">
        <v>23706</v>
      </c>
      <c r="C1831" s="5" t="s">
        <v>7959</v>
      </c>
      <c r="E1831" s="5" t="s">
        <v>8893</v>
      </c>
      <c r="G1831" s="5">
        <v>3043203733</v>
      </c>
    </row>
    <row r="1832" spans="1:9" ht="12.5">
      <c r="A1832" s="5">
        <v>32669105</v>
      </c>
      <c r="B1832" s="5" t="s">
        <v>23706</v>
      </c>
      <c r="C1832" s="5" t="s">
        <v>24462</v>
      </c>
      <c r="E1832" s="5" t="s">
        <v>8897</v>
      </c>
      <c r="G1832" s="5">
        <v>3215951751</v>
      </c>
    </row>
    <row r="1833" spans="1:9" ht="12.5">
      <c r="A1833" s="5">
        <v>1045667304</v>
      </c>
      <c r="B1833" s="5" t="s">
        <v>23706</v>
      </c>
      <c r="C1833" s="5" t="s">
        <v>24463</v>
      </c>
      <c r="E1833" s="5" t="s">
        <v>8906</v>
      </c>
      <c r="G1833" s="5">
        <v>56950081717</v>
      </c>
    </row>
    <row r="1834" spans="1:9" ht="12.5">
      <c r="A1834" s="5">
        <v>0</v>
      </c>
      <c r="B1834" s="5" t="s">
        <v>23706</v>
      </c>
      <c r="C1834" s="5" t="s">
        <v>190</v>
      </c>
      <c r="E1834" s="5" t="s">
        <v>372</v>
      </c>
      <c r="G1834" s="5">
        <v>0</v>
      </c>
    </row>
    <row r="1835" spans="1:9" ht="12.5">
      <c r="A1835" s="5">
        <v>22494274</v>
      </c>
      <c r="B1835" s="5" t="s">
        <v>23706</v>
      </c>
      <c r="C1835" s="5" t="s">
        <v>2856</v>
      </c>
      <c r="E1835" s="5" t="s">
        <v>8918</v>
      </c>
      <c r="G1835" s="5">
        <v>3104362258</v>
      </c>
    </row>
    <row r="1836" spans="1:9" ht="12.5">
      <c r="A1836" s="5">
        <v>1000970813</v>
      </c>
      <c r="B1836" s="5" t="s">
        <v>23706</v>
      </c>
      <c r="C1836" s="5" t="s">
        <v>825</v>
      </c>
      <c r="E1836" s="5" t="s">
        <v>5296</v>
      </c>
      <c r="G1836" s="5">
        <v>3135040604</v>
      </c>
    </row>
    <row r="1837" spans="1:9" ht="12.5">
      <c r="A1837" s="5">
        <v>22461556</v>
      </c>
      <c r="B1837" s="5" t="s">
        <v>23706</v>
      </c>
      <c r="C1837" s="5" t="s">
        <v>24464</v>
      </c>
      <c r="E1837" s="5" t="s">
        <v>24465</v>
      </c>
      <c r="G1837" s="5">
        <v>7863662675</v>
      </c>
      <c r="I1837" s="5" t="s">
        <v>24466</v>
      </c>
    </row>
    <row r="1838" spans="1:9" ht="12.5">
      <c r="A1838" s="5">
        <v>1140849709</v>
      </c>
      <c r="B1838" s="5" t="s">
        <v>23706</v>
      </c>
      <c r="C1838" s="5" t="s">
        <v>921</v>
      </c>
      <c r="E1838" s="5" t="s">
        <v>8960</v>
      </c>
      <c r="G1838" s="5">
        <v>3004048843</v>
      </c>
      <c r="I1838" s="5" t="s">
        <v>24467</v>
      </c>
    </row>
    <row r="1839" spans="1:9" ht="12.5">
      <c r="A1839" s="5">
        <v>55225517</v>
      </c>
      <c r="B1839" s="5" t="s">
        <v>23706</v>
      </c>
      <c r="C1839" s="5" t="s">
        <v>1321</v>
      </c>
      <c r="E1839" s="5" t="s">
        <v>24468</v>
      </c>
      <c r="G1839" s="5">
        <v>3017851850</v>
      </c>
    </row>
    <row r="1840" spans="1:9" ht="12.5">
      <c r="A1840" s="5">
        <v>1042263001</v>
      </c>
      <c r="B1840" s="5" t="s">
        <v>23706</v>
      </c>
      <c r="C1840" s="5" t="s">
        <v>8933</v>
      </c>
      <c r="E1840" s="5" t="s">
        <v>24469</v>
      </c>
      <c r="G1840" s="5">
        <v>3183270297</v>
      </c>
      <c r="I1840" s="5" t="s">
        <v>24470</v>
      </c>
    </row>
    <row r="1841" spans="1:9" ht="12.5">
      <c r="A1841" s="5">
        <v>1042244981</v>
      </c>
      <c r="B1841" s="5" t="s">
        <v>23706</v>
      </c>
      <c r="C1841" s="5" t="s">
        <v>1026</v>
      </c>
      <c r="E1841" s="5" t="s">
        <v>8970</v>
      </c>
      <c r="G1841" s="5">
        <v>3003904150</v>
      </c>
      <c r="I1841" s="5" t="s">
        <v>24471</v>
      </c>
    </row>
    <row r="1842" spans="1:9" ht="12.5">
      <c r="A1842" s="5">
        <v>1140867841</v>
      </c>
      <c r="B1842" s="5" t="s">
        <v>23706</v>
      </c>
      <c r="C1842" s="5" t="s">
        <v>332</v>
      </c>
      <c r="E1842" s="5" t="s">
        <v>498</v>
      </c>
      <c r="G1842" s="5">
        <v>84017208</v>
      </c>
    </row>
    <row r="1843" spans="1:9" ht="12.5">
      <c r="A1843" s="5">
        <v>1140903364</v>
      </c>
      <c r="B1843" s="5" t="s">
        <v>23706</v>
      </c>
      <c r="C1843" s="5" t="s">
        <v>698</v>
      </c>
      <c r="E1843" s="5" t="s">
        <v>2890</v>
      </c>
      <c r="G1843" s="5">
        <v>3015190837</v>
      </c>
      <c r="I1843" s="5" t="s">
        <v>24472</v>
      </c>
    </row>
    <row r="1844" spans="1:9" ht="12.5">
      <c r="A1844" s="5">
        <v>1045721891</v>
      </c>
      <c r="B1844" s="5" t="s">
        <v>23706</v>
      </c>
      <c r="C1844" s="5" t="s">
        <v>8954</v>
      </c>
      <c r="E1844" s="5" t="s">
        <v>7331</v>
      </c>
      <c r="G1844" s="5">
        <v>3015427108</v>
      </c>
      <c r="I1844" s="5" t="s">
        <v>24473</v>
      </c>
    </row>
    <row r="1845" spans="1:9" ht="12.5">
      <c r="A1845" s="5">
        <v>900771314</v>
      </c>
      <c r="B1845" s="5" t="s">
        <v>23782</v>
      </c>
      <c r="C1845" s="5" t="s">
        <v>10002</v>
      </c>
      <c r="E1845" s="5"/>
      <c r="G1845" s="5">
        <v>3007531938</v>
      </c>
      <c r="I1845" s="5" t="s">
        <v>24474</v>
      </c>
    </row>
    <row r="1846" spans="1:9" ht="12.5">
      <c r="A1846" s="5">
        <v>1140895210</v>
      </c>
      <c r="B1846" s="5" t="s">
        <v>23706</v>
      </c>
      <c r="C1846" s="5" t="s">
        <v>3166</v>
      </c>
      <c r="E1846" s="5" t="s">
        <v>8976</v>
      </c>
      <c r="G1846" s="5">
        <v>3005967818</v>
      </c>
    </row>
    <row r="1847" spans="1:9" ht="12.5">
      <c r="A1847" s="5">
        <v>1007783293</v>
      </c>
      <c r="B1847" s="5" t="s">
        <v>23706</v>
      </c>
      <c r="C1847" s="5" t="s">
        <v>12494</v>
      </c>
      <c r="E1847" s="5"/>
      <c r="G1847" s="5">
        <v>3017607682</v>
      </c>
    </row>
    <row r="1848" spans="1:9" ht="12.5">
      <c r="A1848" s="5">
        <v>22476522</v>
      </c>
      <c r="B1848" s="5" t="s">
        <v>23706</v>
      </c>
      <c r="C1848" s="5" t="s">
        <v>1017</v>
      </c>
      <c r="E1848" s="5" t="s">
        <v>23789</v>
      </c>
      <c r="G1848" s="5">
        <v>3013796198</v>
      </c>
      <c r="I1848" s="5" t="s">
        <v>24475</v>
      </c>
    </row>
    <row r="1849" spans="1:9" ht="12.5">
      <c r="A1849" s="5">
        <v>1192816478</v>
      </c>
      <c r="B1849" s="5" t="s">
        <v>23706</v>
      </c>
      <c r="C1849" s="5" t="s">
        <v>9319</v>
      </c>
      <c r="E1849" s="5" t="s">
        <v>1566</v>
      </c>
      <c r="G1849" s="5">
        <v>3005366116</v>
      </c>
      <c r="I1849" s="5" t="s">
        <v>24476</v>
      </c>
    </row>
    <row r="1850" spans="1:9" ht="12.5">
      <c r="A1850" s="5">
        <v>1040736181</v>
      </c>
      <c r="B1850" s="5" t="s">
        <v>23706</v>
      </c>
      <c r="C1850" s="5" t="s">
        <v>9006</v>
      </c>
      <c r="E1850" s="5" t="s">
        <v>9007</v>
      </c>
      <c r="G1850" s="5">
        <v>3104006493</v>
      </c>
    </row>
    <row r="1851" spans="1:9" ht="12.5">
      <c r="A1851" s="5">
        <v>1004176389</v>
      </c>
      <c r="B1851" s="5" t="s">
        <v>23706</v>
      </c>
      <c r="C1851" s="5" t="s">
        <v>9021</v>
      </c>
      <c r="E1851" s="5" t="s">
        <v>9022</v>
      </c>
      <c r="G1851" s="5">
        <v>3003363390</v>
      </c>
      <c r="I1851" s="5" t="s">
        <v>24477</v>
      </c>
    </row>
    <row r="1852" spans="1:9" ht="12.5">
      <c r="A1852" s="5">
        <v>1193429277</v>
      </c>
      <c r="B1852" s="5" t="s">
        <v>23706</v>
      </c>
      <c r="C1852" s="5" t="s">
        <v>9125</v>
      </c>
      <c r="E1852" s="5" t="s">
        <v>9126</v>
      </c>
      <c r="G1852" s="5">
        <v>3106367158</v>
      </c>
      <c r="I1852" s="5" t="s">
        <v>24478</v>
      </c>
    </row>
    <row r="1853" spans="1:9" ht="12.5">
      <c r="A1853" s="5">
        <v>8782703</v>
      </c>
      <c r="B1853" s="5" t="s">
        <v>23706</v>
      </c>
      <c r="C1853" s="5" t="s">
        <v>9029</v>
      </c>
      <c r="E1853" s="5" t="s">
        <v>9030</v>
      </c>
      <c r="G1853" s="5">
        <v>3008159589</v>
      </c>
    </row>
    <row r="1854" spans="1:9" ht="12.5">
      <c r="A1854" s="5">
        <v>1042255137</v>
      </c>
      <c r="B1854" s="5" t="s">
        <v>23706</v>
      </c>
      <c r="C1854" s="5" t="s">
        <v>698</v>
      </c>
      <c r="E1854" s="5" t="s">
        <v>9223</v>
      </c>
      <c r="G1854" s="5">
        <v>3007538423</v>
      </c>
      <c r="I1854" s="5" t="s">
        <v>24479</v>
      </c>
    </row>
    <row r="1855" spans="1:9" ht="12.5">
      <c r="A1855" s="5">
        <v>6177927112</v>
      </c>
      <c r="B1855" s="5" t="s">
        <v>23706</v>
      </c>
      <c r="C1855" s="5" t="s">
        <v>9032</v>
      </c>
      <c r="E1855" s="5" t="s">
        <v>24480</v>
      </c>
      <c r="G1855" s="5">
        <v>6177927112</v>
      </c>
      <c r="I1855" s="5" t="s">
        <v>24481</v>
      </c>
    </row>
    <row r="1856" spans="1:9" ht="12.5">
      <c r="A1856" s="5">
        <v>1044211031</v>
      </c>
      <c r="B1856" s="5" t="s">
        <v>23706</v>
      </c>
      <c r="C1856" s="5" t="s">
        <v>290</v>
      </c>
      <c r="E1856" s="5" t="s">
        <v>93</v>
      </c>
      <c r="G1856" s="5">
        <v>3003788977</v>
      </c>
    </row>
    <row r="1857" spans="1:9" ht="12.5">
      <c r="A1857" s="5">
        <v>9007014464</v>
      </c>
      <c r="B1857" s="5" t="s">
        <v>23782</v>
      </c>
      <c r="C1857" s="5" t="s">
        <v>9038</v>
      </c>
      <c r="E1857" s="5" t="s">
        <v>6979</v>
      </c>
      <c r="G1857" s="5">
        <v>3123522976</v>
      </c>
    </row>
    <row r="1858" spans="1:9" ht="12.5">
      <c r="A1858" s="5">
        <v>0</v>
      </c>
      <c r="B1858" s="5" t="s">
        <v>23706</v>
      </c>
      <c r="C1858" s="5" t="s">
        <v>1489</v>
      </c>
      <c r="E1858" s="5" t="s">
        <v>6391</v>
      </c>
      <c r="G1858" s="5">
        <v>3118407267</v>
      </c>
    </row>
    <row r="1859" spans="1:9" ht="12.5">
      <c r="A1859" s="5">
        <v>1140850015</v>
      </c>
      <c r="B1859" s="5" t="s">
        <v>23706</v>
      </c>
      <c r="C1859" s="5" t="s">
        <v>4992</v>
      </c>
      <c r="E1859" s="5" t="s">
        <v>3271</v>
      </c>
      <c r="G1859" s="5">
        <v>3114235837</v>
      </c>
    </row>
    <row r="1860" spans="1:9" ht="12.5">
      <c r="A1860" s="5">
        <v>1098073210</v>
      </c>
      <c r="B1860" s="5" t="s">
        <v>23706</v>
      </c>
      <c r="C1860" s="5" t="s">
        <v>2575</v>
      </c>
      <c r="E1860" s="5" t="s">
        <v>24482</v>
      </c>
      <c r="G1860" s="5">
        <v>3181121812</v>
      </c>
      <c r="I1860" s="5" t="s">
        <v>24483</v>
      </c>
    </row>
    <row r="1861" spans="1:9" ht="12.5">
      <c r="A1861" s="5">
        <v>1045726330</v>
      </c>
      <c r="B1861" s="5" t="s">
        <v>23706</v>
      </c>
      <c r="C1861" s="5" t="s">
        <v>2141</v>
      </c>
      <c r="E1861" s="5" t="s">
        <v>9064</v>
      </c>
      <c r="G1861" s="5">
        <v>3016293939</v>
      </c>
      <c r="I1861" s="5" t="s">
        <v>24484</v>
      </c>
    </row>
    <row r="1862" spans="1:9" ht="12.5">
      <c r="A1862" s="5">
        <v>1140880668</v>
      </c>
      <c r="B1862" s="5" t="s">
        <v>23706</v>
      </c>
      <c r="C1862" s="5" t="s">
        <v>3982</v>
      </c>
      <c r="E1862" s="5" t="s">
        <v>9069</v>
      </c>
      <c r="G1862" s="5">
        <v>3024491225</v>
      </c>
    </row>
    <row r="1863" spans="1:9" ht="12.5">
      <c r="A1863" s="5">
        <v>1006617970</v>
      </c>
      <c r="B1863" s="5" t="s">
        <v>23706</v>
      </c>
      <c r="C1863" s="5" t="s">
        <v>1773</v>
      </c>
      <c r="E1863" s="5" t="s">
        <v>23789</v>
      </c>
      <c r="G1863" s="5">
        <v>3208240314</v>
      </c>
    </row>
    <row r="1864" spans="1:9" ht="12.5">
      <c r="A1864" s="5">
        <v>1042252445</v>
      </c>
      <c r="B1864" s="5" t="s">
        <v>23706</v>
      </c>
      <c r="C1864" s="5" t="s">
        <v>290</v>
      </c>
      <c r="E1864" s="5" t="s">
        <v>9074</v>
      </c>
      <c r="G1864" s="5">
        <v>3044708405</v>
      </c>
    </row>
    <row r="1865" spans="1:9" ht="12.5">
      <c r="A1865" s="5">
        <v>3013840260</v>
      </c>
      <c r="B1865" s="5" t="s">
        <v>23706</v>
      </c>
      <c r="C1865" s="5" t="s">
        <v>9079</v>
      </c>
      <c r="E1865" s="5" t="s">
        <v>9080</v>
      </c>
      <c r="G1865" s="5">
        <v>0</v>
      </c>
      <c r="I1865" s="5" t="s">
        <v>24485</v>
      </c>
    </row>
    <row r="1866" spans="1:9" ht="12.5">
      <c r="A1866" s="5">
        <v>9543974714</v>
      </c>
      <c r="B1866" s="5" t="s">
        <v>23706</v>
      </c>
      <c r="C1866" s="5" t="s">
        <v>1773</v>
      </c>
      <c r="E1866" s="5" t="s">
        <v>9083</v>
      </c>
      <c r="G1866" s="5">
        <v>0</v>
      </c>
    </row>
    <row r="1867" spans="1:9" ht="12.5">
      <c r="A1867" s="5">
        <v>1034993604</v>
      </c>
      <c r="B1867" s="5" t="s">
        <v>23782</v>
      </c>
      <c r="C1867" s="5" t="s">
        <v>638</v>
      </c>
      <c r="E1867" s="5" t="s">
        <v>24486</v>
      </c>
      <c r="G1867" s="5">
        <v>3008826467</v>
      </c>
    </row>
    <row r="1868" spans="1:9" ht="12.5">
      <c r="A1868" s="5">
        <v>1034993603</v>
      </c>
      <c r="B1868" s="5" t="s">
        <v>23706</v>
      </c>
      <c r="C1868" s="5" t="s">
        <v>638</v>
      </c>
      <c r="E1868" s="5" t="s">
        <v>24486</v>
      </c>
      <c r="G1868" s="5">
        <v>3008826467</v>
      </c>
    </row>
    <row r="1869" spans="1:9" ht="12.5">
      <c r="A1869" s="5">
        <v>1234094213</v>
      </c>
      <c r="B1869" s="5" t="s">
        <v>23706</v>
      </c>
      <c r="C1869" s="5" t="s">
        <v>1687</v>
      </c>
      <c r="E1869" s="5" t="s">
        <v>3926</v>
      </c>
      <c r="G1869" s="5">
        <v>3002770938</v>
      </c>
      <c r="I1869" s="5" t="s">
        <v>24487</v>
      </c>
    </row>
    <row r="1870" spans="1:9" ht="12.5">
      <c r="A1870" s="5">
        <v>1082973012</v>
      </c>
      <c r="B1870" s="5" t="s">
        <v>23706</v>
      </c>
      <c r="C1870" s="5" t="s">
        <v>1798</v>
      </c>
      <c r="E1870" s="5" t="s">
        <v>24488</v>
      </c>
      <c r="G1870" s="5">
        <v>3012084323</v>
      </c>
      <c r="I1870" s="5" t="s">
        <v>24489</v>
      </c>
    </row>
    <row r="1871" spans="1:9" ht="12.5">
      <c r="A1871" s="5">
        <v>1091356691</v>
      </c>
      <c r="B1871" s="5" t="s">
        <v>23706</v>
      </c>
      <c r="C1871" s="5" t="s">
        <v>1026</v>
      </c>
      <c r="E1871" s="5" t="s">
        <v>9100</v>
      </c>
      <c r="G1871" s="5">
        <v>3162331875</v>
      </c>
      <c r="I1871" s="5" t="s">
        <v>24490</v>
      </c>
    </row>
    <row r="1872" spans="1:9" ht="12.5">
      <c r="A1872" s="5">
        <v>55231435</v>
      </c>
      <c r="B1872" s="5" t="s">
        <v>23706</v>
      </c>
      <c r="C1872" s="5" t="s">
        <v>1779</v>
      </c>
      <c r="E1872" s="5" t="s">
        <v>9105</v>
      </c>
      <c r="G1872" s="5">
        <v>3104733283</v>
      </c>
      <c r="I1872" s="5" t="s">
        <v>24491</v>
      </c>
    </row>
    <row r="1873" spans="1:9" ht="12.5">
      <c r="A1873" s="5">
        <v>200201297710</v>
      </c>
      <c r="B1873" s="5" t="s">
        <v>23706</v>
      </c>
      <c r="C1873" s="5" t="s">
        <v>9118</v>
      </c>
      <c r="E1873" s="5" t="s">
        <v>24492</v>
      </c>
      <c r="G1873" s="5">
        <v>460763207976</v>
      </c>
      <c r="I1873" s="5" t="s">
        <v>24493</v>
      </c>
    </row>
    <row r="1874" spans="1:9" ht="12.5">
      <c r="A1874" s="5">
        <v>1026253309</v>
      </c>
      <c r="B1874" s="5" t="s">
        <v>23706</v>
      </c>
      <c r="C1874" s="5" t="s">
        <v>23876</v>
      </c>
      <c r="E1874" s="5" t="s">
        <v>9111</v>
      </c>
      <c r="G1874" s="5">
        <v>3126600503</v>
      </c>
      <c r="I1874" s="5" t="s">
        <v>24494</v>
      </c>
    </row>
    <row r="1875" spans="1:9" ht="12.5">
      <c r="A1875" s="5">
        <v>1234093009</v>
      </c>
      <c r="B1875" s="5" t="s">
        <v>23706</v>
      </c>
      <c r="C1875" s="5" t="s">
        <v>9137</v>
      </c>
      <c r="E1875" s="5" t="s">
        <v>9138</v>
      </c>
      <c r="G1875" s="5">
        <v>3106936580</v>
      </c>
      <c r="I1875" s="5" t="s">
        <v>24495</v>
      </c>
    </row>
    <row r="1876" spans="1:9" ht="12.5">
      <c r="A1876" s="5">
        <v>80040271</v>
      </c>
      <c r="B1876" s="5" t="s">
        <v>23706</v>
      </c>
      <c r="C1876" s="5" t="s">
        <v>13544</v>
      </c>
      <c r="E1876" s="5"/>
      <c r="G1876" s="5">
        <v>3016673824</v>
      </c>
      <c r="I1876" s="5" t="s">
        <v>24496</v>
      </c>
    </row>
    <row r="1877" spans="1:9" ht="12.5">
      <c r="A1877" s="5">
        <v>1065847094</v>
      </c>
      <c r="B1877" s="5" t="s">
        <v>23706</v>
      </c>
      <c r="C1877" s="5" t="s">
        <v>4992</v>
      </c>
      <c r="E1877" s="5" t="s">
        <v>9142</v>
      </c>
      <c r="G1877" s="10" t="s">
        <v>24497</v>
      </c>
      <c r="I1877" s="5" t="s">
        <v>24498</v>
      </c>
    </row>
    <row r="1878" spans="1:9" ht="12.5">
      <c r="A1878" s="5">
        <v>1140859919</v>
      </c>
      <c r="B1878" s="5" t="s">
        <v>23706</v>
      </c>
      <c r="C1878" s="5" t="s">
        <v>1798</v>
      </c>
      <c r="E1878" s="5" t="s">
        <v>9146</v>
      </c>
      <c r="G1878" s="5">
        <v>3017923287</v>
      </c>
      <c r="I1878" s="5" t="s">
        <v>24499</v>
      </c>
    </row>
    <row r="1879" spans="1:9" ht="12.5">
      <c r="A1879" s="5">
        <v>72252405</v>
      </c>
      <c r="B1879" s="5" t="s">
        <v>23706</v>
      </c>
      <c r="C1879" s="5" t="s">
        <v>1702</v>
      </c>
      <c r="E1879" s="5" t="s">
        <v>93</v>
      </c>
      <c r="G1879" s="5">
        <v>3165224727</v>
      </c>
    </row>
    <row r="1880" spans="1:9" ht="12.5">
      <c r="A1880" s="5">
        <v>1045694348</v>
      </c>
      <c r="B1880" s="5" t="s">
        <v>23706</v>
      </c>
      <c r="C1880" s="5" t="s">
        <v>1639</v>
      </c>
      <c r="E1880" s="5" t="s">
        <v>9155</v>
      </c>
      <c r="G1880" s="5">
        <v>3006162786</v>
      </c>
      <c r="I1880" s="5" t="s">
        <v>24500</v>
      </c>
    </row>
    <row r="1881" spans="1:9" ht="12.5">
      <c r="A1881" s="5">
        <v>80084225</v>
      </c>
      <c r="B1881" s="5" t="s">
        <v>23706</v>
      </c>
      <c r="C1881" s="5" t="s">
        <v>24501</v>
      </c>
      <c r="E1881" s="5" t="s">
        <v>24502</v>
      </c>
      <c r="G1881" s="5">
        <v>3246167766</v>
      </c>
    </row>
    <row r="1882" spans="1:9" ht="12.5">
      <c r="A1882" s="5">
        <v>1051822044</v>
      </c>
      <c r="B1882" s="5" t="s">
        <v>23706</v>
      </c>
      <c r="C1882" s="5" t="s">
        <v>7217</v>
      </c>
      <c r="E1882" s="5" t="s">
        <v>8585</v>
      </c>
      <c r="G1882" s="5">
        <v>3008512317</v>
      </c>
      <c r="I1882" s="5" t="s">
        <v>24503</v>
      </c>
    </row>
    <row r="1883" spans="1:9" ht="12.5">
      <c r="A1883" s="5">
        <v>1118817277</v>
      </c>
      <c r="B1883" s="5" t="s">
        <v>23706</v>
      </c>
      <c r="C1883" s="5" t="s">
        <v>2894</v>
      </c>
      <c r="E1883" s="5" t="s">
        <v>9164</v>
      </c>
      <c r="G1883" s="5">
        <v>3004749604</v>
      </c>
      <c r="I1883" s="5" t="s">
        <v>24504</v>
      </c>
    </row>
    <row r="1884" spans="1:9" ht="12.5">
      <c r="A1884" s="5">
        <v>1081820799</v>
      </c>
      <c r="B1884" s="5" t="s">
        <v>23706</v>
      </c>
      <c r="C1884" s="5" t="s">
        <v>404</v>
      </c>
      <c r="E1884" s="5" t="s">
        <v>9169</v>
      </c>
      <c r="G1884" s="5">
        <v>3133981214</v>
      </c>
    </row>
    <row r="1885" spans="1:9" ht="12.5">
      <c r="A1885" s="5">
        <v>1001818606</v>
      </c>
      <c r="B1885" s="5" t="s">
        <v>23706</v>
      </c>
      <c r="C1885" s="5" t="s">
        <v>638</v>
      </c>
      <c r="E1885" s="5" t="s">
        <v>4640</v>
      </c>
      <c r="G1885" s="5">
        <v>3023599315</v>
      </c>
    </row>
    <row r="1886" spans="1:9" ht="12.5">
      <c r="A1886" s="5">
        <v>1043671506</v>
      </c>
      <c r="B1886" s="5" t="s">
        <v>23706</v>
      </c>
      <c r="C1886" s="5" t="s">
        <v>638</v>
      </c>
      <c r="E1886" s="5" t="s">
        <v>24505</v>
      </c>
      <c r="G1886" s="5">
        <v>12013904950</v>
      </c>
    </row>
    <row r="1887" spans="1:9" ht="12.5">
      <c r="A1887" s="5">
        <v>1042240466</v>
      </c>
      <c r="B1887" s="5" t="s">
        <v>23706</v>
      </c>
      <c r="C1887" s="5" t="s">
        <v>24506</v>
      </c>
      <c r="E1887" s="5" t="s">
        <v>9186</v>
      </c>
      <c r="G1887" s="5">
        <v>3045441981</v>
      </c>
    </row>
    <row r="1888" spans="1:9" ht="12.5">
      <c r="A1888" s="5">
        <v>1143130940</v>
      </c>
      <c r="B1888" s="5" t="s">
        <v>23706</v>
      </c>
      <c r="C1888" s="5" t="s">
        <v>76</v>
      </c>
      <c r="E1888" s="5" t="s">
        <v>2837</v>
      </c>
      <c r="G1888" s="5">
        <v>3162410271</v>
      </c>
    </row>
    <row r="1889" spans="1:9" ht="12.5">
      <c r="A1889" s="5">
        <v>1095949757</v>
      </c>
      <c r="B1889" s="5" t="s">
        <v>23706</v>
      </c>
      <c r="C1889" s="5" t="s">
        <v>1798</v>
      </c>
      <c r="E1889" s="5" t="s">
        <v>24507</v>
      </c>
      <c r="G1889" s="5">
        <v>17816001059</v>
      </c>
    </row>
    <row r="1890" spans="1:9" ht="12.5">
      <c r="A1890" s="5">
        <v>501533</v>
      </c>
      <c r="B1890" s="5" t="s">
        <v>23706</v>
      </c>
      <c r="C1890" s="5" t="s">
        <v>24508</v>
      </c>
      <c r="E1890" s="5" t="s">
        <v>10030</v>
      </c>
      <c r="G1890" s="5">
        <v>3205167153</v>
      </c>
      <c r="I1890" s="5" t="s">
        <v>24509</v>
      </c>
    </row>
    <row r="1891" spans="1:9" ht="12.5">
      <c r="A1891" s="5">
        <v>40353559</v>
      </c>
      <c r="B1891" s="5" t="s">
        <v>23706</v>
      </c>
      <c r="C1891" s="5" t="s">
        <v>290</v>
      </c>
      <c r="E1891" s="5" t="s">
        <v>9211</v>
      </c>
      <c r="G1891" s="5">
        <v>522299608567</v>
      </c>
      <c r="I1891" s="5" t="s">
        <v>24510</v>
      </c>
    </row>
    <row r="1892" spans="1:9" ht="12.5">
      <c r="A1892" s="5">
        <v>1044434000</v>
      </c>
      <c r="B1892" s="5" t="s">
        <v>23706</v>
      </c>
      <c r="C1892" s="5" t="s">
        <v>283</v>
      </c>
      <c r="E1892" s="5" t="s">
        <v>23845</v>
      </c>
      <c r="G1892" s="5">
        <v>3012870456</v>
      </c>
    </row>
    <row r="1893" spans="1:9" ht="12.5">
      <c r="A1893" s="5">
        <v>32761183</v>
      </c>
      <c r="B1893" s="5" t="s">
        <v>23706</v>
      </c>
      <c r="C1893" s="5" t="s">
        <v>9216</v>
      </c>
      <c r="E1893" s="5" t="s">
        <v>9217</v>
      </c>
      <c r="G1893" s="5">
        <v>3006707199</v>
      </c>
    </row>
    <row r="1894" spans="1:9" ht="12.5">
      <c r="A1894" s="5">
        <v>1140887341</v>
      </c>
      <c r="B1894" s="5" t="s">
        <v>23706</v>
      </c>
      <c r="C1894" s="5" t="s">
        <v>6908</v>
      </c>
      <c r="E1894" s="5" t="s">
        <v>24511</v>
      </c>
      <c r="G1894" s="5">
        <v>3160401620</v>
      </c>
    </row>
    <row r="1895" spans="1:9" ht="12.5">
      <c r="A1895" s="5">
        <v>1001940068</v>
      </c>
      <c r="B1895" s="5" t="s">
        <v>23706</v>
      </c>
      <c r="C1895" s="5" t="s">
        <v>825</v>
      </c>
      <c r="E1895" s="5" t="s">
        <v>8834</v>
      </c>
      <c r="G1895" s="5">
        <v>3001573722</v>
      </c>
      <c r="I1895" s="5" t="s">
        <v>24512</v>
      </c>
    </row>
    <row r="1896" spans="1:9" ht="12.5">
      <c r="A1896" s="5">
        <v>1140842808</v>
      </c>
      <c r="B1896" s="5" t="s">
        <v>23706</v>
      </c>
      <c r="C1896" s="5" t="s">
        <v>24513</v>
      </c>
      <c r="E1896" s="5" t="s">
        <v>4441</v>
      </c>
      <c r="G1896" s="5">
        <v>3004600106</v>
      </c>
    </row>
    <row r="1897" spans="1:9" ht="12.5">
      <c r="A1897" s="5">
        <v>1140887206</v>
      </c>
      <c r="B1897" s="5" t="s">
        <v>23706</v>
      </c>
      <c r="C1897" s="5" t="s">
        <v>2361</v>
      </c>
      <c r="E1897" s="5" t="s">
        <v>24035</v>
      </c>
      <c r="G1897" s="5">
        <v>3008283874</v>
      </c>
    </row>
    <row r="1898" spans="1:9" ht="12.5">
      <c r="A1898" s="5">
        <v>1140882742</v>
      </c>
      <c r="B1898" s="5" t="s">
        <v>23706</v>
      </c>
      <c r="C1898" s="5" t="s">
        <v>1349</v>
      </c>
      <c r="E1898" s="5" t="s">
        <v>9259</v>
      </c>
      <c r="G1898" s="5">
        <v>3104510297</v>
      </c>
    </row>
    <row r="1899" spans="1:9" ht="12.5">
      <c r="A1899" s="5">
        <v>1234091991</v>
      </c>
      <c r="B1899" s="5" t="s">
        <v>23706</v>
      </c>
      <c r="C1899" s="5" t="s">
        <v>9266</v>
      </c>
      <c r="E1899" s="5" t="s">
        <v>8314</v>
      </c>
      <c r="G1899" s="5">
        <v>3216228516</v>
      </c>
      <c r="I1899" s="5" t="s">
        <v>24514</v>
      </c>
    </row>
    <row r="1900" spans="1:9" ht="12.5">
      <c r="A1900" s="5">
        <v>1065631392</v>
      </c>
      <c r="B1900" s="5" t="s">
        <v>23706</v>
      </c>
      <c r="C1900" s="5" t="s">
        <v>7179</v>
      </c>
      <c r="E1900" s="5" t="s">
        <v>6281</v>
      </c>
      <c r="G1900" s="5">
        <v>3104494164</v>
      </c>
    </row>
    <row r="1901" spans="1:9" ht="12.5">
      <c r="A1901" s="5">
        <v>1127574933</v>
      </c>
      <c r="B1901" s="5" t="s">
        <v>23706</v>
      </c>
      <c r="C1901" s="5" t="s">
        <v>1784</v>
      </c>
      <c r="E1901" s="5" t="s">
        <v>9277</v>
      </c>
      <c r="G1901" s="5">
        <v>447424624435</v>
      </c>
      <c r="I1901" s="5" t="s">
        <v>24515</v>
      </c>
    </row>
    <row r="1902" spans="1:9" ht="12.5">
      <c r="A1902" s="5">
        <v>0</v>
      </c>
      <c r="B1902" s="5" t="s">
        <v>23706</v>
      </c>
      <c r="C1902" s="5" t="s">
        <v>235</v>
      </c>
      <c r="E1902" s="5" t="s">
        <v>236</v>
      </c>
      <c r="G1902" s="5">
        <v>13154015161</v>
      </c>
    </row>
    <row r="1903" spans="1:9" ht="12.5">
      <c r="A1903" s="5">
        <v>1061789274</v>
      </c>
      <c r="B1903" s="5" t="s">
        <v>23706</v>
      </c>
      <c r="C1903" s="5" t="s">
        <v>12603</v>
      </c>
      <c r="E1903" s="5" t="s">
        <v>24516</v>
      </c>
      <c r="G1903" s="5">
        <v>3206914142</v>
      </c>
      <c r="I1903" s="5" t="s">
        <v>24517</v>
      </c>
    </row>
    <row r="1904" spans="1:9" ht="12.5">
      <c r="A1904" s="5">
        <v>1006680970</v>
      </c>
      <c r="B1904" s="5" t="s">
        <v>23706</v>
      </c>
      <c r="C1904" s="5" t="s">
        <v>4956</v>
      </c>
      <c r="E1904" s="5" t="s">
        <v>591</v>
      </c>
      <c r="G1904" s="5" t="s">
        <v>24518</v>
      </c>
      <c r="I1904" s="5" t="s">
        <v>24519</v>
      </c>
    </row>
    <row r="1905" spans="1:9" ht="12.5">
      <c r="A1905" s="5">
        <v>0</v>
      </c>
      <c r="B1905" s="5" t="s">
        <v>23706</v>
      </c>
      <c r="C1905" s="5" t="s">
        <v>3466</v>
      </c>
      <c r="E1905" s="5" t="s">
        <v>9284</v>
      </c>
      <c r="G1905" s="5">
        <v>34641179836</v>
      </c>
    </row>
    <row r="1906" spans="1:9" ht="12.5">
      <c r="A1906" s="5">
        <v>1044434835</v>
      </c>
      <c r="B1906" s="5" t="s">
        <v>23706</v>
      </c>
      <c r="C1906" s="5" t="s">
        <v>9289</v>
      </c>
      <c r="E1906" s="5"/>
      <c r="G1906" s="10" t="s">
        <v>24520</v>
      </c>
    </row>
    <row r="1907" spans="1:9" ht="12.5">
      <c r="A1907" s="5">
        <v>72345743</v>
      </c>
      <c r="B1907" s="5" t="s">
        <v>23706</v>
      </c>
      <c r="C1907" s="5" t="s">
        <v>226</v>
      </c>
      <c r="E1907" s="5" t="s">
        <v>9297</v>
      </c>
      <c r="G1907" s="5">
        <v>3016670511</v>
      </c>
    </row>
    <row r="1908" spans="1:9" ht="12.5">
      <c r="A1908" s="5">
        <v>72275863</v>
      </c>
      <c r="B1908" s="5" t="s">
        <v>23706</v>
      </c>
      <c r="C1908" s="5" t="s">
        <v>703</v>
      </c>
      <c r="E1908" s="5" t="s">
        <v>4298</v>
      </c>
      <c r="G1908" s="5">
        <v>3205667451</v>
      </c>
      <c r="I1908" s="5" t="s">
        <v>24521</v>
      </c>
    </row>
    <row r="1909" spans="1:9" ht="12.5">
      <c r="A1909" s="5">
        <v>1140902891</v>
      </c>
      <c r="B1909" s="5" t="s">
        <v>23706</v>
      </c>
      <c r="C1909" s="5" t="s">
        <v>2533</v>
      </c>
      <c r="E1909" s="5" t="s">
        <v>5263</v>
      </c>
      <c r="G1909" s="5">
        <v>3016425442</v>
      </c>
    </row>
    <row r="1910" spans="1:9" ht="12.5">
      <c r="A1910" s="5">
        <v>72262815</v>
      </c>
      <c r="B1910" s="5" t="s">
        <v>23706</v>
      </c>
      <c r="C1910" s="5" t="s">
        <v>9308</v>
      </c>
      <c r="E1910" s="5" t="s">
        <v>8319</v>
      </c>
      <c r="G1910" s="5">
        <v>3207674880</v>
      </c>
      <c r="I1910" s="5" t="s">
        <v>24522</v>
      </c>
    </row>
    <row r="1911" spans="1:9" ht="12.5">
      <c r="A1911" s="5">
        <v>1140878419</v>
      </c>
      <c r="B1911" s="5" t="s">
        <v>23706</v>
      </c>
      <c r="C1911" s="5" t="s">
        <v>9319</v>
      </c>
      <c r="E1911" s="5" t="s">
        <v>9320</v>
      </c>
      <c r="G1911" s="5">
        <v>3013442705</v>
      </c>
      <c r="I1911" s="5" t="s">
        <v>24523</v>
      </c>
    </row>
    <row r="1912" spans="1:9" ht="12.5">
      <c r="A1912" s="5">
        <v>0</v>
      </c>
      <c r="B1912" s="5" t="s">
        <v>23706</v>
      </c>
      <c r="C1912" s="5" t="s">
        <v>11475</v>
      </c>
      <c r="E1912" s="5" t="s">
        <v>9315</v>
      </c>
      <c r="G1912" s="5">
        <v>0</v>
      </c>
    </row>
    <row r="1913" spans="1:9" ht="12.5">
      <c r="A1913" s="5">
        <v>1102878433</v>
      </c>
      <c r="B1913" s="5" t="s">
        <v>23706</v>
      </c>
      <c r="C1913" s="5" t="s">
        <v>9339</v>
      </c>
      <c r="E1913" s="5" t="s">
        <v>1628</v>
      </c>
      <c r="G1913" s="5">
        <v>4917684306945</v>
      </c>
      <c r="I1913" s="5" t="s">
        <v>24524</v>
      </c>
    </row>
    <row r="1914" spans="1:9" ht="12.5">
      <c r="A1914" s="5">
        <v>1098685881</v>
      </c>
      <c r="B1914" s="5" t="s">
        <v>23706</v>
      </c>
      <c r="C1914" s="5" t="s">
        <v>2991</v>
      </c>
      <c r="E1914" s="5" t="s">
        <v>9327</v>
      </c>
      <c r="G1914" s="5">
        <v>3015436396</v>
      </c>
      <c r="I1914" s="5" t="s">
        <v>24525</v>
      </c>
    </row>
    <row r="1915" spans="1:9" ht="12.5">
      <c r="A1915" s="5">
        <v>1140856497</v>
      </c>
      <c r="B1915" s="5" t="s">
        <v>23706</v>
      </c>
      <c r="C1915" s="5" t="s">
        <v>24526</v>
      </c>
      <c r="E1915" s="5" t="s">
        <v>236</v>
      </c>
      <c r="G1915" s="5">
        <v>3013579331</v>
      </c>
    </row>
    <row r="1916" spans="1:9" ht="12.5">
      <c r="A1916" s="5">
        <v>1010101974</v>
      </c>
      <c r="B1916" s="5" t="s">
        <v>23706</v>
      </c>
      <c r="C1916" s="5" t="s">
        <v>2293</v>
      </c>
      <c r="E1916" s="5" t="s">
        <v>9347</v>
      </c>
      <c r="G1916" s="5">
        <v>3175122672</v>
      </c>
    </row>
    <row r="1917" spans="1:9" ht="12.5">
      <c r="A1917" s="5">
        <v>1129583764</v>
      </c>
      <c r="B1917" s="5" t="s">
        <v>23706</v>
      </c>
      <c r="C1917" s="5" t="s">
        <v>9332</v>
      </c>
      <c r="E1917" s="5" t="s">
        <v>9333</v>
      </c>
      <c r="G1917" s="5">
        <v>3103621304</v>
      </c>
      <c r="I1917" s="5" t="s">
        <v>24527</v>
      </c>
    </row>
    <row r="1918" spans="1:9" ht="12.5">
      <c r="A1918" s="5">
        <v>1125296730</v>
      </c>
      <c r="B1918" s="5" t="s">
        <v>23706</v>
      </c>
      <c r="C1918" s="5" t="s">
        <v>10469</v>
      </c>
      <c r="E1918" s="5" t="s">
        <v>116</v>
      </c>
      <c r="G1918" s="5">
        <v>14706053389</v>
      </c>
    </row>
    <row r="1919" spans="1:9" ht="12.5">
      <c r="A1919" s="5">
        <v>1140831374</v>
      </c>
      <c r="B1919" s="5" t="s">
        <v>23706</v>
      </c>
      <c r="C1919" s="5" t="s">
        <v>1321</v>
      </c>
      <c r="E1919" s="5" t="s">
        <v>93</v>
      </c>
      <c r="G1919" s="10" t="s">
        <v>24528</v>
      </c>
    </row>
    <row r="1920" spans="1:9" ht="12.5">
      <c r="A1920" s="5">
        <v>1143470259</v>
      </c>
      <c r="B1920" s="5" t="s">
        <v>23706</v>
      </c>
      <c r="C1920" s="5" t="s">
        <v>9380</v>
      </c>
      <c r="E1920" s="5" t="s">
        <v>9381</v>
      </c>
      <c r="G1920" s="5">
        <v>3134760139</v>
      </c>
      <c r="I1920" s="5" t="s">
        <v>24529</v>
      </c>
    </row>
    <row r="1921" spans="1:9" ht="12.5">
      <c r="A1921" s="5">
        <v>72346633</v>
      </c>
      <c r="B1921" s="5" t="s">
        <v>23706</v>
      </c>
      <c r="C1921" s="5" t="s">
        <v>4774</v>
      </c>
      <c r="E1921" s="5" t="s">
        <v>1324</v>
      </c>
      <c r="G1921" s="5">
        <v>3103787152</v>
      </c>
    </row>
    <row r="1922" spans="1:9" ht="12.5">
      <c r="A1922" s="5">
        <v>1069477311</v>
      </c>
      <c r="B1922" s="5" t="s">
        <v>23706</v>
      </c>
      <c r="C1922" s="5" t="s">
        <v>9363</v>
      </c>
      <c r="E1922" s="5" t="s">
        <v>9364</v>
      </c>
      <c r="G1922" s="5">
        <v>3127204390</v>
      </c>
    </row>
    <row r="1923" spans="1:9" ht="12.5">
      <c r="A1923" s="5">
        <v>1049924003</v>
      </c>
      <c r="B1923" s="5" t="s">
        <v>23706</v>
      </c>
      <c r="C1923" s="5" t="s">
        <v>24530</v>
      </c>
      <c r="E1923" s="5" t="s">
        <v>9354</v>
      </c>
      <c r="G1923" s="5">
        <v>3234065378</v>
      </c>
    </row>
    <row r="1924" spans="1:9" ht="12.5">
      <c r="A1924" s="5">
        <v>1002213165</v>
      </c>
      <c r="B1924" s="5" t="s">
        <v>23706</v>
      </c>
      <c r="C1924" s="5" t="s">
        <v>9361</v>
      </c>
      <c r="E1924" s="5"/>
      <c r="G1924" s="5">
        <v>3244055115</v>
      </c>
      <c r="I1924" s="5" t="s">
        <v>24531</v>
      </c>
    </row>
    <row r="1925" spans="1:9" ht="12.5">
      <c r="A1925" s="5">
        <v>1045698901</v>
      </c>
      <c r="B1925" s="5" t="s">
        <v>23706</v>
      </c>
      <c r="C1925" s="5" t="s">
        <v>3884</v>
      </c>
      <c r="E1925" s="5" t="s">
        <v>9370</v>
      </c>
      <c r="G1925" s="5">
        <v>3016012860</v>
      </c>
    </row>
    <row r="1926" spans="1:9" ht="12.5">
      <c r="A1926" s="5">
        <v>32677428</v>
      </c>
      <c r="B1926" s="5" t="s">
        <v>23706</v>
      </c>
      <c r="C1926" s="5" t="s">
        <v>9386</v>
      </c>
      <c r="E1926" s="5" t="s">
        <v>9387</v>
      </c>
      <c r="G1926" s="5">
        <v>3157238269</v>
      </c>
    </row>
    <row r="1927" spans="1:9" ht="12.5">
      <c r="A1927" s="5">
        <v>0</v>
      </c>
      <c r="B1927" s="5" t="s">
        <v>23706</v>
      </c>
      <c r="C1927" s="5" t="s">
        <v>362</v>
      </c>
      <c r="E1927" s="5" t="s">
        <v>9393</v>
      </c>
      <c r="G1927" s="5">
        <v>56983956241</v>
      </c>
    </row>
    <row r="1928" spans="1:9" ht="12.5">
      <c r="A1928" s="5">
        <v>41759397</v>
      </c>
      <c r="B1928" s="5" t="s">
        <v>23706</v>
      </c>
      <c r="C1928" s="5" t="s">
        <v>9397</v>
      </c>
      <c r="E1928" s="5" t="s">
        <v>24532</v>
      </c>
      <c r="G1928" s="5">
        <v>3145382455</v>
      </c>
    </row>
    <row r="1929" spans="1:9" ht="12.5">
      <c r="A1929" s="5">
        <v>32775295</v>
      </c>
      <c r="B1929" s="5" t="s">
        <v>23706</v>
      </c>
      <c r="C1929" s="5" t="s">
        <v>24533</v>
      </c>
      <c r="E1929" s="5" t="s">
        <v>9408</v>
      </c>
      <c r="G1929" s="5">
        <v>3146958350</v>
      </c>
    </row>
    <row r="1930" spans="1:9" ht="12.5">
      <c r="A1930" s="5">
        <v>1047038504</v>
      </c>
      <c r="B1930" s="5" t="s">
        <v>23706</v>
      </c>
      <c r="C1930" s="5" t="s">
        <v>1026</v>
      </c>
      <c r="E1930" s="5" t="s">
        <v>4430</v>
      </c>
      <c r="G1930" s="5">
        <v>34654378541</v>
      </c>
    </row>
    <row r="1931" spans="1:9" ht="12.5">
      <c r="A1931" s="5">
        <v>1001999517</v>
      </c>
      <c r="B1931" s="5" t="s">
        <v>23706</v>
      </c>
      <c r="C1931" s="5" t="s">
        <v>1159</v>
      </c>
      <c r="E1931" s="5" t="s">
        <v>9441</v>
      </c>
      <c r="G1931" s="5">
        <v>13055273584</v>
      </c>
    </row>
    <row r="1932" spans="1:9" ht="12.5">
      <c r="A1932" s="5">
        <v>1234088987</v>
      </c>
      <c r="B1932" s="5" t="s">
        <v>23706</v>
      </c>
      <c r="C1932" s="5" t="s">
        <v>371</v>
      </c>
      <c r="E1932" s="5" t="s">
        <v>8020</v>
      </c>
      <c r="G1932" s="5">
        <v>3156684884</v>
      </c>
    </row>
    <row r="1933" spans="1:9" ht="12.5">
      <c r="A1933" s="5">
        <v>22492715</v>
      </c>
      <c r="B1933" s="5" t="s">
        <v>23706</v>
      </c>
      <c r="C1933" s="5" t="s">
        <v>9417</v>
      </c>
      <c r="E1933" s="5" t="s">
        <v>1831</v>
      </c>
      <c r="G1933" s="5">
        <v>3205674624</v>
      </c>
    </row>
    <row r="1934" spans="1:9" ht="12.5">
      <c r="A1934" s="5">
        <v>1129523997</v>
      </c>
      <c r="B1934" s="5" t="s">
        <v>23706</v>
      </c>
      <c r="C1934" s="5" t="s">
        <v>24534</v>
      </c>
      <c r="E1934" s="5" t="s">
        <v>218</v>
      </c>
      <c r="G1934" s="5">
        <v>3054139389</v>
      </c>
    </row>
    <row r="1935" spans="1:9" ht="12.5">
      <c r="A1935" s="5">
        <v>104224181</v>
      </c>
      <c r="B1935" s="5" t="s">
        <v>23706</v>
      </c>
      <c r="C1935" s="5" t="s">
        <v>2293</v>
      </c>
      <c r="E1935" s="5" t="s">
        <v>5378</v>
      </c>
      <c r="G1935" s="5">
        <v>3016856910</v>
      </c>
    </row>
    <row r="1936" spans="1:9" ht="12.5">
      <c r="A1936" s="5">
        <v>55223435</v>
      </c>
      <c r="B1936" s="5" t="s">
        <v>23706</v>
      </c>
      <c r="C1936" s="5" t="s">
        <v>9417</v>
      </c>
      <c r="E1936" s="5" t="s">
        <v>9436</v>
      </c>
      <c r="G1936" s="5">
        <v>3004373683</v>
      </c>
      <c r="I1936" s="5" t="s">
        <v>24535</v>
      </c>
    </row>
    <row r="1937" spans="1:9" ht="12.5">
      <c r="A1937" s="5">
        <v>45494618</v>
      </c>
      <c r="B1937" s="5" t="s">
        <v>23706</v>
      </c>
      <c r="C1937" s="5" t="s">
        <v>5856</v>
      </c>
      <c r="E1937" s="5" t="s">
        <v>9455</v>
      </c>
      <c r="G1937" s="5">
        <v>3004898716</v>
      </c>
    </row>
    <row r="1938" spans="1:9" ht="12.5">
      <c r="A1938" s="5">
        <v>63525035</v>
      </c>
      <c r="B1938" s="5" t="s">
        <v>23706</v>
      </c>
      <c r="C1938" s="5" t="s">
        <v>9447</v>
      </c>
      <c r="E1938" s="5" t="s">
        <v>24536</v>
      </c>
      <c r="G1938" s="5">
        <v>3013439877</v>
      </c>
      <c r="I1938" s="5" t="s">
        <v>24537</v>
      </c>
    </row>
    <row r="1939" spans="1:9" ht="12.5">
      <c r="A1939" s="5">
        <v>1045738339</v>
      </c>
      <c r="B1939" s="5" t="s">
        <v>23706</v>
      </c>
      <c r="C1939" s="5" t="s">
        <v>9461</v>
      </c>
      <c r="E1939" s="5" t="s">
        <v>9462</v>
      </c>
      <c r="G1939" s="5">
        <v>3002601370</v>
      </c>
      <c r="I1939" s="5" t="s">
        <v>24538</v>
      </c>
    </row>
    <row r="1940" spans="1:9" ht="12.5">
      <c r="A1940" s="5">
        <v>1143437526</v>
      </c>
      <c r="B1940" s="5" t="s">
        <v>23706</v>
      </c>
      <c r="C1940" s="5" t="s">
        <v>24539</v>
      </c>
      <c r="E1940" s="5" t="s">
        <v>9469</v>
      </c>
      <c r="G1940" s="5">
        <v>3103894529</v>
      </c>
      <c r="I1940" s="5" t="s">
        <v>24540</v>
      </c>
    </row>
    <row r="1941" spans="1:9" ht="12.5">
      <c r="A1941" s="5">
        <v>32768151</v>
      </c>
      <c r="B1941" s="5" t="s">
        <v>23706</v>
      </c>
      <c r="C1941" s="5" t="s">
        <v>12121</v>
      </c>
      <c r="E1941" s="5" t="s">
        <v>6131</v>
      </c>
      <c r="G1941" s="5" t="s">
        <v>12122</v>
      </c>
    </row>
    <row r="1942" spans="1:9" ht="12.5">
      <c r="A1942" s="5">
        <v>1042458286</v>
      </c>
      <c r="B1942" s="5" t="s">
        <v>23706</v>
      </c>
      <c r="C1942" s="5" t="s">
        <v>9488</v>
      </c>
      <c r="E1942" s="5" t="s">
        <v>4329</v>
      </c>
      <c r="G1942" s="5">
        <v>3003331883</v>
      </c>
    </row>
    <row r="1943" spans="1:9" ht="12.5">
      <c r="A1943" s="5">
        <v>1049019940</v>
      </c>
      <c r="B1943" s="5" t="s">
        <v>23706</v>
      </c>
      <c r="C1943" s="5" t="s">
        <v>9495</v>
      </c>
      <c r="E1943" s="5" t="s">
        <v>24541</v>
      </c>
      <c r="G1943" s="5">
        <v>522226288632</v>
      </c>
      <c r="I1943" s="5" t="s">
        <v>24542</v>
      </c>
    </row>
    <row r="1944" spans="1:9" ht="12.5">
      <c r="A1944" s="5">
        <v>576520552</v>
      </c>
      <c r="B1944" s="5" t="s">
        <v>23706</v>
      </c>
      <c r="C1944" s="5" t="s">
        <v>10225</v>
      </c>
      <c r="E1944" s="5" t="s">
        <v>9485</v>
      </c>
      <c r="G1944" s="5">
        <v>4086795988000</v>
      </c>
    </row>
    <row r="1945" spans="1:9" ht="12.5">
      <c r="A1945" s="5">
        <v>1000470147</v>
      </c>
      <c r="B1945" s="5" t="s">
        <v>23706</v>
      </c>
      <c r="C1945" s="5" t="s">
        <v>46</v>
      </c>
      <c r="E1945" s="5" t="s">
        <v>9507</v>
      </c>
      <c r="G1945" s="5">
        <v>3004285066</v>
      </c>
    </row>
    <row r="1946" spans="1:9" ht="12.5">
      <c r="A1946" s="5">
        <v>1042999192</v>
      </c>
      <c r="B1946" s="5" t="s">
        <v>23706</v>
      </c>
      <c r="C1946" s="5" t="s">
        <v>703</v>
      </c>
      <c r="E1946" s="5" t="s">
        <v>455</v>
      </c>
      <c r="G1946" s="5">
        <v>3014590985</v>
      </c>
      <c r="I1946" s="5" t="s">
        <v>24543</v>
      </c>
    </row>
    <row r="1947" spans="1:9" ht="12.5">
      <c r="A1947" s="5">
        <v>1140863225</v>
      </c>
      <c r="B1947" s="5" t="s">
        <v>23706</v>
      </c>
      <c r="C1947" s="5" t="s">
        <v>461</v>
      </c>
      <c r="E1947" s="5" t="s">
        <v>24544</v>
      </c>
      <c r="G1947" s="5">
        <v>3023748334</v>
      </c>
      <c r="I1947" s="5" t="s">
        <v>24545</v>
      </c>
    </row>
    <row r="1948" spans="1:9" ht="12.5">
      <c r="A1948" s="5">
        <v>0</v>
      </c>
      <c r="B1948" s="5" t="s">
        <v>23706</v>
      </c>
      <c r="C1948" s="5" t="s">
        <v>24546</v>
      </c>
      <c r="E1948" s="5" t="s">
        <v>9528</v>
      </c>
      <c r="G1948" s="5">
        <v>15196391003</v>
      </c>
    </row>
    <row r="1949" spans="1:9" ht="12.5">
      <c r="A1949" s="5">
        <v>78739348</v>
      </c>
      <c r="B1949" s="5" t="s">
        <v>23706</v>
      </c>
      <c r="C1949" s="5" t="s">
        <v>297</v>
      </c>
      <c r="E1949" s="5" t="s">
        <v>9534</v>
      </c>
      <c r="G1949" s="5">
        <v>3002602124</v>
      </c>
      <c r="I1949" s="5" t="s">
        <v>24547</v>
      </c>
    </row>
    <row r="1950" spans="1:9" ht="12.5">
      <c r="A1950" s="5">
        <v>1006690783</v>
      </c>
      <c r="B1950" s="5" t="s">
        <v>23706</v>
      </c>
      <c r="C1950" s="5" t="s">
        <v>24548</v>
      </c>
      <c r="E1950" s="5" t="s">
        <v>9542</v>
      </c>
      <c r="G1950" s="5">
        <v>3196708854</v>
      </c>
      <c r="I1950" s="5" t="s">
        <v>24549</v>
      </c>
    </row>
    <row r="1951" spans="1:9" ht="12.5">
      <c r="A1951" s="5">
        <v>1006582374</v>
      </c>
      <c r="B1951" s="5" t="s">
        <v>23706</v>
      </c>
      <c r="C1951" s="5" t="s">
        <v>9553</v>
      </c>
      <c r="E1951" s="5" t="s">
        <v>9554</v>
      </c>
      <c r="G1951" s="5">
        <v>3105101033</v>
      </c>
      <c r="I1951" s="5" t="s">
        <v>24550</v>
      </c>
    </row>
    <row r="1952" spans="1:9" ht="12.5">
      <c r="A1952" s="5">
        <v>123455677</v>
      </c>
      <c r="B1952" s="5" t="s">
        <v>23706</v>
      </c>
      <c r="C1952" s="5" t="s">
        <v>9549</v>
      </c>
      <c r="E1952" s="5" t="s">
        <v>24551</v>
      </c>
      <c r="G1952" s="5">
        <v>436769176623</v>
      </c>
    </row>
    <row r="1953" spans="1:9" ht="12.5">
      <c r="A1953" s="5">
        <v>1002000370</v>
      </c>
      <c r="B1953" s="5" t="s">
        <v>23706</v>
      </c>
      <c r="C1953" s="5" t="s">
        <v>1651</v>
      </c>
      <c r="E1953" s="5" t="s">
        <v>1901</v>
      </c>
      <c r="G1953" s="5">
        <v>3127526260</v>
      </c>
    </row>
    <row r="1954" spans="1:9" ht="12.5">
      <c r="A1954" s="5">
        <v>1143468632</v>
      </c>
      <c r="B1954" s="5" t="s">
        <v>23706</v>
      </c>
      <c r="C1954" s="5" t="s">
        <v>24552</v>
      </c>
      <c r="E1954" s="5" t="s">
        <v>24553</v>
      </c>
      <c r="G1954" s="5">
        <v>3016913734</v>
      </c>
      <c r="I1954" s="5" t="s">
        <v>24554</v>
      </c>
    </row>
    <row r="1955" spans="1:9" ht="12.5">
      <c r="A1955" s="5">
        <v>1004463010</v>
      </c>
      <c r="B1955" s="5" t="s">
        <v>23706</v>
      </c>
      <c r="C1955" s="5" t="s">
        <v>182</v>
      </c>
      <c r="E1955" s="5" t="s">
        <v>9579</v>
      </c>
      <c r="G1955" s="5">
        <v>3113331173</v>
      </c>
      <c r="I1955" s="5" t="s">
        <v>24555</v>
      </c>
    </row>
    <row r="1956" spans="1:9" ht="12.5">
      <c r="A1956" s="5">
        <v>100203517</v>
      </c>
      <c r="B1956" s="5" t="s">
        <v>23706</v>
      </c>
      <c r="C1956" s="5" t="s">
        <v>297</v>
      </c>
      <c r="E1956" s="5" t="s">
        <v>9594</v>
      </c>
      <c r="G1956" s="5">
        <v>330750389847</v>
      </c>
      <c r="I1956" s="5" t="s">
        <v>24556</v>
      </c>
    </row>
    <row r="1957" spans="1:9" ht="12.5">
      <c r="A1957" s="5">
        <v>1001942793</v>
      </c>
      <c r="B1957" s="5" t="s">
        <v>23706</v>
      </c>
      <c r="C1957" s="5" t="s">
        <v>9601</v>
      </c>
      <c r="E1957" s="5" t="s">
        <v>9602</v>
      </c>
      <c r="G1957" s="5">
        <v>34601236087</v>
      </c>
      <c r="I1957" s="5" t="s">
        <v>24557</v>
      </c>
    </row>
    <row r="1958" spans="1:9" ht="12.5">
      <c r="A1958" s="5">
        <v>3302676631202</v>
      </c>
      <c r="B1958" s="5" t="s">
        <v>23706</v>
      </c>
      <c r="C1958" s="5" t="s">
        <v>24558</v>
      </c>
      <c r="E1958" s="5" t="s">
        <v>6885</v>
      </c>
      <c r="G1958" s="10" t="s">
        <v>24559</v>
      </c>
    </row>
    <row r="1959" spans="1:9" ht="12.5">
      <c r="A1959" s="5">
        <v>1042249395</v>
      </c>
      <c r="B1959" s="5" t="s">
        <v>23706</v>
      </c>
      <c r="C1959" s="5" t="s">
        <v>4102</v>
      </c>
      <c r="E1959" s="5" t="s">
        <v>9608</v>
      </c>
      <c r="G1959" s="5">
        <v>3213605075</v>
      </c>
    </row>
    <row r="1960" spans="1:9" ht="12.5">
      <c r="A1960" s="5">
        <v>1193543989</v>
      </c>
      <c r="B1960" s="5" t="s">
        <v>23706</v>
      </c>
      <c r="C1960" s="5" t="s">
        <v>1304</v>
      </c>
      <c r="E1960" s="5" t="s">
        <v>10938</v>
      </c>
      <c r="G1960" s="5">
        <v>3148310460</v>
      </c>
      <c r="I1960" s="5" t="s">
        <v>24560</v>
      </c>
    </row>
    <row r="1961" spans="1:9" ht="12.5">
      <c r="A1961" s="5">
        <v>1121339035</v>
      </c>
      <c r="B1961" s="5" t="s">
        <v>23706</v>
      </c>
      <c r="C1961" s="5" t="s">
        <v>4482</v>
      </c>
      <c r="E1961" s="5" t="s">
        <v>236</v>
      </c>
      <c r="G1961" s="5">
        <v>3022989464</v>
      </c>
    </row>
    <row r="1962" spans="1:9" ht="12.5">
      <c r="A1962" s="5">
        <v>1045308770</v>
      </c>
      <c r="B1962" s="5" t="s">
        <v>23706</v>
      </c>
      <c r="C1962" s="5" t="s">
        <v>24561</v>
      </c>
      <c r="E1962" s="5" t="s">
        <v>9617</v>
      </c>
      <c r="G1962" s="5">
        <v>30197777132</v>
      </c>
    </row>
    <row r="1963" spans="1:9" ht="12.5">
      <c r="A1963" s="5">
        <v>1001825446</v>
      </c>
      <c r="B1963" s="5" t="s">
        <v>23706</v>
      </c>
      <c r="C1963" s="5" t="s">
        <v>24562</v>
      </c>
      <c r="E1963" s="5" t="s">
        <v>9627</v>
      </c>
      <c r="G1963" s="5">
        <v>3016890959</v>
      </c>
    </row>
    <row r="1964" spans="1:9" ht="12.5">
      <c r="A1964" s="5">
        <v>1047044305</v>
      </c>
      <c r="B1964" s="5" t="s">
        <v>23706</v>
      </c>
      <c r="C1964" s="5" t="s">
        <v>638</v>
      </c>
      <c r="E1964" s="5" t="s">
        <v>1683</v>
      </c>
      <c r="G1964" s="5">
        <v>3006429273</v>
      </c>
    </row>
    <row r="1965" spans="1:9" ht="12.5">
      <c r="A1965" s="5">
        <v>1129564857</v>
      </c>
      <c r="B1965" s="5" t="s">
        <v>23706</v>
      </c>
      <c r="C1965" s="5" t="s">
        <v>825</v>
      </c>
      <c r="E1965" s="5" t="s">
        <v>9644</v>
      </c>
      <c r="G1965" s="5">
        <v>3103504315</v>
      </c>
    </row>
    <row r="1966" spans="1:9" ht="12.5">
      <c r="A1966" s="5">
        <v>72052382</v>
      </c>
      <c r="B1966" s="5" t="s">
        <v>23706</v>
      </c>
      <c r="C1966" s="5" t="s">
        <v>9633</v>
      </c>
      <c r="E1966" s="5" t="s">
        <v>9634</v>
      </c>
      <c r="G1966" s="5">
        <v>14127309645</v>
      </c>
      <c r="I1966" s="5" t="s">
        <v>24563</v>
      </c>
    </row>
    <row r="1967" spans="1:9" ht="12.5">
      <c r="A1967" s="5">
        <v>72258232</v>
      </c>
      <c r="B1967" s="5" t="s">
        <v>23706</v>
      </c>
      <c r="C1967" s="5" t="s">
        <v>9655</v>
      </c>
      <c r="E1967" s="5" t="s">
        <v>9656</v>
      </c>
      <c r="G1967" s="5">
        <v>3004425541</v>
      </c>
      <c r="I1967" s="5" t="s">
        <v>24564</v>
      </c>
    </row>
    <row r="1968" spans="1:9" ht="12.5">
      <c r="A1968" s="5">
        <v>1107841473</v>
      </c>
      <c r="B1968" s="5" t="s">
        <v>23706</v>
      </c>
      <c r="C1968" s="5" t="s">
        <v>9649</v>
      </c>
      <c r="E1968" s="5" t="s">
        <v>1683</v>
      </c>
      <c r="G1968" s="5">
        <v>3153309897</v>
      </c>
    </row>
    <row r="1969" spans="1:9" ht="12.5">
      <c r="A1969" s="5">
        <v>32718372</v>
      </c>
      <c r="B1969" s="5" t="s">
        <v>23706</v>
      </c>
      <c r="C1969" s="5" t="s">
        <v>9660</v>
      </c>
      <c r="E1969" s="5" t="s">
        <v>1607</v>
      </c>
      <c r="G1969" s="5">
        <v>3008153820</v>
      </c>
      <c r="I1969" s="5" t="s">
        <v>24565</v>
      </c>
    </row>
    <row r="1970" spans="1:9" ht="12.5">
      <c r="A1970" s="5">
        <v>1140832077</v>
      </c>
      <c r="B1970" s="5" t="s">
        <v>23706</v>
      </c>
      <c r="C1970" s="5" t="s">
        <v>9677</v>
      </c>
      <c r="E1970" s="5" t="s">
        <v>9678</v>
      </c>
      <c r="G1970" s="5">
        <v>3004895810</v>
      </c>
    </row>
    <row r="1971" spans="1:9" ht="12.5">
      <c r="A1971" s="5">
        <v>79902616</v>
      </c>
      <c r="B1971" s="5" t="s">
        <v>23706</v>
      </c>
      <c r="C1971" s="5" t="s">
        <v>2889</v>
      </c>
      <c r="E1971" s="5" t="s">
        <v>24566</v>
      </c>
      <c r="G1971" s="5">
        <v>3001389799</v>
      </c>
      <c r="I1971" s="5" t="s">
        <v>24567</v>
      </c>
    </row>
    <row r="1972" spans="1:9" ht="12.5">
      <c r="A1972" s="5">
        <v>72151362</v>
      </c>
      <c r="B1972" s="5" t="s">
        <v>23706</v>
      </c>
      <c r="C1972" s="5" t="s">
        <v>7063</v>
      </c>
      <c r="E1972" s="5" t="s">
        <v>9665</v>
      </c>
      <c r="G1972" s="5">
        <v>3013665336</v>
      </c>
    </row>
    <row r="1973" spans="1:9" ht="12.5">
      <c r="A1973" s="5">
        <v>1092850475</v>
      </c>
      <c r="B1973" s="5" t="s">
        <v>23706</v>
      </c>
      <c r="C1973" s="5" t="s">
        <v>4250</v>
      </c>
      <c r="E1973" s="5" t="s">
        <v>9690</v>
      </c>
      <c r="G1973" s="5">
        <v>3152556856</v>
      </c>
    </row>
    <row r="1974" spans="1:9" ht="12.5">
      <c r="A1974" s="5">
        <v>1043668557</v>
      </c>
      <c r="B1974" s="5" t="s">
        <v>23706</v>
      </c>
      <c r="C1974" s="5" t="s">
        <v>3706</v>
      </c>
      <c r="E1974" s="5" t="s">
        <v>1540</v>
      </c>
      <c r="G1974" s="5">
        <v>3148505155</v>
      </c>
    </row>
    <row r="1975" spans="1:9" ht="12.5">
      <c r="A1975" s="5">
        <v>0</v>
      </c>
      <c r="B1975" s="5" t="s">
        <v>23706</v>
      </c>
      <c r="C1975" s="5" t="s">
        <v>24568</v>
      </c>
      <c r="E1975" s="5" t="s">
        <v>24569</v>
      </c>
      <c r="G1975" s="5">
        <v>17735573980</v>
      </c>
    </row>
    <row r="1976" spans="1:9" ht="12.5">
      <c r="A1976" s="5">
        <v>1193077095</v>
      </c>
      <c r="B1976" s="5" t="s">
        <v>23706</v>
      </c>
      <c r="C1976" s="5" t="s">
        <v>9698</v>
      </c>
      <c r="E1976" s="5" t="s">
        <v>9699</v>
      </c>
      <c r="G1976" s="5">
        <v>3104566261</v>
      </c>
      <c r="I1976" s="5" t="s">
        <v>24570</v>
      </c>
    </row>
    <row r="1977" spans="1:9" ht="12.5">
      <c r="A1977" s="5">
        <v>1045724362</v>
      </c>
      <c r="B1977" s="5" t="s">
        <v>23706</v>
      </c>
      <c r="C1977" s="5" t="s">
        <v>1159</v>
      </c>
      <c r="E1977" s="5" t="s">
        <v>1607</v>
      </c>
      <c r="G1977" s="5">
        <v>19293511166</v>
      </c>
    </row>
    <row r="1978" spans="1:9" ht="12.5">
      <c r="A1978" s="5">
        <v>1045760095</v>
      </c>
      <c r="B1978" s="5" t="s">
        <v>23706</v>
      </c>
      <c r="C1978" s="5" t="s">
        <v>338</v>
      </c>
      <c r="E1978" s="5" t="s">
        <v>1699</v>
      </c>
      <c r="G1978" s="5">
        <v>3505984301</v>
      </c>
      <c r="I1978" s="5" t="s">
        <v>24571</v>
      </c>
    </row>
    <row r="1979" spans="1:9" ht="12.5">
      <c r="A1979" s="5">
        <v>1143134294</v>
      </c>
      <c r="B1979" s="5" t="s">
        <v>23706</v>
      </c>
      <c r="C1979" s="5" t="s">
        <v>290</v>
      </c>
      <c r="E1979" s="5" t="s">
        <v>4430</v>
      </c>
      <c r="G1979" s="5">
        <v>3013808958</v>
      </c>
      <c r="I1979" s="5" t="s">
        <v>24572</v>
      </c>
    </row>
    <row r="1980" spans="1:9" ht="12.5">
      <c r="A1980" s="5">
        <v>22651947</v>
      </c>
      <c r="B1980" s="5" t="s">
        <v>23706</v>
      </c>
      <c r="C1980" s="5" t="s">
        <v>24573</v>
      </c>
      <c r="E1980" s="5" t="s">
        <v>4424</v>
      </c>
      <c r="G1980" s="5">
        <v>3012703073</v>
      </c>
      <c r="I1980" s="5" t="s">
        <v>24574</v>
      </c>
    </row>
    <row r="1981" spans="1:9" ht="12.5">
      <c r="A1981" s="5">
        <v>43097808</v>
      </c>
      <c r="B1981" s="5" t="s">
        <v>23706</v>
      </c>
      <c r="C1981" s="5" t="s">
        <v>24575</v>
      </c>
      <c r="E1981" s="5" t="s">
        <v>4491</v>
      </c>
      <c r="G1981" s="5">
        <v>17816860508</v>
      </c>
      <c r="I1981" s="5" t="s">
        <v>24576</v>
      </c>
    </row>
    <row r="1982" spans="1:9" ht="12.5">
      <c r="A1982" s="5">
        <v>1140833318</v>
      </c>
      <c r="B1982" s="5" t="s">
        <v>23706</v>
      </c>
      <c r="C1982" s="5" t="s">
        <v>711</v>
      </c>
      <c r="E1982" s="5" t="s">
        <v>3512</v>
      </c>
      <c r="G1982" s="5">
        <v>3177936614</v>
      </c>
    </row>
    <row r="1983" spans="1:9" ht="12.5">
      <c r="A1983" s="5">
        <v>22403017</v>
      </c>
      <c r="B1983" s="5" t="s">
        <v>23706</v>
      </c>
      <c r="C1983" s="5" t="s">
        <v>12706</v>
      </c>
      <c r="E1983" s="5"/>
      <c r="G1983" s="5">
        <v>3157014056</v>
      </c>
    </row>
    <row r="1984" spans="1:9" ht="12.5">
      <c r="A1984" s="5">
        <v>1094046829</v>
      </c>
      <c r="B1984" s="5" t="s">
        <v>23706</v>
      </c>
      <c r="C1984" s="5" t="s">
        <v>1719</v>
      </c>
      <c r="E1984" s="5" t="s">
        <v>9732</v>
      </c>
      <c r="G1984" s="5">
        <v>3225941300</v>
      </c>
      <c r="I1984" s="5" t="s">
        <v>24577</v>
      </c>
    </row>
    <row r="1985" spans="1:9" ht="12.5">
      <c r="A1985" s="5">
        <v>1140846895</v>
      </c>
      <c r="B1985" s="5" t="s">
        <v>23706</v>
      </c>
      <c r="C1985" s="5" t="s">
        <v>9739</v>
      </c>
      <c r="E1985" s="5"/>
      <c r="G1985" s="5">
        <v>3013529652</v>
      </c>
    </row>
    <row r="1986" spans="1:9" ht="12.5">
      <c r="A1986" s="5">
        <v>4240620</v>
      </c>
      <c r="B1986" s="5" t="s">
        <v>23706</v>
      </c>
      <c r="C1986" s="5" t="s">
        <v>9750</v>
      </c>
      <c r="E1986" s="5" t="s">
        <v>9751</v>
      </c>
      <c r="G1986" s="5">
        <v>5583998040546</v>
      </c>
      <c r="I1986" s="5" t="s">
        <v>24578</v>
      </c>
    </row>
    <row r="1987" spans="1:9" ht="12.5">
      <c r="A1987" s="5">
        <v>1007627717</v>
      </c>
      <c r="B1987" s="5" t="s">
        <v>23706</v>
      </c>
      <c r="C1987" s="5" t="s">
        <v>1555</v>
      </c>
      <c r="E1987" s="5" t="s">
        <v>6711</v>
      </c>
      <c r="G1987" s="5">
        <v>3107291368</v>
      </c>
      <c r="I1987" s="5" t="s">
        <v>24579</v>
      </c>
    </row>
    <row r="1988" spans="1:9" ht="12.5">
      <c r="A1988" s="5">
        <v>1044612362</v>
      </c>
      <c r="B1988" s="5" t="s">
        <v>23706</v>
      </c>
      <c r="C1988" s="5" t="s">
        <v>9965</v>
      </c>
      <c r="E1988" s="5" t="s">
        <v>9966</v>
      </c>
      <c r="G1988" s="5">
        <v>15405564157</v>
      </c>
      <c r="I1988" s="5" t="s">
        <v>24580</v>
      </c>
    </row>
    <row r="1989" spans="1:9" ht="12.5">
      <c r="A1989" s="5">
        <v>1140898472</v>
      </c>
      <c r="B1989" s="5" t="s">
        <v>23706</v>
      </c>
      <c r="C1989" s="5" t="s">
        <v>376</v>
      </c>
      <c r="E1989" s="5" t="s">
        <v>601</v>
      </c>
      <c r="G1989" s="5">
        <v>3156182908</v>
      </c>
    </row>
    <row r="1990" spans="1:9" ht="12.5">
      <c r="A1990" s="5">
        <v>1001856020</v>
      </c>
      <c r="B1990" s="5" t="s">
        <v>23706</v>
      </c>
      <c r="C1990" s="5" t="s">
        <v>638</v>
      </c>
      <c r="E1990" s="5" t="s">
        <v>9801</v>
      </c>
      <c r="G1990" s="5">
        <v>3205818323</v>
      </c>
    </row>
    <row r="1991" spans="1:9" ht="12.5">
      <c r="A1991" s="5">
        <v>1044212904</v>
      </c>
      <c r="B1991" s="5" t="s">
        <v>23706</v>
      </c>
      <c r="C1991" s="5" t="s">
        <v>4102</v>
      </c>
      <c r="E1991" s="5" t="s">
        <v>6013</v>
      </c>
      <c r="G1991" s="5">
        <v>3205216447</v>
      </c>
    </row>
    <row r="1992" spans="1:9" ht="12.5">
      <c r="A1992" s="5">
        <v>10274100882</v>
      </c>
      <c r="B1992" s="5" t="s">
        <v>23706</v>
      </c>
      <c r="C1992" s="5" t="s">
        <v>9772</v>
      </c>
      <c r="E1992" s="5" t="s">
        <v>9773</v>
      </c>
      <c r="G1992" s="5">
        <v>13128896624</v>
      </c>
    </row>
    <row r="1993" spans="1:9" ht="12.5">
      <c r="A1993" s="5">
        <v>22736707</v>
      </c>
      <c r="B1993" s="5" t="s">
        <v>23706</v>
      </c>
      <c r="C1993" s="5" t="s">
        <v>1779</v>
      </c>
      <c r="E1993" s="5" t="s">
        <v>2362</v>
      </c>
      <c r="G1993" s="5">
        <v>3114044420</v>
      </c>
    </row>
    <row r="1994" spans="1:9" ht="12.5">
      <c r="A1994" s="5">
        <v>1045745776</v>
      </c>
      <c r="B1994" s="5" t="s">
        <v>23706</v>
      </c>
      <c r="C1994" s="5" t="s">
        <v>39</v>
      </c>
      <c r="E1994" s="5" t="s">
        <v>40</v>
      </c>
      <c r="G1994" s="5">
        <v>3002603555</v>
      </c>
    </row>
    <row r="1995" spans="1:9" ht="12.5">
      <c r="A1995" s="5">
        <v>104574576</v>
      </c>
      <c r="B1995" s="5" t="s">
        <v>23706</v>
      </c>
      <c r="C1995" s="5" t="s">
        <v>39</v>
      </c>
      <c r="E1995" s="5" t="s">
        <v>40</v>
      </c>
      <c r="G1995" s="5">
        <v>3002603555</v>
      </c>
    </row>
    <row r="1996" spans="1:9" ht="12.5">
      <c r="A1996" s="5">
        <v>1102877121</v>
      </c>
      <c r="B1996" s="5" t="s">
        <v>23706</v>
      </c>
      <c r="C1996" s="5" t="s">
        <v>968</v>
      </c>
      <c r="E1996" s="5" t="s">
        <v>9797</v>
      </c>
      <c r="G1996" s="5">
        <v>3045208458</v>
      </c>
    </row>
    <row r="1997" spans="1:9" ht="12.5">
      <c r="A1997" s="5">
        <v>0</v>
      </c>
      <c r="B1997" s="5" t="s">
        <v>23706</v>
      </c>
      <c r="C1997" s="5" t="s">
        <v>9792</v>
      </c>
      <c r="E1997" s="5" t="s">
        <v>9793</v>
      </c>
      <c r="G1997" s="5">
        <v>12395659573</v>
      </c>
    </row>
    <row r="1998" spans="1:9" ht="12.5">
      <c r="A1998" s="5">
        <v>1140891811</v>
      </c>
      <c r="B1998" s="5" t="s">
        <v>23706</v>
      </c>
      <c r="C1998" s="5" t="s">
        <v>9814</v>
      </c>
      <c r="E1998" s="5" t="s">
        <v>9815</v>
      </c>
      <c r="G1998" s="5">
        <v>3145102539</v>
      </c>
      <c r="I1998" s="5" t="s">
        <v>24581</v>
      </c>
    </row>
    <row r="1999" spans="1:9" ht="12.5">
      <c r="A1999" s="5">
        <v>1043930035</v>
      </c>
      <c r="B1999" s="5" t="s">
        <v>23706</v>
      </c>
      <c r="C1999" s="5" t="s">
        <v>24582</v>
      </c>
      <c r="E1999" s="5" t="s">
        <v>9807</v>
      </c>
      <c r="G1999" s="5">
        <v>3022930233</v>
      </c>
    </row>
    <row r="2000" spans="1:9" ht="12.5">
      <c r="A2000" s="5">
        <v>901942100</v>
      </c>
      <c r="B2000" s="5" t="s">
        <v>23782</v>
      </c>
      <c r="C2000" s="5" t="s">
        <v>1017</v>
      </c>
      <c r="E2000" s="5" t="s">
        <v>2368</v>
      </c>
      <c r="G2000" s="5">
        <v>3043486525</v>
      </c>
      <c r="I2000" s="5" t="s">
        <v>24583</v>
      </c>
    </row>
    <row r="2001" spans="1:9" ht="12.5">
      <c r="A2001" s="5">
        <v>13821315</v>
      </c>
      <c r="B2001" s="5" t="s">
        <v>23706</v>
      </c>
      <c r="C2001" s="5" t="s">
        <v>10047</v>
      </c>
      <c r="E2001" s="5" t="s">
        <v>418</v>
      </c>
      <c r="G2001" s="5">
        <v>525540814027</v>
      </c>
      <c r="I2001" s="5" t="s">
        <v>24584</v>
      </c>
    </row>
    <row r="2002" spans="1:9" ht="12.5">
      <c r="A2002" s="5">
        <v>1065571614</v>
      </c>
      <c r="B2002" s="5" t="s">
        <v>23706</v>
      </c>
      <c r="C2002" s="5" t="s">
        <v>1051</v>
      </c>
      <c r="E2002" s="5" t="s">
        <v>3642</v>
      </c>
      <c r="G2002" s="5">
        <v>3167571579</v>
      </c>
      <c r="I2002" s="5" t="s">
        <v>24585</v>
      </c>
    </row>
    <row r="2003" spans="1:9" ht="12.5">
      <c r="A2003" s="5">
        <v>52516659</v>
      </c>
      <c r="B2003" s="5" t="s">
        <v>23706</v>
      </c>
      <c r="C2003" s="5" t="s">
        <v>10138</v>
      </c>
      <c r="E2003" s="5" t="s">
        <v>10139</v>
      </c>
      <c r="G2003" s="5">
        <v>3103078739</v>
      </c>
      <c r="I2003" s="5" t="s">
        <v>24586</v>
      </c>
    </row>
    <row r="2004" spans="1:9" ht="12.5">
      <c r="A2004" s="5">
        <v>0</v>
      </c>
      <c r="B2004" s="5" t="s">
        <v>23706</v>
      </c>
      <c r="C2004" s="5" t="s">
        <v>1935</v>
      </c>
      <c r="E2004" s="5" t="s">
        <v>3053</v>
      </c>
      <c r="G2004" s="5">
        <v>3003242193</v>
      </c>
    </row>
    <row r="2005" spans="1:9" ht="12.5">
      <c r="A2005" s="5">
        <v>1143166139</v>
      </c>
      <c r="B2005" s="5" t="s">
        <v>23706</v>
      </c>
      <c r="C2005" s="5" t="s">
        <v>4145</v>
      </c>
      <c r="E2005" s="5" t="s">
        <v>4655</v>
      </c>
      <c r="G2005" s="5">
        <v>3007040960</v>
      </c>
    </row>
    <row r="2006" spans="1:9" ht="12.5">
      <c r="A2006" s="5">
        <v>1001820626</v>
      </c>
      <c r="B2006" s="5" t="s">
        <v>23706</v>
      </c>
      <c r="C2006" s="5" t="s">
        <v>8510</v>
      </c>
      <c r="E2006" s="5" t="s">
        <v>2131</v>
      </c>
      <c r="G2006" s="5">
        <v>3113809866</v>
      </c>
    </row>
    <row r="2007" spans="1:9" ht="12.5">
      <c r="A2007" s="5">
        <v>1033443706</v>
      </c>
      <c r="B2007" s="5" t="s">
        <v>23706</v>
      </c>
      <c r="C2007" s="5" t="s">
        <v>24587</v>
      </c>
      <c r="E2007" s="5" t="s">
        <v>4563</v>
      </c>
      <c r="G2007" s="5">
        <v>3164465809</v>
      </c>
      <c r="I2007" s="5" t="s">
        <v>24588</v>
      </c>
    </row>
    <row r="2008" spans="1:9" ht="12.5">
      <c r="A2008" s="5">
        <v>1048069323</v>
      </c>
      <c r="B2008" s="5" t="s">
        <v>23706</v>
      </c>
      <c r="C2008" s="5" t="s">
        <v>5685</v>
      </c>
      <c r="E2008" s="5" t="s">
        <v>9837</v>
      </c>
      <c r="G2008" s="5">
        <v>3233900013</v>
      </c>
      <c r="I2008" s="5" t="s">
        <v>24589</v>
      </c>
    </row>
    <row r="2009" spans="1:9" ht="12.5">
      <c r="A2009" s="5">
        <v>1020719891</v>
      </c>
      <c r="B2009" s="5" t="s">
        <v>23706</v>
      </c>
      <c r="C2009" s="5" t="s">
        <v>703</v>
      </c>
      <c r="E2009" s="5" t="s">
        <v>9690</v>
      </c>
      <c r="G2009" s="5">
        <v>3205414689</v>
      </c>
    </row>
    <row r="2010" spans="1:9" ht="12.5">
      <c r="A2010" s="5">
        <v>1002211805</v>
      </c>
      <c r="B2010" s="5" t="s">
        <v>23706</v>
      </c>
      <c r="C2010" s="5" t="s">
        <v>9958</v>
      </c>
      <c r="E2010" s="5" t="s">
        <v>7757</v>
      </c>
      <c r="G2010" s="5">
        <v>3015068573</v>
      </c>
    </row>
    <row r="2011" spans="1:9" ht="12.5">
      <c r="A2011" s="5">
        <v>1010227045</v>
      </c>
      <c r="B2011" s="5" t="s">
        <v>23706</v>
      </c>
      <c r="C2011" s="5" t="s">
        <v>9852</v>
      </c>
      <c r="E2011" s="5" t="s">
        <v>9853</v>
      </c>
      <c r="G2011" s="5">
        <v>17862948181</v>
      </c>
      <c r="I2011" s="5" t="s">
        <v>24590</v>
      </c>
    </row>
    <row r="2012" spans="1:9" ht="12.5">
      <c r="A2012" s="5">
        <v>1192817559</v>
      </c>
      <c r="B2012" s="5" t="s">
        <v>23706</v>
      </c>
      <c r="C2012" s="5" t="s">
        <v>24591</v>
      </c>
      <c r="E2012" s="5" t="s">
        <v>24023</v>
      </c>
      <c r="G2012" s="5">
        <v>3147843995</v>
      </c>
    </row>
    <row r="2013" spans="1:9" ht="12.5">
      <c r="A2013" s="5">
        <v>1140903899</v>
      </c>
      <c r="B2013" s="5" t="s">
        <v>23706</v>
      </c>
      <c r="C2013" s="5" t="s">
        <v>9847</v>
      </c>
      <c r="E2013" s="5" t="s">
        <v>9848</v>
      </c>
      <c r="G2013" s="5">
        <v>3104482680</v>
      </c>
      <c r="I2013" s="5" t="s">
        <v>24592</v>
      </c>
    </row>
    <row r="2014" spans="1:9" ht="12.5">
      <c r="A2014" s="5">
        <v>1048206720</v>
      </c>
      <c r="B2014" s="5" t="s">
        <v>23706</v>
      </c>
      <c r="C2014" s="5" t="s">
        <v>24593</v>
      </c>
      <c r="E2014" s="5" t="s">
        <v>3550</v>
      </c>
      <c r="G2014" s="5">
        <v>3105242168</v>
      </c>
      <c r="I2014" s="5" t="s">
        <v>24594</v>
      </c>
    </row>
    <row r="2015" spans="1:9" ht="12.5">
      <c r="A2015" s="5">
        <v>1143335571</v>
      </c>
      <c r="B2015" s="5" t="s">
        <v>23706</v>
      </c>
      <c r="C2015" s="5" t="s">
        <v>1038</v>
      </c>
      <c r="E2015" s="5" t="s">
        <v>24595</v>
      </c>
      <c r="G2015" s="5">
        <v>3173819938</v>
      </c>
      <c r="I2015" s="5" t="s">
        <v>24596</v>
      </c>
    </row>
    <row r="2016" spans="1:9" ht="12.5">
      <c r="A2016" s="5">
        <v>1098734945</v>
      </c>
      <c r="B2016" s="5" t="s">
        <v>23706</v>
      </c>
      <c r="C2016" s="5" t="s">
        <v>2836</v>
      </c>
      <c r="E2016" s="5" t="s">
        <v>455</v>
      </c>
      <c r="G2016" s="5">
        <v>3184113688</v>
      </c>
    </row>
    <row r="2017" spans="1:9" ht="12.5">
      <c r="A2017" s="5">
        <v>1129572677</v>
      </c>
      <c r="B2017" s="5" t="s">
        <v>23706</v>
      </c>
      <c r="C2017" s="5" t="s">
        <v>46</v>
      </c>
      <c r="E2017" s="5" t="s">
        <v>1747</v>
      </c>
      <c r="G2017" s="5">
        <v>3004558485</v>
      </c>
      <c r="I2017" s="5" t="s">
        <v>24597</v>
      </c>
    </row>
    <row r="2018" spans="1:9" ht="12.5">
      <c r="A2018" s="5">
        <v>1019132135</v>
      </c>
      <c r="B2018" s="5" t="s">
        <v>23706</v>
      </c>
      <c r="C2018" s="5" t="s">
        <v>6280</v>
      </c>
      <c r="E2018" s="5" t="s">
        <v>9902</v>
      </c>
      <c r="G2018" s="5">
        <v>17869928070</v>
      </c>
    </row>
    <row r="2019" spans="1:9" ht="12.5">
      <c r="A2019" s="5">
        <v>0</v>
      </c>
      <c r="B2019" s="5" t="s">
        <v>23706</v>
      </c>
      <c r="C2019" s="5" t="s">
        <v>9895</v>
      </c>
      <c r="E2019" s="5" t="s">
        <v>9896</v>
      </c>
      <c r="G2019" s="5">
        <v>3122639608</v>
      </c>
    </row>
    <row r="2020" spans="1:9" ht="12.5">
      <c r="A2020" s="5">
        <v>1042244482</v>
      </c>
      <c r="B2020" s="5" t="s">
        <v>23706</v>
      </c>
      <c r="C2020" s="5" t="s">
        <v>5128</v>
      </c>
      <c r="E2020" s="5" t="s">
        <v>387</v>
      </c>
      <c r="G2020" s="5">
        <v>3183062297</v>
      </c>
      <c r="I2020" s="5" t="s">
        <v>24598</v>
      </c>
    </row>
    <row r="2021" spans="1:9" ht="12.5">
      <c r="A2021" s="5">
        <v>1066269100</v>
      </c>
      <c r="B2021" s="5" t="s">
        <v>23706</v>
      </c>
      <c r="C2021" s="5" t="s">
        <v>9932</v>
      </c>
      <c r="E2021" s="5" t="s">
        <v>1831</v>
      </c>
      <c r="G2021" s="5">
        <v>3114379822</v>
      </c>
    </row>
    <row r="2022" spans="1:9" ht="12.5">
      <c r="A2022" s="5">
        <v>72197942</v>
      </c>
      <c r="B2022" s="5" t="s">
        <v>23706</v>
      </c>
      <c r="C2022" s="5" t="s">
        <v>4618</v>
      </c>
      <c r="E2022" s="5" t="s">
        <v>9918</v>
      </c>
      <c r="G2022" s="5">
        <v>3034351</v>
      </c>
    </row>
    <row r="2023" spans="1:9" ht="12.5">
      <c r="A2023" s="5">
        <v>1001918458</v>
      </c>
      <c r="B2023" s="5" t="s">
        <v>23706</v>
      </c>
      <c r="C2023" s="5" t="s">
        <v>4026</v>
      </c>
      <c r="E2023" s="5" t="s">
        <v>24599</v>
      </c>
      <c r="G2023" s="5">
        <v>3007395078</v>
      </c>
    </row>
    <row r="2024" spans="1:9" ht="12.5">
      <c r="A2024" s="5">
        <v>1047487980</v>
      </c>
      <c r="B2024" s="5" t="s">
        <v>23706</v>
      </c>
      <c r="C2024" s="5" t="s">
        <v>404</v>
      </c>
      <c r="E2024" s="5" t="s">
        <v>1003</v>
      </c>
      <c r="G2024" s="5">
        <v>3107489331</v>
      </c>
      <c r="I2024" s="5" t="s">
        <v>24600</v>
      </c>
    </row>
    <row r="2025" spans="1:9" ht="12.5">
      <c r="A2025" s="5">
        <v>393885027</v>
      </c>
      <c r="B2025" s="5" t="s">
        <v>23706</v>
      </c>
      <c r="C2025" s="5" t="s">
        <v>10059</v>
      </c>
      <c r="E2025" s="5" t="s">
        <v>10060</v>
      </c>
      <c r="G2025" s="10" t="s">
        <v>24601</v>
      </c>
      <c r="I2025" s="5" t="s">
        <v>24602</v>
      </c>
    </row>
    <row r="2026" spans="1:9" ht="12.5">
      <c r="A2026" s="5">
        <v>1001994686</v>
      </c>
      <c r="B2026" s="5" t="s">
        <v>23706</v>
      </c>
      <c r="C2026" s="5" t="s">
        <v>404</v>
      </c>
      <c r="E2026" s="5" t="s">
        <v>591</v>
      </c>
      <c r="G2026" s="5">
        <v>19134886412</v>
      </c>
    </row>
    <row r="2027" spans="1:9" ht="12.5">
      <c r="A2027" s="5">
        <v>1018388917</v>
      </c>
      <c r="B2027" s="5" t="s">
        <v>23706</v>
      </c>
      <c r="C2027" s="5" t="s">
        <v>8674</v>
      </c>
      <c r="E2027" s="5" t="s">
        <v>24603</v>
      </c>
      <c r="G2027" s="5">
        <v>0</v>
      </c>
    </row>
    <row r="2028" spans="1:9" ht="12.5">
      <c r="A2028" s="5">
        <v>1042850974</v>
      </c>
      <c r="B2028" s="5" t="s">
        <v>23706</v>
      </c>
      <c r="C2028" s="5" t="s">
        <v>9937</v>
      </c>
      <c r="E2028" s="5" t="s">
        <v>9938</v>
      </c>
      <c r="G2028" s="5">
        <v>3108301937</v>
      </c>
    </row>
    <row r="2029" spans="1:9" ht="12.5">
      <c r="A2029" s="5">
        <v>1006247882</v>
      </c>
      <c r="B2029" s="5" t="s">
        <v>23706</v>
      </c>
      <c r="C2029" s="5" t="s">
        <v>24604</v>
      </c>
      <c r="E2029" s="5" t="s">
        <v>24605</v>
      </c>
      <c r="G2029" s="5">
        <v>3104557947</v>
      </c>
    </row>
    <row r="2030" spans="1:9" ht="12.5">
      <c r="A2030" s="5">
        <v>1103121050</v>
      </c>
      <c r="B2030" s="5" t="s">
        <v>23706</v>
      </c>
      <c r="C2030" s="5" t="s">
        <v>9984</v>
      </c>
      <c r="E2030" s="5" t="s">
        <v>699</v>
      </c>
      <c r="G2030" s="5">
        <v>3043765746</v>
      </c>
    </row>
    <row r="2031" spans="1:9" ht="12.5">
      <c r="A2031" s="5">
        <v>1144171521</v>
      </c>
      <c r="B2031" s="5" t="s">
        <v>23706</v>
      </c>
      <c r="C2031" s="5" t="s">
        <v>24606</v>
      </c>
      <c r="E2031" s="5" t="s">
        <v>9979</v>
      </c>
      <c r="G2031" s="5">
        <v>3104601110</v>
      </c>
      <c r="I2031" s="5" t="s">
        <v>24607</v>
      </c>
    </row>
    <row r="2032" spans="1:9" ht="12.5">
      <c r="A2032" s="5">
        <v>32677098</v>
      </c>
      <c r="B2032" s="5" t="s">
        <v>23706</v>
      </c>
      <c r="C2032" s="5" t="s">
        <v>9946</v>
      </c>
      <c r="E2032" s="5" t="s">
        <v>9947</v>
      </c>
      <c r="G2032" s="5">
        <v>3155004647</v>
      </c>
    </row>
    <row r="2033" spans="1:9" ht="12.5">
      <c r="A2033" s="5">
        <v>1002158026</v>
      </c>
      <c r="B2033" s="5" t="s">
        <v>23706</v>
      </c>
      <c r="C2033" s="5" t="s">
        <v>8439</v>
      </c>
      <c r="E2033" s="5" t="s">
        <v>9943</v>
      </c>
      <c r="G2033" s="5">
        <v>3015271154</v>
      </c>
    </row>
    <row r="2034" spans="1:9" ht="12.5">
      <c r="A2034" s="5">
        <v>0</v>
      </c>
      <c r="B2034" s="5" t="s">
        <v>23706</v>
      </c>
      <c r="C2034" s="5" t="s">
        <v>5262</v>
      </c>
      <c r="E2034" s="5" t="s">
        <v>24608</v>
      </c>
      <c r="G2034" s="5">
        <v>3003297891</v>
      </c>
    </row>
    <row r="2035" spans="1:9" ht="12.5">
      <c r="A2035" s="5">
        <v>45763225</v>
      </c>
      <c r="B2035" s="5" t="s">
        <v>23706</v>
      </c>
      <c r="C2035" s="5" t="s">
        <v>7204</v>
      </c>
      <c r="E2035" s="5"/>
      <c r="G2035" s="5">
        <v>3008183491</v>
      </c>
    </row>
    <row r="2036" spans="1:9" ht="12.5">
      <c r="A2036" s="5">
        <v>1130205123</v>
      </c>
      <c r="B2036" s="5" t="s">
        <v>23706</v>
      </c>
      <c r="C2036" s="5" t="s">
        <v>595</v>
      </c>
      <c r="E2036" s="5" t="s">
        <v>9989</v>
      </c>
      <c r="G2036" s="5">
        <v>4915772517534</v>
      </c>
    </row>
    <row r="2037" spans="1:9" ht="12.5">
      <c r="A2037" s="5">
        <v>1193444954</v>
      </c>
      <c r="B2037" s="5" t="s">
        <v>23706</v>
      </c>
      <c r="C2037" s="5" t="s">
        <v>39</v>
      </c>
      <c r="E2037" s="5" t="s">
        <v>24609</v>
      </c>
      <c r="G2037" s="5">
        <v>3156543534</v>
      </c>
    </row>
    <row r="2038" spans="1:9" ht="12.5">
      <c r="A2038" s="5">
        <v>1001817876</v>
      </c>
      <c r="B2038" s="5" t="s">
        <v>23706</v>
      </c>
      <c r="C2038" s="5" t="s">
        <v>2239</v>
      </c>
      <c r="E2038" s="5" t="s">
        <v>2240</v>
      </c>
      <c r="G2038" s="5">
        <v>18579305737</v>
      </c>
    </row>
    <row r="2039" spans="1:9" ht="12.5">
      <c r="A2039" s="5">
        <v>1102870010</v>
      </c>
      <c r="B2039" s="5" t="s">
        <v>23706</v>
      </c>
      <c r="C2039" s="5" t="s">
        <v>4856</v>
      </c>
      <c r="E2039" s="5" t="s">
        <v>24610</v>
      </c>
      <c r="G2039" s="5">
        <v>3003788247</v>
      </c>
      <c r="I2039" s="5" t="s">
        <v>24611</v>
      </c>
    </row>
    <row r="2040" spans="1:9" ht="12.5">
      <c r="A2040" s="5">
        <v>393885025</v>
      </c>
      <c r="B2040" s="5" t="s">
        <v>23706</v>
      </c>
      <c r="C2040" s="5" t="s">
        <v>10059</v>
      </c>
      <c r="E2040" s="5" t="s">
        <v>10060</v>
      </c>
      <c r="G2040" s="5">
        <v>17046182800</v>
      </c>
      <c r="I2040" s="5" t="s">
        <v>24602</v>
      </c>
    </row>
    <row r="2041" spans="1:9" ht="12.5">
      <c r="A2041" s="5">
        <v>1020797983</v>
      </c>
      <c r="B2041" s="5" t="s">
        <v>23706</v>
      </c>
      <c r="C2041" s="5" t="s">
        <v>5576</v>
      </c>
      <c r="E2041" s="5" t="s">
        <v>9999</v>
      </c>
      <c r="G2041" s="5">
        <v>3015978676</v>
      </c>
      <c r="I2041" s="5" t="s">
        <v>24612</v>
      </c>
    </row>
    <row r="2042" spans="1:9" ht="12.5">
      <c r="A2042" s="5">
        <v>1002209262</v>
      </c>
      <c r="B2042" s="5" t="s">
        <v>23706</v>
      </c>
      <c r="C2042" s="5" t="s">
        <v>10023</v>
      </c>
      <c r="E2042" s="5" t="s">
        <v>1336</v>
      </c>
      <c r="G2042" s="5">
        <v>3113793246</v>
      </c>
      <c r="I2042" s="5" t="s">
        <v>24613</v>
      </c>
    </row>
    <row r="2043" spans="1:9" ht="12.5">
      <c r="A2043" s="5">
        <v>419776</v>
      </c>
      <c r="B2043" s="5" t="s">
        <v>23706</v>
      </c>
      <c r="C2043" s="5" t="s">
        <v>10029</v>
      </c>
      <c r="E2043" s="5" t="s">
        <v>10030</v>
      </c>
      <c r="G2043" s="5">
        <v>3205167153</v>
      </c>
    </row>
    <row r="2044" spans="1:9" ht="12.5">
      <c r="A2044" s="5">
        <v>91533398</v>
      </c>
      <c r="B2044" s="5" t="s">
        <v>23706</v>
      </c>
      <c r="C2044" s="5" t="s">
        <v>10018</v>
      </c>
      <c r="E2044" s="5" t="s">
        <v>10019</v>
      </c>
      <c r="G2044" s="5">
        <v>3017851412</v>
      </c>
    </row>
    <row r="2045" spans="1:9" ht="12.5">
      <c r="A2045" s="5">
        <v>1046701733</v>
      </c>
      <c r="B2045" s="5" t="s">
        <v>23706</v>
      </c>
      <c r="C2045" s="5" t="s">
        <v>24614</v>
      </c>
      <c r="E2045" s="5" t="s">
        <v>10037</v>
      </c>
      <c r="G2045" s="5">
        <v>3236883110</v>
      </c>
    </row>
    <row r="2046" spans="1:9" ht="12.5">
      <c r="A2046" s="5">
        <v>33</v>
      </c>
      <c r="B2046" s="5" t="s">
        <v>23706</v>
      </c>
      <c r="C2046" s="5" t="s">
        <v>10059</v>
      </c>
      <c r="E2046" s="5" t="s">
        <v>10060</v>
      </c>
      <c r="G2046" s="5">
        <v>17046182800</v>
      </c>
      <c r="I2046" s="5" t="s">
        <v>24602</v>
      </c>
    </row>
    <row r="2047" spans="1:9" ht="12.5">
      <c r="A2047" s="5">
        <v>55301383</v>
      </c>
      <c r="B2047" s="5" t="s">
        <v>23706</v>
      </c>
      <c r="C2047" s="5" t="s">
        <v>843</v>
      </c>
      <c r="E2047" s="5" t="s">
        <v>24615</v>
      </c>
      <c r="G2047" s="5">
        <v>3135038924</v>
      </c>
      <c r="I2047" s="5" t="s">
        <v>24616</v>
      </c>
    </row>
    <row r="2048" spans="1:9" ht="12.5">
      <c r="A2048" s="5">
        <v>1045667780</v>
      </c>
      <c r="B2048" s="5" t="s">
        <v>23706</v>
      </c>
      <c r="C2048" s="5" t="s">
        <v>217</v>
      </c>
      <c r="E2048" s="5" t="s">
        <v>1819</v>
      </c>
      <c r="G2048" s="5">
        <v>17025164014</v>
      </c>
    </row>
    <row r="2049" spans="1:9" ht="12.5">
      <c r="A2049" s="5">
        <v>1000894463</v>
      </c>
      <c r="B2049" s="5" t="s">
        <v>23706</v>
      </c>
      <c r="C2049" s="5" t="s">
        <v>10144</v>
      </c>
      <c r="E2049" s="5" t="s">
        <v>10145</v>
      </c>
      <c r="G2049" s="5">
        <v>3212739897</v>
      </c>
      <c r="I2049" s="5" t="s">
        <v>24617</v>
      </c>
    </row>
    <row r="2050" spans="1:9" ht="12.5">
      <c r="A2050" s="5">
        <v>1192893049</v>
      </c>
      <c r="B2050" s="5" t="s">
        <v>23706</v>
      </c>
      <c r="C2050" s="5" t="s">
        <v>10041</v>
      </c>
      <c r="E2050" s="5" t="s">
        <v>24618</v>
      </c>
      <c r="G2050" s="5">
        <v>3186323485</v>
      </c>
    </row>
    <row r="2051" spans="1:9" ht="12.5">
      <c r="A2051" s="5">
        <v>1123402931</v>
      </c>
      <c r="B2051" s="5" t="s">
        <v>23706</v>
      </c>
      <c r="C2051" s="5" t="s">
        <v>3347</v>
      </c>
      <c r="E2051" s="5" t="s">
        <v>2622</v>
      </c>
      <c r="G2051" s="5">
        <v>3003922505</v>
      </c>
    </row>
    <row r="2052" spans="1:9" ht="12.5">
      <c r="A2052" s="5">
        <v>73176777</v>
      </c>
      <c r="B2052" s="5" t="s">
        <v>23706</v>
      </c>
      <c r="C2052" s="5" t="s">
        <v>4145</v>
      </c>
      <c r="E2052" s="5" t="s">
        <v>10151</v>
      </c>
      <c r="G2052" s="5">
        <v>51942932654</v>
      </c>
    </row>
    <row r="2053" spans="1:9" ht="12.5">
      <c r="A2053" s="5">
        <v>1001942066</v>
      </c>
      <c r="B2053" s="5" t="s">
        <v>23706</v>
      </c>
      <c r="C2053" s="5" t="s">
        <v>24619</v>
      </c>
      <c r="E2053" s="5" t="s">
        <v>418</v>
      </c>
      <c r="G2053" s="5">
        <v>3012268956</v>
      </c>
    </row>
    <row r="2054" spans="1:9" ht="12.5">
      <c r="A2054" s="5">
        <v>1029720897</v>
      </c>
      <c r="B2054" s="5" t="s">
        <v>23706</v>
      </c>
      <c r="C2054" s="5" t="s">
        <v>24620</v>
      </c>
      <c r="E2054" s="5" t="s">
        <v>24621</v>
      </c>
      <c r="G2054" s="5">
        <v>3028640221</v>
      </c>
      <c r="I2054" s="5" t="s">
        <v>24622</v>
      </c>
    </row>
    <row r="2055" spans="1:9" ht="12.5">
      <c r="A2055" s="5">
        <v>1046696106</v>
      </c>
      <c r="B2055" s="5" t="s">
        <v>23706</v>
      </c>
      <c r="C2055" s="5" t="s">
        <v>6348</v>
      </c>
      <c r="E2055" s="5" t="s">
        <v>10064</v>
      </c>
      <c r="G2055" s="5">
        <v>3136834537</v>
      </c>
    </row>
    <row r="2056" spans="1:9" ht="12.5">
      <c r="A2056" s="5">
        <v>1098358630</v>
      </c>
      <c r="B2056" s="5" t="s">
        <v>23706</v>
      </c>
      <c r="C2056" s="5" t="s">
        <v>1051</v>
      </c>
      <c r="E2056" s="5" t="s">
        <v>24623</v>
      </c>
      <c r="G2056" s="5">
        <v>3142986019</v>
      </c>
      <c r="I2056" s="5" t="s">
        <v>24624</v>
      </c>
    </row>
    <row r="2057" spans="1:9" ht="12.5">
      <c r="A2057" s="5">
        <v>0</v>
      </c>
      <c r="B2057" s="5" t="s">
        <v>23706</v>
      </c>
      <c r="C2057" s="5" t="s">
        <v>584</v>
      </c>
      <c r="E2057" s="5" t="s">
        <v>24625</v>
      </c>
      <c r="G2057" s="5">
        <v>523334177913</v>
      </c>
      <c r="I2057" s="5" t="s">
        <v>24626</v>
      </c>
    </row>
    <row r="2058" spans="1:9" ht="12.5">
      <c r="A2058" s="5">
        <v>798</v>
      </c>
      <c r="B2058" s="5" t="s">
        <v>23706</v>
      </c>
      <c r="C2058" s="5" t="s">
        <v>24627</v>
      </c>
      <c r="E2058" s="5" t="s">
        <v>10917</v>
      </c>
      <c r="G2058" s="5">
        <v>89</v>
      </c>
    </row>
    <row r="2059" spans="1:9" ht="12.5">
      <c r="A2059" s="5">
        <v>84036790</v>
      </c>
      <c r="B2059" s="5" t="s">
        <v>23706</v>
      </c>
      <c r="C2059" s="5" t="s">
        <v>10071</v>
      </c>
      <c r="E2059" s="5" t="s">
        <v>10072</v>
      </c>
      <c r="G2059" s="5">
        <v>3176481134</v>
      </c>
    </row>
    <row r="2060" spans="1:9" ht="12.5">
      <c r="A2060" s="5">
        <v>1002022882</v>
      </c>
      <c r="B2060" s="5" t="s">
        <v>23706</v>
      </c>
      <c r="C2060" s="5" t="s">
        <v>1555</v>
      </c>
      <c r="E2060" s="5" t="s">
        <v>1752</v>
      </c>
      <c r="G2060" s="5">
        <v>3003799031</v>
      </c>
      <c r="I2060" s="5" t="s">
        <v>24628</v>
      </c>
    </row>
    <row r="2061" spans="1:9" ht="12.5">
      <c r="A2061" s="5">
        <v>1140897963</v>
      </c>
      <c r="B2061" s="5" t="s">
        <v>23706</v>
      </c>
      <c r="C2061" s="5" t="s">
        <v>10128</v>
      </c>
      <c r="E2061" s="5" t="s">
        <v>10124</v>
      </c>
      <c r="G2061" s="5">
        <v>3016146980</v>
      </c>
    </row>
    <row r="2062" spans="1:9" ht="12.5">
      <c r="A2062" s="5">
        <v>1127349590</v>
      </c>
      <c r="B2062" s="5" t="s">
        <v>23706</v>
      </c>
      <c r="C2062" s="5" t="s">
        <v>10112</v>
      </c>
      <c r="E2062" s="5" t="s">
        <v>10113</v>
      </c>
      <c r="G2062" s="5">
        <v>3152530349</v>
      </c>
      <c r="I2062" s="5" t="s">
        <v>24629</v>
      </c>
    </row>
    <row r="2063" spans="1:9" ht="12.5">
      <c r="A2063" s="5">
        <v>1143227614</v>
      </c>
      <c r="B2063" s="5" t="s">
        <v>23706</v>
      </c>
      <c r="C2063" s="5" t="s">
        <v>24630</v>
      </c>
      <c r="E2063" s="5" t="s">
        <v>10097</v>
      </c>
      <c r="G2063" s="5">
        <v>0</v>
      </c>
    </row>
    <row r="2064" spans="1:9" ht="12.5">
      <c r="A2064" s="5">
        <v>1044212521</v>
      </c>
      <c r="B2064" s="5" t="s">
        <v>23706</v>
      </c>
      <c r="C2064" s="5" t="s">
        <v>6639</v>
      </c>
      <c r="E2064" s="5" t="s">
        <v>7203</v>
      </c>
      <c r="G2064" s="5">
        <v>3116251075</v>
      </c>
    </row>
    <row r="2065" spans="1:9" ht="12.5">
      <c r="A2065" s="5">
        <v>1234097480</v>
      </c>
      <c r="B2065" s="5" t="s">
        <v>23706</v>
      </c>
      <c r="C2065" s="5" t="s">
        <v>10227</v>
      </c>
      <c r="E2065" s="5" t="s">
        <v>3057</v>
      </c>
      <c r="G2065" s="5">
        <v>14153746935</v>
      </c>
    </row>
    <row r="2066" spans="1:9" ht="12.5">
      <c r="A2066" s="5">
        <v>1234095361</v>
      </c>
      <c r="B2066" s="5" t="s">
        <v>23706</v>
      </c>
      <c r="C2066" s="5" t="s">
        <v>10129</v>
      </c>
      <c r="E2066" s="5" t="s">
        <v>7768</v>
      </c>
      <c r="G2066" s="5">
        <v>0</v>
      </c>
    </row>
    <row r="2067" spans="1:9" ht="12.5">
      <c r="A2067" s="5">
        <v>1001853500</v>
      </c>
      <c r="B2067" s="5" t="s">
        <v>23706</v>
      </c>
      <c r="C2067" s="5" t="s">
        <v>3075</v>
      </c>
      <c r="E2067" s="5" t="s">
        <v>1855</v>
      </c>
      <c r="G2067" s="5">
        <v>3113467688</v>
      </c>
      <c r="I2067" s="5" t="s">
        <v>24631</v>
      </c>
    </row>
    <row r="2068" spans="1:9" ht="12.5">
      <c r="A2068" s="5">
        <v>13165896</v>
      </c>
      <c r="B2068" s="5" t="s">
        <v>23706</v>
      </c>
      <c r="C2068" s="5" t="s">
        <v>46</v>
      </c>
      <c r="E2068" s="5" t="s">
        <v>10164</v>
      </c>
      <c r="G2068" s="5">
        <v>3008366502</v>
      </c>
      <c r="I2068" s="5" t="s">
        <v>24632</v>
      </c>
    </row>
    <row r="2069" spans="1:9" ht="12.5">
      <c r="A2069" s="5">
        <v>1043446251</v>
      </c>
      <c r="B2069" s="5" t="s">
        <v>23706</v>
      </c>
      <c r="C2069" s="5" t="s">
        <v>10158</v>
      </c>
      <c r="E2069" s="5" t="s">
        <v>10159</v>
      </c>
      <c r="G2069" s="5">
        <v>3058681889</v>
      </c>
      <c r="I2069" s="5" t="s">
        <v>24633</v>
      </c>
    </row>
    <row r="2070" spans="1:9" ht="12.5">
      <c r="A2070" s="5">
        <v>1140838807</v>
      </c>
      <c r="B2070" s="5" t="s">
        <v>23706</v>
      </c>
      <c r="C2070" s="5" t="s">
        <v>24634</v>
      </c>
      <c r="E2070" s="5" t="s">
        <v>1585</v>
      </c>
      <c r="G2070" s="5">
        <v>3013945945</v>
      </c>
    </row>
    <row r="2071" spans="1:9" ht="12.5">
      <c r="A2071" s="5">
        <v>1042246397</v>
      </c>
      <c r="B2071" s="5" t="s">
        <v>23706</v>
      </c>
      <c r="C2071" s="5" t="s">
        <v>9677</v>
      </c>
      <c r="E2071" s="5" t="s">
        <v>10179</v>
      </c>
      <c r="G2071" s="5">
        <v>3012282165</v>
      </c>
      <c r="I2071" s="5" t="s">
        <v>24635</v>
      </c>
    </row>
    <row r="2072" spans="1:9" ht="12.5">
      <c r="A2072" s="5">
        <v>1137624223</v>
      </c>
      <c r="B2072" s="5" t="s">
        <v>23706</v>
      </c>
      <c r="C2072" s="5" t="s">
        <v>332</v>
      </c>
      <c r="E2072" s="5" t="s">
        <v>6711</v>
      </c>
      <c r="G2072" s="5">
        <v>3507722312</v>
      </c>
      <c r="I2072" s="5" t="s">
        <v>24636</v>
      </c>
    </row>
    <row r="2073" spans="1:9" ht="12.5">
      <c r="A2073" s="5">
        <v>73081618</v>
      </c>
      <c r="B2073" s="5" t="s">
        <v>23706</v>
      </c>
      <c r="C2073" s="5" t="s">
        <v>6834</v>
      </c>
      <c r="E2073" s="5" t="s">
        <v>24637</v>
      </c>
      <c r="G2073" s="5">
        <v>3156127941</v>
      </c>
      <c r="I2073" s="5" t="s">
        <v>24638</v>
      </c>
    </row>
    <row r="2074" spans="1:9" ht="12.5">
      <c r="A2074" s="5">
        <v>1102872841</v>
      </c>
      <c r="B2074" s="5" t="s">
        <v>23706</v>
      </c>
      <c r="C2074" s="5" t="s">
        <v>10189</v>
      </c>
      <c r="E2074" s="5" t="s">
        <v>5352</v>
      </c>
      <c r="G2074" s="5">
        <v>3014833570</v>
      </c>
      <c r="I2074" s="5" t="s">
        <v>24639</v>
      </c>
    </row>
    <row r="2075" spans="1:9" ht="12.5">
      <c r="A2075" s="5">
        <v>57290174</v>
      </c>
      <c r="B2075" s="5" t="s">
        <v>23706</v>
      </c>
      <c r="C2075" s="5" t="s">
        <v>24640</v>
      </c>
      <c r="E2075" s="5" t="s">
        <v>2534</v>
      </c>
      <c r="G2075" s="5">
        <v>3003954858</v>
      </c>
    </row>
    <row r="2076" spans="1:9" ht="12.5">
      <c r="A2076" s="5">
        <v>33752883</v>
      </c>
      <c r="B2076" s="5" t="s">
        <v>23706</v>
      </c>
      <c r="C2076" s="5" t="s">
        <v>10184</v>
      </c>
      <c r="E2076" s="5" t="s">
        <v>5424</v>
      </c>
      <c r="G2076" s="5">
        <v>3007463854</v>
      </c>
      <c r="I2076" s="5" t="s">
        <v>24641</v>
      </c>
    </row>
    <row r="2077" spans="1:9" ht="12.5">
      <c r="A2077" s="5">
        <v>72204997</v>
      </c>
      <c r="B2077" s="5" t="s">
        <v>23706</v>
      </c>
      <c r="C2077" s="5" t="s">
        <v>10205</v>
      </c>
      <c r="E2077" s="5" t="s">
        <v>10206</v>
      </c>
      <c r="G2077" s="5">
        <v>3007503700</v>
      </c>
      <c r="I2077" s="5" t="s">
        <v>24642</v>
      </c>
    </row>
    <row r="2078" spans="1:9" ht="12.5">
      <c r="A2078" s="5">
        <v>32606925</v>
      </c>
      <c r="B2078" s="5" t="s">
        <v>23706</v>
      </c>
      <c r="C2078" s="5" t="s">
        <v>13717</v>
      </c>
      <c r="E2078" s="5"/>
      <c r="G2078" s="5">
        <v>3106364062</v>
      </c>
    </row>
    <row r="2079" spans="1:9" ht="12.5">
      <c r="A2079" s="5">
        <v>1047482340</v>
      </c>
      <c r="B2079" s="5" t="s">
        <v>23706</v>
      </c>
      <c r="C2079" s="5" t="s">
        <v>290</v>
      </c>
      <c r="E2079" s="5" t="s">
        <v>10199</v>
      </c>
      <c r="G2079" s="5">
        <v>34633151152</v>
      </c>
    </row>
    <row r="2080" spans="1:9" ht="12.5">
      <c r="A2080" s="5">
        <v>1038096097</v>
      </c>
      <c r="B2080" s="5" t="s">
        <v>23706</v>
      </c>
      <c r="C2080" s="5" t="s">
        <v>703</v>
      </c>
      <c r="E2080" s="5" t="s">
        <v>3616</v>
      </c>
      <c r="G2080" s="5">
        <v>3014018301</v>
      </c>
      <c r="I2080" s="5" t="s">
        <v>24643</v>
      </c>
    </row>
    <row r="2081" spans="1:9" ht="12.5">
      <c r="A2081" s="5">
        <v>1193043243</v>
      </c>
      <c r="B2081" s="5" t="s">
        <v>23706</v>
      </c>
      <c r="C2081" s="5" t="s">
        <v>158</v>
      </c>
      <c r="E2081" s="5" t="s">
        <v>10284</v>
      </c>
      <c r="G2081" s="5">
        <v>3016578880</v>
      </c>
    </row>
    <row r="2082" spans="1:9" ht="12.5">
      <c r="A2082" s="5">
        <v>52954663</v>
      </c>
      <c r="B2082" s="5" t="s">
        <v>23706</v>
      </c>
      <c r="C2082" s="5" t="s">
        <v>7457</v>
      </c>
      <c r="E2082" s="5" t="s">
        <v>10219</v>
      </c>
      <c r="G2082" s="5">
        <v>3213518800</v>
      </c>
    </row>
    <row r="2083" spans="1:9" ht="12.5">
      <c r="A2083" s="5">
        <v>110145576</v>
      </c>
      <c r="B2083" s="5" t="s">
        <v>23706</v>
      </c>
      <c r="C2083" s="5" t="s">
        <v>8318</v>
      </c>
      <c r="E2083" s="5" t="s">
        <v>1566</v>
      </c>
      <c r="G2083" s="5">
        <v>3153143394</v>
      </c>
    </row>
    <row r="2084" spans="1:9" ht="12.5">
      <c r="A2084" s="5">
        <v>1143166207</v>
      </c>
      <c r="B2084" s="5" t="s">
        <v>23706</v>
      </c>
      <c r="C2084" s="5" t="s">
        <v>5347</v>
      </c>
      <c r="E2084" s="5" t="s">
        <v>7325</v>
      </c>
      <c r="G2084" s="5">
        <v>3053523401</v>
      </c>
      <c r="I2084" s="5" t="s">
        <v>24644</v>
      </c>
    </row>
    <row r="2085" spans="1:9" ht="12.5">
      <c r="A2085" s="5">
        <v>1006823746</v>
      </c>
      <c r="B2085" s="5" t="s">
        <v>23706</v>
      </c>
      <c r="C2085" s="5" t="s">
        <v>10222</v>
      </c>
      <c r="E2085" s="5" t="s">
        <v>6017</v>
      </c>
      <c r="G2085" s="5">
        <v>0</v>
      </c>
    </row>
    <row r="2086" spans="1:9" ht="12.5">
      <c r="A2086" s="5">
        <v>1045714527</v>
      </c>
      <c r="B2086" s="5" t="s">
        <v>23706</v>
      </c>
      <c r="C2086" s="5" t="s">
        <v>10250</v>
      </c>
      <c r="E2086" s="5" t="s">
        <v>10251</v>
      </c>
      <c r="G2086" s="5">
        <v>3012033643</v>
      </c>
      <c r="I2086" s="5" t="s">
        <v>24645</v>
      </c>
    </row>
    <row r="2087" spans="1:9" ht="12.5">
      <c r="A2087" s="5">
        <v>1042090607</v>
      </c>
      <c r="B2087" s="5" t="s">
        <v>23706</v>
      </c>
      <c r="C2087" s="5" t="s">
        <v>13252</v>
      </c>
      <c r="E2087" s="5"/>
      <c r="G2087" s="5">
        <v>3137587141</v>
      </c>
      <c r="I2087" s="5" t="s">
        <v>24646</v>
      </c>
    </row>
    <row r="2088" spans="1:9" ht="12.5">
      <c r="A2088" s="5">
        <v>1140880105</v>
      </c>
      <c r="B2088" s="5" t="s">
        <v>23706</v>
      </c>
      <c r="C2088" s="5" t="s">
        <v>290</v>
      </c>
      <c r="E2088" s="5" t="s">
        <v>10370</v>
      </c>
      <c r="G2088" s="5">
        <v>3013791058</v>
      </c>
      <c r="I2088" s="5" t="s">
        <v>24647</v>
      </c>
    </row>
    <row r="2089" spans="1:9" ht="12.5">
      <c r="A2089" s="5">
        <v>1193482053</v>
      </c>
      <c r="B2089" s="5" t="s">
        <v>23706</v>
      </c>
      <c r="C2089" s="5" t="s">
        <v>698</v>
      </c>
      <c r="E2089" s="5" t="s">
        <v>24648</v>
      </c>
      <c r="G2089" s="5">
        <v>3122486421</v>
      </c>
      <c r="I2089" s="5" t="s">
        <v>24649</v>
      </c>
    </row>
    <row r="2090" spans="1:9" ht="12.5">
      <c r="A2090" s="5">
        <v>1043029453</v>
      </c>
      <c r="B2090" s="5" t="s">
        <v>23706</v>
      </c>
      <c r="C2090" s="5" t="s">
        <v>24650</v>
      </c>
      <c r="E2090" s="5" t="s">
        <v>24651</v>
      </c>
      <c r="G2090" s="5">
        <v>3007487758</v>
      </c>
      <c r="I2090" s="5" t="s">
        <v>24652</v>
      </c>
    </row>
    <row r="2091" spans="1:9" ht="12.5">
      <c r="A2091" s="5">
        <v>1193576311</v>
      </c>
      <c r="B2091" s="5" t="s">
        <v>23706</v>
      </c>
      <c r="C2091" s="5" t="s">
        <v>1038</v>
      </c>
      <c r="E2091" s="5" t="s">
        <v>4009</v>
      </c>
      <c r="G2091" s="5">
        <v>3017240790</v>
      </c>
    </row>
    <row r="2092" spans="1:9" ht="12.5">
      <c r="A2092" s="5">
        <v>8122652</v>
      </c>
      <c r="B2092" s="5" t="s">
        <v>23706</v>
      </c>
      <c r="C2092" s="5" t="s">
        <v>23842</v>
      </c>
      <c r="E2092" s="5" t="s">
        <v>24653</v>
      </c>
      <c r="G2092" s="5">
        <v>33677010640</v>
      </c>
      <c r="I2092" s="5" t="s">
        <v>24654</v>
      </c>
    </row>
    <row r="2093" spans="1:9" ht="12.5">
      <c r="A2093" s="5">
        <v>29654733</v>
      </c>
      <c r="B2093" s="5" t="s">
        <v>23706</v>
      </c>
      <c r="C2093" s="5" t="s">
        <v>24655</v>
      </c>
      <c r="E2093" s="5" t="s">
        <v>693</v>
      </c>
      <c r="G2093" s="5">
        <v>584125353161</v>
      </c>
    </row>
    <row r="2094" spans="1:9" ht="12.5">
      <c r="A2094" s="5">
        <v>72270834</v>
      </c>
      <c r="B2094" s="5" t="s">
        <v>23706</v>
      </c>
      <c r="C2094" s="5" t="s">
        <v>1513</v>
      </c>
      <c r="E2094" s="5" t="s">
        <v>93</v>
      </c>
      <c r="G2094" s="5">
        <v>13217459164</v>
      </c>
      <c r="I2094" s="5" t="s">
        <v>24656</v>
      </c>
    </row>
    <row r="2095" spans="1:9" ht="12.5">
      <c r="A2095" s="5">
        <v>1234888393</v>
      </c>
      <c r="B2095" s="5" t="s">
        <v>23706</v>
      </c>
      <c r="C2095" s="5" t="s">
        <v>24657</v>
      </c>
      <c r="E2095" s="5" t="s">
        <v>24658</v>
      </c>
      <c r="G2095" s="5">
        <v>3007252222</v>
      </c>
      <c r="I2095" s="5" t="s">
        <v>24659</v>
      </c>
    </row>
    <row r="2096" spans="1:9" ht="12.5">
      <c r="A2096" s="5">
        <v>1043437441</v>
      </c>
      <c r="B2096" s="5" t="s">
        <v>23706</v>
      </c>
      <c r="C2096" s="5" t="s">
        <v>10246</v>
      </c>
      <c r="E2096" s="5" t="s">
        <v>10247</v>
      </c>
      <c r="G2096" s="5">
        <v>3044616834</v>
      </c>
    </row>
    <row r="2097" spans="1:9" ht="12.5">
      <c r="A2097" s="5">
        <v>32798307</v>
      </c>
      <c r="B2097" s="5" t="s">
        <v>23706</v>
      </c>
      <c r="C2097" s="5" t="s">
        <v>10257</v>
      </c>
      <c r="E2097" s="5" t="s">
        <v>10258</v>
      </c>
      <c r="G2097" s="5">
        <v>3205413971</v>
      </c>
    </row>
    <row r="2098" spans="1:9" ht="12.5">
      <c r="A2098" s="5">
        <v>1234100409</v>
      </c>
      <c r="B2098" s="5" t="s">
        <v>23706</v>
      </c>
      <c r="C2098" s="5" t="s">
        <v>2293</v>
      </c>
      <c r="E2098" s="5" t="s">
        <v>24660</v>
      </c>
      <c r="G2098" s="5">
        <v>3152633822</v>
      </c>
    </row>
    <row r="2099" spans="1:9" ht="12.5">
      <c r="A2099" s="5">
        <v>72008289</v>
      </c>
      <c r="B2099" s="5" t="s">
        <v>23706</v>
      </c>
      <c r="C2099" s="5" t="s">
        <v>6639</v>
      </c>
      <c r="E2099" s="5" t="s">
        <v>24661</v>
      </c>
      <c r="G2099" s="5">
        <v>3164375999</v>
      </c>
    </row>
    <row r="2100" spans="1:9" ht="12.5">
      <c r="A2100" s="5">
        <v>1234093547</v>
      </c>
      <c r="B2100" s="5" t="s">
        <v>23706</v>
      </c>
      <c r="C2100" s="5" t="s">
        <v>825</v>
      </c>
      <c r="E2100" s="5" t="s">
        <v>10375</v>
      </c>
      <c r="G2100" s="5">
        <v>3003987082</v>
      </c>
      <c r="I2100" s="5" t="s">
        <v>24662</v>
      </c>
    </row>
    <row r="2101" spans="1:9" ht="12.5">
      <c r="A2101" s="5">
        <v>7879302262</v>
      </c>
      <c r="B2101" s="5" t="s">
        <v>23706</v>
      </c>
      <c r="C2101" s="5" t="s">
        <v>24663</v>
      </c>
      <c r="E2101" s="5" t="s">
        <v>10267</v>
      </c>
      <c r="G2101" s="5">
        <v>0</v>
      </c>
    </row>
    <row r="2102" spans="1:9" ht="12.5">
      <c r="A2102" s="5">
        <v>1140839354</v>
      </c>
      <c r="B2102" s="5" t="s">
        <v>23706</v>
      </c>
      <c r="C2102" s="5" t="s">
        <v>1526</v>
      </c>
      <c r="E2102" s="5" t="s">
        <v>10298</v>
      </c>
      <c r="G2102" s="5">
        <v>14157928852</v>
      </c>
    </row>
    <row r="2103" spans="1:9" ht="12.5">
      <c r="A2103" s="5">
        <v>1083561180</v>
      </c>
      <c r="B2103" s="5" t="s">
        <v>23706</v>
      </c>
      <c r="C2103" s="5" t="s">
        <v>10276</v>
      </c>
      <c r="E2103" s="5" t="s">
        <v>10277</v>
      </c>
      <c r="G2103" s="5">
        <v>3006268023</v>
      </c>
    </row>
    <row r="2104" spans="1:9" ht="12.5">
      <c r="A2104" s="5">
        <v>1140885824</v>
      </c>
      <c r="B2104" s="5" t="s">
        <v>23706</v>
      </c>
      <c r="C2104" s="5" t="s">
        <v>3706</v>
      </c>
      <c r="E2104" s="5" t="s">
        <v>24664</v>
      </c>
      <c r="G2104" s="5">
        <v>3107217947</v>
      </c>
    </row>
    <row r="2105" spans="1:9" ht="12.5">
      <c r="A2105" s="5">
        <v>237856054000</v>
      </c>
      <c r="B2105" s="5" t="s">
        <v>23706</v>
      </c>
      <c r="C2105" s="5" t="s">
        <v>10281</v>
      </c>
      <c r="E2105" s="5" t="s">
        <v>10282</v>
      </c>
      <c r="G2105" s="5">
        <v>0</v>
      </c>
    </row>
    <row r="2106" spans="1:9" ht="12.5">
      <c r="A2106" s="5">
        <v>80041678</v>
      </c>
      <c r="B2106" s="5" t="s">
        <v>23706</v>
      </c>
      <c r="C2106" s="5" t="s">
        <v>10313</v>
      </c>
      <c r="E2106" s="5" t="s">
        <v>10314</v>
      </c>
      <c r="G2106" s="5">
        <v>19549956972</v>
      </c>
      <c r="I2106" s="5" t="s">
        <v>24665</v>
      </c>
    </row>
    <row r="2107" spans="1:9" ht="12.5">
      <c r="A2107" s="5">
        <v>1140832641</v>
      </c>
      <c r="B2107" s="5" t="s">
        <v>23706</v>
      </c>
      <c r="C2107" s="5" t="s">
        <v>4026</v>
      </c>
      <c r="E2107" s="5" t="s">
        <v>10333</v>
      </c>
      <c r="G2107" s="5">
        <v>3006607691</v>
      </c>
      <c r="I2107" s="5" t="s">
        <v>24666</v>
      </c>
    </row>
    <row r="2108" spans="1:9" ht="12.5">
      <c r="A2108" s="5">
        <v>1140890727</v>
      </c>
      <c r="B2108" s="5" t="s">
        <v>23706</v>
      </c>
      <c r="C2108" s="5" t="s">
        <v>13984</v>
      </c>
      <c r="E2108" s="5"/>
      <c r="G2108" s="10" t="s">
        <v>24667</v>
      </c>
      <c r="I2108" s="5" t="s">
        <v>24668</v>
      </c>
    </row>
    <row r="2109" spans="1:9" ht="12.5">
      <c r="A2109" s="5">
        <v>1125779104</v>
      </c>
      <c r="B2109" s="5" t="s">
        <v>23706</v>
      </c>
      <c r="C2109" s="5" t="s">
        <v>10412</v>
      </c>
      <c r="E2109" s="5" t="s">
        <v>10413</v>
      </c>
      <c r="G2109" s="5">
        <v>3148447485</v>
      </c>
    </row>
    <row r="2110" spans="1:9" ht="12.5">
      <c r="A2110" s="5">
        <v>1045723046</v>
      </c>
      <c r="B2110" s="5" t="s">
        <v>23706</v>
      </c>
      <c r="C2110" s="5" t="s">
        <v>10355</v>
      </c>
      <c r="E2110" s="5" t="s">
        <v>10349</v>
      </c>
      <c r="G2110" s="10" t="s">
        <v>24669</v>
      </c>
    </row>
    <row r="2111" spans="1:9" ht="12.5">
      <c r="A2111" s="5">
        <v>1143149494</v>
      </c>
      <c r="B2111" s="5" t="s">
        <v>23706</v>
      </c>
      <c r="C2111" s="5" t="s">
        <v>10418</v>
      </c>
      <c r="E2111" s="5" t="s">
        <v>2368</v>
      </c>
      <c r="G2111" s="5">
        <v>3015488840</v>
      </c>
    </row>
    <row r="2112" spans="1:9" ht="12.5">
      <c r="A2112" s="5">
        <v>1043021512</v>
      </c>
      <c r="B2112" s="5" t="s">
        <v>23706</v>
      </c>
      <c r="C2112" s="5" t="s">
        <v>1784</v>
      </c>
      <c r="E2112" s="5" t="s">
        <v>10426</v>
      </c>
      <c r="G2112" s="5">
        <v>3004455700</v>
      </c>
      <c r="I2112" s="5" t="s">
        <v>24670</v>
      </c>
    </row>
    <row r="2113" spans="1:9" ht="12.5">
      <c r="A2113" s="5">
        <v>1104259995</v>
      </c>
      <c r="B2113" s="5" t="s">
        <v>23706</v>
      </c>
      <c r="C2113" s="5" t="s">
        <v>10320</v>
      </c>
      <c r="E2113" s="5" t="s">
        <v>10321</v>
      </c>
      <c r="G2113" s="5">
        <v>3023773683</v>
      </c>
      <c r="I2113" s="5" t="s">
        <v>24671</v>
      </c>
    </row>
    <row r="2114" spans="1:9" ht="12.5">
      <c r="A2114" s="5">
        <v>22613775</v>
      </c>
      <c r="B2114" s="5" t="s">
        <v>23706</v>
      </c>
      <c r="C2114" s="5" t="s">
        <v>7962</v>
      </c>
      <c r="E2114" s="5" t="s">
        <v>1490</v>
      </c>
      <c r="G2114" s="5">
        <v>3007645151</v>
      </c>
    </row>
    <row r="2115" spans="1:9" ht="12.5">
      <c r="A2115" s="5">
        <v>14652469</v>
      </c>
      <c r="B2115" s="5" t="s">
        <v>23706</v>
      </c>
      <c r="C2115" s="5" t="s">
        <v>24672</v>
      </c>
      <c r="E2115" s="5" t="s">
        <v>3101</v>
      </c>
      <c r="G2115" s="5">
        <v>3156125956</v>
      </c>
    </row>
    <row r="2116" spans="1:9" ht="12.5">
      <c r="A2116" s="5">
        <v>0</v>
      </c>
      <c r="B2116" s="5" t="s">
        <v>23706</v>
      </c>
      <c r="C2116" s="5" t="s">
        <v>1051</v>
      </c>
      <c r="E2116" s="5" t="s">
        <v>1585</v>
      </c>
      <c r="G2116" s="5">
        <v>17633105984</v>
      </c>
      <c r="I2116" s="5" t="s">
        <v>24673</v>
      </c>
    </row>
    <row r="2117" spans="1:9" ht="12.5">
      <c r="A2117" s="5">
        <v>2428745459</v>
      </c>
      <c r="B2117" s="5" t="s">
        <v>23706</v>
      </c>
      <c r="C2117" s="5" t="s">
        <v>5975</v>
      </c>
      <c r="E2117" s="5" t="s">
        <v>10305</v>
      </c>
      <c r="G2117" s="5">
        <v>2428745459</v>
      </c>
    </row>
    <row r="2118" spans="1:9" ht="12.5">
      <c r="A2118" s="5">
        <v>1002000274</v>
      </c>
      <c r="B2118" s="5" t="s">
        <v>23706</v>
      </c>
      <c r="C2118" s="5" t="s">
        <v>698</v>
      </c>
      <c r="E2118" s="5" t="s">
        <v>10099</v>
      </c>
      <c r="G2118" s="5">
        <v>3002525881</v>
      </c>
      <c r="I2118" s="5" t="s">
        <v>24674</v>
      </c>
    </row>
    <row r="2119" spans="1:9" ht="12.5">
      <c r="A2119" s="5">
        <v>1065593364</v>
      </c>
      <c r="B2119" s="5" t="s">
        <v>23706</v>
      </c>
      <c r="C2119" s="5" t="s">
        <v>595</v>
      </c>
      <c r="E2119" s="5" t="s">
        <v>10338</v>
      </c>
      <c r="G2119" s="5">
        <v>3043692560</v>
      </c>
    </row>
    <row r="2120" spans="1:9" ht="12.5">
      <c r="A2120" s="5">
        <v>1053002375</v>
      </c>
      <c r="B2120" s="5" t="s">
        <v>23706</v>
      </c>
      <c r="C2120" s="5" t="s">
        <v>297</v>
      </c>
      <c r="E2120" s="5" t="s">
        <v>24675</v>
      </c>
      <c r="G2120" s="5">
        <v>3105816661</v>
      </c>
      <c r="I2120" s="5" t="s">
        <v>24676</v>
      </c>
    </row>
    <row r="2121" spans="1:9" ht="12.5">
      <c r="A2121" s="5">
        <v>1001777727</v>
      </c>
      <c r="B2121" s="5" t="s">
        <v>23706</v>
      </c>
      <c r="C2121" s="5" t="s">
        <v>10342</v>
      </c>
      <c r="E2121" s="5" t="s">
        <v>10343</v>
      </c>
      <c r="G2121" s="5">
        <v>3244926686</v>
      </c>
      <c r="I2121" s="5" t="s">
        <v>24677</v>
      </c>
    </row>
    <row r="2122" spans="1:9" ht="12.5">
      <c r="A2122" s="5">
        <v>1045739598</v>
      </c>
      <c r="B2122" s="5" t="s">
        <v>23706</v>
      </c>
      <c r="C2122" s="5" t="s">
        <v>7744</v>
      </c>
      <c r="E2122" s="5" t="s">
        <v>7298</v>
      </c>
      <c r="G2122" s="5">
        <v>3503394890</v>
      </c>
      <c r="I2122" s="5" t="s">
        <v>24678</v>
      </c>
    </row>
    <row r="2123" spans="1:9" ht="12.5">
      <c r="A2123" s="5">
        <v>1002032451</v>
      </c>
      <c r="B2123" s="5" t="s">
        <v>23706</v>
      </c>
      <c r="C2123" s="5" t="s">
        <v>4856</v>
      </c>
      <c r="E2123" s="5" t="s">
        <v>6790</v>
      </c>
      <c r="G2123" s="5">
        <v>3008794217</v>
      </c>
      <c r="I2123" s="5" t="s">
        <v>24679</v>
      </c>
    </row>
    <row r="2124" spans="1:9" ht="12.5">
      <c r="A2124" s="5">
        <v>2428768683</v>
      </c>
      <c r="B2124" s="5" t="s">
        <v>23706</v>
      </c>
      <c r="C2124" s="5" t="s">
        <v>5273</v>
      </c>
      <c r="E2124" s="5" t="s">
        <v>225</v>
      </c>
      <c r="G2124" s="5">
        <v>2428768683</v>
      </c>
    </row>
    <row r="2125" spans="1:9" ht="12.5">
      <c r="A2125" s="5">
        <v>2428754066</v>
      </c>
      <c r="B2125" s="5" t="s">
        <v>23706</v>
      </c>
      <c r="C2125" s="5" t="s">
        <v>39</v>
      </c>
      <c r="E2125" s="5" t="s">
        <v>225</v>
      </c>
      <c r="G2125" s="5">
        <v>2428754066</v>
      </c>
    </row>
    <row r="2126" spans="1:9" ht="12.5">
      <c r="A2126" s="5">
        <v>2428762519</v>
      </c>
      <c r="B2126" s="5" t="s">
        <v>23706</v>
      </c>
      <c r="C2126" s="5" t="s">
        <v>24680</v>
      </c>
      <c r="E2126" s="5" t="s">
        <v>225</v>
      </c>
      <c r="G2126" s="5">
        <v>2428762519</v>
      </c>
    </row>
    <row r="2127" spans="1:9" ht="12.5">
      <c r="A2127" s="5">
        <v>43868406</v>
      </c>
      <c r="B2127" s="5" t="s">
        <v>23706</v>
      </c>
      <c r="C2127" s="5" t="s">
        <v>12734</v>
      </c>
      <c r="E2127" s="5"/>
      <c r="G2127" s="5">
        <v>3052476428</v>
      </c>
    </row>
    <row r="2128" spans="1:9" ht="12.5">
      <c r="A2128" s="5">
        <v>1122808709</v>
      </c>
      <c r="B2128" s="5" t="s">
        <v>23706</v>
      </c>
      <c r="C2128" s="5" t="s">
        <v>703</v>
      </c>
      <c r="E2128" s="5" t="s">
        <v>6013</v>
      </c>
      <c r="G2128" s="5">
        <v>3012005333</v>
      </c>
      <c r="I2128" s="5" t="s">
        <v>24681</v>
      </c>
    </row>
    <row r="2129" spans="1:9" ht="12.5">
      <c r="A2129" s="5">
        <v>1002029840</v>
      </c>
      <c r="B2129" s="5" t="s">
        <v>23706</v>
      </c>
      <c r="C2129" s="5" t="s">
        <v>24682</v>
      </c>
      <c r="E2129" s="5" t="s">
        <v>3862</v>
      </c>
      <c r="G2129" s="5">
        <v>3013886448</v>
      </c>
    </row>
    <row r="2130" spans="1:9" ht="12.5">
      <c r="A2130" s="5">
        <v>1137199118</v>
      </c>
      <c r="B2130" s="5" t="s">
        <v>23706</v>
      </c>
      <c r="C2130" s="5" t="s">
        <v>14112</v>
      </c>
      <c r="E2130" s="5" t="s">
        <v>2837</v>
      </c>
      <c r="G2130" s="5">
        <v>3108362504</v>
      </c>
    </row>
    <row r="2131" spans="1:9" ht="12.5">
      <c r="A2131" s="5">
        <v>1140883117</v>
      </c>
      <c r="B2131" s="5" t="s">
        <v>23706</v>
      </c>
      <c r="C2131" s="5" t="s">
        <v>4261</v>
      </c>
      <c r="E2131" s="5" t="s">
        <v>10386</v>
      </c>
      <c r="G2131" s="5">
        <v>3172648892</v>
      </c>
    </row>
    <row r="2132" spans="1:9" ht="12.5">
      <c r="A2132" s="5">
        <v>1129566793</v>
      </c>
      <c r="B2132" s="5" t="s">
        <v>23706</v>
      </c>
      <c r="C2132" s="5" t="s">
        <v>703</v>
      </c>
      <c r="E2132" s="5" t="s">
        <v>10392</v>
      </c>
      <c r="G2132" s="10" t="s">
        <v>24683</v>
      </c>
    </row>
    <row r="2133" spans="1:9" ht="12.5">
      <c r="A2133" s="5">
        <v>22479960</v>
      </c>
      <c r="B2133" s="5" t="s">
        <v>23706</v>
      </c>
      <c r="C2133" s="5" t="s">
        <v>2985</v>
      </c>
      <c r="E2133" s="5" t="s">
        <v>24684</v>
      </c>
      <c r="G2133" s="5">
        <v>3008022701</v>
      </c>
    </row>
    <row r="2134" spans="1:9" ht="12.5">
      <c r="A2134" s="5">
        <v>1048065813</v>
      </c>
      <c r="B2134" s="5" t="s">
        <v>23706</v>
      </c>
      <c r="C2134" s="5" t="s">
        <v>4594</v>
      </c>
      <c r="E2134" s="5" t="s">
        <v>5296</v>
      </c>
      <c r="G2134" s="5">
        <v>3011445505</v>
      </c>
    </row>
    <row r="2135" spans="1:9" ht="12.5">
      <c r="A2135" s="5">
        <v>1234093433</v>
      </c>
      <c r="B2135" s="5" t="s">
        <v>23706</v>
      </c>
      <c r="C2135" s="5" t="s">
        <v>226</v>
      </c>
      <c r="E2135" s="5" t="s">
        <v>8455</v>
      </c>
      <c r="G2135" s="5">
        <v>3042048136</v>
      </c>
      <c r="I2135" s="5" t="s">
        <v>24685</v>
      </c>
    </row>
    <row r="2136" spans="1:9" ht="12.5">
      <c r="A2136" s="5">
        <v>1140889790</v>
      </c>
      <c r="B2136" s="5" t="s">
        <v>23706</v>
      </c>
      <c r="C2136" s="5" t="s">
        <v>10457</v>
      </c>
      <c r="E2136" s="5" t="s">
        <v>3571</v>
      </c>
      <c r="G2136" s="5">
        <v>3205428081</v>
      </c>
    </row>
    <row r="2137" spans="1:9" ht="12.5">
      <c r="A2137" s="5">
        <v>2428791648</v>
      </c>
      <c r="B2137" s="5" t="s">
        <v>23706</v>
      </c>
      <c r="C2137" s="5" t="s">
        <v>24686</v>
      </c>
      <c r="E2137" s="5" t="s">
        <v>31</v>
      </c>
      <c r="G2137" s="5">
        <v>2428791648</v>
      </c>
    </row>
    <row r="2138" spans="1:9" ht="12.5">
      <c r="A2138" s="5">
        <v>1140884553</v>
      </c>
      <c r="B2138" s="5" t="s">
        <v>23706</v>
      </c>
      <c r="C2138" s="5" t="s">
        <v>10469</v>
      </c>
      <c r="E2138" s="5" t="s">
        <v>10470</v>
      </c>
      <c r="G2138" s="5">
        <v>3126989935</v>
      </c>
    </row>
    <row r="2139" spans="1:9" ht="12.5">
      <c r="A2139" s="5">
        <v>1121530574</v>
      </c>
      <c r="B2139" s="5" t="s">
        <v>23706</v>
      </c>
      <c r="C2139" s="5" t="s">
        <v>24687</v>
      </c>
      <c r="E2139" s="5" t="s">
        <v>10475</v>
      </c>
      <c r="G2139" s="5">
        <v>3207350254</v>
      </c>
      <c r="I2139" s="5" t="s">
        <v>24688</v>
      </c>
    </row>
    <row r="2140" spans="1:9" ht="12.5">
      <c r="A2140" s="5">
        <v>1139424989</v>
      </c>
      <c r="B2140" s="5" t="s">
        <v>23706</v>
      </c>
      <c r="C2140" s="5" t="s">
        <v>24689</v>
      </c>
      <c r="E2140" s="5" t="s">
        <v>4175</v>
      </c>
      <c r="G2140" s="5">
        <v>3217684110</v>
      </c>
      <c r="I2140" s="5" t="s">
        <v>24690</v>
      </c>
    </row>
    <row r="2141" spans="1:9" ht="12.5">
      <c r="A2141" s="5">
        <v>40879478</v>
      </c>
      <c r="B2141" s="5" t="s">
        <v>23706</v>
      </c>
      <c r="C2141" s="5" t="s">
        <v>24691</v>
      </c>
      <c r="E2141" s="5" t="s">
        <v>24692</v>
      </c>
      <c r="G2141" s="5">
        <v>0</v>
      </c>
    </row>
    <row r="2142" spans="1:9" ht="12.5">
      <c r="A2142" s="5">
        <v>1045717294</v>
      </c>
      <c r="B2142" s="5" t="s">
        <v>23706</v>
      </c>
      <c r="C2142" s="5" t="s">
        <v>13885</v>
      </c>
      <c r="E2142" s="5"/>
      <c r="G2142" s="5">
        <v>3013894849</v>
      </c>
      <c r="I2142" s="5" t="s">
        <v>24693</v>
      </c>
    </row>
    <row r="2143" spans="1:9" ht="12.5">
      <c r="A2143" s="5">
        <v>1041691627</v>
      </c>
      <c r="B2143" s="5" t="s">
        <v>23706</v>
      </c>
      <c r="C2143" s="5" t="s">
        <v>1051</v>
      </c>
      <c r="E2143" s="5" t="s">
        <v>2622</v>
      </c>
      <c r="G2143" s="5">
        <v>3223789127</v>
      </c>
    </row>
    <row r="2144" spans="1:9" ht="12.5">
      <c r="A2144" s="5">
        <v>1042848336</v>
      </c>
      <c r="B2144" s="5" t="s">
        <v>23706</v>
      </c>
      <c r="C2144" s="5" t="s">
        <v>1069</v>
      </c>
      <c r="E2144" s="5" t="s">
        <v>10505</v>
      </c>
      <c r="G2144" s="5">
        <v>3116673450</v>
      </c>
      <c r="I2144" s="5" t="s">
        <v>24694</v>
      </c>
    </row>
    <row r="2145" spans="1:9" ht="12.5">
      <c r="A2145" s="5">
        <v>1001947073</v>
      </c>
      <c r="B2145" s="5" t="s">
        <v>23706</v>
      </c>
      <c r="C2145" s="5" t="s">
        <v>5128</v>
      </c>
      <c r="E2145" s="5" t="s">
        <v>10510</v>
      </c>
      <c r="G2145" s="5">
        <v>3006397155</v>
      </c>
    </row>
    <row r="2146" spans="1:9" ht="12.5">
      <c r="A2146" s="5">
        <v>19586084</v>
      </c>
      <c r="B2146" s="5" t="s">
        <v>23706</v>
      </c>
      <c r="C2146" s="5" t="s">
        <v>10515</v>
      </c>
      <c r="E2146" s="5" t="s">
        <v>10516</v>
      </c>
      <c r="G2146" s="5">
        <v>584149190080</v>
      </c>
      <c r="I2146" s="5" t="s">
        <v>24695</v>
      </c>
    </row>
    <row r="2147" spans="1:9" ht="12.5">
      <c r="A2147" s="5">
        <v>1090503124</v>
      </c>
      <c r="B2147" s="5" t="s">
        <v>23706</v>
      </c>
      <c r="C2147" s="5" t="s">
        <v>270</v>
      </c>
      <c r="E2147" s="5" t="s">
        <v>10524</v>
      </c>
      <c r="G2147" s="5">
        <v>3158585683</v>
      </c>
      <c r="I2147" s="5" t="s">
        <v>24696</v>
      </c>
    </row>
    <row r="2148" spans="1:9" ht="12.5">
      <c r="A2148" s="5">
        <v>1118829085</v>
      </c>
      <c r="B2148" s="5" t="s">
        <v>23706</v>
      </c>
      <c r="C2148" s="5" t="s">
        <v>638</v>
      </c>
      <c r="E2148" s="5" t="s">
        <v>24697</v>
      </c>
      <c r="G2148" s="5">
        <v>3001855884</v>
      </c>
      <c r="I2148" s="5" t="s">
        <v>24698</v>
      </c>
    </row>
    <row r="2149" spans="1:9" ht="12.5">
      <c r="A2149" s="5">
        <v>1005871189</v>
      </c>
      <c r="B2149" s="5" t="s">
        <v>23706</v>
      </c>
      <c r="C2149" s="5" t="s">
        <v>825</v>
      </c>
      <c r="E2149" s="5" t="s">
        <v>6413</v>
      </c>
      <c r="G2149" s="5">
        <v>3164217190</v>
      </c>
      <c r="I2149" s="5" t="s">
        <v>24699</v>
      </c>
    </row>
    <row r="2150" spans="1:9" ht="12.5">
      <c r="A2150" s="5">
        <v>1048068984</v>
      </c>
      <c r="B2150" s="5" t="s">
        <v>23706</v>
      </c>
      <c r="C2150" s="5" t="s">
        <v>10531</v>
      </c>
      <c r="E2150" s="5" t="s">
        <v>10532</v>
      </c>
      <c r="G2150" s="5">
        <v>3022102353</v>
      </c>
    </row>
    <row r="2151" spans="1:9" ht="12.5">
      <c r="A2151" s="5">
        <v>1044429110</v>
      </c>
      <c r="B2151" s="5" t="s">
        <v>23706</v>
      </c>
      <c r="C2151" s="5" t="s">
        <v>2652</v>
      </c>
      <c r="E2151" s="5" t="s">
        <v>10538</v>
      </c>
      <c r="G2151" s="5">
        <v>3147821786</v>
      </c>
    </row>
    <row r="2152" spans="1:9" ht="12.5">
      <c r="A2152" s="5">
        <v>1042261203</v>
      </c>
      <c r="B2152" s="5" t="s">
        <v>23782</v>
      </c>
      <c r="C2152" s="5" t="s">
        <v>10543</v>
      </c>
      <c r="E2152" s="5" t="s">
        <v>4951</v>
      </c>
      <c r="G2152" s="5">
        <v>3207169243</v>
      </c>
    </row>
    <row r="2153" spans="1:9" ht="12.5">
      <c r="A2153" s="5">
        <v>1002208975</v>
      </c>
      <c r="B2153" s="5" t="s">
        <v>23706</v>
      </c>
      <c r="C2153" s="5" t="s">
        <v>3075</v>
      </c>
      <c r="E2153" s="5" t="s">
        <v>24700</v>
      </c>
      <c r="G2153" s="5">
        <v>3215184767</v>
      </c>
      <c r="I2153" s="5" t="s">
        <v>24701</v>
      </c>
    </row>
    <row r="2154" spans="1:9" ht="12.5">
      <c r="A2154" s="5">
        <v>1042256416</v>
      </c>
      <c r="B2154" s="5" t="s">
        <v>23706</v>
      </c>
      <c r="C2154" s="5" t="s">
        <v>10549</v>
      </c>
      <c r="E2154" s="5"/>
      <c r="G2154" s="5">
        <v>3001241116</v>
      </c>
    </row>
    <row r="2155" spans="1:9" ht="12.5">
      <c r="A2155" s="5">
        <v>1043966575</v>
      </c>
      <c r="B2155" s="5" t="s">
        <v>23706</v>
      </c>
      <c r="C2155" s="5" t="s">
        <v>968</v>
      </c>
      <c r="E2155" s="5" t="s">
        <v>2986</v>
      </c>
      <c r="G2155" s="5">
        <v>3023584727</v>
      </c>
    </row>
    <row r="2156" spans="1:9" ht="12.5">
      <c r="A2156" s="5">
        <v>1098745476</v>
      </c>
      <c r="B2156" s="5" t="s">
        <v>23706</v>
      </c>
      <c r="C2156" s="5" t="s">
        <v>12342</v>
      </c>
      <c r="E2156" s="5"/>
      <c r="G2156" s="5">
        <v>3165653164</v>
      </c>
      <c r="I2156" s="5" t="s">
        <v>24702</v>
      </c>
    </row>
    <row r="2157" spans="1:9" ht="12.5">
      <c r="A2157" s="5">
        <v>1140869783</v>
      </c>
      <c r="B2157" s="5" t="s">
        <v>23706</v>
      </c>
      <c r="C2157" s="5" t="s">
        <v>24703</v>
      </c>
      <c r="E2157" s="5" t="s">
        <v>10558</v>
      </c>
      <c r="G2157" s="5">
        <v>3155811212</v>
      </c>
    </row>
    <row r="2158" spans="1:9" ht="12.5">
      <c r="A2158" s="5">
        <v>1001820738</v>
      </c>
      <c r="B2158" s="5" t="s">
        <v>23706</v>
      </c>
      <c r="C2158" s="5" t="s">
        <v>1097</v>
      </c>
      <c r="E2158" s="5"/>
      <c r="G2158" s="5">
        <v>3154526922</v>
      </c>
    </row>
    <row r="2159" spans="1:9" ht="12.5">
      <c r="A2159" s="5">
        <v>1044425791</v>
      </c>
      <c r="B2159" s="5" t="s">
        <v>23706</v>
      </c>
      <c r="C2159" s="5" t="s">
        <v>12731</v>
      </c>
      <c r="E2159" s="5"/>
      <c r="G2159" s="5">
        <v>3156540065</v>
      </c>
      <c r="I2159" s="5" t="s">
        <v>24704</v>
      </c>
    </row>
    <row r="2160" spans="1:9" ht="12.5">
      <c r="A2160" s="5">
        <v>1143428806</v>
      </c>
      <c r="B2160" s="5" t="s">
        <v>23706</v>
      </c>
      <c r="C2160" s="5" t="s">
        <v>1349</v>
      </c>
      <c r="E2160" s="5" t="s">
        <v>23845</v>
      </c>
      <c r="G2160" s="5">
        <v>3014050942</v>
      </c>
    </row>
    <row r="2161" spans="1:9" ht="12.5">
      <c r="A2161" s="5">
        <v>1234091739</v>
      </c>
      <c r="B2161" s="5" t="s">
        <v>23706</v>
      </c>
      <c r="C2161" s="5" t="s">
        <v>953</v>
      </c>
      <c r="E2161" s="5" t="s">
        <v>437</v>
      </c>
      <c r="G2161" s="5">
        <v>3215534601</v>
      </c>
    </row>
    <row r="2162" spans="1:9" ht="12.5">
      <c r="A2162" s="5">
        <v>1082846458</v>
      </c>
      <c r="B2162" s="5" t="s">
        <v>23706</v>
      </c>
      <c r="C2162" s="5" t="s">
        <v>10573</v>
      </c>
      <c r="E2162" s="5" t="s">
        <v>10574</v>
      </c>
      <c r="G2162" s="5">
        <v>3128516965</v>
      </c>
    </row>
    <row r="2163" spans="1:9" ht="12.5">
      <c r="A2163" s="5">
        <v>1084054231</v>
      </c>
      <c r="B2163" s="5" t="s">
        <v>23706</v>
      </c>
      <c r="C2163" s="5" t="s">
        <v>24705</v>
      </c>
      <c r="E2163" s="5" t="s">
        <v>1324</v>
      </c>
      <c r="G2163" s="5">
        <v>3235764331</v>
      </c>
      <c r="I2163" s="5" t="s">
        <v>24706</v>
      </c>
    </row>
    <row r="2164" spans="1:9" ht="12.5">
      <c r="A2164" s="5">
        <v>2428877424</v>
      </c>
      <c r="B2164" s="5" t="s">
        <v>23706</v>
      </c>
      <c r="C2164" s="5" t="s">
        <v>10580</v>
      </c>
      <c r="E2164" s="5"/>
      <c r="G2164" s="5">
        <v>2428877424</v>
      </c>
    </row>
    <row r="2165" spans="1:9" ht="12.5">
      <c r="A2165" s="5">
        <v>1129514346</v>
      </c>
      <c r="B2165" s="5" t="s">
        <v>23706</v>
      </c>
      <c r="C2165" s="5" t="s">
        <v>10582</v>
      </c>
      <c r="E2165" s="5" t="s">
        <v>10583</v>
      </c>
      <c r="G2165" s="5">
        <v>3054555576</v>
      </c>
    </row>
    <row r="2166" spans="1:9" ht="12.5">
      <c r="A2166" s="5">
        <v>100587189</v>
      </c>
      <c r="B2166" s="5" t="s">
        <v>23706</v>
      </c>
      <c r="C2166" s="5" t="s">
        <v>825</v>
      </c>
      <c r="E2166" s="5" t="s">
        <v>10586</v>
      </c>
      <c r="G2166" s="5">
        <v>3164217190</v>
      </c>
      <c r="I2166" s="5" t="s">
        <v>24699</v>
      </c>
    </row>
    <row r="2167" spans="1:9" ht="12.5">
      <c r="A2167" s="5">
        <v>73557696</v>
      </c>
      <c r="B2167" s="5" t="s">
        <v>23706</v>
      </c>
      <c r="C2167" s="5" t="s">
        <v>10591</v>
      </c>
      <c r="E2167" s="5" t="s">
        <v>10592</v>
      </c>
      <c r="G2167" s="5">
        <v>3188402905</v>
      </c>
    </row>
    <row r="2168" spans="1:9" ht="12.5">
      <c r="A2168" s="5">
        <v>1146534626</v>
      </c>
      <c r="B2168" s="5" t="s">
        <v>23706</v>
      </c>
      <c r="C2168" s="5" t="s">
        <v>24707</v>
      </c>
      <c r="E2168" s="5" t="s">
        <v>10067</v>
      </c>
      <c r="G2168" s="5">
        <v>3176582298</v>
      </c>
    </row>
    <row r="2169" spans="1:9" ht="12.5">
      <c r="A2169" s="5">
        <v>1041696696</v>
      </c>
      <c r="B2169" s="5" t="s">
        <v>23706</v>
      </c>
      <c r="C2169" s="5" t="s">
        <v>2799</v>
      </c>
      <c r="E2169" s="5" t="s">
        <v>2423</v>
      </c>
      <c r="G2169" s="5">
        <v>3145968573</v>
      </c>
    </row>
    <row r="2170" spans="1:9" ht="12.5">
      <c r="A2170" s="5">
        <v>1043437858</v>
      </c>
      <c r="B2170" s="5" t="s">
        <v>23706</v>
      </c>
      <c r="C2170" s="5" t="s">
        <v>1692</v>
      </c>
      <c r="E2170" s="5" t="s">
        <v>2890</v>
      </c>
      <c r="G2170" s="5">
        <v>3103859568</v>
      </c>
      <c r="I2170" s="5" t="s">
        <v>24708</v>
      </c>
    </row>
    <row r="2171" spans="1:9" ht="12.5">
      <c r="A2171" s="5">
        <v>1001877483</v>
      </c>
      <c r="B2171" s="5" t="s">
        <v>23706</v>
      </c>
      <c r="C2171" s="5" t="s">
        <v>1204</v>
      </c>
      <c r="E2171" s="5" t="s">
        <v>1324</v>
      </c>
      <c r="G2171" s="5">
        <v>3008700406</v>
      </c>
      <c r="I2171" s="5" t="s">
        <v>24709</v>
      </c>
    </row>
    <row r="2172" spans="1:9" ht="12.5">
      <c r="A2172" s="5">
        <v>1002023828</v>
      </c>
      <c r="B2172" s="5" t="s">
        <v>23706</v>
      </c>
      <c r="C2172" s="5" t="s">
        <v>4286</v>
      </c>
      <c r="E2172" s="5" t="s">
        <v>24710</v>
      </c>
      <c r="G2172" s="5">
        <v>3245852208</v>
      </c>
      <c r="I2172" s="5" t="s">
        <v>24711</v>
      </c>
    </row>
    <row r="2173" spans="1:9" ht="12.5">
      <c r="A2173" s="5">
        <v>1007241055</v>
      </c>
      <c r="B2173" s="5" t="s">
        <v>23706</v>
      </c>
      <c r="C2173" s="5" t="s">
        <v>24712</v>
      </c>
      <c r="E2173" s="5" t="s">
        <v>10605</v>
      </c>
      <c r="G2173" s="5">
        <v>3057442707</v>
      </c>
    </row>
    <row r="2174" spans="1:9" ht="12.5">
      <c r="A2174" s="5">
        <v>1143463504</v>
      </c>
      <c r="B2174" s="5" t="s">
        <v>23706</v>
      </c>
      <c r="C2174" s="5" t="s">
        <v>1051</v>
      </c>
      <c r="E2174" s="5" t="s">
        <v>23980</v>
      </c>
      <c r="G2174" s="5">
        <v>3144544581</v>
      </c>
      <c r="I2174" s="5" t="s">
        <v>24713</v>
      </c>
    </row>
    <row r="2175" spans="1:9" ht="12.5">
      <c r="A2175" s="5">
        <v>1044426151</v>
      </c>
      <c r="B2175" s="5" t="s">
        <v>23706</v>
      </c>
      <c r="C2175" s="5" t="s">
        <v>4482</v>
      </c>
      <c r="E2175" s="5" t="s">
        <v>10614</v>
      </c>
      <c r="G2175" s="5">
        <v>3205760938</v>
      </c>
    </row>
    <row r="2176" spans="1:9" ht="12.5">
      <c r="A2176" s="5">
        <v>1001876704</v>
      </c>
      <c r="B2176" s="5" t="s">
        <v>23706</v>
      </c>
      <c r="C2176" s="5" t="s">
        <v>10617</v>
      </c>
      <c r="E2176" s="5" t="s">
        <v>1543</v>
      </c>
      <c r="G2176" s="5">
        <v>3017450007</v>
      </c>
    </row>
    <row r="2177" spans="1:9" ht="12.5">
      <c r="A2177" s="5">
        <v>1065847899</v>
      </c>
      <c r="B2177" s="5" t="s">
        <v>23706</v>
      </c>
      <c r="C2177" s="5" t="s">
        <v>182</v>
      </c>
      <c r="E2177" s="5" t="s">
        <v>24714</v>
      </c>
      <c r="G2177" s="5">
        <v>3015064609</v>
      </c>
      <c r="I2177" s="5" t="s">
        <v>24715</v>
      </c>
    </row>
    <row r="2178" spans="1:9" ht="12.5">
      <c r="A2178" s="5">
        <v>1005661506</v>
      </c>
      <c r="B2178" s="5" t="s">
        <v>23706</v>
      </c>
      <c r="C2178" s="5" t="s">
        <v>24716</v>
      </c>
      <c r="E2178" s="5" t="s">
        <v>10625</v>
      </c>
      <c r="G2178" s="5">
        <v>3215415485</v>
      </c>
    </row>
    <row r="2179" spans="1:9" ht="12.5">
      <c r="A2179" s="5">
        <v>1043306848</v>
      </c>
      <c r="B2179" s="5" t="s">
        <v>23706</v>
      </c>
      <c r="C2179" s="5" t="s">
        <v>3564</v>
      </c>
      <c r="E2179" s="5" t="s">
        <v>24717</v>
      </c>
      <c r="G2179" s="5">
        <v>3214611724</v>
      </c>
    </row>
    <row r="2180" spans="1:9" ht="12.5">
      <c r="A2180" s="5">
        <v>1048072011</v>
      </c>
      <c r="B2180" s="5" t="s">
        <v>23706</v>
      </c>
      <c r="C2180" s="5" t="s">
        <v>24718</v>
      </c>
      <c r="E2180" s="5" t="s">
        <v>437</v>
      </c>
      <c r="G2180" s="5">
        <v>3012402716</v>
      </c>
    </row>
    <row r="2181" spans="1:9" ht="12.5">
      <c r="A2181" s="5">
        <v>1140837698</v>
      </c>
      <c r="B2181" s="5" t="s">
        <v>23706</v>
      </c>
      <c r="C2181" s="5" t="s">
        <v>4840</v>
      </c>
      <c r="E2181" s="5" t="s">
        <v>10635</v>
      </c>
      <c r="G2181" s="5">
        <v>17863857865</v>
      </c>
      <c r="I2181" s="5" t="s">
        <v>24719</v>
      </c>
    </row>
    <row r="2182" spans="1:9" ht="12.5">
      <c r="A2182" s="5">
        <v>1007017200</v>
      </c>
      <c r="B2182" s="5" t="s">
        <v>23706</v>
      </c>
      <c r="C2182" s="5" t="s">
        <v>698</v>
      </c>
      <c r="E2182" s="5" t="s">
        <v>10470</v>
      </c>
      <c r="G2182" s="5">
        <v>3145282079</v>
      </c>
      <c r="I2182" s="5" t="s">
        <v>24720</v>
      </c>
    </row>
    <row r="2183" spans="1:9" ht="12.5">
      <c r="A2183" s="5">
        <v>1126804285</v>
      </c>
      <c r="B2183" s="5" t="s">
        <v>23706</v>
      </c>
      <c r="C2183" s="5" t="s">
        <v>595</v>
      </c>
      <c r="E2183" s="5" t="s">
        <v>1831</v>
      </c>
      <c r="G2183" s="5">
        <v>3124724429</v>
      </c>
    </row>
    <row r="2184" spans="1:9" ht="12.5">
      <c r="A2184" s="5">
        <v>1125598566</v>
      </c>
      <c r="B2184" s="5" t="s">
        <v>23706</v>
      </c>
      <c r="C2184" s="5" t="s">
        <v>24721</v>
      </c>
      <c r="E2184" s="5" t="s">
        <v>5263</v>
      </c>
      <c r="G2184" s="5">
        <v>3157827681</v>
      </c>
    </row>
    <row r="2185" spans="1:9" ht="12.5">
      <c r="A2185" s="5">
        <v>22222</v>
      </c>
      <c r="B2185" s="5" t="s">
        <v>23706</v>
      </c>
      <c r="C2185" s="5" t="s">
        <v>2926</v>
      </c>
      <c r="E2185" s="5" t="s">
        <v>10651</v>
      </c>
      <c r="G2185" s="5">
        <v>14348824401</v>
      </c>
    </row>
    <row r="2186" spans="1:9" ht="12.5">
      <c r="A2186" s="5">
        <v>544600723</v>
      </c>
      <c r="B2186" s="5" t="s">
        <v>23706</v>
      </c>
      <c r="C2186" s="5" t="s">
        <v>10657</v>
      </c>
      <c r="E2186" s="5" t="s">
        <v>10658</v>
      </c>
      <c r="G2186" s="5">
        <v>0</v>
      </c>
    </row>
    <row r="2187" spans="1:9" ht="12.5">
      <c r="A2187" s="5">
        <v>1025325733</v>
      </c>
      <c r="B2187" s="5" t="s">
        <v>23706</v>
      </c>
      <c r="C2187" s="5" t="s">
        <v>24722</v>
      </c>
      <c r="E2187" s="5" t="s">
        <v>24723</v>
      </c>
      <c r="G2187" s="5">
        <v>3046440074</v>
      </c>
      <c r="I2187" s="5" t="s">
        <v>24724</v>
      </c>
    </row>
    <row r="2188" spans="1:9" ht="12.5">
      <c r="A2188" s="5">
        <v>84450875</v>
      </c>
      <c r="B2188" s="5" t="s">
        <v>23706</v>
      </c>
      <c r="C2188" s="5" t="s">
        <v>13496</v>
      </c>
      <c r="E2188" s="5"/>
      <c r="G2188" s="5">
        <v>3012771247</v>
      </c>
      <c r="I2188" s="5" t="s">
        <v>24725</v>
      </c>
    </row>
    <row r="2189" spans="1:9" ht="12.5">
      <c r="A2189" s="5">
        <v>4773191</v>
      </c>
      <c r="B2189" s="5" t="s">
        <v>23706</v>
      </c>
      <c r="C2189" s="5" t="s">
        <v>24726</v>
      </c>
      <c r="E2189" s="5" t="s">
        <v>4441</v>
      </c>
      <c r="G2189" s="5">
        <v>3118660183</v>
      </c>
      <c r="I2189" s="5" t="s">
        <v>24727</v>
      </c>
    </row>
    <row r="2190" spans="1:9" ht="12.5">
      <c r="A2190" s="5">
        <v>1140905046</v>
      </c>
      <c r="B2190" s="5" t="s">
        <v>23706</v>
      </c>
      <c r="C2190" s="5" t="s">
        <v>283</v>
      </c>
      <c r="E2190" s="5" t="s">
        <v>10675</v>
      </c>
      <c r="G2190" s="5">
        <v>3005088989</v>
      </c>
    </row>
    <row r="2191" spans="1:9" ht="12.5">
      <c r="A2191" s="5">
        <v>3136726588</v>
      </c>
      <c r="B2191" s="5" t="s">
        <v>23706</v>
      </c>
      <c r="C2191" s="5" t="s">
        <v>24728</v>
      </c>
      <c r="E2191" s="5" t="s">
        <v>6140</v>
      </c>
      <c r="G2191" s="5" t="s">
        <v>3330</v>
      </c>
    </row>
    <row r="2192" spans="1:9" ht="12.5">
      <c r="A2192" s="5">
        <v>1044422035</v>
      </c>
      <c r="B2192" s="5" t="s">
        <v>23706</v>
      </c>
      <c r="C2192" s="5" t="s">
        <v>2973</v>
      </c>
      <c r="E2192" s="5" t="s">
        <v>10679</v>
      </c>
      <c r="G2192" s="5">
        <v>3013640820</v>
      </c>
    </row>
    <row r="2193" spans="1:9" ht="12.5">
      <c r="A2193" s="5">
        <v>1119392011</v>
      </c>
      <c r="B2193" s="5" t="s">
        <v>23706</v>
      </c>
      <c r="C2193" s="5" t="s">
        <v>24729</v>
      </c>
      <c r="E2193" s="5" t="s">
        <v>4951</v>
      </c>
      <c r="G2193" s="5">
        <v>3008771538</v>
      </c>
    </row>
    <row r="2194" spans="1:9" ht="12.5">
      <c r="A2194" s="5">
        <v>1045743517</v>
      </c>
      <c r="B2194" s="5" t="s">
        <v>23706</v>
      </c>
      <c r="C2194" s="5" t="s">
        <v>10688</v>
      </c>
      <c r="E2194" s="5" t="s">
        <v>455</v>
      </c>
      <c r="G2194" s="5">
        <v>3053433925</v>
      </c>
      <c r="I2194" s="5" t="s">
        <v>24730</v>
      </c>
    </row>
    <row r="2195" spans="1:9" ht="12.5">
      <c r="A2195" s="5">
        <v>1129582551</v>
      </c>
      <c r="B2195" s="5" t="s">
        <v>23706</v>
      </c>
      <c r="C2195" s="5" t="s">
        <v>24731</v>
      </c>
      <c r="E2195" s="5" t="s">
        <v>10694</v>
      </c>
      <c r="G2195" s="5">
        <v>3145037702</v>
      </c>
    </row>
    <row r="2196" spans="1:9" ht="12.5">
      <c r="A2196" s="5">
        <v>1041691972</v>
      </c>
      <c r="B2196" s="5" t="s">
        <v>23706</v>
      </c>
      <c r="C2196" s="5" t="s">
        <v>1026</v>
      </c>
      <c r="E2196" s="5" t="s">
        <v>10698</v>
      </c>
      <c r="G2196" s="5">
        <v>3022929215</v>
      </c>
      <c r="I2196" s="5" t="s">
        <v>24732</v>
      </c>
    </row>
    <row r="2197" spans="1:9" ht="12.5">
      <c r="A2197" s="5">
        <v>1042242899</v>
      </c>
      <c r="B2197" s="5" t="s">
        <v>23706</v>
      </c>
      <c r="C2197" s="5" t="s">
        <v>7560</v>
      </c>
      <c r="E2197" s="5" t="s">
        <v>10704</v>
      </c>
      <c r="G2197" s="5">
        <v>3023611782</v>
      </c>
    </row>
    <row r="2198" spans="1:9" ht="12.5">
      <c r="A2198" s="5">
        <v>55302554</v>
      </c>
      <c r="B2198" s="5" t="s">
        <v>23706</v>
      </c>
      <c r="C2198" s="5" t="s">
        <v>158</v>
      </c>
      <c r="E2198" s="5" t="s">
        <v>1785</v>
      </c>
      <c r="G2198" s="5">
        <v>3013716965</v>
      </c>
      <c r="I2198" s="5" t="s">
        <v>24733</v>
      </c>
    </row>
    <row r="2199" spans="1:9" ht="12.5">
      <c r="A2199" s="5">
        <v>1020838394</v>
      </c>
      <c r="B2199" s="5" t="s">
        <v>23706</v>
      </c>
      <c r="C2199" s="5" t="s">
        <v>3647</v>
      </c>
      <c r="E2199" s="5" t="s">
        <v>10715</v>
      </c>
      <c r="G2199" s="5">
        <v>3185720163</v>
      </c>
    </row>
    <row r="2200" spans="1:9" ht="12.5">
      <c r="A2200" s="5">
        <v>1045725921</v>
      </c>
      <c r="B2200" s="5" t="s">
        <v>23706</v>
      </c>
      <c r="C2200" s="5" t="s">
        <v>1989</v>
      </c>
      <c r="E2200" s="5" t="s">
        <v>10720</v>
      </c>
      <c r="G2200" s="5">
        <v>3173467743</v>
      </c>
    </row>
    <row r="2201" spans="1:9" ht="12.5">
      <c r="A2201" s="5">
        <v>72342786</v>
      </c>
      <c r="B2201" s="5" t="s">
        <v>23706</v>
      </c>
      <c r="C2201" s="5" t="s">
        <v>24734</v>
      </c>
      <c r="E2201" s="5" t="s">
        <v>24735</v>
      </c>
      <c r="G2201" s="5">
        <v>3212171444</v>
      </c>
      <c r="I2201" s="5" t="s">
        <v>24736</v>
      </c>
    </row>
    <row r="2202" spans="1:9" ht="12.5">
      <c r="A2202" s="5">
        <v>1047447961</v>
      </c>
      <c r="B2202" s="5" t="s">
        <v>23706</v>
      </c>
      <c r="C2202" s="5" t="s">
        <v>1918</v>
      </c>
      <c r="E2202" s="5" t="s">
        <v>10726</v>
      </c>
      <c r="G2202" s="5">
        <v>3004605616</v>
      </c>
    </row>
    <row r="2203" spans="1:9" ht="12.5">
      <c r="A2203" s="5">
        <v>1193123279</v>
      </c>
      <c r="B2203" s="5" t="s">
        <v>23706</v>
      </c>
      <c r="C2203" s="5" t="s">
        <v>6400</v>
      </c>
      <c r="E2203" s="5" t="s">
        <v>1324</v>
      </c>
      <c r="G2203" s="5">
        <v>3016973797</v>
      </c>
    </row>
    <row r="2204" spans="1:9" ht="12.5">
      <c r="A2204" s="5">
        <v>32629071</v>
      </c>
      <c r="B2204" s="5" t="s">
        <v>23706</v>
      </c>
      <c r="C2204" s="5" t="s">
        <v>5035</v>
      </c>
      <c r="E2204" s="5" t="s">
        <v>10734</v>
      </c>
      <c r="G2204" s="5">
        <v>0</v>
      </c>
    </row>
    <row r="2205" spans="1:9" ht="12.5">
      <c r="A2205" s="5">
        <v>1032456787</v>
      </c>
      <c r="B2205" s="5" t="s">
        <v>23706</v>
      </c>
      <c r="C2205" s="5" t="s">
        <v>4302</v>
      </c>
      <c r="E2205" s="5" t="s">
        <v>24737</v>
      </c>
      <c r="G2205" s="5">
        <v>3125108177</v>
      </c>
      <c r="I2205" s="5" t="s">
        <v>24738</v>
      </c>
    </row>
    <row r="2206" spans="1:9" ht="12.5">
      <c r="A2206" s="5">
        <v>1047409145</v>
      </c>
      <c r="B2206" s="5" t="s">
        <v>23706</v>
      </c>
      <c r="C2206" s="5" t="s">
        <v>10745</v>
      </c>
      <c r="E2206" s="5" t="s">
        <v>10746</v>
      </c>
      <c r="G2206" s="5">
        <v>0</v>
      </c>
    </row>
    <row r="2207" spans="1:9" ht="12.5">
      <c r="A2207" s="5">
        <v>0</v>
      </c>
      <c r="B2207" s="5" t="s">
        <v>23706</v>
      </c>
      <c r="C2207" s="5" t="s">
        <v>10749</v>
      </c>
      <c r="E2207" s="5" t="s">
        <v>1155</v>
      </c>
      <c r="G2207" s="5">
        <v>3116881567</v>
      </c>
    </row>
    <row r="2208" spans="1:9" ht="12.5">
      <c r="A2208" s="5">
        <v>1140853098</v>
      </c>
      <c r="B2208" s="5" t="s">
        <v>23706</v>
      </c>
      <c r="C2208" s="5" t="s">
        <v>5128</v>
      </c>
      <c r="E2208" s="5" t="s">
        <v>10757</v>
      </c>
      <c r="G2208" s="5">
        <v>17866725297</v>
      </c>
    </row>
    <row r="2209" spans="1:9" ht="12.5">
      <c r="A2209" s="5">
        <v>1001817949</v>
      </c>
      <c r="B2209" s="5" t="s">
        <v>23706</v>
      </c>
      <c r="C2209" s="5" t="s">
        <v>10764</v>
      </c>
      <c r="E2209" s="5"/>
      <c r="G2209" s="5">
        <v>321524086969</v>
      </c>
      <c r="I2209" s="5" t="s">
        <v>24739</v>
      </c>
    </row>
    <row r="2210" spans="1:9" ht="12.5">
      <c r="A2210" s="5">
        <v>860036884</v>
      </c>
      <c r="B2210" s="5" t="s">
        <v>23782</v>
      </c>
      <c r="C2210" s="5" t="s">
        <v>10767</v>
      </c>
      <c r="E2210" s="5"/>
      <c r="G2210" s="5">
        <v>3176652449</v>
      </c>
      <c r="I2210" s="5" t="s">
        <v>24740</v>
      </c>
    </row>
    <row r="2211" spans="1:9" ht="12.5">
      <c r="A2211" s="5">
        <v>1045694047</v>
      </c>
      <c r="B2211" s="5" t="s">
        <v>23706</v>
      </c>
      <c r="C2211" s="5" t="s">
        <v>10774</v>
      </c>
      <c r="E2211" s="5"/>
      <c r="G2211" s="5">
        <v>3002447555</v>
      </c>
      <c r="I2211" s="5" t="s">
        <v>24741</v>
      </c>
    </row>
    <row r="2212" spans="1:9" ht="12.5">
      <c r="A2212" s="5">
        <v>8001908216</v>
      </c>
      <c r="B2212" s="5" t="s">
        <v>23782</v>
      </c>
      <c r="C2212" s="5" t="s">
        <v>10776</v>
      </c>
      <c r="E2212" s="5" t="s">
        <v>10777</v>
      </c>
      <c r="G2212" s="5">
        <v>3106462770</v>
      </c>
      <c r="I2212" s="5" t="s">
        <v>24742</v>
      </c>
    </row>
    <row r="2213" spans="1:9" ht="12.5">
      <c r="A2213" s="5">
        <v>1140837374</v>
      </c>
      <c r="B2213" s="5" t="s">
        <v>23706</v>
      </c>
      <c r="C2213" s="5" t="s">
        <v>2551</v>
      </c>
      <c r="E2213" s="5" t="s">
        <v>298</v>
      </c>
      <c r="G2213" s="5">
        <v>973824520</v>
      </c>
    </row>
    <row r="2214" spans="1:9" ht="12.5">
      <c r="A2214" s="5">
        <v>1192746880</v>
      </c>
      <c r="B2214" s="5" t="s">
        <v>23706</v>
      </c>
      <c r="C2214" s="5" t="s">
        <v>1216</v>
      </c>
      <c r="E2214" s="5" t="s">
        <v>1628</v>
      </c>
      <c r="G2214" s="5">
        <v>17862711105</v>
      </c>
      <c r="I2214" s="5" t="s">
        <v>24743</v>
      </c>
    </row>
    <row r="2215" spans="1:9" ht="12.5">
      <c r="A2215" s="5">
        <v>1041901418</v>
      </c>
      <c r="B2215" s="5" t="s">
        <v>23706</v>
      </c>
      <c r="C2215" s="5" t="s">
        <v>24689</v>
      </c>
      <c r="E2215" s="5" t="s">
        <v>24744</v>
      </c>
      <c r="G2215" s="5">
        <v>3006243506</v>
      </c>
      <c r="I2215" s="5" t="s">
        <v>24745</v>
      </c>
    </row>
    <row r="2216" spans="1:9" ht="12.5">
      <c r="A2216" s="5">
        <v>1221980417</v>
      </c>
      <c r="B2216" s="5" t="s">
        <v>23706</v>
      </c>
      <c r="C2216" s="5" t="s">
        <v>226</v>
      </c>
      <c r="E2216" s="5" t="s">
        <v>10795</v>
      </c>
      <c r="G2216" s="5">
        <v>3183495776</v>
      </c>
      <c r="I2216" s="5" t="s">
        <v>24746</v>
      </c>
    </row>
    <row r="2217" spans="1:9" ht="12.5">
      <c r="A2217" s="5">
        <v>1140843403</v>
      </c>
      <c r="B2217" s="5" t="s">
        <v>23706</v>
      </c>
      <c r="C2217" s="5" t="s">
        <v>10799</v>
      </c>
      <c r="E2217" s="5" t="s">
        <v>5393</v>
      </c>
      <c r="G2217" s="5">
        <v>3017395185</v>
      </c>
      <c r="I2217" s="5" t="s">
        <v>24747</v>
      </c>
    </row>
    <row r="2218" spans="1:9" ht="12.5">
      <c r="A2218" s="5">
        <v>85155465</v>
      </c>
      <c r="B2218" s="5" t="s">
        <v>23706</v>
      </c>
      <c r="C2218" s="5" t="s">
        <v>10805</v>
      </c>
      <c r="E2218" s="5" t="s">
        <v>10806</v>
      </c>
      <c r="G2218" s="5">
        <v>3015156415</v>
      </c>
      <c r="I2218" s="5" t="s">
        <v>24748</v>
      </c>
    </row>
    <row r="2219" spans="1:9" ht="12.5">
      <c r="A2219" s="5">
        <v>1140868974</v>
      </c>
      <c r="B2219" s="5" t="s">
        <v>23706</v>
      </c>
      <c r="C2219" s="5" t="s">
        <v>1026</v>
      </c>
      <c r="E2219" s="5" t="s">
        <v>10810</v>
      </c>
      <c r="G2219" s="5">
        <v>2123900256</v>
      </c>
    </row>
    <row r="2220" spans="1:9" ht="12.5">
      <c r="A2220" s="5">
        <v>811020344</v>
      </c>
      <c r="B2220" s="5" t="s">
        <v>23782</v>
      </c>
      <c r="C2220" s="5" t="s">
        <v>10815</v>
      </c>
      <c r="E2220" s="5" t="s">
        <v>7818</v>
      </c>
      <c r="G2220" s="5">
        <v>3167433876</v>
      </c>
    </row>
    <row r="2221" spans="1:9" ht="12.5">
      <c r="A2221" s="5">
        <v>1140870623</v>
      </c>
      <c r="B2221" s="5" t="s">
        <v>23706</v>
      </c>
      <c r="C2221" s="5" t="s">
        <v>24749</v>
      </c>
      <c r="E2221" s="5" t="s">
        <v>10818</v>
      </c>
      <c r="G2221" s="5">
        <v>3003816859</v>
      </c>
    </row>
    <row r="2222" spans="1:9" ht="12.5">
      <c r="A2222" s="5">
        <v>1143145840</v>
      </c>
      <c r="B2222" s="5" t="s">
        <v>23706</v>
      </c>
      <c r="C2222" s="5" t="s">
        <v>3450</v>
      </c>
      <c r="E2222" s="5" t="s">
        <v>591</v>
      </c>
      <c r="G2222" s="5">
        <v>3023618030</v>
      </c>
      <c r="I2222" s="5" t="s">
        <v>24750</v>
      </c>
    </row>
    <row r="2223" spans="1:9" ht="12.5">
      <c r="A2223" s="5">
        <v>1044391908</v>
      </c>
      <c r="B2223" s="5" t="s">
        <v>23706</v>
      </c>
      <c r="C2223" s="5" t="s">
        <v>1706</v>
      </c>
      <c r="E2223" s="5" t="s">
        <v>10823</v>
      </c>
      <c r="G2223" s="5">
        <v>3006423322</v>
      </c>
      <c r="I2223" s="5" t="s">
        <v>24751</v>
      </c>
    </row>
    <row r="2224" spans="1:9" ht="12.5">
      <c r="A2224" s="5">
        <v>1143438379</v>
      </c>
      <c r="B2224" s="5" t="s">
        <v>23706</v>
      </c>
      <c r="C2224" s="5" t="s">
        <v>6096</v>
      </c>
      <c r="E2224" s="5" t="s">
        <v>10827</v>
      </c>
      <c r="G2224" s="5">
        <v>0</v>
      </c>
    </row>
    <row r="2225" spans="1:9" ht="12.5">
      <c r="A2225" s="5">
        <v>8721026</v>
      </c>
      <c r="B2225" s="5" t="s">
        <v>23706</v>
      </c>
      <c r="C2225" s="5" t="s">
        <v>7687</v>
      </c>
      <c r="E2225" s="5" t="s">
        <v>3728</v>
      </c>
      <c r="G2225" s="5">
        <v>3013390806</v>
      </c>
    </row>
    <row r="2226" spans="1:9" ht="12.5">
      <c r="A2226" s="5">
        <v>1015440575</v>
      </c>
      <c r="B2226" s="5" t="s">
        <v>23706</v>
      </c>
      <c r="C2226" s="5" t="s">
        <v>24752</v>
      </c>
      <c r="E2226" s="5" t="s">
        <v>10831</v>
      </c>
      <c r="G2226" s="5">
        <v>3136502403</v>
      </c>
    </row>
    <row r="2227" spans="1:9" ht="12.5">
      <c r="A2227" s="5">
        <v>1143157052</v>
      </c>
      <c r="B2227" s="5" t="s">
        <v>23706</v>
      </c>
      <c r="C2227" s="5" t="s">
        <v>11194</v>
      </c>
      <c r="E2227" s="5" t="s">
        <v>10835</v>
      </c>
      <c r="G2227" s="5">
        <v>3225272205</v>
      </c>
    </row>
    <row r="2228" spans="1:9" ht="12.5">
      <c r="A2228" s="5">
        <v>22582461</v>
      </c>
      <c r="B2228" s="5" t="s">
        <v>23706</v>
      </c>
      <c r="C2228" s="5" t="s">
        <v>1051</v>
      </c>
      <c r="E2228" s="5" t="s">
        <v>24753</v>
      </c>
      <c r="G2228" s="5">
        <v>3115736914</v>
      </c>
    </row>
    <row r="2229" spans="1:9" ht="12.5">
      <c r="A2229" s="5">
        <v>8020173521</v>
      </c>
      <c r="B2229" s="5" t="s">
        <v>23782</v>
      </c>
      <c r="C2229" s="5" t="s">
        <v>5128</v>
      </c>
      <c r="E2229" s="5" t="s">
        <v>9131</v>
      </c>
      <c r="G2229" s="5">
        <v>3145410442</v>
      </c>
    </row>
    <row r="2230" spans="1:9" ht="12.5">
      <c r="A2230" s="5">
        <v>1018484484</v>
      </c>
      <c r="B2230" s="5" t="s">
        <v>23706</v>
      </c>
      <c r="C2230" s="5" t="s">
        <v>24754</v>
      </c>
      <c r="E2230" s="5" t="s">
        <v>10850</v>
      </c>
      <c r="G2230" s="5">
        <v>3007657567</v>
      </c>
      <c r="I2230" s="5" t="s">
        <v>24755</v>
      </c>
    </row>
    <row r="2231" spans="1:9" ht="12.5">
      <c r="A2231" s="5">
        <v>22584043</v>
      </c>
      <c r="B2231" s="5" t="s">
        <v>23706</v>
      </c>
      <c r="C2231" s="5" t="s">
        <v>4504</v>
      </c>
      <c r="E2231" s="5" t="s">
        <v>2038</v>
      </c>
      <c r="G2231" s="5">
        <v>3173009284</v>
      </c>
      <c r="I2231" s="5" t="s">
        <v>24756</v>
      </c>
    </row>
    <row r="2232" spans="1:9" ht="12.5">
      <c r="A2232" s="5">
        <v>1140859186</v>
      </c>
      <c r="B2232" s="5" t="s">
        <v>23706</v>
      </c>
      <c r="C2232" s="5" t="s">
        <v>24757</v>
      </c>
      <c r="E2232" s="5" t="s">
        <v>24758</v>
      </c>
      <c r="G2232" s="5">
        <v>3046097173</v>
      </c>
      <c r="I2232" s="5" t="s">
        <v>24759</v>
      </c>
    </row>
    <row r="2233" spans="1:9" ht="12.5">
      <c r="A2233" s="5">
        <v>1140844390</v>
      </c>
      <c r="B2233" s="5" t="s">
        <v>23706</v>
      </c>
      <c r="C2233" s="5" t="s">
        <v>24760</v>
      </c>
      <c r="E2233" s="5" t="s">
        <v>8215</v>
      </c>
      <c r="G2233" s="5">
        <v>3145958525</v>
      </c>
    </row>
    <row r="2234" spans="1:9" ht="12.5">
      <c r="A2234" s="5">
        <v>1140905569</v>
      </c>
      <c r="B2234" s="5" t="s">
        <v>23706</v>
      </c>
      <c r="C2234" s="5" t="s">
        <v>1051</v>
      </c>
      <c r="E2234" s="5" t="s">
        <v>1607</v>
      </c>
      <c r="G2234" s="5">
        <v>3242223810</v>
      </c>
    </row>
    <row r="2235" spans="1:9" ht="12.5">
      <c r="A2235" s="5">
        <v>1045753527</v>
      </c>
      <c r="B2235" s="5" t="s">
        <v>23706</v>
      </c>
      <c r="C2235" s="5" t="s">
        <v>84</v>
      </c>
      <c r="E2235" s="5" t="s">
        <v>4184</v>
      </c>
      <c r="G2235" s="5">
        <v>3218135927</v>
      </c>
      <c r="I2235" s="5" t="s">
        <v>24761</v>
      </c>
    </row>
    <row r="2236" spans="1:9" ht="12.5">
      <c r="A2236" s="5">
        <v>64566678</v>
      </c>
      <c r="B2236" s="5" t="s">
        <v>23706</v>
      </c>
      <c r="C2236" s="5" t="s">
        <v>4429</v>
      </c>
      <c r="E2236" s="5" t="s">
        <v>10881</v>
      </c>
      <c r="G2236" s="5">
        <v>17863182184</v>
      </c>
      <c r="I2236" s="5" t="s">
        <v>24762</v>
      </c>
    </row>
    <row r="2237" spans="1:9" ht="12.5">
      <c r="A2237" s="5">
        <v>1083017413</v>
      </c>
      <c r="B2237" s="5" t="s">
        <v>23706</v>
      </c>
      <c r="C2237" s="5" t="s">
        <v>968</v>
      </c>
      <c r="E2237" s="5" t="s">
        <v>10889</v>
      </c>
      <c r="G2237" s="5">
        <v>3176449067</v>
      </c>
    </row>
    <row r="2238" spans="1:9" ht="12.5">
      <c r="A2238" s="5">
        <v>1069489823</v>
      </c>
      <c r="B2238" s="5" t="s">
        <v>23706</v>
      </c>
      <c r="C2238" s="5" t="s">
        <v>1973</v>
      </c>
      <c r="E2238" s="5" t="s">
        <v>10893</v>
      </c>
      <c r="G2238" s="5">
        <v>3005396796</v>
      </c>
      <c r="I2238" s="5" t="s">
        <v>24763</v>
      </c>
    </row>
    <row r="2239" spans="1:9" ht="12.5">
      <c r="A2239" s="5">
        <v>1101385208</v>
      </c>
      <c r="B2239" s="5" t="s">
        <v>23706</v>
      </c>
      <c r="C2239" s="5" t="s">
        <v>10898</v>
      </c>
      <c r="E2239" s="5" t="s">
        <v>10704</v>
      </c>
      <c r="G2239" s="5">
        <v>3146550719</v>
      </c>
    </row>
    <row r="2240" spans="1:9" ht="12.5">
      <c r="A2240" s="5">
        <v>1140901599</v>
      </c>
      <c r="B2240" s="5" t="s">
        <v>23706</v>
      </c>
      <c r="C2240" s="5" t="s">
        <v>10900</v>
      </c>
      <c r="E2240" s="5" t="s">
        <v>2351</v>
      </c>
      <c r="G2240" s="5">
        <v>3168339599</v>
      </c>
    </row>
    <row r="2241" spans="1:9" ht="12.5">
      <c r="A2241" s="5">
        <v>1042357823</v>
      </c>
      <c r="B2241" s="5" t="s">
        <v>23706</v>
      </c>
      <c r="C2241" s="5" t="s">
        <v>10905</v>
      </c>
      <c r="E2241" s="5" t="s">
        <v>10199</v>
      </c>
      <c r="G2241" s="5">
        <v>3158072325</v>
      </c>
      <c r="I2241" s="5" t="s">
        <v>24764</v>
      </c>
    </row>
    <row r="2242" spans="1:9" ht="12.5">
      <c r="A2242" s="5">
        <v>10019140941</v>
      </c>
      <c r="B2242" s="5" t="s">
        <v>23706</v>
      </c>
      <c r="C2242" s="5" t="s">
        <v>290</v>
      </c>
      <c r="E2242" s="5" t="s">
        <v>5606</v>
      </c>
      <c r="G2242" s="5">
        <v>3232205042</v>
      </c>
    </row>
    <row r="2243" spans="1:9" ht="12.5">
      <c r="A2243" s="5">
        <v>1129532176</v>
      </c>
      <c r="B2243" s="5" t="s">
        <v>23706</v>
      </c>
      <c r="C2243" s="5" t="s">
        <v>24765</v>
      </c>
      <c r="E2243" s="5" t="s">
        <v>6610</v>
      </c>
      <c r="G2243" s="5">
        <v>3016674977</v>
      </c>
    </row>
    <row r="2244" spans="1:9" ht="12.5">
      <c r="A2244" s="5">
        <v>901495979</v>
      </c>
      <c r="B2244" s="5" t="s">
        <v>23782</v>
      </c>
      <c r="C2244" s="5" t="s">
        <v>24766</v>
      </c>
      <c r="E2244" s="5"/>
      <c r="G2244" s="5">
        <v>3166924227</v>
      </c>
      <c r="I2244" s="5" t="s">
        <v>24767</v>
      </c>
    </row>
    <row r="2245" spans="1:9" ht="12.5">
      <c r="A2245" s="5">
        <v>1140856003</v>
      </c>
      <c r="B2245" s="5" t="s">
        <v>23706</v>
      </c>
      <c r="C2245" s="5" t="s">
        <v>10924</v>
      </c>
      <c r="E2245" s="5"/>
      <c r="G2245" s="10" t="s">
        <v>24768</v>
      </c>
      <c r="I2245" s="5" t="s">
        <v>24769</v>
      </c>
    </row>
    <row r="2246" spans="1:9" ht="12.5">
      <c r="A2246" s="5">
        <v>1045684146</v>
      </c>
      <c r="B2246" s="5" t="s">
        <v>23706</v>
      </c>
      <c r="C2246" s="5" t="s">
        <v>24770</v>
      </c>
      <c r="E2246" s="5" t="s">
        <v>24771</v>
      </c>
      <c r="G2246" s="5">
        <v>3145933711</v>
      </c>
    </row>
    <row r="2247" spans="1:9" ht="12.5">
      <c r="A2247" s="5">
        <v>55304173</v>
      </c>
      <c r="B2247" s="5" t="s">
        <v>23706</v>
      </c>
      <c r="C2247" s="5" t="s">
        <v>1216</v>
      </c>
      <c r="E2247" s="5" t="s">
        <v>2311</v>
      </c>
      <c r="G2247" s="5">
        <v>3153084082</v>
      </c>
      <c r="I2247" s="5" t="s">
        <v>24772</v>
      </c>
    </row>
    <row r="2248" spans="1:9" ht="12.5">
      <c r="A2248" s="5">
        <v>1143155580</v>
      </c>
      <c r="B2248" s="5" t="s">
        <v>23706</v>
      </c>
      <c r="C2248" s="5" t="s">
        <v>76</v>
      </c>
      <c r="E2248" s="5" t="s">
        <v>10938</v>
      </c>
      <c r="G2248" s="5">
        <v>3016339247</v>
      </c>
    </row>
    <row r="2249" spans="1:9" ht="12.5">
      <c r="A2249" s="5">
        <v>22416650</v>
      </c>
      <c r="B2249" s="5" t="s">
        <v>23706</v>
      </c>
      <c r="C2249" s="5" t="s">
        <v>1959</v>
      </c>
      <c r="E2249" s="5" t="s">
        <v>10942</v>
      </c>
      <c r="G2249" s="5">
        <v>3157267202</v>
      </c>
    </row>
    <row r="2250" spans="1:9" ht="12.5">
      <c r="A2250" s="5">
        <v>72210330</v>
      </c>
      <c r="B2250" s="5" t="s">
        <v>23706</v>
      </c>
      <c r="C2250" s="5" t="s">
        <v>10948</v>
      </c>
      <c r="E2250" s="5" t="s">
        <v>24773</v>
      </c>
      <c r="G2250" s="5">
        <v>3005021649</v>
      </c>
    </row>
    <row r="2251" spans="1:9" ht="12.5">
      <c r="A2251" s="5">
        <v>1234097633</v>
      </c>
      <c r="B2251" s="5" t="s">
        <v>23706</v>
      </c>
      <c r="C2251" s="5" t="s">
        <v>24774</v>
      </c>
      <c r="E2251" s="5" t="s">
        <v>10955</v>
      </c>
      <c r="G2251" s="5">
        <v>3182696179</v>
      </c>
    </row>
    <row r="2252" spans="1:9" ht="12.5">
      <c r="A2252" s="5">
        <v>1140830571</v>
      </c>
      <c r="B2252" s="5" t="s">
        <v>23706</v>
      </c>
      <c r="C2252" s="5" t="s">
        <v>6400</v>
      </c>
      <c r="E2252" s="5" t="s">
        <v>10958</v>
      </c>
      <c r="G2252" s="5">
        <v>3162243517</v>
      </c>
    </row>
    <row r="2253" spans="1:9" ht="12.5">
      <c r="A2253" s="5">
        <v>1066175954</v>
      </c>
      <c r="B2253" s="5" t="s">
        <v>23706</v>
      </c>
      <c r="C2253" s="5" t="s">
        <v>10964</v>
      </c>
      <c r="E2253" s="5" t="s">
        <v>10965</v>
      </c>
      <c r="G2253" s="5">
        <v>3114889976</v>
      </c>
      <c r="I2253" s="5" t="s">
        <v>24775</v>
      </c>
    </row>
    <row r="2254" spans="1:9" ht="12.5">
      <c r="A2254" s="5">
        <v>1002163690</v>
      </c>
      <c r="B2254" s="5" t="s">
        <v>23706</v>
      </c>
      <c r="C2254" s="5" t="s">
        <v>3450</v>
      </c>
      <c r="E2254" s="5" t="s">
        <v>3565</v>
      </c>
      <c r="G2254" s="5">
        <v>3012946957</v>
      </c>
      <c r="I2254" s="5" t="s">
        <v>24776</v>
      </c>
    </row>
    <row r="2255" spans="1:9" ht="12.5">
      <c r="A2255" s="5">
        <v>0</v>
      </c>
      <c r="B2255" s="5" t="s">
        <v>23782</v>
      </c>
      <c r="C2255" s="5" t="s">
        <v>5182</v>
      </c>
      <c r="E2255" s="5" t="s">
        <v>5216</v>
      </c>
      <c r="G2255" s="5">
        <v>0</v>
      </c>
    </row>
    <row r="2256" spans="1:9" ht="12.5">
      <c r="A2256" s="5">
        <v>770636</v>
      </c>
      <c r="B2256" s="5" t="s">
        <v>23706</v>
      </c>
      <c r="C2256" s="5" t="s">
        <v>46</v>
      </c>
      <c r="E2256" s="5" t="s">
        <v>1566</v>
      </c>
      <c r="G2256" s="5">
        <v>3150463328</v>
      </c>
    </row>
    <row r="2257" spans="1:9" ht="12.5">
      <c r="A2257" s="5">
        <v>902002872</v>
      </c>
      <c r="B2257" s="5" t="s">
        <v>23782</v>
      </c>
      <c r="C2257" s="5" t="s">
        <v>24777</v>
      </c>
      <c r="E2257" s="5"/>
      <c r="G2257" s="5">
        <v>3001720582</v>
      </c>
      <c r="I2257" s="5" t="s">
        <v>24778</v>
      </c>
    </row>
    <row r="2258" spans="1:9" ht="12.5">
      <c r="A2258" s="5">
        <v>1234096234</v>
      </c>
      <c r="B2258" s="5" t="s">
        <v>23706</v>
      </c>
      <c r="C2258" s="5" t="s">
        <v>8886</v>
      </c>
      <c r="E2258" s="5" t="s">
        <v>24779</v>
      </c>
      <c r="G2258" s="5">
        <v>3225861836</v>
      </c>
    </row>
    <row r="2259" spans="1:9" ht="12.5">
      <c r="A2259" s="5">
        <v>1019017737</v>
      </c>
      <c r="B2259" s="5" t="s">
        <v>23706</v>
      </c>
      <c r="C2259" s="5" t="s">
        <v>1097</v>
      </c>
      <c r="E2259" s="5" t="s">
        <v>7325</v>
      </c>
      <c r="G2259" s="5">
        <v>3185344593</v>
      </c>
      <c r="I2259" s="5" t="s">
        <v>24780</v>
      </c>
    </row>
    <row r="2260" spans="1:9" ht="12.5">
      <c r="A2260" s="5">
        <v>8901152942</v>
      </c>
      <c r="B2260" s="5" t="s">
        <v>23706</v>
      </c>
      <c r="C2260" s="5" t="s">
        <v>10991</v>
      </c>
      <c r="E2260" s="5" t="s">
        <v>3001</v>
      </c>
      <c r="G2260" s="5">
        <v>3145860469</v>
      </c>
      <c r="I2260" s="5" t="s">
        <v>24781</v>
      </c>
    </row>
    <row r="2261" spans="1:9" ht="12.5">
      <c r="A2261" s="5">
        <v>1048212106</v>
      </c>
      <c r="B2261" s="5" t="s">
        <v>23706</v>
      </c>
      <c r="C2261" s="5" t="s">
        <v>10996</v>
      </c>
      <c r="E2261" s="5" t="s">
        <v>24782</v>
      </c>
      <c r="G2261" s="5">
        <v>3004780247</v>
      </c>
      <c r="I2261" s="5" t="s">
        <v>24783</v>
      </c>
    </row>
    <row r="2262" spans="1:9" ht="12.5">
      <c r="A2262" s="5">
        <v>1143140096</v>
      </c>
      <c r="B2262" s="5" t="s">
        <v>23706</v>
      </c>
      <c r="C2262" s="5" t="s">
        <v>3982</v>
      </c>
      <c r="E2262" s="5" t="s">
        <v>5376</v>
      </c>
      <c r="G2262" s="5">
        <v>3025953182</v>
      </c>
      <c r="I2262" s="5" t="s">
        <v>24784</v>
      </c>
    </row>
    <row r="2263" spans="1:9" ht="12.5">
      <c r="A2263" s="5">
        <v>0</v>
      </c>
      <c r="B2263" s="5" t="s">
        <v>23706</v>
      </c>
      <c r="C2263" s="5" t="s">
        <v>2799</v>
      </c>
      <c r="E2263" s="5" t="s">
        <v>10614</v>
      </c>
      <c r="G2263" s="5">
        <v>0</v>
      </c>
    </row>
    <row r="2264" spans="1:9" ht="12.5">
      <c r="A2264" s="5">
        <v>1140884862</v>
      </c>
      <c r="B2264" s="5" t="s">
        <v>23706</v>
      </c>
      <c r="C2264" s="5" t="s">
        <v>11005</v>
      </c>
      <c r="E2264" s="5" t="s">
        <v>1919</v>
      </c>
      <c r="G2264" s="5">
        <v>3135539028</v>
      </c>
      <c r="I2264" s="5" t="s">
        <v>24785</v>
      </c>
    </row>
    <row r="2265" spans="1:9" ht="12.5">
      <c r="A2265" s="5">
        <v>72278833</v>
      </c>
      <c r="B2265" s="5" t="s">
        <v>23706</v>
      </c>
      <c r="C2265" s="5" t="s">
        <v>11009</v>
      </c>
      <c r="E2265" s="5" t="s">
        <v>24786</v>
      </c>
      <c r="G2265" s="5">
        <v>3185149343</v>
      </c>
      <c r="I2265" s="5" t="s">
        <v>24787</v>
      </c>
    </row>
    <row r="2266" spans="1:9" ht="12.5">
      <c r="A2266" s="5">
        <v>17976927</v>
      </c>
      <c r="B2266" s="5" t="s">
        <v>23706</v>
      </c>
      <c r="C2266" s="5" t="s">
        <v>4026</v>
      </c>
      <c r="E2266" s="5" t="s">
        <v>1966</v>
      </c>
      <c r="G2266" s="5">
        <v>3244282423</v>
      </c>
      <c r="I2266" s="5" t="s">
        <v>24788</v>
      </c>
    </row>
    <row r="2267" spans="1:9" ht="12.5">
      <c r="A2267" s="5">
        <v>1001938780</v>
      </c>
      <c r="B2267" s="5" t="s">
        <v>23706</v>
      </c>
      <c r="C2267" s="5" t="s">
        <v>10250</v>
      </c>
      <c r="E2267" s="5" t="s">
        <v>4292</v>
      </c>
      <c r="G2267" s="5">
        <v>3053441637</v>
      </c>
      <c r="I2267" s="5" t="s">
        <v>24789</v>
      </c>
    </row>
    <row r="2268" spans="1:9" ht="12.5">
      <c r="A2268" s="5">
        <v>1043439675</v>
      </c>
      <c r="B2268" s="5" t="s">
        <v>23706</v>
      </c>
      <c r="C2268" s="5" t="s">
        <v>417</v>
      </c>
      <c r="E2268" s="5" t="s">
        <v>1344</v>
      </c>
      <c r="G2268" s="5">
        <v>3215205372</v>
      </c>
      <c r="I2268" s="5" t="s">
        <v>24790</v>
      </c>
    </row>
    <row r="2269" spans="1:9" ht="12.5">
      <c r="A2269" s="5">
        <v>642537</v>
      </c>
      <c r="B2269" s="5" t="s">
        <v>23706</v>
      </c>
      <c r="C2269" s="5" t="s">
        <v>9495</v>
      </c>
      <c r="E2269" s="5" t="s">
        <v>1683</v>
      </c>
      <c r="G2269" s="5">
        <v>3008609388</v>
      </c>
      <c r="I2269" s="5" t="s">
        <v>24791</v>
      </c>
    </row>
    <row r="2270" spans="1:9" ht="12.5">
      <c r="A2270" s="5">
        <v>1042242953</v>
      </c>
      <c r="B2270" s="5" t="s">
        <v>23706</v>
      </c>
      <c r="C2270" s="5" t="s">
        <v>2239</v>
      </c>
      <c r="E2270" s="5" t="s">
        <v>11042</v>
      </c>
      <c r="G2270" s="5">
        <v>3246349185</v>
      </c>
      <c r="I2270" s="5" t="s">
        <v>24792</v>
      </c>
    </row>
    <row r="2271" spans="1:9" ht="12.5">
      <c r="A2271" s="5">
        <v>1030617070</v>
      </c>
      <c r="B2271" s="5" t="s">
        <v>23706</v>
      </c>
      <c r="C2271" s="5" t="s">
        <v>703</v>
      </c>
      <c r="E2271" s="5" t="s">
        <v>583</v>
      </c>
      <c r="G2271" s="5">
        <v>3143383601</v>
      </c>
      <c r="I2271" s="5" t="s">
        <v>24793</v>
      </c>
    </row>
    <row r="2272" spans="1:9" ht="12.5">
      <c r="A2272" s="5">
        <v>1140859916</v>
      </c>
      <c r="B2272" s="5" t="s">
        <v>23706</v>
      </c>
      <c r="C2272" s="5" t="s">
        <v>4798</v>
      </c>
      <c r="E2272" s="5" t="s">
        <v>11075</v>
      </c>
      <c r="G2272" s="5">
        <v>3249010249</v>
      </c>
      <c r="I2272" s="5" t="s">
        <v>24794</v>
      </c>
    </row>
    <row r="2273" spans="1:9" ht="12.5">
      <c r="A2273" s="5">
        <v>1043978823</v>
      </c>
      <c r="B2273" s="5" t="s">
        <v>23706</v>
      </c>
      <c r="C2273" s="5" t="s">
        <v>11059</v>
      </c>
      <c r="E2273" s="5" t="s">
        <v>11060</v>
      </c>
      <c r="G2273" s="5">
        <v>3246295444</v>
      </c>
      <c r="I2273" s="5" t="s">
        <v>24795</v>
      </c>
    </row>
    <row r="2274" spans="1:9" ht="12.5">
      <c r="A2274" s="5">
        <v>1044429801</v>
      </c>
      <c r="B2274" s="5" t="s">
        <v>23706</v>
      </c>
      <c r="C2274" s="5" t="s">
        <v>2333</v>
      </c>
      <c r="E2274" s="5" t="s">
        <v>11067</v>
      </c>
      <c r="G2274" s="5">
        <v>3115813885</v>
      </c>
    </row>
    <row r="2275" spans="1:9" ht="12.5">
      <c r="A2275" s="5">
        <v>1005209594</v>
      </c>
      <c r="B2275" s="5" t="s">
        <v>23706</v>
      </c>
      <c r="C2275" s="5" t="s">
        <v>595</v>
      </c>
      <c r="E2275" s="5" t="s">
        <v>6444</v>
      </c>
      <c r="G2275" s="5">
        <v>3164362679</v>
      </c>
    </row>
    <row r="2276" spans="1:9" ht="12.5">
      <c r="A2276" s="5">
        <v>1143233940</v>
      </c>
      <c r="B2276" s="5" t="s">
        <v>23706</v>
      </c>
      <c r="C2276" s="5" t="s">
        <v>24796</v>
      </c>
      <c r="E2276" s="5" t="s">
        <v>24797</v>
      </c>
      <c r="G2276" s="5">
        <v>3016558896</v>
      </c>
      <c r="I2276" s="5" t="s">
        <v>24798</v>
      </c>
    </row>
    <row r="2277" spans="1:9" ht="12.5">
      <c r="A2277" s="5">
        <v>1045726078</v>
      </c>
      <c r="B2277" s="5" t="s">
        <v>23706</v>
      </c>
      <c r="C2277" s="5" t="s">
        <v>6465</v>
      </c>
      <c r="E2277" s="5" t="s">
        <v>11085</v>
      </c>
      <c r="G2277" s="5">
        <v>3176694971</v>
      </c>
    </row>
    <row r="2278" spans="1:9" ht="12.5">
      <c r="A2278" s="5">
        <v>1002163909</v>
      </c>
      <c r="B2278" s="5" t="s">
        <v>23706</v>
      </c>
      <c r="C2278" s="5" t="s">
        <v>2889</v>
      </c>
      <c r="E2278" s="5" t="s">
        <v>24799</v>
      </c>
      <c r="G2278" s="5">
        <v>3241595500</v>
      </c>
    </row>
    <row r="2279" spans="1:9" ht="12.5">
      <c r="A2279" s="5">
        <v>1003232462</v>
      </c>
      <c r="B2279" s="5" t="s">
        <v>23706</v>
      </c>
      <c r="C2279" s="5" t="s">
        <v>24800</v>
      </c>
      <c r="E2279" s="5" t="s">
        <v>6747</v>
      </c>
      <c r="G2279" s="5">
        <v>0</v>
      </c>
    </row>
    <row r="2280" spans="1:9" ht="12.5">
      <c r="A2280" s="5">
        <v>1143442819</v>
      </c>
      <c r="B2280" s="5" t="s">
        <v>23706</v>
      </c>
      <c r="C2280" s="5" t="s">
        <v>1038</v>
      </c>
      <c r="E2280" s="5" t="s">
        <v>11099</v>
      </c>
      <c r="G2280" s="5">
        <v>3225394629</v>
      </c>
      <c r="I2280" s="5" t="s">
        <v>24801</v>
      </c>
    </row>
    <row r="2281" spans="1:9" ht="12.5">
      <c r="A2281" s="5">
        <v>1140850584</v>
      </c>
      <c r="B2281" s="5" t="s">
        <v>23706</v>
      </c>
      <c r="C2281" s="5" t="s">
        <v>11105</v>
      </c>
      <c r="E2281" s="5" t="s">
        <v>11106</v>
      </c>
      <c r="G2281" s="5">
        <v>50763866101</v>
      </c>
    </row>
    <row r="2282" spans="1:9" ht="12.5">
      <c r="A2282" s="5">
        <v>1065826874</v>
      </c>
      <c r="B2282" s="5" t="s">
        <v>23706</v>
      </c>
      <c r="C2282" s="5" t="s">
        <v>3584</v>
      </c>
      <c r="E2282" s="5" t="s">
        <v>24802</v>
      </c>
      <c r="G2282" s="5">
        <v>3174316629</v>
      </c>
      <c r="I2282" s="5" t="s">
        <v>24803</v>
      </c>
    </row>
    <row r="2283" spans="1:9" ht="12.5">
      <c r="A2283" s="5">
        <v>2000008692</v>
      </c>
      <c r="B2283" s="5" t="s">
        <v>23706</v>
      </c>
      <c r="C2283" s="5" t="s">
        <v>24804</v>
      </c>
      <c r="E2283" s="5" t="s">
        <v>11120</v>
      </c>
      <c r="G2283" s="5">
        <v>3215017568</v>
      </c>
    </row>
    <row r="2284" spans="1:9" ht="12.5">
      <c r="A2284" s="5">
        <v>1010140788</v>
      </c>
      <c r="B2284" s="5" t="s">
        <v>23706</v>
      </c>
      <c r="C2284" s="5" t="s">
        <v>11124</v>
      </c>
      <c r="E2284" s="5" t="s">
        <v>4570</v>
      </c>
      <c r="G2284" s="5">
        <v>323914887</v>
      </c>
    </row>
    <row r="2285" spans="1:9" ht="12.5">
      <c r="A2285" s="5">
        <v>1042221203</v>
      </c>
      <c r="B2285" s="5" t="s">
        <v>23706</v>
      </c>
      <c r="C2285" s="5" t="s">
        <v>24805</v>
      </c>
      <c r="E2285" s="5" t="s">
        <v>11128</v>
      </c>
      <c r="G2285" s="5">
        <v>3207169243</v>
      </c>
    </row>
    <row r="2286" spans="1:9" ht="12.5">
      <c r="A2286" s="5">
        <v>1129576407</v>
      </c>
      <c r="B2286" s="5" t="s">
        <v>23706</v>
      </c>
      <c r="C2286" s="5" t="s">
        <v>9677</v>
      </c>
      <c r="E2286" s="5" t="s">
        <v>93</v>
      </c>
      <c r="G2286" s="5">
        <v>3106926489</v>
      </c>
    </row>
    <row r="2287" spans="1:9" ht="12.5">
      <c r="A2287" s="5">
        <v>78024358</v>
      </c>
      <c r="B2287" s="5" t="s">
        <v>23706</v>
      </c>
      <c r="C2287" s="5" t="s">
        <v>1935</v>
      </c>
      <c r="E2287" s="5" t="s">
        <v>11135</v>
      </c>
      <c r="G2287" s="5">
        <v>3107250949</v>
      </c>
    </row>
    <row r="2288" spans="1:9" ht="12.5">
      <c r="A2288" s="5">
        <v>1144036300</v>
      </c>
      <c r="B2288" s="5" t="s">
        <v>23706</v>
      </c>
      <c r="C2288" s="5" t="s">
        <v>1520</v>
      </c>
      <c r="E2288" s="5" t="s">
        <v>11141</v>
      </c>
      <c r="G2288" s="5">
        <v>14075330972</v>
      </c>
      <c r="I2288" s="5" t="s">
        <v>24806</v>
      </c>
    </row>
    <row r="2289" spans="1:9" ht="12.5">
      <c r="A2289" s="5">
        <v>55232132</v>
      </c>
      <c r="B2289" s="5" t="s">
        <v>23706</v>
      </c>
      <c r="C2289" s="5" t="s">
        <v>11333</v>
      </c>
      <c r="E2289" s="5" t="s">
        <v>11244</v>
      </c>
      <c r="G2289" s="5">
        <v>3205490024</v>
      </c>
    </row>
    <row r="2290" spans="1:9" ht="12.5">
      <c r="A2290" s="5">
        <v>1140881205</v>
      </c>
      <c r="B2290" s="5" t="s">
        <v>23706</v>
      </c>
      <c r="C2290" s="5" t="s">
        <v>11151</v>
      </c>
      <c r="E2290" s="5" t="s">
        <v>11152</v>
      </c>
      <c r="G2290" s="5">
        <v>3005061277</v>
      </c>
    </row>
    <row r="2291" spans="1:9" ht="12.5">
      <c r="A2291" s="5">
        <v>1045749332</v>
      </c>
      <c r="B2291" s="5" t="s">
        <v>23706</v>
      </c>
      <c r="C2291" s="5" t="s">
        <v>1349</v>
      </c>
      <c r="E2291" s="5" t="s">
        <v>591</v>
      </c>
      <c r="G2291" s="5">
        <v>3177436166</v>
      </c>
      <c r="I2291" s="5" t="s">
        <v>24807</v>
      </c>
    </row>
    <row r="2292" spans="1:9" ht="12.5">
      <c r="A2292" s="5">
        <v>1140871853</v>
      </c>
      <c r="B2292" s="5" t="s">
        <v>23706</v>
      </c>
      <c r="C2292" s="5" t="s">
        <v>1719</v>
      </c>
      <c r="E2292" s="5" t="s">
        <v>11163</v>
      </c>
      <c r="G2292" s="5">
        <v>3007881975</v>
      </c>
      <c r="I2292" s="5" t="s">
        <v>24808</v>
      </c>
    </row>
    <row r="2293" spans="1:9" ht="12.5">
      <c r="A2293" s="5">
        <v>1018482816</v>
      </c>
      <c r="B2293" s="5" t="s">
        <v>23706</v>
      </c>
      <c r="C2293" s="5" t="s">
        <v>2069</v>
      </c>
      <c r="E2293" s="5" t="s">
        <v>11169</v>
      </c>
      <c r="G2293" s="5">
        <v>3154014269</v>
      </c>
      <c r="I2293" s="5" t="s">
        <v>24809</v>
      </c>
    </row>
    <row r="2294" spans="1:9" ht="12.5">
      <c r="A2294" s="5">
        <v>1192779038</v>
      </c>
      <c r="B2294" s="5" t="s">
        <v>23706</v>
      </c>
      <c r="C2294" s="5" t="s">
        <v>24810</v>
      </c>
      <c r="E2294" s="5" t="s">
        <v>24811</v>
      </c>
      <c r="G2294" s="5">
        <v>3113059620</v>
      </c>
      <c r="I2294" s="5" t="s">
        <v>24812</v>
      </c>
    </row>
    <row r="2295" spans="1:9" ht="12.5">
      <c r="A2295" s="5">
        <v>36537556</v>
      </c>
      <c r="B2295" s="5" t="s">
        <v>23706</v>
      </c>
      <c r="C2295" s="5" t="s">
        <v>2344</v>
      </c>
      <c r="E2295" s="5" t="s">
        <v>11186</v>
      </c>
      <c r="G2295" s="5">
        <v>3008019940</v>
      </c>
    </row>
    <row r="2296" spans="1:9" ht="12.5">
      <c r="A2296" s="5">
        <v>1103122240</v>
      </c>
      <c r="B2296" s="5" t="s">
        <v>23706</v>
      </c>
      <c r="C2296" s="5" t="s">
        <v>8139</v>
      </c>
      <c r="E2296" s="5" t="s">
        <v>11188</v>
      </c>
      <c r="G2296" s="5">
        <v>3007261699</v>
      </c>
    </row>
    <row r="2297" spans="1:9" ht="12.5">
      <c r="A2297" s="5">
        <v>1140896296</v>
      </c>
      <c r="B2297" s="5" t="s">
        <v>23706</v>
      </c>
      <c r="C2297" s="5" t="s">
        <v>11190</v>
      </c>
      <c r="E2297" s="5" t="s">
        <v>11191</v>
      </c>
      <c r="G2297" s="5">
        <v>3013984286</v>
      </c>
    </row>
    <row r="2298" spans="1:9" ht="12.5">
      <c r="A2298" s="5">
        <v>1194964537</v>
      </c>
      <c r="B2298" s="5" t="s">
        <v>23706</v>
      </c>
      <c r="C2298" s="5" t="s">
        <v>11194</v>
      </c>
      <c r="E2298" s="5" t="s">
        <v>11195</v>
      </c>
      <c r="G2298" s="5">
        <v>3113533859</v>
      </c>
    </row>
    <row r="2299" spans="1:9" ht="12.5">
      <c r="A2299" s="5">
        <v>1140874248</v>
      </c>
      <c r="B2299" s="5" t="s">
        <v>23706</v>
      </c>
      <c r="C2299" s="5" t="s">
        <v>8150</v>
      </c>
      <c r="E2299" s="5" t="s">
        <v>11204</v>
      </c>
      <c r="G2299" s="5">
        <v>3045341900</v>
      </c>
    </row>
    <row r="2300" spans="1:9" ht="12.5">
      <c r="A2300" s="5">
        <v>1063148277</v>
      </c>
      <c r="B2300" s="5" t="s">
        <v>23706</v>
      </c>
      <c r="C2300" s="5" t="s">
        <v>11208</v>
      </c>
      <c r="E2300" s="5" t="s">
        <v>6013</v>
      </c>
      <c r="G2300" s="5">
        <v>3243330422</v>
      </c>
      <c r="I2300" s="5" t="s">
        <v>24813</v>
      </c>
    </row>
    <row r="2301" spans="1:9" ht="12.5">
      <c r="A2301" s="5">
        <v>72294631</v>
      </c>
      <c r="B2301" s="5" t="s">
        <v>23706</v>
      </c>
      <c r="C2301" s="5" t="s">
        <v>2418</v>
      </c>
      <c r="E2301" s="5" t="s">
        <v>24814</v>
      </c>
      <c r="G2301" s="5">
        <v>3137609962</v>
      </c>
    </row>
    <row r="2302" spans="1:9" ht="12.5">
      <c r="A2302" s="5">
        <v>1129519879</v>
      </c>
      <c r="B2302" s="5" t="s">
        <v>23706</v>
      </c>
      <c r="C2302" s="5" t="s">
        <v>711</v>
      </c>
      <c r="E2302" s="5" t="s">
        <v>11218</v>
      </c>
      <c r="G2302" s="5">
        <v>3006304445</v>
      </c>
    </row>
    <row r="2303" spans="1:9" ht="12.5">
      <c r="A2303" s="5">
        <v>1129572016</v>
      </c>
      <c r="B2303" s="5" t="s">
        <v>23706</v>
      </c>
      <c r="C2303" s="5" t="s">
        <v>10745</v>
      </c>
      <c r="E2303" s="5" t="s">
        <v>11223</v>
      </c>
      <c r="G2303" s="5">
        <v>3008001961</v>
      </c>
    </row>
    <row r="2304" spans="1:9" ht="12.5">
      <c r="A2304" s="5">
        <v>7864733939</v>
      </c>
      <c r="B2304" s="5" t="s">
        <v>23706</v>
      </c>
      <c r="C2304" s="5" t="s">
        <v>11227</v>
      </c>
      <c r="E2304" s="5" t="s">
        <v>1607</v>
      </c>
      <c r="G2304" s="5">
        <v>14073719345</v>
      </c>
    </row>
    <row r="2305" spans="1:9" ht="12.5">
      <c r="A2305" s="5">
        <v>1140864831</v>
      </c>
      <c r="B2305" s="5" t="s">
        <v>23706</v>
      </c>
      <c r="C2305" s="5" t="s">
        <v>24815</v>
      </c>
      <c r="E2305" s="5" t="s">
        <v>11234</v>
      </c>
      <c r="G2305" s="5">
        <v>3008904562</v>
      </c>
    </row>
    <row r="2306" spans="1:9" ht="12.5">
      <c r="A2306" s="5">
        <v>1065851783</v>
      </c>
      <c r="B2306" s="5" t="s">
        <v>23706</v>
      </c>
      <c r="C2306" s="5" t="s">
        <v>698</v>
      </c>
      <c r="E2306" s="5" t="s">
        <v>24816</v>
      </c>
      <c r="G2306" s="5">
        <v>3222149571</v>
      </c>
    </row>
    <row r="2307" spans="1:9" ht="12.5">
      <c r="A2307" s="5">
        <v>1193485390</v>
      </c>
      <c r="B2307" s="5" t="s">
        <v>23706</v>
      </c>
      <c r="C2307" s="5" t="s">
        <v>3352</v>
      </c>
      <c r="E2307" s="5" t="s">
        <v>11240</v>
      </c>
      <c r="G2307" s="5">
        <v>3148727726</v>
      </c>
    </row>
    <row r="2308" spans="1:9" ht="12.5">
      <c r="A2308" s="5">
        <v>0</v>
      </c>
      <c r="B2308" s="5" t="s">
        <v>23706</v>
      </c>
      <c r="C2308" s="5" t="s">
        <v>24817</v>
      </c>
      <c r="E2308" s="5" t="s">
        <v>11244</v>
      </c>
      <c r="G2308" s="5">
        <v>0</v>
      </c>
    </row>
    <row r="2309" spans="1:9" ht="12.5">
      <c r="A2309" s="5">
        <v>1043927139</v>
      </c>
      <c r="B2309" s="5" t="s">
        <v>23706</v>
      </c>
      <c r="C2309" s="5" t="s">
        <v>3499</v>
      </c>
      <c r="E2309" s="5" t="s">
        <v>1490</v>
      </c>
      <c r="G2309" s="5">
        <v>3205403201</v>
      </c>
    </row>
    <row r="2310" spans="1:9" ht="12.5">
      <c r="A2310" s="5">
        <v>1102828311</v>
      </c>
      <c r="B2310" s="5" t="s">
        <v>23706</v>
      </c>
      <c r="C2310" s="5" t="s">
        <v>24818</v>
      </c>
      <c r="E2310" s="5" t="s">
        <v>24819</v>
      </c>
      <c r="G2310" s="5">
        <v>3014014792</v>
      </c>
      <c r="I2310" s="5" t="s">
        <v>24820</v>
      </c>
    </row>
    <row r="2311" spans="1:9" ht="12.5">
      <c r="A2311" s="5">
        <v>52171109</v>
      </c>
      <c r="B2311" s="5" t="s">
        <v>23706</v>
      </c>
      <c r="C2311" s="5" t="s">
        <v>11257</v>
      </c>
      <c r="E2311" s="5" t="s">
        <v>11258</v>
      </c>
      <c r="G2311" s="5">
        <v>3104135877</v>
      </c>
    </row>
    <row r="2312" spans="1:9" ht="12.5">
      <c r="A2312" s="5">
        <v>22531357</v>
      </c>
      <c r="B2312" s="5" t="s">
        <v>23706</v>
      </c>
      <c r="C2312" s="5" t="s">
        <v>24821</v>
      </c>
      <c r="E2312" s="5" t="s">
        <v>1855</v>
      </c>
      <c r="G2312" s="5">
        <v>13053906938</v>
      </c>
      <c r="I2312" s="5" t="s">
        <v>24822</v>
      </c>
    </row>
    <row r="2313" spans="1:9" ht="12.5">
      <c r="A2313" s="5">
        <v>0</v>
      </c>
      <c r="B2313" s="5" t="s">
        <v>23706</v>
      </c>
      <c r="C2313" s="5" t="s">
        <v>318</v>
      </c>
      <c r="E2313" s="5" t="s">
        <v>6885</v>
      </c>
      <c r="G2313" s="5">
        <v>0</v>
      </c>
    </row>
    <row r="2314" spans="1:9" ht="12.5">
      <c r="A2314" s="5">
        <v>1140862390</v>
      </c>
      <c r="B2314" s="5" t="s">
        <v>23706</v>
      </c>
      <c r="C2314" s="5" t="s">
        <v>24823</v>
      </c>
      <c r="E2314" s="5" t="s">
        <v>24824</v>
      </c>
      <c r="G2314" s="5">
        <v>3003655039</v>
      </c>
      <c r="I2314" s="5" t="s">
        <v>24825</v>
      </c>
    </row>
    <row r="2315" spans="1:9" ht="12.5">
      <c r="A2315" s="5">
        <v>1000149297</v>
      </c>
      <c r="B2315" s="5" t="s">
        <v>23706</v>
      </c>
      <c r="C2315" s="5" t="s">
        <v>11272</v>
      </c>
      <c r="E2315" s="5" t="s">
        <v>1429</v>
      </c>
      <c r="G2315" s="5">
        <v>3004396910</v>
      </c>
      <c r="I2315" s="5"/>
    </row>
    <row r="2316" spans="1:9" ht="12.5">
      <c r="A2316" s="5">
        <v>1048066375</v>
      </c>
      <c r="B2316" s="5" t="s">
        <v>23706</v>
      </c>
      <c r="C2316" s="5" t="s">
        <v>1136</v>
      </c>
      <c r="E2316" s="5" t="s">
        <v>24826</v>
      </c>
      <c r="G2316" s="5">
        <v>3043985350</v>
      </c>
      <c r="I2316" s="5" t="s">
        <v>24827</v>
      </c>
    </row>
    <row r="2317" spans="1:9" ht="12.5">
      <c r="A2317" s="5">
        <v>72244806</v>
      </c>
      <c r="B2317" s="5" t="s">
        <v>23706</v>
      </c>
      <c r="C2317" s="5" t="s">
        <v>11331</v>
      </c>
      <c r="E2317" s="5" t="s">
        <v>11290</v>
      </c>
      <c r="G2317" s="5">
        <v>3163044463</v>
      </c>
      <c r="I2317" s="5"/>
    </row>
    <row r="2318" spans="1:9" ht="12.5">
      <c r="A2318" s="5">
        <v>85451764</v>
      </c>
      <c r="B2318" s="5" t="s">
        <v>23706</v>
      </c>
      <c r="C2318" s="5" t="s">
        <v>10948</v>
      </c>
      <c r="E2318" s="5" t="s">
        <v>24828</v>
      </c>
      <c r="G2318" s="5">
        <v>3174933551</v>
      </c>
      <c r="I2318" s="5" t="s">
        <v>24829</v>
      </c>
    </row>
    <row r="2319" spans="1:9" ht="12.5">
      <c r="A2319" s="5">
        <v>55300152</v>
      </c>
      <c r="B2319" s="5" t="s">
        <v>23706</v>
      </c>
      <c r="C2319" s="5" t="s">
        <v>1520</v>
      </c>
      <c r="E2319" s="5" t="s">
        <v>11292</v>
      </c>
      <c r="G2319" s="5">
        <v>3205658135</v>
      </c>
      <c r="I2319" s="5" t="s">
        <v>24830</v>
      </c>
    </row>
    <row r="2320" spans="1:9" ht="12.5">
      <c r="A2320" s="5">
        <v>1067892454</v>
      </c>
      <c r="B2320" s="5" t="s">
        <v>23706</v>
      </c>
      <c r="C2320" s="5" t="s">
        <v>11298</v>
      </c>
      <c r="E2320" s="5" t="s">
        <v>8739</v>
      </c>
      <c r="G2320" s="5">
        <v>3105103018</v>
      </c>
      <c r="I2320" s="5" t="s">
        <v>24831</v>
      </c>
    </row>
    <row r="2321" spans="1:9" ht="12.5">
      <c r="A2321" s="5">
        <v>55306958</v>
      </c>
      <c r="B2321" s="5" t="s">
        <v>23706</v>
      </c>
      <c r="C2321" s="5" t="s">
        <v>11303</v>
      </c>
      <c r="E2321" s="5" t="s">
        <v>24832</v>
      </c>
      <c r="G2321" s="5">
        <v>3148449075</v>
      </c>
      <c r="I2321" s="5" t="s">
        <v>24833</v>
      </c>
    </row>
    <row r="2322" spans="1:9" ht="12.5">
      <c r="A2322" s="5">
        <v>1002157808</v>
      </c>
      <c r="B2322" s="5" t="s">
        <v>23706</v>
      </c>
      <c r="C2322" s="5" t="s">
        <v>14529</v>
      </c>
      <c r="E2322" s="5"/>
      <c r="G2322" s="5">
        <v>3014741914</v>
      </c>
      <c r="I2322" s="5" t="s">
        <v>24834</v>
      </c>
    </row>
    <row r="2323" spans="1:9" ht="12.5">
      <c r="A2323" s="5">
        <v>1001888822</v>
      </c>
      <c r="B2323" s="5" t="s">
        <v>23706</v>
      </c>
      <c r="C2323" s="5" t="s">
        <v>11315</v>
      </c>
      <c r="E2323" s="5" t="s">
        <v>11316</v>
      </c>
      <c r="G2323" s="5">
        <v>3046715811</v>
      </c>
      <c r="I2323" s="5"/>
    </row>
    <row r="2324" spans="1:9" ht="12.5">
      <c r="A2324" s="5">
        <v>72225741</v>
      </c>
      <c r="B2324" s="5" t="s">
        <v>23706</v>
      </c>
      <c r="C2324" s="5" t="s">
        <v>11322</v>
      </c>
      <c r="E2324" s="5" t="s">
        <v>1585</v>
      </c>
      <c r="G2324" s="5">
        <v>3208825940</v>
      </c>
      <c r="I2324" s="5" t="s">
        <v>24835</v>
      </c>
    </row>
    <row r="2325" spans="1:9" ht="12.5">
      <c r="A2325" s="5">
        <v>1146535292</v>
      </c>
      <c r="B2325" s="5" t="s">
        <v>23706</v>
      </c>
      <c r="C2325" s="5" t="s">
        <v>2772</v>
      </c>
      <c r="E2325" s="5" t="s">
        <v>7325</v>
      </c>
      <c r="G2325" s="5">
        <v>3008420384</v>
      </c>
      <c r="I2325" s="5" t="s">
        <v>24836</v>
      </c>
    </row>
    <row r="2326" spans="1:9" ht="12.5">
      <c r="A2326" s="5">
        <v>1047468823</v>
      </c>
      <c r="B2326" s="5" t="s">
        <v>23706</v>
      </c>
      <c r="C2326" s="5" t="s">
        <v>11336</v>
      </c>
      <c r="E2326" s="5" t="s">
        <v>11337</v>
      </c>
      <c r="G2326" s="5">
        <v>17864403758</v>
      </c>
      <c r="I2326" s="5"/>
    </row>
    <row r="2327" spans="1:9" ht="12.5">
      <c r="A2327" s="5">
        <v>1083570303</v>
      </c>
      <c r="B2327" s="5" t="s">
        <v>23706</v>
      </c>
      <c r="C2327" s="5" t="s">
        <v>3166</v>
      </c>
      <c r="E2327" s="5" t="s">
        <v>10938</v>
      </c>
      <c r="G2327" s="5">
        <v>3007013138</v>
      </c>
      <c r="I2327" s="5"/>
    </row>
    <row r="2328" spans="1:9" ht="12.5">
      <c r="A2328" s="5">
        <v>1234093730</v>
      </c>
      <c r="B2328" s="5" t="s">
        <v>23706</v>
      </c>
      <c r="C2328" s="5" t="s">
        <v>297</v>
      </c>
      <c r="E2328" s="5" t="s">
        <v>11348</v>
      </c>
      <c r="G2328" s="10" t="s">
        <v>24837</v>
      </c>
      <c r="I2328" s="5"/>
    </row>
    <row r="2329" spans="1:9" ht="12.5">
      <c r="A2329" s="5">
        <v>332656168</v>
      </c>
      <c r="B2329" s="5" t="s">
        <v>23706</v>
      </c>
      <c r="C2329" s="5" t="s">
        <v>6245</v>
      </c>
      <c r="E2329" s="5" t="s">
        <v>159</v>
      </c>
      <c r="G2329" s="5">
        <v>3153325830</v>
      </c>
      <c r="I2329" s="5"/>
    </row>
    <row r="2330" spans="1:9" ht="12.5">
      <c r="A2330" s="5">
        <v>0</v>
      </c>
      <c r="B2330" s="5" t="s">
        <v>23706</v>
      </c>
      <c r="C2330" s="5" t="s">
        <v>11368</v>
      </c>
      <c r="E2330" s="5"/>
      <c r="G2330" s="5">
        <v>3017692214</v>
      </c>
      <c r="I2330" s="5"/>
    </row>
    <row r="2331" spans="1:9" ht="12.5">
      <c r="A2331" s="5">
        <v>1143324085</v>
      </c>
      <c r="B2331" s="5" t="s">
        <v>23706</v>
      </c>
      <c r="C2331" s="5" t="s">
        <v>10996</v>
      </c>
      <c r="E2331" s="5" t="s">
        <v>312</v>
      </c>
      <c r="G2331" s="5">
        <v>3156186703</v>
      </c>
      <c r="I2331" s="5"/>
    </row>
    <row r="2332" spans="1:9" ht="12.5">
      <c r="A2332" s="5">
        <v>1129583330</v>
      </c>
      <c r="B2332" s="5" t="s">
        <v>23706</v>
      </c>
      <c r="C2332" s="5" t="s">
        <v>11359</v>
      </c>
      <c r="E2332" s="5" t="s">
        <v>2642</v>
      </c>
      <c r="G2332" s="5">
        <v>3104998328</v>
      </c>
      <c r="I2332" s="5" t="s">
        <v>24838</v>
      </c>
    </row>
    <row r="2333" spans="1:9" ht="12.5">
      <c r="A2333" s="5">
        <v>0</v>
      </c>
      <c r="B2333" s="5" t="s">
        <v>23706</v>
      </c>
      <c r="C2333" s="5" t="s">
        <v>11368</v>
      </c>
      <c r="E2333" s="5" t="s">
        <v>11367</v>
      </c>
      <c r="G2333" s="5">
        <v>3017692214</v>
      </c>
      <c r="I2333" s="5"/>
    </row>
    <row r="2334" spans="1:9" ht="12.5">
      <c r="A2334" s="5">
        <v>1043673228</v>
      </c>
      <c r="B2334" s="5" t="s">
        <v>23706</v>
      </c>
      <c r="C2334" s="5" t="s">
        <v>8411</v>
      </c>
      <c r="E2334" s="5" t="s">
        <v>24839</v>
      </c>
      <c r="G2334" s="5">
        <v>3103442887</v>
      </c>
      <c r="I2334" s="5" t="s">
        <v>24840</v>
      </c>
    </row>
    <row r="2335" spans="1:9" ht="12.5">
      <c r="A2335" s="5">
        <v>1143358692</v>
      </c>
      <c r="B2335" s="5" t="s">
        <v>23706</v>
      </c>
      <c r="C2335" s="5" t="s">
        <v>283</v>
      </c>
      <c r="E2335" s="5" t="s">
        <v>11373</v>
      </c>
      <c r="G2335" s="5">
        <v>3167450996</v>
      </c>
      <c r="I2335" s="5" t="s">
        <v>24841</v>
      </c>
    </row>
    <row r="2336" spans="1:9" ht="12.5">
      <c r="A2336" s="5">
        <v>1143262943</v>
      </c>
      <c r="B2336" s="5" t="s">
        <v>23706</v>
      </c>
      <c r="C2336" s="5" t="s">
        <v>311</v>
      </c>
      <c r="E2336" s="5" t="s">
        <v>24842</v>
      </c>
      <c r="G2336" s="5">
        <v>3008070954</v>
      </c>
      <c r="I2336" s="5"/>
    </row>
    <row r="2337" spans="1:9" ht="12.5">
      <c r="A2337" s="5">
        <v>5615744506</v>
      </c>
      <c r="B2337" s="5" t="s">
        <v>23706</v>
      </c>
      <c r="C2337" s="5" t="s">
        <v>24843</v>
      </c>
      <c r="E2337" s="5" t="s">
        <v>1776</v>
      </c>
      <c r="G2337" s="5">
        <v>0</v>
      </c>
      <c r="I2337" s="5"/>
    </row>
    <row r="2338" spans="1:9" ht="12.5">
      <c r="A2338" s="5">
        <v>1048071603</v>
      </c>
      <c r="B2338" s="5" t="s">
        <v>23706</v>
      </c>
      <c r="C2338" s="5" t="s">
        <v>11384</v>
      </c>
      <c r="E2338" s="5" t="s">
        <v>11385</v>
      </c>
      <c r="G2338" s="5">
        <v>3197604194</v>
      </c>
      <c r="I2338" s="5"/>
    </row>
    <row r="2339" spans="1:9" ht="12.5">
      <c r="A2339" s="5">
        <v>9006135472</v>
      </c>
      <c r="B2339" s="5" t="s">
        <v>23706</v>
      </c>
      <c r="C2339" s="5" t="s">
        <v>5220</v>
      </c>
      <c r="E2339" s="5" t="s">
        <v>11390</v>
      </c>
      <c r="G2339" s="5">
        <v>3174274050</v>
      </c>
      <c r="I2339" s="5"/>
    </row>
    <row r="2340" spans="1:9" ht="12.5">
      <c r="A2340" s="5">
        <v>1001822576</v>
      </c>
      <c r="B2340" s="5" t="s">
        <v>23706</v>
      </c>
      <c r="C2340" s="5" t="s">
        <v>6702</v>
      </c>
      <c r="E2340" s="5" t="s">
        <v>11393</v>
      </c>
      <c r="G2340" s="5">
        <v>3106717101</v>
      </c>
      <c r="I2340" s="5"/>
    </row>
    <row r="2341" spans="1:9" ht="12.5">
      <c r="A2341" s="5">
        <v>3747910</v>
      </c>
      <c r="B2341" s="5" t="s">
        <v>23706</v>
      </c>
      <c r="C2341" s="5" t="s">
        <v>11397</v>
      </c>
      <c r="E2341" s="5"/>
      <c r="G2341" s="5">
        <v>3205423436</v>
      </c>
      <c r="I2341" s="5"/>
    </row>
    <row r="2342" spans="1:9" ht="12.5">
      <c r="A2342" s="5">
        <v>1042996223</v>
      </c>
      <c r="B2342" s="5" t="s">
        <v>23706</v>
      </c>
      <c r="C2342" s="5" t="s">
        <v>12603</v>
      </c>
      <c r="E2342" s="5" t="s">
        <v>24844</v>
      </c>
      <c r="G2342" s="5">
        <v>3023163960</v>
      </c>
      <c r="I2342" s="5" t="s">
        <v>24845</v>
      </c>
    </row>
    <row r="2343" spans="1:9" ht="12.5">
      <c r="A2343" s="5">
        <v>67023658</v>
      </c>
      <c r="B2343" s="5" t="s">
        <v>23706</v>
      </c>
      <c r="C2343" s="5" t="s">
        <v>13174</v>
      </c>
      <c r="E2343" s="5"/>
      <c r="G2343" s="5">
        <v>3148903107</v>
      </c>
      <c r="I2343" s="5"/>
    </row>
    <row r="2344" spans="1:9" ht="12.5">
      <c r="A2344" s="5">
        <v>1046698842</v>
      </c>
      <c r="B2344" s="5" t="s">
        <v>23706</v>
      </c>
      <c r="C2344" s="5" t="s">
        <v>24846</v>
      </c>
      <c r="E2344" s="5" t="s">
        <v>2837</v>
      </c>
      <c r="G2344" s="5">
        <v>3247472483</v>
      </c>
      <c r="I2344" s="5" t="s">
        <v>24847</v>
      </c>
    </row>
    <row r="2345" spans="1:9" ht="12.5">
      <c r="A2345" s="5">
        <v>0</v>
      </c>
      <c r="B2345" s="5" t="s">
        <v>23706</v>
      </c>
      <c r="C2345" s="5" t="s">
        <v>2533</v>
      </c>
      <c r="E2345" s="5" t="s">
        <v>5376</v>
      </c>
      <c r="G2345" s="5">
        <v>0</v>
      </c>
      <c r="I2345" s="5"/>
    </row>
    <row r="2346" spans="1:9" ht="12.5">
      <c r="A2346" s="5">
        <v>1124510767</v>
      </c>
      <c r="B2346" s="5" t="s">
        <v>23706</v>
      </c>
      <c r="C2346" s="5" t="s">
        <v>11412</v>
      </c>
      <c r="E2346" s="5" t="s">
        <v>11411</v>
      </c>
      <c r="G2346" s="5">
        <v>3235601059</v>
      </c>
      <c r="I2346" s="5" t="s">
        <v>24848</v>
      </c>
    </row>
    <row r="2347" spans="1:9" ht="12.5">
      <c r="A2347" s="5">
        <v>1143170768</v>
      </c>
      <c r="B2347" s="5" t="s">
        <v>23706</v>
      </c>
      <c r="C2347" s="5" t="s">
        <v>1051</v>
      </c>
      <c r="E2347" s="5" t="s">
        <v>24849</v>
      </c>
      <c r="G2347" s="5">
        <v>3012368044</v>
      </c>
      <c r="I2347" s="5" t="s">
        <v>24850</v>
      </c>
    </row>
    <row r="2348" spans="1:9" ht="12.5">
      <c r="A2348" s="5">
        <v>11202090</v>
      </c>
      <c r="B2348" s="5" t="s">
        <v>23706</v>
      </c>
      <c r="C2348" s="5" t="s">
        <v>6465</v>
      </c>
      <c r="E2348" s="5" t="s">
        <v>1033</v>
      </c>
      <c r="G2348" s="5">
        <v>3203476161</v>
      </c>
      <c r="I2348" s="5" t="s">
        <v>24851</v>
      </c>
    </row>
    <row r="2349" spans="1:9" ht="12.5">
      <c r="A2349" s="5">
        <v>1001881358</v>
      </c>
      <c r="B2349" s="5" t="s">
        <v>23706</v>
      </c>
      <c r="C2349" s="5" t="s">
        <v>11424</v>
      </c>
      <c r="E2349" s="5" t="s">
        <v>11425</v>
      </c>
      <c r="G2349" s="5">
        <v>3102426557</v>
      </c>
      <c r="I2349" s="5"/>
    </row>
    <row r="2350" spans="1:9" ht="12.5">
      <c r="A2350" s="5">
        <v>1023976136</v>
      </c>
      <c r="B2350" s="5" t="s">
        <v>23706</v>
      </c>
      <c r="C2350" s="5" t="s">
        <v>972</v>
      </c>
      <c r="E2350" s="5" t="s">
        <v>583</v>
      </c>
      <c r="G2350" s="5">
        <v>3138347371</v>
      </c>
      <c r="I2350" s="5"/>
    </row>
    <row r="2351" spans="1:9" ht="12.5">
      <c r="A2351" s="5">
        <v>1001818614</v>
      </c>
      <c r="B2351" s="5" t="s">
        <v>23706</v>
      </c>
      <c r="C2351" s="5" t="s">
        <v>480</v>
      </c>
      <c r="E2351" s="5" t="s">
        <v>24852</v>
      </c>
      <c r="G2351" s="5">
        <v>3106301186</v>
      </c>
      <c r="I2351" s="5" t="s">
        <v>24853</v>
      </c>
    </row>
    <row r="2352" spans="1:9" ht="12.5">
      <c r="A2352" s="5">
        <v>1002155366</v>
      </c>
      <c r="B2352" s="5" t="s">
        <v>23706</v>
      </c>
      <c r="C2352" s="5" t="s">
        <v>290</v>
      </c>
      <c r="E2352" s="5" t="s">
        <v>985</v>
      </c>
      <c r="G2352" s="5">
        <v>3185216279</v>
      </c>
      <c r="I2352" s="5" t="s">
        <v>24854</v>
      </c>
    </row>
    <row r="2353" spans="1:9" ht="12.5">
      <c r="A2353" s="5">
        <v>1047217323</v>
      </c>
      <c r="B2353" s="5" t="s">
        <v>23706</v>
      </c>
      <c r="C2353" s="5" t="s">
        <v>24855</v>
      </c>
      <c r="E2353" s="5" t="s">
        <v>11449</v>
      </c>
      <c r="G2353" s="5">
        <v>3113092602</v>
      </c>
      <c r="I2353" s="5"/>
    </row>
    <row r="2354" spans="1:9" ht="12.5">
      <c r="A2354" s="5">
        <v>1044210707</v>
      </c>
      <c r="B2354" s="5" t="s">
        <v>23706</v>
      </c>
      <c r="C2354" s="5" t="s">
        <v>11451</v>
      </c>
      <c r="E2354" s="5" t="s">
        <v>11452</v>
      </c>
      <c r="G2354" s="5">
        <v>17816863866</v>
      </c>
      <c r="I2354" s="5"/>
    </row>
    <row r="2355" spans="1:9" ht="12.5">
      <c r="A2355" s="5">
        <v>1140830607</v>
      </c>
      <c r="B2355" s="5" t="s">
        <v>23706</v>
      </c>
      <c r="C2355" s="5" t="s">
        <v>11458</v>
      </c>
      <c r="E2355" s="5" t="s">
        <v>5662</v>
      </c>
      <c r="G2355" s="5">
        <v>3188135134</v>
      </c>
      <c r="I2355" s="5"/>
    </row>
    <row r="2356" spans="1:9" ht="12.5">
      <c r="A2356" s="5">
        <v>1140851525</v>
      </c>
      <c r="B2356" s="5" t="s">
        <v>23706</v>
      </c>
      <c r="C2356" s="5" t="s">
        <v>11464</v>
      </c>
      <c r="E2356" s="5" t="s">
        <v>11465</v>
      </c>
      <c r="G2356" s="5">
        <v>3006749322</v>
      </c>
      <c r="I2356" s="5" t="s">
        <v>24856</v>
      </c>
    </row>
    <row r="2357" spans="1:9" ht="12.5">
      <c r="A2357" s="5">
        <v>1140886901</v>
      </c>
      <c r="B2357" s="5" t="s">
        <v>23706</v>
      </c>
      <c r="C2357" s="5" t="s">
        <v>11473</v>
      </c>
      <c r="E2357" s="5" t="s">
        <v>2102</v>
      </c>
      <c r="G2357" s="5">
        <v>19723332888</v>
      </c>
      <c r="I2357" s="5" t="s">
        <v>24857</v>
      </c>
    </row>
    <row r="2358" spans="1:9" ht="12.5">
      <c r="A2358" s="5">
        <v>1140819183</v>
      </c>
      <c r="B2358" s="5" t="s">
        <v>23706</v>
      </c>
      <c r="C2358" s="5" t="s">
        <v>11481</v>
      </c>
      <c r="E2358" s="5" t="s">
        <v>11482</v>
      </c>
      <c r="G2358" s="5">
        <v>3168766165</v>
      </c>
      <c r="I2358" s="5" t="s">
        <v>24858</v>
      </c>
    </row>
    <row r="2359" spans="1:9" ht="12.5">
      <c r="A2359" s="5">
        <v>1140869119</v>
      </c>
      <c r="B2359" s="5" t="s">
        <v>23706</v>
      </c>
      <c r="C2359" s="5" t="s">
        <v>115</v>
      </c>
      <c r="E2359" s="5" t="s">
        <v>11494</v>
      </c>
      <c r="G2359" s="5">
        <v>3215005033</v>
      </c>
      <c r="I2359" s="5"/>
    </row>
    <row r="2360" spans="1:9" ht="12.5">
      <c r="A2360" s="5">
        <v>1082888772</v>
      </c>
      <c r="B2360" s="5" t="s">
        <v>23706</v>
      </c>
      <c r="C2360" s="5" t="s">
        <v>11499</v>
      </c>
      <c r="E2360" s="5" t="s">
        <v>11500</v>
      </c>
      <c r="G2360" s="5">
        <v>3007658639</v>
      </c>
      <c r="I2360" s="5" t="s">
        <v>24859</v>
      </c>
    </row>
    <row r="2361" spans="1:9" ht="12.5">
      <c r="A2361" s="5">
        <v>8020011059</v>
      </c>
      <c r="B2361" s="5" t="s">
        <v>23782</v>
      </c>
      <c r="C2361" s="5" t="s">
        <v>11508</v>
      </c>
      <c r="E2361" s="5" t="s">
        <v>6851</v>
      </c>
      <c r="G2361" s="5">
        <v>3158524692</v>
      </c>
      <c r="I2361" s="5" t="s">
        <v>24860</v>
      </c>
    </row>
    <row r="2362" spans="1:9" ht="12.5">
      <c r="A2362" s="5">
        <v>1085103984</v>
      </c>
      <c r="B2362" s="5" t="s">
        <v>23706</v>
      </c>
      <c r="C2362" s="5" t="s">
        <v>24861</v>
      </c>
      <c r="E2362" s="5" t="s">
        <v>11515</v>
      </c>
      <c r="G2362" s="5">
        <v>3004892605</v>
      </c>
      <c r="I2362" s="5"/>
    </row>
    <row r="2363" spans="1:9" ht="12.5">
      <c r="A2363" s="5">
        <v>1104010120</v>
      </c>
      <c r="B2363" s="5" t="s">
        <v>23706</v>
      </c>
      <c r="C2363" s="5" t="s">
        <v>5685</v>
      </c>
      <c r="E2363" s="5" t="s">
        <v>24862</v>
      </c>
      <c r="G2363" s="5">
        <v>3004218505</v>
      </c>
      <c r="I2363" s="5"/>
    </row>
    <row r="2364" spans="1:9" ht="12.5">
      <c r="A2364" s="5">
        <v>1151470934</v>
      </c>
      <c r="B2364" s="5" t="s">
        <v>23706</v>
      </c>
      <c r="C2364" s="5" t="s">
        <v>3584</v>
      </c>
      <c r="E2364" s="5" t="s">
        <v>24863</v>
      </c>
      <c r="G2364" s="5">
        <v>3014722689</v>
      </c>
      <c r="I2364" s="5"/>
    </row>
    <row r="2365" spans="1:9" ht="12.5">
      <c r="A2365" s="5">
        <v>1144149136</v>
      </c>
      <c r="B2365" s="5" t="s">
        <v>23706</v>
      </c>
      <c r="C2365" s="5" t="s">
        <v>2551</v>
      </c>
      <c r="E2365" s="5" t="s">
        <v>11530</v>
      </c>
      <c r="G2365" s="5">
        <v>0</v>
      </c>
      <c r="I2365" s="5"/>
    </row>
    <row r="2366" spans="1:9" ht="12.5">
      <c r="A2366" s="5">
        <v>1143461733</v>
      </c>
      <c r="B2366" s="5" t="s">
        <v>23706</v>
      </c>
      <c r="C2366" s="5" t="s">
        <v>9984</v>
      </c>
      <c r="E2366" s="5" t="s">
        <v>11532</v>
      </c>
      <c r="G2366" s="5">
        <v>3006723153</v>
      </c>
      <c r="I2366" s="5"/>
    </row>
    <row r="2367" spans="1:9" ht="12.5">
      <c r="A2367" s="5">
        <v>22550347</v>
      </c>
      <c r="B2367" s="5" t="s">
        <v>23706</v>
      </c>
      <c r="C2367" s="5" t="s">
        <v>1915</v>
      </c>
      <c r="E2367" s="5" t="s">
        <v>6711</v>
      </c>
      <c r="G2367" s="5">
        <v>13235420686</v>
      </c>
      <c r="I2367" s="5"/>
    </row>
    <row r="2368" spans="1:9" ht="12.5">
      <c r="A2368" s="5">
        <v>36454887</v>
      </c>
      <c r="B2368" s="5" t="s">
        <v>23706</v>
      </c>
      <c r="C2368" s="5" t="s">
        <v>5035</v>
      </c>
      <c r="E2368" s="5" t="s">
        <v>24024</v>
      </c>
      <c r="G2368" s="5">
        <v>3188882350</v>
      </c>
      <c r="I2368" s="5" t="s">
        <v>24864</v>
      </c>
    </row>
    <row r="2369" spans="1:9" ht="12.5">
      <c r="A2369" s="5">
        <v>1129578313</v>
      </c>
      <c r="B2369" s="5" t="s">
        <v>23706</v>
      </c>
      <c r="C2369" s="5" t="s">
        <v>5761</v>
      </c>
      <c r="E2369" s="5" t="s">
        <v>3414</v>
      </c>
      <c r="G2369" s="5">
        <v>3205420119</v>
      </c>
      <c r="I2369" s="5"/>
    </row>
    <row r="2370" spans="1:9" ht="12.5">
      <c r="A2370" s="5">
        <v>62415986</v>
      </c>
      <c r="B2370" s="5" t="s">
        <v>23706</v>
      </c>
      <c r="C2370" s="5" t="s">
        <v>24865</v>
      </c>
      <c r="E2370" s="5" t="s">
        <v>2560</v>
      </c>
      <c r="G2370" s="5">
        <v>7037989675</v>
      </c>
      <c r="I2370" s="5"/>
    </row>
    <row r="2371" spans="1:9" ht="12.5">
      <c r="A2371" s="5">
        <v>1045058</v>
      </c>
      <c r="B2371" s="5" t="s">
        <v>23706</v>
      </c>
      <c r="C2371" s="5" t="s">
        <v>24866</v>
      </c>
      <c r="E2371" s="5" t="s">
        <v>24867</v>
      </c>
      <c r="G2371" s="5">
        <v>3112773215</v>
      </c>
      <c r="I2371" s="5" t="s">
        <v>24868</v>
      </c>
    </row>
    <row r="2372" spans="1:9" ht="12.5">
      <c r="A2372" s="5">
        <v>72265838</v>
      </c>
      <c r="B2372" s="5" t="s">
        <v>23706</v>
      </c>
      <c r="C2372" s="5" t="s">
        <v>4286</v>
      </c>
      <c r="E2372" s="5" t="s">
        <v>1699</v>
      </c>
      <c r="G2372" s="5">
        <v>3013293631</v>
      </c>
      <c r="I2372" s="5"/>
    </row>
    <row r="2373" spans="1:9" ht="12.5">
      <c r="A2373" s="5">
        <v>3157741493</v>
      </c>
      <c r="B2373" s="5" t="s">
        <v>23706</v>
      </c>
      <c r="C2373" s="5" t="s">
        <v>4904</v>
      </c>
      <c r="E2373" s="5" t="s">
        <v>24869</v>
      </c>
      <c r="G2373" s="5">
        <v>0</v>
      </c>
      <c r="I2373" s="5"/>
    </row>
    <row r="2374" spans="1:9" ht="12.5">
      <c r="A2374" s="5">
        <v>32781442</v>
      </c>
      <c r="B2374" s="5" t="s">
        <v>23706</v>
      </c>
      <c r="C2374" s="5" t="s">
        <v>4487</v>
      </c>
      <c r="E2374" s="5" t="s">
        <v>8479</v>
      </c>
      <c r="G2374" s="5">
        <v>3157157026</v>
      </c>
      <c r="I2374" s="5"/>
    </row>
    <row r="2375" spans="1:9" ht="12.5">
      <c r="A2375" s="5">
        <v>1103118284</v>
      </c>
      <c r="B2375" s="5" t="s">
        <v>23706</v>
      </c>
      <c r="C2375" s="5" t="s">
        <v>290</v>
      </c>
      <c r="E2375" s="5" t="s">
        <v>1968</v>
      </c>
      <c r="G2375" s="5">
        <v>3004371636</v>
      </c>
      <c r="I2375" s="5"/>
    </row>
    <row r="2376" spans="1:9" ht="12.5">
      <c r="A2376" s="5">
        <v>72261698</v>
      </c>
      <c r="B2376" s="5" t="s">
        <v>23706</v>
      </c>
      <c r="C2376" s="5" t="s">
        <v>5357</v>
      </c>
      <c r="E2376" s="5" t="s">
        <v>11570</v>
      </c>
      <c r="G2376" s="5">
        <v>3043806159</v>
      </c>
      <c r="I2376" s="5"/>
    </row>
    <row r="2377" spans="1:9" ht="12.5">
      <c r="A2377" s="5">
        <v>1002033407</v>
      </c>
      <c r="B2377" s="5" t="s">
        <v>23706</v>
      </c>
      <c r="C2377" s="5" t="s">
        <v>14058</v>
      </c>
      <c r="E2377" s="5"/>
      <c r="G2377" s="5">
        <v>3244514045</v>
      </c>
      <c r="I2377" s="5" t="s">
        <v>24870</v>
      </c>
    </row>
    <row r="2378" spans="1:9" ht="12.5">
      <c r="A2378" s="5">
        <v>1047496283</v>
      </c>
      <c r="B2378" s="5" t="s">
        <v>23706</v>
      </c>
      <c r="C2378" s="5" t="s">
        <v>338</v>
      </c>
      <c r="E2378" s="5" t="s">
        <v>1831</v>
      </c>
      <c r="G2378" s="5">
        <v>3012200325</v>
      </c>
      <c r="I2378" s="5" t="s">
        <v>24871</v>
      </c>
    </row>
    <row r="2379" spans="1:9" ht="12.5">
      <c r="A2379" s="5">
        <v>1140861063</v>
      </c>
      <c r="B2379" s="5" t="s">
        <v>23706</v>
      </c>
      <c r="C2379" s="5" t="s">
        <v>1651</v>
      </c>
      <c r="E2379" s="5" t="s">
        <v>11581</v>
      </c>
      <c r="G2379" s="5">
        <v>3217810116</v>
      </c>
      <c r="I2379" s="5"/>
    </row>
    <row r="2380" spans="1:9" ht="12.5">
      <c r="A2380" s="5">
        <v>1067601461</v>
      </c>
      <c r="B2380" s="5" t="s">
        <v>23706</v>
      </c>
      <c r="C2380" s="5" t="s">
        <v>24872</v>
      </c>
      <c r="E2380" s="5" t="s">
        <v>2606</v>
      </c>
      <c r="G2380" s="5">
        <v>3103984207</v>
      </c>
      <c r="I2380" s="5" t="s">
        <v>24873</v>
      </c>
    </row>
    <row r="2381" spans="1:9" ht="12.5">
      <c r="A2381" s="5">
        <v>55222190</v>
      </c>
      <c r="B2381" s="5" t="s">
        <v>23706</v>
      </c>
      <c r="C2381" s="5" t="s">
        <v>2941</v>
      </c>
      <c r="E2381" s="5" t="s">
        <v>24874</v>
      </c>
      <c r="G2381" s="5">
        <v>3006337540</v>
      </c>
      <c r="I2381" s="5" t="s">
        <v>24875</v>
      </c>
    </row>
    <row r="2382" spans="1:9" ht="12.5">
      <c r="A2382" s="5">
        <v>1143351212</v>
      </c>
      <c r="B2382" s="5" t="s">
        <v>23706</v>
      </c>
      <c r="C2382" s="5" t="s">
        <v>13071</v>
      </c>
      <c r="E2382" s="5"/>
      <c r="G2382" s="5">
        <v>3011113091</v>
      </c>
      <c r="I2382" s="5" t="s">
        <v>24876</v>
      </c>
    </row>
    <row r="2383" spans="1:9" ht="12.5">
      <c r="A2383" s="5">
        <v>1065610806</v>
      </c>
      <c r="B2383" s="5" t="s">
        <v>23706</v>
      </c>
      <c r="C2383" s="5" t="s">
        <v>11603</v>
      </c>
      <c r="E2383" s="5" t="s">
        <v>4847</v>
      </c>
      <c r="G2383" s="5">
        <v>3182725989</v>
      </c>
      <c r="I2383" s="5" t="s">
        <v>24877</v>
      </c>
    </row>
    <row r="2384" spans="1:9" ht="12.5">
      <c r="A2384" s="5">
        <v>1140836153</v>
      </c>
      <c r="B2384" s="5" t="s">
        <v>23706</v>
      </c>
      <c r="C2384" s="5" t="s">
        <v>11608</v>
      </c>
      <c r="E2384" s="5" t="s">
        <v>11609</v>
      </c>
      <c r="G2384" s="5">
        <v>3045905384</v>
      </c>
      <c r="I2384" s="5" t="s">
        <v>24878</v>
      </c>
    </row>
    <row r="2385" spans="1:9" ht="12.5">
      <c r="A2385" s="5">
        <v>1000590295</v>
      </c>
      <c r="B2385" s="5" t="s">
        <v>23706</v>
      </c>
      <c r="C2385" s="5" t="s">
        <v>24879</v>
      </c>
      <c r="E2385" s="5" t="s">
        <v>3442</v>
      </c>
      <c r="G2385" s="5">
        <v>3156970868</v>
      </c>
      <c r="I2385" s="5" t="s">
        <v>24880</v>
      </c>
    </row>
    <row r="2386" spans="1:9" ht="12.5">
      <c r="A2386" s="5">
        <v>72263453</v>
      </c>
      <c r="B2386" s="5" t="s">
        <v>23706</v>
      </c>
      <c r="C2386" s="5" t="s">
        <v>24881</v>
      </c>
      <c r="E2386" s="5" t="s">
        <v>2807</v>
      </c>
      <c r="G2386" s="5">
        <v>3008931416</v>
      </c>
      <c r="I2386" s="5" t="s">
        <v>24882</v>
      </c>
    </row>
    <row r="2387" spans="1:9" ht="12.5">
      <c r="A2387" s="5">
        <v>1001821264</v>
      </c>
      <c r="B2387" s="5" t="s">
        <v>23706</v>
      </c>
      <c r="C2387" s="5" t="s">
        <v>23898</v>
      </c>
      <c r="E2387" s="5" t="s">
        <v>11634</v>
      </c>
      <c r="G2387" s="5">
        <v>17869685798</v>
      </c>
      <c r="I2387" s="5"/>
    </row>
    <row r="2388" spans="1:9" ht="12.5">
      <c r="A2388" s="5">
        <v>722084925</v>
      </c>
      <c r="B2388" s="5" t="s">
        <v>23706</v>
      </c>
      <c r="C2388" s="5" t="s">
        <v>11640</v>
      </c>
      <c r="E2388" s="5" t="s">
        <v>11641</v>
      </c>
      <c r="G2388" s="5">
        <v>19293851596</v>
      </c>
      <c r="I2388" s="5" t="s">
        <v>24883</v>
      </c>
    </row>
    <row r="2389" spans="1:9" ht="12.5">
      <c r="A2389" s="5">
        <v>1041770585</v>
      </c>
      <c r="B2389" s="5" t="s">
        <v>23706</v>
      </c>
      <c r="C2389" s="5" t="s">
        <v>11151</v>
      </c>
      <c r="E2389" s="5" t="s">
        <v>24884</v>
      </c>
      <c r="G2389" s="5">
        <v>3003314770</v>
      </c>
      <c r="I2389" s="5"/>
    </row>
    <row r="2390" spans="1:9" ht="12.5">
      <c r="A2390" s="5">
        <v>1140875179</v>
      </c>
      <c r="B2390" s="5" t="s">
        <v>23706</v>
      </c>
      <c r="C2390" s="5" t="s">
        <v>11653</v>
      </c>
      <c r="E2390" s="5"/>
      <c r="G2390" s="5">
        <v>3005293740</v>
      </c>
      <c r="I2390" s="5" t="s">
        <v>23941</v>
      </c>
    </row>
    <row r="2391" spans="1:9" ht="12.5">
      <c r="A2391" s="5">
        <v>1140851405</v>
      </c>
      <c r="B2391" s="5" t="s">
        <v>23706</v>
      </c>
      <c r="C2391" s="5" t="s">
        <v>24885</v>
      </c>
      <c r="E2391" s="5" t="s">
        <v>2658</v>
      </c>
      <c r="G2391" s="5">
        <v>3106175375</v>
      </c>
      <c r="I2391" s="5"/>
    </row>
    <row r="2392" spans="1:9" ht="12.5">
      <c r="A2392" s="5">
        <v>1143163171</v>
      </c>
      <c r="B2392" s="5" t="s">
        <v>23706</v>
      </c>
      <c r="C2392" s="5" t="s">
        <v>11666</v>
      </c>
      <c r="E2392" s="5"/>
      <c r="G2392" s="5">
        <v>3204022852</v>
      </c>
      <c r="I2392" s="5" t="s">
        <v>24886</v>
      </c>
    </row>
    <row r="2393" spans="1:9" ht="12.5">
      <c r="A2393" s="5">
        <v>1121529876</v>
      </c>
      <c r="B2393" s="5" t="s">
        <v>23706</v>
      </c>
      <c r="C2393" s="5" t="s">
        <v>11669</v>
      </c>
      <c r="E2393" s="5" t="s">
        <v>11670</v>
      </c>
      <c r="G2393" s="5">
        <v>3155656648</v>
      </c>
      <c r="I2393" s="5"/>
    </row>
    <row r="2394" spans="1:9" ht="12.5">
      <c r="A2394" s="5">
        <v>1140893250</v>
      </c>
      <c r="B2394" s="5" t="s">
        <v>23706</v>
      </c>
      <c r="C2394" s="5" t="s">
        <v>24887</v>
      </c>
      <c r="E2394" s="5" t="s">
        <v>4957</v>
      </c>
      <c r="G2394" s="5">
        <v>3014291268</v>
      </c>
      <c r="I2394" s="5"/>
    </row>
    <row r="2395" spans="1:9" ht="12.5">
      <c r="A2395" s="5">
        <v>1234096286</v>
      </c>
      <c r="B2395" s="5" t="s">
        <v>23706</v>
      </c>
      <c r="C2395" s="5" t="s">
        <v>12140</v>
      </c>
      <c r="E2395" s="5"/>
      <c r="G2395" s="5">
        <v>3217530452</v>
      </c>
      <c r="I2395" s="5"/>
    </row>
    <row r="2396" spans="1:9" ht="12.5">
      <c r="A2396" s="5">
        <v>100191575</v>
      </c>
      <c r="B2396" s="5" t="s">
        <v>23706</v>
      </c>
      <c r="C2396" s="5" t="s">
        <v>11685</v>
      </c>
      <c r="E2396" s="5" t="s">
        <v>11686</v>
      </c>
      <c r="G2396" s="5">
        <v>3004342758</v>
      </c>
      <c r="I2396" s="5" t="s">
        <v>24888</v>
      </c>
    </row>
    <row r="2397" spans="1:9" ht="12.5">
      <c r="A2397" s="5">
        <v>1140903852</v>
      </c>
      <c r="B2397" s="5" t="s">
        <v>23706</v>
      </c>
      <c r="C2397" s="5" t="s">
        <v>11692</v>
      </c>
      <c r="E2397" s="5" t="s">
        <v>11693</v>
      </c>
      <c r="G2397" s="5">
        <v>3016373200</v>
      </c>
      <c r="I2397" s="5" t="s">
        <v>24889</v>
      </c>
    </row>
    <row r="2398" spans="1:9" ht="12.5">
      <c r="A2398" s="5">
        <v>1140904233</v>
      </c>
      <c r="B2398" s="5" t="s">
        <v>23706</v>
      </c>
      <c r="C2398" s="5" t="s">
        <v>4102</v>
      </c>
      <c r="E2398" s="5" t="s">
        <v>455</v>
      </c>
      <c r="G2398" s="5">
        <v>3014404403</v>
      </c>
      <c r="I2398" s="5" t="s">
        <v>24890</v>
      </c>
    </row>
    <row r="2399" spans="1:9" ht="12.5">
      <c r="A2399" s="5">
        <v>1066720447</v>
      </c>
      <c r="B2399" s="5" t="s">
        <v>23706</v>
      </c>
      <c r="C2399" s="5" t="s">
        <v>703</v>
      </c>
      <c r="E2399" s="5" t="s">
        <v>11703</v>
      </c>
      <c r="G2399" s="5">
        <v>3013714345</v>
      </c>
      <c r="I2399" s="5" t="s">
        <v>24891</v>
      </c>
    </row>
    <row r="2400" spans="1:9" ht="12.5">
      <c r="A2400" s="5">
        <v>1044393682</v>
      </c>
      <c r="B2400" s="5" t="s">
        <v>23706</v>
      </c>
      <c r="C2400" s="5" t="s">
        <v>11709</v>
      </c>
      <c r="E2400" s="5" t="s">
        <v>11710</v>
      </c>
      <c r="G2400" s="5">
        <v>3183922187</v>
      </c>
      <c r="I2400" s="5" t="s">
        <v>24892</v>
      </c>
    </row>
    <row r="2401" spans="1:9" ht="12.5">
      <c r="A2401" s="5">
        <v>112050470</v>
      </c>
      <c r="B2401" s="5" t="s">
        <v>23706</v>
      </c>
      <c r="C2401" s="5" t="s">
        <v>5035</v>
      </c>
      <c r="E2401" s="5" t="s">
        <v>2560</v>
      </c>
      <c r="G2401" s="5">
        <v>50688387782</v>
      </c>
      <c r="I2401" s="5" t="s">
        <v>24893</v>
      </c>
    </row>
    <row r="2402" spans="1:9" ht="12.5">
      <c r="A2402" s="5">
        <v>1007515176</v>
      </c>
      <c r="B2402" s="5" t="s">
        <v>23706</v>
      </c>
      <c r="C2402" s="5" t="s">
        <v>10515</v>
      </c>
      <c r="E2402" s="5" t="s">
        <v>11722</v>
      </c>
      <c r="G2402" s="5">
        <v>3108315079</v>
      </c>
      <c r="I2402" s="5" t="s">
        <v>24894</v>
      </c>
    </row>
    <row r="2403" spans="1:9" ht="12.5">
      <c r="A2403" s="5">
        <v>8600095786</v>
      </c>
      <c r="B2403" s="5" t="s">
        <v>23782</v>
      </c>
      <c r="C2403" s="5" t="s">
        <v>11729</v>
      </c>
      <c r="E2403" s="5" t="s">
        <v>4113</v>
      </c>
      <c r="G2403" s="5">
        <v>3217712414</v>
      </c>
      <c r="I2403" s="5" t="s">
        <v>24895</v>
      </c>
    </row>
    <row r="2404" spans="1:9" ht="12.5">
      <c r="A2404" s="5">
        <v>79627731</v>
      </c>
      <c r="B2404" s="5" t="s">
        <v>23706</v>
      </c>
      <c r="C2404" s="5" t="s">
        <v>11734</v>
      </c>
      <c r="E2404" s="5" t="s">
        <v>11735</v>
      </c>
      <c r="G2404" s="5">
        <v>3112957503</v>
      </c>
      <c r="I2404" s="5"/>
    </row>
    <row r="2405" spans="1:9" ht="12.5">
      <c r="A2405" s="5">
        <v>1002256961</v>
      </c>
      <c r="B2405" s="5" t="s">
        <v>23706</v>
      </c>
      <c r="C2405" s="5" t="s">
        <v>1349</v>
      </c>
      <c r="E2405" s="5" t="s">
        <v>11738</v>
      </c>
      <c r="G2405" s="5">
        <v>3016987395</v>
      </c>
      <c r="I2405" s="5" t="s">
        <v>24896</v>
      </c>
    </row>
    <row r="2406" spans="1:9" ht="12.5">
      <c r="A2406" s="5">
        <v>72002358</v>
      </c>
      <c r="B2406" s="5" t="s">
        <v>23706</v>
      </c>
      <c r="C2406" s="5" t="s">
        <v>226</v>
      </c>
      <c r="E2406" s="5" t="s">
        <v>93</v>
      </c>
      <c r="G2406" s="5">
        <v>3157182762</v>
      </c>
      <c r="I2406" s="5"/>
    </row>
    <row r="2407" spans="1:9" ht="12.5">
      <c r="A2407" s="5">
        <v>79922468</v>
      </c>
      <c r="B2407" s="5" t="s">
        <v>23706</v>
      </c>
      <c r="C2407" s="5" t="s">
        <v>5128</v>
      </c>
      <c r="E2407" s="5" t="s">
        <v>11748</v>
      </c>
      <c r="G2407" s="5">
        <v>3115998840</v>
      </c>
      <c r="I2407" s="5"/>
    </row>
    <row r="2408" spans="1:9" ht="12.5">
      <c r="A2408" s="5">
        <v>1140902552</v>
      </c>
      <c r="B2408" s="5" t="s">
        <v>23706</v>
      </c>
      <c r="C2408" s="5" t="s">
        <v>11753</v>
      </c>
      <c r="E2408" s="5" t="s">
        <v>24897</v>
      </c>
      <c r="G2408" s="5">
        <v>3242029594</v>
      </c>
      <c r="I2408" s="5" t="s">
        <v>24898</v>
      </c>
    </row>
    <row r="2409" spans="1:9" ht="12.5">
      <c r="A2409" s="5">
        <v>9010720773</v>
      </c>
      <c r="B2409" s="5" t="s">
        <v>23782</v>
      </c>
      <c r="C2409" s="5" t="s">
        <v>24899</v>
      </c>
      <c r="E2409" s="5" t="s">
        <v>11761</v>
      </c>
      <c r="G2409" s="5">
        <v>3116531859</v>
      </c>
      <c r="I2409" s="5"/>
    </row>
    <row r="2410" spans="1:9" ht="12.5">
      <c r="A2410" s="5">
        <v>72138937</v>
      </c>
      <c r="B2410" s="5" t="s">
        <v>23706</v>
      </c>
      <c r="C2410" s="5" t="s">
        <v>11764</v>
      </c>
      <c r="E2410" s="5" t="s">
        <v>11765</v>
      </c>
      <c r="G2410" s="5">
        <v>3157004568</v>
      </c>
      <c r="I2410" s="5" t="s">
        <v>24900</v>
      </c>
    </row>
    <row r="2411" spans="1:9" ht="12.5">
      <c r="A2411" s="5">
        <v>1045737017</v>
      </c>
      <c r="B2411" s="5" t="s">
        <v>23706</v>
      </c>
      <c r="C2411" s="5" t="s">
        <v>1736</v>
      </c>
      <c r="E2411" s="5" t="s">
        <v>7325</v>
      </c>
      <c r="G2411" s="5">
        <v>3215956870</v>
      </c>
      <c r="I2411" s="5"/>
    </row>
    <row r="2412" spans="1:9" ht="12.5">
      <c r="A2412" s="5">
        <v>1140900186</v>
      </c>
      <c r="B2412" s="5" t="s">
        <v>23706</v>
      </c>
      <c r="C2412" s="5" t="s">
        <v>24901</v>
      </c>
      <c r="E2412" s="5" t="s">
        <v>11774</v>
      </c>
      <c r="G2412" s="5">
        <v>3145964445</v>
      </c>
      <c r="I2412" s="5" t="s">
        <v>24902</v>
      </c>
    </row>
    <row r="2413" spans="1:9" ht="12.5">
      <c r="A2413" s="5">
        <v>72226019</v>
      </c>
      <c r="B2413" s="5" t="s">
        <v>23706</v>
      </c>
      <c r="C2413" s="5" t="s">
        <v>8699</v>
      </c>
      <c r="E2413" s="5" t="s">
        <v>11779</v>
      </c>
      <c r="G2413" s="5">
        <v>3116975485</v>
      </c>
      <c r="I2413" s="5" t="s">
        <v>24903</v>
      </c>
    </row>
    <row r="2414" spans="1:9" ht="12.5">
      <c r="A2414" s="5">
        <v>1015436674</v>
      </c>
      <c r="B2414" s="5" t="s">
        <v>23706</v>
      </c>
      <c r="C2414" s="5" t="s">
        <v>13001</v>
      </c>
      <c r="E2414" s="5"/>
      <c r="G2414" s="5">
        <v>3227688428</v>
      </c>
      <c r="I2414" s="5" t="s">
        <v>24904</v>
      </c>
    </row>
    <row r="2415" spans="1:9" ht="12.5">
      <c r="A2415" s="5">
        <v>1069494546</v>
      </c>
      <c r="B2415" s="5" t="s">
        <v>23706</v>
      </c>
      <c r="C2415" s="5" t="s">
        <v>1742</v>
      </c>
      <c r="E2415" s="5" t="s">
        <v>10893</v>
      </c>
      <c r="G2415" s="5">
        <v>3004618367</v>
      </c>
      <c r="I2415" s="5" t="s">
        <v>24905</v>
      </c>
    </row>
    <row r="2416" spans="1:9" ht="12.5">
      <c r="A2416" s="5">
        <v>1045667475</v>
      </c>
      <c r="B2416" s="5" t="s">
        <v>23706</v>
      </c>
      <c r="C2416" s="5" t="s">
        <v>24906</v>
      </c>
      <c r="E2416" s="5" t="s">
        <v>3442</v>
      </c>
      <c r="G2416" s="5">
        <v>3016574716</v>
      </c>
      <c r="I2416" s="5"/>
    </row>
    <row r="2417" spans="1:9" ht="12.5">
      <c r="A2417" s="5">
        <v>1140882292</v>
      </c>
      <c r="B2417" s="5" t="s">
        <v>23706</v>
      </c>
      <c r="C2417" s="5" t="s">
        <v>7959</v>
      </c>
      <c r="E2417" s="5" t="s">
        <v>24907</v>
      </c>
      <c r="G2417" s="5">
        <v>3005144626</v>
      </c>
      <c r="I2417" s="5" t="s">
        <v>24908</v>
      </c>
    </row>
    <row r="2418" spans="1:9" ht="12.5">
      <c r="A2418" s="5">
        <v>32723495</v>
      </c>
      <c r="B2418" s="5" t="s">
        <v>23706</v>
      </c>
      <c r="C2418" s="5" t="s">
        <v>11807</v>
      </c>
      <c r="E2418" s="5" t="s">
        <v>11808</v>
      </c>
      <c r="G2418" s="5">
        <v>3007771043</v>
      </c>
      <c r="I2418" s="5"/>
    </row>
    <row r="2419" spans="1:9" ht="12.5">
      <c r="A2419" s="5">
        <v>1044422995</v>
      </c>
      <c r="B2419" s="5" t="s">
        <v>23706</v>
      </c>
      <c r="C2419" s="5" t="s">
        <v>158</v>
      </c>
      <c r="E2419" s="5" t="s">
        <v>382</v>
      </c>
      <c r="G2419" s="5">
        <v>3164978794</v>
      </c>
      <c r="I2419" s="5"/>
    </row>
    <row r="2420" spans="1:9" ht="12.5">
      <c r="A2420" s="5">
        <v>72290003</v>
      </c>
      <c r="B2420" s="5" t="s">
        <v>23706</v>
      </c>
      <c r="C2420" s="5" t="s">
        <v>46</v>
      </c>
      <c r="E2420" s="5" t="s">
        <v>24909</v>
      </c>
      <c r="G2420" s="5">
        <v>3182619183</v>
      </c>
      <c r="I2420" s="5" t="s">
        <v>24910</v>
      </c>
    </row>
    <row r="2421" spans="1:9" ht="12.5">
      <c r="A2421" s="5">
        <v>1002157172</v>
      </c>
      <c r="B2421" s="5" t="s">
        <v>23706</v>
      </c>
      <c r="C2421" s="5" t="s">
        <v>1719</v>
      </c>
      <c r="E2421" s="5" t="s">
        <v>11821</v>
      </c>
      <c r="G2421" s="5">
        <v>3007322901</v>
      </c>
      <c r="I2421" s="5" t="s">
        <v>24911</v>
      </c>
    </row>
    <row r="2422" spans="1:9" ht="12.5">
      <c r="A2422" s="5">
        <v>1020717079</v>
      </c>
      <c r="B2422" s="5" t="s">
        <v>23706</v>
      </c>
      <c r="C2422" s="5" t="s">
        <v>4286</v>
      </c>
      <c r="E2422" s="5" t="s">
        <v>24912</v>
      </c>
      <c r="G2422" s="5">
        <v>3216437580</v>
      </c>
      <c r="I2422" s="5"/>
    </row>
    <row r="2423" spans="1:9" ht="12.5">
      <c r="A2423" s="5">
        <v>1045726678</v>
      </c>
      <c r="B2423" s="5" t="s">
        <v>23706</v>
      </c>
      <c r="C2423" s="5" t="s">
        <v>24913</v>
      </c>
      <c r="E2423" s="5" t="s">
        <v>11831</v>
      </c>
      <c r="G2423" s="5">
        <v>13058749745</v>
      </c>
      <c r="I2423" s="5" t="s">
        <v>24914</v>
      </c>
    </row>
    <row r="2424" spans="1:9" ht="12.5">
      <c r="A2424" s="5">
        <v>1024528997</v>
      </c>
      <c r="B2424" s="5" t="s">
        <v>23706</v>
      </c>
      <c r="C2424" s="5" t="s">
        <v>1038</v>
      </c>
      <c r="E2424" s="5" t="s">
        <v>3442</v>
      </c>
      <c r="G2424" s="5">
        <v>3028320446</v>
      </c>
      <c r="I2424" s="5" t="s">
        <v>24915</v>
      </c>
    </row>
    <row r="2425" spans="1:9" ht="12.5">
      <c r="A2425" s="5">
        <v>1140866510</v>
      </c>
      <c r="B2425" s="5" t="s">
        <v>23706</v>
      </c>
      <c r="C2425" s="5" t="s">
        <v>4458</v>
      </c>
      <c r="E2425" s="5" t="s">
        <v>1796</v>
      </c>
      <c r="G2425" s="5">
        <v>3107226918</v>
      </c>
      <c r="I2425" s="5"/>
    </row>
    <row r="2426" spans="1:9" ht="12.5">
      <c r="A2426" s="5">
        <v>1004368175</v>
      </c>
      <c r="B2426" s="5" t="s">
        <v>23706</v>
      </c>
      <c r="C2426" s="5" t="s">
        <v>11848</v>
      </c>
      <c r="E2426" s="5" t="s">
        <v>11849</v>
      </c>
      <c r="G2426" s="5">
        <v>3177383143</v>
      </c>
      <c r="I2426" s="5"/>
    </row>
    <row r="2427" spans="1:9" ht="12.5">
      <c r="A2427" s="5">
        <v>1007117310</v>
      </c>
      <c r="B2427" s="5" t="s">
        <v>23706</v>
      </c>
      <c r="C2427" s="5" t="s">
        <v>24916</v>
      </c>
      <c r="E2427" s="5" t="s">
        <v>24917</v>
      </c>
      <c r="G2427" s="5">
        <v>3162909330</v>
      </c>
      <c r="I2427" s="5" t="s">
        <v>24918</v>
      </c>
    </row>
    <row r="2428" spans="1:9" ht="12.5">
      <c r="A2428" s="5">
        <v>1085326689</v>
      </c>
      <c r="B2428" s="5" t="s">
        <v>23706</v>
      </c>
      <c r="C2428" s="5" t="s">
        <v>1051</v>
      </c>
      <c r="E2428" s="5" t="s">
        <v>11857</v>
      </c>
      <c r="G2428" s="5">
        <v>3006962626</v>
      </c>
      <c r="I2428" s="5" t="s">
        <v>24919</v>
      </c>
    </row>
    <row r="2429" spans="1:9" ht="12.5">
      <c r="A2429" s="5">
        <v>8731554</v>
      </c>
      <c r="B2429" s="5" t="s">
        <v>23706</v>
      </c>
      <c r="C2429" s="5" t="s">
        <v>24920</v>
      </c>
      <c r="E2429" s="5" t="s">
        <v>24921</v>
      </c>
      <c r="G2429" s="5">
        <v>3008156363</v>
      </c>
      <c r="I2429" s="5" t="s">
        <v>24922</v>
      </c>
    </row>
    <row r="2430" spans="1:9" ht="12.5">
      <c r="A2430" s="5">
        <v>1006185624</v>
      </c>
      <c r="B2430" s="5" t="s">
        <v>23706</v>
      </c>
      <c r="C2430" s="5" t="s">
        <v>9461</v>
      </c>
      <c r="E2430" s="5" t="s">
        <v>8008</v>
      </c>
      <c r="G2430" s="5">
        <v>3002784268</v>
      </c>
      <c r="I2430" s="5"/>
    </row>
    <row r="2431" spans="1:9" ht="12.5">
      <c r="A2431" s="5">
        <v>890102129</v>
      </c>
      <c r="B2431" s="5" t="s">
        <v>23782</v>
      </c>
      <c r="C2431" s="5" t="s">
        <v>11870</v>
      </c>
      <c r="E2431" s="5"/>
      <c r="G2431" s="5">
        <v>3003521368</v>
      </c>
      <c r="I2431" s="5" t="s">
        <v>24923</v>
      </c>
    </row>
    <row r="2432" spans="1:9" ht="12.5">
      <c r="A2432" s="5">
        <v>32710775</v>
      </c>
      <c r="B2432" s="5" t="s">
        <v>23706</v>
      </c>
      <c r="C2432" s="5" t="s">
        <v>11875</v>
      </c>
      <c r="E2432" s="5" t="s">
        <v>10064</v>
      </c>
      <c r="G2432" s="5">
        <v>3106046492</v>
      </c>
      <c r="I2432" s="5"/>
    </row>
    <row r="2433" spans="1:9" ht="12.5">
      <c r="A2433" s="5">
        <v>72290769</v>
      </c>
      <c r="B2433" s="5" t="s">
        <v>23706</v>
      </c>
      <c r="C2433" s="5" t="s">
        <v>11878</v>
      </c>
      <c r="E2433" s="5" t="s">
        <v>11879</v>
      </c>
      <c r="G2433" s="5">
        <v>3044258786</v>
      </c>
      <c r="I2433" s="5"/>
    </row>
    <row r="2434" spans="1:9" ht="12.5">
      <c r="A2434" s="5">
        <v>72357748</v>
      </c>
      <c r="B2434" s="5" t="s">
        <v>23706</v>
      </c>
      <c r="C2434" s="5" t="s">
        <v>1314</v>
      </c>
      <c r="E2434" s="5" t="s">
        <v>382</v>
      </c>
      <c r="G2434" s="5">
        <v>3008163729</v>
      </c>
      <c r="I2434" s="5"/>
    </row>
    <row r="2435" spans="1:9" ht="12.5">
      <c r="A2435" s="5">
        <v>1143264438</v>
      </c>
      <c r="B2435" s="5" t="s">
        <v>23706</v>
      </c>
      <c r="C2435" s="5" t="s">
        <v>2113</v>
      </c>
      <c r="E2435" s="5" t="s">
        <v>24924</v>
      </c>
      <c r="G2435" s="5">
        <v>3022581676</v>
      </c>
      <c r="I2435" s="5" t="s">
        <v>24925</v>
      </c>
    </row>
    <row r="2436" spans="1:9" ht="12.5">
      <c r="A2436" s="5">
        <v>1001820580</v>
      </c>
      <c r="B2436" s="5" t="s">
        <v>23706</v>
      </c>
      <c r="C2436" s="5" t="s">
        <v>5182</v>
      </c>
      <c r="E2436" s="5" t="s">
        <v>8365</v>
      </c>
      <c r="G2436" s="5">
        <v>0</v>
      </c>
      <c r="I2436" s="5"/>
    </row>
    <row r="2437" spans="1:9" ht="12.5">
      <c r="A2437" s="5">
        <v>112977077</v>
      </c>
      <c r="B2437" s="5" t="s">
        <v>23706</v>
      </c>
      <c r="C2437" s="5" t="s">
        <v>24926</v>
      </c>
      <c r="E2437" s="5" t="s">
        <v>1543</v>
      </c>
      <c r="G2437" s="5">
        <v>0</v>
      </c>
      <c r="I2437" s="5"/>
    </row>
    <row r="2438" spans="1:9" ht="12.5">
      <c r="A2438" s="5">
        <v>0</v>
      </c>
      <c r="B2438" s="5" t="s">
        <v>23706</v>
      </c>
      <c r="C2438" s="5" t="s">
        <v>24721</v>
      </c>
      <c r="E2438" s="5" t="s">
        <v>5393</v>
      </c>
      <c r="G2438" s="5">
        <v>0</v>
      </c>
      <c r="I2438" s="5"/>
    </row>
    <row r="2439" spans="1:9" ht="12.5">
      <c r="A2439" s="5">
        <v>1136882695</v>
      </c>
      <c r="B2439" s="5" t="s">
        <v>23706</v>
      </c>
      <c r="C2439" s="5" t="s">
        <v>11899</v>
      </c>
      <c r="E2439" s="5" t="s">
        <v>11900</v>
      </c>
      <c r="G2439" s="5">
        <v>3158154659</v>
      </c>
      <c r="I2439" s="5"/>
    </row>
    <row r="2440" spans="1:9" ht="12.5">
      <c r="A2440" s="5">
        <v>1234088076</v>
      </c>
      <c r="B2440" s="5" t="s">
        <v>23706</v>
      </c>
      <c r="C2440" s="5" t="s">
        <v>2701</v>
      </c>
      <c r="E2440" s="5" t="s">
        <v>10938</v>
      </c>
      <c r="G2440" s="5">
        <v>3128460586</v>
      </c>
      <c r="I2440" s="5" t="s">
        <v>24927</v>
      </c>
    </row>
    <row r="2441" spans="1:9" ht="12.5">
      <c r="A2441" s="5">
        <v>60398779</v>
      </c>
      <c r="B2441" s="5" t="s">
        <v>23706</v>
      </c>
      <c r="C2441" s="5" t="s">
        <v>1136</v>
      </c>
      <c r="E2441" s="5" t="s">
        <v>11916</v>
      </c>
      <c r="G2441" s="5">
        <v>3002557648</v>
      </c>
      <c r="I2441" s="5"/>
    </row>
    <row r="2442" spans="1:9" ht="12.5">
      <c r="A2442" s="5">
        <v>1002209746</v>
      </c>
      <c r="B2442" s="5" t="s">
        <v>23706</v>
      </c>
      <c r="C2442" s="5" t="s">
        <v>4562</v>
      </c>
      <c r="E2442" s="5" t="s">
        <v>24928</v>
      </c>
      <c r="G2442" s="5">
        <v>3173669050</v>
      </c>
      <c r="I2442" s="5" t="s">
        <v>24929</v>
      </c>
    </row>
    <row r="2443" spans="1:9" ht="12.5">
      <c r="A2443" s="5">
        <v>1043434249</v>
      </c>
      <c r="B2443" s="5" t="s">
        <v>23706</v>
      </c>
      <c r="C2443" s="5" t="s">
        <v>158</v>
      </c>
      <c r="E2443" s="5" t="s">
        <v>2863</v>
      </c>
      <c r="G2443" s="5">
        <v>3127128124</v>
      </c>
      <c r="I2443" s="5"/>
    </row>
    <row r="2444" spans="1:9" ht="12.5">
      <c r="A2444" s="5">
        <v>1044608853</v>
      </c>
      <c r="B2444" s="5" t="s">
        <v>23706</v>
      </c>
      <c r="C2444" s="5" t="s">
        <v>1555</v>
      </c>
      <c r="E2444" s="5" t="s">
        <v>10099</v>
      </c>
      <c r="G2444" s="5">
        <v>3022088898</v>
      </c>
      <c r="I2444" s="5" t="s">
        <v>24930</v>
      </c>
    </row>
    <row r="2445" spans="1:9" ht="12.5">
      <c r="A2445" s="5">
        <v>1143470242</v>
      </c>
      <c r="B2445" s="5" t="s">
        <v>23706</v>
      </c>
      <c r="C2445" s="5" t="s">
        <v>4286</v>
      </c>
      <c r="E2445" s="5" t="s">
        <v>24931</v>
      </c>
      <c r="G2445" s="5">
        <v>3146682326</v>
      </c>
      <c r="I2445" s="5" t="s">
        <v>24932</v>
      </c>
    </row>
    <row r="2446" spans="1:9" ht="12.5">
      <c r="A2446" s="5">
        <v>1083558071</v>
      </c>
      <c r="B2446" s="5" t="s">
        <v>23706</v>
      </c>
      <c r="C2446" s="5" t="s">
        <v>11939</v>
      </c>
      <c r="E2446" s="5" t="s">
        <v>11940</v>
      </c>
      <c r="G2446" s="5">
        <v>3045861749</v>
      </c>
      <c r="I2446" s="5"/>
    </row>
    <row r="2447" spans="1:9" ht="12.5">
      <c r="A2447" s="5">
        <v>72248335</v>
      </c>
      <c r="B2447" s="5" t="s">
        <v>23706</v>
      </c>
      <c r="C2447" s="5" t="s">
        <v>1651</v>
      </c>
      <c r="E2447" s="5" t="s">
        <v>11946</v>
      </c>
      <c r="G2447" s="5">
        <v>3106330045</v>
      </c>
      <c r="I2447" s="5"/>
    </row>
    <row r="2448" spans="1:9" ht="12.5">
      <c r="A2448" s="5">
        <v>22655411</v>
      </c>
      <c r="B2448" s="5" t="s">
        <v>23706</v>
      </c>
      <c r="C2448" s="5" t="s">
        <v>11956</v>
      </c>
      <c r="E2448" s="5" t="s">
        <v>93</v>
      </c>
      <c r="G2448" s="5">
        <v>3008157038</v>
      </c>
      <c r="I2448" s="5" t="s">
        <v>24933</v>
      </c>
    </row>
    <row r="2449" spans="1:9" ht="12.5">
      <c r="A2449" s="5">
        <v>72281502</v>
      </c>
      <c r="B2449" s="5" t="s">
        <v>23706</v>
      </c>
      <c r="C2449" s="5" t="s">
        <v>2545</v>
      </c>
      <c r="E2449" s="5" t="s">
        <v>1585</v>
      </c>
      <c r="G2449" s="5">
        <v>3045429650</v>
      </c>
      <c r="I2449" s="5"/>
    </row>
    <row r="2450" spans="1:9" ht="12.5">
      <c r="A2450" s="5">
        <v>1006822541</v>
      </c>
      <c r="B2450" s="5" t="s">
        <v>23706</v>
      </c>
      <c r="C2450" s="5" t="s">
        <v>3954</v>
      </c>
      <c r="E2450" s="5" t="s">
        <v>11963</v>
      </c>
      <c r="G2450" s="5">
        <v>3164101044</v>
      </c>
      <c r="I2450" s="5" t="s">
        <v>24934</v>
      </c>
    </row>
    <row r="2451" spans="1:9" ht="12.5">
      <c r="A2451" s="5">
        <v>1140946971</v>
      </c>
      <c r="B2451" s="5" t="s">
        <v>23706</v>
      </c>
      <c r="C2451" s="5" t="s">
        <v>2862</v>
      </c>
      <c r="E2451" s="5" t="s">
        <v>11452</v>
      </c>
      <c r="G2451" s="5">
        <v>3126928741</v>
      </c>
      <c r="I2451" s="5"/>
    </row>
    <row r="2452" spans="1:9" ht="12.5">
      <c r="A2452" s="5">
        <v>73007899</v>
      </c>
      <c r="B2452" s="5" t="s">
        <v>23706</v>
      </c>
      <c r="C2452" s="5" t="s">
        <v>1200</v>
      </c>
      <c r="E2452" s="5" t="s">
        <v>3342</v>
      </c>
      <c r="G2452" s="5">
        <v>2433145748</v>
      </c>
      <c r="I2452" s="5"/>
    </row>
    <row r="2453" spans="1:9" ht="12.5">
      <c r="A2453" s="5">
        <v>1221978428</v>
      </c>
      <c r="B2453" s="5" t="s">
        <v>23706</v>
      </c>
      <c r="C2453" s="5" t="s">
        <v>332</v>
      </c>
      <c r="E2453" s="5" t="s">
        <v>305</v>
      </c>
      <c r="G2453" s="5">
        <v>3005272284</v>
      </c>
      <c r="I2453" s="5"/>
    </row>
    <row r="2454" spans="1:9" ht="12.5">
      <c r="A2454" s="5">
        <v>0</v>
      </c>
      <c r="B2454" s="5" t="s">
        <v>23706</v>
      </c>
      <c r="C2454" s="5" t="s">
        <v>4261</v>
      </c>
      <c r="E2454" s="5" t="s">
        <v>7601</v>
      </c>
      <c r="G2454" s="5">
        <v>19543974714</v>
      </c>
      <c r="I2454" s="5"/>
    </row>
    <row r="2455" spans="1:9" ht="12.5">
      <c r="A2455" s="5">
        <v>901113126</v>
      </c>
      <c r="B2455" s="5" t="s">
        <v>23706</v>
      </c>
      <c r="C2455" s="5" t="s">
        <v>6722</v>
      </c>
      <c r="E2455" s="5" t="s">
        <v>11425</v>
      </c>
      <c r="G2455" s="5">
        <v>3114187547</v>
      </c>
      <c r="I2455" s="5"/>
    </row>
    <row r="2456" spans="1:9" ht="12.5">
      <c r="A2456" s="5">
        <v>1130264511</v>
      </c>
      <c r="B2456" s="5" t="s">
        <v>23706</v>
      </c>
      <c r="C2456" s="5" t="s">
        <v>11990</v>
      </c>
      <c r="E2456" s="5" t="s">
        <v>11991</v>
      </c>
      <c r="G2456" s="5">
        <v>16025289753</v>
      </c>
      <c r="I2456" s="5"/>
    </row>
    <row r="2457" spans="1:9" ht="12.5">
      <c r="A2457" s="5">
        <v>1037593827</v>
      </c>
      <c r="B2457" s="5" t="s">
        <v>23706</v>
      </c>
      <c r="C2457" s="5" t="s">
        <v>3641</v>
      </c>
      <c r="E2457" s="5"/>
      <c r="G2457" s="5">
        <v>3160574541</v>
      </c>
      <c r="I2457" s="5"/>
    </row>
    <row r="2458" spans="1:9" ht="12.5">
      <c r="A2458" s="5">
        <v>1129542204</v>
      </c>
      <c r="B2458" s="5" t="s">
        <v>23706</v>
      </c>
      <c r="C2458" s="5" t="s">
        <v>12000</v>
      </c>
      <c r="E2458" s="5" t="s">
        <v>1683</v>
      </c>
      <c r="G2458" s="5">
        <v>3006777033</v>
      </c>
      <c r="I2458" s="5" t="s">
        <v>24935</v>
      </c>
    </row>
    <row r="2459" spans="1:9" ht="12.5">
      <c r="A2459" s="5">
        <v>42204928</v>
      </c>
      <c r="B2459" s="5" t="s">
        <v>23706</v>
      </c>
      <c r="C2459" s="5" t="s">
        <v>12010</v>
      </c>
      <c r="E2459" s="5" t="s">
        <v>1628</v>
      </c>
      <c r="G2459" s="5">
        <v>16462098900</v>
      </c>
      <c r="I2459" s="5" t="s">
        <v>24936</v>
      </c>
    </row>
    <row r="2460" spans="1:9" ht="12.5">
      <c r="A2460" s="5">
        <v>1002228920</v>
      </c>
      <c r="B2460" s="5" t="s">
        <v>23706</v>
      </c>
      <c r="C2460" s="5" t="s">
        <v>24937</v>
      </c>
      <c r="E2460" s="5" t="s">
        <v>24938</v>
      </c>
      <c r="G2460" s="5">
        <v>17657861389</v>
      </c>
      <c r="I2460" s="5" t="s">
        <v>24939</v>
      </c>
    </row>
    <row r="2461" spans="1:9" ht="12.5">
      <c r="A2461" s="5">
        <v>78702691</v>
      </c>
      <c r="B2461" s="5" t="s">
        <v>23706</v>
      </c>
      <c r="C2461" s="5" t="s">
        <v>3806</v>
      </c>
      <c r="E2461" s="5" t="s">
        <v>24940</v>
      </c>
      <c r="G2461" s="5">
        <v>3005322303</v>
      </c>
      <c r="I2461" s="5"/>
    </row>
    <row r="2462" spans="1:9" ht="12.5">
      <c r="A2462" s="5">
        <v>1018413400</v>
      </c>
      <c r="B2462" s="5" t="s">
        <v>23706</v>
      </c>
      <c r="C2462" s="5" t="s">
        <v>24941</v>
      </c>
      <c r="E2462" s="5" t="s">
        <v>7070</v>
      </c>
      <c r="G2462" s="5">
        <v>3014067791</v>
      </c>
      <c r="I2462" s="5"/>
    </row>
    <row r="2463" spans="1:9" ht="12.5">
      <c r="A2463" s="5">
        <v>1037592611</v>
      </c>
      <c r="B2463" s="5" t="s">
        <v>23706</v>
      </c>
      <c r="C2463" s="5" t="s">
        <v>24942</v>
      </c>
      <c r="E2463" s="5" t="s">
        <v>5662</v>
      </c>
      <c r="G2463" s="5">
        <v>3176789672</v>
      </c>
      <c r="I2463" s="5"/>
    </row>
    <row r="2464" spans="1:9" ht="12.5">
      <c r="A2464" s="5">
        <v>32786347</v>
      </c>
      <c r="B2464" s="5" t="s">
        <v>23706</v>
      </c>
      <c r="C2464" s="5" t="s">
        <v>24943</v>
      </c>
      <c r="E2464" s="5" t="s">
        <v>1141</v>
      </c>
      <c r="G2464" s="5">
        <v>3022685523</v>
      </c>
      <c r="I2464" s="5"/>
    </row>
    <row r="2465" spans="1:9" ht="12.5">
      <c r="A2465" s="5">
        <v>0</v>
      </c>
      <c r="B2465" s="5" t="s">
        <v>23706</v>
      </c>
      <c r="C2465" s="5" t="s">
        <v>235</v>
      </c>
      <c r="E2465" s="5" t="s">
        <v>236</v>
      </c>
      <c r="G2465" s="5">
        <v>3154015161</v>
      </c>
      <c r="I2465" s="5"/>
    </row>
    <row r="2466" spans="1:9" ht="12.5">
      <c r="A2466" s="5">
        <v>1001893369</v>
      </c>
      <c r="B2466" s="5" t="s">
        <v>23706</v>
      </c>
      <c r="C2466" s="5" t="s">
        <v>12033</v>
      </c>
      <c r="E2466" s="5" t="s">
        <v>24944</v>
      </c>
      <c r="G2466" s="5">
        <v>3013354666</v>
      </c>
      <c r="I2466" s="5" t="s">
        <v>24945</v>
      </c>
    </row>
    <row r="2467" spans="1:9" ht="12.5">
      <c r="A2467" s="5">
        <v>1065821663</v>
      </c>
      <c r="B2467" s="5" t="s">
        <v>23706</v>
      </c>
      <c r="C2467" s="5" t="s">
        <v>24946</v>
      </c>
      <c r="E2467" s="5" t="s">
        <v>455</v>
      </c>
      <c r="G2467" s="5">
        <v>3205422288</v>
      </c>
      <c r="I2467" s="5" t="s">
        <v>24947</v>
      </c>
    </row>
    <row r="2468" spans="1:9" ht="12.5">
      <c r="A2468" s="5">
        <v>13861888</v>
      </c>
      <c r="B2468" s="5" t="s">
        <v>23706</v>
      </c>
      <c r="C2468" s="5" t="s">
        <v>2799</v>
      </c>
      <c r="E2468" s="5" t="s">
        <v>24948</v>
      </c>
      <c r="G2468" s="5">
        <v>3152532340</v>
      </c>
      <c r="I2468" s="5"/>
    </row>
    <row r="2469" spans="1:9" ht="12.5">
      <c r="A2469" s="5">
        <v>1081829765</v>
      </c>
      <c r="B2469" s="5" t="s">
        <v>23706</v>
      </c>
      <c r="C2469" s="5" t="s">
        <v>24949</v>
      </c>
      <c r="E2469" s="5" t="s">
        <v>2890</v>
      </c>
      <c r="G2469" s="5">
        <v>3127416202</v>
      </c>
      <c r="I2469" s="5" t="s">
        <v>24950</v>
      </c>
    </row>
    <row r="2470" spans="1:9" ht="12.5">
      <c r="A2470" s="5">
        <v>0</v>
      </c>
      <c r="B2470" s="5" t="s">
        <v>23706</v>
      </c>
      <c r="C2470" s="5" t="s">
        <v>24951</v>
      </c>
      <c r="E2470" s="5" t="s">
        <v>3345</v>
      </c>
      <c r="G2470" s="5">
        <v>0</v>
      </c>
      <c r="I2470" s="5"/>
    </row>
    <row r="2471" spans="1:9" ht="12.5">
      <c r="A2471" s="5">
        <v>1045741016</v>
      </c>
      <c r="B2471" s="5" t="s">
        <v>23706</v>
      </c>
      <c r="C2471" s="5" t="s">
        <v>2466</v>
      </c>
      <c r="E2471" s="5" t="s">
        <v>24952</v>
      </c>
      <c r="G2471" s="5">
        <v>3007200904</v>
      </c>
      <c r="I2471" s="5" t="s">
        <v>24953</v>
      </c>
    </row>
    <row r="2472" spans="1:9" ht="12.5">
      <c r="A2472" s="5">
        <v>1042449599</v>
      </c>
      <c r="B2472" s="5" t="s">
        <v>23706</v>
      </c>
      <c r="C2472" s="5" t="s">
        <v>12059</v>
      </c>
      <c r="E2472" s="5" t="s">
        <v>12060</v>
      </c>
      <c r="G2472" s="5">
        <v>3157353624</v>
      </c>
      <c r="I2472" s="5" t="s">
        <v>24954</v>
      </c>
    </row>
    <row r="2473" spans="1:9" ht="12.5">
      <c r="A2473" s="5">
        <v>72343519</v>
      </c>
      <c r="B2473" s="5" t="s">
        <v>23706</v>
      </c>
      <c r="C2473" s="5" t="s">
        <v>12067</v>
      </c>
      <c r="E2473" s="5"/>
      <c r="G2473" s="5">
        <v>3176797380</v>
      </c>
      <c r="I2473" s="5" t="s">
        <v>24955</v>
      </c>
    </row>
    <row r="2474" spans="1:9" ht="12.5">
      <c r="A2474" s="5">
        <v>1243448994</v>
      </c>
      <c r="B2474" s="5" t="s">
        <v>23706</v>
      </c>
      <c r="C2474" s="5" t="s">
        <v>3183</v>
      </c>
      <c r="E2474" s="5"/>
      <c r="G2474" s="5">
        <v>3043190657</v>
      </c>
      <c r="I2474" s="5"/>
    </row>
    <row r="2475" spans="1:9" ht="12.5">
      <c r="A2475" s="5">
        <v>1140838666</v>
      </c>
      <c r="B2475" s="5" t="s">
        <v>23706</v>
      </c>
      <c r="C2475" s="5" t="s">
        <v>12075</v>
      </c>
      <c r="E2475" s="5"/>
      <c r="G2475" s="5">
        <v>3005655483</v>
      </c>
      <c r="I2475" s="5" t="s">
        <v>24956</v>
      </c>
    </row>
    <row r="2476" spans="1:9" ht="12.5">
      <c r="A2476" s="5">
        <v>72345044</v>
      </c>
      <c r="B2476" s="5" t="s">
        <v>23706</v>
      </c>
      <c r="C2476" s="5" t="s">
        <v>12080</v>
      </c>
      <c r="E2476" s="5"/>
      <c r="G2476" s="5">
        <v>3173836934</v>
      </c>
      <c r="I2476" s="5" t="s">
        <v>24957</v>
      </c>
    </row>
    <row r="2477" spans="1:9" ht="12.5">
      <c r="A2477" s="5">
        <v>1041691265</v>
      </c>
      <c r="B2477" s="5" t="s">
        <v>23706</v>
      </c>
      <c r="C2477" s="5" t="s">
        <v>12085</v>
      </c>
      <c r="E2477" s="5"/>
      <c r="G2477" s="5">
        <v>3015199784</v>
      </c>
      <c r="I2477" s="5" t="s">
        <v>24958</v>
      </c>
    </row>
    <row r="2478" spans="1:9" ht="12.5">
      <c r="A2478" s="5">
        <v>1140821972</v>
      </c>
      <c r="B2478" s="5" t="s">
        <v>23706</v>
      </c>
      <c r="C2478" s="5" t="s">
        <v>12092</v>
      </c>
      <c r="E2478" s="5"/>
      <c r="G2478" s="5">
        <v>3007125818</v>
      </c>
      <c r="I2478" s="5" t="s">
        <v>24959</v>
      </c>
    </row>
    <row r="2479" spans="1:9" ht="12.5">
      <c r="A2479" s="5">
        <v>1192747791</v>
      </c>
      <c r="B2479" s="5" t="s">
        <v>23706</v>
      </c>
      <c r="C2479" s="5" t="s">
        <v>12098</v>
      </c>
      <c r="E2479" s="5"/>
      <c r="G2479" s="5">
        <v>3011428262</v>
      </c>
      <c r="I2479" s="5"/>
    </row>
    <row r="2480" spans="1:9" ht="12.5">
      <c r="A2480" s="5">
        <v>1140881312</v>
      </c>
      <c r="B2480" s="5" t="s">
        <v>23706</v>
      </c>
      <c r="C2480" s="5" t="s">
        <v>12100</v>
      </c>
      <c r="E2480" s="5"/>
      <c r="G2480" s="5">
        <v>3104595777</v>
      </c>
      <c r="I2480" s="5" t="s">
        <v>24960</v>
      </c>
    </row>
    <row r="2481" spans="1:9" ht="12.5">
      <c r="A2481" s="5">
        <v>22460782</v>
      </c>
      <c r="B2481" s="5" t="s">
        <v>23706</v>
      </c>
      <c r="C2481" s="5" t="s">
        <v>12103</v>
      </c>
      <c r="E2481" s="5" t="s">
        <v>399</v>
      </c>
      <c r="G2481" s="5">
        <v>3106307990</v>
      </c>
      <c r="I2481" s="5" t="s">
        <v>24961</v>
      </c>
    </row>
    <row r="2482" spans="1:9" ht="12.5">
      <c r="A2482" s="5">
        <v>12345</v>
      </c>
      <c r="B2482" s="5" t="s">
        <v>23706</v>
      </c>
      <c r="C2482" s="5" t="s">
        <v>12541</v>
      </c>
      <c r="E2482" s="5"/>
      <c r="G2482" s="5">
        <v>324595475</v>
      </c>
      <c r="I2482" s="5" t="s">
        <v>24962</v>
      </c>
    </row>
    <row r="2483" spans="1:9" ht="12.5">
      <c r="A2483" s="5">
        <v>123456</v>
      </c>
      <c r="B2483" s="5" t="s">
        <v>23706</v>
      </c>
      <c r="C2483" s="5" t="s">
        <v>13243</v>
      </c>
      <c r="E2483" s="5"/>
      <c r="G2483" s="5">
        <v>3000000001</v>
      </c>
      <c r="I2483" s="5" t="s">
        <v>23970</v>
      </c>
    </row>
    <row r="2484" spans="1:9" ht="12.5">
      <c r="A2484" s="5">
        <v>1140875499</v>
      </c>
      <c r="B2484" s="5" t="s">
        <v>23706</v>
      </c>
      <c r="C2484" s="5" t="s">
        <v>12108</v>
      </c>
      <c r="E2484" s="5"/>
      <c r="G2484" s="5">
        <v>3186953307</v>
      </c>
      <c r="I2484" s="5" t="s">
        <v>24963</v>
      </c>
    </row>
    <row r="2485" spans="1:9" ht="12.5">
      <c r="A2485" s="5">
        <v>1001916787</v>
      </c>
      <c r="B2485" s="5" t="s">
        <v>23706</v>
      </c>
      <c r="C2485" s="5" t="s">
        <v>12123</v>
      </c>
      <c r="E2485" s="5"/>
      <c r="G2485" s="5">
        <v>3175494728</v>
      </c>
      <c r="I2485" s="5" t="s">
        <v>24964</v>
      </c>
    </row>
    <row r="2486" spans="1:9" ht="12.5">
      <c r="A2486" s="5">
        <v>72133478</v>
      </c>
      <c r="B2486" s="5" t="s">
        <v>23706</v>
      </c>
      <c r="C2486" s="5" t="s">
        <v>4482</v>
      </c>
      <c r="E2486" s="5" t="s">
        <v>12128</v>
      </c>
      <c r="G2486" s="5">
        <v>3155681115</v>
      </c>
      <c r="I2486" s="5" t="s">
        <v>24965</v>
      </c>
    </row>
    <row r="2487" spans="1:9" ht="12.5">
      <c r="A2487" s="5">
        <v>1043660260</v>
      </c>
      <c r="B2487" s="5" t="s">
        <v>23706</v>
      </c>
      <c r="C2487" s="5" t="s">
        <v>12135</v>
      </c>
      <c r="E2487" s="5"/>
      <c r="G2487" s="5">
        <v>3207881015</v>
      </c>
      <c r="I2487" s="5" t="s">
        <v>24966</v>
      </c>
    </row>
    <row r="2488" spans="1:9" ht="12.5">
      <c r="A2488" s="5">
        <v>1045756774</v>
      </c>
      <c r="B2488" s="5" t="s">
        <v>23706</v>
      </c>
      <c r="C2488" s="5" t="s">
        <v>12151</v>
      </c>
      <c r="E2488" s="5"/>
      <c r="G2488" s="5">
        <v>3013974702</v>
      </c>
      <c r="I2488" s="5"/>
    </row>
    <row r="2489" spans="1:9" ht="12.5">
      <c r="A2489" s="5">
        <v>1140851520</v>
      </c>
      <c r="B2489" s="5" t="s">
        <v>23706</v>
      </c>
      <c r="C2489" s="5" t="s">
        <v>12161</v>
      </c>
      <c r="E2489" s="5"/>
      <c r="G2489" s="5">
        <v>17867829394</v>
      </c>
      <c r="I2489" s="5" t="s">
        <v>24967</v>
      </c>
    </row>
    <row r="2490" spans="1:9" ht="12.5">
      <c r="A2490" s="5">
        <v>1042849861</v>
      </c>
      <c r="B2490" s="5" t="s">
        <v>23706</v>
      </c>
      <c r="C2490" s="5" t="s">
        <v>12166</v>
      </c>
      <c r="E2490" s="5"/>
      <c r="G2490" s="5">
        <v>3046105529</v>
      </c>
      <c r="I2490" s="5"/>
    </row>
    <row r="2491" spans="1:9" ht="12.5">
      <c r="A2491" s="5">
        <v>1234089061</v>
      </c>
      <c r="B2491" s="5" t="s">
        <v>23706</v>
      </c>
      <c r="C2491" s="5" t="s">
        <v>12171</v>
      </c>
      <c r="E2491" s="5"/>
      <c r="G2491" s="5">
        <v>3105113959</v>
      </c>
      <c r="I2491" s="5" t="s">
        <v>24968</v>
      </c>
    </row>
    <row r="2492" spans="1:9" ht="12.5">
      <c r="A2492" s="5">
        <v>32721126</v>
      </c>
      <c r="B2492" s="5" t="s">
        <v>23706</v>
      </c>
      <c r="C2492" s="5" t="s">
        <v>12177</v>
      </c>
      <c r="E2492" s="5"/>
      <c r="G2492" s="5">
        <v>3152745459</v>
      </c>
      <c r="I2492" s="5" t="s">
        <v>24969</v>
      </c>
    </row>
    <row r="2493" spans="1:9" ht="12.5">
      <c r="A2493" s="5">
        <v>85484435</v>
      </c>
      <c r="B2493" s="5" t="s">
        <v>23706</v>
      </c>
      <c r="C2493" s="5" t="s">
        <v>12182</v>
      </c>
      <c r="E2493" s="5"/>
      <c r="G2493" s="5">
        <v>3135378883</v>
      </c>
      <c r="I2493" s="5" t="s">
        <v>24970</v>
      </c>
    </row>
    <row r="2494" spans="1:9" ht="12.5">
      <c r="A2494" s="5">
        <v>2433623867</v>
      </c>
      <c r="B2494" s="5" t="s">
        <v>23706</v>
      </c>
      <c r="C2494" s="5" t="s">
        <v>12184</v>
      </c>
      <c r="E2494" s="5"/>
      <c r="G2494" s="5">
        <v>0</v>
      </c>
      <c r="I2494" s="5" t="s">
        <v>23941</v>
      </c>
    </row>
    <row r="2495" spans="1:9" ht="12.5">
      <c r="A2495" s="5">
        <v>325448458</v>
      </c>
      <c r="B2495" s="5" t="s">
        <v>23706</v>
      </c>
      <c r="C2495" s="5" t="s">
        <v>12186</v>
      </c>
      <c r="E2495" s="5"/>
      <c r="G2495" s="5">
        <v>3015689656</v>
      </c>
      <c r="I2495" s="5" t="s">
        <v>23941</v>
      </c>
    </row>
    <row r="2496" spans="1:9" ht="12.5">
      <c r="A2496" s="5">
        <v>10425249623</v>
      </c>
      <c r="B2496" s="5" t="s">
        <v>23706</v>
      </c>
      <c r="C2496" s="5" t="s">
        <v>12188</v>
      </c>
      <c r="E2496" s="5"/>
      <c r="G2496" s="5">
        <v>3002267714</v>
      </c>
      <c r="I2496" s="5" t="s">
        <v>24971</v>
      </c>
    </row>
    <row r="2497" spans="1:9" ht="12.5">
      <c r="A2497" s="5">
        <v>55312503</v>
      </c>
      <c r="B2497" s="5" t="s">
        <v>23706</v>
      </c>
      <c r="C2497" s="5" t="s">
        <v>12191</v>
      </c>
      <c r="E2497" s="5"/>
      <c r="G2497" s="5">
        <v>3183638894</v>
      </c>
      <c r="I2497" s="5" t="s">
        <v>24972</v>
      </c>
    </row>
    <row r="2498" spans="1:9" ht="12.5">
      <c r="A2498" s="5">
        <v>1234090047</v>
      </c>
      <c r="B2498" s="5" t="s">
        <v>23706</v>
      </c>
      <c r="C2498" s="5" t="s">
        <v>12196</v>
      </c>
      <c r="E2498" s="5"/>
      <c r="G2498" s="5">
        <v>3183762765</v>
      </c>
      <c r="I2498" s="5" t="s">
        <v>24973</v>
      </c>
    </row>
    <row r="2499" spans="1:9" ht="12.5">
      <c r="A2499" s="5">
        <v>1129536365</v>
      </c>
      <c r="B2499" s="5" t="s">
        <v>23706</v>
      </c>
      <c r="C2499" s="5" t="s">
        <v>12202</v>
      </c>
      <c r="E2499" s="5"/>
      <c r="G2499" s="5">
        <v>3043810703</v>
      </c>
      <c r="I2499" s="5" t="s">
        <v>24974</v>
      </c>
    </row>
    <row r="2500" spans="1:9" ht="12.5">
      <c r="A2500" s="5">
        <v>225550117</v>
      </c>
      <c r="B2500" s="5" t="s">
        <v>23706</v>
      </c>
      <c r="C2500" s="5" t="s">
        <v>12208</v>
      </c>
      <c r="E2500" s="5"/>
      <c r="G2500" s="5">
        <v>3058019565</v>
      </c>
      <c r="I2500" s="5" t="s">
        <v>24975</v>
      </c>
    </row>
    <row r="2501" spans="1:9" ht="12.5">
      <c r="A2501" s="5">
        <v>1098804551</v>
      </c>
      <c r="B2501" s="5" t="s">
        <v>23706</v>
      </c>
      <c r="C2501" s="5" t="s">
        <v>12213</v>
      </c>
      <c r="E2501" s="5"/>
      <c r="G2501" s="5">
        <v>3028371118</v>
      </c>
      <c r="I2501" s="5" t="s">
        <v>24976</v>
      </c>
    </row>
    <row r="2502" spans="1:9" ht="12.5">
      <c r="A2502" s="5">
        <v>1140891157</v>
      </c>
      <c r="B2502" s="5" t="s">
        <v>23706</v>
      </c>
      <c r="C2502" s="5" t="s">
        <v>12216</v>
      </c>
      <c r="E2502" s="5"/>
      <c r="G2502" s="5">
        <v>3116808126</v>
      </c>
      <c r="I2502" s="5" t="s">
        <v>24977</v>
      </c>
    </row>
    <row r="2503" spans="1:9" ht="12.5">
      <c r="A2503" s="5">
        <v>72274839</v>
      </c>
      <c r="B2503" s="5" t="s">
        <v>23706</v>
      </c>
      <c r="C2503" s="5" t="s">
        <v>12221</v>
      </c>
      <c r="E2503" s="5"/>
      <c r="G2503" s="5">
        <v>310573106182</v>
      </c>
      <c r="I2503" s="5" t="s">
        <v>24978</v>
      </c>
    </row>
    <row r="2504" spans="1:9" ht="12.5">
      <c r="A2504" s="5">
        <v>406290</v>
      </c>
      <c r="B2504" s="5" t="s">
        <v>23706</v>
      </c>
      <c r="C2504" s="5" t="s">
        <v>12225</v>
      </c>
      <c r="E2504" s="5"/>
      <c r="G2504" s="5">
        <v>3122504609</v>
      </c>
      <c r="I2504" s="5" t="s">
        <v>24979</v>
      </c>
    </row>
    <row r="2505" spans="1:9" ht="12.5">
      <c r="A2505" s="5">
        <v>1140901009</v>
      </c>
      <c r="B2505" s="5" t="s">
        <v>23706</v>
      </c>
      <c r="C2505" s="5" t="s">
        <v>12235</v>
      </c>
      <c r="E2505" s="5"/>
      <c r="G2505" s="5">
        <v>3016118754</v>
      </c>
      <c r="I2505" s="5" t="s">
        <v>24980</v>
      </c>
    </row>
    <row r="2506" spans="1:9" ht="12.5">
      <c r="A2506" s="5">
        <v>771114</v>
      </c>
      <c r="B2506" s="5" t="s">
        <v>23706</v>
      </c>
      <c r="C2506" s="5" t="s">
        <v>12240</v>
      </c>
      <c r="E2506" s="5"/>
      <c r="G2506" s="5">
        <v>20437335143</v>
      </c>
      <c r="I2506" s="5"/>
    </row>
    <row r="2507" spans="1:9" ht="12.5">
      <c r="A2507" s="5">
        <v>11409010009</v>
      </c>
      <c r="B2507" s="5" t="s">
        <v>23706</v>
      </c>
      <c r="C2507" s="5" t="s">
        <v>24981</v>
      </c>
      <c r="E2507" s="5"/>
      <c r="G2507" s="5">
        <v>3016118754</v>
      </c>
      <c r="I2507" s="5"/>
    </row>
    <row r="2508" spans="1:9" ht="12.5">
      <c r="A2508" s="5">
        <v>1032438107</v>
      </c>
      <c r="B2508" s="5" t="s">
        <v>23706</v>
      </c>
      <c r="C2508" s="5" t="s">
        <v>12244</v>
      </c>
      <c r="E2508" s="5"/>
      <c r="G2508" s="5">
        <v>3167461230</v>
      </c>
      <c r="I2508" s="5"/>
    </row>
    <row r="2509" spans="1:9" ht="12.5">
      <c r="A2509" s="5">
        <v>1081834638</v>
      </c>
      <c r="B2509" s="5" t="s">
        <v>23706</v>
      </c>
      <c r="C2509" s="5" t="s">
        <v>12247</v>
      </c>
      <c r="E2509" s="5"/>
      <c r="G2509" s="5">
        <v>3043802428</v>
      </c>
      <c r="I2509" s="5" t="s">
        <v>24982</v>
      </c>
    </row>
    <row r="2510" spans="1:9" ht="12.5">
      <c r="A2510" s="5">
        <v>72274775</v>
      </c>
      <c r="B2510" s="5" t="s">
        <v>23706</v>
      </c>
      <c r="C2510" s="5" t="s">
        <v>12252</v>
      </c>
      <c r="E2510" s="5"/>
      <c r="G2510" s="5">
        <v>3005433981</v>
      </c>
      <c r="I2510" s="5"/>
    </row>
    <row r="2511" spans="1:9" ht="12.5">
      <c r="A2511" s="5">
        <v>1043662052</v>
      </c>
      <c r="B2511" s="5" t="s">
        <v>23706</v>
      </c>
      <c r="C2511" s="5" t="s">
        <v>12257</v>
      </c>
      <c r="E2511" s="5"/>
      <c r="G2511" s="5">
        <v>3016653789</v>
      </c>
      <c r="I2511" s="5" t="s">
        <v>24983</v>
      </c>
    </row>
    <row r="2512" spans="1:9" ht="12.5">
      <c r="A2512" s="5">
        <v>1144069171</v>
      </c>
      <c r="B2512" s="5" t="s">
        <v>23706</v>
      </c>
      <c r="C2512" s="5" t="s">
        <v>12272</v>
      </c>
      <c r="E2512" s="5"/>
      <c r="G2512" s="5">
        <v>3215653738</v>
      </c>
      <c r="I2512" s="5" t="s">
        <v>24984</v>
      </c>
    </row>
    <row r="2513" spans="1:9" ht="12.5">
      <c r="A2513" s="5">
        <v>1007128683</v>
      </c>
      <c r="B2513" s="5" t="s">
        <v>23706</v>
      </c>
      <c r="C2513" s="5" t="s">
        <v>24985</v>
      </c>
      <c r="E2513" s="5"/>
      <c r="G2513" s="5">
        <v>3002536658</v>
      </c>
      <c r="I2513" s="5" t="s">
        <v>24986</v>
      </c>
    </row>
    <row r="2514" spans="1:9" ht="12.5">
      <c r="A2514" s="5">
        <v>1129575297</v>
      </c>
      <c r="B2514" s="5" t="s">
        <v>23706</v>
      </c>
      <c r="C2514" s="5" t="s">
        <v>12277</v>
      </c>
      <c r="E2514" s="5"/>
      <c r="G2514" s="5">
        <v>3182529107</v>
      </c>
      <c r="I2514" s="5"/>
    </row>
    <row r="2515" spans="1:9" ht="12.5">
      <c r="A2515" s="5">
        <v>1052953536</v>
      </c>
      <c r="B2515" s="5" t="s">
        <v>23706</v>
      </c>
      <c r="C2515" s="5" t="s">
        <v>12278</v>
      </c>
      <c r="E2515" s="5"/>
      <c r="G2515" s="5">
        <v>3008704329</v>
      </c>
      <c r="I2515" s="5" t="s">
        <v>24987</v>
      </c>
    </row>
    <row r="2516" spans="1:9" ht="12.5">
      <c r="A2516" s="5">
        <v>1000547710</v>
      </c>
      <c r="B2516" s="5" t="s">
        <v>23706</v>
      </c>
      <c r="C2516" s="5" t="s">
        <v>12283</v>
      </c>
      <c r="E2516" s="5"/>
      <c r="G2516" s="5">
        <v>3046293299</v>
      </c>
      <c r="I2516" s="5" t="s">
        <v>24988</v>
      </c>
    </row>
    <row r="2517" spans="1:9" ht="12.5">
      <c r="A2517" s="5">
        <v>1052949292</v>
      </c>
      <c r="B2517" s="5" t="s">
        <v>23706</v>
      </c>
      <c r="C2517" s="5" t="s">
        <v>24989</v>
      </c>
      <c r="E2517" s="5"/>
      <c r="G2517" s="5">
        <v>3208460387</v>
      </c>
      <c r="I2517" s="5"/>
    </row>
    <row r="2518" spans="1:9" ht="12.5">
      <c r="A2518" s="5">
        <v>1081910101</v>
      </c>
      <c r="B2518" s="5" t="s">
        <v>23706</v>
      </c>
      <c r="C2518" s="5" t="s">
        <v>12292</v>
      </c>
      <c r="E2518" s="5"/>
      <c r="G2518" s="5">
        <v>3043797446</v>
      </c>
      <c r="I2518" s="5" t="s">
        <v>24990</v>
      </c>
    </row>
    <row r="2519" spans="1:9" ht="12.5">
      <c r="A2519" s="5">
        <v>0</v>
      </c>
      <c r="B2519" s="5" t="s">
        <v>23706</v>
      </c>
      <c r="C2519" s="5" t="s">
        <v>12298</v>
      </c>
      <c r="E2519" s="5"/>
      <c r="G2519" s="5">
        <v>3245908734</v>
      </c>
      <c r="I2519" s="5" t="s">
        <v>24991</v>
      </c>
    </row>
    <row r="2520" spans="1:9" ht="12.5">
      <c r="A2520" s="5">
        <v>72310620</v>
      </c>
      <c r="B2520" s="5" t="s">
        <v>23706</v>
      </c>
      <c r="C2520" s="5" t="s">
        <v>12303</v>
      </c>
      <c r="E2520" s="5"/>
      <c r="G2520" s="5">
        <v>3182575456</v>
      </c>
      <c r="I2520" s="5"/>
    </row>
    <row r="2521" spans="1:9" ht="12.5">
      <c r="A2521" s="5">
        <v>1085291799</v>
      </c>
      <c r="B2521" s="5" t="s">
        <v>23706</v>
      </c>
      <c r="C2521" s="5" t="s">
        <v>12306</v>
      </c>
      <c r="E2521" s="5"/>
      <c r="G2521" s="5">
        <v>3155772759</v>
      </c>
      <c r="I2521" s="5"/>
    </row>
    <row r="2522" spans="1:9" ht="12.5">
      <c r="A2522" s="5">
        <v>1045739256</v>
      </c>
      <c r="B2522" s="5" t="s">
        <v>23706</v>
      </c>
      <c r="C2522" s="5" t="s">
        <v>12312</v>
      </c>
      <c r="E2522" s="5"/>
      <c r="G2522" s="5">
        <v>3116424415</v>
      </c>
      <c r="I2522" s="5" t="s">
        <v>24992</v>
      </c>
    </row>
    <row r="2523" spans="1:9" ht="12.5">
      <c r="A2523" s="5">
        <v>1032492557</v>
      </c>
      <c r="B2523" s="5" t="s">
        <v>23706</v>
      </c>
      <c r="C2523" s="5" t="s">
        <v>12317</v>
      </c>
      <c r="E2523" s="5"/>
      <c r="G2523" s="5">
        <v>3116096099</v>
      </c>
      <c r="I2523" s="5" t="s">
        <v>24993</v>
      </c>
    </row>
    <row r="2524" spans="1:9" ht="12.5">
      <c r="A2524" s="5">
        <v>55312182</v>
      </c>
      <c r="B2524" s="5" t="s">
        <v>23706</v>
      </c>
      <c r="C2524" s="5" t="s">
        <v>12323</v>
      </c>
      <c r="E2524" s="5"/>
      <c r="G2524" s="5">
        <v>3158953242</v>
      </c>
      <c r="I2524" s="5"/>
    </row>
    <row r="2525" spans="1:9" ht="12.5">
      <c r="A2525" s="5">
        <v>1046695990</v>
      </c>
      <c r="B2525" s="5" t="s">
        <v>23706</v>
      </c>
      <c r="C2525" s="5" t="s">
        <v>24994</v>
      </c>
      <c r="E2525" s="5"/>
      <c r="G2525" s="5">
        <v>3144599076</v>
      </c>
      <c r="I2525" s="5" t="s">
        <v>24995</v>
      </c>
    </row>
    <row r="2526" spans="1:9" ht="12.5">
      <c r="A2526" s="5">
        <v>8300332063</v>
      </c>
      <c r="B2526" s="5" t="s">
        <v>23782</v>
      </c>
      <c r="C2526" s="5" t="s">
        <v>12324</v>
      </c>
      <c r="E2526" s="5"/>
      <c r="G2526" s="5">
        <v>6057430792</v>
      </c>
      <c r="I2526" s="5" t="s">
        <v>24996</v>
      </c>
    </row>
    <row r="2527" spans="1:9" ht="12.5">
      <c r="A2527" s="5">
        <v>1004162389</v>
      </c>
      <c r="B2527" s="5" t="s">
        <v>23706</v>
      </c>
      <c r="C2527" s="5" t="s">
        <v>12327</v>
      </c>
      <c r="E2527" s="5"/>
      <c r="G2527" s="5">
        <v>3002871255</v>
      </c>
      <c r="I2527" s="5" t="s">
        <v>24997</v>
      </c>
    </row>
    <row r="2528" spans="1:9" ht="12.5">
      <c r="A2528" s="5">
        <v>32785511</v>
      </c>
      <c r="B2528" s="5" t="s">
        <v>23706</v>
      </c>
      <c r="C2528" s="5" t="s">
        <v>12333</v>
      </c>
      <c r="E2528" s="5"/>
      <c r="G2528" s="5">
        <v>3013637941</v>
      </c>
      <c r="I2528" s="5" t="s">
        <v>24998</v>
      </c>
    </row>
    <row r="2529" spans="1:9" ht="12.5">
      <c r="A2529" s="5">
        <v>72302570</v>
      </c>
      <c r="B2529" s="5" t="s">
        <v>23706</v>
      </c>
      <c r="C2529" s="5" t="s">
        <v>12339</v>
      </c>
      <c r="E2529" s="5"/>
      <c r="G2529" s="5">
        <v>3145954990</v>
      </c>
      <c r="I2529" s="5"/>
    </row>
    <row r="2530" spans="1:9" ht="12.5">
      <c r="A2530" s="5">
        <v>1140859865</v>
      </c>
      <c r="B2530" s="5" t="s">
        <v>23706</v>
      </c>
      <c r="C2530" s="5" t="s">
        <v>12347</v>
      </c>
      <c r="E2530" s="5"/>
      <c r="G2530" s="5">
        <v>3002288111</v>
      </c>
      <c r="I2530" s="5" t="s">
        <v>24999</v>
      </c>
    </row>
    <row r="2531" spans="1:9" ht="12.5">
      <c r="A2531" s="5">
        <v>38602764</v>
      </c>
      <c r="B2531" s="5" t="s">
        <v>23706</v>
      </c>
      <c r="C2531" s="5" t="s">
        <v>12352</v>
      </c>
      <c r="E2531" s="5"/>
      <c r="G2531" s="5">
        <v>3113154998</v>
      </c>
      <c r="I2531" s="5" t="s">
        <v>25000</v>
      </c>
    </row>
    <row r="2532" spans="1:9" ht="12.5">
      <c r="A2532" s="5">
        <v>12715707</v>
      </c>
      <c r="B2532" s="5" t="s">
        <v>23706</v>
      </c>
      <c r="C2532" s="5" t="s">
        <v>12356</v>
      </c>
      <c r="E2532" s="5"/>
      <c r="G2532" s="5">
        <v>3166902233</v>
      </c>
      <c r="I2532" s="5"/>
    </row>
    <row r="2533" spans="1:9" ht="12.5">
      <c r="A2533" s="5">
        <v>1003431353</v>
      </c>
      <c r="B2533" s="5" t="s">
        <v>23706</v>
      </c>
      <c r="C2533" s="5" t="s">
        <v>12359</v>
      </c>
      <c r="E2533" s="5"/>
      <c r="G2533" s="5">
        <v>3008011124</v>
      </c>
      <c r="I2533" s="5"/>
    </row>
    <row r="2534" spans="1:9" ht="12.5">
      <c r="A2534" s="5">
        <v>1129568893</v>
      </c>
      <c r="B2534" s="5" t="s">
        <v>23706</v>
      </c>
      <c r="C2534" s="5" t="s">
        <v>12367</v>
      </c>
      <c r="E2534" s="5"/>
      <c r="G2534" s="5">
        <v>3158836468</v>
      </c>
      <c r="I2534" s="5" t="s">
        <v>25001</v>
      </c>
    </row>
    <row r="2535" spans="1:9" ht="12.5">
      <c r="A2535" s="5">
        <v>1042240347</v>
      </c>
      <c r="B2535" s="5" t="s">
        <v>23706</v>
      </c>
      <c r="C2535" s="5" t="s">
        <v>12377</v>
      </c>
      <c r="E2535" s="5"/>
      <c r="G2535" s="5">
        <v>3002630432</v>
      </c>
      <c r="I2535" s="5" t="s">
        <v>25002</v>
      </c>
    </row>
    <row r="2536" spans="1:9" ht="12.5">
      <c r="A2536" s="5">
        <v>1201213780</v>
      </c>
      <c r="B2536" s="5" t="s">
        <v>23706</v>
      </c>
      <c r="C2536" s="5" t="s">
        <v>12382</v>
      </c>
      <c r="E2536" s="5"/>
      <c r="G2536" s="5">
        <v>3114149344</v>
      </c>
      <c r="I2536" s="5" t="s">
        <v>25003</v>
      </c>
    </row>
    <row r="2537" spans="1:9" ht="12.5">
      <c r="A2537" s="5">
        <v>1047376995</v>
      </c>
      <c r="B2537" s="5" t="s">
        <v>23706</v>
      </c>
      <c r="C2537" s="5" t="s">
        <v>12387</v>
      </c>
      <c r="E2537" s="5"/>
      <c r="G2537" s="5">
        <v>3134561374</v>
      </c>
      <c r="I2537" s="5" t="s">
        <v>25004</v>
      </c>
    </row>
    <row r="2538" spans="1:9" ht="12.5">
      <c r="A2538" s="5">
        <v>901650584</v>
      </c>
      <c r="B2538" s="5" t="s">
        <v>23782</v>
      </c>
      <c r="C2538" s="5" t="s">
        <v>12393</v>
      </c>
      <c r="E2538" s="5"/>
      <c r="G2538" s="5">
        <v>3044192224</v>
      </c>
      <c r="I2538" s="5" t="s">
        <v>25005</v>
      </c>
    </row>
    <row r="2539" spans="1:9" ht="12.5">
      <c r="A2539" s="5">
        <v>1140880400</v>
      </c>
      <c r="B2539" s="5" t="s">
        <v>23706</v>
      </c>
      <c r="C2539" s="5" t="s">
        <v>12398</v>
      </c>
      <c r="E2539" s="5"/>
      <c r="G2539" s="5">
        <v>3052458925</v>
      </c>
      <c r="I2539" s="5" t="s">
        <v>25006</v>
      </c>
    </row>
    <row r="2540" spans="1:9" ht="12.5">
      <c r="A2540" s="5">
        <v>1140845571</v>
      </c>
      <c r="B2540" s="5" t="s">
        <v>23706</v>
      </c>
      <c r="C2540" s="5" t="s">
        <v>12403</v>
      </c>
      <c r="E2540" s="5"/>
      <c r="G2540" s="5">
        <v>3002016272</v>
      </c>
      <c r="I2540" s="5" t="s">
        <v>25007</v>
      </c>
    </row>
    <row r="2541" spans="1:9" ht="12.5">
      <c r="A2541" s="5">
        <v>1127232609</v>
      </c>
      <c r="B2541" s="5" t="s">
        <v>23706</v>
      </c>
      <c r="C2541" s="5" t="s">
        <v>12408</v>
      </c>
      <c r="E2541" s="5"/>
      <c r="G2541" s="5">
        <v>3004589061</v>
      </c>
      <c r="I2541" s="5"/>
    </row>
    <row r="2542" spans="1:9" ht="12.5">
      <c r="A2542" s="5">
        <v>1140836110</v>
      </c>
      <c r="B2542" s="5" t="s">
        <v>23706</v>
      </c>
      <c r="C2542" s="5" t="s">
        <v>12411</v>
      </c>
      <c r="E2542" s="5"/>
      <c r="G2542" s="5">
        <v>3003675967</v>
      </c>
      <c r="I2542" s="5" t="s">
        <v>25008</v>
      </c>
    </row>
    <row r="2543" spans="1:9" ht="12.5">
      <c r="A2543" s="5">
        <v>1069490697</v>
      </c>
      <c r="B2543" s="5" t="s">
        <v>23706</v>
      </c>
      <c r="C2543" s="5" t="s">
        <v>12415</v>
      </c>
      <c r="E2543" s="5"/>
      <c r="G2543" s="5">
        <v>3016810193</v>
      </c>
      <c r="I2543" s="5"/>
    </row>
    <row r="2544" spans="1:9" ht="12.5">
      <c r="A2544" s="5">
        <v>1140874251</v>
      </c>
      <c r="B2544" s="5" t="s">
        <v>23706</v>
      </c>
      <c r="C2544" s="5" t="s">
        <v>12422</v>
      </c>
      <c r="E2544" s="5"/>
      <c r="G2544" s="5">
        <v>3008308739</v>
      </c>
      <c r="I2544" s="5"/>
    </row>
    <row r="2545" spans="1:9" ht="12.5">
      <c r="A2545" s="5">
        <v>22703012</v>
      </c>
      <c r="B2545" s="5" t="s">
        <v>23706</v>
      </c>
      <c r="C2545" s="5" t="s">
        <v>12424</v>
      </c>
      <c r="E2545" s="5"/>
      <c r="G2545" s="5">
        <v>3008156378</v>
      </c>
      <c r="I2545" s="5" t="s">
        <v>25009</v>
      </c>
    </row>
    <row r="2546" spans="1:9" ht="12.5">
      <c r="A2546" s="5">
        <v>1020727235</v>
      </c>
      <c r="B2546" s="5" t="s">
        <v>23706</v>
      </c>
      <c r="C2546" s="5" t="s">
        <v>12434</v>
      </c>
      <c r="E2546" s="5"/>
      <c r="G2546" s="5">
        <v>3107065358</v>
      </c>
      <c r="I2546" s="5" t="s">
        <v>25010</v>
      </c>
    </row>
    <row r="2547" spans="1:9" ht="12.5">
      <c r="A2547" s="5">
        <v>8901150851</v>
      </c>
      <c r="B2547" s="5" t="s">
        <v>23782</v>
      </c>
      <c r="C2547" s="5" t="s">
        <v>12441</v>
      </c>
      <c r="E2547" s="5"/>
      <c r="G2547" s="5">
        <v>3156121072</v>
      </c>
      <c r="I2547" s="5" t="s">
        <v>25011</v>
      </c>
    </row>
    <row r="2548" spans="1:9" ht="12.5">
      <c r="A2548" s="5">
        <v>38877099</v>
      </c>
      <c r="B2548" s="5" t="s">
        <v>23706</v>
      </c>
      <c r="C2548" s="5" t="s">
        <v>25012</v>
      </c>
      <c r="E2548" s="5"/>
      <c r="G2548" s="5">
        <v>3166923621</v>
      </c>
      <c r="I2548" s="5"/>
    </row>
    <row r="2549" spans="1:9" ht="12.5">
      <c r="A2549" s="5">
        <v>1102799554</v>
      </c>
      <c r="B2549" s="5" t="s">
        <v>23706</v>
      </c>
      <c r="C2549" s="5" t="s">
        <v>12446</v>
      </c>
      <c r="E2549" s="5"/>
      <c r="G2549" s="5">
        <v>3163977825</v>
      </c>
      <c r="I2549" s="5" t="s">
        <v>25013</v>
      </c>
    </row>
    <row r="2550" spans="1:9" ht="12.5">
      <c r="A2550" s="5">
        <v>55303491</v>
      </c>
      <c r="B2550" s="5" t="s">
        <v>23706</v>
      </c>
      <c r="C2550" s="5" t="s">
        <v>12452</v>
      </c>
      <c r="E2550" s="5"/>
      <c r="G2550" s="5">
        <v>3103677331</v>
      </c>
      <c r="I2550" s="5"/>
    </row>
    <row r="2551" spans="1:9" ht="12.5">
      <c r="A2551" s="5">
        <v>22523671</v>
      </c>
      <c r="B2551" s="5" t="s">
        <v>23706</v>
      </c>
      <c r="C2551" s="5" t="s">
        <v>12454</v>
      </c>
      <c r="E2551" s="5"/>
      <c r="G2551" s="5">
        <v>3208311214</v>
      </c>
      <c r="I2551" s="5" t="s">
        <v>25014</v>
      </c>
    </row>
    <row r="2552" spans="1:9" ht="12.5">
      <c r="A2552" s="5">
        <v>1001914686</v>
      </c>
      <c r="B2552" s="5" t="s">
        <v>23706</v>
      </c>
      <c r="C2552" s="5" t="s">
        <v>12461</v>
      </c>
      <c r="E2552" s="5"/>
      <c r="G2552" s="5">
        <v>3007516067</v>
      </c>
      <c r="I2552" s="5" t="s">
        <v>25015</v>
      </c>
    </row>
    <row r="2553" spans="1:9" ht="12.5">
      <c r="A2553" s="5">
        <v>1000413078</v>
      </c>
      <c r="B2553" s="5" t="s">
        <v>23706</v>
      </c>
      <c r="C2553" s="5" t="s">
        <v>12467</v>
      </c>
      <c r="E2553" s="5"/>
      <c r="G2553" s="5">
        <v>3148379285</v>
      </c>
      <c r="I2553" s="5" t="s">
        <v>25016</v>
      </c>
    </row>
    <row r="2554" spans="1:9" ht="12.5">
      <c r="A2554" s="5">
        <v>1234567891</v>
      </c>
      <c r="B2554" s="5" t="s">
        <v>23706</v>
      </c>
      <c r="C2554" s="5" t="s">
        <v>5182</v>
      </c>
      <c r="E2554" s="5"/>
      <c r="G2554" s="5">
        <v>3000000002</v>
      </c>
      <c r="I2554" s="5" t="s">
        <v>23970</v>
      </c>
    </row>
    <row r="2555" spans="1:9" ht="12.5">
      <c r="A2555" s="5">
        <v>1002496525</v>
      </c>
      <c r="B2555" s="5" t="s">
        <v>23706</v>
      </c>
      <c r="C2555" s="5" t="s">
        <v>12472</v>
      </c>
      <c r="E2555" s="5"/>
      <c r="G2555" s="5">
        <v>3045917274</v>
      </c>
      <c r="I2555" s="5" t="s">
        <v>25017</v>
      </c>
    </row>
    <row r="2556" spans="1:9" ht="12.5">
      <c r="A2556" s="5">
        <v>1001779236</v>
      </c>
      <c r="B2556" s="5" t="s">
        <v>23706</v>
      </c>
      <c r="C2556" s="5" t="s">
        <v>12477</v>
      </c>
      <c r="E2556" s="5"/>
      <c r="G2556" s="5">
        <v>3015081991</v>
      </c>
      <c r="I2556" s="5" t="s">
        <v>25018</v>
      </c>
    </row>
    <row r="2557" spans="1:9" ht="12.5">
      <c r="A2557" s="5">
        <v>1000285394</v>
      </c>
      <c r="B2557" s="5" t="s">
        <v>23706</v>
      </c>
      <c r="C2557" s="5" t="s">
        <v>12481</v>
      </c>
      <c r="E2557" s="5"/>
      <c r="G2557" s="5">
        <v>3174391102</v>
      </c>
      <c r="I2557" s="5" t="s">
        <v>25019</v>
      </c>
    </row>
    <row r="2558" spans="1:9" ht="12.5">
      <c r="A2558" s="5">
        <v>1052955731</v>
      </c>
      <c r="B2558" s="5" t="s">
        <v>23706</v>
      </c>
      <c r="C2558" s="5" t="s">
        <v>12487</v>
      </c>
      <c r="E2558" s="5"/>
      <c r="G2558" s="5">
        <v>3023783683</v>
      </c>
      <c r="I2558" s="5"/>
    </row>
    <row r="2559" spans="1:9" ht="12.5">
      <c r="A2559" s="5">
        <v>1140885324</v>
      </c>
      <c r="B2559" s="5" t="s">
        <v>23706</v>
      </c>
      <c r="C2559" s="5" t="s">
        <v>12498</v>
      </c>
      <c r="E2559" s="5"/>
      <c r="G2559" s="5">
        <v>3135743603</v>
      </c>
      <c r="I2559" s="5" t="s">
        <v>25020</v>
      </c>
    </row>
    <row r="2560" spans="1:9" ht="12.5">
      <c r="A2560" s="5">
        <v>1036937207</v>
      </c>
      <c r="B2560" s="5" t="s">
        <v>23706</v>
      </c>
      <c r="C2560" s="5" t="s">
        <v>12503</v>
      </c>
      <c r="E2560" s="5"/>
      <c r="G2560" s="5">
        <v>3008481430</v>
      </c>
      <c r="I2560" s="5" t="s">
        <v>25021</v>
      </c>
    </row>
    <row r="2561" spans="1:9" ht="12.5">
      <c r="A2561" s="5">
        <v>3746052</v>
      </c>
      <c r="B2561" s="5" t="s">
        <v>23706</v>
      </c>
      <c r="C2561" s="5" t="s">
        <v>12511</v>
      </c>
      <c r="E2561" s="5"/>
      <c r="G2561" s="5">
        <v>17862237177</v>
      </c>
      <c r="I2561" s="5" t="s">
        <v>25022</v>
      </c>
    </row>
    <row r="2562" spans="1:9" ht="12.5">
      <c r="A2562" s="5">
        <v>51918184</v>
      </c>
      <c r="B2562" s="5" t="s">
        <v>23706</v>
      </c>
      <c r="C2562" s="5" t="s">
        <v>12514</v>
      </c>
      <c r="E2562" s="5"/>
      <c r="G2562" s="5">
        <v>3015442537</v>
      </c>
      <c r="I2562" s="5"/>
    </row>
    <row r="2563" spans="1:9" ht="12.5">
      <c r="A2563" s="5">
        <v>1001942611</v>
      </c>
      <c r="B2563" s="5" t="s">
        <v>23706</v>
      </c>
      <c r="C2563" s="5" t="s">
        <v>12521</v>
      </c>
      <c r="E2563" s="5"/>
      <c r="G2563" s="5">
        <v>3024123750</v>
      </c>
      <c r="I2563" s="5" t="s">
        <v>25023</v>
      </c>
    </row>
    <row r="2564" spans="1:9" ht="12.5">
      <c r="A2564" s="5">
        <v>1048207789</v>
      </c>
      <c r="B2564" s="5" t="s">
        <v>23706</v>
      </c>
      <c r="C2564" s="5" t="s">
        <v>12526</v>
      </c>
      <c r="E2564" s="5"/>
      <c r="G2564" s="5">
        <v>3136726588</v>
      </c>
      <c r="I2564" s="5"/>
    </row>
    <row r="2565" spans="1:9" ht="12.5">
      <c r="A2565" s="5">
        <v>1140865281</v>
      </c>
      <c r="B2565" s="5" t="s">
        <v>23706</v>
      </c>
      <c r="C2565" s="5" t="s">
        <v>12531</v>
      </c>
      <c r="E2565" s="5"/>
      <c r="G2565" s="5">
        <v>3168263210</v>
      </c>
      <c r="I2565" s="5" t="s">
        <v>25024</v>
      </c>
    </row>
    <row r="2566" spans="1:9" ht="12.5">
      <c r="A2566" s="5">
        <v>1152456370</v>
      </c>
      <c r="B2566" s="5" t="s">
        <v>23706</v>
      </c>
      <c r="C2566" s="5" t="s">
        <v>12534</v>
      </c>
      <c r="E2566" s="5"/>
      <c r="G2566" s="5">
        <v>3104268528</v>
      </c>
      <c r="I2566" s="5" t="s">
        <v>25025</v>
      </c>
    </row>
    <row r="2567" spans="1:9" ht="12.5">
      <c r="A2567" s="5">
        <v>1002501607</v>
      </c>
      <c r="B2567" s="5" t="s">
        <v>23706</v>
      </c>
      <c r="C2567" s="5" t="s">
        <v>12546</v>
      </c>
      <c r="E2567" s="5"/>
      <c r="G2567" s="5">
        <v>3014122835</v>
      </c>
      <c r="I2567" s="5"/>
    </row>
    <row r="2568" spans="1:9" ht="12.5">
      <c r="A2568" s="5">
        <v>1120739169</v>
      </c>
      <c r="B2568" s="5" t="s">
        <v>23706</v>
      </c>
      <c r="C2568" s="5" t="s">
        <v>12557</v>
      </c>
      <c r="E2568" s="5"/>
      <c r="G2568" s="5">
        <v>3155868116</v>
      </c>
      <c r="I2568" s="5" t="s">
        <v>25026</v>
      </c>
    </row>
    <row r="2569" spans="1:9" ht="12.5">
      <c r="A2569" s="5">
        <v>1129575177</v>
      </c>
      <c r="B2569" s="5" t="s">
        <v>23706</v>
      </c>
      <c r="C2569" s="5" t="s">
        <v>9132</v>
      </c>
      <c r="E2569" s="5"/>
      <c r="G2569" s="5">
        <v>3017542841</v>
      </c>
      <c r="I2569" s="5" t="s">
        <v>25027</v>
      </c>
    </row>
    <row r="2570" spans="1:9" ht="12.5">
      <c r="A2570" s="5">
        <v>1129579301</v>
      </c>
      <c r="B2570" s="5" t="s">
        <v>23706</v>
      </c>
      <c r="C2570" s="5" t="s">
        <v>12572</v>
      </c>
      <c r="E2570" s="5"/>
      <c r="G2570" s="5">
        <v>3007878893</v>
      </c>
      <c r="I2570" s="5" t="s">
        <v>25028</v>
      </c>
    </row>
    <row r="2571" spans="1:9" ht="12.5">
      <c r="A2571" s="5">
        <v>1001993797</v>
      </c>
      <c r="B2571" s="5" t="s">
        <v>23706</v>
      </c>
      <c r="C2571" s="5" t="s">
        <v>12577</v>
      </c>
      <c r="E2571" s="5"/>
      <c r="G2571" s="5">
        <v>3003346799</v>
      </c>
      <c r="I2571" s="5" t="s">
        <v>25029</v>
      </c>
    </row>
    <row r="2572" spans="1:9" ht="12.5">
      <c r="A2572" s="5">
        <v>1001098497</v>
      </c>
      <c r="B2572" s="5" t="s">
        <v>23706</v>
      </c>
      <c r="C2572" s="5" t="s">
        <v>12583</v>
      </c>
      <c r="E2572" s="5"/>
      <c r="G2572" s="5">
        <v>3046786780</v>
      </c>
      <c r="I2572" s="5" t="s">
        <v>25030</v>
      </c>
    </row>
    <row r="2573" spans="1:9" ht="12.5">
      <c r="A2573" s="5">
        <v>72357076</v>
      </c>
      <c r="B2573" s="5" t="s">
        <v>23706</v>
      </c>
      <c r="C2573" s="5" t="s">
        <v>12588</v>
      </c>
      <c r="E2573" s="5"/>
      <c r="G2573" s="5">
        <v>3013573091</v>
      </c>
      <c r="I2573" s="5"/>
    </row>
    <row r="2574" spans="1:9" ht="12.5">
      <c r="A2574" s="5">
        <v>1002153687</v>
      </c>
      <c r="B2574" s="5" t="s">
        <v>23706</v>
      </c>
      <c r="C2574" s="5" t="s">
        <v>12591</v>
      </c>
      <c r="E2574" s="5"/>
      <c r="G2574" s="5">
        <v>3023611833</v>
      </c>
      <c r="I2574" s="5" t="s">
        <v>25031</v>
      </c>
    </row>
    <row r="2575" spans="1:9" ht="12.5">
      <c r="A2575" s="5">
        <v>55304043</v>
      </c>
      <c r="B2575" s="5" t="s">
        <v>23706</v>
      </c>
      <c r="C2575" s="5" t="s">
        <v>12600</v>
      </c>
      <c r="E2575" s="5"/>
      <c r="G2575" s="5">
        <v>12676373606</v>
      </c>
      <c r="I2575" s="5"/>
    </row>
    <row r="2576" spans="1:9" ht="12.5">
      <c r="A2576" s="5">
        <v>9102992</v>
      </c>
      <c r="B2576" s="5" t="s">
        <v>23706</v>
      </c>
      <c r="C2576" s="5" t="s">
        <v>12603</v>
      </c>
      <c r="E2576" s="5"/>
      <c r="G2576" s="5">
        <v>3007175473</v>
      </c>
      <c r="I2576" s="5"/>
    </row>
    <row r="2577" spans="1:9" ht="12.5">
      <c r="A2577" s="5">
        <v>1140856436</v>
      </c>
      <c r="B2577" s="5" t="s">
        <v>23706</v>
      </c>
      <c r="C2577" s="5" t="s">
        <v>12611</v>
      </c>
      <c r="E2577" s="5"/>
      <c r="G2577" s="5">
        <v>3014232454</v>
      </c>
      <c r="I2577" s="5" t="s">
        <v>25032</v>
      </c>
    </row>
    <row r="2578" spans="1:9" ht="12.5">
      <c r="A2578" s="5">
        <v>1002030932</v>
      </c>
      <c r="B2578" s="5" t="s">
        <v>23706</v>
      </c>
      <c r="C2578" s="5" t="s">
        <v>12613</v>
      </c>
      <c r="E2578" s="5"/>
      <c r="G2578" s="5">
        <v>3005912102</v>
      </c>
      <c r="I2578" s="5" t="s">
        <v>25033</v>
      </c>
    </row>
    <row r="2579" spans="1:9" ht="12.5">
      <c r="A2579" s="5">
        <v>1042349936</v>
      </c>
      <c r="B2579" s="5" t="s">
        <v>23706</v>
      </c>
      <c r="C2579" s="5" t="s">
        <v>12618</v>
      </c>
      <c r="E2579" s="5"/>
      <c r="G2579" s="5">
        <v>3004483338</v>
      </c>
      <c r="I2579" s="5" t="s">
        <v>25034</v>
      </c>
    </row>
    <row r="2580" spans="1:9" ht="12.5">
      <c r="A2580" s="5">
        <v>32669257</v>
      </c>
      <c r="B2580" s="5" t="s">
        <v>23706</v>
      </c>
      <c r="C2580" s="5" t="s">
        <v>12623</v>
      </c>
      <c r="E2580" s="5"/>
      <c r="G2580" s="5">
        <v>3215104708</v>
      </c>
      <c r="I2580" s="5"/>
    </row>
    <row r="2581" spans="1:9" ht="12.5">
      <c r="A2581" s="5">
        <v>1083569331</v>
      </c>
      <c r="B2581" s="5" t="s">
        <v>23706</v>
      </c>
      <c r="C2581" s="5" t="s">
        <v>12629</v>
      </c>
      <c r="E2581" s="5"/>
      <c r="G2581" s="5">
        <v>3112024333</v>
      </c>
      <c r="I2581" s="5" t="s">
        <v>25035</v>
      </c>
    </row>
    <row r="2582" spans="1:9" ht="12.5">
      <c r="A2582" s="5">
        <v>1130267764</v>
      </c>
      <c r="B2582" s="5" t="s">
        <v>23706</v>
      </c>
      <c r="C2582" s="5" t="s">
        <v>12636</v>
      </c>
      <c r="E2582" s="5"/>
      <c r="G2582" s="5">
        <v>3150646495</v>
      </c>
      <c r="I2582" s="5" t="s">
        <v>25036</v>
      </c>
    </row>
    <row r="2583" spans="1:9" ht="12.5">
      <c r="A2583" s="5">
        <v>1140878155</v>
      </c>
      <c r="B2583" s="5" t="s">
        <v>23706</v>
      </c>
      <c r="C2583" s="5" t="s">
        <v>12632</v>
      </c>
      <c r="E2583" s="5"/>
      <c r="G2583" s="5">
        <v>3206821734</v>
      </c>
      <c r="I2583" s="5" t="s">
        <v>25037</v>
      </c>
    </row>
    <row r="2584" spans="1:9" ht="12.5">
      <c r="A2584" s="5">
        <v>1057576290</v>
      </c>
      <c r="B2584" s="5" t="s">
        <v>23706</v>
      </c>
      <c r="C2584" s="5" t="s">
        <v>12641</v>
      </c>
      <c r="E2584" s="5"/>
      <c r="G2584" s="5">
        <v>3143468896</v>
      </c>
      <c r="I2584" s="5"/>
    </row>
    <row r="2585" spans="1:9" ht="12.5">
      <c r="A2585" s="5">
        <v>1140826224</v>
      </c>
      <c r="B2585" s="5" t="s">
        <v>23706</v>
      </c>
      <c r="C2585" s="5" t="s">
        <v>12648</v>
      </c>
      <c r="E2585" s="5"/>
      <c r="G2585" s="5">
        <v>3013640035</v>
      </c>
      <c r="I2585" s="5" t="s">
        <v>25038</v>
      </c>
    </row>
    <row r="2586" spans="1:9" ht="12.5">
      <c r="A2586" s="5">
        <v>1045716795</v>
      </c>
      <c r="B2586" s="5" t="s">
        <v>23706</v>
      </c>
      <c r="C2586" s="5" t="s">
        <v>12654</v>
      </c>
      <c r="E2586" s="5"/>
      <c r="G2586" s="5">
        <v>3003242193</v>
      </c>
      <c r="I2586" s="5"/>
    </row>
    <row r="2587" spans="1:9" ht="12.5">
      <c r="A2587" s="5">
        <v>1129539363</v>
      </c>
      <c r="B2587" s="5" t="s">
        <v>23706</v>
      </c>
      <c r="C2587" s="5" t="s">
        <v>12656</v>
      </c>
      <c r="E2587" s="5"/>
      <c r="G2587" s="5">
        <v>3012354673</v>
      </c>
      <c r="I2587" s="5"/>
    </row>
    <row r="2588" spans="1:9" ht="12.5">
      <c r="A2588" s="5">
        <v>1129571603</v>
      </c>
      <c r="B2588" s="5" t="s">
        <v>23706</v>
      </c>
      <c r="C2588" s="5" t="s">
        <v>12658</v>
      </c>
      <c r="E2588" s="5"/>
      <c r="G2588" s="5">
        <v>3002145559</v>
      </c>
      <c r="I2588" s="5"/>
    </row>
    <row r="2589" spans="1:9" ht="12.5">
      <c r="A2589" s="5">
        <v>1002153616</v>
      </c>
      <c r="B2589" s="5" t="s">
        <v>23706</v>
      </c>
      <c r="C2589" s="5" t="s">
        <v>12659</v>
      </c>
      <c r="E2589" s="5"/>
      <c r="G2589" s="5">
        <v>3043363727</v>
      </c>
      <c r="I2589" s="5" t="s">
        <v>25039</v>
      </c>
    </row>
    <row r="2590" spans="1:9" ht="12.5">
      <c r="A2590" s="5">
        <v>1129572418</v>
      </c>
      <c r="B2590" s="5" t="s">
        <v>23706</v>
      </c>
      <c r="C2590" s="5" t="s">
        <v>4302</v>
      </c>
      <c r="E2590" s="5"/>
      <c r="G2590" s="5">
        <v>3502184252</v>
      </c>
      <c r="I2590" s="5"/>
    </row>
    <row r="2591" spans="1:9" ht="12.5">
      <c r="A2591" s="5">
        <v>1082872027</v>
      </c>
      <c r="B2591" s="5" t="s">
        <v>23706</v>
      </c>
      <c r="C2591" s="5" t="s">
        <v>12671</v>
      </c>
      <c r="E2591" s="5"/>
      <c r="G2591" s="5">
        <v>3015503066</v>
      </c>
      <c r="I2591" s="5" t="s">
        <v>25040</v>
      </c>
    </row>
    <row r="2592" spans="1:9" ht="12.5">
      <c r="A2592" s="5">
        <v>32737160</v>
      </c>
      <c r="B2592" s="5" t="s">
        <v>23706</v>
      </c>
      <c r="C2592" s="5" t="s">
        <v>12676</v>
      </c>
      <c r="E2592" s="5"/>
      <c r="G2592" s="5">
        <v>3175019534</v>
      </c>
      <c r="I2592" s="5"/>
    </row>
    <row r="2593" spans="1:9" ht="12.5">
      <c r="A2593" s="5">
        <v>1140819426</v>
      </c>
      <c r="B2593" s="5" t="s">
        <v>23706</v>
      </c>
      <c r="C2593" s="5" t="s">
        <v>12689</v>
      </c>
      <c r="E2593" s="5"/>
      <c r="G2593" s="5">
        <v>30753015587628</v>
      </c>
      <c r="I2593" s="5" t="s">
        <v>25041</v>
      </c>
    </row>
    <row r="2594" spans="1:9" ht="12.5">
      <c r="A2594" s="5">
        <v>1001780268</v>
      </c>
      <c r="B2594" s="5" t="s">
        <v>23706</v>
      </c>
      <c r="C2594" s="5" t="s">
        <v>12694</v>
      </c>
      <c r="E2594" s="5"/>
      <c r="G2594" s="5">
        <v>3004727883</v>
      </c>
      <c r="I2594" s="5" t="s">
        <v>25042</v>
      </c>
    </row>
    <row r="2595" spans="1:9" ht="12.5">
      <c r="A2595" s="5">
        <v>1045740115</v>
      </c>
      <c r="B2595" s="5" t="s">
        <v>23706</v>
      </c>
      <c r="C2595" s="5" t="s">
        <v>12695</v>
      </c>
      <c r="E2595" s="5"/>
      <c r="G2595" s="5">
        <v>3013112313</v>
      </c>
      <c r="I2595" s="5"/>
    </row>
    <row r="2596" spans="1:9" ht="12.5">
      <c r="A2596" s="5">
        <v>1140889032</v>
      </c>
      <c r="B2596" s="5" t="s">
        <v>23706</v>
      </c>
      <c r="C2596" s="5" t="s">
        <v>12697</v>
      </c>
      <c r="E2596" s="5"/>
      <c r="G2596" s="5">
        <v>3013955650</v>
      </c>
      <c r="I2596" s="5" t="s">
        <v>25043</v>
      </c>
    </row>
    <row r="2597" spans="1:9" ht="12.5">
      <c r="A2597" s="5">
        <v>900219834</v>
      </c>
      <c r="B2597" s="5" t="s">
        <v>23782</v>
      </c>
      <c r="C2597" s="5" t="s">
        <v>12704</v>
      </c>
      <c r="E2597" s="5"/>
      <c r="G2597" s="5">
        <v>77273122717727</v>
      </c>
      <c r="I2597" s="5" t="s">
        <v>25044</v>
      </c>
    </row>
    <row r="2598" spans="1:9" ht="12.5">
      <c r="A2598" s="5">
        <v>1044431882</v>
      </c>
      <c r="B2598" s="5" t="s">
        <v>23706</v>
      </c>
      <c r="C2598" s="5" t="s">
        <v>12708</v>
      </c>
      <c r="E2598" s="5"/>
      <c r="G2598" s="5">
        <v>3054873630</v>
      </c>
      <c r="I2598" s="5" t="s">
        <v>25045</v>
      </c>
    </row>
    <row r="2599" spans="1:9" ht="12.5">
      <c r="A2599" s="5">
        <v>1045719977</v>
      </c>
      <c r="B2599" s="5" t="s">
        <v>23706</v>
      </c>
      <c r="C2599" s="5" t="s">
        <v>12713</v>
      </c>
      <c r="E2599" s="5"/>
      <c r="G2599" s="5">
        <v>3023279441</v>
      </c>
      <c r="I2599" s="5" t="s">
        <v>25046</v>
      </c>
    </row>
    <row r="2600" spans="1:9" ht="12.5">
      <c r="A2600" s="5">
        <v>1140872463</v>
      </c>
      <c r="B2600" s="5" t="s">
        <v>23706</v>
      </c>
      <c r="C2600" s="5" t="s">
        <v>12718</v>
      </c>
      <c r="E2600" s="5"/>
      <c r="G2600" s="5">
        <v>3014785425</v>
      </c>
      <c r="I2600" s="5" t="s">
        <v>25047</v>
      </c>
    </row>
    <row r="2601" spans="1:9" ht="12.5">
      <c r="A2601" s="5">
        <v>1073323781</v>
      </c>
      <c r="B2601" s="5" t="s">
        <v>23706</v>
      </c>
      <c r="C2601" s="5" t="s">
        <v>12721</v>
      </c>
      <c r="E2601" s="5"/>
      <c r="G2601" s="5">
        <v>3104411771</v>
      </c>
      <c r="I2601" s="5" t="s">
        <v>25048</v>
      </c>
    </row>
    <row r="2602" spans="1:9" ht="12.5">
      <c r="A2602" s="5">
        <v>1220467755</v>
      </c>
      <c r="B2602" s="5" t="s">
        <v>23706</v>
      </c>
      <c r="C2602" s="5" t="s">
        <v>12727</v>
      </c>
      <c r="E2602" s="5"/>
      <c r="G2602" s="5">
        <v>3107936885</v>
      </c>
      <c r="I2602" s="5" t="s">
        <v>25049</v>
      </c>
    </row>
    <row r="2603" spans="1:9" ht="12.5">
      <c r="A2603" s="5">
        <v>52706362</v>
      </c>
      <c r="B2603" s="5" t="s">
        <v>23706</v>
      </c>
      <c r="C2603" s="5" t="s">
        <v>12740</v>
      </c>
      <c r="E2603" s="5"/>
      <c r="G2603" s="5">
        <v>3112119748</v>
      </c>
      <c r="I2603" s="5" t="s">
        <v>25050</v>
      </c>
    </row>
    <row r="2604" spans="1:9" ht="12.5">
      <c r="A2604" s="5">
        <v>1140848726</v>
      </c>
      <c r="B2604" s="5" t="s">
        <v>23706</v>
      </c>
      <c r="C2604" s="5" t="s">
        <v>13663</v>
      </c>
      <c r="E2604" s="5"/>
      <c r="G2604" s="5">
        <v>3138831564</v>
      </c>
      <c r="I2604" s="5" t="s">
        <v>25051</v>
      </c>
    </row>
    <row r="2605" spans="1:9" ht="12.5">
      <c r="A2605" s="5">
        <v>1234090849</v>
      </c>
      <c r="B2605" s="5" t="s">
        <v>23706</v>
      </c>
      <c r="C2605" s="5" t="s">
        <v>12748</v>
      </c>
      <c r="E2605" s="5"/>
      <c r="G2605" s="5">
        <v>3147013180</v>
      </c>
      <c r="I2605" s="5" t="s">
        <v>25052</v>
      </c>
    </row>
    <row r="2606" spans="1:9" ht="12.5">
      <c r="A2606" s="5">
        <v>900630914</v>
      </c>
      <c r="B2606" s="5" t="s">
        <v>23782</v>
      </c>
      <c r="C2606" s="5" t="s">
        <v>12758</v>
      </c>
      <c r="E2606" s="5"/>
      <c r="G2606" s="5">
        <v>3005984919</v>
      </c>
      <c r="I2606" s="5" t="s">
        <v>25053</v>
      </c>
    </row>
    <row r="2607" spans="1:9" ht="12.5">
      <c r="A2607" s="5">
        <v>1143155486</v>
      </c>
      <c r="B2607" s="5" t="s">
        <v>23706</v>
      </c>
      <c r="C2607" s="5" t="s">
        <v>12765</v>
      </c>
      <c r="E2607" s="5"/>
      <c r="G2607" s="5">
        <v>3006476723</v>
      </c>
      <c r="I2607" s="5" t="s">
        <v>25054</v>
      </c>
    </row>
    <row r="2608" spans="1:9" ht="12.5">
      <c r="A2608" s="5">
        <v>91439880</v>
      </c>
      <c r="B2608" s="5" t="s">
        <v>23706</v>
      </c>
      <c r="C2608" s="5" t="s">
        <v>12769</v>
      </c>
      <c r="E2608" s="5"/>
      <c r="G2608" s="5">
        <v>3104459063</v>
      </c>
      <c r="I2608" s="5" t="s">
        <v>25055</v>
      </c>
    </row>
    <row r="2609" spans="1:9" ht="12.5">
      <c r="A2609" s="5">
        <v>1004361992</v>
      </c>
      <c r="B2609" s="5" t="s">
        <v>23706</v>
      </c>
      <c r="C2609" s="5" t="s">
        <v>12774</v>
      </c>
      <c r="E2609" s="5"/>
      <c r="G2609" s="5">
        <v>3209535750</v>
      </c>
      <c r="I2609" s="5" t="s">
        <v>25056</v>
      </c>
    </row>
    <row r="2610" spans="1:9" ht="12.5">
      <c r="A2610" s="5">
        <v>119234547</v>
      </c>
      <c r="B2610" s="5" t="s">
        <v>23706</v>
      </c>
      <c r="C2610" s="5" t="s">
        <v>25057</v>
      </c>
      <c r="E2610" s="5"/>
      <c r="G2610" s="5">
        <v>3221456584</v>
      </c>
      <c r="I2610" s="5" t="s">
        <v>25058</v>
      </c>
    </row>
    <row r="2611" spans="1:9" ht="12.5">
      <c r="A2611" s="5">
        <v>1140882555</v>
      </c>
      <c r="B2611" s="5" t="s">
        <v>23706</v>
      </c>
      <c r="C2611" s="5" t="s">
        <v>12778</v>
      </c>
      <c r="E2611" s="5"/>
      <c r="G2611" s="5">
        <v>3205174458</v>
      </c>
      <c r="I2611" s="5" t="s">
        <v>25059</v>
      </c>
    </row>
    <row r="2612" spans="1:9" ht="12.5">
      <c r="A2612" s="5">
        <v>1002025882</v>
      </c>
      <c r="B2612" s="5" t="s">
        <v>23706</v>
      </c>
      <c r="C2612" s="5" t="s">
        <v>12783</v>
      </c>
      <c r="E2612" s="5"/>
      <c r="G2612" s="5">
        <v>3125657807</v>
      </c>
      <c r="I2612" s="5" t="s">
        <v>25060</v>
      </c>
    </row>
    <row r="2613" spans="1:9" ht="12.5">
      <c r="A2613" s="5">
        <v>1065828743</v>
      </c>
      <c r="B2613" s="5" t="s">
        <v>23706</v>
      </c>
      <c r="C2613" s="5" t="s">
        <v>12787</v>
      </c>
      <c r="E2613" s="5"/>
      <c r="G2613" s="5">
        <v>3012563710</v>
      </c>
      <c r="I2613" s="5" t="s">
        <v>25061</v>
      </c>
    </row>
    <row r="2614" spans="1:9" ht="12.5">
      <c r="A2614" s="5">
        <v>1234092378</v>
      </c>
      <c r="B2614" s="5" t="s">
        <v>23706</v>
      </c>
      <c r="C2614" s="5" t="s">
        <v>2894</v>
      </c>
      <c r="E2614" s="5"/>
      <c r="G2614" s="5">
        <v>3007729657</v>
      </c>
      <c r="I2614" s="5" t="s">
        <v>25062</v>
      </c>
    </row>
    <row r="2615" spans="1:9" ht="12.5">
      <c r="A2615" s="5">
        <v>1047044452</v>
      </c>
      <c r="B2615" s="5" t="s">
        <v>23706</v>
      </c>
      <c r="C2615" s="5" t="s">
        <v>12796</v>
      </c>
      <c r="E2615" s="5"/>
      <c r="G2615" s="5">
        <v>3153995975</v>
      </c>
      <c r="I2615" s="5" t="s">
        <v>25063</v>
      </c>
    </row>
    <row r="2616" spans="1:9" ht="12.5">
      <c r="A2616" s="5">
        <v>1044211569</v>
      </c>
      <c r="B2616" s="5" t="s">
        <v>23706</v>
      </c>
      <c r="C2616" s="5" t="s">
        <v>12800</v>
      </c>
      <c r="E2616" s="5"/>
      <c r="G2616" s="5">
        <v>31165334</v>
      </c>
      <c r="I2616" s="5" t="s">
        <v>25064</v>
      </c>
    </row>
    <row r="2617" spans="1:9" ht="12.5">
      <c r="A2617" s="5">
        <v>1140829561</v>
      </c>
      <c r="B2617" s="5" t="s">
        <v>23706</v>
      </c>
      <c r="C2617" s="5" t="s">
        <v>12805</v>
      </c>
      <c r="E2617" s="5"/>
      <c r="G2617" s="5">
        <v>3013512007</v>
      </c>
      <c r="I2617" s="5" t="s">
        <v>25065</v>
      </c>
    </row>
    <row r="2618" spans="1:9" ht="12.5">
      <c r="A2618" s="5">
        <v>1123992288</v>
      </c>
      <c r="B2618" s="5" t="s">
        <v>23706</v>
      </c>
      <c r="C2618" s="5" t="s">
        <v>12808</v>
      </c>
      <c r="E2618" s="5"/>
      <c r="G2618" s="5">
        <v>3206407364</v>
      </c>
      <c r="I2618" s="5"/>
    </row>
    <row r="2619" spans="1:9" ht="12.5">
      <c r="A2619" s="5">
        <v>72288337</v>
      </c>
      <c r="B2619" s="5" t="s">
        <v>23706</v>
      </c>
      <c r="C2619" s="5" t="s">
        <v>12811</v>
      </c>
      <c r="E2619" s="5"/>
      <c r="G2619" s="5">
        <v>3202773972</v>
      </c>
      <c r="I2619" s="5" t="s">
        <v>25066</v>
      </c>
    </row>
    <row r="2620" spans="1:9" ht="12.5">
      <c r="A2620" s="5">
        <v>1051673967</v>
      </c>
      <c r="B2620" s="5" t="s">
        <v>23706</v>
      </c>
      <c r="C2620" s="5" t="s">
        <v>12815</v>
      </c>
      <c r="E2620" s="5"/>
      <c r="G2620" s="5">
        <v>3135319170</v>
      </c>
      <c r="I2620" s="5" t="s">
        <v>25067</v>
      </c>
    </row>
    <row r="2621" spans="1:9" ht="12.5">
      <c r="A2621" s="5">
        <v>1001870912</v>
      </c>
      <c r="B2621" s="5" t="s">
        <v>23706</v>
      </c>
      <c r="C2621" s="5" t="s">
        <v>12820</v>
      </c>
      <c r="E2621" s="5"/>
      <c r="G2621" s="5">
        <v>3003794304</v>
      </c>
      <c r="I2621" s="5"/>
    </row>
    <row r="2622" spans="1:9" ht="12.5">
      <c r="A2622" s="5">
        <v>1140890127</v>
      </c>
      <c r="B2622" s="5" t="s">
        <v>23706</v>
      </c>
      <c r="C2622" s="5" t="s">
        <v>12826</v>
      </c>
      <c r="E2622" s="5"/>
      <c r="G2622" s="5">
        <v>3192220437</v>
      </c>
      <c r="I2622" s="5" t="s">
        <v>25068</v>
      </c>
    </row>
    <row r="2623" spans="1:9" ht="12.5">
      <c r="A2623" s="5">
        <v>900588216</v>
      </c>
      <c r="B2623" s="5" t="s">
        <v>23782</v>
      </c>
      <c r="C2623" s="5" t="s">
        <v>12822</v>
      </c>
      <c r="E2623" s="5"/>
      <c r="G2623" s="5">
        <v>3188044510</v>
      </c>
      <c r="I2623" s="5" t="s">
        <v>25069</v>
      </c>
    </row>
    <row r="2624" spans="1:9" ht="12.5">
      <c r="A2624" s="5">
        <v>80192114</v>
      </c>
      <c r="B2624" s="5" t="s">
        <v>23706</v>
      </c>
      <c r="C2624" s="5" t="s">
        <v>12831</v>
      </c>
      <c r="E2624" s="5"/>
      <c r="G2624" s="5">
        <v>3103232252</v>
      </c>
      <c r="I2624" s="5" t="s">
        <v>25070</v>
      </c>
    </row>
    <row r="2625" spans="1:9" ht="12.5">
      <c r="A2625" s="5">
        <v>1140883982</v>
      </c>
      <c r="B2625" s="5" t="s">
        <v>23706</v>
      </c>
      <c r="C2625" s="5" t="s">
        <v>12836</v>
      </c>
      <c r="E2625" s="5"/>
      <c r="G2625" s="5">
        <v>3006169903</v>
      </c>
      <c r="I2625" s="5"/>
    </row>
    <row r="2626" spans="1:9" ht="12.5">
      <c r="A2626" s="5">
        <v>1001939968</v>
      </c>
      <c r="B2626" s="5" t="s">
        <v>23706</v>
      </c>
      <c r="C2626" s="5" t="s">
        <v>12841</v>
      </c>
      <c r="E2626" s="5"/>
      <c r="G2626" s="5">
        <v>3004619452</v>
      </c>
      <c r="I2626" s="5"/>
    </row>
    <row r="2627" spans="1:9" ht="12.5">
      <c r="A2627" s="5">
        <v>1044430485</v>
      </c>
      <c r="B2627" s="5" t="s">
        <v>23706</v>
      </c>
      <c r="C2627" s="5" t="s">
        <v>12847</v>
      </c>
      <c r="E2627" s="5"/>
      <c r="G2627" s="5">
        <v>3017246593</v>
      </c>
      <c r="I2627" s="5"/>
    </row>
    <row r="2628" spans="1:9" ht="12.5">
      <c r="A2628" s="5">
        <v>1047493515</v>
      </c>
      <c r="B2628" s="5" t="s">
        <v>23706</v>
      </c>
      <c r="C2628" s="5" t="s">
        <v>12852</v>
      </c>
      <c r="E2628" s="5"/>
      <c r="G2628" s="5">
        <v>3002045156</v>
      </c>
      <c r="I2628" s="5" t="s">
        <v>25071</v>
      </c>
    </row>
    <row r="2629" spans="1:9" ht="12.5">
      <c r="A2629" s="5">
        <v>1002159612</v>
      </c>
      <c r="B2629" s="5" t="s">
        <v>23706</v>
      </c>
      <c r="C2629" s="5" t="s">
        <v>12858</v>
      </c>
      <c r="E2629" s="5"/>
      <c r="G2629" s="5">
        <v>3014499819</v>
      </c>
      <c r="I2629" s="5" t="s">
        <v>25072</v>
      </c>
    </row>
    <row r="2630" spans="1:9" ht="12.5">
      <c r="A2630" s="5">
        <v>72001817</v>
      </c>
      <c r="B2630" s="5" t="s">
        <v>23706</v>
      </c>
      <c r="C2630" s="5" t="s">
        <v>12867</v>
      </c>
      <c r="E2630" s="5"/>
      <c r="G2630" s="5">
        <v>3173317836</v>
      </c>
      <c r="I2630" s="5" t="s">
        <v>25073</v>
      </c>
    </row>
    <row r="2631" spans="1:9" ht="12.5">
      <c r="A2631" s="5">
        <v>1140882804</v>
      </c>
      <c r="B2631" s="5" t="s">
        <v>23706</v>
      </c>
      <c r="C2631" s="5" t="s">
        <v>12874</v>
      </c>
      <c r="E2631" s="5"/>
      <c r="G2631" s="5">
        <v>3013290337</v>
      </c>
      <c r="I2631" s="5" t="s">
        <v>25074</v>
      </c>
    </row>
    <row r="2632" spans="1:9" ht="12.5">
      <c r="A2632" s="5">
        <v>1047041953</v>
      </c>
      <c r="B2632" s="5" t="s">
        <v>23706</v>
      </c>
      <c r="C2632" s="5" t="s">
        <v>12878</v>
      </c>
      <c r="E2632" s="5"/>
      <c r="G2632" s="5">
        <v>3004274762</v>
      </c>
      <c r="I2632" s="5" t="s">
        <v>25075</v>
      </c>
    </row>
    <row r="2633" spans="1:9" ht="12.5">
      <c r="A2633" s="5">
        <v>22479639</v>
      </c>
      <c r="B2633" s="5" t="s">
        <v>23706</v>
      </c>
      <c r="C2633" s="5" t="s">
        <v>12882</v>
      </c>
      <c r="E2633" s="5"/>
      <c r="G2633" s="5">
        <v>3014831358</v>
      </c>
      <c r="I2633" s="5"/>
    </row>
    <row r="2634" spans="1:9" ht="12.5">
      <c r="A2634" s="5">
        <v>72357133</v>
      </c>
      <c r="B2634" s="5" t="s">
        <v>23706</v>
      </c>
      <c r="C2634" s="5" t="s">
        <v>12885</v>
      </c>
      <c r="E2634" s="5"/>
      <c r="G2634" s="5">
        <v>3168301636</v>
      </c>
      <c r="I2634" s="5" t="s">
        <v>25076</v>
      </c>
    </row>
    <row r="2635" spans="1:9" ht="12.5">
      <c r="A2635" s="5">
        <v>1002067556</v>
      </c>
      <c r="B2635" s="5" t="s">
        <v>23706</v>
      </c>
      <c r="C2635" s="5" t="s">
        <v>12896</v>
      </c>
      <c r="E2635" s="5"/>
      <c r="G2635" s="5">
        <v>3045384624</v>
      </c>
      <c r="I2635" s="5"/>
    </row>
    <row r="2636" spans="1:9" ht="12.5">
      <c r="A2636" s="5">
        <v>42762209</v>
      </c>
      <c r="B2636" s="5" t="s">
        <v>23706</v>
      </c>
      <c r="C2636" s="5" t="s">
        <v>12908</v>
      </c>
      <c r="E2636" s="5"/>
      <c r="G2636" s="5">
        <v>15196141332</v>
      </c>
      <c r="I2636" s="5" t="s">
        <v>25077</v>
      </c>
    </row>
    <row r="2637" spans="1:9" ht="12.5">
      <c r="A2637" s="5">
        <v>1095302271</v>
      </c>
      <c r="B2637" s="5" t="s">
        <v>23706</v>
      </c>
      <c r="C2637" s="5" t="s">
        <v>12917</v>
      </c>
      <c r="E2637" s="5"/>
      <c r="G2637" s="5">
        <v>3004848680</v>
      </c>
      <c r="I2637" s="5" t="s">
        <v>25078</v>
      </c>
    </row>
    <row r="2638" spans="1:9" ht="12.5">
      <c r="A2638" s="5">
        <v>26815148</v>
      </c>
      <c r="B2638" s="5" t="s">
        <v>23706</v>
      </c>
      <c r="C2638" s="5" t="s">
        <v>12927</v>
      </c>
      <c r="E2638" s="5"/>
      <c r="G2638" s="5">
        <v>15196141332</v>
      </c>
      <c r="I2638" s="5" t="s">
        <v>25079</v>
      </c>
    </row>
    <row r="2639" spans="1:9" ht="12.5">
      <c r="A2639" s="5">
        <v>1140880358</v>
      </c>
      <c r="B2639" s="5" t="s">
        <v>23706</v>
      </c>
      <c r="C2639" s="5" t="s">
        <v>12930</v>
      </c>
      <c r="E2639" s="5"/>
      <c r="G2639" s="5">
        <v>3014595296</v>
      </c>
      <c r="I2639" s="5" t="s">
        <v>25080</v>
      </c>
    </row>
    <row r="2640" spans="1:9" ht="12.5">
      <c r="A2640" s="5">
        <v>1140882983</v>
      </c>
      <c r="B2640" s="5" t="s">
        <v>23706</v>
      </c>
      <c r="C2640" s="5" t="s">
        <v>12937</v>
      </c>
      <c r="E2640" s="5"/>
      <c r="G2640" s="5">
        <v>3123522976</v>
      </c>
      <c r="I2640" s="5" t="s">
        <v>25081</v>
      </c>
    </row>
    <row r="2641" spans="1:9" ht="12.5">
      <c r="A2641" s="5">
        <v>52006896</v>
      </c>
      <c r="B2641" s="5" t="s">
        <v>23706</v>
      </c>
      <c r="C2641" s="5" t="s">
        <v>12942</v>
      </c>
      <c r="E2641" s="5"/>
      <c r="G2641" s="5">
        <v>3022781926</v>
      </c>
      <c r="I2641" s="5" t="s">
        <v>25082</v>
      </c>
    </row>
    <row r="2642" spans="1:9" ht="12.5">
      <c r="A2642" s="5">
        <v>52006896</v>
      </c>
      <c r="B2642" s="5" t="s">
        <v>23706</v>
      </c>
      <c r="C2642" s="5" t="s">
        <v>12942</v>
      </c>
      <c r="E2642" s="5"/>
      <c r="G2642" s="5">
        <v>3228985611</v>
      </c>
      <c r="I2642" s="5" t="s">
        <v>25082</v>
      </c>
    </row>
    <row r="2643" spans="1:9" ht="12.5">
      <c r="A2643" s="5">
        <v>1098310404</v>
      </c>
      <c r="B2643" s="5" t="s">
        <v>23706</v>
      </c>
      <c r="C2643" s="5" t="s">
        <v>12946</v>
      </c>
      <c r="E2643" s="5"/>
      <c r="G2643" s="5">
        <v>3122922559</v>
      </c>
      <c r="I2643" s="5"/>
    </row>
    <row r="2644" spans="1:9" ht="12.5">
      <c r="A2644" s="5">
        <v>91517409</v>
      </c>
      <c r="B2644" s="5" t="s">
        <v>23706</v>
      </c>
      <c r="C2644" s="5" t="s">
        <v>12948</v>
      </c>
      <c r="E2644" s="5"/>
      <c r="G2644" s="5">
        <v>3124483050</v>
      </c>
      <c r="I2644" s="5" t="s">
        <v>25083</v>
      </c>
    </row>
    <row r="2645" spans="1:9" ht="12.5">
      <c r="A2645" s="5">
        <v>1098760346</v>
      </c>
      <c r="B2645" s="5" t="s">
        <v>23706</v>
      </c>
      <c r="C2645" s="5" t="s">
        <v>12959</v>
      </c>
      <c r="E2645" s="5"/>
      <c r="G2645" s="5">
        <v>3103998104</v>
      </c>
      <c r="I2645" s="5" t="s">
        <v>25084</v>
      </c>
    </row>
    <row r="2646" spans="1:9" ht="12.5">
      <c r="A2646" s="5">
        <v>1193363780</v>
      </c>
      <c r="B2646" s="5" t="s">
        <v>23706</v>
      </c>
      <c r="C2646" s="5" t="s">
        <v>12964</v>
      </c>
      <c r="E2646" s="5"/>
      <c r="G2646" s="5">
        <v>3108757090</v>
      </c>
      <c r="I2646" s="5" t="s">
        <v>25085</v>
      </c>
    </row>
    <row r="2647" spans="1:9" ht="12.5">
      <c r="A2647" s="5">
        <v>1045715294</v>
      </c>
      <c r="B2647" s="5" t="s">
        <v>23706</v>
      </c>
      <c r="C2647" s="5" t="s">
        <v>12968</v>
      </c>
      <c r="E2647" s="5"/>
      <c r="G2647" s="5">
        <v>3504438774</v>
      </c>
      <c r="I2647" s="5" t="s">
        <v>25086</v>
      </c>
    </row>
    <row r="2648" spans="1:9" ht="12.5">
      <c r="A2648" s="5">
        <v>72193834</v>
      </c>
      <c r="B2648" s="5" t="s">
        <v>23706</v>
      </c>
      <c r="C2648" s="5" t="s">
        <v>25087</v>
      </c>
      <c r="E2648" s="5"/>
      <c r="G2648" s="5">
        <v>79513143567951</v>
      </c>
      <c r="I2648" s="5" t="s">
        <v>25088</v>
      </c>
    </row>
    <row r="2649" spans="1:9" ht="12.5">
      <c r="A2649" s="5">
        <v>1069483066</v>
      </c>
      <c r="B2649" s="5" t="s">
        <v>23706</v>
      </c>
      <c r="C2649" s="5" t="s">
        <v>12971</v>
      </c>
      <c r="E2649" s="5"/>
      <c r="G2649" s="5">
        <v>3127773997</v>
      </c>
      <c r="I2649" s="5"/>
    </row>
    <row r="2650" spans="1:9" ht="12.5">
      <c r="A2650" s="5">
        <v>1001941014</v>
      </c>
      <c r="B2650" s="5" t="s">
        <v>23706</v>
      </c>
      <c r="C2650" s="5" t="s">
        <v>12976</v>
      </c>
      <c r="E2650" s="5"/>
      <c r="G2650" s="5">
        <v>3017850018</v>
      </c>
      <c r="I2650" s="5" t="s">
        <v>25089</v>
      </c>
    </row>
    <row r="2651" spans="1:9" ht="12.5">
      <c r="A2651" s="5">
        <v>1045732129</v>
      </c>
      <c r="B2651" s="5" t="s">
        <v>23706</v>
      </c>
      <c r="C2651" s="5" t="s">
        <v>12981</v>
      </c>
      <c r="E2651" s="5"/>
      <c r="G2651" s="5">
        <v>3205664901</v>
      </c>
      <c r="I2651" s="5" t="s">
        <v>25090</v>
      </c>
    </row>
    <row r="2652" spans="1:9" ht="12.5">
      <c r="A2652" s="5">
        <v>1042457176</v>
      </c>
      <c r="B2652" s="5" t="s">
        <v>23706</v>
      </c>
      <c r="C2652" s="5" t="s">
        <v>12986</v>
      </c>
      <c r="E2652" s="5"/>
      <c r="G2652" s="5">
        <v>3007310148</v>
      </c>
      <c r="I2652" s="5"/>
    </row>
    <row r="2653" spans="1:9" ht="12.5">
      <c r="A2653" s="5">
        <v>1044217570</v>
      </c>
      <c r="B2653" s="5" t="s">
        <v>23706</v>
      </c>
      <c r="C2653" s="5" t="s">
        <v>12990</v>
      </c>
      <c r="E2653" s="5"/>
      <c r="G2653" s="5">
        <v>3122516532</v>
      </c>
      <c r="I2653" s="5" t="s">
        <v>25091</v>
      </c>
    </row>
    <row r="2654" spans="1:9" ht="12.5">
      <c r="A2654" s="5">
        <v>1140821256</v>
      </c>
      <c r="B2654" s="5" t="s">
        <v>23706</v>
      </c>
      <c r="C2654" s="5" t="s">
        <v>12995</v>
      </c>
      <c r="E2654" s="5"/>
      <c r="G2654" s="5">
        <v>87143182618714</v>
      </c>
      <c r="I2654" s="5" t="s">
        <v>25092</v>
      </c>
    </row>
    <row r="2655" spans="1:9" ht="12.5">
      <c r="A2655" s="5">
        <v>0</v>
      </c>
      <c r="B2655" s="5" t="s">
        <v>23706</v>
      </c>
      <c r="C2655" s="5" t="s">
        <v>13007</v>
      </c>
      <c r="E2655" s="5"/>
      <c r="G2655" s="5">
        <v>3012145123</v>
      </c>
      <c r="I2655" s="5" t="s">
        <v>23941</v>
      </c>
    </row>
    <row r="2656" spans="1:9" ht="12.5">
      <c r="A2656" s="5">
        <v>1063307785</v>
      </c>
      <c r="B2656" s="5" t="s">
        <v>23706</v>
      </c>
      <c r="C2656" s="5" t="s">
        <v>13012</v>
      </c>
      <c r="E2656" s="5"/>
      <c r="G2656" s="5">
        <v>3218235541</v>
      </c>
      <c r="I2656" s="5" t="s">
        <v>25093</v>
      </c>
    </row>
    <row r="2657" spans="1:9" ht="12.5">
      <c r="A2657" s="5">
        <v>1001914261</v>
      </c>
      <c r="B2657" s="5" t="s">
        <v>23706</v>
      </c>
      <c r="C2657" s="5" t="s">
        <v>13016</v>
      </c>
      <c r="E2657" s="5"/>
      <c r="G2657" s="5">
        <v>3004817146</v>
      </c>
      <c r="I2657" s="5" t="s">
        <v>25094</v>
      </c>
    </row>
    <row r="2658" spans="1:9" ht="12.5">
      <c r="A2658" s="5">
        <v>1002212893</v>
      </c>
      <c r="B2658" s="5" t="s">
        <v>23706</v>
      </c>
      <c r="C2658" s="5" t="s">
        <v>13377</v>
      </c>
      <c r="E2658" s="5"/>
      <c r="G2658" s="10" t="s">
        <v>25095</v>
      </c>
      <c r="I2658" s="5" t="s">
        <v>25096</v>
      </c>
    </row>
    <row r="2659" spans="1:9" ht="12.5">
      <c r="A2659" s="5">
        <v>1140829752</v>
      </c>
      <c r="B2659" s="5" t="s">
        <v>23706</v>
      </c>
      <c r="C2659" s="5" t="s">
        <v>13020</v>
      </c>
      <c r="E2659" s="5"/>
      <c r="G2659" s="5">
        <v>3145210521</v>
      </c>
      <c r="I2659" s="5"/>
    </row>
    <row r="2660" spans="1:9" ht="12.5">
      <c r="A2660" s="5">
        <v>1007899876</v>
      </c>
      <c r="B2660" s="5" t="s">
        <v>23706</v>
      </c>
      <c r="C2660" s="5" t="s">
        <v>13023</v>
      </c>
      <c r="E2660" s="5"/>
      <c r="G2660" s="5">
        <v>3123093770</v>
      </c>
      <c r="I2660" s="5" t="s">
        <v>25097</v>
      </c>
    </row>
    <row r="2661" spans="1:9" ht="12.5">
      <c r="A2661" s="5">
        <v>1067881240</v>
      </c>
      <c r="B2661" s="5" t="s">
        <v>23706</v>
      </c>
      <c r="C2661" s="5" t="s">
        <v>13027</v>
      </c>
      <c r="E2661" s="5"/>
      <c r="G2661" s="5">
        <v>3017098224</v>
      </c>
      <c r="I2661" s="5" t="s">
        <v>25098</v>
      </c>
    </row>
    <row r="2662" spans="1:9" ht="12.5">
      <c r="A2662" s="5">
        <v>1042457196</v>
      </c>
      <c r="B2662" s="5" t="s">
        <v>23706</v>
      </c>
      <c r="C2662" s="5" t="s">
        <v>13032</v>
      </c>
      <c r="E2662" s="5"/>
      <c r="G2662" s="5">
        <v>3006015502</v>
      </c>
      <c r="I2662" s="5"/>
    </row>
    <row r="2663" spans="1:9" ht="12.5">
      <c r="A2663" s="5">
        <v>1003291561</v>
      </c>
      <c r="B2663" s="5" t="s">
        <v>23706</v>
      </c>
      <c r="C2663" s="5" t="s">
        <v>13037</v>
      </c>
      <c r="E2663" s="5"/>
      <c r="G2663" s="5">
        <v>3217215223</v>
      </c>
      <c r="I2663" s="5" t="s">
        <v>25099</v>
      </c>
    </row>
    <row r="2664" spans="1:9" ht="12.5">
      <c r="A2664" s="5">
        <v>79482326</v>
      </c>
      <c r="B2664" s="5" t="s">
        <v>23706</v>
      </c>
      <c r="C2664" s="5" t="s">
        <v>13042</v>
      </c>
      <c r="E2664" s="5"/>
      <c r="G2664" s="5">
        <v>3043284707</v>
      </c>
      <c r="I2664" s="5"/>
    </row>
    <row r="2665" spans="1:9" ht="12.5">
      <c r="A2665" s="5">
        <v>1140845935</v>
      </c>
      <c r="B2665" s="5" t="s">
        <v>23706</v>
      </c>
      <c r="C2665" s="5" t="s">
        <v>13047</v>
      </c>
      <c r="E2665" s="5"/>
      <c r="G2665" s="5">
        <v>3104605906</v>
      </c>
      <c r="I2665" s="5" t="s">
        <v>25100</v>
      </c>
    </row>
    <row r="2666" spans="1:9" ht="12.5">
      <c r="A2666" s="5">
        <v>1143455067</v>
      </c>
      <c r="B2666" s="5" t="s">
        <v>23706</v>
      </c>
      <c r="C2666" s="5" t="s">
        <v>13053</v>
      </c>
      <c r="E2666" s="5"/>
      <c r="G2666" s="5">
        <v>5513373519</v>
      </c>
      <c r="I2666" s="5"/>
    </row>
    <row r="2667" spans="1:9" ht="12.5">
      <c r="A2667" s="5">
        <v>1140896649</v>
      </c>
      <c r="B2667" s="5" t="s">
        <v>23706</v>
      </c>
      <c r="C2667" s="5" t="s">
        <v>13066</v>
      </c>
      <c r="E2667" s="5"/>
      <c r="G2667" s="5">
        <v>3105015903</v>
      </c>
      <c r="I2667" s="5" t="s">
        <v>25101</v>
      </c>
    </row>
    <row r="2668" spans="1:9" ht="12.5">
      <c r="A2668" s="5">
        <v>32710727</v>
      </c>
      <c r="B2668" s="5" t="s">
        <v>23706</v>
      </c>
      <c r="C2668" s="5" t="s">
        <v>13083</v>
      </c>
      <c r="E2668" s="5"/>
      <c r="G2668" s="5">
        <v>3213651301</v>
      </c>
      <c r="I2668" s="5"/>
    </row>
    <row r="2669" spans="1:9" ht="12.5">
      <c r="A2669" s="5">
        <v>72342955</v>
      </c>
      <c r="B2669" s="5" t="s">
        <v>23706</v>
      </c>
      <c r="C2669" s="5" t="s">
        <v>13085</v>
      </c>
      <c r="E2669" s="5"/>
      <c r="G2669" s="5">
        <v>3204842833</v>
      </c>
      <c r="I2669" s="5" t="s">
        <v>25102</v>
      </c>
    </row>
    <row r="2670" spans="1:9" ht="12.5">
      <c r="A2670" s="5">
        <v>22516763</v>
      </c>
      <c r="B2670" s="5" t="s">
        <v>23706</v>
      </c>
      <c r="C2670" s="5" t="s">
        <v>13091</v>
      </c>
      <c r="E2670" s="5"/>
      <c r="G2670" s="5">
        <v>3003004016</v>
      </c>
      <c r="I2670" s="5"/>
    </row>
    <row r="2671" spans="1:9" ht="12.5">
      <c r="A2671" s="5">
        <v>1140828777</v>
      </c>
      <c r="B2671" s="5" t="s">
        <v>23706</v>
      </c>
      <c r="C2671" s="5" t="s">
        <v>13092</v>
      </c>
      <c r="E2671" s="5"/>
      <c r="G2671" s="5">
        <v>3007518986</v>
      </c>
      <c r="I2671" s="5" t="s">
        <v>25103</v>
      </c>
    </row>
    <row r="2672" spans="1:9" ht="12.5">
      <c r="A2672" s="5">
        <v>1001821796</v>
      </c>
      <c r="B2672" s="5" t="s">
        <v>23706</v>
      </c>
      <c r="C2672" s="5" t="s">
        <v>13098</v>
      </c>
      <c r="E2672" s="5"/>
      <c r="G2672" s="5">
        <v>3013601956</v>
      </c>
      <c r="I2672" s="5" t="s">
        <v>25104</v>
      </c>
    </row>
    <row r="2673" spans="1:9" ht="12.5">
      <c r="A2673" s="5">
        <v>72272735</v>
      </c>
      <c r="B2673" s="5" t="s">
        <v>23706</v>
      </c>
      <c r="C2673" s="5" t="s">
        <v>13106</v>
      </c>
      <c r="E2673" s="5"/>
      <c r="G2673" s="5">
        <v>3008374218</v>
      </c>
      <c r="I2673" s="5"/>
    </row>
    <row r="2674" spans="1:9" ht="12.5">
      <c r="A2674" s="5">
        <v>1140863283</v>
      </c>
      <c r="B2674" s="5" t="s">
        <v>23706</v>
      </c>
      <c r="C2674" s="5" t="s">
        <v>13112</v>
      </c>
      <c r="E2674" s="5"/>
      <c r="G2674" s="5">
        <v>3013651988</v>
      </c>
      <c r="I2674" s="5" t="s">
        <v>25105</v>
      </c>
    </row>
    <row r="2675" spans="1:9" ht="12.5">
      <c r="A2675" s="5">
        <v>9149600</v>
      </c>
      <c r="B2675" s="5" t="s">
        <v>23706</v>
      </c>
      <c r="C2675" s="5" t="s">
        <v>13119</v>
      </c>
      <c r="E2675" s="5"/>
      <c r="G2675" s="5">
        <v>3150533465</v>
      </c>
      <c r="I2675" s="5"/>
    </row>
    <row r="2676" spans="1:9" ht="12.5">
      <c r="A2676" s="5">
        <v>1018422706</v>
      </c>
      <c r="B2676" s="5" t="s">
        <v>23706</v>
      </c>
      <c r="C2676" s="5" t="s">
        <v>13124</v>
      </c>
      <c r="E2676" s="5"/>
      <c r="G2676" s="5">
        <v>3016971375</v>
      </c>
      <c r="I2676" s="5" t="s">
        <v>25106</v>
      </c>
    </row>
    <row r="2677" spans="1:9" ht="12.5">
      <c r="A2677" s="5">
        <v>1032379108</v>
      </c>
      <c r="B2677" s="5" t="s">
        <v>23706</v>
      </c>
      <c r="C2677" s="5" t="s">
        <v>13135</v>
      </c>
      <c r="E2677" s="5"/>
      <c r="G2677" s="5">
        <v>3214518065</v>
      </c>
      <c r="I2677" s="5" t="s">
        <v>25107</v>
      </c>
    </row>
    <row r="2678" spans="1:9" ht="12.5">
      <c r="A2678" s="5">
        <v>9452727</v>
      </c>
      <c r="B2678" s="5" t="s">
        <v>23706</v>
      </c>
      <c r="C2678" s="5" t="s">
        <v>13140</v>
      </c>
      <c r="E2678" s="5"/>
      <c r="G2678" s="5">
        <v>393491661611</v>
      </c>
      <c r="I2678" s="5" t="s">
        <v>25108</v>
      </c>
    </row>
    <row r="2679" spans="1:9" ht="12.5">
      <c r="A2679" s="5">
        <v>1045725926</v>
      </c>
      <c r="B2679" s="5" t="s">
        <v>23706</v>
      </c>
      <c r="C2679" s="5" t="s">
        <v>13149</v>
      </c>
      <c r="E2679" s="5"/>
      <c r="G2679" s="5">
        <v>3145354876</v>
      </c>
      <c r="I2679" s="5" t="s">
        <v>25109</v>
      </c>
    </row>
    <row r="2680" spans="1:9" ht="12.5">
      <c r="A2680" s="5">
        <v>1121326526</v>
      </c>
      <c r="B2680" s="5" t="s">
        <v>23706</v>
      </c>
      <c r="C2680" s="5" t="s">
        <v>25110</v>
      </c>
      <c r="E2680" s="5"/>
      <c r="G2680" s="5">
        <v>3215856736</v>
      </c>
      <c r="I2680" s="5" t="s">
        <v>25111</v>
      </c>
    </row>
    <row r="2681" spans="1:9" ht="12.5">
      <c r="A2681" s="5">
        <v>1043441248</v>
      </c>
      <c r="B2681" s="5" t="s">
        <v>23706</v>
      </c>
      <c r="C2681" s="5" t="s">
        <v>13154</v>
      </c>
      <c r="E2681" s="5"/>
      <c r="G2681" s="5">
        <v>3113446137</v>
      </c>
      <c r="I2681" s="5" t="s">
        <v>25112</v>
      </c>
    </row>
    <row r="2682" spans="1:9" ht="12.5">
      <c r="A2682" s="5">
        <v>1041695830</v>
      </c>
      <c r="B2682" s="5" t="s">
        <v>23706</v>
      </c>
      <c r="C2682" s="5" t="s">
        <v>13156</v>
      </c>
      <c r="E2682" s="5"/>
      <c r="G2682" s="5">
        <v>3112118759</v>
      </c>
      <c r="I2682" s="5" t="s">
        <v>25113</v>
      </c>
    </row>
    <row r="2683" spans="1:9" ht="12.5">
      <c r="A2683" s="5">
        <v>1030581240</v>
      </c>
      <c r="B2683" s="5" t="s">
        <v>23706</v>
      </c>
      <c r="C2683" s="5" t="s">
        <v>13165</v>
      </c>
      <c r="E2683" s="5"/>
      <c r="G2683" s="5">
        <v>3115904808</v>
      </c>
      <c r="I2683" s="5" t="s">
        <v>25114</v>
      </c>
    </row>
    <row r="2684" spans="1:9" ht="12.5">
      <c r="A2684" s="5">
        <v>1045750041</v>
      </c>
      <c r="B2684" s="5" t="s">
        <v>23706</v>
      </c>
      <c r="C2684" s="5" t="s">
        <v>13177</v>
      </c>
      <c r="E2684" s="5"/>
      <c r="G2684" s="5">
        <v>3122624285</v>
      </c>
      <c r="I2684" s="5"/>
    </row>
    <row r="2685" spans="1:9" ht="12.5">
      <c r="A2685" s="5">
        <v>1052983558</v>
      </c>
      <c r="B2685" s="5" t="s">
        <v>23706</v>
      </c>
      <c r="C2685" s="5" t="s">
        <v>13179</v>
      </c>
      <c r="E2685" s="5"/>
      <c r="G2685" s="5">
        <v>3008290573</v>
      </c>
      <c r="I2685" s="5" t="s">
        <v>25115</v>
      </c>
    </row>
    <row r="2686" spans="1:9" ht="12.5">
      <c r="A2686" s="5">
        <v>72269426</v>
      </c>
      <c r="B2686" s="5" t="s">
        <v>23706</v>
      </c>
      <c r="C2686" s="5" t="s">
        <v>13184</v>
      </c>
      <c r="E2686" s="5"/>
      <c r="G2686" s="5">
        <v>3017838768</v>
      </c>
      <c r="I2686" s="5" t="s">
        <v>25116</v>
      </c>
    </row>
    <row r="2687" spans="1:9" ht="12.5">
      <c r="A2687" s="5">
        <v>1001919475</v>
      </c>
      <c r="B2687" s="5" t="s">
        <v>23706</v>
      </c>
      <c r="C2687" s="5" t="s">
        <v>25117</v>
      </c>
      <c r="E2687" s="5"/>
      <c r="G2687" s="5">
        <v>3002626906</v>
      </c>
      <c r="I2687" s="5" t="s">
        <v>25118</v>
      </c>
    </row>
    <row r="2688" spans="1:9" ht="12.5">
      <c r="A2688" s="5">
        <v>1121532753</v>
      </c>
      <c r="B2688" s="5" t="s">
        <v>23706</v>
      </c>
      <c r="C2688" s="5" t="s">
        <v>13194</v>
      </c>
      <c r="E2688" s="5"/>
      <c r="G2688" s="5">
        <v>3233115245</v>
      </c>
      <c r="I2688" s="5" t="s">
        <v>25119</v>
      </c>
    </row>
    <row r="2689" spans="1:9" ht="12.5">
      <c r="A2689" s="5">
        <v>1140860148</v>
      </c>
      <c r="B2689" s="5" t="s">
        <v>23706</v>
      </c>
      <c r="C2689" s="5" t="s">
        <v>13199</v>
      </c>
      <c r="E2689" s="5"/>
      <c r="G2689" s="10" t="s">
        <v>25120</v>
      </c>
      <c r="I2689" s="5" t="s">
        <v>25121</v>
      </c>
    </row>
    <row r="2690" spans="1:9" ht="12.5">
      <c r="A2690" s="5">
        <v>1140897197</v>
      </c>
      <c r="B2690" s="5" t="s">
        <v>23706</v>
      </c>
      <c r="C2690" s="5" t="s">
        <v>13209</v>
      </c>
      <c r="E2690" s="5"/>
      <c r="G2690" s="5">
        <v>3042914618</v>
      </c>
      <c r="I2690" s="5" t="s">
        <v>25122</v>
      </c>
    </row>
    <row r="2691" spans="1:9" ht="12.5">
      <c r="A2691" s="5">
        <v>1129566585</v>
      </c>
      <c r="B2691" s="5" t="s">
        <v>23706</v>
      </c>
      <c r="C2691" s="5" t="s">
        <v>13216</v>
      </c>
      <c r="E2691" s="5"/>
      <c r="G2691" s="5">
        <v>3146413791</v>
      </c>
      <c r="I2691" s="5"/>
    </row>
    <row r="2692" spans="1:9" ht="12.5">
      <c r="A2692" s="5">
        <v>1045738136</v>
      </c>
      <c r="B2692" s="5" t="s">
        <v>23706</v>
      </c>
      <c r="C2692" s="5" t="s">
        <v>13218</v>
      </c>
      <c r="E2692" s="5"/>
      <c r="G2692" s="5">
        <v>3012136288</v>
      </c>
      <c r="I2692" s="5" t="s">
        <v>25123</v>
      </c>
    </row>
    <row r="2693" spans="1:9" ht="12.5">
      <c r="A2693" s="5">
        <v>22520462</v>
      </c>
      <c r="B2693" s="5" t="s">
        <v>23706</v>
      </c>
      <c r="C2693" s="5" t="s">
        <v>13223</v>
      </c>
      <c r="E2693" s="5"/>
      <c r="G2693" s="5">
        <v>3022644325</v>
      </c>
      <c r="I2693" s="5"/>
    </row>
    <row r="2694" spans="1:9" ht="12.5">
      <c r="A2694" s="5">
        <v>1045676308</v>
      </c>
      <c r="B2694" s="5" t="s">
        <v>23706</v>
      </c>
      <c r="C2694" s="5" t="s">
        <v>13224</v>
      </c>
      <c r="E2694" s="5"/>
      <c r="G2694" s="5">
        <v>3022309690</v>
      </c>
      <c r="I2694" s="5" t="s">
        <v>25124</v>
      </c>
    </row>
    <row r="2695" spans="1:9" ht="12.5">
      <c r="A2695" s="5">
        <v>1060877789</v>
      </c>
      <c r="B2695" s="5" t="s">
        <v>23706</v>
      </c>
      <c r="C2695" s="5" t="s">
        <v>13225</v>
      </c>
      <c r="E2695" s="5"/>
      <c r="G2695" s="5">
        <v>3243475368</v>
      </c>
      <c r="I2695" s="5" t="s">
        <v>25125</v>
      </c>
    </row>
    <row r="2696" spans="1:9" ht="12.5">
      <c r="A2696" s="5">
        <v>63540893</v>
      </c>
      <c r="B2696" s="5" t="s">
        <v>23706</v>
      </c>
      <c r="C2696" s="5" t="s">
        <v>13230</v>
      </c>
      <c r="E2696" s="5"/>
      <c r="G2696" s="5">
        <v>3219727131</v>
      </c>
      <c r="I2696" s="5" t="s">
        <v>25126</v>
      </c>
    </row>
    <row r="2697" spans="1:9" ht="12.5">
      <c r="A2697" s="5">
        <v>1072673674</v>
      </c>
      <c r="B2697" s="5" t="s">
        <v>23706</v>
      </c>
      <c r="C2697" s="5" t="s">
        <v>13239</v>
      </c>
      <c r="E2697" s="5"/>
      <c r="G2697" s="5">
        <v>3106198726</v>
      </c>
      <c r="I2697" s="5" t="s">
        <v>25127</v>
      </c>
    </row>
    <row r="2698" spans="1:9" ht="12.5">
      <c r="A2698" s="5">
        <v>1003383902</v>
      </c>
      <c r="B2698" s="5" t="s">
        <v>23706</v>
      </c>
      <c r="C2698" s="5" t="s">
        <v>13244</v>
      </c>
      <c r="E2698" s="5"/>
      <c r="G2698" s="5">
        <v>3152628627</v>
      </c>
      <c r="I2698" s="5"/>
    </row>
    <row r="2699" spans="1:9" ht="12.5">
      <c r="A2699" s="5">
        <v>49735564</v>
      </c>
      <c r="B2699" s="5" t="s">
        <v>23706</v>
      </c>
      <c r="C2699" s="5" t="s">
        <v>13249</v>
      </c>
      <c r="E2699" s="5"/>
      <c r="G2699" s="5">
        <v>3008003842</v>
      </c>
      <c r="I2699" s="5"/>
    </row>
    <row r="2700" spans="1:9" ht="12.5">
      <c r="A2700" s="5">
        <v>1235339075</v>
      </c>
      <c r="B2700" s="5" t="s">
        <v>23706</v>
      </c>
      <c r="C2700" s="5" t="s">
        <v>13256</v>
      </c>
      <c r="E2700" s="5"/>
      <c r="G2700" s="5">
        <v>3106812364</v>
      </c>
      <c r="I2700" s="5" t="s">
        <v>25128</v>
      </c>
    </row>
    <row r="2701" spans="1:9" ht="12.5">
      <c r="A2701" s="5">
        <v>1019111094</v>
      </c>
      <c r="B2701" s="5" t="s">
        <v>23706</v>
      </c>
      <c r="C2701" s="5" t="s">
        <v>13261</v>
      </c>
      <c r="E2701" s="5"/>
      <c r="G2701" s="5">
        <v>3246847878</v>
      </c>
      <c r="I2701" s="5" t="s">
        <v>25129</v>
      </c>
    </row>
    <row r="2702" spans="1:9" ht="12.5">
      <c r="A2702" s="5">
        <v>1140846687</v>
      </c>
      <c r="B2702" s="5" t="s">
        <v>23706</v>
      </c>
      <c r="C2702" s="5" t="s">
        <v>13266</v>
      </c>
      <c r="E2702" s="5"/>
      <c r="G2702" s="5">
        <v>3028631428</v>
      </c>
      <c r="I2702" s="5" t="s">
        <v>25130</v>
      </c>
    </row>
    <row r="2703" spans="1:9" ht="12.5">
      <c r="A2703" s="5">
        <v>72348356</v>
      </c>
      <c r="B2703" s="5" t="s">
        <v>23706</v>
      </c>
      <c r="C2703" s="5" t="s">
        <v>13272</v>
      </c>
      <c r="E2703" s="5"/>
      <c r="G2703" s="5">
        <v>3154313588</v>
      </c>
      <c r="I2703" s="5" t="s">
        <v>25131</v>
      </c>
    </row>
    <row r="2704" spans="1:9" ht="12.5">
      <c r="A2704" s="5">
        <v>32863218</v>
      </c>
      <c r="B2704" s="5" t="s">
        <v>23706</v>
      </c>
      <c r="C2704" s="5" t="s">
        <v>13277</v>
      </c>
      <c r="E2704" s="5"/>
      <c r="G2704" s="5">
        <v>3001284881</v>
      </c>
      <c r="I2704" s="5" t="s">
        <v>25132</v>
      </c>
    </row>
    <row r="2705" spans="1:9" ht="12.5">
      <c r="A2705" s="5">
        <v>1146534571</v>
      </c>
      <c r="B2705" s="5" t="s">
        <v>23706</v>
      </c>
      <c r="C2705" s="5" t="s">
        <v>13282</v>
      </c>
      <c r="E2705" s="5"/>
      <c r="G2705" s="5">
        <v>3028649234</v>
      </c>
      <c r="I2705" s="5" t="s">
        <v>25133</v>
      </c>
    </row>
    <row r="2706" spans="1:9" ht="12.5">
      <c r="A2706" s="5">
        <v>1065623626</v>
      </c>
      <c r="B2706" s="5" t="s">
        <v>23706</v>
      </c>
      <c r="C2706" s="5" t="s">
        <v>13287</v>
      </c>
      <c r="E2706" s="5"/>
      <c r="G2706" s="5">
        <v>3246866740</v>
      </c>
      <c r="I2706" s="5" t="s">
        <v>25134</v>
      </c>
    </row>
    <row r="2707" spans="1:9" ht="12.5">
      <c r="A2707" s="5">
        <v>1065574020</v>
      </c>
      <c r="B2707" s="5" t="s">
        <v>23706</v>
      </c>
      <c r="C2707" s="5" t="s">
        <v>13293</v>
      </c>
      <c r="E2707" s="5"/>
      <c r="G2707" s="5">
        <v>3173649429</v>
      </c>
      <c r="I2707" s="5" t="s">
        <v>25135</v>
      </c>
    </row>
    <row r="2708" spans="1:9" ht="12.5">
      <c r="A2708" s="5">
        <v>1044424379</v>
      </c>
      <c r="B2708" s="5" t="s">
        <v>23706</v>
      </c>
      <c r="C2708" s="5" t="s">
        <v>13298</v>
      </c>
      <c r="E2708" s="5"/>
      <c r="G2708" s="5">
        <v>3157877568</v>
      </c>
      <c r="I2708" s="5" t="s">
        <v>25136</v>
      </c>
    </row>
    <row r="2709" spans="1:9" ht="12.5">
      <c r="A2709" s="5">
        <v>80852394</v>
      </c>
      <c r="B2709" s="5" t="s">
        <v>23706</v>
      </c>
      <c r="C2709" s="5" t="s">
        <v>13304</v>
      </c>
      <c r="E2709" s="5"/>
      <c r="G2709" s="5">
        <v>3246813327</v>
      </c>
      <c r="I2709" s="5"/>
    </row>
    <row r="2710" spans="1:9" ht="12.5">
      <c r="A2710" s="5">
        <v>1042433094</v>
      </c>
      <c r="B2710" s="5" t="s">
        <v>23706</v>
      </c>
      <c r="C2710" s="5" t="s">
        <v>13308</v>
      </c>
      <c r="E2710" s="5"/>
      <c r="G2710" s="5">
        <v>3017245671</v>
      </c>
      <c r="I2710" s="5" t="s">
        <v>25137</v>
      </c>
    </row>
    <row r="2711" spans="1:9" ht="12.5">
      <c r="A2711" s="5">
        <v>1010107758</v>
      </c>
      <c r="B2711" s="5" t="s">
        <v>23706</v>
      </c>
      <c r="C2711" s="5" t="s">
        <v>25138</v>
      </c>
      <c r="E2711" s="5"/>
      <c r="G2711" s="5">
        <v>3225940951</v>
      </c>
      <c r="I2711" s="5" t="s">
        <v>25139</v>
      </c>
    </row>
    <row r="2712" spans="1:9" ht="12.5">
      <c r="A2712" s="5">
        <v>1047045002</v>
      </c>
      <c r="B2712" s="5" t="s">
        <v>23706</v>
      </c>
      <c r="C2712" s="5" t="s">
        <v>13310</v>
      </c>
      <c r="E2712" s="5"/>
      <c r="G2712" s="5">
        <v>3503746735</v>
      </c>
      <c r="I2712" s="5" t="s">
        <v>25140</v>
      </c>
    </row>
    <row r="2713" spans="1:9" ht="12.5">
      <c r="A2713" s="5">
        <v>1042454245</v>
      </c>
      <c r="B2713" s="5" t="s">
        <v>23706</v>
      </c>
      <c r="C2713" s="5" t="s">
        <v>13315</v>
      </c>
      <c r="E2713" s="5"/>
      <c r="G2713" s="5">
        <v>3008182932</v>
      </c>
      <c r="I2713" s="5" t="s">
        <v>25141</v>
      </c>
    </row>
    <row r="2714" spans="1:9" ht="12.5">
      <c r="A2714" s="5">
        <v>1042454245</v>
      </c>
      <c r="B2714" s="5" t="s">
        <v>23706</v>
      </c>
      <c r="C2714" s="5" t="s">
        <v>13315</v>
      </c>
      <c r="E2714" s="5"/>
      <c r="G2714" s="5">
        <v>3008182932</v>
      </c>
      <c r="I2714" s="5" t="s">
        <v>25141</v>
      </c>
    </row>
    <row r="2715" spans="1:9" ht="12.5">
      <c r="A2715" s="5">
        <v>1143462013</v>
      </c>
      <c r="B2715" s="5" t="s">
        <v>23706</v>
      </c>
      <c r="C2715" s="5" t="s">
        <v>13318</v>
      </c>
      <c r="E2715" s="5"/>
      <c r="G2715" s="5">
        <v>3023514914</v>
      </c>
      <c r="I2715" s="5"/>
    </row>
    <row r="2716" spans="1:9" ht="12.5">
      <c r="A2716" s="5">
        <v>1140873658</v>
      </c>
      <c r="B2716" s="5" t="s">
        <v>23706</v>
      </c>
      <c r="C2716" s="5" t="s">
        <v>13322</v>
      </c>
      <c r="E2716" s="5"/>
      <c r="G2716" s="5">
        <v>3004300764</v>
      </c>
      <c r="I2716" s="5" t="s">
        <v>25142</v>
      </c>
    </row>
    <row r="2717" spans="1:9" ht="12.5">
      <c r="A2717" s="5">
        <v>1143117694</v>
      </c>
      <c r="B2717" s="5" t="s">
        <v>23706</v>
      </c>
      <c r="C2717" s="5" t="s">
        <v>13325</v>
      </c>
      <c r="E2717" s="5"/>
      <c r="G2717" s="5">
        <v>3013460233</v>
      </c>
      <c r="I2717" s="5" t="s">
        <v>25143</v>
      </c>
    </row>
    <row r="2718" spans="1:9" ht="12.5">
      <c r="A2718" s="5">
        <v>1043665104</v>
      </c>
      <c r="B2718" s="5" t="s">
        <v>23706</v>
      </c>
      <c r="C2718" s="5" t="s">
        <v>13329</v>
      </c>
      <c r="E2718" s="5"/>
      <c r="G2718" s="5">
        <v>3005553279</v>
      </c>
      <c r="I2718" s="5" t="s">
        <v>25144</v>
      </c>
    </row>
    <row r="2719" spans="1:9" ht="12.5">
      <c r="A2719" s="5">
        <v>72274583</v>
      </c>
      <c r="B2719" s="5" t="s">
        <v>23706</v>
      </c>
      <c r="C2719" s="5" t="s">
        <v>13332</v>
      </c>
      <c r="E2719" s="5"/>
      <c r="G2719" s="5">
        <v>3014243732</v>
      </c>
      <c r="I2719" s="5"/>
    </row>
    <row r="2720" spans="1:9" ht="12.5">
      <c r="A2720" s="5">
        <v>1021513482</v>
      </c>
      <c r="B2720" s="5" t="s">
        <v>23706</v>
      </c>
      <c r="C2720" s="5" t="s">
        <v>25145</v>
      </c>
      <c r="E2720" s="5"/>
      <c r="G2720" s="5">
        <v>3006804129</v>
      </c>
      <c r="I2720" s="5"/>
    </row>
    <row r="2721" spans="1:9" ht="12.5">
      <c r="A2721" s="5">
        <v>1140819726</v>
      </c>
      <c r="B2721" s="5" t="s">
        <v>23706</v>
      </c>
      <c r="C2721" s="5" t="s">
        <v>13338</v>
      </c>
      <c r="E2721" s="5"/>
      <c r="G2721" s="5">
        <v>3135975191</v>
      </c>
      <c r="I2721" s="5"/>
    </row>
    <row r="2722" spans="1:9" ht="12.5">
      <c r="A2722" s="5">
        <v>1125782405</v>
      </c>
      <c r="B2722" s="5" t="s">
        <v>23706</v>
      </c>
      <c r="C2722" s="5" t="s">
        <v>13340</v>
      </c>
      <c r="E2722" s="5"/>
      <c r="G2722" s="5">
        <v>12012323440</v>
      </c>
      <c r="I2722" s="5"/>
    </row>
    <row r="2723" spans="1:9" ht="12.5">
      <c r="A2723" s="5">
        <v>72343206</v>
      </c>
      <c r="B2723" s="5" t="s">
        <v>23706</v>
      </c>
      <c r="C2723" s="5" t="s">
        <v>13344</v>
      </c>
      <c r="E2723" s="5"/>
      <c r="G2723" s="5">
        <v>3013643099</v>
      </c>
      <c r="I2723" s="5"/>
    </row>
    <row r="2724" spans="1:9" ht="12.5">
      <c r="A2724" s="5">
        <v>80750675</v>
      </c>
      <c r="B2724" s="5" t="s">
        <v>23706</v>
      </c>
      <c r="C2724" s="5" t="s">
        <v>25146</v>
      </c>
      <c r="E2724" s="5"/>
      <c r="G2724" s="5">
        <v>3219787058</v>
      </c>
      <c r="I2724" s="5"/>
    </row>
    <row r="2725" spans="1:9" ht="12.5">
      <c r="A2725" s="5">
        <v>1044634549</v>
      </c>
      <c r="B2725" s="5" t="s">
        <v>23706</v>
      </c>
      <c r="C2725" s="5" t="s">
        <v>13350</v>
      </c>
      <c r="E2725" s="5"/>
      <c r="G2725" s="5">
        <v>3012043812</v>
      </c>
      <c r="I2725" s="5" t="s">
        <v>25147</v>
      </c>
    </row>
    <row r="2726" spans="1:9" ht="12.5">
      <c r="A2726" s="5">
        <v>1140882684</v>
      </c>
      <c r="B2726" s="5" t="s">
        <v>23706</v>
      </c>
      <c r="C2726" s="5" t="s">
        <v>13355</v>
      </c>
      <c r="E2726" s="5"/>
      <c r="G2726" s="5">
        <v>3106105271</v>
      </c>
      <c r="I2726" s="5"/>
    </row>
    <row r="2727" spans="1:9" ht="12.5">
      <c r="A2727" s="5">
        <v>1065604356</v>
      </c>
      <c r="B2727" s="5" t="s">
        <v>23706</v>
      </c>
      <c r="C2727" s="5" t="s">
        <v>13357</v>
      </c>
      <c r="E2727" s="5"/>
      <c r="G2727" s="5">
        <v>3024517351</v>
      </c>
      <c r="I2727" s="5"/>
    </row>
    <row r="2728" spans="1:9" ht="12.5">
      <c r="A2728" s="5">
        <v>1140865472</v>
      </c>
      <c r="B2728" s="5" t="s">
        <v>23706</v>
      </c>
      <c r="C2728" s="5" t="s">
        <v>13360</v>
      </c>
      <c r="E2728" s="5"/>
      <c r="G2728" s="5">
        <v>3016746741</v>
      </c>
      <c r="I2728" s="5" t="s">
        <v>25148</v>
      </c>
    </row>
    <row r="2729" spans="1:9" ht="12.5">
      <c r="A2729" s="5">
        <v>1140886147</v>
      </c>
      <c r="B2729" s="5" t="s">
        <v>23706</v>
      </c>
      <c r="C2729" s="5" t="s">
        <v>13365</v>
      </c>
      <c r="E2729" s="5"/>
      <c r="G2729" s="5">
        <v>34616790085</v>
      </c>
      <c r="I2729" s="5" t="s">
        <v>25149</v>
      </c>
    </row>
    <row r="2730" spans="1:9" ht="12.5">
      <c r="A2730" s="5">
        <v>72309922</v>
      </c>
      <c r="B2730" s="5" t="s">
        <v>23706</v>
      </c>
      <c r="C2730" s="5" t="s">
        <v>13370</v>
      </c>
      <c r="E2730" s="5"/>
      <c r="G2730" s="5">
        <v>3145358206</v>
      </c>
      <c r="I2730" s="5" t="s">
        <v>25150</v>
      </c>
    </row>
    <row r="2731" spans="1:9" ht="12.5">
      <c r="A2731" s="5">
        <v>1140864819</v>
      </c>
      <c r="B2731" s="5" t="s">
        <v>23706</v>
      </c>
      <c r="C2731" s="5" t="s">
        <v>13383</v>
      </c>
      <c r="E2731" s="5"/>
      <c r="G2731" s="5">
        <v>3108339033</v>
      </c>
      <c r="I2731" s="5" t="s">
        <v>25151</v>
      </c>
    </row>
    <row r="2732" spans="1:9" ht="12.5">
      <c r="A2732" s="5">
        <v>1041694819</v>
      </c>
      <c r="B2732" s="5" t="s">
        <v>23706</v>
      </c>
      <c r="C2732" s="5" t="s">
        <v>10213</v>
      </c>
      <c r="E2732" s="5"/>
      <c r="G2732" s="5">
        <v>3187306563</v>
      </c>
      <c r="I2732" s="5" t="s">
        <v>25152</v>
      </c>
    </row>
    <row r="2733" spans="1:9" ht="12.5">
      <c r="A2733" s="5">
        <v>1047034883</v>
      </c>
      <c r="B2733" s="5" t="s">
        <v>23706</v>
      </c>
      <c r="C2733" s="5" t="s">
        <v>13392</v>
      </c>
      <c r="E2733" s="5"/>
      <c r="G2733" s="5">
        <v>3144908649</v>
      </c>
      <c r="I2733" s="5" t="s">
        <v>25153</v>
      </c>
    </row>
    <row r="2734" spans="1:9" ht="12.5">
      <c r="A2734" s="5">
        <v>8485573</v>
      </c>
      <c r="B2734" s="5" t="s">
        <v>23706</v>
      </c>
      <c r="C2734" s="5" t="s">
        <v>13398</v>
      </c>
      <c r="E2734" s="5"/>
      <c r="G2734" s="5">
        <v>3002050746</v>
      </c>
      <c r="I2734" s="5"/>
    </row>
    <row r="2735" spans="1:9" ht="12.5">
      <c r="A2735" s="5">
        <v>1042430417</v>
      </c>
      <c r="B2735" s="5" t="s">
        <v>23706</v>
      </c>
      <c r="C2735" s="5" t="s">
        <v>13400</v>
      </c>
      <c r="E2735" s="5"/>
      <c r="G2735" s="5">
        <v>3044617821</v>
      </c>
      <c r="I2735" s="5" t="s">
        <v>25154</v>
      </c>
    </row>
    <row r="2736" spans="1:9" ht="12.5">
      <c r="A2736" s="5">
        <v>1143155076</v>
      </c>
      <c r="B2736" s="5" t="s">
        <v>23706</v>
      </c>
      <c r="C2736" s="5" t="s">
        <v>13404</v>
      </c>
      <c r="E2736" s="5"/>
      <c r="G2736" s="5">
        <v>3160525021</v>
      </c>
      <c r="I2736" s="5" t="s">
        <v>25155</v>
      </c>
    </row>
    <row r="2737" spans="1:9" ht="12.5">
      <c r="A2737" s="5">
        <v>1140880440</v>
      </c>
      <c r="B2737" s="5" t="s">
        <v>23706</v>
      </c>
      <c r="C2737" s="5" t="s">
        <v>13410</v>
      </c>
      <c r="E2737" s="5"/>
      <c r="G2737" s="5">
        <v>3003145207</v>
      </c>
      <c r="I2737" s="5"/>
    </row>
    <row r="2738" spans="1:9" ht="12.5">
      <c r="A2738" s="5">
        <v>84450369</v>
      </c>
      <c r="B2738" s="5" t="s">
        <v>23706</v>
      </c>
      <c r="C2738" s="5" t="s">
        <v>13411</v>
      </c>
      <c r="E2738" s="5"/>
      <c r="G2738" s="5">
        <v>3004501900</v>
      </c>
      <c r="I2738" s="5" t="s">
        <v>25156</v>
      </c>
    </row>
    <row r="2739" spans="1:9" ht="12.5">
      <c r="A2739" s="5">
        <v>900433172</v>
      </c>
      <c r="B2739" s="5" t="s">
        <v>23782</v>
      </c>
      <c r="C2739" s="5" t="s">
        <v>13416</v>
      </c>
      <c r="E2739" s="5"/>
      <c r="G2739" s="5">
        <v>3215472589</v>
      </c>
      <c r="I2739" s="5" t="s">
        <v>25157</v>
      </c>
    </row>
    <row r="2740" spans="1:9" ht="12.5">
      <c r="A2740" s="5">
        <v>1234093390</v>
      </c>
      <c r="B2740" s="5" t="s">
        <v>23706</v>
      </c>
      <c r="C2740" s="5" t="s">
        <v>8636</v>
      </c>
      <c r="E2740" s="5"/>
      <c r="G2740" s="5">
        <v>3008641212</v>
      </c>
      <c r="I2740" s="5"/>
    </row>
    <row r="2741" spans="1:9" ht="12.5">
      <c r="A2741" s="5">
        <v>1027886856</v>
      </c>
      <c r="B2741" s="5" t="s">
        <v>23706</v>
      </c>
      <c r="C2741" s="5" t="s">
        <v>13455</v>
      </c>
      <c r="E2741" s="5"/>
      <c r="G2741" s="5">
        <v>3122002272</v>
      </c>
      <c r="I2741" s="5" t="s">
        <v>25158</v>
      </c>
    </row>
    <row r="2742" spans="1:9" ht="12.5">
      <c r="A2742" s="5">
        <v>11431137117</v>
      </c>
      <c r="B2742" s="5" t="s">
        <v>23706</v>
      </c>
      <c r="C2742" s="5" t="s">
        <v>13436</v>
      </c>
      <c r="E2742" s="5"/>
      <c r="G2742" s="5">
        <v>3008035220</v>
      </c>
      <c r="I2742" s="5" t="s">
        <v>25159</v>
      </c>
    </row>
    <row r="2743" spans="1:9" ht="12.5">
      <c r="A2743" s="5">
        <v>88211006</v>
      </c>
      <c r="B2743" s="5" t="s">
        <v>23706</v>
      </c>
      <c r="C2743" s="5" t="s">
        <v>13440</v>
      </c>
      <c r="E2743" s="5"/>
      <c r="G2743" s="5">
        <v>3155605686</v>
      </c>
      <c r="I2743" s="5"/>
    </row>
    <row r="2744" spans="1:9" ht="12.5">
      <c r="A2744" s="5">
        <v>1143163410</v>
      </c>
      <c r="B2744" s="5" t="s">
        <v>23706</v>
      </c>
      <c r="C2744" s="5" t="s">
        <v>13441</v>
      </c>
      <c r="E2744" s="5"/>
      <c r="G2744" s="5">
        <v>3012967965</v>
      </c>
      <c r="I2744" s="5"/>
    </row>
    <row r="2745" spans="1:9" ht="12.5">
      <c r="A2745" s="5">
        <v>1001913218</v>
      </c>
      <c r="B2745" s="5" t="s">
        <v>23706</v>
      </c>
      <c r="C2745" s="5" t="s">
        <v>13444</v>
      </c>
      <c r="E2745" s="5"/>
      <c r="G2745" s="5">
        <v>3013550351</v>
      </c>
      <c r="I2745" s="5"/>
    </row>
    <row r="2746" spans="1:9" ht="12.5">
      <c r="A2746" s="5">
        <v>1002161474</v>
      </c>
      <c r="B2746" s="5" t="s">
        <v>23706</v>
      </c>
      <c r="C2746" s="5" t="s">
        <v>13450</v>
      </c>
      <c r="E2746" s="5"/>
      <c r="G2746" s="5">
        <v>3003839612</v>
      </c>
      <c r="I2746" s="5"/>
    </row>
    <row r="2747" spans="1:9" ht="12.5">
      <c r="A2747" s="5">
        <v>1001826060</v>
      </c>
      <c r="B2747" s="5" t="s">
        <v>23706</v>
      </c>
      <c r="C2747" s="5" t="s">
        <v>13459</v>
      </c>
      <c r="E2747" s="5"/>
      <c r="G2747" s="5">
        <v>31443144885016</v>
      </c>
      <c r="I2747" s="5" t="s">
        <v>25160</v>
      </c>
    </row>
    <row r="2748" spans="1:9" ht="12.5">
      <c r="A2748" s="5">
        <v>1103215411</v>
      </c>
      <c r="B2748" s="5" t="s">
        <v>23706</v>
      </c>
      <c r="C2748" s="5" t="s">
        <v>25161</v>
      </c>
      <c r="E2748" s="5"/>
      <c r="G2748" s="5">
        <v>3226634788</v>
      </c>
      <c r="I2748" s="5"/>
    </row>
    <row r="2749" spans="1:9" ht="12.5">
      <c r="A2749" s="5">
        <v>771146930</v>
      </c>
      <c r="B2749" s="5" t="s">
        <v>23706</v>
      </c>
      <c r="C2749" s="5" t="s">
        <v>13469</v>
      </c>
      <c r="E2749" s="5"/>
      <c r="G2749" s="5">
        <v>3112969038</v>
      </c>
      <c r="I2749" s="5" t="s">
        <v>25162</v>
      </c>
    </row>
    <row r="2750" spans="1:9" ht="12.5">
      <c r="A2750" s="5">
        <v>1001780688</v>
      </c>
      <c r="B2750" s="5" t="s">
        <v>23706</v>
      </c>
      <c r="C2750" s="5" t="s">
        <v>13475</v>
      </c>
      <c r="E2750" s="5"/>
      <c r="G2750" s="5">
        <v>3174870896</v>
      </c>
      <c r="I2750" s="5" t="s">
        <v>25163</v>
      </c>
    </row>
    <row r="2751" spans="1:9" ht="12.5">
      <c r="A2751" s="5">
        <v>1045751780</v>
      </c>
      <c r="B2751" s="5" t="s">
        <v>23706</v>
      </c>
      <c r="C2751" s="5" t="s">
        <v>13480</v>
      </c>
      <c r="E2751" s="5"/>
      <c r="G2751" s="5">
        <v>3002201240</v>
      </c>
      <c r="I2751" s="5" t="s">
        <v>25164</v>
      </c>
    </row>
    <row r="2752" spans="1:9" ht="12.5">
      <c r="A2752" s="5">
        <v>55225988</v>
      </c>
      <c r="B2752" s="5" t="s">
        <v>23706</v>
      </c>
      <c r="C2752" s="5" t="s">
        <v>13487</v>
      </c>
      <c r="E2752" s="5"/>
      <c r="G2752" s="5">
        <v>3016323295</v>
      </c>
      <c r="I2752" s="5" t="s">
        <v>25165</v>
      </c>
    </row>
    <row r="2753" spans="1:9" ht="12.5">
      <c r="A2753" s="5">
        <v>1143148257</v>
      </c>
      <c r="B2753" s="5" t="s">
        <v>23706</v>
      </c>
      <c r="C2753" s="5" t="s">
        <v>13491</v>
      </c>
      <c r="E2753" s="5"/>
      <c r="G2753" s="5">
        <v>53383245895338</v>
      </c>
      <c r="I2753" s="5" t="s">
        <v>25166</v>
      </c>
    </row>
    <row r="2754" spans="1:9" ht="12.5">
      <c r="A2754" s="5">
        <v>1045734114</v>
      </c>
      <c r="B2754" s="5" t="s">
        <v>23706</v>
      </c>
      <c r="C2754" s="5" t="s">
        <v>13502</v>
      </c>
      <c r="E2754" s="5"/>
      <c r="G2754" s="5">
        <v>3016510953</v>
      </c>
      <c r="I2754" s="5" t="s">
        <v>25167</v>
      </c>
    </row>
    <row r="2755" spans="1:9" ht="12.5">
      <c r="A2755" s="5">
        <v>1143255813</v>
      </c>
      <c r="B2755" s="5" t="s">
        <v>23706</v>
      </c>
      <c r="C2755" s="5" t="s">
        <v>25168</v>
      </c>
      <c r="E2755" s="5"/>
      <c r="G2755" s="5">
        <v>3002059201</v>
      </c>
      <c r="I2755" s="5" t="s">
        <v>25169</v>
      </c>
    </row>
    <row r="2756" spans="1:9" ht="12.5">
      <c r="A2756" s="5">
        <v>1093776262</v>
      </c>
      <c r="B2756" s="5" t="s">
        <v>23706</v>
      </c>
      <c r="C2756" s="5" t="s">
        <v>13511</v>
      </c>
      <c r="E2756" s="5"/>
      <c r="G2756" s="5">
        <v>3183494738</v>
      </c>
      <c r="I2756" s="5" t="s">
        <v>25170</v>
      </c>
    </row>
    <row r="2757" spans="1:9" ht="12.5">
      <c r="A2757" s="5">
        <v>1047054321</v>
      </c>
      <c r="B2757" s="5" t="s">
        <v>23706</v>
      </c>
      <c r="C2757" s="5" t="s">
        <v>13516</v>
      </c>
      <c r="E2757" s="5"/>
      <c r="G2757" s="5">
        <v>3008822165</v>
      </c>
      <c r="I2757" s="5"/>
    </row>
    <row r="2758" spans="1:9" ht="12.5">
      <c r="A2758" s="5">
        <v>72252127</v>
      </c>
      <c r="B2758" s="5" t="s">
        <v>23706</v>
      </c>
      <c r="C2758" s="5" t="s">
        <v>13528</v>
      </c>
      <c r="E2758" s="5"/>
      <c r="G2758" s="5">
        <v>3106831128</v>
      </c>
      <c r="I2758" s="5"/>
    </row>
    <row r="2759" spans="1:9" ht="12.5">
      <c r="A2759" s="5">
        <v>77181950</v>
      </c>
      <c r="B2759" s="5" t="s">
        <v>23706</v>
      </c>
      <c r="C2759" s="5" t="s">
        <v>13533</v>
      </c>
      <c r="E2759" s="5"/>
      <c r="G2759" s="5">
        <v>3126606039</v>
      </c>
      <c r="I2759" s="5"/>
    </row>
    <row r="2760" spans="1:9" ht="12.5">
      <c r="A2760" s="5">
        <v>1121897993</v>
      </c>
      <c r="B2760" s="5" t="s">
        <v>23706</v>
      </c>
      <c r="C2760" s="5" t="s">
        <v>13538</v>
      </c>
      <c r="E2760" s="5"/>
      <c r="G2760" s="5">
        <v>3134009314</v>
      </c>
      <c r="I2760" s="5" t="s">
        <v>25171</v>
      </c>
    </row>
    <row r="2761" spans="1:9" ht="12.5">
      <c r="A2761" s="5">
        <v>1039448336</v>
      </c>
      <c r="B2761" s="5" t="s">
        <v>23706</v>
      </c>
      <c r="C2761" s="5" t="s">
        <v>25172</v>
      </c>
      <c r="E2761" s="5"/>
      <c r="G2761" s="5">
        <v>3235851002</v>
      </c>
      <c r="I2761" s="5" t="s">
        <v>25173</v>
      </c>
    </row>
    <row r="2762" spans="1:9" ht="12.5">
      <c r="A2762" s="5">
        <v>1094572514</v>
      </c>
      <c r="B2762" s="5" t="s">
        <v>23706</v>
      </c>
      <c r="C2762" s="5" t="s">
        <v>13551</v>
      </c>
      <c r="E2762" s="5"/>
      <c r="G2762" s="5">
        <v>3124484094</v>
      </c>
      <c r="I2762" s="5" t="s">
        <v>25174</v>
      </c>
    </row>
    <row r="2763" spans="1:9" ht="12.5">
      <c r="A2763" s="5">
        <v>1140884929</v>
      </c>
      <c r="B2763" s="5" t="s">
        <v>23706</v>
      </c>
      <c r="C2763" s="5" t="s">
        <v>13557</v>
      </c>
      <c r="E2763" s="5"/>
      <c r="G2763" s="5">
        <v>3145549122</v>
      </c>
      <c r="I2763" s="5" t="s">
        <v>25175</v>
      </c>
    </row>
    <row r="2764" spans="1:9" ht="12.5">
      <c r="A2764" s="5">
        <v>1140857984</v>
      </c>
      <c r="B2764" s="5" t="s">
        <v>23706</v>
      </c>
      <c r="C2764" s="5" t="s">
        <v>13560</v>
      </c>
      <c r="E2764" s="5"/>
      <c r="G2764" s="5">
        <v>17863815004</v>
      </c>
      <c r="I2764" s="5" t="s">
        <v>25176</v>
      </c>
    </row>
    <row r="2765" spans="1:9" ht="12.5">
      <c r="A2765" s="5">
        <v>1083045561</v>
      </c>
      <c r="B2765" s="5" t="s">
        <v>23706</v>
      </c>
      <c r="C2765" s="5" t="s">
        <v>13567</v>
      </c>
      <c r="E2765" s="5"/>
      <c r="G2765" s="5">
        <v>3008588209</v>
      </c>
      <c r="I2765" s="5" t="s">
        <v>25177</v>
      </c>
    </row>
    <row r="2766" spans="1:9" ht="12.5">
      <c r="A2766" s="5">
        <v>1193414565</v>
      </c>
      <c r="B2766" s="5" t="s">
        <v>23706</v>
      </c>
      <c r="C2766" s="5" t="s">
        <v>13571</v>
      </c>
      <c r="E2766" s="5"/>
      <c r="G2766" s="5">
        <v>3243002224</v>
      </c>
      <c r="I2766" s="5"/>
    </row>
    <row r="2767" spans="1:9" ht="12.5">
      <c r="A2767" s="5">
        <v>1140824842</v>
      </c>
      <c r="B2767" s="5" t="s">
        <v>23706</v>
      </c>
      <c r="C2767" s="5" t="s">
        <v>25178</v>
      </c>
      <c r="E2767" s="5"/>
      <c r="G2767" s="5">
        <v>3182856122</v>
      </c>
      <c r="I2767" s="5" t="s">
        <v>25179</v>
      </c>
    </row>
    <row r="2768" spans="1:9" ht="12.5">
      <c r="A2768" s="5">
        <v>84452301</v>
      </c>
      <c r="B2768" s="5" t="s">
        <v>23706</v>
      </c>
      <c r="C2768" s="5" t="s">
        <v>13576</v>
      </c>
      <c r="E2768" s="5"/>
      <c r="G2768" s="5">
        <v>3004522108</v>
      </c>
      <c r="I2768" s="5" t="s">
        <v>23857</v>
      </c>
    </row>
    <row r="2769" spans="1:9" ht="12.5">
      <c r="A2769" s="5">
        <v>1140863160</v>
      </c>
      <c r="B2769" s="5" t="s">
        <v>23706</v>
      </c>
      <c r="C2769" s="5" t="s">
        <v>13579</v>
      </c>
      <c r="E2769" s="5"/>
      <c r="G2769" s="5">
        <v>3008049549</v>
      </c>
      <c r="I2769" s="5" t="s">
        <v>25180</v>
      </c>
    </row>
    <row r="2770" spans="1:9" ht="12.5">
      <c r="A2770" s="5">
        <v>1143132412</v>
      </c>
      <c r="B2770" s="5" t="s">
        <v>23706</v>
      </c>
      <c r="C2770" s="5" t="s">
        <v>13591</v>
      </c>
      <c r="E2770" s="5"/>
      <c r="G2770" s="5">
        <v>3015883041</v>
      </c>
      <c r="I2770" s="5" t="s">
        <v>25181</v>
      </c>
    </row>
    <row r="2771" spans="1:9" ht="12.5">
      <c r="A2771" s="5">
        <v>1129569178</v>
      </c>
      <c r="B2771" s="5" t="s">
        <v>23706</v>
      </c>
      <c r="C2771" s="5" t="s">
        <v>13585</v>
      </c>
      <c r="E2771" s="5"/>
      <c r="G2771" s="5">
        <v>3004918707</v>
      </c>
      <c r="I2771" s="5" t="s">
        <v>25182</v>
      </c>
    </row>
    <row r="2772" spans="1:9" ht="12.5">
      <c r="A2772" s="5">
        <v>1045746690</v>
      </c>
      <c r="B2772" s="5" t="s">
        <v>23706</v>
      </c>
      <c r="C2772" s="5" t="s">
        <v>25183</v>
      </c>
      <c r="E2772" s="5"/>
      <c r="G2772" s="5">
        <v>3017187188</v>
      </c>
      <c r="I2772" s="5" t="s">
        <v>25184</v>
      </c>
    </row>
    <row r="2773" spans="1:9" ht="12.5">
      <c r="A2773" s="5">
        <v>22736099</v>
      </c>
      <c r="B2773" s="5" t="s">
        <v>23706</v>
      </c>
      <c r="C2773" s="5" t="s">
        <v>13185</v>
      </c>
      <c r="E2773" s="5"/>
      <c r="G2773" s="5">
        <v>3126810333</v>
      </c>
      <c r="I2773" s="5" t="s">
        <v>25185</v>
      </c>
    </row>
    <row r="2774" spans="1:9" ht="12.5">
      <c r="A2774" s="5">
        <v>1041693339</v>
      </c>
      <c r="B2774" s="5" t="s">
        <v>23706</v>
      </c>
      <c r="C2774" s="5" t="s">
        <v>13817</v>
      </c>
      <c r="E2774" s="5"/>
      <c r="G2774" s="5">
        <v>3243585945</v>
      </c>
      <c r="I2774" s="5"/>
    </row>
    <row r="2775" spans="1:9" ht="12.5">
      <c r="A2775" s="5">
        <v>9014271967</v>
      </c>
      <c r="B2775" s="5" t="s">
        <v>23782</v>
      </c>
      <c r="C2775" s="5" t="s">
        <v>13612</v>
      </c>
      <c r="E2775" s="5"/>
      <c r="G2775" s="5">
        <v>3003858601</v>
      </c>
      <c r="I2775" s="5" t="s">
        <v>25186</v>
      </c>
    </row>
    <row r="2776" spans="1:9" ht="12.5">
      <c r="A2776" s="5">
        <v>80200237</v>
      </c>
      <c r="B2776" s="5" t="s">
        <v>23706</v>
      </c>
      <c r="C2776" s="5" t="s">
        <v>13622</v>
      </c>
      <c r="E2776" s="5"/>
      <c r="G2776" s="5">
        <v>3103615061</v>
      </c>
      <c r="I2776" s="5" t="s">
        <v>25187</v>
      </c>
    </row>
    <row r="2777" spans="1:9" ht="12.5">
      <c r="A2777" s="5">
        <v>72346037</v>
      </c>
      <c r="B2777" s="5" t="s">
        <v>23706</v>
      </c>
      <c r="C2777" s="5" t="s">
        <v>13626</v>
      </c>
      <c r="E2777" s="5"/>
      <c r="G2777" s="5">
        <v>3186000036</v>
      </c>
      <c r="I2777" s="5" t="s">
        <v>25188</v>
      </c>
    </row>
    <row r="2778" spans="1:9" ht="12.5">
      <c r="A2778" s="5">
        <v>1042850194</v>
      </c>
      <c r="B2778" s="5" t="s">
        <v>23706</v>
      </c>
      <c r="C2778" s="5" t="s">
        <v>13635</v>
      </c>
      <c r="E2778" s="5"/>
      <c r="G2778" s="5">
        <v>3244495614</v>
      </c>
      <c r="I2778" s="5"/>
    </row>
    <row r="2779" spans="1:9" ht="12.5">
      <c r="A2779" s="5">
        <v>1140832141</v>
      </c>
      <c r="B2779" s="5" t="s">
        <v>23706</v>
      </c>
      <c r="C2779" s="5" t="s">
        <v>13636</v>
      </c>
      <c r="E2779" s="5"/>
      <c r="G2779" s="5">
        <v>3106407759</v>
      </c>
      <c r="I2779" s="5" t="s">
        <v>25189</v>
      </c>
    </row>
    <row r="2780" spans="1:9" ht="12.5">
      <c r="A2780" s="5">
        <v>1079940497</v>
      </c>
      <c r="B2780" s="5" t="s">
        <v>23706</v>
      </c>
      <c r="C2780" s="5" t="s">
        <v>13642</v>
      </c>
      <c r="E2780" s="5"/>
      <c r="G2780" s="5">
        <v>3013019698</v>
      </c>
      <c r="I2780" s="5" t="s">
        <v>25190</v>
      </c>
    </row>
    <row r="2781" spans="1:9" ht="12.5">
      <c r="A2781" s="5">
        <v>1051743942</v>
      </c>
      <c r="B2781" s="5" t="s">
        <v>23706</v>
      </c>
      <c r="C2781" s="5" t="s">
        <v>13645</v>
      </c>
      <c r="E2781" s="5"/>
      <c r="G2781" s="5">
        <v>3233315915</v>
      </c>
      <c r="I2781" s="5" t="s">
        <v>25191</v>
      </c>
    </row>
    <row r="2782" spans="1:9" ht="12.5">
      <c r="A2782" s="5">
        <v>1006746018</v>
      </c>
      <c r="B2782" s="5" t="s">
        <v>23706</v>
      </c>
      <c r="C2782" s="5" t="s">
        <v>13651</v>
      </c>
      <c r="E2782" s="5"/>
      <c r="G2782" s="5">
        <v>3052988140</v>
      </c>
      <c r="I2782" s="5" t="s">
        <v>25192</v>
      </c>
    </row>
    <row r="2783" spans="1:9" ht="12.5">
      <c r="A2783" s="5">
        <v>1143143970</v>
      </c>
      <c r="B2783" s="5" t="s">
        <v>23706</v>
      </c>
      <c r="C2783" s="5" t="s">
        <v>13657</v>
      </c>
      <c r="E2783" s="5"/>
      <c r="G2783" s="5">
        <v>3007835381</v>
      </c>
      <c r="I2783" s="5"/>
    </row>
    <row r="2784" spans="1:9" ht="12.5">
      <c r="A2784" s="5">
        <v>1003243633</v>
      </c>
      <c r="B2784" s="5" t="s">
        <v>23706</v>
      </c>
      <c r="C2784" s="5" t="s">
        <v>13659</v>
      </c>
      <c r="E2784" s="5"/>
      <c r="G2784" s="5">
        <v>3205681382</v>
      </c>
      <c r="I2784" s="5"/>
    </row>
    <row r="2785" spans="1:9" ht="12.5">
      <c r="A2785" s="5">
        <v>1019054012</v>
      </c>
      <c r="B2785" s="5" t="s">
        <v>23706</v>
      </c>
      <c r="C2785" s="5" t="s">
        <v>13679</v>
      </c>
      <c r="E2785" s="5"/>
      <c r="G2785" s="5">
        <v>3183309978</v>
      </c>
      <c r="I2785" s="5"/>
    </row>
    <row r="2786" spans="1:9" ht="12.5">
      <c r="A2786" s="5">
        <v>72214745</v>
      </c>
      <c r="B2786" s="5" t="s">
        <v>23706</v>
      </c>
      <c r="C2786" s="5" t="s">
        <v>13692</v>
      </c>
      <c r="E2786" s="5"/>
      <c r="G2786" s="5">
        <v>3217755180</v>
      </c>
      <c r="I2786" s="5" t="s">
        <v>25193</v>
      </c>
    </row>
    <row r="2787" spans="1:9" ht="12.5">
      <c r="A2787" s="5">
        <v>1045712863</v>
      </c>
      <c r="B2787" s="5" t="s">
        <v>23706</v>
      </c>
      <c r="C2787" s="5" t="s">
        <v>25194</v>
      </c>
      <c r="E2787" s="5"/>
      <c r="G2787" s="5">
        <v>3017161751</v>
      </c>
      <c r="I2787" s="5"/>
    </row>
    <row r="2788" spans="1:9" ht="12.5">
      <c r="A2788" s="5">
        <v>1098718323</v>
      </c>
      <c r="B2788" s="5" t="s">
        <v>23706</v>
      </c>
      <c r="C2788" s="5" t="s">
        <v>13712</v>
      </c>
      <c r="E2788" s="5"/>
      <c r="G2788" s="5">
        <v>3014686030</v>
      </c>
      <c r="I2788" s="5"/>
    </row>
    <row r="2789" spans="1:9" ht="12.5">
      <c r="A2789" s="5">
        <v>1045720933</v>
      </c>
      <c r="B2789" s="5" t="s">
        <v>23706</v>
      </c>
      <c r="C2789" s="5" t="s">
        <v>13715</v>
      </c>
      <c r="E2789" s="5"/>
      <c r="G2789" s="5">
        <v>3017703687</v>
      </c>
      <c r="I2789" s="5"/>
    </row>
    <row r="2790" spans="1:9" ht="12.5">
      <c r="A2790" s="5">
        <v>20142244684</v>
      </c>
      <c r="B2790" s="5" t="s">
        <v>23706</v>
      </c>
      <c r="C2790" s="5" t="s">
        <v>13722</v>
      </c>
      <c r="E2790" s="5"/>
      <c r="G2790" s="5">
        <v>3008366418</v>
      </c>
      <c r="I2790" s="5" t="s">
        <v>25195</v>
      </c>
    </row>
    <row r="2791" spans="1:9" ht="12.5">
      <c r="A2791" s="5">
        <v>72215919</v>
      </c>
      <c r="B2791" s="5" t="s">
        <v>23706</v>
      </c>
      <c r="C2791" s="5" t="s">
        <v>13727</v>
      </c>
      <c r="E2791" s="5"/>
      <c r="G2791" s="5">
        <v>19543974714</v>
      </c>
      <c r="I2791" s="5"/>
    </row>
    <row r="2792" spans="1:9" ht="12.5">
      <c r="A2792" s="5">
        <v>1149865375</v>
      </c>
      <c r="B2792" s="5" t="s">
        <v>23706</v>
      </c>
      <c r="C2792" s="5" t="s">
        <v>13738</v>
      </c>
      <c r="E2792" s="5"/>
      <c r="G2792" s="5">
        <v>3004304422</v>
      </c>
      <c r="I2792" s="5"/>
    </row>
    <row r="2793" spans="1:9" ht="12.5">
      <c r="A2793" s="5">
        <v>72227395</v>
      </c>
      <c r="B2793" s="5" t="s">
        <v>23706</v>
      </c>
      <c r="C2793" s="5" t="s">
        <v>13743</v>
      </c>
      <c r="E2793" s="5"/>
      <c r="G2793" s="5">
        <v>3114121833</v>
      </c>
      <c r="I2793" s="5" t="s">
        <v>25196</v>
      </c>
    </row>
    <row r="2794" spans="1:9" ht="12.5">
      <c r="A2794" s="5">
        <v>1045753653</v>
      </c>
      <c r="B2794" s="5" t="s">
        <v>23706</v>
      </c>
      <c r="C2794" s="5" t="s">
        <v>13748</v>
      </c>
      <c r="E2794" s="5"/>
      <c r="G2794" s="5">
        <v>3187321627</v>
      </c>
      <c r="I2794" s="5"/>
    </row>
    <row r="2795" spans="1:9" ht="12.5">
      <c r="A2795" s="5">
        <v>91390153</v>
      </c>
      <c r="B2795" s="5" t="s">
        <v>23706</v>
      </c>
      <c r="C2795" s="5" t="s">
        <v>13752</v>
      </c>
      <c r="E2795" s="5"/>
      <c r="G2795" s="5">
        <v>3013882003</v>
      </c>
      <c r="I2795" s="5" t="s">
        <v>25197</v>
      </c>
    </row>
    <row r="2796" spans="1:9" ht="12.5">
      <c r="A2796" s="5">
        <v>72291437</v>
      </c>
      <c r="B2796" s="5" t="s">
        <v>23706</v>
      </c>
      <c r="C2796" s="5" t="s">
        <v>13756</v>
      </c>
      <c r="E2796" s="5"/>
      <c r="G2796" s="5">
        <v>3164708911</v>
      </c>
      <c r="H2796" s="5"/>
      <c r="I2796" s="5"/>
    </row>
    <row r="2797" spans="1:9" ht="12.5">
      <c r="A2797" s="5">
        <v>1140896351</v>
      </c>
      <c r="B2797" s="5" t="s">
        <v>23706</v>
      </c>
      <c r="C2797" s="5" t="s">
        <v>25198</v>
      </c>
      <c r="E2797" s="5"/>
      <c r="G2797" s="5">
        <v>3138510029</v>
      </c>
      <c r="H2797" s="5"/>
      <c r="I2797" s="5" t="s">
        <v>25199</v>
      </c>
    </row>
    <row r="2798" spans="1:9" ht="12.5">
      <c r="A2798" s="5">
        <v>1123438066</v>
      </c>
      <c r="B2798" s="5" t="s">
        <v>23706</v>
      </c>
      <c r="C2798" s="5" t="s">
        <v>13760</v>
      </c>
      <c r="E2798" s="5"/>
      <c r="G2798" s="5">
        <v>3024384118</v>
      </c>
      <c r="H2798" s="5"/>
      <c r="I2798" s="5" t="s">
        <v>25200</v>
      </c>
    </row>
    <row r="2799" spans="1:9" ht="12.5">
      <c r="A2799" s="5">
        <v>1140895489</v>
      </c>
      <c r="B2799" s="5" t="s">
        <v>23706</v>
      </c>
      <c r="C2799" s="5" t="s">
        <v>13765</v>
      </c>
      <c r="E2799" s="5"/>
      <c r="G2799" s="5">
        <v>3017717218</v>
      </c>
      <c r="H2799" s="5"/>
      <c r="I2799" s="5" t="s">
        <v>25201</v>
      </c>
    </row>
    <row r="2800" spans="1:9" ht="12.5">
      <c r="A2800" s="5">
        <v>1068421420</v>
      </c>
      <c r="B2800" s="5" t="s">
        <v>23706</v>
      </c>
      <c r="C2800" s="5" t="s">
        <v>13770</v>
      </c>
      <c r="E2800" s="5"/>
      <c r="G2800" s="5">
        <v>3206470322</v>
      </c>
      <c r="H2800" s="5"/>
      <c r="I2800" s="5" t="s">
        <v>25202</v>
      </c>
    </row>
    <row r="2801" spans="1:9" ht="12.5">
      <c r="A2801" s="5">
        <v>1047359157</v>
      </c>
      <c r="B2801" s="5" t="s">
        <v>23706</v>
      </c>
      <c r="C2801" s="5" t="s">
        <v>13777</v>
      </c>
      <c r="E2801" s="5"/>
      <c r="G2801" s="5">
        <v>3013258824</v>
      </c>
      <c r="H2801" s="5"/>
      <c r="I2801" s="5" t="s">
        <v>25203</v>
      </c>
    </row>
    <row r="2802" spans="1:9" ht="12.5">
      <c r="A2802" s="5">
        <v>1005663856</v>
      </c>
      <c r="B2802" s="5" t="s">
        <v>23706</v>
      </c>
      <c r="C2802" s="5" t="s">
        <v>13783</v>
      </c>
      <c r="E2802" s="5"/>
      <c r="G2802" s="5">
        <v>3042441999</v>
      </c>
      <c r="H2802" s="5"/>
      <c r="I2802" s="5" t="s">
        <v>25204</v>
      </c>
    </row>
    <row r="2803" spans="1:9" ht="12.5">
      <c r="A2803" s="5">
        <v>108356933</v>
      </c>
      <c r="B2803" s="5" t="s">
        <v>23706</v>
      </c>
      <c r="C2803" s="5" t="s">
        <v>12629</v>
      </c>
      <c r="E2803" s="5"/>
      <c r="G2803" s="5">
        <v>3112024333</v>
      </c>
      <c r="H2803" s="5"/>
      <c r="I2803" s="5" t="s">
        <v>25035</v>
      </c>
    </row>
    <row r="2804" spans="1:9" ht="12.5">
      <c r="A2804" s="5">
        <v>1048066728</v>
      </c>
      <c r="B2804" s="5" t="s">
        <v>23706</v>
      </c>
      <c r="C2804" s="5" t="s">
        <v>13796</v>
      </c>
      <c r="E2804" s="5"/>
      <c r="G2804" s="5">
        <v>3052578032</v>
      </c>
      <c r="H2804" s="5"/>
      <c r="I2804" s="5"/>
    </row>
    <row r="2805" spans="1:9" ht="12.5">
      <c r="A2805" s="5">
        <v>1068349991</v>
      </c>
      <c r="B2805" s="5" t="s">
        <v>23706</v>
      </c>
      <c r="C2805" s="5" t="s">
        <v>25205</v>
      </c>
      <c r="E2805" s="5"/>
      <c r="G2805" s="5">
        <v>3117776507</v>
      </c>
      <c r="H2805" s="5"/>
      <c r="I2805" s="5" t="s">
        <v>25206</v>
      </c>
    </row>
    <row r="2806" spans="1:9" ht="12.5">
      <c r="A2806" s="5">
        <v>1047237931</v>
      </c>
      <c r="B2806" s="5" t="s">
        <v>23706</v>
      </c>
      <c r="C2806" s="5" t="s">
        <v>13802</v>
      </c>
      <c r="E2806" s="5"/>
      <c r="G2806" s="5">
        <v>3052325427</v>
      </c>
      <c r="H2806" s="5"/>
      <c r="I2806" s="5" t="s">
        <v>25207</v>
      </c>
    </row>
    <row r="2807" spans="1:9" ht="12.5">
      <c r="A2807" s="5">
        <v>32584129</v>
      </c>
      <c r="B2807" s="5" t="s">
        <v>23706</v>
      </c>
      <c r="C2807" s="5" t="s">
        <v>13804</v>
      </c>
      <c r="E2807" s="5"/>
      <c r="G2807" s="5">
        <v>3116677797</v>
      </c>
      <c r="H2807" s="5"/>
      <c r="I2807" s="5" t="s">
        <v>25208</v>
      </c>
    </row>
    <row r="2808" spans="1:9" ht="12.5">
      <c r="A2808" s="5">
        <v>1234090855</v>
      </c>
      <c r="B2808" s="5" t="s">
        <v>23706</v>
      </c>
      <c r="C2808" s="5" t="s">
        <v>13809</v>
      </c>
      <c r="E2808" s="5"/>
      <c r="G2808" s="5">
        <v>3114301416</v>
      </c>
      <c r="H2808" s="5"/>
      <c r="I2808" s="5"/>
    </row>
    <row r="2809" spans="1:9" ht="12.5">
      <c r="A2809" s="5">
        <v>1234098186</v>
      </c>
      <c r="B2809" s="5" t="s">
        <v>23706</v>
      </c>
      <c r="C2809" s="5" t="s">
        <v>13813</v>
      </c>
      <c r="E2809" s="5"/>
      <c r="G2809" s="5">
        <v>3015327503</v>
      </c>
      <c r="H2809" s="5"/>
      <c r="I2809" s="5" t="s">
        <v>25209</v>
      </c>
    </row>
    <row r="2810" spans="1:9" ht="12.5">
      <c r="A2810" s="5">
        <v>1192795547</v>
      </c>
      <c r="B2810" s="5" t="s">
        <v>23706</v>
      </c>
      <c r="C2810" s="5" t="s">
        <v>13826</v>
      </c>
      <c r="E2810" s="5"/>
      <c r="G2810" s="5">
        <v>3023902381</v>
      </c>
      <c r="H2810" s="5"/>
      <c r="I2810" s="5" t="s">
        <v>25210</v>
      </c>
    </row>
    <row r="2811" spans="1:9" ht="12.5">
      <c r="A2811" s="5">
        <v>1081822582</v>
      </c>
      <c r="B2811" s="5" t="s">
        <v>23706</v>
      </c>
      <c r="C2811" s="5" t="s">
        <v>13830</v>
      </c>
      <c r="E2811" s="5"/>
      <c r="G2811" s="5">
        <v>3145948123</v>
      </c>
      <c r="H2811" s="5"/>
      <c r="I2811" s="5" t="s">
        <v>25211</v>
      </c>
    </row>
    <row r="2812" spans="1:9" ht="12.5">
      <c r="A2812" s="5">
        <v>1140886855</v>
      </c>
      <c r="B2812" s="5" t="s">
        <v>23706</v>
      </c>
      <c r="C2812" s="5" t="s">
        <v>13976</v>
      </c>
      <c r="E2812" s="5"/>
      <c r="G2812" s="5">
        <v>3502817351</v>
      </c>
      <c r="H2812" s="5"/>
      <c r="I2812" s="5" t="s">
        <v>25212</v>
      </c>
    </row>
    <row r="2813" spans="1:9" ht="12.5">
      <c r="A2813" s="5">
        <v>1042357434</v>
      </c>
      <c r="B2813" s="5" t="s">
        <v>23706</v>
      </c>
      <c r="C2813" s="5" t="s">
        <v>13835</v>
      </c>
      <c r="E2813" s="5"/>
      <c r="G2813" s="5">
        <v>3122768847</v>
      </c>
      <c r="H2813" s="5"/>
      <c r="I2813" s="5" t="s">
        <v>25213</v>
      </c>
    </row>
    <row r="2814" spans="1:9" ht="12.5">
      <c r="A2814" s="5">
        <v>1002000297</v>
      </c>
      <c r="B2814" s="5" t="s">
        <v>23706</v>
      </c>
      <c r="C2814" s="5" t="s">
        <v>13841</v>
      </c>
      <c r="E2814" s="5"/>
      <c r="G2814" s="5">
        <v>3106894979</v>
      </c>
      <c r="H2814" s="5"/>
      <c r="I2814" s="5"/>
    </row>
    <row r="2815" spans="1:9" ht="12.5">
      <c r="A2815" s="5">
        <v>8510650</v>
      </c>
      <c r="B2815" s="5" t="s">
        <v>23706</v>
      </c>
      <c r="C2815" s="5" t="s">
        <v>25214</v>
      </c>
      <c r="E2815" s="5"/>
      <c r="G2815" s="5">
        <v>3215472589</v>
      </c>
      <c r="H2815" s="5"/>
      <c r="I2815" s="5" t="s">
        <v>25215</v>
      </c>
    </row>
    <row r="2816" spans="1:9" ht="12.5">
      <c r="A2816" s="5">
        <v>1193048127</v>
      </c>
      <c r="B2816" s="5" t="s">
        <v>23706</v>
      </c>
      <c r="C2816" s="5" t="s">
        <v>13846</v>
      </c>
      <c r="E2816" s="5"/>
      <c r="G2816" s="5">
        <v>3006358140</v>
      </c>
      <c r="H2816" s="5"/>
      <c r="I2816" s="5" t="s">
        <v>25216</v>
      </c>
    </row>
    <row r="2817" spans="1:9" ht="12.5">
      <c r="A2817" s="5">
        <v>1001851396</v>
      </c>
      <c r="B2817" s="5" t="s">
        <v>23706</v>
      </c>
      <c r="C2817" s="5" t="s">
        <v>25217</v>
      </c>
      <c r="E2817" s="5"/>
      <c r="G2817" s="5">
        <v>77223045987722</v>
      </c>
      <c r="H2817" s="5"/>
      <c r="I2817" s="5" t="s">
        <v>25218</v>
      </c>
    </row>
    <row r="2818" spans="1:9" ht="12.5">
      <c r="A2818" s="5">
        <v>28252226</v>
      </c>
      <c r="B2818" s="5" t="s">
        <v>23706</v>
      </c>
      <c r="C2818" s="5" t="s">
        <v>13850</v>
      </c>
      <c r="E2818" s="5"/>
      <c r="G2818" s="5">
        <v>3234632212</v>
      </c>
      <c r="H2818" s="5"/>
      <c r="I2818" s="5" t="s">
        <v>25219</v>
      </c>
    </row>
    <row r="2819" spans="1:9" ht="12.5">
      <c r="A2819" s="5">
        <v>1042455744</v>
      </c>
      <c r="B2819" s="5" t="s">
        <v>23706</v>
      </c>
      <c r="C2819" s="5" t="s">
        <v>13857</v>
      </c>
      <c r="E2819" s="5"/>
      <c r="G2819" s="5">
        <v>34620769481</v>
      </c>
      <c r="H2819" s="5"/>
      <c r="I2819" s="5" t="s">
        <v>25220</v>
      </c>
    </row>
    <row r="2820" spans="1:9" ht="12.5">
      <c r="A2820" s="5">
        <v>103663571</v>
      </c>
      <c r="B2820" s="5" t="s">
        <v>23706</v>
      </c>
      <c r="C2820" s="5" t="s">
        <v>13863</v>
      </c>
      <c r="E2820" s="5"/>
      <c r="G2820" s="5">
        <v>3012463494</v>
      </c>
      <c r="H2820" s="5"/>
      <c r="I2820" s="5" t="s">
        <v>25221</v>
      </c>
    </row>
    <row r="2821" spans="1:9" ht="12.5">
      <c r="A2821" s="5">
        <v>1082944582</v>
      </c>
      <c r="B2821" s="5" t="s">
        <v>23706</v>
      </c>
      <c r="C2821" s="5" t="s">
        <v>13867</v>
      </c>
      <c r="E2821" s="5"/>
      <c r="G2821" s="5">
        <v>3186808218</v>
      </c>
      <c r="H2821" s="5"/>
      <c r="I2821" s="5" t="s">
        <v>25222</v>
      </c>
    </row>
    <row r="2822" spans="1:9" ht="12.5">
      <c r="A2822" s="5">
        <v>1140816178</v>
      </c>
      <c r="B2822" s="5" t="s">
        <v>23706</v>
      </c>
      <c r="C2822" s="5" t="s">
        <v>13874</v>
      </c>
      <c r="E2822" s="5"/>
      <c r="G2822" s="5">
        <v>3003591462</v>
      </c>
      <c r="H2822" s="5"/>
      <c r="I2822" s="5" t="s">
        <v>25223</v>
      </c>
    </row>
    <row r="2823" spans="1:9" ht="12.5">
      <c r="A2823" s="5">
        <v>1067728662</v>
      </c>
      <c r="B2823" s="5" t="s">
        <v>23706</v>
      </c>
      <c r="C2823" s="5" t="s">
        <v>13879</v>
      </c>
      <c r="E2823" s="5"/>
      <c r="G2823" s="5">
        <v>3045849541</v>
      </c>
      <c r="H2823" s="5"/>
      <c r="I2823" s="5" t="s">
        <v>25224</v>
      </c>
    </row>
    <row r="2824" spans="1:9" ht="12.5">
      <c r="A2824" s="5">
        <v>8301344095</v>
      </c>
      <c r="B2824" s="5" t="s">
        <v>23782</v>
      </c>
      <c r="C2824" s="5" t="s">
        <v>25225</v>
      </c>
      <c r="E2824" s="5"/>
      <c r="G2824" s="5">
        <v>3153826344</v>
      </c>
      <c r="H2824" s="5"/>
      <c r="I2824" s="5"/>
    </row>
    <row r="2825" spans="1:9" ht="12.5">
      <c r="A2825" s="5">
        <v>72293032</v>
      </c>
      <c r="B2825" s="5" t="s">
        <v>23706</v>
      </c>
      <c r="C2825" s="5" t="s">
        <v>13889</v>
      </c>
      <c r="E2825" s="5"/>
      <c r="G2825" s="5">
        <v>3175115454</v>
      </c>
      <c r="H2825" s="5"/>
      <c r="I2825" s="5"/>
    </row>
    <row r="2826" spans="1:9" ht="12.5">
      <c r="A2826" s="5">
        <v>13617311</v>
      </c>
      <c r="B2826" s="5" t="s">
        <v>23706</v>
      </c>
      <c r="C2826" s="5" t="s">
        <v>13894</v>
      </c>
      <c r="E2826" s="5"/>
      <c r="G2826" s="5">
        <v>3173579313</v>
      </c>
      <c r="H2826" s="5"/>
      <c r="I2826" s="5" t="s">
        <v>25226</v>
      </c>
    </row>
    <row r="2827" spans="1:9" ht="12.5">
      <c r="A2827" s="5">
        <v>1123400657</v>
      </c>
      <c r="B2827" s="5" t="s">
        <v>23706</v>
      </c>
      <c r="C2827" s="5" t="s">
        <v>13904</v>
      </c>
      <c r="E2827" s="5"/>
      <c r="G2827" s="5">
        <v>3004826083</v>
      </c>
      <c r="H2827" s="5"/>
      <c r="I2827" s="5" t="s">
        <v>25227</v>
      </c>
    </row>
    <row r="2828" spans="1:9" ht="12.5">
      <c r="A2828" s="5">
        <v>1118862038</v>
      </c>
      <c r="B2828" s="5" t="s">
        <v>23706</v>
      </c>
      <c r="C2828" s="5" t="s">
        <v>13913</v>
      </c>
      <c r="E2828" s="5"/>
      <c r="G2828" s="5">
        <v>3127035334</v>
      </c>
      <c r="H2828" s="5"/>
      <c r="I2828" s="5" t="s">
        <v>25228</v>
      </c>
    </row>
    <row r="2829" spans="1:9" ht="12.5">
      <c r="A2829" s="5">
        <v>1017252955</v>
      </c>
      <c r="B2829" s="5" t="s">
        <v>23706</v>
      </c>
      <c r="C2829" s="5" t="s">
        <v>13918</v>
      </c>
      <c r="E2829" s="5"/>
      <c r="G2829" s="5">
        <v>3014139346</v>
      </c>
      <c r="H2829" s="5"/>
      <c r="I2829" s="5"/>
    </row>
    <row r="2830" spans="1:9" ht="12.5">
      <c r="A2830" s="5">
        <v>1140849012</v>
      </c>
      <c r="B2830" s="5" t="s">
        <v>23706</v>
      </c>
      <c r="C2830" s="5" t="s">
        <v>13923</v>
      </c>
      <c r="E2830" s="5"/>
      <c r="G2830" s="5">
        <v>3505478522</v>
      </c>
      <c r="H2830" s="5"/>
      <c r="I2830" s="5"/>
    </row>
    <row r="2831" spans="1:9" ht="12.5">
      <c r="A2831" s="5">
        <v>1193325232</v>
      </c>
      <c r="B2831" s="5" t="s">
        <v>23706</v>
      </c>
      <c r="C2831" s="5" t="s">
        <v>25229</v>
      </c>
      <c r="E2831" s="5"/>
      <c r="G2831" s="5">
        <v>3218502741</v>
      </c>
      <c r="H2831" s="5"/>
      <c r="I2831" s="5" t="s">
        <v>25230</v>
      </c>
    </row>
    <row r="2832" spans="1:9" ht="12.5">
      <c r="A2832" s="5">
        <v>1045170036</v>
      </c>
      <c r="B2832" s="5" t="s">
        <v>23706</v>
      </c>
      <c r="C2832" s="5" t="s">
        <v>13924</v>
      </c>
      <c r="E2832" s="5"/>
      <c r="G2832" s="5">
        <v>3017997710</v>
      </c>
      <c r="H2832" s="5"/>
      <c r="I2832" s="5" t="s">
        <v>25231</v>
      </c>
    </row>
    <row r="2833" spans="1:9" ht="12.5">
      <c r="A2833" s="5">
        <v>1045742978</v>
      </c>
      <c r="B2833" s="5" t="s">
        <v>23706</v>
      </c>
      <c r="C2833" s="5" t="s">
        <v>13929</v>
      </c>
      <c r="E2833" s="5"/>
      <c r="G2833" s="5">
        <v>3176637</v>
      </c>
      <c r="H2833" s="5"/>
      <c r="I2833" s="5"/>
    </row>
    <row r="2834" spans="1:9" ht="12.5">
      <c r="A2834" s="5">
        <v>1004372836</v>
      </c>
      <c r="B2834" s="5" t="s">
        <v>23706</v>
      </c>
      <c r="C2834" s="5" t="s">
        <v>13932</v>
      </c>
      <c r="E2834" s="5"/>
      <c r="G2834" s="5">
        <v>3114239021</v>
      </c>
      <c r="H2834" s="5"/>
      <c r="I2834" s="5" t="s">
        <v>25232</v>
      </c>
    </row>
    <row r="2835" spans="1:9" ht="12.5">
      <c r="A2835" s="5">
        <v>1234093992</v>
      </c>
      <c r="B2835" s="5" t="s">
        <v>23706</v>
      </c>
      <c r="C2835" s="5" t="s">
        <v>13940</v>
      </c>
      <c r="E2835" s="5"/>
      <c r="G2835" s="5">
        <v>3015934541</v>
      </c>
      <c r="H2835" s="5"/>
      <c r="I2835" s="5"/>
    </row>
    <row r="2836" spans="1:9" ht="12.5">
      <c r="A2836" s="5">
        <v>1235539051</v>
      </c>
      <c r="B2836" s="5" t="s">
        <v>23706</v>
      </c>
      <c r="C2836" s="5" t="s">
        <v>13942</v>
      </c>
      <c r="E2836" s="5"/>
      <c r="G2836" s="5">
        <v>3016147069</v>
      </c>
      <c r="H2836" s="5"/>
      <c r="I2836" s="5" t="s">
        <v>25233</v>
      </c>
    </row>
    <row r="2837" spans="1:9" ht="12.5">
      <c r="A2837" s="5">
        <v>1140856006</v>
      </c>
      <c r="B2837" s="5" t="s">
        <v>23706</v>
      </c>
      <c r="C2837" s="5" t="s">
        <v>13948</v>
      </c>
      <c r="E2837" s="5"/>
      <c r="G2837" s="5">
        <v>3006489514</v>
      </c>
      <c r="H2837" s="5"/>
      <c r="I2837" s="5"/>
    </row>
    <row r="2838" spans="1:9" ht="12.5">
      <c r="A2838" s="5">
        <v>1131085553</v>
      </c>
      <c r="B2838" s="5" t="s">
        <v>23706</v>
      </c>
      <c r="C2838" s="5" t="s">
        <v>13952</v>
      </c>
      <c r="E2838" s="5"/>
      <c r="G2838" s="5">
        <v>3204208147</v>
      </c>
      <c r="H2838" s="5"/>
      <c r="I2838" s="5" t="s">
        <v>25234</v>
      </c>
    </row>
    <row r="2839" spans="1:9" ht="12.5">
      <c r="A2839" s="5">
        <v>1124000815</v>
      </c>
      <c r="B2839" s="5" t="s">
        <v>23706</v>
      </c>
      <c r="C2839" s="5" t="s">
        <v>14423</v>
      </c>
      <c r="E2839" s="5"/>
      <c r="G2839" s="5">
        <v>531683838</v>
      </c>
      <c r="H2839" s="5"/>
      <c r="I2839" s="5" t="s">
        <v>25235</v>
      </c>
    </row>
    <row r="2840" spans="1:9" ht="12.5">
      <c r="A2840" s="5">
        <v>92530141</v>
      </c>
      <c r="B2840" s="5" t="s">
        <v>23706</v>
      </c>
      <c r="C2840" s="5" t="s">
        <v>13957</v>
      </c>
      <c r="E2840" s="5"/>
      <c r="G2840" s="5">
        <v>3005873865</v>
      </c>
      <c r="H2840" s="5"/>
      <c r="I2840" s="5"/>
    </row>
    <row r="2841" spans="1:9" ht="12.5">
      <c r="A2841" s="5">
        <v>1100692307</v>
      </c>
      <c r="B2841" s="5" t="s">
        <v>23706</v>
      </c>
      <c r="C2841" s="5" t="s">
        <v>13969</v>
      </c>
      <c r="E2841" s="5"/>
      <c r="G2841" s="5">
        <v>3003322666</v>
      </c>
      <c r="H2841" s="5"/>
      <c r="I2841" s="5"/>
    </row>
    <row r="2842" spans="1:9" ht="12.5">
      <c r="A2842" s="5">
        <v>1010108485</v>
      </c>
      <c r="B2842" s="5" t="s">
        <v>23706</v>
      </c>
      <c r="C2842" s="5" t="s">
        <v>25236</v>
      </c>
      <c r="E2842" s="5"/>
      <c r="G2842" s="5">
        <v>13688860634</v>
      </c>
      <c r="H2842" s="5"/>
      <c r="I2842" s="5" t="s">
        <v>25237</v>
      </c>
    </row>
    <row r="2843" spans="1:9" ht="12.5">
      <c r="A2843" s="5">
        <v>32896361</v>
      </c>
      <c r="B2843" s="5" t="s">
        <v>23706</v>
      </c>
      <c r="C2843" s="5" t="s">
        <v>13970</v>
      </c>
      <c r="E2843" s="5"/>
      <c r="G2843" s="5">
        <v>3133861423</v>
      </c>
      <c r="H2843" s="5"/>
      <c r="I2843" s="5"/>
    </row>
    <row r="2844" spans="1:9" ht="12.5">
      <c r="A2844" s="5">
        <v>5930583</v>
      </c>
      <c r="B2844" s="5" t="s">
        <v>23706</v>
      </c>
      <c r="C2844" s="5" t="s">
        <v>13972</v>
      </c>
      <c r="E2844" s="5"/>
      <c r="G2844" s="5">
        <v>3004214517</v>
      </c>
      <c r="H2844" s="5"/>
      <c r="I2844" s="5" t="s">
        <v>25238</v>
      </c>
    </row>
    <row r="2845" spans="1:9" ht="12.5">
      <c r="A2845" s="5">
        <v>1067728702</v>
      </c>
      <c r="B2845" s="5" t="s">
        <v>23706</v>
      </c>
      <c r="C2845" s="5" t="s">
        <v>13979</v>
      </c>
      <c r="E2845" s="5"/>
      <c r="G2845" s="5">
        <v>3188709938</v>
      </c>
      <c r="H2845" s="5"/>
      <c r="I2845" s="5" t="s">
        <v>25239</v>
      </c>
    </row>
    <row r="2846" spans="1:9" ht="12.5">
      <c r="A2846" s="5">
        <v>1140876846</v>
      </c>
      <c r="B2846" s="5" t="s">
        <v>23706</v>
      </c>
      <c r="C2846" s="5" t="s">
        <v>13983</v>
      </c>
      <c r="E2846" s="5"/>
      <c r="G2846" s="5">
        <v>3013726870</v>
      </c>
      <c r="H2846" s="5"/>
      <c r="I2846" s="5"/>
    </row>
    <row r="2847" spans="1:9" ht="12.5">
      <c r="A2847" s="5">
        <v>32940456</v>
      </c>
      <c r="B2847" s="5" t="s">
        <v>23706</v>
      </c>
      <c r="C2847" s="5" t="s">
        <v>13989</v>
      </c>
      <c r="E2847" s="5"/>
      <c r="G2847" s="5">
        <v>3052429073</v>
      </c>
      <c r="H2847" s="5"/>
      <c r="I2847" s="5" t="s">
        <v>25240</v>
      </c>
    </row>
    <row r="2848" spans="1:9" ht="12.5">
      <c r="A2848" s="5">
        <v>0</v>
      </c>
      <c r="B2848" s="5" t="s">
        <v>23706</v>
      </c>
      <c r="C2848" s="5" t="s">
        <v>13993</v>
      </c>
      <c r="E2848" s="5"/>
      <c r="G2848" s="5">
        <v>12398497780</v>
      </c>
      <c r="H2848" s="5"/>
      <c r="I2848" s="5" t="s">
        <v>25241</v>
      </c>
    </row>
    <row r="2849" spans="1:9" ht="12.5">
      <c r="A2849" s="5">
        <v>1045691469</v>
      </c>
      <c r="B2849" s="5" t="s">
        <v>23706</v>
      </c>
      <c r="C2849" s="5" t="s">
        <v>25242</v>
      </c>
      <c r="E2849" s="5"/>
      <c r="G2849" s="5">
        <v>3005371942</v>
      </c>
      <c r="H2849" s="5"/>
      <c r="I2849" s="5"/>
    </row>
    <row r="2850" spans="1:9" ht="12.5">
      <c r="A2850" s="5">
        <v>55230210</v>
      </c>
      <c r="B2850" s="5" t="s">
        <v>23706</v>
      </c>
      <c r="C2850" s="5" t="s">
        <v>25243</v>
      </c>
      <c r="E2850" s="5"/>
      <c r="G2850" s="5">
        <v>3160560530</v>
      </c>
      <c r="H2850" s="5"/>
      <c r="I2850" s="5" t="s">
        <v>25244</v>
      </c>
    </row>
    <row r="2851" spans="1:9" ht="12.5">
      <c r="A2851" s="5">
        <v>1098744385</v>
      </c>
      <c r="B2851" s="5" t="s">
        <v>23706</v>
      </c>
      <c r="C2851" s="5" t="s">
        <v>13998</v>
      </c>
      <c r="E2851" s="5"/>
      <c r="G2851" s="5">
        <v>3105585460</v>
      </c>
      <c r="H2851" s="5"/>
      <c r="I2851" s="5" t="s">
        <v>25245</v>
      </c>
    </row>
    <row r="2852" spans="1:9" ht="12.5">
      <c r="A2852" s="5">
        <v>7475817</v>
      </c>
      <c r="B2852" s="5" t="s">
        <v>23706</v>
      </c>
      <c r="C2852" s="5" t="s">
        <v>14004</v>
      </c>
      <c r="E2852" s="5"/>
      <c r="G2852" s="5">
        <v>3106336999</v>
      </c>
      <c r="H2852" s="5"/>
      <c r="I2852" s="5"/>
    </row>
    <row r="2853" spans="1:9" ht="12.5">
      <c r="A2853" s="5">
        <v>1064188004</v>
      </c>
      <c r="B2853" s="5" t="s">
        <v>23706</v>
      </c>
      <c r="C2853" s="5" t="s">
        <v>25246</v>
      </c>
      <c r="E2853" s="5"/>
      <c r="G2853" s="5">
        <v>3006909820</v>
      </c>
      <c r="H2853" s="5"/>
      <c r="I2853" s="5" t="s">
        <v>25247</v>
      </c>
    </row>
    <row r="2854" spans="1:9" ht="12.5">
      <c r="A2854" s="5">
        <v>1234095923</v>
      </c>
      <c r="B2854" s="5" t="s">
        <v>23706</v>
      </c>
      <c r="C2854" s="5" t="s">
        <v>14006</v>
      </c>
      <c r="E2854" s="5"/>
      <c r="G2854" s="5">
        <v>3145417064</v>
      </c>
      <c r="H2854" s="5"/>
      <c r="I2854" s="5" t="s">
        <v>25248</v>
      </c>
    </row>
    <row r="2855" spans="1:9" ht="12.5">
      <c r="A2855" s="5">
        <v>1143466960</v>
      </c>
      <c r="B2855" s="5" t="s">
        <v>23706</v>
      </c>
      <c r="C2855" s="5" t="s">
        <v>14011</v>
      </c>
      <c r="E2855" s="5"/>
      <c r="G2855" s="5">
        <v>3116629388</v>
      </c>
      <c r="H2855" s="5"/>
      <c r="I2855" s="5" t="s">
        <v>25249</v>
      </c>
    </row>
    <row r="2856" spans="1:9" ht="12.5">
      <c r="A2856" s="5">
        <v>1129565567</v>
      </c>
      <c r="B2856" s="5" t="s">
        <v>23706</v>
      </c>
      <c r="C2856" s="5" t="s">
        <v>14022</v>
      </c>
      <c r="E2856" s="5"/>
      <c r="G2856" s="5">
        <v>3013506011</v>
      </c>
      <c r="H2856" s="5"/>
      <c r="I2856" s="5"/>
    </row>
    <row r="2857" spans="1:9" ht="12.5">
      <c r="A2857" s="5">
        <v>17160915</v>
      </c>
      <c r="B2857" s="5" t="s">
        <v>23706</v>
      </c>
      <c r="C2857" s="5" t="s">
        <v>14026</v>
      </c>
      <c r="E2857" s="5"/>
      <c r="G2857" s="5">
        <v>3186228967</v>
      </c>
      <c r="H2857" s="5"/>
      <c r="I2857" s="5"/>
    </row>
    <row r="2858" spans="1:9" ht="12.5">
      <c r="A2858" s="5">
        <v>1043013939</v>
      </c>
      <c r="B2858" s="5" t="s">
        <v>23706</v>
      </c>
      <c r="C2858" s="5">
        <v>3246899919</v>
      </c>
      <c r="E2858" s="5"/>
      <c r="G2858" s="5">
        <v>3246899919</v>
      </c>
      <c r="H2858" s="5"/>
      <c r="I2858" s="5" t="s">
        <v>25250</v>
      </c>
    </row>
    <row r="2859" spans="1:9" ht="12.5">
      <c r="A2859" s="5">
        <v>1082494165</v>
      </c>
      <c r="B2859" s="5" t="s">
        <v>23706</v>
      </c>
      <c r="C2859" s="5" t="s">
        <v>13308</v>
      </c>
      <c r="E2859" s="5"/>
      <c r="G2859" s="5">
        <v>3128297775</v>
      </c>
      <c r="H2859" s="5"/>
      <c r="I2859" s="5" t="s">
        <v>25251</v>
      </c>
    </row>
    <row r="2860" spans="1:9" ht="12.5">
      <c r="A2860" s="5">
        <v>1048092563</v>
      </c>
      <c r="B2860" s="5" t="s">
        <v>23706</v>
      </c>
      <c r="C2860" s="5" t="s">
        <v>14185</v>
      </c>
      <c r="E2860" s="5"/>
      <c r="G2860" s="5">
        <v>3126314688</v>
      </c>
      <c r="H2860" s="5"/>
      <c r="I2860" s="5" t="s">
        <v>25252</v>
      </c>
    </row>
    <row r="2861" spans="1:9" ht="12.5">
      <c r="A2861" s="5">
        <v>1002209205</v>
      </c>
      <c r="B2861" s="5" t="s">
        <v>23706</v>
      </c>
      <c r="C2861" s="5" t="s">
        <v>14045</v>
      </c>
      <c r="E2861" s="5"/>
      <c r="G2861" s="5">
        <v>3107063615</v>
      </c>
      <c r="H2861" s="5"/>
      <c r="I2861" s="5"/>
    </row>
    <row r="2862" spans="1:9" ht="12.5">
      <c r="A2862" s="5">
        <v>1052096854</v>
      </c>
      <c r="B2862" s="5" t="s">
        <v>23706</v>
      </c>
      <c r="C2862" s="5" t="s">
        <v>25253</v>
      </c>
      <c r="E2862" s="5"/>
      <c r="G2862" s="5">
        <v>3242014897</v>
      </c>
      <c r="H2862" s="5"/>
      <c r="I2862" s="5"/>
    </row>
    <row r="2863" spans="1:9" ht="12.5">
      <c r="A2863" s="5">
        <v>1146534000</v>
      </c>
      <c r="B2863" s="5" t="s">
        <v>23706</v>
      </c>
      <c r="C2863" s="5" t="s">
        <v>25254</v>
      </c>
      <c r="E2863" s="5"/>
      <c r="G2863" s="5">
        <v>3104169209</v>
      </c>
      <c r="H2863" s="5"/>
      <c r="I2863" s="5" t="s">
        <v>25255</v>
      </c>
    </row>
    <row r="2864" spans="1:9" ht="12.5">
      <c r="A2864" s="5">
        <v>1192816613</v>
      </c>
      <c r="B2864" s="5" t="s">
        <v>23706</v>
      </c>
      <c r="C2864" s="5" t="s">
        <v>14050</v>
      </c>
      <c r="E2864" s="5"/>
      <c r="G2864" s="5">
        <v>3028023810</v>
      </c>
      <c r="H2864" s="5"/>
      <c r="I2864" s="5" t="s">
        <v>25256</v>
      </c>
    </row>
    <row r="2865" spans="1:9" ht="12.5">
      <c r="A2865" s="5">
        <v>22467756</v>
      </c>
      <c r="B2865" s="5" t="s">
        <v>23706</v>
      </c>
      <c r="C2865" s="5" t="s">
        <v>14062</v>
      </c>
      <c r="E2865" s="5"/>
      <c r="G2865" s="5">
        <v>3004400740</v>
      </c>
      <c r="H2865" s="5"/>
      <c r="I2865" s="5" t="s">
        <v>25257</v>
      </c>
    </row>
    <row r="2866" spans="1:9" ht="12.5">
      <c r="A2866" s="5">
        <v>1143244702</v>
      </c>
      <c r="B2866" s="5" t="s">
        <v>23706</v>
      </c>
      <c r="C2866" s="5" t="s">
        <v>25258</v>
      </c>
      <c r="E2866" s="5"/>
      <c r="G2866" s="5">
        <v>3014368916</v>
      </c>
      <c r="H2866" s="5"/>
      <c r="I2866" s="5" t="s">
        <v>25259</v>
      </c>
    </row>
    <row r="2867" spans="1:9" ht="12.5">
      <c r="A2867" s="5">
        <v>1001914291</v>
      </c>
      <c r="B2867" s="5" t="s">
        <v>23706</v>
      </c>
      <c r="C2867" s="5" t="s">
        <v>14067</v>
      </c>
      <c r="E2867" s="5"/>
      <c r="G2867" s="5">
        <v>3136454703</v>
      </c>
      <c r="H2867" s="5"/>
      <c r="I2867" s="5" t="s">
        <v>25260</v>
      </c>
    </row>
    <row r="2868" spans="1:9" ht="12.5">
      <c r="A2868" s="5">
        <v>1002022611</v>
      </c>
      <c r="B2868" s="5" t="s">
        <v>23706</v>
      </c>
      <c r="C2868" s="5" t="s">
        <v>14072</v>
      </c>
      <c r="E2868" s="5"/>
      <c r="G2868" s="5">
        <v>3238048114</v>
      </c>
      <c r="H2868" s="5"/>
      <c r="I2868" s="5"/>
    </row>
    <row r="2869" spans="1:9" ht="12.5">
      <c r="A2869" s="5">
        <v>1004891869</v>
      </c>
      <c r="B2869" s="5" t="s">
        <v>23706</v>
      </c>
      <c r="C2869" s="5" t="s">
        <v>14074</v>
      </c>
      <c r="E2869" s="5"/>
      <c r="G2869" s="5">
        <v>3154447302</v>
      </c>
      <c r="H2869" s="5"/>
      <c r="I2869" s="5" t="s">
        <v>25261</v>
      </c>
    </row>
    <row r="2870" spans="1:9" ht="12.5">
      <c r="A2870" s="5">
        <v>1140852613</v>
      </c>
      <c r="B2870" s="5" t="s">
        <v>23706</v>
      </c>
      <c r="C2870" s="5" t="s">
        <v>14080</v>
      </c>
      <c r="E2870" s="5"/>
      <c r="G2870" s="5">
        <v>3015889880</v>
      </c>
      <c r="H2870" s="5"/>
      <c r="I2870" s="5" t="s">
        <v>25262</v>
      </c>
    </row>
    <row r="2871" spans="1:9" ht="12.5">
      <c r="A2871" s="5">
        <v>1002158975</v>
      </c>
      <c r="B2871" s="5" t="s">
        <v>23706</v>
      </c>
      <c r="C2871" s="5" t="s">
        <v>14082</v>
      </c>
      <c r="E2871" s="5"/>
      <c r="G2871" s="5">
        <v>3150491518</v>
      </c>
      <c r="H2871" s="5"/>
      <c r="I2871" s="5" t="s">
        <v>25263</v>
      </c>
    </row>
    <row r="2872" spans="1:9" ht="12.5">
      <c r="A2872" s="5">
        <v>1001946049</v>
      </c>
      <c r="B2872" s="5" t="s">
        <v>23706</v>
      </c>
      <c r="C2872" s="5" t="s">
        <v>14087</v>
      </c>
      <c r="E2872" s="5"/>
      <c r="G2872" s="5">
        <v>3005273265</v>
      </c>
      <c r="H2872" s="5"/>
      <c r="I2872" s="5" t="s">
        <v>25264</v>
      </c>
    </row>
    <row r="2873" spans="1:9" ht="12.5">
      <c r="A2873" s="5">
        <v>1043672241</v>
      </c>
      <c r="B2873" s="5" t="s">
        <v>23706</v>
      </c>
      <c r="C2873" s="5" t="s">
        <v>14092</v>
      </c>
      <c r="E2873" s="5"/>
      <c r="G2873" s="5">
        <v>3007358551</v>
      </c>
      <c r="H2873" s="5"/>
      <c r="I2873" s="5"/>
    </row>
    <row r="2874" spans="1:9" ht="12.5">
      <c r="A2874" s="5">
        <v>1003124149</v>
      </c>
      <c r="B2874" s="5" t="s">
        <v>23706</v>
      </c>
      <c r="C2874" s="5" t="s">
        <v>14096</v>
      </c>
      <c r="E2874" s="5"/>
      <c r="G2874" s="5">
        <v>3152727192</v>
      </c>
      <c r="H2874" s="5"/>
      <c r="I2874" s="5"/>
    </row>
    <row r="2875" spans="1:9" ht="12.5">
      <c r="A2875" s="5">
        <v>1047036112</v>
      </c>
      <c r="B2875" s="5" t="s">
        <v>23706</v>
      </c>
      <c r="C2875" s="5" t="s">
        <v>14101</v>
      </c>
      <c r="E2875" s="5"/>
      <c r="G2875" s="5">
        <v>3009477121</v>
      </c>
      <c r="H2875" s="5"/>
      <c r="I2875" s="5" t="s">
        <v>25265</v>
      </c>
    </row>
    <row r="2876" spans="1:9" ht="12.5">
      <c r="A2876" s="5">
        <v>72172533</v>
      </c>
      <c r="B2876" s="5" t="s">
        <v>23706</v>
      </c>
      <c r="C2876" s="5" t="s">
        <v>14106</v>
      </c>
      <c r="E2876" s="5"/>
      <c r="G2876" s="5">
        <v>3208395916</v>
      </c>
      <c r="H2876" s="5"/>
      <c r="I2876" s="5" t="s">
        <v>25266</v>
      </c>
    </row>
    <row r="2877" spans="1:9" ht="12.5">
      <c r="A2877" s="5">
        <v>1126038022</v>
      </c>
      <c r="B2877" s="5" t="s">
        <v>23706</v>
      </c>
      <c r="C2877" s="5" t="s">
        <v>14111</v>
      </c>
      <c r="E2877" s="5"/>
      <c r="G2877" s="5">
        <v>3008446022</v>
      </c>
      <c r="H2877" s="5"/>
      <c r="I2877" s="5" t="s">
        <v>25267</v>
      </c>
    </row>
    <row r="2878" spans="1:9" ht="12.5">
      <c r="A2878" s="5">
        <v>1193541236</v>
      </c>
      <c r="B2878" s="5" t="s">
        <v>23706</v>
      </c>
      <c r="C2878" s="5" t="s">
        <v>25268</v>
      </c>
      <c r="E2878" s="5"/>
      <c r="G2878" s="5">
        <v>233207065723</v>
      </c>
      <c r="H2878" s="5"/>
      <c r="I2878" s="5" t="s">
        <v>25269</v>
      </c>
    </row>
    <row r="2879" spans="1:9" ht="12.5">
      <c r="A2879" s="5">
        <v>1001892146</v>
      </c>
      <c r="B2879" s="5" t="s">
        <v>23706</v>
      </c>
      <c r="C2879" s="5" t="s">
        <v>25270</v>
      </c>
      <c r="E2879" s="5"/>
      <c r="G2879" s="5">
        <v>3150553369</v>
      </c>
      <c r="H2879" s="5"/>
      <c r="I2879" s="5" t="s">
        <v>25271</v>
      </c>
    </row>
    <row r="2880" spans="1:9" ht="12.5">
      <c r="A2880" s="5">
        <v>55313230</v>
      </c>
      <c r="B2880" s="5" t="s">
        <v>23706</v>
      </c>
      <c r="C2880" s="5" t="s">
        <v>14116</v>
      </c>
      <c r="E2880" s="5"/>
      <c r="G2880" s="5">
        <v>3006498138</v>
      </c>
      <c r="H2880" s="5"/>
      <c r="I2880" s="5" t="s">
        <v>25272</v>
      </c>
    </row>
    <row r="2881" spans="1:9" ht="12.5">
      <c r="A2881" s="5">
        <v>800141</v>
      </c>
      <c r="B2881" s="5" t="s">
        <v>23706</v>
      </c>
      <c r="C2881" s="5" t="s">
        <v>14126</v>
      </c>
      <c r="E2881" s="5"/>
      <c r="G2881" s="5">
        <v>34644380068</v>
      </c>
      <c r="H2881" s="5"/>
      <c r="I2881" s="5" t="s">
        <v>25273</v>
      </c>
    </row>
    <row r="2882" spans="1:9" ht="12.5">
      <c r="A2882" s="5">
        <v>1044219368</v>
      </c>
      <c r="B2882" s="5" t="s">
        <v>23706</v>
      </c>
      <c r="C2882" s="5" t="s">
        <v>14132</v>
      </c>
      <c r="E2882" s="5"/>
      <c r="G2882" s="5">
        <v>3007524271</v>
      </c>
      <c r="H2882" s="5"/>
      <c r="I2882" s="5"/>
    </row>
    <row r="2883" spans="1:9" ht="12.5">
      <c r="A2883" s="5">
        <v>72020602</v>
      </c>
      <c r="B2883" s="5" t="s">
        <v>23706</v>
      </c>
      <c r="C2883" s="5" t="s">
        <v>14147</v>
      </c>
      <c r="E2883" s="5"/>
      <c r="G2883" s="5">
        <v>3044408100</v>
      </c>
      <c r="H2883" s="5"/>
      <c r="I2883" s="5" t="s">
        <v>25274</v>
      </c>
    </row>
    <row r="2884" spans="1:9" ht="12.5">
      <c r="A2884" s="5">
        <v>1143461037</v>
      </c>
      <c r="B2884" s="5" t="s">
        <v>23706</v>
      </c>
      <c r="C2884" s="5" t="s">
        <v>25275</v>
      </c>
      <c r="E2884" s="5"/>
      <c r="G2884" s="5">
        <v>3005359309</v>
      </c>
      <c r="H2884" s="5"/>
      <c r="I2884" s="5"/>
    </row>
    <row r="2885" spans="1:9" ht="12.5">
      <c r="A2885" s="5">
        <v>80184534</v>
      </c>
      <c r="B2885" s="5" t="s">
        <v>23706</v>
      </c>
      <c r="C2885" s="5" t="s">
        <v>14139</v>
      </c>
      <c r="E2885" s="5"/>
      <c r="G2885" s="5">
        <v>3168763144</v>
      </c>
      <c r="H2885" s="5"/>
      <c r="I2885" s="5"/>
    </row>
    <row r="2886" spans="1:9" ht="12.5">
      <c r="A2886" s="5">
        <v>1140898322</v>
      </c>
      <c r="B2886" s="5" t="s">
        <v>23706</v>
      </c>
      <c r="C2886" s="5" t="s">
        <v>14142</v>
      </c>
      <c r="E2886" s="5"/>
      <c r="G2886" s="5">
        <v>3148167126</v>
      </c>
      <c r="H2886" s="5"/>
      <c r="I2886" s="5" t="s">
        <v>25276</v>
      </c>
    </row>
    <row r="2887" spans="1:9" ht="12.5">
      <c r="A2887" s="5">
        <v>72272077</v>
      </c>
      <c r="B2887" s="5" t="s">
        <v>23706</v>
      </c>
      <c r="C2887" s="5" t="s">
        <v>14161</v>
      </c>
      <c r="E2887" s="5"/>
      <c r="G2887" s="5">
        <v>3145927399</v>
      </c>
      <c r="H2887" s="5"/>
      <c r="I2887" s="5" t="s">
        <v>25277</v>
      </c>
    </row>
    <row r="2888" spans="1:9" ht="12.5">
      <c r="A2888" s="5">
        <v>72145304</v>
      </c>
      <c r="B2888" s="5" t="s">
        <v>23706</v>
      </c>
      <c r="C2888" s="5" t="s">
        <v>14166</v>
      </c>
      <c r="E2888" s="5"/>
      <c r="G2888" s="5">
        <v>3117169931</v>
      </c>
      <c r="H2888" s="5"/>
      <c r="I2888" s="5" t="s">
        <v>25278</v>
      </c>
    </row>
    <row r="2889" spans="1:9" ht="12.5">
      <c r="A2889" s="5">
        <v>80757296</v>
      </c>
      <c r="B2889" s="5" t="s">
        <v>23706</v>
      </c>
      <c r="C2889" s="5" t="s">
        <v>14170</v>
      </c>
      <c r="E2889" s="5"/>
      <c r="G2889" s="5">
        <v>3155928344</v>
      </c>
      <c r="H2889" s="5"/>
      <c r="I2889" s="5" t="s">
        <v>25279</v>
      </c>
    </row>
    <row r="2890" spans="1:9" ht="12.5">
      <c r="A2890" s="5">
        <v>1118854165</v>
      </c>
      <c r="B2890" s="5" t="s">
        <v>23706</v>
      </c>
      <c r="C2890" s="5" t="s">
        <v>25280</v>
      </c>
      <c r="E2890" s="5"/>
      <c r="G2890" s="5">
        <v>3104067788</v>
      </c>
      <c r="H2890" s="5"/>
      <c r="I2890" s="5" t="s">
        <v>25281</v>
      </c>
    </row>
    <row r="2891" spans="1:9" ht="12.5">
      <c r="A2891" s="5">
        <v>1001998161</v>
      </c>
      <c r="B2891" s="5" t="s">
        <v>23706</v>
      </c>
      <c r="C2891" s="5" t="s">
        <v>14175</v>
      </c>
      <c r="E2891" s="5"/>
      <c r="G2891" s="5">
        <v>3023088354</v>
      </c>
      <c r="H2891" s="5"/>
      <c r="I2891" s="5"/>
    </row>
    <row r="2892" spans="1:9" ht="12.5">
      <c r="A2892" s="5">
        <v>1234767898</v>
      </c>
      <c r="B2892" s="5" t="s">
        <v>23706</v>
      </c>
      <c r="C2892" s="5" t="s">
        <v>14180</v>
      </c>
      <c r="E2892" s="5"/>
      <c r="G2892" s="5">
        <v>3126737737</v>
      </c>
      <c r="H2892" s="5"/>
      <c r="I2892" s="5"/>
    </row>
    <row r="2893" spans="1:9" ht="12.5">
      <c r="A2893" s="5">
        <v>1044633821</v>
      </c>
      <c r="B2893" s="5" t="s">
        <v>23706</v>
      </c>
      <c r="C2893" s="5" t="s">
        <v>14185</v>
      </c>
      <c r="E2893" s="5"/>
      <c r="G2893" s="5">
        <v>3126314688</v>
      </c>
      <c r="H2893" s="5"/>
      <c r="I2893" s="5"/>
    </row>
    <row r="2894" spans="1:9" ht="12.5">
      <c r="A2894" s="5">
        <v>9007653478</v>
      </c>
      <c r="B2894" s="5" t="s">
        <v>23782</v>
      </c>
      <c r="C2894" s="5" t="s">
        <v>14187</v>
      </c>
      <c r="E2894" s="5"/>
      <c r="G2894" s="5">
        <v>3234114820</v>
      </c>
      <c r="H2894" s="5"/>
      <c r="I2894" s="5" t="s">
        <v>25282</v>
      </c>
    </row>
    <row r="2895" spans="1:9" ht="12.5">
      <c r="A2895" s="5">
        <v>1047037737</v>
      </c>
      <c r="B2895" s="5" t="s">
        <v>23706</v>
      </c>
      <c r="C2895" s="5" t="s">
        <v>25283</v>
      </c>
      <c r="E2895" s="5"/>
      <c r="G2895" s="5">
        <v>8173015660817</v>
      </c>
      <c r="H2895" s="5"/>
      <c r="I2895" s="5" t="s">
        <v>25284</v>
      </c>
    </row>
    <row r="2896" spans="1:9" ht="12.5">
      <c r="A2896" s="5">
        <v>1042255448</v>
      </c>
      <c r="B2896" s="5" t="s">
        <v>23706</v>
      </c>
      <c r="C2896" s="5" t="s">
        <v>14189</v>
      </c>
      <c r="E2896" s="5"/>
      <c r="G2896" s="5">
        <v>3152651668</v>
      </c>
      <c r="H2896" s="5"/>
      <c r="I2896" s="5"/>
    </row>
    <row r="2897" spans="1:9" ht="12.5">
      <c r="A2897" s="5">
        <v>1122812087</v>
      </c>
      <c r="B2897" s="5" t="s">
        <v>23706</v>
      </c>
      <c r="C2897" s="5" t="s">
        <v>14193</v>
      </c>
      <c r="E2897" s="5"/>
      <c r="G2897" s="5">
        <v>3213359021</v>
      </c>
      <c r="H2897" s="5"/>
      <c r="I2897" s="5" t="s">
        <v>25285</v>
      </c>
    </row>
    <row r="2898" spans="1:9" ht="12.5">
      <c r="A2898" s="5">
        <v>801200305809</v>
      </c>
      <c r="B2898" s="5" t="s">
        <v>23706</v>
      </c>
      <c r="C2898" s="5" t="s">
        <v>14244</v>
      </c>
      <c r="E2898" s="5"/>
      <c r="G2898" s="5">
        <v>50495814532</v>
      </c>
      <c r="H2898" s="5"/>
      <c r="I2898" s="5" t="s">
        <v>25286</v>
      </c>
    </row>
    <row r="2899" spans="1:9" ht="12.5">
      <c r="A2899" s="5">
        <v>1003240353</v>
      </c>
      <c r="B2899" s="5" t="s">
        <v>23706</v>
      </c>
      <c r="C2899" s="5" t="s">
        <v>14203</v>
      </c>
      <c r="E2899" s="5"/>
      <c r="G2899" s="5">
        <v>3012421500</v>
      </c>
      <c r="H2899" s="5"/>
      <c r="I2899" s="5"/>
    </row>
    <row r="2900" spans="1:9" ht="12.5">
      <c r="A2900" s="5">
        <v>2222222222</v>
      </c>
      <c r="B2900" s="5" t="s">
        <v>23706</v>
      </c>
      <c r="C2900" s="5" t="s">
        <v>14205</v>
      </c>
      <c r="E2900" s="5"/>
      <c r="G2900" s="5">
        <v>0</v>
      </c>
      <c r="H2900" s="5"/>
      <c r="I2900" s="5"/>
    </row>
    <row r="2901" spans="1:9" ht="12.5">
      <c r="A2901" s="5">
        <v>1129579693</v>
      </c>
      <c r="B2901" s="5" t="s">
        <v>23706</v>
      </c>
      <c r="C2901" s="5" t="s">
        <v>14207</v>
      </c>
      <c r="E2901" s="5"/>
      <c r="G2901" s="5">
        <v>3045346498</v>
      </c>
      <c r="H2901" s="5"/>
      <c r="I2901" s="5"/>
    </row>
    <row r="2902" spans="1:9" ht="12.5">
      <c r="A2902" s="5">
        <v>1065592332</v>
      </c>
      <c r="B2902" s="5" t="s">
        <v>23706</v>
      </c>
      <c r="C2902" s="5" t="s">
        <v>14217</v>
      </c>
      <c r="E2902" s="5"/>
      <c r="G2902" s="5">
        <v>3232862659</v>
      </c>
      <c r="H2902" s="5"/>
      <c r="I2902" s="5" t="s">
        <v>25287</v>
      </c>
    </row>
    <row r="2903" spans="1:9" ht="12.5">
      <c r="A2903" s="5">
        <v>1052970482</v>
      </c>
      <c r="B2903" s="5" t="s">
        <v>23706</v>
      </c>
      <c r="C2903" s="5" t="s">
        <v>14221</v>
      </c>
      <c r="E2903" s="5"/>
      <c r="G2903" s="5">
        <v>3045225866</v>
      </c>
      <c r="H2903" s="5"/>
      <c r="I2903" s="5"/>
    </row>
    <row r="2904" spans="1:9" ht="12.5">
      <c r="A2904" s="5">
        <v>1140840043</v>
      </c>
      <c r="B2904" s="5" t="s">
        <v>23706</v>
      </c>
      <c r="C2904" s="5" t="s">
        <v>14225</v>
      </c>
      <c r="E2904" s="5"/>
      <c r="G2904" s="5">
        <v>3005296460</v>
      </c>
      <c r="H2904" s="5"/>
      <c r="I2904" s="5" t="s">
        <v>25288</v>
      </c>
    </row>
    <row r="2905" spans="1:9" ht="12.5">
      <c r="A2905" s="5">
        <v>1004109911</v>
      </c>
      <c r="B2905" s="5" t="s">
        <v>23706</v>
      </c>
      <c r="C2905" s="5" t="s">
        <v>14231</v>
      </c>
      <c r="E2905" s="5"/>
      <c r="G2905" s="5">
        <v>3013053173</v>
      </c>
      <c r="H2905" s="5"/>
      <c r="I2905" s="5"/>
    </row>
    <row r="2906" spans="1:9" ht="12.5">
      <c r="A2906" s="5">
        <v>72290151</v>
      </c>
      <c r="B2906" s="5" t="s">
        <v>23706</v>
      </c>
      <c r="C2906" s="5" t="s">
        <v>14233</v>
      </c>
      <c r="E2906" s="5"/>
      <c r="G2906" s="5">
        <v>3222222222</v>
      </c>
      <c r="H2906" s="5"/>
      <c r="I2906" s="5" t="s">
        <v>25289</v>
      </c>
    </row>
    <row r="2907" spans="1:9" ht="12.5">
      <c r="A2907" s="5">
        <v>1048065044</v>
      </c>
      <c r="B2907" s="5" t="s">
        <v>23706</v>
      </c>
      <c r="C2907" s="5" t="s">
        <v>14236</v>
      </c>
      <c r="E2907" s="5"/>
      <c r="G2907" s="5">
        <v>3165774386</v>
      </c>
      <c r="H2907" s="5"/>
      <c r="I2907" s="5" t="s">
        <v>25290</v>
      </c>
    </row>
    <row r="2908" spans="1:9" ht="12.5">
      <c r="A2908" s="5">
        <v>801200305809</v>
      </c>
      <c r="B2908" s="5" t="s">
        <v>23706</v>
      </c>
      <c r="C2908" s="5" t="s">
        <v>14244</v>
      </c>
      <c r="E2908" s="5"/>
      <c r="G2908" s="5">
        <v>50495814532</v>
      </c>
      <c r="H2908" s="5"/>
      <c r="I2908" s="5" t="s">
        <v>25286</v>
      </c>
    </row>
    <row r="2909" spans="1:9" ht="12.5">
      <c r="A2909" s="5">
        <v>1045671647</v>
      </c>
      <c r="B2909" s="5" t="s">
        <v>23706</v>
      </c>
      <c r="C2909" s="5" t="s">
        <v>14250</v>
      </c>
      <c r="E2909" s="5"/>
      <c r="G2909" s="5">
        <v>3135053809</v>
      </c>
      <c r="H2909" s="5"/>
      <c r="I2909" s="5" t="s">
        <v>25291</v>
      </c>
    </row>
    <row r="2910" spans="1:9" ht="12.5">
      <c r="A2910" s="5">
        <v>3217540688</v>
      </c>
      <c r="B2910" s="5" t="s">
        <v>23706</v>
      </c>
      <c r="C2910" s="5" t="s">
        <v>14262</v>
      </c>
      <c r="E2910" s="5"/>
      <c r="G2910" s="5">
        <v>3000000002</v>
      </c>
      <c r="H2910" s="5"/>
      <c r="I2910" s="5"/>
    </row>
    <row r="2911" spans="1:9" ht="12.5">
      <c r="A2911" s="5">
        <v>3113379200</v>
      </c>
      <c r="B2911" s="5" t="s">
        <v>23706</v>
      </c>
      <c r="C2911" s="5" t="s">
        <v>14264</v>
      </c>
      <c r="E2911" s="5"/>
      <c r="G2911" s="5">
        <v>3000000002</v>
      </c>
      <c r="H2911" s="5"/>
      <c r="I2911" s="5"/>
    </row>
    <row r="2912" spans="1:9" ht="12.5">
      <c r="A2912" s="5">
        <v>79781930</v>
      </c>
      <c r="B2912" s="5" t="s">
        <v>23706</v>
      </c>
      <c r="C2912" s="5" t="s">
        <v>14267</v>
      </c>
      <c r="E2912" s="5"/>
      <c r="G2912" s="5">
        <v>3213197043</v>
      </c>
      <c r="H2912" s="5"/>
      <c r="I2912" s="5"/>
    </row>
    <row r="2913" spans="1:9" ht="12.5">
      <c r="A2913" s="5">
        <v>1042246907</v>
      </c>
      <c r="B2913" s="5" t="s">
        <v>23706</v>
      </c>
      <c r="C2913" s="5" t="s">
        <v>14289</v>
      </c>
      <c r="E2913" s="5"/>
      <c r="G2913" s="5">
        <v>3003243935</v>
      </c>
      <c r="H2913" s="5"/>
      <c r="I2913" s="5" t="s">
        <v>25292</v>
      </c>
    </row>
    <row r="2914" spans="1:9" ht="12.5">
      <c r="A2914" s="5">
        <v>1041902249</v>
      </c>
      <c r="B2914" s="5" t="s">
        <v>23706</v>
      </c>
      <c r="C2914" s="5" t="s">
        <v>14270</v>
      </c>
      <c r="E2914" s="5"/>
      <c r="G2914" s="5">
        <v>3015425547</v>
      </c>
      <c r="H2914" s="5"/>
      <c r="I2914" s="5" t="s">
        <v>25293</v>
      </c>
    </row>
    <row r="2915" spans="1:9" ht="12.5">
      <c r="A2915" s="5">
        <v>1192802663</v>
      </c>
      <c r="B2915" s="5" t="s">
        <v>23706</v>
      </c>
      <c r="C2915" s="5" t="s">
        <v>14277</v>
      </c>
      <c r="E2915" s="5"/>
      <c r="G2915" s="5">
        <v>3152574626</v>
      </c>
      <c r="H2915" s="5"/>
      <c r="I2915" s="5" t="s">
        <v>25294</v>
      </c>
    </row>
    <row r="2916" spans="1:9" ht="12.5">
      <c r="A2916" s="5">
        <v>18724976</v>
      </c>
      <c r="B2916" s="5" t="s">
        <v>23706</v>
      </c>
      <c r="C2916" s="5" t="s">
        <v>14284</v>
      </c>
      <c r="E2916" s="5"/>
      <c r="G2916" s="5">
        <v>17867257308</v>
      </c>
      <c r="H2916" s="5"/>
      <c r="I2916" s="5" t="s">
        <v>25295</v>
      </c>
    </row>
    <row r="2917" spans="1:9" ht="12.5">
      <c r="A2917" s="5">
        <v>1102880128</v>
      </c>
      <c r="B2917" s="5" t="s">
        <v>23706</v>
      </c>
      <c r="C2917" s="5" t="s">
        <v>14295</v>
      </c>
      <c r="E2917" s="5"/>
      <c r="G2917" s="5">
        <v>3004645452</v>
      </c>
      <c r="H2917" s="5"/>
      <c r="I2917" s="5"/>
    </row>
    <row r="2918" spans="1:9" ht="12.5">
      <c r="A2918" s="5">
        <v>1042979741</v>
      </c>
      <c r="B2918" s="5" t="s">
        <v>23706</v>
      </c>
      <c r="C2918" s="5" t="s">
        <v>14297</v>
      </c>
      <c r="E2918" s="5"/>
      <c r="G2918" s="5">
        <v>3234455100</v>
      </c>
      <c r="H2918" s="5"/>
      <c r="I2918" s="5"/>
    </row>
    <row r="2919" spans="1:9" ht="12.5">
      <c r="A2919" s="5">
        <v>1002163522</v>
      </c>
      <c r="B2919" s="5" t="s">
        <v>23706</v>
      </c>
      <c r="C2919" s="5" t="s">
        <v>14301</v>
      </c>
      <c r="E2919" s="5"/>
      <c r="G2919" s="5">
        <v>3004179000</v>
      </c>
      <c r="H2919" s="5"/>
      <c r="I2919" s="5" t="s">
        <v>25296</v>
      </c>
    </row>
    <row r="2920" spans="1:9" ht="12.5">
      <c r="A2920" s="5">
        <v>32674364</v>
      </c>
      <c r="B2920" s="5" t="s">
        <v>23706</v>
      </c>
      <c r="C2920" s="5" t="s">
        <v>14305</v>
      </c>
      <c r="E2920" s="5"/>
      <c r="G2920" s="5">
        <v>3000000002</v>
      </c>
      <c r="H2920" s="5"/>
      <c r="I2920" s="5"/>
    </row>
    <row r="2921" spans="1:9" ht="12.5">
      <c r="A2921" s="5">
        <v>1001823566</v>
      </c>
      <c r="B2921" s="5" t="s">
        <v>23706</v>
      </c>
      <c r="C2921" s="5" t="s">
        <v>14306</v>
      </c>
      <c r="E2921" s="5"/>
      <c r="G2921" s="5">
        <v>3007562052</v>
      </c>
      <c r="H2921" s="5"/>
      <c r="I2921" s="5" t="s">
        <v>25297</v>
      </c>
    </row>
    <row r="2922" spans="1:9" ht="12.5">
      <c r="A2922" s="5">
        <v>1007016849</v>
      </c>
      <c r="B2922" s="5" t="s">
        <v>23706</v>
      </c>
      <c r="C2922" s="5" t="s">
        <v>14311</v>
      </c>
      <c r="E2922" s="5"/>
      <c r="G2922" s="5">
        <v>7864587718</v>
      </c>
      <c r="H2922" s="5"/>
      <c r="I2922" s="5"/>
    </row>
    <row r="2923" spans="1:9" ht="12.5">
      <c r="A2923" s="5">
        <v>1010074814</v>
      </c>
      <c r="B2923" s="5" t="s">
        <v>23706</v>
      </c>
      <c r="C2923" s="5" t="s">
        <v>14317</v>
      </c>
      <c r="E2923" s="5"/>
      <c r="G2923" s="5">
        <v>3016545547</v>
      </c>
      <c r="H2923" s="5"/>
      <c r="I2923" s="5" t="s">
        <v>25298</v>
      </c>
    </row>
    <row r="2924" spans="1:9" ht="12.5">
      <c r="A2924" s="5">
        <v>1042241494</v>
      </c>
      <c r="B2924" s="5" t="s">
        <v>23706</v>
      </c>
      <c r="C2924" s="5" t="s">
        <v>14322</v>
      </c>
      <c r="E2924" s="5"/>
      <c r="G2924" s="5">
        <v>3005359055</v>
      </c>
      <c r="H2924" s="5"/>
      <c r="I2924" s="5" t="s">
        <v>25299</v>
      </c>
    </row>
    <row r="2925" spans="1:9" ht="12.5">
      <c r="A2925" s="5">
        <v>8486551</v>
      </c>
      <c r="B2925" s="5" t="s">
        <v>23706</v>
      </c>
      <c r="C2925" s="5" t="s">
        <v>14327</v>
      </c>
      <c r="E2925" s="5"/>
      <c r="G2925" s="5">
        <v>3135743675</v>
      </c>
      <c r="H2925" s="5"/>
      <c r="I2925" s="5"/>
    </row>
    <row r="2926" spans="1:9" ht="12.5">
      <c r="A2926" s="5">
        <v>3014230323</v>
      </c>
      <c r="B2926" s="5" t="s">
        <v>23706</v>
      </c>
      <c r="C2926" s="5" t="s">
        <v>14332</v>
      </c>
      <c r="E2926" s="5"/>
      <c r="G2926" s="5">
        <v>3014230323</v>
      </c>
      <c r="H2926" s="5"/>
      <c r="I2926" s="5"/>
    </row>
    <row r="2927" spans="1:9" ht="12.5">
      <c r="A2927" s="5">
        <v>1140869118</v>
      </c>
      <c r="B2927" s="5" t="s">
        <v>23706</v>
      </c>
      <c r="C2927" s="5" t="s">
        <v>14333</v>
      </c>
      <c r="E2927" s="5"/>
      <c r="G2927" s="5">
        <v>3215005033</v>
      </c>
      <c r="H2927" s="5"/>
      <c r="I2927" s="5" t="s">
        <v>25300</v>
      </c>
    </row>
    <row r="2928" spans="1:9" ht="12.5">
      <c r="A2928" s="5">
        <v>72269822</v>
      </c>
      <c r="B2928" s="5" t="s">
        <v>23706</v>
      </c>
      <c r="C2928" s="5" t="s">
        <v>14338</v>
      </c>
      <c r="E2928" s="5"/>
      <c r="G2928" s="5">
        <v>3218244370</v>
      </c>
      <c r="H2928" s="5"/>
      <c r="I2928" s="5"/>
    </row>
    <row r="2929" spans="1:9" ht="12.5">
      <c r="A2929" s="5">
        <v>1045735585</v>
      </c>
      <c r="B2929" s="5" t="s">
        <v>23706</v>
      </c>
      <c r="C2929" s="5" t="s">
        <v>14344</v>
      </c>
      <c r="E2929" s="5"/>
      <c r="G2929" s="5">
        <v>3015758743</v>
      </c>
      <c r="H2929" s="5"/>
      <c r="I2929" s="5" t="s">
        <v>25301</v>
      </c>
    </row>
    <row r="2930" spans="1:9" ht="12.5">
      <c r="A2930" s="5">
        <v>1140845249</v>
      </c>
      <c r="B2930" s="5" t="s">
        <v>23706</v>
      </c>
      <c r="C2930" s="5" t="s">
        <v>14349</v>
      </c>
      <c r="E2930" s="5"/>
      <c r="G2930" s="5">
        <v>3017245676</v>
      </c>
      <c r="H2930" s="5"/>
      <c r="I2930" s="5" t="s">
        <v>25302</v>
      </c>
    </row>
    <row r="2931" spans="1:9" ht="12.5">
      <c r="A2931" s="5">
        <v>1218716260</v>
      </c>
      <c r="B2931" s="5" t="s">
        <v>23706</v>
      </c>
      <c r="C2931" s="5" t="s">
        <v>14352</v>
      </c>
      <c r="E2931" s="5"/>
      <c r="G2931" s="5">
        <v>3124845303</v>
      </c>
      <c r="H2931" s="5"/>
      <c r="I2931" s="5" t="s">
        <v>25303</v>
      </c>
    </row>
    <row r="2932" spans="1:9" ht="12.5">
      <c r="A2932" s="5">
        <v>55231223</v>
      </c>
      <c r="B2932" s="5" t="s">
        <v>23706</v>
      </c>
      <c r="C2932" s="5" t="s">
        <v>14356</v>
      </c>
      <c r="E2932" s="5"/>
      <c r="G2932" s="5">
        <v>3016531088</v>
      </c>
      <c r="H2932" s="5"/>
      <c r="I2932" s="5" t="s">
        <v>25304</v>
      </c>
    </row>
    <row r="2933" spans="1:9" ht="12.5">
      <c r="A2933" s="5">
        <v>1042266271</v>
      </c>
      <c r="B2933" s="5" t="s">
        <v>23706</v>
      </c>
      <c r="C2933" s="5" t="s">
        <v>14362</v>
      </c>
      <c r="E2933" s="5"/>
      <c r="G2933" s="5">
        <v>3057837333</v>
      </c>
      <c r="H2933" s="5"/>
      <c r="I2933" s="5" t="s">
        <v>25305</v>
      </c>
    </row>
    <row r="2934" spans="1:9" ht="12.5">
      <c r="A2934" s="5">
        <v>1043664003</v>
      </c>
      <c r="B2934" s="5" t="s">
        <v>23706</v>
      </c>
      <c r="C2934" s="5" t="s">
        <v>14366</v>
      </c>
      <c r="E2934" s="5"/>
      <c r="G2934" s="5">
        <v>3053742565</v>
      </c>
      <c r="H2934" s="5"/>
      <c r="I2934" s="5" t="s">
        <v>25306</v>
      </c>
    </row>
    <row r="2935" spans="1:9" ht="12.5">
      <c r="A2935" s="5">
        <v>1001855563</v>
      </c>
      <c r="B2935" s="5" t="s">
        <v>23706</v>
      </c>
      <c r="C2935" s="5" t="s">
        <v>14376</v>
      </c>
      <c r="E2935" s="5"/>
      <c r="G2935" s="5">
        <v>3017963833</v>
      </c>
      <c r="H2935" s="5"/>
      <c r="I2935" s="5"/>
    </row>
    <row r="2936" spans="1:9" ht="12.5">
      <c r="A2936" s="5">
        <v>0</v>
      </c>
      <c r="B2936" s="5" t="s">
        <v>23706</v>
      </c>
      <c r="C2936" s="5" t="s">
        <v>14382</v>
      </c>
      <c r="E2936" s="5"/>
      <c r="G2936" s="5">
        <v>3016619356</v>
      </c>
      <c r="H2936" s="5"/>
      <c r="I2936" s="5" t="s">
        <v>25307</v>
      </c>
    </row>
    <row r="2937" spans="1:9" ht="12.5">
      <c r="A2937" s="5">
        <v>1044424730</v>
      </c>
      <c r="B2937" s="5" t="s">
        <v>23706</v>
      </c>
      <c r="C2937" s="5" t="s">
        <v>14385</v>
      </c>
      <c r="E2937" s="5"/>
      <c r="G2937" s="5">
        <v>3161910255</v>
      </c>
      <c r="H2937" s="5"/>
      <c r="I2937" s="5" t="s">
        <v>25308</v>
      </c>
    </row>
    <row r="2938" spans="1:9" ht="12.5">
      <c r="A2938" s="5">
        <v>1140879764</v>
      </c>
      <c r="B2938" s="5" t="s">
        <v>23706</v>
      </c>
      <c r="C2938" s="5" t="s">
        <v>14388</v>
      </c>
      <c r="E2938" s="5"/>
      <c r="G2938" s="5">
        <v>3216579591</v>
      </c>
      <c r="H2938" s="5"/>
      <c r="I2938" s="5" t="s">
        <v>25309</v>
      </c>
    </row>
    <row r="2939" spans="1:9" ht="12.5">
      <c r="A2939" s="5">
        <v>40942812</v>
      </c>
      <c r="B2939" s="5" t="s">
        <v>23706</v>
      </c>
      <c r="C2939" s="5" t="s">
        <v>14394</v>
      </c>
      <c r="E2939" s="5"/>
      <c r="G2939" s="5">
        <v>3007608715</v>
      </c>
      <c r="H2939" s="5"/>
      <c r="I2939" s="5" t="s">
        <v>25310</v>
      </c>
    </row>
    <row r="2940" spans="1:9" ht="12.5">
      <c r="A2940" s="5">
        <v>1065611070</v>
      </c>
      <c r="B2940" s="5" t="s">
        <v>23706</v>
      </c>
      <c r="C2940" s="5" t="s">
        <v>14398</v>
      </c>
      <c r="E2940" s="5"/>
      <c r="G2940" s="5">
        <v>3014716102</v>
      </c>
      <c r="H2940" s="5"/>
      <c r="I2940" s="5"/>
    </row>
    <row r="2941" spans="1:9" ht="12.5">
      <c r="A2941" s="5">
        <v>1042848205</v>
      </c>
      <c r="B2941" s="5" t="s">
        <v>23706</v>
      </c>
      <c r="C2941" s="5" t="s">
        <v>14402</v>
      </c>
      <c r="E2941" s="5"/>
      <c r="G2941" s="5">
        <v>3207326329</v>
      </c>
      <c r="H2941" s="5"/>
      <c r="I2941" s="5" t="s">
        <v>25311</v>
      </c>
    </row>
    <row r="2942" spans="1:9" ht="12.5">
      <c r="A2942" s="5">
        <v>1001911506</v>
      </c>
      <c r="B2942" s="5" t="s">
        <v>23706</v>
      </c>
      <c r="C2942" s="5" t="s">
        <v>14409</v>
      </c>
      <c r="E2942" s="5"/>
      <c r="G2942" s="5">
        <v>3044685715</v>
      </c>
      <c r="H2942" s="5"/>
      <c r="I2942" s="5" t="s">
        <v>25312</v>
      </c>
    </row>
    <row r="2943" spans="1:9" ht="12.5">
      <c r="A2943" s="5">
        <v>1001914635</v>
      </c>
      <c r="B2943" s="5" t="s">
        <v>23706</v>
      </c>
      <c r="C2943" s="5" t="s">
        <v>14412</v>
      </c>
      <c r="E2943" s="5"/>
      <c r="G2943" s="5">
        <v>3003454454</v>
      </c>
      <c r="H2943" s="5"/>
      <c r="I2943" s="5" t="s">
        <v>23941</v>
      </c>
    </row>
    <row r="2944" spans="1:9" ht="12.5">
      <c r="A2944" s="5">
        <v>1034283762</v>
      </c>
      <c r="B2944" s="5" t="s">
        <v>23706</v>
      </c>
      <c r="C2944" s="5" t="s">
        <v>14413</v>
      </c>
      <c r="E2944" s="5"/>
      <c r="G2944" s="5">
        <v>3014184815</v>
      </c>
      <c r="H2944" s="5"/>
      <c r="I2944" s="5" t="s">
        <v>25313</v>
      </c>
    </row>
    <row r="2945" spans="1:9" ht="12.5">
      <c r="A2945" s="5">
        <v>1137977283</v>
      </c>
      <c r="B2945" s="5" t="s">
        <v>23706</v>
      </c>
      <c r="C2945" s="5" t="s">
        <v>14418</v>
      </c>
      <c r="E2945" s="5"/>
      <c r="G2945" s="5">
        <v>3043613071</v>
      </c>
      <c r="H2945" s="5"/>
      <c r="I2945" s="5" t="s">
        <v>25314</v>
      </c>
    </row>
    <row r="2946" spans="1:9" ht="12.5">
      <c r="A2946" s="5">
        <v>900475076</v>
      </c>
      <c r="B2946" s="5" t="s">
        <v>23782</v>
      </c>
      <c r="C2946" s="5" t="s">
        <v>14428</v>
      </c>
      <c r="E2946" s="5"/>
      <c r="G2946" s="5">
        <v>3106857965</v>
      </c>
      <c r="H2946" s="5"/>
      <c r="I2946" s="5" t="s">
        <v>25315</v>
      </c>
    </row>
    <row r="2947" spans="1:9" ht="12.5">
      <c r="A2947" s="5">
        <v>1007236510</v>
      </c>
      <c r="B2947" s="5" t="s">
        <v>23706</v>
      </c>
      <c r="C2947" s="5" t="s">
        <v>14433</v>
      </c>
      <c r="E2947" s="5"/>
      <c r="G2947" s="5">
        <v>3044819783</v>
      </c>
      <c r="H2947" s="5"/>
      <c r="I2947" s="5" t="s">
        <v>25316</v>
      </c>
    </row>
    <row r="2948" spans="1:9" ht="12.5">
      <c r="A2948" s="5">
        <v>1083041148</v>
      </c>
      <c r="B2948" s="5" t="s">
        <v>23706</v>
      </c>
      <c r="C2948" s="5" t="s">
        <v>25317</v>
      </c>
      <c r="E2948" s="5"/>
      <c r="G2948" s="5">
        <v>3232298545</v>
      </c>
      <c r="H2948" s="5"/>
      <c r="I2948" s="5"/>
    </row>
    <row r="2949" spans="1:9" ht="12.5">
      <c r="A2949" s="5">
        <v>101303626</v>
      </c>
      <c r="B2949" s="5" t="s">
        <v>23706</v>
      </c>
      <c r="C2949" s="5" t="s">
        <v>25318</v>
      </c>
      <c r="E2949" s="5"/>
      <c r="G2949" s="5">
        <v>3232861348</v>
      </c>
      <c r="H2949" s="5"/>
      <c r="I2949" s="5" t="s">
        <v>25319</v>
      </c>
    </row>
    <row r="2950" spans="1:9" ht="12.5">
      <c r="A2950" s="5">
        <v>1047345725</v>
      </c>
      <c r="B2950" s="5" t="s">
        <v>23706</v>
      </c>
      <c r="C2950" s="5" t="s">
        <v>14434</v>
      </c>
      <c r="E2950" s="5"/>
      <c r="G2950" s="5">
        <v>3004234025</v>
      </c>
      <c r="H2950" s="5"/>
      <c r="I2950" s="5" t="s">
        <v>25320</v>
      </c>
    </row>
    <row r="2951" spans="1:9" ht="12.5">
      <c r="A2951" s="5">
        <v>1042849572</v>
      </c>
      <c r="B2951" s="5" t="s">
        <v>23706</v>
      </c>
      <c r="C2951" s="5" t="s">
        <v>14438</v>
      </c>
      <c r="E2951" s="5"/>
      <c r="G2951" s="5">
        <v>3226090059</v>
      </c>
      <c r="H2951" s="5"/>
      <c r="I2951" s="5"/>
    </row>
    <row r="2952" spans="1:9" ht="12.5">
      <c r="A2952" s="5">
        <v>1052943063</v>
      </c>
      <c r="B2952" s="5" t="s">
        <v>23706</v>
      </c>
      <c r="C2952" s="5" t="s">
        <v>25321</v>
      </c>
      <c r="E2952" s="5"/>
      <c r="G2952" s="5">
        <v>3126455689</v>
      </c>
      <c r="H2952" s="5"/>
      <c r="I2952" s="5"/>
    </row>
    <row r="2953" spans="1:9" ht="12.5">
      <c r="A2953" s="5">
        <v>8572847</v>
      </c>
      <c r="B2953" s="5" t="s">
        <v>23706</v>
      </c>
      <c r="C2953" s="5" t="s">
        <v>14442</v>
      </c>
      <c r="E2953" s="5"/>
      <c r="G2953" s="5">
        <v>3104397397</v>
      </c>
      <c r="H2953" s="5"/>
      <c r="I2953" s="5" t="s">
        <v>23941</v>
      </c>
    </row>
    <row r="2954" spans="1:9" ht="12.5">
      <c r="A2954" s="5">
        <v>0</v>
      </c>
      <c r="B2954" s="5" t="s">
        <v>23706</v>
      </c>
      <c r="C2954" s="5" t="s">
        <v>14443</v>
      </c>
      <c r="E2954" s="5"/>
      <c r="G2954" s="5">
        <v>3000000002</v>
      </c>
      <c r="H2954" s="5"/>
      <c r="I2954" s="5"/>
    </row>
    <row r="2955" spans="1:9" ht="12.5">
      <c r="A2955" s="5">
        <v>45607418</v>
      </c>
      <c r="B2955" s="5" t="s">
        <v>23706</v>
      </c>
      <c r="C2955" s="5" t="s">
        <v>14454</v>
      </c>
      <c r="E2955" s="5"/>
      <c r="G2955" s="5">
        <v>3019085103</v>
      </c>
      <c r="H2955" s="5"/>
      <c r="I2955" s="5"/>
    </row>
    <row r="2956" spans="1:9" ht="12.5">
      <c r="A2956" s="5">
        <v>1044215210</v>
      </c>
      <c r="B2956" s="5" t="s">
        <v>23706</v>
      </c>
      <c r="C2956" s="5" t="s">
        <v>14457</v>
      </c>
      <c r="E2956" s="5"/>
      <c r="G2956" s="5">
        <v>3007660285</v>
      </c>
      <c r="H2956" s="5"/>
      <c r="I2956" s="5"/>
    </row>
    <row r="2957" spans="1:9" ht="12.5">
      <c r="A2957" s="5">
        <v>1140884833</v>
      </c>
      <c r="B2957" s="5" t="s">
        <v>23706</v>
      </c>
      <c r="C2957" s="5" t="s">
        <v>9613</v>
      </c>
      <c r="E2957" s="5"/>
      <c r="G2957" s="5">
        <v>3008307176</v>
      </c>
      <c r="H2957" s="5"/>
      <c r="I2957" s="5" t="s">
        <v>25322</v>
      </c>
    </row>
    <row r="2958" spans="1:9" ht="12.5">
      <c r="A2958" s="5">
        <v>6227790</v>
      </c>
      <c r="B2958" s="5" t="s">
        <v>23706</v>
      </c>
      <c r="C2958" s="5" t="s">
        <v>14467</v>
      </c>
      <c r="E2958" s="5"/>
      <c r="G2958" s="5">
        <v>19396251269</v>
      </c>
      <c r="H2958" s="5"/>
      <c r="I2958" s="5" t="s">
        <v>25323</v>
      </c>
    </row>
    <row r="2959" spans="1:9" ht="12.5">
      <c r="A2959" s="5">
        <v>8815483</v>
      </c>
      <c r="B2959" s="5" t="s">
        <v>23706</v>
      </c>
      <c r="C2959" s="5" t="s">
        <v>14473</v>
      </c>
      <c r="E2959" s="5"/>
      <c r="G2959" s="5">
        <v>8293545629</v>
      </c>
      <c r="H2959" s="5"/>
      <c r="I2959" s="5" t="s">
        <v>25324</v>
      </c>
    </row>
    <row r="2960" spans="1:9" ht="12.5">
      <c r="A2960" s="5">
        <v>1098743738</v>
      </c>
      <c r="B2960" s="5" t="s">
        <v>23706</v>
      </c>
      <c r="C2960" s="5" t="s">
        <v>14478</v>
      </c>
      <c r="E2960" s="5"/>
      <c r="G2960" s="5">
        <v>3168798455</v>
      </c>
      <c r="H2960" s="5"/>
      <c r="I2960" s="5" t="s">
        <v>25325</v>
      </c>
    </row>
    <row r="2961" spans="1:9" ht="12.5">
      <c r="A2961" s="5">
        <v>32545474</v>
      </c>
      <c r="B2961" s="5" t="s">
        <v>23706</v>
      </c>
      <c r="C2961" s="5" t="s">
        <v>14483</v>
      </c>
      <c r="E2961" s="5"/>
      <c r="G2961" s="5">
        <v>3000000000</v>
      </c>
      <c r="H2961" s="5"/>
      <c r="I2961" s="5" t="s">
        <v>23941</v>
      </c>
    </row>
    <row r="2962" spans="1:9" ht="12.5">
      <c r="A2962" s="5">
        <v>1041893290</v>
      </c>
      <c r="B2962" s="5" t="s">
        <v>23706</v>
      </c>
      <c r="C2962" s="5" t="s">
        <v>14492</v>
      </c>
      <c r="E2962" s="5"/>
      <c r="G2962" s="5">
        <v>3226436691</v>
      </c>
      <c r="H2962" s="5"/>
      <c r="I2962" s="5" t="s">
        <v>25326</v>
      </c>
    </row>
    <row r="2963" spans="1:9" ht="12.5">
      <c r="A2963" s="5">
        <v>1234098362</v>
      </c>
      <c r="B2963" s="5" t="s">
        <v>23706</v>
      </c>
      <c r="C2963" s="5" t="s">
        <v>14498</v>
      </c>
      <c r="E2963" s="5"/>
      <c r="G2963" s="5">
        <v>3243907466</v>
      </c>
      <c r="H2963" s="5"/>
      <c r="I2963" s="5" t="s">
        <v>25327</v>
      </c>
    </row>
    <row r="2964" spans="1:9" ht="12.5">
      <c r="A2964" s="5">
        <v>1045713643</v>
      </c>
      <c r="B2964" s="5" t="s">
        <v>23706</v>
      </c>
      <c r="C2964" s="5" t="s">
        <v>14503</v>
      </c>
      <c r="E2964" s="5"/>
      <c r="G2964" s="5">
        <v>3002524546</v>
      </c>
      <c r="H2964" s="5"/>
      <c r="I2964" s="5"/>
    </row>
    <row r="2965" spans="1:9" ht="12.5">
      <c r="A2965" s="5">
        <v>1193502533</v>
      </c>
      <c r="B2965" s="5" t="s">
        <v>23706</v>
      </c>
      <c r="C2965" s="5" t="s">
        <v>14509</v>
      </c>
      <c r="E2965" s="5"/>
      <c r="G2965" s="5">
        <v>3046484291</v>
      </c>
      <c r="H2965" s="5"/>
      <c r="I2965" s="5" t="s">
        <v>25328</v>
      </c>
    </row>
    <row r="2966" spans="1:9" ht="12.5">
      <c r="A2966" s="5">
        <v>1143469484</v>
      </c>
      <c r="B2966" s="5" t="s">
        <v>23706</v>
      </c>
      <c r="C2966" s="5" t="s">
        <v>14515</v>
      </c>
      <c r="E2966" s="5"/>
      <c r="G2966" s="5">
        <v>3004871210</v>
      </c>
      <c r="H2966" s="5"/>
      <c r="I2966" s="5" t="s">
        <v>25329</v>
      </c>
    </row>
    <row r="2967" spans="1:9" ht="12.5">
      <c r="A2967" s="5">
        <v>1044430728</v>
      </c>
      <c r="B2967" s="5" t="s">
        <v>23706</v>
      </c>
      <c r="C2967" s="5" t="s">
        <v>14523</v>
      </c>
      <c r="E2967" s="5"/>
      <c r="G2967" s="5">
        <v>3214439414</v>
      </c>
      <c r="H2967" s="5"/>
      <c r="I2967" s="5" t="s">
        <v>25330</v>
      </c>
    </row>
    <row r="2968" spans="1:9" ht="12.5">
      <c r="A2968" s="5">
        <v>1140875798</v>
      </c>
      <c r="B2968" s="5" t="s">
        <v>23706</v>
      </c>
      <c r="C2968" s="5" t="s">
        <v>14534</v>
      </c>
      <c r="E2968" s="5"/>
      <c r="G2968" s="5">
        <v>3238143135</v>
      </c>
      <c r="H2968" s="5"/>
      <c r="I2968" s="5" t="s">
        <v>25331</v>
      </c>
    </row>
    <row r="2969" spans="1:9" ht="12.5">
      <c r="A2969" s="5">
        <v>1140824252</v>
      </c>
      <c r="B2969" s="5" t="s">
        <v>23706</v>
      </c>
      <c r="C2969" s="5" t="s">
        <v>14536</v>
      </c>
      <c r="E2969" s="5"/>
      <c r="G2969" s="5">
        <v>13059685691</v>
      </c>
      <c r="H2969" s="5"/>
      <c r="I2969" s="5" t="s">
        <v>25332</v>
      </c>
    </row>
    <row r="2970" spans="1:9" ht="12.5">
      <c r="A2970" s="5">
        <v>1095819547</v>
      </c>
      <c r="B2970" s="5" t="s">
        <v>23706</v>
      </c>
      <c r="C2970" s="5" t="s">
        <v>14540</v>
      </c>
      <c r="E2970" s="5"/>
      <c r="G2970" s="5">
        <v>3135381489</v>
      </c>
      <c r="H2970" s="5"/>
      <c r="I2970" s="5" t="s">
        <v>25333</v>
      </c>
    </row>
    <row r="2971" spans="1:9" ht="12.5">
      <c r="A2971" s="5">
        <v>1102577614</v>
      </c>
      <c r="B2971" s="5" t="s">
        <v>23706</v>
      </c>
      <c r="C2971" s="5" t="s">
        <v>14547</v>
      </c>
      <c r="E2971" s="5"/>
      <c r="G2971" s="5">
        <v>3145688504</v>
      </c>
      <c r="H2971" s="5"/>
      <c r="I2971" s="5" t="s">
        <v>25334</v>
      </c>
    </row>
    <row r="2972" spans="1:9" ht="12.5">
      <c r="A2972" s="5">
        <v>1143243886</v>
      </c>
      <c r="B2972" s="5" t="s">
        <v>23706</v>
      </c>
      <c r="C2972" s="5" t="s">
        <v>14553</v>
      </c>
      <c r="E2972" s="5"/>
      <c r="G2972" s="5">
        <v>3003640809</v>
      </c>
      <c r="H2972" s="5"/>
      <c r="I2972" s="5" t="s">
        <v>25335</v>
      </c>
    </row>
    <row r="2973" spans="1:9" ht="12.5">
      <c r="A2973" s="5"/>
      <c r="B2973" s="5"/>
      <c r="C2973" s="5"/>
      <c r="E2973" s="5"/>
      <c r="G2973" s="5"/>
      <c r="H2973" s="5"/>
      <c r="I2973" s="5"/>
    </row>
    <row r="2974" spans="1:9" ht="12.5">
      <c r="A2974" s="5"/>
      <c r="B2974" s="5"/>
      <c r="C2974" s="5"/>
      <c r="E2974" s="5"/>
      <c r="G2974" s="5"/>
      <c r="H2974" s="5"/>
      <c r="I2974" s="5"/>
    </row>
    <row r="2975" spans="1:9" ht="12.5">
      <c r="A2975" s="5"/>
      <c r="B2975" s="5"/>
      <c r="C2975" s="5"/>
      <c r="E2975" s="5"/>
      <c r="G2975" s="5"/>
      <c r="H2975" s="5"/>
      <c r="I2975" s="5"/>
    </row>
    <row r="2976" spans="1:9" ht="12.5">
      <c r="A2976" s="5"/>
      <c r="B2976" s="5"/>
      <c r="C2976" s="5"/>
      <c r="E2976" s="5"/>
      <c r="G2976" s="5"/>
      <c r="H2976" s="5"/>
      <c r="I2976" s="5"/>
    </row>
    <row r="2977" spans="1:9" ht="12.5">
      <c r="A2977" s="5"/>
      <c r="B2977" s="5"/>
      <c r="C2977" s="5"/>
      <c r="E2977" s="5"/>
      <c r="G2977" s="5"/>
      <c r="H2977" s="5"/>
      <c r="I2977" s="5"/>
    </row>
    <row r="2978" spans="1:9" ht="12.5">
      <c r="A2978" s="5"/>
      <c r="B2978" s="5"/>
      <c r="C2978" s="5"/>
      <c r="E2978" s="5"/>
      <c r="G2978" s="5"/>
      <c r="H2978" s="5"/>
      <c r="I2978" s="5"/>
    </row>
    <row r="2979" spans="1:9" ht="12.5">
      <c r="A2979" s="5"/>
      <c r="B2979" s="5"/>
      <c r="C2979" s="5"/>
      <c r="E2979" s="5"/>
      <c r="G2979" s="5"/>
      <c r="H2979" s="5"/>
      <c r="I2979" s="5"/>
    </row>
    <row r="2980" spans="1:9" ht="12.5">
      <c r="A2980" s="5"/>
      <c r="B2980" s="5"/>
      <c r="C2980" s="5"/>
      <c r="E2980" s="5"/>
      <c r="G2980" s="5"/>
      <c r="H2980" s="5"/>
      <c r="I2980" s="5"/>
    </row>
    <row r="2981" spans="1:9" ht="12.5">
      <c r="A2981" s="5"/>
      <c r="B2981" s="5"/>
      <c r="C2981" s="5"/>
      <c r="E2981" s="5"/>
      <c r="G2981" s="5"/>
      <c r="H2981" s="5"/>
      <c r="I2981" s="5"/>
    </row>
    <row r="2982" spans="1:9" ht="12.5">
      <c r="A2982" s="5"/>
      <c r="B2982" s="5"/>
      <c r="C2982" s="5"/>
      <c r="E2982" s="5"/>
      <c r="G2982" s="5"/>
      <c r="H2982" s="5"/>
      <c r="I2982" s="5"/>
    </row>
    <row r="2983" spans="1:9" ht="12.5">
      <c r="A2983" s="5"/>
      <c r="B2983" s="5"/>
      <c r="C2983" s="5"/>
      <c r="E2983" s="5"/>
      <c r="G2983" s="5"/>
      <c r="H2983" s="5"/>
      <c r="I2983" s="5"/>
    </row>
    <row r="2984" spans="1:9" ht="12.5">
      <c r="A2984" s="5"/>
      <c r="B2984" s="5"/>
      <c r="C2984" s="5"/>
      <c r="E2984" s="5"/>
      <c r="G2984" s="5"/>
      <c r="H2984" s="5"/>
      <c r="I2984" s="5"/>
    </row>
    <row r="2985" spans="1:9" ht="12.5">
      <c r="A2985" s="5"/>
      <c r="B2985" s="5"/>
      <c r="C2985" s="5"/>
      <c r="E2985" s="5"/>
      <c r="G2985" s="5"/>
      <c r="H2985" s="5"/>
      <c r="I2985" s="5"/>
    </row>
    <row r="2986" spans="1:9" ht="12.5">
      <c r="A2986" s="5"/>
      <c r="B2986" s="5"/>
      <c r="C2986" s="5"/>
      <c r="E2986" s="5"/>
      <c r="G2986" s="5"/>
      <c r="H2986" s="5"/>
      <c r="I2986" s="5"/>
    </row>
    <row r="2987" spans="1:9" ht="12.5">
      <c r="A2987" s="5"/>
      <c r="B2987" s="5"/>
      <c r="C2987" s="5"/>
      <c r="E2987" s="5"/>
      <c r="G2987" s="5"/>
      <c r="H2987" s="5"/>
      <c r="I2987" s="5"/>
    </row>
    <row r="2988" spans="1:9" ht="12.5">
      <c r="A2988" s="5"/>
      <c r="B2988" s="5"/>
      <c r="C2988" s="5"/>
      <c r="E2988" s="5"/>
      <c r="G2988" s="5"/>
      <c r="H2988" s="5"/>
      <c r="I2988" s="5"/>
    </row>
    <row r="2989" spans="1:9" ht="12.5">
      <c r="A2989" s="5"/>
      <c r="B2989" s="5"/>
      <c r="C2989" s="5"/>
      <c r="E2989" s="5"/>
      <c r="G2989" s="5"/>
      <c r="H2989" s="5"/>
      <c r="I2989" s="5"/>
    </row>
    <row r="2990" spans="1:9" ht="12.5">
      <c r="A2990" s="5"/>
      <c r="B2990" s="5"/>
      <c r="C2990" s="5"/>
      <c r="E2990" s="5"/>
      <c r="G2990" s="5"/>
      <c r="H2990" s="5"/>
      <c r="I2990" s="5"/>
    </row>
    <row r="2991" spans="1:9" ht="12.5">
      <c r="A2991" s="5"/>
      <c r="B2991" s="5"/>
      <c r="C2991" s="5"/>
      <c r="E2991" s="5"/>
      <c r="G2991" s="5"/>
      <c r="H2991" s="5"/>
      <c r="I2991" s="5"/>
    </row>
    <row r="2992" spans="1:9" ht="12.5">
      <c r="A2992" s="5"/>
      <c r="B2992" s="5"/>
      <c r="C2992" s="5"/>
      <c r="E2992" s="5"/>
      <c r="G2992" s="5"/>
      <c r="H2992" s="5"/>
      <c r="I2992" s="5"/>
    </row>
    <row r="2993" spans="1:9" ht="12.5">
      <c r="A2993" s="5"/>
      <c r="B2993" s="5"/>
      <c r="C2993" s="5"/>
      <c r="E2993" s="5"/>
      <c r="G2993" s="5"/>
      <c r="H2993" s="5"/>
      <c r="I2993" s="5"/>
    </row>
    <row r="2994" spans="1:9" ht="12.5">
      <c r="A2994" s="5"/>
      <c r="B2994" s="5"/>
      <c r="C2994" s="5"/>
      <c r="E2994" s="5"/>
      <c r="G2994" s="5"/>
      <c r="H2994" s="5"/>
      <c r="I2994" s="5"/>
    </row>
    <row r="2995" spans="1:9" ht="12.5">
      <c r="A2995" s="5"/>
      <c r="B2995" s="5"/>
      <c r="C2995" s="5"/>
      <c r="E2995" s="5"/>
      <c r="G2995" s="5"/>
      <c r="H2995" s="5"/>
      <c r="I2995" s="5"/>
    </row>
    <row r="2996" spans="1:9" ht="12.5">
      <c r="A2996" s="5"/>
      <c r="B2996" s="5"/>
      <c r="C2996" s="5"/>
      <c r="E2996" s="5"/>
      <c r="G2996" s="5"/>
      <c r="H2996" s="5"/>
      <c r="I2996" s="5"/>
    </row>
    <row r="2997" spans="1:9" ht="12.5">
      <c r="A2997" s="5"/>
      <c r="B2997" s="5"/>
      <c r="C2997" s="5"/>
      <c r="E2997" s="5"/>
      <c r="G2997" s="5"/>
      <c r="H2997" s="5"/>
      <c r="I2997" s="5"/>
    </row>
    <row r="2998" spans="1:9" ht="12.5">
      <c r="A2998" s="5"/>
      <c r="B2998" s="5"/>
      <c r="C2998" s="5"/>
      <c r="E2998" s="5"/>
      <c r="G2998" s="5"/>
      <c r="H2998" s="5"/>
      <c r="I2998" s="5"/>
    </row>
    <row r="2999" spans="1:9" ht="12.5">
      <c r="A2999" s="5"/>
      <c r="B2999" s="5"/>
      <c r="C2999" s="5"/>
      <c r="E2999" s="5"/>
      <c r="G2999" s="5"/>
      <c r="H2999" s="5"/>
      <c r="I2999" s="5"/>
    </row>
    <row r="3000" spans="1:9" ht="12.5">
      <c r="A3000" s="5"/>
      <c r="B3000" s="5"/>
      <c r="C3000" s="5"/>
      <c r="E3000" s="5"/>
      <c r="G3000" s="5"/>
      <c r="H3000" s="5"/>
      <c r="I3000" s="5"/>
    </row>
    <row r="3001" spans="1:9" ht="12.5">
      <c r="A3001" s="5"/>
      <c r="B3001" s="5"/>
      <c r="C3001" s="5"/>
      <c r="E3001" s="5"/>
      <c r="G3001" s="5"/>
      <c r="H3001" s="5"/>
      <c r="I3001" s="5"/>
    </row>
    <row r="3002" spans="1:9" ht="12.5">
      <c r="A3002" s="5"/>
      <c r="B3002" s="5"/>
      <c r="C3002" s="5"/>
      <c r="E3002" s="5"/>
      <c r="G3002" s="5"/>
      <c r="H3002" s="5"/>
      <c r="I3002" s="5"/>
    </row>
    <row r="3003" spans="1:9" ht="12.5">
      <c r="A3003" s="5"/>
      <c r="B3003" s="5"/>
      <c r="C3003" s="5"/>
      <c r="E3003" s="5"/>
      <c r="G3003" s="5"/>
      <c r="H3003" s="5"/>
      <c r="I3003" s="5"/>
    </row>
    <row r="3004" spans="1:9" ht="12.5">
      <c r="A3004" s="5"/>
      <c r="B3004" s="5"/>
      <c r="C3004" s="5"/>
      <c r="E3004" s="5"/>
      <c r="G3004" s="5"/>
      <c r="H3004" s="5"/>
      <c r="I3004" s="5"/>
    </row>
    <row r="3005" spans="1:9" ht="12.5">
      <c r="A3005" s="5"/>
      <c r="B3005" s="5"/>
      <c r="C3005" s="5"/>
      <c r="E3005" s="5"/>
      <c r="G3005" s="5"/>
      <c r="H3005" s="5"/>
      <c r="I3005" s="5"/>
    </row>
    <row r="3006" spans="1:9" ht="12.5">
      <c r="A3006" s="5"/>
      <c r="B3006" s="5"/>
      <c r="C3006" s="5"/>
      <c r="E3006" s="5"/>
      <c r="G3006" s="5"/>
      <c r="H3006" s="5"/>
      <c r="I3006" s="5"/>
    </row>
    <row r="3007" spans="1:9" ht="12.5">
      <c r="A3007" s="5"/>
      <c r="B3007" s="5"/>
      <c r="C3007" s="5"/>
      <c r="E3007" s="5"/>
      <c r="G3007" s="5"/>
      <c r="H3007" s="5"/>
      <c r="I3007" s="5"/>
    </row>
    <row r="3008" spans="1:9" ht="12.5">
      <c r="A3008" s="5"/>
      <c r="B3008" s="5"/>
      <c r="C3008" s="5"/>
      <c r="E3008" s="5"/>
      <c r="G3008" s="5"/>
      <c r="H3008" s="5"/>
      <c r="I3008" s="5"/>
    </row>
    <row r="3009" spans="1:9" ht="12.5">
      <c r="A3009" s="5"/>
      <c r="B3009" s="5"/>
      <c r="C3009" s="5"/>
      <c r="E3009" s="5"/>
      <c r="G3009" s="5"/>
      <c r="H3009" s="5"/>
      <c r="I3009" s="5"/>
    </row>
    <row r="3010" spans="1:9" ht="12.5">
      <c r="A3010" s="5"/>
      <c r="B3010" s="5"/>
      <c r="C3010" s="5"/>
      <c r="E3010" s="5"/>
      <c r="G3010" s="5"/>
      <c r="H3010" s="5"/>
      <c r="I3010" s="5"/>
    </row>
    <row r="3011" spans="1:9" ht="12.5">
      <c r="A3011" s="5"/>
      <c r="B3011" s="5"/>
      <c r="C3011" s="5"/>
      <c r="E3011" s="5"/>
      <c r="G3011" s="5"/>
      <c r="H3011" s="5"/>
      <c r="I3011" s="5"/>
    </row>
    <row r="3012" spans="1:9" ht="12.5">
      <c r="A3012" s="5"/>
      <c r="B3012" s="5"/>
      <c r="C3012" s="5"/>
      <c r="E3012" s="5"/>
      <c r="G3012" s="5"/>
      <c r="H3012" s="5"/>
      <c r="I3012" s="5"/>
    </row>
    <row r="3013" spans="1:9" ht="12.5">
      <c r="A3013" s="5"/>
      <c r="B3013" s="5"/>
      <c r="C3013" s="5"/>
      <c r="E3013" s="5"/>
      <c r="G3013" s="5"/>
      <c r="H3013" s="5"/>
      <c r="I3013" s="5"/>
    </row>
    <row r="3014" spans="1:9" ht="12.5">
      <c r="A3014" s="5"/>
      <c r="B3014" s="5"/>
      <c r="C3014" s="5"/>
      <c r="E3014" s="5"/>
      <c r="G3014" s="5"/>
      <c r="H3014" s="5"/>
      <c r="I3014" s="5"/>
    </row>
    <row r="3015" spans="1:9" ht="12.5">
      <c r="A3015" s="5"/>
      <c r="B3015" s="5"/>
      <c r="C3015" s="5"/>
      <c r="E3015" s="5"/>
      <c r="G3015" s="5"/>
      <c r="H3015" s="5"/>
      <c r="I3015" s="5"/>
    </row>
    <row r="3016" spans="1:9" ht="12.5">
      <c r="A3016" s="5"/>
      <c r="B3016" s="5"/>
      <c r="C3016" s="5"/>
      <c r="E3016" s="5"/>
      <c r="G3016" s="5"/>
      <c r="H3016" s="5"/>
      <c r="I3016" s="5"/>
    </row>
    <row r="3017" spans="1:9" ht="12.5">
      <c r="A3017" s="5"/>
      <c r="B3017" s="5"/>
      <c r="C3017" s="5"/>
      <c r="E3017" s="5"/>
      <c r="G3017" s="5"/>
      <c r="H3017" s="5"/>
      <c r="I3017" s="5"/>
    </row>
    <row r="3018" spans="1:9" ht="12.5">
      <c r="A3018" s="5"/>
      <c r="B3018" s="5"/>
      <c r="C3018" s="5"/>
      <c r="E3018" s="5"/>
      <c r="G3018" s="5"/>
      <c r="H3018" s="5"/>
      <c r="I3018" s="5"/>
    </row>
    <row r="3019" spans="1:9" ht="12.5">
      <c r="A3019" s="5"/>
      <c r="B3019" s="5"/>
      <c r="C3019" s="5"/>
      <c r="E3019" s="5"/>
      <c r="G3019" s="5"/>
      <c r="H3019" s="5"/>
      <c r="I3019" s="5"/>
    </row>
    <row r="3020" spans="1:9" ht="12.5">
      <c r="A3020" s="5"/>
      <c r="B3020" s="5"/>
      <c r="C3020" s="5"/>
      <c r="E3020" s="5"/>
      <c r="G3020" s="5"/>
      <c r="H3020" s="5"/>
      <c r="I3020" s="5"/>
    </row>
    <row r="3021" spans="1:9" ht="12.5">
      <c r="A3021" s="5"/>
      <c r="B3021" s="5"/>
      <c r="C3021" s="5"/>
      <c r="E3021" s="5"/>
      <c r="G3021" s="5"/>
      <c r="H3021" s="5"/>
      <c r="I3021" s="5"/>
    </row>
    <row r="3022" spans="1:9" ht="12.5">
      <c r="A3022" s="5"/>
      <c r="B3022" s="5"/>
      <c r="C3022" s="5"/>
      <c r="E3022" s="5"/>
      <c r="G3022" s="5"/>
      <c r="H3022" s="5"/>
      <c r="I3022" s="5"/>
    </row>
    <row r="3023" spans="1:9" ht="12.5">
      <c r="A3023" s="5"/>
      <c r="B3023" s="5"/>
      <c r="C3023" s="5"/>
      <c r="E3023" s="5"/>
      <c r="G3023" s="5"/>
      <c r="H3023" s="5"/>
      <c r="I3023" s="5"/>
    </row>
    <row r="3024" spans="1:9" ht="12.5">
      <c r="A3024" s="5"/>
      <c r="B3024" s="5"/>
      <c r="C3024" s="5"/>
      <c r="E3024" s="5"/>
      <c r="G3024" s="5"/>
      <c r="H3024" s="5"/>
      <c r="I3024" s="5"/>
    </row>
    <row r="3025" spans="1:9" ht="12.5">
      <c r="A3025" s="5"/>
      <c r="B3025" s="5"/>
      <c r="C3025" s="5"/>
      <c r="E3025" s="5"/>
      <c r="G3025" s="5"/>
      <c r="H3025" s="5"/>
      <c r="I3025" s="5"/>
    </row>
    <row r="3026" spans="1:9" ht="12.5">
      <c r="A3026" s="5"/>
      <c r="B3026" s="5"/>
      <c r="C3026" s="5"/>
      <c r="E3026" s="5"/>
      <c r="G3026" s="5"/>
      <c r="H3026" s="5"/>
      <c r="I3026" s="5"/>
    </row>
    <row r="3027" spans="1:9" ht="12.5">
      <c r="A3027" s="5"/>
      <c r="B3027" s="5"/>
      <c r="C3027" s="5"/>
      <c r="E3027" s="5"/>
      <c r="G3027" s="5"/>
      <c r="H3027" s="5"/>
      <c r="I3027" s="5"/>
    </row>
    <row r="3028" spans="1:9" ht="12.5">
      <c r="A3028" s="5"/>
      <c r="B3028" s="5"/>
      <c r="C3028" s="5"/>
      <c r="E3028" s="5"/>
      <c r="G3028" s="5"/>
      <c r="H3028" s="5"/>
      <c r="I3028" s="5"/>
    </row>
    <row r="3029" spans="1:9" ht="12.5">
      <c r="A3029" s="5"/>
      <c r="B3029" s="5"/>
      <c r="C3029" s="5"/>
      <c r="E3029" s="5"/>
      <c r="G3029" s="5"/>
      <c r="H3029" s="5"/>
      <c r="I3029" s="5"/>
    </row>
    <row r="3030" spans="1:9" ht="12.5">
      <c r="A3030" s="5"/>
      <c r="B3030" s="5"/>
      <c r="C3030" s="5"/>
      <c r="E3030" s="5"/>
      <c r="G3030" s="5"/>
      <c r="H3030" s="5"/>
      <c r="I3030" s="5"/>
    </row>
    <row r="3031" spans="1:9" ht="12.5">
      <c r="A3031" s="5"/>
      <c r="B3031" s="5"/>
      <c r="C3031" s="5"/>
      <c r="E3031" s="5"/>
      <c r="G3031" s="5"/>
      <c r="H3031" s="5"/>
      <c r="I3031" s="5"/>
    </row>
    <row r="3032" spans="1:9" ht="12.5">
      <c r="A3032" s="5"/>
      <c r="B3032" s="5"/>
      <c r="C3032" s="5"/>
      <c r="E3032" s="5"/>
      <c r="G3032" s="5"/>
      <c r="H3032" s="5"/>
      <c r="I3032" s="5"/>
    </row>
    <row r="3033" spans="1:9" ht="12.5">
      <c r="A3033" s="5"/>
      <c r="B3033" s="5"/>
      <c r="C3033" s="5"/>
      <c r="E3033" s="5"/>
      <c r="G3033" s="5"/>
      <c r="H3033" s="5"/>
      <c r="I3033" s="5"/>
    </row>
    <row r="3034" spans="1:9" ht="12.5">
      <c r="A3034" s="5"/>
      <c r="B3034" s="5"/>
      <c r="C3034" s="5"/>
      <c r="E3034" s="5"/>
      <c r="G3034" s="5"/>
      <c r="H3034" s="5"/>
      <c r="I3034" s="5"/>
    </row>
    <row r="3035" spans="1:9" ht="12.5">
      <c r="A3035" s="5"/>
      <c r="B3035" s="5"/>
      <c r="C3035" s="5"/>
      <c r="E3035" s="5"/>
      <c r="G3035" s="5"/>
      <c r="H3035" s="5"/>
      <c r="I3035" s="5"/>
    </row>
    <row r="3036" spans="1:9" ht="12.5">
      <c r="A3036" s="5"/>
      <c r="B3036" s="5"/>
      <c r="C3036" s="5"/>
      <c r="E3036" s="5"/>
      <c r="G3036" s="5"/>
      <c r="H3036" s="5"/>
      <c r="I3036" s="5"/>
    </row>
    <row r="3037" spans="1:9" ht="12.5">
      <c r="A3037" s="5"/>
      <c r="B3037" s="5"/>
      <c r="C3037" s="5"/>
      <c r="E3037" s="5"/>
      <c r="G3037" s="5"/>
      <c r="H3037" s="5"/>
      <c r="I3037" s="5"/>
    </row>
    <row r="3038" spans="1:9" ht="12.5">
      <c r="A3038" s="5"/>
      <c r="B3038" s="5"/>
      <c r="C3038" s="5"/>
      <c r="E3038" s="5"/>
      <c r="G3038" s="5"/>
      <c r="H3038" s="5"/>
      <c r="I3038" s="5"/>
    </row>
    <row r="3039" spans="1:9" ht="12.5">
      <c r="A3039" s="5"/>
      <c r="B3039" s="5"/>
      <c r="C3039" s="5"/>
      <c r="E3039" s="5"/>
      <c r="G3039" s="5"/>
      <c r="H3039" s="5"/>
      <c r="I3039" s="5"/>
    </row>
    <row r="3040" spans="1:9" ht="12.5">
      <c r="A3040" s="5"/>
      <c r="B3040" s="5"/>
      <c r="C3040" s="5"/>
      <c r="E3040" s="5"/>
      <c r="G3040" s="5"/>
      <c r="H3040" s="5"/>
      <c r="I3040" s="5"/>
    </row>
    <row r="3041" spans="1:9" ht="12.5">
      <c r="A3041" s="5"/>
      <c r="B3041" s="5"/>
      <c r="C3041" s="5"/>
      <c r="E3041" s="5"/>
      <c r="G3041" s="5"/>
      <c r="H3041" s="5"/>
      <c r="I3041" s="5"/>
    </row>
    <row r="3042" spans="1:9" ht="12.5">
      <c r="A3042" s="5"/>
      <c r="B3042" s="5"/>
      <c r="C3042" s="5"/>
      <c r="E3042" s="5"/>
      <c r="G3042" s="5"/>
      <c r="H3042" s="5"/>
      <c r="I3042" s="5"/>
    </row>
    <row r="3043" spans="1:9" ht="12.5">
      <c r="A3043" s="5"/>
      <c r="B3043" s="5"/>
      <c r="C3043" s="5"/>
      <c r="E3043" s="5"/>
      <c r="G3043" s="5"/>
      <c r="H3043" s="5"/>
      <c r="I3043" s="5"/>
    </row>
    <row r="3044" spans="1:9" ht="12.5">
      <c r="A3044" s="5"/>
      <c r="B3044" s="5"/>
      <c r="C3044" s="5"/>
      <c r="E3044" s="5"/>
      <c r="G3044" s="5"/>
      <c r="H3044" s="5"/>
      <c r="I3044" s="5"/>
    </row>
    <row r="3045" spans="1:9" ht="12.5">
      <c r="A3045" s="5"/>
      <c r="B3045" s="5"/>
      <c r="C3045" s="5"/>
      <c r="E3045" s="5"/>
      <c r="G3045" s="5"/>
      <c r="H3045" s="5"/>
      <c r="I3045" s="5"/>
    </row>
    <row r="3046" spans="1:9" ht="12.5">
      <c r="A3046" s="5"/>
      <c r="B3046" s="5"/>
      <c r="C3046" s="5"/>
      <c r="E3046" s="5"/>
      <c r="G3046" s="5"/>
      <c r="H3046" s="5"/>
      <c r="I3046" s="5"/>
    </row>
    <row r="3047" spans="1:9" ht="12.5">
      <c r="A3047" s="5"/>
      <c r="B3047" s="5"/>
      <c r="C3047" s="5"/>
      <c r="E3047" s="5"/>
      <c r="G3047" s="5"/>
      <c r="H3047" s="5"/>
      <c r="I3047" s="5"/>
    </row>
    <row r="3048" spans="1:9" ht="12.5">
      <c r="A3048" s="5"/>
      <c r="B3048" s="5"/>
      <c r="C3048" s="5"/>
      <c r="E3048" s="5"/>
      <c r="G3048" s="5"/>
      <c r="H3048" s="5"/>
      <c r="I3048" s="5"/>
    </row>
    <row r="3049" spans="1:9" ht="12.5">
      <c r="A3049" s="5"/>
      <c r="B3049" s="5"/>
      <c r="C3049" s="5"/>
      <c r="E3049" s="5"/>
      <c r="G3049" s="5"/>
      <c r="H3049" s="5"/>
      <c r="I3049" s="5"/>
    </row>
    <row r="3050" spans="1:9" ht="12.5">
      <c r="A3050" s="5"/>
      <c r="B3050" s="5"/>
      <c r="C3050" s="5"/>
      <c r="E3050" s="5"/>
      <c r="G3050" s="5"/>
      <c r="H3050" s="5"/>
      <c r="I3050" s="5"/>
    </row>
    <row r="3051" spans="1:9" ht="12.5">
      <c r="A3051" s="5"/>
      <c r="B3051" s="5"/>
      <c r="C3051" s="5"/>
      <c r="E3051" s="5"/>
      <c r="G3051" s="5"/>
      <c r="H3051" s="5"/>
      <c r="I3051" s="5"/>
    </row>
    <row r="3052" spans="1:9" ht="12.5">
      <c r="A3052" s="5"/>
      <c r="B3052" s="5"/>
      <c r="C3052" s="5"/>
      <c r="E3052" s="5"/>
      <c r="G3052" s="5"/>
      <c r="H3052" s="5"/>
      <c r="I3052" s="5"/>
    </row>
    <row r="3053" spans="1:9" ht="12.5">
      <c r="A3053" s="5"/>
      <c r="B3053" s="5"/>
      <c r="C3053" s="5"/>
      <c r="E3053" s="5"/>
      <c r="G3053" s="5"/>
      <c r="H3053" s="5"/>
      <c r="I3053" s="5"/>
    </row>
    <row r="3054" spans="1:9" ht="12.5">
      <c r="A3054" s="5"/>
      <c r="B3054" s="5"/>
      <c r="C3054" s="5"/>
      <c r="E3054" s="5"/>
      <c r="G3054" s="5"/>
      <c r="H3054" s="5"/>
      <c r="I3054" s="5"/>
    </row>
    <row r="3055" spans="1:9" ht="12.5">
      <c r="A3055" s="5"/>
      <c r="B3055" s="5"/>
      <c r="C3055" s="5"/>
      <c r="E3055" s="5"/>
      <c r="G3055" s="5"/>
      <c r="H3055" s="5"/>
      <c r="I3055" s="5"/>
    </row>
    <row r="3056" spans="1:9" ht="12.5">
      <c r="A3056" s="5"/>
      <c r="B3056" s="5"/>
      <c r="C3056" s="5"/>
      <c r="E3056" s="5"/>
      <c r="G3056" s="5"/>
      <c r="H3056" s="5"/>
      <c r="I3056" s="5"/>
    </row>
    <row r="3057" spans="1:9" ht="12.5">
      <c r="A3057" s="5"/>
      <c r="B3057" s="5"/>
      <c r="C3057" s="5"/>
      <c r="E3057" s="5"/>
      <c r="G3057" s="5"/>
      <c r="H3057" s="5"/>
      <c r="I3057" s="5"/>
    </row>
    <row r="3058" spans="1:9" ht="12.5">
      <c r="A3058" s="5"/>
      <c r="B3058" s="5"/>
      <c r="C3058" s="5"/>
      <c r="E3058" s="5"/>
      <c r="G3058" s="5"/>
      <c r="H3058" s="5"/>
      <c r="I3058" s="5"/>
    </row>
    <row r="3059" spans="1:9" ht="12.5">
      <c r="A3059" s="5"/>
      <c r="B3059" s="5"/>
      <c r="C3059" s="5"/>
      <c r="E3059" s="5"/>
      <c r="G3059" s="5"/>
      <c r="H3059" s="5"/>
      <c r="I3059" s="5"/>
    </row>
    <row r="3060" spans="1:9" ht="12.5">
      <c r="A3060" s="5"/>
      <c r="B3060" s="5"/>
      <c r="C3060" s="5"/>
      <c r="E3060" s="5"/>
      <c r="G3060" s="5"/>
      <c r="H3060" s="5"/>
      <c r="I3060" s="5"/>
    </row>
    <row r="3061" spans="1:9" ht="12.5">
      <c r="A3061" s="5"/>
      <c r="B3061" s="5"/>
      <c r="C3061" s="5"/>
      <c r="E3061" s="5"/>
      <c r="G3061" s="5"/>
      <c r="H3061" s="5"/>
      <c r="I3061" s="5"/>
    </row>
    <row r="3062" spans="1:9" ht="12.5">
      <c r="A3062" s="5"/>
      <c r="B3062" s="5"/>
      <c r="C3062" s="5"/>
      <c r="E3062" s="5"/>
      <c r="G3062" s="5"/>
      <c r="H3062" s="5"/>
      <c r="I3062" s="5"/>
    </row>
    <row r="3063" spans="1:9" ht="12.5">
      <c r="A3063" s="5"/>
      <c r="B3063" s="5"/>
      <c r="C3063" s="5"/>
      <c r="E3063" s="5"/>
      <c r="G3063" s="5"/>
      <c r="H3063" s="5"/>
      <c r="I3063" s="5"/>
    </row>
    <row r="3064" spans="1:9" ht="12.5">
      <c r="A3064" s="5"/>
      <c r="B3064" s="5"/>
      <c r="C3064" s="5"/>
      <c r="E3064" s="5"/>
      <c r="G3064" s="5"/>
      <c r="H3064" s="5"/>
      <c r="I3064" s="5"/>
    </row>
    <row r="3065" spans="1:9" ht="12.5">
      <c r="A3065" s="5"/>
      <c r="B3065" s="5"/>
      <c r="C3065" s="5"/>
      <c r="E3065" s="5"/>
      <c r="G3065" s="5"/>
      <c r="H3065" s="5"/>
      <c r="I3065" s="5"/>
    </row>
    <row r="3066" spans="1:9" ht="12.5">
      <c r="A3066" s="5"/>
      <c r="B3066" s="5"/>
      <c r="C3066" s="5"/>
      <c r="E3066" s="5"/>
      <c r="G3066" s="5"/>
      <c r="H3066" s="5"/>
      <c r="I3066" s="5"/>
    </row>
    <row r="3067" spans="1:9" ht="12.5">
      <c r="A3067" s="5"/>
      <c r="B3067" s="5"/>
      <c r="C3067" s="5"/>
      <c r="E3067" s="5"/>
      <c r="G3067" s="5"/>
      <c r="H3067" s="5"/>
      <c r="I3067" s="5"/>
    </row>
    <row r="3068" spans="1:9" ht="12.5">
      <c r="A3068" s="5"/>
      <c r="B3068" s="5"/>
      <c r="C3068" s="5"/>
      <c r="E3068" s="5"/>
      <c r="G3068" s="5"/>
      <c r="H3068" s="5"/>
      <c r="I3068" s="5"/>
    </row>
    <row r="3069" spans="1:9" ht="12.5">
      <c r="A3069" s="5"/>
      <c r="B3069" s="5"/>
      <c r="C3069" s="5"/>
      <c r="E3069" s="5"/>
      <c r="G3069" s="5"/>
      <c r="H3069" s="5"/>
      <c r="I3069" s="5"/>
    </row>
    <row r="3070" spans="1:9" ht="12.5">
      <c r="A3070" s="5"/>
      <c r="B3070" s="5"/>
      <c r="C3070" s="5"/>
      <c r="E3070" s="5"/>
      <c r="G3070" s="5"/>
      <c r="H3070" s="5"/>
      <c r="I3070" s="5"/>
    </row>
    <row r="3071" spans="1:9" ht="12.5">
      <c r="A3071" s="5"/>
      <c r="B3071" s="5"/>
      <c r="C3071" s="5"/>
      <c r="E3071" s="5"/>
      <c r="G3071" s="5"/>
      <c r="H3071" s="5"/>
      <c r="I3071" s="5"/>
    </row>
    <row r="3072" spans="1:9" ht="12.5">
      <c r="A3072" s="5"/>
      <c r="B3072" s="5"/>
      <c r="C3072" s="5"/>
      <c r="E3072" s="5"/>
      <c r="G3072" s="5"/>
      <c r="H3072" s="5"/>
      <c r="I3072" s="5"/>
    </row>
    <row r="3073" spans="1:9" ht="12.5">
      <c r="A3073" s="5"/>
      <c r="B3073" s="5"/>
      <c r="C3073" s="5"/>
      <c r="E3073" s="5"/>
      <c r="G3073" s="5"/>
      <c r="H3073" s="5"/>
      <c r="I3073" s="5"/>
    </row>
    <row r="3074" spans="1:9" ht="12.5">
      <c r="A3074" s="5"/>
      <c r="B3074" s="5"/>
      <c r="C3074" s="5"/>
      <c r="E3074" s="5"/>
      <c r="G3074" s="5"/>
      <c r="H3074" s="5"/>
      <c r="I3074" s="5"/>
    </row>
    <row r="3075" spans="1:9" ht="12.5">
      <c r="A3075" s="5"/>
      <c r="B3075" s="5"/>
      <c r="C3075" s="5"/>
      <c r="E3075" s="5"/>
      <c r="G3075" s="5"/>
      <c r="H3075" s="5"/>
      <c r="I3075" s="5"/>
    </row>
    <row r="3076" spans="1:9" ht="12.5">
      <c r="A3076" s="5"/>
      <c r="B3076" s="5"/>
      <c r="C3076" s="5"/>
      <c r="E3076" s="5"/>
      <c r="G3076" s="5"/>
      <c r="H3076" s="5"/>
      <c r="I3076" s="5"/>
    </row>
    <row r="3077" spans="1:9" ht="12.5">
      <c r="A3077" s="5"/>
      <c r="B3077" s="5"/>
      <c r="C3077" s="5"/>
      <c r="E3077" s="5"/>
      <c r="G3077" s="5"/>
      <c r="H3077" s="5"/>
      <c r="I3077" s="5"/>
    </row>
    <row r="3078" spans="1:9" ht="12.5">
      <c r="A3078" s="5"/>
      <c r="B3078" s="5"/>
      <c r="C3078" s="5"/>
      <c r="E3078" s="5"/>
      <c r="G3078" s="5"/>
      <c r="H3078" s="5"/>
      <c r="I3078" s="5"/>
    </row>
    <row r="3079" spans="1:9" ht="12.5">
      <c r="A3079" s="5"/>
      <c r="B3079" s="5"/>
      <c r="C3079" s="5"/>
      <c r="E3079" s="5"/>
      <c r="G3079" s="5"/>
      <c r="H3079" s="5"/>
      <c r="I3079" s="5"/>
    </row>
    <row r="3080" spans="1:9" ht="12.5">
      <c r="A3080" s="5"/>
      <c r="B3080" s="5"/>
      <c r="C3080" s="5"/>
      <c r="E3080" s="5"/>
      <c r="G3080" s="5"/>
      <c r="H3080" s="5"/>
      <c r="I3080" s="5"/>
    </row>
    <row r="3081" spans="1:9" ht="12.5">
      <c r="A3081" s="5"/>
      <c r="B3081" s="5"/>
      <c r="C3081" s="5"/>
      <c r="E3081" s="5"/>
      <c r="G3081" s="5"/>
      <c r="H3081" s="5"/>
      <c r="I3081" s="5"/>
    </row>
    <row r="3082" spans="1:9" ht="12.5">
      <c r="A3082" s="5"/>
      <c r="B3082" s="5"/>
      <c r="C3082" s="5"/>
      <c r="E3082" s="5"/>
      <c r="G3082" s="5"/>
      <c r="H3082" s="5"/>
      <c r="I3082" s="5"/>
    </row>
    <row r="3083" spans="1:9" ht="12.5">
      <c r="A3083" s="5"/>
      <c r="B3083" s="5"/>
      <c r="C3083" s="5"/>
      <c r="E3083" s="5"/>
      <c r="G3083" s="5"/>
      <c r="H3083" s="5"/>
      <c r="I3083" s="5"/>
    </row>
    <row r="3084" spans="1:9" ht="12.5">
      <c r="A3084" s="5"/>
      <c r="B3084" s="5"/>
      <c r="C3084" s="5"/>
      <c r="E3084" s="5"/>
      <c r="G3084" s="5"/>
      <c r="H3084" s="5"/>
      <c r="I3084" s="5"/>
    </row>
    <row r="3085" spans="1:9" ht="12.5">
      <c r="A3085" s="5"/>
      <c r="B3085" s="5"/>
      <c r="C3085" s="5"/>
      <c r="E3085" s="5"/>
      <c r="G3085" s="5"/>
      <c r="H3085" s="5"/>
      <c r="I3085" s="5"/>
    </row>
    <row r="3086" spans="1:9" ht="12.5">
      <c r="A3086" s="5"/>
      <c r="B3086" s="5"/>
      <c r="C3086" s="5"/>
      <c r="E3086" s="5"/>
      <c r="G3086" s="5"/>
      <c r="H3086" s="5"/>
      <c r="I3086" s="5"/>
    </row>
    <row r="3087" spans="1:9" ht="12.5">
      <c r="A3087" s="5"/>
      <c r="B3087" s="5"/>
      <c r="C3087" s="5"/>
      <c r="E3087" s="5"/>
      <c r="G3087" s="5"/>
      <c r="H3087" s="5"/>
      <c r="I3087" s="5"/>
    </row>
    <row r="3088" spans="1:9" ht="12.5">
      <c r="A3088" s="5"/>
      <c r="B3088" s="5"/>
      <c r="C3088" s="5"/>
      <c r="E3088" s="5"/>
      <c r="G3088" s="5"/>
      <c r="H3088" s="5"/>
      <c r="I3088" s="5"/>
    </row>
    <row r="3089" spans="1:9" ht="12.5">
      <c r="A3089" s="5"/>
      <c r="B3089" s="5"/>
      <c r="C3089" s="5"/>
      <c r="E3089" s="5"/>
      <c r="G3089" s="5"/>
      <c r="H3089" s="5"/>
      <c r="I3089" s="5"/>
    </row>
    <row r="3090" spans="1:9" ht="12.5">
      <c r="A3090" s="5"/>
      <c r="B3090" s="5"/>
      <c r="C3090" s="5"/>
      <c r="E3090" s="5"/>
      <c r="G3090" s="5"/>
      <c r="H3090" s="5"/>
      <c r="I3090" s="5"/>
    </row>
    <row r="3091" spans="1:9" ht="12.5">
      <c r="A3091" s="5"/>
      <c r="B3091" s="5"/>
      <c r="C3091" s="5"/>
      <c r="E3091" s="5"/>
      <c r="G3091" s="5"/>
      <c r="H3091" s="5"/>
      <c r="I3091" s="5"/>
    </row>
    <row r="3092" spans="1:9" ht="12.5">
      <c r="A3092" s="5"/>
      <c r="B3092" s="5"/>
      <c r="C3092" s="5"/>
      <c r="E3092" s="5"/>
      <c r="G3092" s="5"/>
      <c r="H3092" s="5"/>
      <c r="I3092" s="5"/>
    </row>
    <row r="3093" spans="1:9" ht="12.5">
      <c r="A3093" s="5"/>
      <c r="B3093" s="5"/>
      <c r="C3093" s="5"/>
      <c r="E3093" s="5"/>
      <c r="G3093" s="5"/>
      <c r="H3093" s="5"/>
      <c r="I3093" s="5"/>
    </row>
    <row r="3094" spans="1:9" ht="12.5">
      <c r="A3094" s="5"/>
      <c r="B3094" s="5"/>
      <c r="C3094" s="5"/>
      <c r="E3094" s="5"/>
      <c r="G3094" s="5"/>
      <c r="H3094" s="5"/>
      <c r="I3094" s="5"/>
    </row>
    <row r="3095" spans="1:9" ht="12.5">
      <c r="A3095" s="5"/>
      <c r="B3095" s="5"/>
      <c r="C3095" s="5"/>
      <c r="E3095" s="5"/>
      <c r="G3095" s="5"/>
      <c r="H3095" s="5"/>
      <c r="I3095" s="5"/>
    </row>
    <row r="3096" spans="1:9" ht="12.5">
      <c r="A3096" s="5"/>
      <c r="B3096" s="5"/>
      <c r="C3096" s="5"/>
      <c r="E3096" s="5"/>
      <c r="G3096" s="5"/>
      <c r="H3096" s="5"/>
      <c r="I3096" s="5"/>
    </row>
    <row r="3097" spans="1:9" ht="12.5">
      <c r="A3097" s="5"/>
      <c r="B3097" s="5"/>
      <c r="C3097" s="5"/>
      <c r="E3097" s="5"/>
      <c r="G3097" s="5"/>
      <c r="H3097" s="5"/>
      <c r="I3097" s="5"/>
    </row>
    <row r="3098" spans="1:9" ht="12.5">
      <c r="A3098" s="5"/>
      <c r="B3098" s="5"/>
      <c r="C3098" s="5"/>
      <c r="E3098" s="5"/>
      <c r="G3098" s="5"/>
      <c r="H3098" s="5"/>
      <c r="I3098" s="5"/>
    </row>
    <row r="3099" spans="1:9" ht="12.5">
      <c r="A3099" s="5"/>
      <c r="B3099" s="5"/>
      <c r="C3099" s="5"/>
      <c r="E3099" s="5"/>
      <c r="G3099" s="5"/>
      <c r="H3099" s="5"/>
      <c r="I3099" s="5"/>
    </row>
    <row r="3100" spans="1:9" ht="12.5">
      <c r="A3100" s="5"/>
      <c r="B3100" s="5"/>
      <c r="C3100" s="5"/>
      <c r="E3100" s="5"/>
      <c r="G3100" s="5"/>
      <c r="H3100" s="5"/>
      <c r="I3100" s="5"/>
    </row>
    <row r="3101" spans="1:9" ht="12.5">
      <c r="A3101" s="5"/>
      <c r="B3101" s="5"/>
      <c r="C3101" s="5"/>
      <c r="E3101" s="5"/>
      <c r="G3101" s="5"/>
      <c r="H3101" s="5"/>
      <c r="I3101" s="5"/>
    </row>
    <row r="3102" spans="1:9" ht="12.5">
      <c r="A3102" s="5"/>
      <c r="B3102" s="5"/>
      <c r="C3102" s="5"/>
      <c r="E3102" s="5"/>
      <c r="G3102" s="5"/>
      <c r="H3102" s="5"/>
      <c r="I3102" s="5"/>
    </row>
    <row r="3103" spans="1:9" ht="12.5">
      <c r="A3103" s="5"/>
      <c r="B3103" s="5"/>
      <c r="C3103" s="5"/>
      <c r="E3103" s="5"/>
      <c r="G3103" s="5"/>
      <c r="H3103" s="5"/>
      <c r="I3103" s="5"/>
    </row>
    <row r="3104" spans="1:9" ht="12.5">
      <c r="A3104" s="5"/>
      <c r="B3104" s="5"/>
      <c r="C3104" s="5"/>
      <c r="E3104" s="5"/>
      <c r="G3104" s="5"/>
      <c r="H3104" s="5"/>
      <c r="I3104" s="5"/>
    </row>
    <row r="3105" spans="1:9" ht="12.5">
      <c r="A3105" s="5"/>
      <c r="B3105" s="5"/>
      <c r="C3105" s="5"/>
      <c r="E3105" s="5"/>
      <c r="G3105" s="5"/>
      <c r="H3105" s="5"/>
      <c r="I3105" s="5"/>
    </row>
    <row r="3106" spans="1:9" ht="12.5">
      <c r="A3106" s="5"/>
      <c r="B3106" s="5"/>
      <c r="C3106" s="5"/>
      <c r="E3106" s="5"/>
      <c r="G3106" s="5"/>
      <c r="H3106" s="5"/>
      <c r="I3106" s="5"/>
    </row>
    <row r="3107" spans="1:9" ht="12.5">
      <c r="A3107" s="5"/>
      <c r="B3107" s="5"/>
      <c r="C3107" s="5"/>
      <c r="E3107" s="5"/>
      <c r="G3107" s="5"/>
      <c r="H3107" s="5"/>
      <c r="I3107" s="5"/>
    </row>
    <row r="3108" spans="1:9" ht="12.5">
      <c r="A3108" s="5"/>
      <c r="B3108" s="5"/>
      <c r="C3108" s="5"/>
      <c r="E3108" s="5"/>
      <c r="G3108" s="5"/>
      <c r="H3108" s="5"/>
      <c r="I3108" s="5"/>
    </row>
    <row r="3109" spans="1:9" ht="12.5">
      <c r="A3109" s="5"/>
      <c r="B3109" s="5"/>
      <c r="C3109" s="5"/>
      <c r="E3109" s="5"/>
      <c r="G3109" s="5"/>
      <c r="H3109" s="5"/>
      <c r="I3109" s="5"/>
    </row>
    <row r="3110" spans="1:9" ht="12.5">
      <c r="A3110" s="5"/>
      <c r="B3110" s="5"/>
      <c r="C3110" s="5"/>
      <c r="E3110" s="5"/>
      <c r="G3110" s="5"/>
      <c r="H3110" s="5"/>
      <c r="I3110" s="5"/>
    </row>
    <row r="3111" spans="1:9" ht="12.5">
      <c r="A3111" s="5"/>
      <c r="B3111" s="5"/>
      <c r="C3111" s="5"/>
      <c r="E3111" s="5"/>
      <c r="G3111" s="5"/>
      <c r="H3111" s="5"/>
      <c r="I3111" s="5"/>
    </row>
    <row r="3112" spans="1:9" ht="12.5">
      <c r="A3112" s="5"/>
      <c r="B3112" s="5"/>
      <c r="C3112" s="5"/>
      <c r="E3112" s="5"/>
      <c r="G3112" s="5"/>
      <c r="H3112" s="5"/>
      <c r="I3112" s="5"/>
    </row>
    <row r="3113" spans="1:9" ht="12.5">
      <c r="A3113" s="5"/>
      <c r="B3113" s="5"/>
      <c r="C3113" s="5"/>
      <c r="E3113" s="5"/>
      <c r="G3113" s="5"/>
      <c r="H3113" s="5"/>
      <c r="I3113" s="5"/>
    </row>
    <row r="3114" spans="1:9" ht="12.5">
      <c r="A3114" s="5"/>
      <c r="B3114" s="5"/>
      <c r="C3114" s="5"/>
      <c r="E3114" s="5"/>
      <c r="G3114" s="5"/>
      <c r="H3114" s="5"/>
      <c r="I3114" s="5"/>
    </row>
    <row r="3115" spans="1:9" ht="12.5">
      <c r="A3115" s="5"/>
      <c r="B3115" s="5"/>
      <c r="C3115" s="5"/>
      <c r="E3115" s="5"/>
      <c r="G3115" s="5"/>
      <c r="H3115" s="5"/>
      <c r="I3115" s="5"/>
    </row>
    <row r="3116" spans="1:9" ht="12.5">
      <c r="A3116" s="5"/>
      <c r="B3116" s="5"/>
      <c r="C3116" s="5"/>
      <c r="E3116" s="5"/>
      <c r="G3116" s="5"/>
      <c r="H3116" s="5"/>
      <c r="I3116" s="5"/>
    </row>
    <row r="3117" spans="1:9" ht="12.5">
      <c r="A3117" s="5"/>
      <c r="B3117" s="5"/>
      <c r="C3117" s="5"/>
      <c r="E3117" s="5"/>
      <c r="G3117" s="5"/>
      <c r="H3117" s="5"/>
      <c r="I3117" s="5"/>
    </row>
    <row r="3118" spans="1:9" ht="12.5">
      <c r="A3118" s="5"/>
      <c r="B3118" s="5"/>
      <c r="C3118" s="5"/>
      <c r="E3118" s="5"/>
      <c r="G3118" s="5"/>
      <c r="H3118" s="5"/>
      <c r="I3118" s="5"/>
    </row>
    <row r="3119" spans="1:9" ht="12.5">
      <c r="A3119" s="5"/>
      <c r="B3119" s="5"/>
      <c r="C3119" s="5"/>
      <c r="E3119" s="5"/>
      <c r="G3119" s="5"/>
      <c r="H3119" s="5"/>
      <c r="I3119" s="5"/>
    </row>
    <row r="3120" spans="1:9" ht="12.5">
      <c r="A3120" s="5"/>
      <c r="B3120" s="5"/>
      <c r="C3120" s="5"/>
      <c r="E3120" s="5"/>
      <c r="G3120" s="5"/>
      <c r="H3120" s="5"/>
      <c r="I3120" s="5"/>
    </row>
    <row r="3121" spans="1:9" ht="12.5">
      <c r="A3121" s="5"/>
      <c r="B3121" s="5"/>
      <c r="C3121" s="5"/>
      <c r="E3121" s="5"/>
      <c r="G3121" s="5"/>
      <c r="H3121" s="5"/>
      <c r="I3121" s="5"/>
    </row>
    <row r="3122" spans="1:9" ht="12.5">
      <c r="A3122" s="5"/>
      <c r="B3122" s="5"/>
      <c r="C3122" s="5"/>
      <c r="E3122" s="5"/>
      <c r="G3122" s="5"/>
      <c r="H3122" s="5"/>
      <c r="I3122" s="5"/>
    </row>
    <row r="3123" spans="1:9" ht="12.5">
      <c r="A3123" s="5"/>
      <c r="B3123" s="5"/>
      <c r="C3123" s="5"/>
      <c r="E3123" s="5"/>
      <c r="G3123" s="5"/>
      <c r="H3123" s="5"/>
      <c r="I3123" s="5"/>
    </row>
    <row r="3124" spans="1:9" ht="12.5">
      <c r="A3124" s="5"/>
      <c r="B3124" s="5"/>
      <c r="C3124" s="5"/>
      <c r="E3124" s="5"/>
      <c r="G3124" s="5"/>
      <c r="H3124" s="5"/>
      <c r="I3124" s="5"/>
    </row>
    <row r="3125" spans="1:9" ht="12.5">
      <c r="A3125" s="5"/>
      <c r="B3125" s="5"/>
      <c r="C3125" s="5"/>
      <c r="E3125" s="5"/>
      <c r="G3125" s="5"/>
      <c r="H3125" s="5"/>
      <c r="I3125" s="5"/>
    </row>
    <row r="3126" spans="1:9" ht="12.5">
      <c r="A3126" s="5"/>
      <c r="B3126" s="5"/>
      <c r="C3126" s="5"/>
      <c r="E3126" s="5"/>
      <c r="G3126" s="5"/>
      <c r="H3126" s="5"/>
      <c r="I3126" s="5"/>
    </row>
    <row r="3127" spans="1:9" ht="12.5">
      <c r="A3127" s="5"/>
      <c r="B3127" s="5"/>
      <c r="C3127" s="5"/>
      <c r="E3127" s="5"/>
      <c r="G3127" s="5"/>
      <c r="H3127" s="5"/>
      <c r="I3127" s="5"/>
    </row>
    <row r="3128" spans="1:9" ht="12.5">
      <c r="A3128" s="5"/>
      <c r="B3128" s="5"/>
      <c r="C3128" s="5"/>
      <c r="E3128" s="5"/>
      <c r="G3128" s="5"/>
      <c r="H3128" s="5"/>
      <c r="I3128" s="5"/>
    </row>
    <row r="3129" spans="1:9" ht="12.5">
      <c r="A3129" s="5"/>
      <c r="B3129" s="5"/>
      <c r="C3129" s="5"/>
      <c r="E3129" s="5"/>
      <c r="G3129" s="5"/>
      <c r="H3129" s="5"/>
      <c r="I3129" s="5"/>
    </row>
    <row r="3130" spans="1:9" ht="12.5">
      <c r="A3130" s="5"/>
      <c r="B3130" s="5"/>
      <c r="C3130" s="5"/>
      <c r="E3130" s="5"/>
      <c r="G3130" s="5"/>
      <c r="H3130" s="5"/>
      <c r="I3130" s="5"/>
    </row>
    <row r="3131" spans="1:9" ht="12.5">
      <c r="A3131" s="5"/>
      <c r="B3131" s="5"/>
      <c r="C3131" s="5"/>
      <c r="E3131" s="5"/>
      <c r="G3131" s="5"/>
      <c r="H3131" s="5"/>
      <c r="I3131" s="5"/>
    </row>
    <row r="3132" spans="1:9" ht="12.5">
      <c r="A3132" s="5"/>
      <c r="B3132" s="5"/>
      <c r="C3132" s="5"/>
      <c r="E3132" s="5"/>
      <c r="G3132" s="5"/>
      <c r="H3132" s="5"/>
      <c r="I3132" s="5"/>
    </row>
    <row r="3133" spans="1:9" ht="12.5">
      <c r="A3133" s="5"/>
      <c r="B3133" s="5"/>
      <c r="C3133" s="5"/>
      <c r="E3133" s="5"/>
      <c r="G3133" s="5"/>
      <c r="H3133" s="5"/>
      <c r="I3133" s="5"/>
    </row>
    <row r="3134" spans="1:9" ht="12.5">
      <c r="A3134" s="5"/>
      <c r="B3134" s="5"/>
      <c r="C3134" s="5"/>
      <c r="E3134" s="5"/>
      <c r="G3134" s="5"/>
      <c r="H3134" s="5"/>
      <c r="I3134" s="5"/>
    </row>
    <row r="3135" spans="1:9" ht="12.5">
      <c r="A3135" s="5"/>
      <c r="B3135" s="5"/>
      <c r="C3135" s="5"/>
      <c r="E3135" s="5"/>
      <c r="G3135" s="5"/>
      <c r="H3135" s="5"/>
      <c r="I3135" s="5"/>
    </row>
    <row r="3136" spans="1:9" ht="12.5">
      <c r="A3136" s="5"/>
      <c r="B3136" s="5"/>
      <c r="C3136" s="5"/>
      <c r="E3136" s="5"/>
      <c r="G3136" s="5"/>
      <c r="H3136" s="5"/>
      <c r="I3136" s="5"/>
    </row>
    <row r="3137" spans="1:9" ht="12.5">
      <c r="A3137" s="5"/>
      <c r="B3137" s="5"/>
      <c r="C3137" s="5"/>
      <c r="E3137" s="5"/>
      <c r="G3137" s="5"/>
      <c r="H3137" s="5"/>
      <c r="I3137" s="5"/>
    </row>
    <row r="3138" spans="1:9" ht="12.5">
      <c r="A3138" s="5"/>
      <c r="B3138" s="5"/>
      <c r="C3138" s="5"/>
      <c r="E3138" s="5"/>
      <c r="G3138" s="5"/>
      <c r="H3138" s="5"/>
      <c r="I3138" s="5"/>
    </row>
    <row r="3139" spans="1:9" ht="12.5">
      <c r="A3139" s="5"/>
      <c r="B3139" s="5"/>
      <c r="C3139" s="5"/>
      <c r="E3139" s="5"/>
      <c r="G3139" s="5"/>
      <c r="H3139" s="5"/>
      <c r="I3139" s="5"/>
    </row>
    <row r="3140" spans="1:9" ht="12.5">
      <c r="A3140" s="5"/>
      <c r="B3140" s="5"/>
      <c r="C3140" s="5"/>
      <c r="E3140" s="5"/>
      <c r="G3140" s="5"/>
      <c r="H3140" s="5"/>
      <c r="I3140" s="5"/>
    </row>
    <row r="3141" spans="1:9" ht="12.5">
      <c r="A3141" s="5"/>
      <c r="B3141" s="5"/>
      <c r="C3141" s="5"/>
      <c r="E3141" s="5"/>
      <c r="G3141" s="5"/>
      <c r="H3141" s="5"/>
      <c r="I3141" s="5"/>
    </row>
    <row r="3142" spans="1:9" ht="12.5">
      <c r="A3142" s="5"/>
      <c r="B3142" s="5"/>
      <c r="C3142" s="5"/>
      <c r="E3142" s="5"/>
      <c r="G3142" s="5"/>
      <c r="H3142" s="5"/>
      <c r="I3142" s="5"/>
    </row>
    <row r="3143" spans="1:9" ht="12.5">
      <c r="A3143" s="5"/>
      <c r="B3143" s="5"/>
      <c r="C3143" s="5"/>
      <c r="E3143" s="5"/>
      <c r="G3143" s="5"/>
      <c r="H3143" s="5"/>
      <c r="I3143" s="5"/>
    </row>
    <row r="3144" spans="1:9" ht="12.5">
      <c r="A3144" s="5"/>
      <c r="B3144" s="5"/>
      <c r="C3144" s="5"/>
      <c r="E3144" s="5"/>
      <c r="G3144" s="5"/>
      <c r="H3144" s="5"/>
      <c r="I3144" s="5"/>
    </row>
    <row r="3145" spans="1:9" ht="12.5">
      <c r="A3145" s="5"/>
      <c r="B3145" s="5"/>
      <c r="C3145" s="5"/>
      <c r="E3145" s="5"/>
      <c r="G3145" s="5"/>
      <c r="H3145" s="5"/>
      <c r="I3145" s="5"/>
    </row>
    <row r="3146" spans="1:9" ht="12.5">
      <c r="A3146" s="5"/>
      <c r="B3146" s="5"/>
      <c r="C3146" s="5"/>
      <c r="E3146" s="5"/>
      <c r="G3146" s="5"/>
      <c r="H3146" s="5"/>
      <c r="I3146" s="5"/>
    </row>
    <row r="3147" spans="1:9" ht="12.5">
      <c r="A3147" s="5"/>
      <c r="B3147" s="5"/>
      <c r="C3147" s="5"/>
      <c r="E3147" s="5"/>
      <c r="G3147" s="5"/>
      <c r="H3147" s="5"/>
      <c r="I3147" s="5"/>
    </row>
    <row r="3148" spans="1:9" ht="12.5">
      <c r="A3148" s="5"/>
      <c r="B3148" s="5"/>
      <c r="C3148" s="5"/>
      <c r="E3148" s="5"/>
      <c r="G3148" s="5"/>
      <c r="H3148" s="5"/>
      <c r="I3148" s="5"/>
    </row>
    <row r="3149" spans="1:9" ht="12.5">
      <c r="A3149" s="5"/>
      <c r="B3149" s="5"/>
      <c r="C3149" s="5"/>
      <c r="E3149" s="5"/>
      <c r="G3149" s="5"/>
      <c r="H3149" s="5"/>
      <c r="I3149" s="5"/>
    </row>
    <row r="3150" spans="1:9" ht="12.5">
      <c r="A3150" s="5"/>
      <c r="B3150" s="5"/>
      <c r="C3150" s="5"/>
      <c r="E3150" s="5"/>
      <c r="G3150" s="5"/>
      <c r="H3150" s="5"/>
      <c r="I3150" s="5"/>
    </row>
    <row r="3151" spans="1:9" ht="12.5">
      <c r="A3151" s="5"/>
      <c r="B3151" s="5"/>
      <c r="C3151" s="5"/>
      <c r="E3151" s="5"/>
      <c r="G3151" s="5"/>
      <c r="H3151" s="5"/>
      <c r="I3151" s="5"/>
    </row>
    <row r="3152" spans="1:9" ht="12.5">
      <c r="A3152" s="5"/>
      <c r="B3152" s="5"/>
      <c r="C3152" s="5"/>
      <c r="E3152" s="5"/>
      <c r="G3152" s="5"/>
      <c r="H3152" s="5"/>
      <c r="I3152" s="5"/>
    </row>
    <row r="3153" spans="1:9" ht="12.5">
      <c r="A3153" s="5"/>
      <c r="B3153" s="5"/>
      <c r="C3153" s="5"/>
      <c r="E3153" s="5"/>
      <c r="G3153" s="5"/>
      <c r="H3153" s="5"/>
      <c r="I3153" s="5"/>
    </row>
    <row r="3154" spans="1:9" ht="12.5">
      <c r="A3154" s="5"/>
      <c r="B3154" s="5"/>
      <c r="C3154" s="5"/>
      <c r="E3154" s="5"/>
      <c r="G3154" s="5"/>
      <c r="H3154" s="5"/>
      <c r="I3154" s="5"/>
    </row>
    <row r="3155" spans="1:9" ht="12.5">
      <c r="A3155" s="5"/>
      <c r="B3155" s="5"/>
      <c r="C3155" s="5"/>
      <c r="E3155" s="5"/>
      <c r="G3155" s="5"/>
      <c r="H3155" s="5"/>
      <c r="I3155" s="5"/>
    </row>
    <row r="3156" spans="1:9" ht="12.5">
      <c r="A3156" s="5"/>
      <c r="B3156" s="5"/>
      <c r="C3156" s="5"/>
      <c r="E3156" s="5"/>
      <c r="G3156" s="5"/>
      <c r="H3156" s="5"/>
      <c r="I3156" s="5"/>
    </row>
    <row r="3157" spans="1:9" ht="12.5">
      <c r="A3157" s="5"/>
      <c r="B3157" s="5"/>
      <c r="C3157" s="5"/>
      <c r="E3157" s="5"/>
      <c r="G3157" s="5"/>
      <c r="H3157" s="5"/>
      <c r="I3157" s="5"/>
    </row>
    <row r="3158" spans="1:9" ht="12.5">
      <c r="A3158" s="5"/>
      <c r="B3158" s="5"/>
      <c r="C3158" s="5"/>
      <c r="E3158" s="5"/>
      <c r="G3158" s="5"/>
      <c r="H3158" s="5"/>
      <c r="I3158" s="5"/>
    </row>
    <row r="3159" spans="1:9" ht="12.5">
      <c r="A3159" s="5"/>
      <c r="B3159" s="5"/>
      <c r="C3159" s="5"/>
      <c r="E3159" s="5"/>
      <c r="G3159" s="5"/>
      <c r="H3159" s="5"/>
      <c r="I3159" s="5"/>
    </row>
    <row r="3160" spans="1:9" ht="12.5">
      <c r="A3160" s="5"/>
      <c r="B3160" s="5"/>
      <c r="C3160" s="5"/>
      <c r="E3160" s="5"/>
      <c r="G3160" s="5"/>
      <c r="H3160" s="5"/>
      <c r="I3160" s="5"/>
    </row>
    <row r="3161" spans="1:9" ht="12.5">
      <c r="A3161" s="5"/>
      <c r="B3161" s="5"/>
      <c r="C3161" s="5"/>
      <c r="E3161" s="5"/>
      <c r="G3161" s="5"/>
      <c r="H3161" s="5"/>
      <c r="I3161" s="5"/>
    </row>
    <row r="3162" spans="1:9" ht="12.5">
      <c r="A3162" s="5"/>
      <c r="B3162" s="5"/>
      <c r="C3162" s="5"/>
      <c r="E3162" s="5"/>
      <c r="G3162" s="5"/>
      <c r="H3162" s="5"/>
      <c r="I3162" s="5"/>
    </row>
    <row r="3163" spans="1:9" ht="12.5">
      <c r="A3163" s="5"/>
      <c r="B3163" s="5"/>
      <c r="C3163" s="5"/>
      <c r="E3163" s="5"/>
      <c r="G3163" s="5"/>
      <c r="H3163" s="5"/>
      <c r="I3163" s="5"/>
    </row>
    <row r="3164" spans="1:9" ht="12.5">
      <c r="A3164" s="5"/>
      <c r="B3164" s="5"/>
      <c r="C3164" s="5"/>
      <c r="E3164" s="5"/>
      <c r="G3164" s="5"/>
      <c r="H3164" s="5"/>
      <c r="I3164" s="5"/>
    </row>
    <row r="3165" spans="1:9" ht="12.5">
      <c r="A3165" s="5"/>
      <c r="B3165" s="5"/>
      <c r="C3165" s="5"/>
      <c r="E3165" s="5"/>
      <c r="G3165" s="5"/>
      <c r="H3165" s="5"/>
      <c r="I3165" s="5"/>
    </row>
    <row r="3166" spans="1:9" ht="12.5">
      <c r="A3166" s="5"/>
      <c r="B3166" s="5"/>
      <c r="C3166" s="5"/>
      <c r="E3166" s="5"/>
      <c r="G3166" s="5"/>
      <c r="H3166" s="5"/>
      <c r="I3166" s="5"/>
    </row>
    <row r="3167" spans="1:9" ht="12.5">
      <c r="A3167" s="5"/>
      <c r="B3167" s="5"/>
      <c r="C3167" s="5"/>
      <c r="E3167" s="5"/>
      <c r="G3167" s="5"/>
      <c r="H3167" s="5"/>
      <c r="I3167" s="5"/>
    </row>
    <row r="3168" spans="1:9" ht="12.5">
      <c r="A3168" s="5"/>
      <c r="B3168" s="5"/>
      <c r="C3168" s="5"/>
      <c r="E3168" s="5"/>
      <c r="G3168" s="5"/>
      <c r="H3168" s="5"/>
      <c r="I3168" s="5"/>
    </row>
    <row r="3169" spans="1:9" ht="12.5">
      <c r="A3169" s="5"/>
      <c r="B3169" s="5"/>
      <c r="C3169" s="5"/>
      <c r="E3169" s="5"/>
      <c r="G3169" s="5"/>
      <c r="H3169" s="5"/>
      <c r="I3169" s="5"/>
    </row>
    <row r="3170" spans="1:9" ht="12.5">
      <c r="A3170" s="5"/>
      <c r="B3170" s="5"/>
      <c r="C3170" s="5"/>
      <c r="E3170" s="5"/>
      <c r="G3170" s="5"/>
      <c r="H3170" s="5"/>
      <c r="I3170" s="5"/>
    </row>
    <row r="3171" spans="1:9" ht="12.5">
      <c r="A3171" s="5"/>
      <c r="B3171" s="5"/>
      <c r="C3171" s="5"/>
      <c r="E3171" s="5"/>
      <c r="G3171" s="5"/>
      <c r="H3171" s="5"/>
      <c r="I3171" s="5"/>
    </row>
    <row r="3172" spans="1:9" ht="12.5">
      <c r="A3172" s="5"/>
      <c r="B3172" s="5"/>
      <c r="C3172" s="5"/>
      <c r="E3172" s="5"/>
      <c r="G3172" s="5"/>
      <c r="H3172" s="5"/>
      <c r="I3172" s="5"/>
    </row>
    <row r="3173" spans="1:9" ht="12.5">
      <c r="A3173" s="5"/>
      <c r="B3173" s="5"/>
      <c r="C3173" s="5"/>
      <c r="E3173" s="5"/>
      <c r="G3173" s="5"/>
      <c r="H3173" s="5"/>
      <c r="I3173" s="5"/>
    </row>
    <row r="3174" spans="1:9" ht="12.5">
      <c r="A3174" s="5"/>
      <c r="B3174" s="5"/>
      <c r="C3174" s="5"/>
      <c r="E3174" s="5"/>
      <c r="G3174" s="5"/>
      <c r="H3174" s="5"/>
      <c r="I3174" s="5"/>
    </row>
    <row r="3175" spans="1:9" ht="12.5">
      <c r="A3175" s="5"/>
      <c r="B3175" s="5"/>
      <c r="C3175" s="5"/>
      <c r="E3175" s="5"/>
      <c r="G3175" s="5"/>
      <c r="H3175" s="5"/>
      <c r="I3175" s="5"/>
    </row>
    <row r="3176" spans="1:9" ht="12.5">
      <c r="A3176" s="5"/>
      <c r="B3176" s="5"/>
      <c r="C3176" s="5"/>
      <c r="E3176" s="5"/>
      <c r="G3176" s="5"/>
      <c r="H3176" s="5"/>
      <c r="I3176" s="5"/>
    </row>
    <row r="3177" spans="1:9" ht="12.5">
      <c r="A3177" s="5"/>
      <c r="B3177" s="5"/>
      <c r="C3177" s="5"/>
      <c r="E3177" s="5"/>
      <c r="G3177" s="5"/>
      <c r="H3177" s="5"/>
      <c r="I3177" s="5"/>
    </row>
    <row r="3178" spans="1:9" ht="12.5">
      <c r="A3178" s="5"/>
      <c r="B3178" s="5"/>
      <c r="C3178" s="5"/>
      <c r="E3178" s="5"/>
      <c r="G3178" s="5"/>
      <c r="H3178" s="5"/>
      <c r="I3178" s="5"/>
    </row>
    <row r="3179" spans="1:9" ht="12.5">
      <c r="A3179" s="5"/>
      <c r="B3179" s="5"/>
      <c r="C3179" s="5"/>
      <c r="E3179" s="5"/>
      <c r="G3179" s="5"/>
      <c r="H3179" s="5"/>
      <c r="I3179" s="5"/>
    </row>
    <row r="3180" spans="1:9" ht="12.5">
      <c r="A3180" s="5"/>
      <c r="B3180" s="5"/>
      <c r="C3180" s="5"/>
      <c r="E3180" s="5"/>
      <c r="G3180" s="5"/>
      <c r="H3180" s="5"/>
      <c r="I3180" s="5"/>
    </row>
    <row r="3181" spans="1:9" ht="12.5">
      <c r="A3181" s="5"/>
      <c r="B3181" s="5"/>
      <c r="C3181" s="5"/>
      <c r="E3181" s="5"/>
      <c r="G3181" s="5"/>
      <c r="H3181" s="5"/>
      <c r="I3181" s="5"/>
    </row>
    <row r="3182" spans="1:9" ht="12.5">
      <c r="A3182" s="5"/>
      <c r="B3182" s="5"/>
      <c r="C3182" s="5"/>
      <c r="E3182" s="5"/>
      <c r="G3182" s="5"/>
      <c r="H3182" s="5"/>
      <c r="I3182" s="5"/>
    </row>
    <row r="3183" spans="1:9" ht="12.5">
      <c r="A3183" s="5"/>
      <c r="B3183" s="5"/>
      <c r="C3183" s="5"/>
      <c r="E3183" s="5"/>
      <c r="G3183" s="5"/>
      <c r="H3183" s="5"/>
      <c r="I3183" s="5"/>
    </row>
    <row r="3184" spans="1:9" ht="12.5">
      <c r="A3184" s="5"/>
      <c r="B3184" s="5"/>
      <c r="C3184" s="5"/>
      <c r="E3184" s="5"/>
      <c r="G3184" s="5"/>
      <c r="H3184" s="5"/>
      <c r="I3184" s="5"/>
    </row>
    <row r="3185" spans="1:9" ht="12.5">
      <c r="A3185" s="5"/>
      <c r="B3185" s="5"/>
      <c r="C3185" s="5"/>
      <c r="E3185" s="5"/>
      <c r="G3185" s="5"/>
      <c r="H3185" s="5"/>
      <c r="I3185" s="5"/>
    </row>
    <row r="3186" spans="1:9" ht="12.5">
      <c r="A3186" s="5"/>
      <c r="B3186" s="5"/>
      <c r="C3186" s="5"/>
      <c r="E3186" s="5"/>
      <c r="G3186" s="5"/>
      <c r="H3186" s="5"/>
      <c r="I3186" s="5"/>
    </row>
    <row r="3187" spans="1:9" ht="12.5">
      <c r="A3187" s="5"/>
      <c r="B3187" s="5"/>
      <c r="C3187" s="5"/>
      <c r="E3187" s="5"/>
      <c r="G3187" s="5"/>
      <c r="H3187" s="5"/>
      <c r="I3187" s="5"/>
    </row>
    <row r="3188" spans="1:9" ht="12.5">
      <c r="A3188" s="5"/>
      <c r="B3188" s="5"/>
      <c r="C3188" s="5"/>
      <c r="E3188" s="5"/>
      <c r="G3188" s="5"/>
      <c r="H3188" s="5"/>
      <c r="I3188" s="5"/>
    </row>
    <row r="3189" spans="1:9" ht="12.5">
      <c r="A3189" s="5"/>
      <c r="B3189" s="5"/>
      <c r="C3189" s="5"/>
      <c r="E3189" s="5"/>
      <c r="G3189" s="5"/>
      <c r="H3189" s="5"/>
      <c r="I3189" s="5"/>
    </row>
    <row r="3190" spans="1:9" ht="12.5">
      <c r="A3190" s="5"/>
      <c r="B3190" s="5"/>
      <c r="C3190" s="5"/>
      <c r="E3190" s="5"/>
      <c r="G3190" s="5"/>
      <c r="H3190" s="5"/>
      <c r="I3190" s="5"/>
    </row>
    <row r="3191" spans="1:9" ht="12.5">
      <c r="A3191" s="5"/>
      <c r="B3191" s="5"/>
      <c r="C3191" s="5"/>
      <c r="E3191" s="5"/>
      <c r="G3191" s="5"/>
      <c r="H3191" s="5"/>
      <c r="I3191" s="5"/>
    </row>
    <row r="3192" spans="1:9" ht="12.5">
      <c r="A3192" s="5"/>
      <c r="B3192" s="5"/>
      <c r="C3192" s="5"/>
      <c r="E3192" s="5"/>
      <c r="G3192" s="5"/>
      <c r="H3192" s="5"/>
      <c r="I3192" s="5"/>
    </row>
    <row r="3193" spans="1:9" ht="12.5">
      <c r="A3193" s="5"/>
      <c r="B3193" s="5"/>
      <c r="C3193" s="5"/>
      <c r="E3193" s="5"/>
      <c r="G3193" s="5"/>
      <c r="H3193" s="5"/>
      <c r="I3193" s="5"/>
    </row>
    <row r="3194" spans="1:9" ht="12.5">
      <c r="A3194" s="5"/>
      <c r="B3194" s="5"/>
      <c r="C3194" s="5"/>
      <c r="E3194" s="5"/>
      <c r="G3194" s="5"/>
      <c r="H3194" s="5"/>
      <c r="I3194" s="5"/>
    </row>
    <row r="3195" spans="1:9" ht="12.5">
      <c r="A3195" s="5"/>
      <c r="B3195" s="5"/>
      <c r="C3195" s="5"/>
      <c r="E3195" s="5"/>
      <c r="G3195" s="5"/>
      <c r="H3195" s="5"/>
      <c r="I3195" s="5"/>
    </row>
    <row r="3196" spans="1:9" ht="12.5">
      <c r="A3196" s="5"/>
      <c r="B3196" s="5"/>
      <c r="C3196" s="5"/>
      <c r="E3196" s="5"/>
      <c r="G3196" s="5"/>
      <c r="H3196" s="5"/>
      <c r="I3196" s="5"/>
    </row>
    <row r="3197" spans="1:9" ht="12.5">
      <c r="A3197" s="5"/>
      <c r="B3197" s="5"/>
      <c r="C3197" s="5"/>
      <c r="E3197" s="5"/>
      <c r="G3197" s="5"/>
      <c r="H3197" s="5"/>
      <c r="I3197" s="5"/>
    </row>
    <row r="3198" spans="1:9" ht="12.5">
      <c r="A3198" s="5"/>
      <c r="B3198" s="5"/>
      <c r="C3198" s="5"/>
      <c r="E3198" s="5"/>
      <c r="G3198" s="5"/>
      <c r="H3198" s="5"/>
      <c r="I3198" s="5"/>
    </row>
    <row r="3199" spans="1:9" ht="12.5">
      <c r="A3199" s="5"/>
      <c r="B3199" s="5"/>
      <c r="C3199" s="5"/>
      <c r="E3199" s="5"/>
      <c r="G3199" s="5"/>
      <c r="H3199" s="5"/>
      <c r="I3199" s="5"/>
    </row>
    <row r="3200" spans="1:9" ht="12.5">
      <c r="A3200" s="5"/>
      <c r="B3200" s="5"/>
      <c r="C3200" s="5"/>
      <c r="E3200" s="5"/>
      <c r="G3200" s="5"/>
      <c r="H3200" s="5"/>
      <c r="I3200" s="5"/>
    </row>
    <row r="3201" spans="1:9" ht="12.5">
      <c r="A3201" s="5"/>
      <c r="B3201" s="5"/>
      <c r="C3201" s="5"/>
      <c r="E3201" s="5"/>
      <c r="G3201" s="5"/>
      <c r="H3201" s="5"/>
      <c r="I3201" s="5"/>
    </row>
    <row r="3202" spans="1:9" ht="12.5">
      <c r="A3202" s="5"/>
      <c r="B3202" s="5"/>
      <c r="C3202" s="5"/>
      <c r="E3202" s="5"/>
      <c r="G3202" s="5"/>
      <c r="H3202" s="5"/>
      <c r="I3202" s="5"/>
    </row>
    <row r="3203" spans="1:9" ht="12.5">
      <c r="A3203" s="5"/>
      <c r="B3203" s="5"/>
      <c r="C3203" s="5"/>
      <c r="E3203" s="5"/>
      <c r="G3203" s="5"/>
      <c r="H3203" s="5"/>
      <c r="I3203" s="5"/>
    </row>
    <row r="3204" spans="1:9" ht="12.5">
      <c r="A3204" s="5"/>
      <c r="B3204" s="5"/>
      <c r="C3204" s="5"/>
      <c r="E3204" s="5"/>
      <c r="G3204" s="5"/>
      <c r="H3204" s="5"/>
      <c r="I3204" s="5"/>
    </row>
    <row r="3205" spans="1:9" ht="12.5">
      <c r="A3205" s="5"/>
      <c r="B3205" s="5"/>
      <c r="C3205" s="5"/>
      <c r="E3205" s="5"/>
      <c r="G3205" s="5"/>
      <c r="H3205" s="5"/>
      <c r="I3205" s="5"/>
    </row>
    <row r="3206" spans="1:9" ht="12.5">
      <c r="A3206" s="5"/>
      <c r="B3206" s="5"/>
      <c r="C3206" s="5"/>
      <c r="E3206" s="5"/>
      <c r="G3206" s="5"/>
      <c r="H3206" s="5"/>
      <c r="I3206" s="5"/>
    </row>
    <row r="3207" spans="1:9" ht="12.5">
      <c r="A3207" s="5"/>
      <c r="B3207" s="5"/>
      <c r="C3207" s="5"/>
      <c r="E3207" s="5"/>
      <c r="G3207" s="5"/>
      <c r="H3207" s="5"/>
      <c r="I3207" s="5"/>
    </row>
    <row r="3208" spans="1:9" ht="12.5">
      <c r="A3208" s="5"/>
      <c r="B3208" s="5"/>
      <c r="C3208" s="5"/>
      <c r="E3208" s="5"/>
      <c r="G3208" s="5"/>
      <c r="H3208" s="5"/>
      <c r="I3208" s="5"/>
    </row>
    <row r="3209" spans="1:9" ht="12.5">
      <c r="A3209" s="5"/>
      <c r="B3209" s="5"/>
      <c r="C3209" s="5"/>
      <c r="E3209" s="5"/>
      <c r="G3209" s="5"/>
      <c r="H3209" s="5"/>
      <c r="I3209" s="5"/>
    </row>
    <row r="3210" spans="1:9" ht="12.5">
      <c r="A3210" s="5"/>
      <c r="B3210" s="5"/>
      <c r="C3210" s="5"/>
      <c r="E3210" s="5"/>
      <c r="G3210" s="5"/>
      <c r="H3210" s="5"/>
      <c r="I3210" s="5"/>
    </row>
    <row r="3211" spans="1:9" ht="12.5">
      <c r="A3211" s="5"/>
      <c r="B3211" s="5"/>
      <c r="C3211" s="5"/>
      <c r="E3211" s="5"/>
      <c r="G3211" s="5"/>
      <c r="H3211" s="5"/>
      <c r="I3211" s="5"/>
    </row>
    <row r="3212" spans="1:9" ht="12.5">
      <c r="A3212" s="5"/>
      <c r="B3212" s="5"/>
      <c r="C3212" s="5"/>
      <c r="E3212" s="5"/>
      <c r="G3212" s="5"/>
      <c r="H3212" s="5"/>
      <c r="I3212" s="5"/>
    </row>
    <row r="3213" spans="1:9" ht="12.5">
      <c r="A3213" s="5"/>
      <c r="B3213" s="5"/>
      <c r="C3213" s="5"/>
      <c r="E3213" s="5"/>
      <c r="G3213" s="5"/>
      <c r="H3213" s="5"/>
      <c r="I3213" s="5"/>
    </row>
    <row r="3214" spans="1:9" ht="12.5">
      <c r="A3214" s="5"/>
      <c r="B3214" s="5"/>
      <c r="C3214" s="5"/>
      <c r="E3214" s="5"/>
      <c r="G3214" s="5"/>
      <c r="H3214" s="5"/>
      <c r="I3214" s="5"/>
    </row>
    <row r="3215" spans="1:9" ht="12.5">
      <c r="A3215" s="5"/>
      <c r="B3215" s="5"/>
      <c r="C3215" s="5"/>
      <c r="E3215" s="5"/>
      <c r="G3215" s="5"/>
      <c r="H3215" s="5"/>
      <c r="I3215" s="5"/>
    </row>
    <row r="3216" spans="1:9" ht="12.5">
      <c r="A3216" s="5"/>
      <c r="B3216" s="5"/>
      <c r="C3216" s="5"/>
      <c r="E3216" s="5"/>
      <c r="G3216" s="5"/>
      <c r="H3216" s="5"/>
      <c r="I3216" s="5"/>
    </row>
    <row r="3217" spans="1:9" ht="12.5">
      <c r="A3217" s="5"/>
      <c r="B3217" s="5"/>
      <c r="C3217" s="5"/>
      <c r="E3217" s="5"/>
      <c r="G3217" s="5"/>
      <c r="H3217" s="5"/>
      <c r="I3217" s="5"/>
    </row>
    <row r="3218" spans="1:9" ht="12.5">
      <c r="A3218" s="5"/>
      <c r="B3218" s="5"/>
      <c r="C3218" s="5"/>
      <c r="E3218" s="5"/>
      <c r="G3218" s="5"/>
      <c r="H3218" s="5"/>
      <c r="I3218" s="5"/>
    </row>
    <row r="3219" spans="1:9" ht="12.5">
      <c r="A3219" s="5"/>
      <c r="B3219" s="5"/>
      <c r="C3219" s="5"/>
      <c r="E3219" s="5"/>
      <c r="G3219" s="5"/>
      <c r="H3219" s="5"/>
      <c r="I3219" s="5"/>
    </row>
    <row r="3220" spans="1:9" ht="12.5">
      <c r="A3220" s="5"/>
      <c r="B3220" s="5"/>
      <c r="C3220" s="5"/>
      <c r="E3220" s="5"/>
      <c r="G3220" s="5"/>
      <c r="H3220" s="5"/>
      <c r="I3220" s="5"/>
    </row>
    <row r="3221" spans="1:9" ht="12.5">
      <c r="A3221" s="5"/>
      <c r="B3221" s="5"/>
      <c r="C3221" s="5"/>
      <c r="E3221" s="5"/>
      <c r="G3221" s="5"/>
      <c r="H3221" s="5"/>
      <c r="I3221" s="5"/>
    </row>
    <row r="3222" spans="1:9" ht="12.5">
      <c r="A3222" s="5"/>
      <c r="B3222" s="5"/>
      <c r="C3222" s="5"/>
      <c r="E3222" s="5"/>
      <c r="G3222" s="5"/>
      <c r="H3222" s="5"/>
      <c r="I3222" s="5"/>
    </row>
    <row r="3223" spans="1:9" ht="12.5">
      <c r="A3223" s="5"/>
      <c r="B3223" s="5"/>
      <c r="C3223" s="5"/>
      <c r="E3223" s="5"/>
      <c r="G3223" s="5"/>
      <c r="H3223" s="5"/>
      <c r="I3223" s="5"/>
    </row>
    <row r="3224" spans="1:9" ht="12.5">
      <c r="A3224" s="5"/>
      <c r="B3224" s="5"/>
      <c r="C3224" s="5"/>
      <c r="E3224" s="5"/>
      <c r="G3224" s="5"/>
      <c r="H3224" s="5"/>
      <c r="I3224" s="5"/>
    </row>
    <row r="3225" spans="1:9" ht="12.5">
      <c r="A3225" s="5"/>
      <c r="B3225" s="5"/>
      <c r="C3225" s="5"/>
      <c r="E3225" s="5"/>
      <c r="G3225" s="5"/>
      <c r="H3225" s="5"/>
      <c r="I3225" s="5"/>
    </row>
    <row r="3226" spans="1:9" ht="12.5">
      <c r="A3226" s="5"/>
      <c r="B3226" s="5"/>
      <c r="C3226" s="5"/>
      <c r="E3226" s="5"/>
      <c r="G3226" s="5"/>
      <c r="H3226" s="5"/>
      <c r="I3226" s="5"/>
    </row>
    <row r="3227" spans="1:9" ht="12.5">
      <c r="A3227" s="5"/>
      <c r="B3227" s="5"/>
      <c r="C3227" s="5"/>
      <c r="E3227" s="5"/>
      <c r="G3227" s="5"/>
      <c r="H3227" s="5"/>
      <c r="I3227" s="5"/>
    </row>
    <row r="3228" spans="1:9" ht="12.5">
      <c r="A3228" s="5"/>
      <c r="B3228" s="5"/>
      <c r="C3228" s="5"/>
      <c r="E3228" s="5"/>
      <c r="G3228" s="5"/>
      <c r="H3228" s="5"/>
      <c r="I3228" s="5"/>
    </row>
    <row r="3229" spans="1:9" ht="12.5">
      <c r="A3229" s="5"/>
      <c r="B3229" s="5"/>
      <c r="C3229" s="5"/>
      <c r="E3229" s="5"/>
      <c r="G3229" s="5"/>
      <c r="H3229" s="5"/>
      <c r="I3229" s="5"/>
    </row>
    <row r="3230" spans="1:9" ht="12.5">
      <c r="A3230" s="5"/>
      <c r="B3230" s="5"/>
      <c r="C3230" s="5"/>
      <c r="E3230" s="5"/>
      <c r="G3230" s="5"/>
      <c r="H3230" s="5"/>
      <c r="I3230" s="5"/>
    </row>
    <row r="3231" spans="1:9" ht="12.5">
      <c r="A3231" s="5"/>
      <c r="B3231" s="5"/>
      <c r="C3231" s="5"/>
      <c r="E3231" s="5"/>
      <c r="G3231" s="5"/>
      <c r="H3231" s="5"/>
      <c r="I3231" s="5"/>
    </row>
    <row r="3232" spans="1:9" ht="12.5">
      <c r="A3232" s="5"/>
      <c r="B3232" s="5"/>
      <c r="C3232" s="5"/>
      <c r="E3232" s="5"/>
      <c r="G3232" s="5"/>
      <c r="H3232" s="5"/>
      <c r="I3232" s="5"/>
    </row>
    <row r="3233" spans="1:9" ht="12.5">
      <c r="A3233" s="5"/>
      <c r="B3233" s="5"/>
      <c r="C3233" s="5"/>
      <c r="E3233" s="5"/>
      <c r="G3233" s="5"/>
      <c r="H3233" s="5"/>
      <c r="I3233" s="5"/>
    </row>
    <row r="3234" spans="1:9" ht="12.5">
      <c r="A3234" s="5"/>
      <c r="B3234" s="5"/>
      <c r="C3234" s="5"/>
      <c r="E3234" s="5"/>
      <c r="G3234" s="5"/>
      <c r="H3234" s="5"/>
      <c r="I3234" s="5"/>
    </row>
    <row r="3235" spans="1:9" ht="12.5">
      <c r="A3235" s="5"/>
      <c r="B3235" s="5"/>
      <c r="C3235" s="5"/>
      <c r="E3235" s="5"/>
      <c r="G3235" s="5"/>
      <c r="H3235" s="5"/>
      <c r="I3235" s="5"/>
    </row>
    <row r="3236" spans="1:9" ht="12.5">
      <c r="A3236" s="5"/>
      <c r="B3236" s="5"/>
      <c r="C3236" s="5"/>
      <c r="E3236" s="5"/>
      <c r="G3236" s="5"/>
      <c r="H3236" s="5"/>
      <c r="I3236" s="5"/>
    </row>
    <row r="3237" spans="1:9" ht="12.5">
      <c r="A3237" s="5"/>
      <c r="B3237" s="5"/>
      <c r="C3237" s="5"/>
      <c r="E3237" s="5"/>
      <c r="G3237" s="5"/>
      <c r="H3237" s="5"/>
      <c r="I3237" s="5"/>
    </row>
    <row r="3238" spans="1:9" ht="12.5">
      <c r="A3238" s="5"/>
      <c r="B3238" s="5"/>
      <c r="C3238" s="5"/>
      <c r="E3238" s="5"/>
      <c r="G3238" s="5"/>
      <c r="H3238" s="5"/>
      <c r="I3238" s="5"/>
    </row>
    <row r="3239" spans="1:9" ht="12.5">
      <c r="A3239" s="5"/>
      <c r="B3239" s="5"/>
      <c r="C3239" s="5"/>
      <c r="E3239" s="5"/>
      <c r="G3239" s="5"/>
      <c r="H3239" s="5"/>
      <c r="I3239" s="5"/>
    </row>
    <row r="3240" spans="1:9" ht="12.5">
      <c r="A3240" s="5"/>
      <c r="B3240" s="5"/>
      <c r="C3240" s="5"/>
      <c r="E3240" s="5"/>
      <c r="G3240" s="5"/>
      <c r="H3240" s="5"/>
      <c r="I3240" s="5"/>
    </row>
    <row r="3241" spans="1:9" ht="12.5">
      <c r="A3241" s="5"/>
      <c r="B3241" s="5"/>
      <c r="C3241" s="5"/>
      <c r="E3241" s="5"/>
      <c r="G3241" s="5"/>
      <c r="H3241" s="5"/>
      <c r="I3241" s="5"/>
    </row>
    <row r="3242" spans="1:9" ht="12.5">
      <c r="A3242" s="5"/>
      <c r="B3242" s="5"/>
      <c r="C3242" s="5"/>
      <c r="E3242" s="5"/>
      <c r="G3242" s="5"/>
      <c r="H3242" s="5"/>
      <c r="I3242" s="5"/>
    </row>
    <row r="3243" spans="1:9" ht="12.5">
      <c r="A3243" s="5"/>
      <c r="B3243" s="5"/>
      <c r="C3243" s="5"/>
      <c r="E3243" s="5"/>
      <c r="G3243" s="5"/>
      <c r="H3243" s="5"/>
      <c r="I3243" s="5"/>
    </row>
    <row r="3244" spans="1:9" ht="12.5">
      <c r="A3244" s="5"/>
      <c r="B3244" s="5"/>
      <c r="C3244" s="5"/>
      <c r="E3244" s="5"/>
      <c r="G3244" s="5"/>
      <c r="H3244" s="5"/>
      <c r="I3244" s="5"/>
    </row>
    <row r="3245" spans="1:9" ht="12.5">
      <c r="A3245" s="5"/>
      <c r="B3245" s="5"/>
      <c r="C3245" s="5"/>
      <c r="E3245" s="5"/>
      <c r="G3245" s="5"/>
      <c r="H3245" s="5"/>
      <c r="I3245" s="5"/>
    </row>
    <row r="3246" spans="1:9" ht="12.5">
      <c r="A3246" s="5"/>
      <c r="B3246" s="5"/>
      <c r="C3246" s="5"/>
      <c r="E3246" s="5"/>
      <c r="G3246" s="5"/>
      <c r="H3246" s="5"/>
      <c r="I3246" s="5"/>
    </row>
    <row r="3247" spans="1:9" ht="12.5">
      <c r="A3247" s="5"/>
      <c r="B3247" s="5"/>
      <c r="C3247" s="5"/>
      <c r="E3247" s="5"/>
      <c r="G3247" s="5"/>
      <c r="H3247" s="5"/>
      <c r="I3247" s="5"/>
    </row>
    <row r="3248" spans="1:9" ht="12.5">
      <c r="A3248" s="5"/>
      <c r="B3248" s="5"/>
      <c r="C3248" s="5"/>
      <c r="E3248" s="5"/>
      <c r="G3248" s="5"/>
      <c r="H3248" s="5"/>
      <c r="I3248" s="5"/>
    </row>
    <row r="3249" spans="1:9" ht="12.5">
      <c r="A3249" s="5"/>
      <c r="B3249" s="5"/>
      <c r="C3249" s="5"/>
      <c r="E3249" s="5"/>
      <c r="G3249" s="5"/>
      <c r="H3249" s="5"/>
      <c r="I3249" s="5"/>
    </row>
    <row r="3250" spans="1:9" ht="12.5">
      <c r="A3250" s="5"/>
      <c r="B3250" s="5"/>
      <c r="C3250" s="5"/>
      <c r="E3250" s="5"/>
      <c r="G3250" s="5"/>
      <c r="H3250" s="5"/>
      <c r="I3250" s="5"/>
    </row>
    <row r="3251" spans="1:9" ht="12.5">
      <c r="A3251" s="5"/>
      <c r="B3251" s="5"/>
      <c r="C3251" s="5"/>
      <c r="E3251" s="5"/>
      <c r="G3251" s="5"/>
      <c r="H3251" s="5"/>
      <c r="I3251" s="5"/>
    </row>
    <row r="3252" spans="1:9" ht="12.5">
      <c r="A3252" s="5"/>
      <c r="B3252" s="5"/>
      <c r="C3252" s="5"/>
      <c r="E3252" s="5"/>
      <c r="G3252" s="5"/>
      <c r="H3252" s="5"/>
      <c r="I3252" s="5"/>
    </row>
    <row r="3253" spans="1:9" ht="12.5">
      <c r="A3253" s="5"/>
      <c r="B3253" s="5"/>
      <c r="C3253" s="5"/>
      <c r="E3253" s="5"/>
      <c r="G3253" s="5"/>
      <c r="H3253" s="5"/>
      <c r="I3253" s="5"/>
    </row>
    <row r="3254" spans="1:9" ht="12.5">
      <c r="A3254" s="5"/>
      <c r="B3254" s="5"/>
      <c r="C3254" s="5"/>
      <c r="E3254" s="5"/>
      <c r="G3254" s="5"/>
      <c r="H3254" s="5"/>
      <c r="I3254" s="5"/>
    </row>
    <row r="3255" spans="1:9" ht="12.5">
      <c r="A3255" s="5"/>
      <c r="B3255" s="5"/>
      <c r="C3255" s="5"/>
      <c r="E3255" s="5"/>
      <c r="G3255" s="5"/>
      <c r="H3255" s="5"/>
      <c r="I3255" s="5"/>
    </row>
    <row r="3256" spans="1:9" ht="12.5">
      <c r="A3256" s="5"/>
      <c r="B3256" s="5"/>
      <c r="C3256" s="5"/>
      <c r="E3256" s="5"/>
      <c r="G3256" s="5"/>
      <c r="H3256" s="5"/>
      <c r="I3256" s="5"/>
    </row>
    <row r="3257" spans="1:9" ht="12.5">
      <c r="A3257" s="5"/>
      <c r="B3257" s="5"/>
      <c r="C3257" s="5"/>
      <c r="E3257" s="5"/>
      <c r="G3257" s="5"/>
      <c r="H3257" s="5"/>
      <c r="I3257" s="5"/>
    </row>
    <row r="3258" spans="1:9" ht="12.5">
      <c r="A3258" s="5"/>
      <c r="B3258" s="5"/>
      <c r="C3258" s="5"/>
      <c r="E3258" s="5"/>
      <c r="G3258" s="5"/>
      <c r="H3258" s="5"/>
      <c r="I3258" s="5"/>
    </row>
    <row r="3259" spans="1:9" ht="12.5">
      <c r="A3259" s="5"/>
      <c r="B3259" s="5"/>
      <c r="C3259" s="5"/>
      <c r="E3259" s="5"/>
      <c r="G3259" s="5"/>
      <c r="H3259" s="5"/>
      <c r="I3259" s="5"/>
    </row>
    <row r="3260" spans="1:9" ht="12.5">
      <c r="A3260" s="5"/>
      <c r="B3260" s="5"/>
      <c r="C3260" s="5"/>
      <c r="E3260" s="5"/>
      <c r="G3260" s="5"/>
      <c r="H3260" s="5"/>
      <c r="I3260" s="5"/>
    </row>
    <row r="3261" spans="1:9" ht="12.5">
      <c r="A3261" s="5"/>
      <c r="B3261" s="5"/>
      <c r="C3261" s="5"/>
      <c r="E3261" s="5"/>
      <c r="G3261" s="5"/>
      <c r="H3261" s="5"/>
      <c r="I3261" s="5"/>
    </row>
    <row r="3262" spans="1:9" ht="12.5">
      <c r="A3262" s="5"/>
      <c r="B3262" s="5"/>
      <c r="C3262" s="5"/>
      <c r="E3262" s="5"/>
      <c r="G3262" s="5"/>
      <c r="H3262" s="5"/>
      <c r="I3262" s="5"/>
    </row>
    <row r="3263" spans="1:9" ht="12.5">
      <c r="A3263" s="5"/>
      <c r="B3263" s="5"/>
      <c r="C3263" s="5"/>
      <c r="E3263" s="5"/>
      <c r="G3263" s="5"/>
      <c r="H3263" s="5"/>
      <c r="I3263" s="5"/>
    </row>
    <row r="3264" spans="1:9" ht="12.5">
      <c r="A3264" s="5"/>
      <c r="B3264" s="5"/>
      <c r="C3264" s="5"/>
      <c r="E3264" s="5"/>
      <c r="G3264" s="5"/>
      <c r="H3264" s="5"/>
      <c r="I3264" s="5"/>
    </row>
    <row r="3265" spans="1:9" ht="12.5">
      <c r="A3265" s="5"/>
      <c r="B3265" s="5"/>
      <c r="C3265" s="5"/>
      <c r="E3265" s="5"/>
      <c r="G3265" s="5"/>
      <c r="H3265" s="5"/>
      <c r="I3265" s="5"/>
    </row>
    <row r="3266" spans="1:9" ht="12.5">
      <c r="A3266" s="5"/>
      <c r="B3266" s="5"/>
      <c r="C3266" s="5"/>
      <c r="E3266" s="5"/>
      <c r="G3266" s="5"/>
      <c r="H3266" s="5"/>
      <c r="I3266" s="5"/>
    </row>
    <row r="3267" spans="1:9" ht="12.5">
      <c r="A3267" s="5"/>
      <c r="B3267" s="5"/>
      <c r="C3267" s="5"/>
      <c r="E3267" s="5"/>
      <c r="G3267" s="5"/>
      <c r="H3267" s="5"/>
      <c r="I3267" s="5"/>
    </row>
    <row r="3268" spans="1:9" ht="12.5">
      <c r="A3268" s="5"/>
      <c r="B3268" s="5"/>
      <c r="C3268" s="5"/>
      <c r="E3268" s="5"/>
      <c r="G3268" s="5"/>
      <c r="H3268" s="5"/>
      <c r="I3268" s="5"/>
    </row>
    <row r="3269" spans="1:9" ht="12.5">
      <c r="A3269" s="5"/>
      <c r="B3269" s="5"/>
      <c r="C3269" s="5"/>
      <c r="E3269" s="5"/>
      <c r="G3269" s="5"/>
      <c r="H3269" s="5"/>
      <c r="I3269" s="5"/>
    </row>
    <row r="3270" spans="1:9" ht="12.5">
      <c r="A3270" s="5"/>
      <c r="B3270" s="5"/>
      <c r="C3270" s="5"/>
      <c r="E3270" s="5"/>
      <c r="G3270" s="5"/>
      <c r="H3270" s="5"/>
      <c r="I3270" s="5"/>
    </row>
    <row r="3271" spans="1:9" ht="12.5">
      <c r="A3271" s="5"/>
      <c r="B3271" s="5"/>
      <c r="C3271" s="5"/>
      <c r="E3271" s="5"/>
      <c r="G3271" s="5"/>
      <c r="H3271" s="5"/>
      <c r="I3271" s="5"/>
    </row>
    <row r="3272" spans="1:9" ht="12.5">
      <c r="A3272" s="5"/>
      <c r="B3272" s="5"/>
      <c r="C3272" s="5"/>
      <c r="E3272" s="5"/>
      <c r="G3272" s="5"/>
      <c r="H3272" s="5"/>
      <c r="I3272" s="5"/>
    </row>
    <row r="3273" spans="1:9" ht="12.5">
      <c r="A3273" s="5"/>
      <c r="B3273" s="5"/>
      <c r="C3273" s="5"/>
      <c r="E3273" s="5"/>
      <c r="G3273" s="5"/>
      <c r="H3273" s="5"/>
      <c r="I3273" s="5"/>
    </row>
    <row r="3274" spans="1:9" ht="12.5">
      <c r="A3274" s="5"/>
      <c r="B3274" s="5"/>
      <c r="C3274" s="5"/>
      <c r="E3274" s="5"/>
      <c r="G3274" s="5"/>
      <c r="H3274" s="5"/>
      <c r="I3274" s="5"/>
    </row>
    <row r="3275" spans="1:9" ht="12.5">
      <c r="A3275" s="5"/>
      <c r="B3275" s="5"/>
      <c r="C3275" s="5"/>
      <c r="E3275" s="5"/>
      <c r="G3275" s="5"/>
      <c r="H3275" s="5"/>
      <c r="I3275" s="5"/>
    </row>
    <row r="3276" spans="1:9" ht="12.5">
      <c r="A3276" s="5"/>
      <c r="B3276" s="5"/>
      <c r="C3276" s="5"/>
      <c r="E3276" s="5"/>
      <c r="G3276" s="5"/>
      <c r="H3276" s="5"/>
      <c r="I3276" s="5"/>
    </row>
    <row r="3277" spans="1:9" ht="12.5">
      <c r="A3277" s="5"/>
      <c r="B3277" s="5"/>
      <c r="C3277" s="5"/>
      <c r="E3277" s="5"/>
      <c r="G3277" s="5"/>
      <c r="H3277" s="5"/>
      <c r="I3277" s="5"/>
    </row>
    <row r="3278" spans="1:9" ht="12.5">
      <c r="A3278" s="5"/>
      <c r="B3278" s="5"/>
      <c r="C3278" s="5"/>
      <c r="E3278" s="5"/>
      <c r="G3278" s="5"/>
      <c r="H3278" s="5"/>
      <c r="I3278" s="5"/>
    </row>
    <row r="3279" spans="1:9" ht="12.5">
      <c r="A3279" s="5"/>
      <c r="B3279" s="5"/>
      <c r="C3279" s="5"/>
      <c r="E3279" s="5"/>
      <c r="G3279" s="5"/>
      <c r="H3279" s="5"/>
      <c r="I3279" s="5"/>
    </row>
    <row r="3280" spans="1:9" ht="12.5">
      <c r="A3280" s="5"/>
      <c r="B3280" s="5"/>
      <c r="C3280" s="5"/>
      <c r="E3280" s="5"/>
      <c r="G3280" s="5"/>
      <c r="H3280" s="5"/>
      <c r="I3280" s="5"/>
    </row>
    <row r="3281" spans="1:9" ht="12.5">
      <c r="A3281" s="5"/>
      <c r="B3281" s="5"/>
      <c r="C3281" s="5"/>
      <c r="E3281" s="5"/>
      <c r="G3281" s="5"/>
      <c r="H3281" s="5"/>
      <c r="I3281" s="5"/>
    </row>
    <row r="3282" spans="1:9" ht="12.5">
      <c r="A3282" s="5"/>
      <c r="B3282" s="5"/>
      <c r="C3282" s="5"/>
      <c r="E3282" s="5"/>
      <c r="G3282" s="5"/>
      <c r="H3282" s="5"/>
      <c r="I3282" s="5"/>
    </row>
    <row r="3283" spans="1:9" ht="12.5">
      <c r="A3283" s="5"/>
      <c r="B3283" s="5"/>
      <c r="C3283" s="5"/>
      <c r="E3283" s="5"/>
      <c r="G3283" s="5"/>
      <c r="H3283" s="5"/>
      <c r="I3283" s="5"/>
    </row>
    <row r="3284" spans="1:9" ht="12.5">
      <c r="A3284" s="5"/>
      <c r="B3284" s="5"/>
      <c r="C3284" s="5"/>
      <c r="E3284" s="5"/>
      <c r="G3284" s="5"/>
      <c r="H3284" s="5"/>
      <c r="I3284" s="5"/>
    </row>
    <row r="3285" spans="1:9" ht="12.5">
      <c r="A3285" s="5"/>
      <c r="B3285" s="5"/>
      <c r="C3285" s="5"/>
      <c r="E3285" s="5"/>
      <c r="G3285" s="5"/>
      <c r="H3285" s="5"/>
      <c r="I3285" s="5"/>
    </row>
    <row r="3286" spans="1:9" ht="12.5">
      <c r="A3286" s="5"/>
      <c r="B3286" s="5"/>
      <c r="C3286" s="5"/>
      <c r="E3286" s="5"/>
      <c r="G3286" s="5"/>
      <c r="H3286" s="5"/>
      <c r="I3286" s="5"/>
    </row>
    <row r="3287" spans="1:9" ht="12.5">
      <c r="A3287" s="5"/>
      <c r="B3287" s="5"/>
      <c r="C3287" s="5"/>
      <c r="E3287" s="5"/>
      <c r="G3287" s="5"/>
      <c r="H3287" s="5"/>
      <c r="I3287" s="5"/>
    </row>
    <row r="3288" spans="1:9" ht="12.5">
      <c r="A3288" s="5"/>
      <c r="B3288" s="5"/>
      <c r="C3288" s="5"/>
      <c r="E3288" s="5"/>
      <c r="G3288" s="5"/>
      <c r="H3288" s="5"/>
      <c r="I3288" s="5"/>
    </row>
    <row r="3289" spans="1:9" ht="12.5">
      <c r="A3289" s="5"/>
      <c r="B3289" s="5"/>
      <c r="C3289" s="5"/>
      <c r="E3289" s="5"/>
      <c r="G3289" s="5"/>
      <c r="H3289" s="5"/>
      <c r="I3289" s="5"/>
    </row>
    <row r="3290" spans="1:9" ht="12.5">
      <c r="A3290" s="5"/>
      <c r="B3290" s="5"/>
      <c r="C3290" s="5"/>
      <c r="E3290" s="5"/>
      <c r="G3290" s="5"/>
      <c r="H3290" s="5"/>
      <c r="I3290" s="5"/>
    </row>
    <row r="3291" spans="1:9" ht="12.5">
      <c r="A3291" s="5"/>
      <c r="B3291" s="5"/>
      <c r="C3291" s="5"/>
      <c r="E3291" s="5"/>
      <c r="G3291" s="5"/>
      <c r="H3291" s="5"/>
      <c r="I3291" s="5"/>
    </row>
    <row r="3292" spans="1:9" ht="12.5">
      <c r="A3292" s="5"/>
      <c r="B3292" s="5"/>
      <c r="C3292" s="5"/>
      <c r="E3292" s="5"/>
      <c r="G3292" s="5"/>
      <c r="H3292" s="5"/>
      <c r="I3292" s="5"/>
    </row>
    <row r="3293" spans="1:9" ht="12.5">
      <c r="A3293" s="5"/>
      <c r="B3293" s="5"/>
      <c r="C3293" s="5"/>
      <c r="E3293" s="5"/>
      <c r="G3293" s="5"/>
      <c r="H3293" s="5"/>
      <c r="I3293" s="5"/>
    </row>
    <row r="3294" spans="1:9" ht="12.5">
      <c r="A3294" s="5"/>
      <c r="B3294" s="5"/>
      <c r="C3294" s="5"/>
      <c r="E3294" s="5"/>
      <c r="G3294" s="5"/>
      <c r="H3294" s="5"/>
      <c r="I3294" s="5"/>
    </row>
    <row r="3295" spans="1:9" ht="12.5">
      <c r="A3295" s="5"/>
      <c r="B3295" s="5"/>
      <c r="C3295" s="5"/>
      <c r="E3295" s="5"/>
      <c r="G3295" s="5"/>
      <c r="H3295" s="5"/>
      <c r="I3295" s="5"/>
    </row>
    <row r="3296" spans="1:9" ht="12.5">
      <c r="A3296" s="5"/>
      <c r="B3296" s="5"/>
      <c r="C3296" s="5"/>
      <c r="E3296" s="5"/>
      <c r="G3296" s="5"/>
      <c r="H3296" s="5"/>
      <c r="I3296" s="5"/>
    </row>
    <row r="3297" spans="1:9" ht="12.5">
      <c r="A3297" s="5"/>
      <c r="B3297" s="5"/>
      <c r="C3297" s="5"/>
      <c r="E3297" s="5"/>
      <c r="G3297" s="5"/>
      <c r="H3297" s="5"/>
      <c r="I3297" s="5"/>
    </row>
    <row r="3298" spans="1:9" ht="12.5">
      <c r="A3298" s="5"/>
      <c r="B3298" s="5"/>
      <c r="C3298" s="5"/>
      <c r="E3298" s="5"/>
      <c r="G3298" s="5"/>
      <c r="H3298" s="5"/>
      <c r="I3298" s="5"/>
    </row>
    <row r="3299" spans="1:9" ht="12.5">
      <c r="A3299" s="5"/>
      <c r="B3299" s="5"/>
      <c r="C3299" s="5"/>
      <c r="E3299" s="5"/>
      <c r="G3299" s="5"/>
      <c r="H3299" s="5"/>
      <c r="I3299" s="5"/>
    </row>
    <row r="3300" spans="1:9" ht="12.5">
      <c r="A3300" s="5"/>
      <c r="B3300" s="5"/>
      <c r="C3300" s="5"/>
      <c r="E3300" s="5"/>
      <c r="G3300" s="5"/>
      <c r="H3300" s="5"/>
      <c r="I3300" s="5"/>
    </row>
    <row r="3301" spans="1:9" ht="12.5">
      <c r="A3301" s="5"/>
      <c r="B3301" s="5"/>
      <c r="C3301" s="5"/>
      <c r="E3301" s="5"/>
      <c r="G3301" s="5"/>
      <c r="H3301" s="5"/>
      <c r="I3301" s="5"/>
    </row>
    <row r="3302" spans="1:9" ht="12.5">
      <c r="A3302" s="5"/>
      <c r="B3302" s="5"/>
      <c r="C3302" s="5"/>
      <c r="E3302" s="5"/>
      <c r="G3302" s="5"/>
      <c r="H3302" s="5"/>
      <c r="I3302" s="5"/>
    </row>
    <row r="3303" spans="1:9" ht="12.5">
      <c r="A3303" s="5"/>
      <c r="B3303" s="5"/>
      <c r="C3303" s="5"/>
      <c r="E3303" s="5"/>
      <c r="G3303" s="5"/>
      <c r="H3303" s="5"/>
      <c r="I3303" s="5"/>
    </row>
    <row r="3304" spans="1:9" ht="12.5">
      <c r="A3304" s="5"/>
      <c r="B3304" s="5"/>
      <c r="C3304" s="5"/>
      <c r="E3304" s="5"/>
      <c r="G3304" s="5"/>
      <c r="H3304" s="5"/>
      <c r="I3304" s="5"/>
    </row>
    <row r="3305" spans="1:9" ht="12.5">
      <c r="A3305" s="5"/>
      <c r="B3305" s="5"/>
      <c r="C3305" s="5"/>
      <c r="E3305" s="5"/>
      <c r="G3305" s="5"/>
      <c r="H3305" s="5"/>
      <c r="I3305" s="5"/>
    </row>
    <row r="3306" spans="1:9" ht="12.5">
      <c r="A3306" s="5"/>
      <c r="B3306" s="5"/>
      <c r="C3306" s="5"/>
      <c r="E3306" s="5"/>
      <c r="G3306" s="5"/>
      <c r="H3306" s="5"/>
      <c r="I3306" s="5"/>
    </row>
    <row r="3307" spans="1:9" ht="12.5">
      <c r="A3307" s="5"/>
      <c r="B3307" s="5"/>
      <c r="C3307" s="5"/>
      <c r="E3307" s="5"/>
      <c r="G3307" s="5"/>
      <c r="H3307" s="5"/>
      <c r="I3307" s="5"/>
    </row>
    <row r="3308" spans="1:9" ht="12.5">
      <c r="A3308" s="5"/>
      <c r="B3308" s="5"/>
      <c r="C3308" s="5"/>
      <c r="E3308" s="5"/>
      <c r="G3308" s="5"/>
      <c r="H3308" s="5"/>
      <c r="I3308" s="5"/>
    </row>
    <row r="3309" spans="1:9" ht="12.5">
      <c r="A3309" s="5"/>
      <c r="B3309" s="5"/>
      <c r="C3309" s="5"/>
      <c r="E3309" s="5"/>
      <c r="G3309" s="5"/>
      <c r="H3309" s="5"/>
      <c r="I3309" s="5"/>
    </row>
    <row r="3310" spans="1:9" ht="12.5">
      <c r="A3310" s="5"/>
      <c r="B3310" s="5"/>
      <c r="C3310" s="5"/>
      <c r="E3310" s="5"/>
      <c r="G3310" s="5"/>
      <c r="H3310" s="5"/>
      <c r="I3310" s="5"/>
    </row>
    <row r="3311" spans="1:9" ht="12.5">
      <c r="A3311" s="5"/>
      <c r="B3311" s="5"/>
      <c r="C3311" s="5"/>
      <c r="E3311" s="5"/>
      <c r="G3311" s="5"/>
      <c r="H3311" s="5"/>
      <c r="I3311" s="5"/>
    </row>
    <row r="3312" spans="1:9" ht="12.5">
      <c r="A3312" s="5"/>
      <c r="B3312" s="5"/>
      <c r="C3312" s="5"/>
      <c r="E3312" s="5"/>
      <c r="G3312" s="5"/>
      <c r="H3312" s="5"/>
      <c r="I3312" s="5"/>
    </row>
    <row r="3313" spans="1:9" ht="12.5">
      <c r="A3313" s="5"/>
      <c r="B3313" s="5"/>
      <c r="C3313" s="5"/>
      <c r="E3313" s="5"/>
      <c r="G3313" s="5"/>
      <c r="H3313" s="5"/>
      <c r="I3313" s="5"/>
    </row>
    <row r="3314" spans="1:9" ht="12.5">
      <c r="A3314" s="5"/>
      <c r="B3314" s="5"/>
      <c r="C3314" s="5"/>
      <c r="E3314" s="5"/>
      <c r="G3314" s="5"/>
      <c r="H3314" s="5"/>
      <c r="I3314" s="5"/>
    </row>
    <row r="3315" spans="1:9" ht="12.5">
      <c r="A3315" s="5"/>
      <c r="B3315" s="5"/>
      <c r="C3315" s="5"/>
      <c r="E3315" s="5"/>
      <c r="G3315" s="5"/>
      <c r="H3315" s="5"/>
      <c r="I3315" s="5"/>
    </row>
    <row r="3316" spans="1:9" ht="12.5">
      <c r="A3316" s="5"/>
      <c r="B3316" s="5"/>
      <c r="C3316" s="5"/>
      <c r="E3316" s="5"/>
      <c r="G3316" s="5"/>
      <c r="H3316" s="5"/>
      <c r="I3316" s="5"/>
    </row>
    <row r="3317" spans="1:9" ht="12.5">
      <c r="A3317" s="5"/>
      <c r="B3317" s="5"/>
      <c r="C3317" s="5"/>
      <c r="E3317" s="5"/>
      <c r="G3317" s="5"/>
      <c r="H3317" s="5"/>
      <c r="I3317" s="5"/>
    </row>
    <row r="3318" spans="1:9" ht="12.5">
      <c r="A3318" s="5"/>
      <c r="B3318" s="5"/>
      <c r="C3318" s="5"/>
      <c r="E3318" s="5"/>
      <c r="G3318" s="5"/>
      <c r="H3318" s="5"/>
      <c r="I3318" s="5"/>
    </row>
    <row r="3319" spans="1:9" ht="12.5">
      <c r="A3319" s="5"/>
      <c r="B3319" s="5"/>
      <c r="C3319" s="5"/>
      <c r="E3319" s="5"/>
      <c r="G3319" s="5"/>
      <c r="H3319" s="5"/>
      <c r="I3319" s="5"/>
    </row>
    <row r="3320" spans="1:9" ht="12.5">
      <c r="A3320" s="5"/>
      <c r="B3320" s="5"/>
      <c r="C3320" s="5"/>
      <c r="E3320" s="5"/>
      <c r="G3320" s="5"/>
      <c r="H3320" s="5"/>
      <c r="I3320" s="5"/>
    </row>
    <row r="3321" spans="1:9" ht="12.5">
      <c r="A3321" s="5"/>
      <c r="B3321" s="5"/>
      <c r="C3321" s="5"/>
      <c r="E3321" s="5"/>
      <c r="G3321" s="5"/>
      <c r="H3321" s="5"/>
      <c r="I3321" s="5"/>
    </row>
    <row r="3322" spans="1:9" ht="12.5">
      <c r="A3322" s="5"/>
      <c r="B3322" s="5"/>
      <c r="C3322" s="5"/>
      <c r="E3322" s="5"/>
      <c r="G3322" s="5"/>
      <c r="H3322" s="5"/>
      <c r="I3322" s="5"/>
    </row>
    <row r="3323" spans="1:9" ht="12.5">
      <c r="A3323" s="5"/>
      <c r="B3323" s="5"/>
      <c r="C3323" s="5"/>
      <c r="E3323" s="5"/>
      <c r="G3323" s="5"/>
      <c r="H3323" s="5"/>
      <c r="I3323" s="5"/>
    </row>
    <row r="3324" spans="1:9" ht="12.5">
      <c r="A3324" s="5"/>
      <c r="B3324" s="5"/>
      <c r="C3324" s="5"/>
      <c r="E3324" s="5"/>
      <c r="G3324" s="5"/>
      <c r="H3324" s="5"/>
      <c r="I3324" s="5"/>
    </row>
    <row r="3325" spans="1:9" ht="12.5">
      <c r="A3325" s="5"/>
      <c r="B3325" s="5"/>
      <c r="C3325" s="5"/>
      <c r="E3325" s="5"/>
      <c r="G3325" s="5"/>
      <c r="H3325" s="5"/>
      <c r="I3325" s="5"/>
    </row>
    <row r="3326" spans="1:9" ht="12.5">
      <c r="A3326" s="5"/>
      <c r="B3326" s="5"/>
      <c r="C3326" s="5"/>
      <c r="E3326" s="5"/>
      <c r="G3326" s="5"/>
      <c r="H3326" s="5"/>
      <c r="I3326" s="5"/>
    </row>
    <row r="3327" spans="1:9" ht="12.5">
      <c r="A3327" s="5"/>
      <c r="B3327" s="5"/>
      <c r="C3327" s="5"/>
      <c r="E3327" s="5"/>
      <c r="G3327" s="5"/>
      <c r="H3327" s="5"/>
      <c r="I3327" s="5"/>
    </row>
    <row r="3328" spans="1:9" ht="12.5">
      <c r="A3328" s="5"/>
      <c r="B3328" s="5"/>
      <c r="C3328" s="5"/>
      <c r="E3328" s="5"/>
      <c r="G3328" s="5"/>
      <c r="H3328" s="5"/>
      <c r="I3328" s="5"/>
    </row>
    <row r="3329" spans="1:9" ht="12.5">
      <c r="A3329" s="5"/>
      <c r="B3329" s="5"/>
      <c r="C3329" s="5"/>
      <c r="E3329" s="5"/>
      <c r="G3329" s="5"/>
      <c r="H3329" s="5"/>
      <c r="I3329" s="5"/>
    </row>
    <row r="3330" spans="1:9" ht="12.5">
      <c r="A3330" s="5"/>
      <c r="B3330" s="5"/>
      <c r="C3330" s="5"/>
      <c r="E3330" s="5"/>
      <c r="G3330" s="5"/>
      <c r="H3330" s="5"/>
      <c r="I3330" s="5"/>
    </row>
    <row r="3331" spans="1:9" ht="12.5">
      <c r="A3331" s="5"/>
      <c r="B3331" s="5"/>
      <c r="C3331" s="5"/>
      <c r="E3331" s="5"/>
      <c r="G3331" s="5"/>
      <c r="H3331" s="5"/>
      <c r="I3331" s="5"/>
    </row>
    <row r="3332" spans="1:9" ht="12.5">
      <c r="A3332" s="5"/>
      <c r="B3332" s="5"/>
      <c r="C3332" s="5"/>
      <c r="E3332" s="5"/>
      <c r="G3332" s="5"/>
      <c r="H3332" s="5"/>
      <c r="I3332" s="5"/>
    </row>
    <row r="3333" spans="1:9" ht="12.5">
      <c r="A3333" s="5"/>
      <c r="B3333" s="5"/>
      <c r="C3333" s="5"/>
      <c r="E3333" s="5"/>
      <c r="G3333" s="5"/>
      <c r="H3333" s="5"/>
      <c r="I3333" s="5"/>
    </row>
    <row r="3334" spans="1:9" ht="12.5">
      <c r="A3334" s="5"/>
      <c r="B3334" s="5"/>
      <c r="C3334" s="5"/>
      <c r="E3334" s="5"/>
      <c r="G3334" s="5"/>
      <c r="H3334" s="5"/>
      <c r="I3334" s="5"/>
    </row>
    <row r="3335" spans="1:9" ht="12.5">
      <c r="A3335" s="5"/>
      <c r="B3335" s="5"/>
      <c r="C3335" s="5"/>
      <c r="E3335" s="5"/>
      <c r="G3335" s="5"/>
      <c r="H3335" s="5"/>
      <c r="I3335" s="5"/>
    </row>
    <row r="3336" spans="1:9" ht="12.5">
      <c r="A3336" s="5"/>
      <c r="B3336" s="5"/>
      <c r="C3336" s="5"/>
      <c r="E3336" s="5"/>
      <c r="G3336" s="5"/>
      <c r="H3336" s="5"/>
      <c r="I3336" s="5"/>
    </row>
    <row r="3337" spans="1:9" ht="12.5">
      <c r="A3337" s="5"/>
      <c r="B3337" s="5"/>
      <c r="C3337" s="5"/>
      <c r="E3337" s="5"/>
      <c r="G3337" s="5"/>
      <c r="H3337" s="5"/>
      <c r="I3337" s="5"/>
    </row>
    <row r="3338" spans="1:9" ht="12.5">
      <c r="A3338" s="5"/>
      <c r="B3338" s="5"/>
      <c r="C3338" s="5"/>
      <c r="E3338" s="5"/>
      <c r="G3338" s="5"/>
      <c r="H3338" s="5"/>
      <c r="I3338" s="5"/>
    </row>
    <row r="3339" spans="1:9" ht="12.5">
      <c r="A3339" s="5"/>
      <c r="B3339" s="5"/>
      <c r="C3339" s="5"/>
      <c r="E3339" s="5"/>
      <c r="G3339" s="5"/>
      <c r="H3339" s="5"/>
      <c r="I3339" s="5"/>
    </row>
    <row r="3340" spans="1:9" ht="12.5">
      <c r="A3340" s="5"/>
      <c r="B3340" s="5"/>
      <c r="C3340" s="5"/>
      <c r="E3340" s="5"/>
      <c r="G3340" s="5"/>
      <c r="H3340" s="5"/>
      <c r="I3340" s="5"/>
    </row>
    <row r="3341" spans="1:9" ht="12.5">
      <c r="A3341" s="5"/>
      <c r="B3341" s="5"/>
      <c r="C3341" s="5"/>
      <c r="E3341" s="5"/>
      <c r="G3341" s="5"/>
      <c r="H3341" s="5"/>
      <c r="I3341" s="5"/>
    </row>
    <row r="3342" spans="1:9" ht="12.5">
      <c r="A3342" s="5"/>
      <c r="B3342" s="5"/>
      <c r="C3342" s="5"/>
      <c r="E3342" s="5"/>
      <c r="G3342" s="5"/>
      <c r="H3342" s="5"/>
      <c r="I3342" s="5"/>
    </row>
    <row r="3343" spans="1:9" ht="12.5">
      <c r="A3343" s="5"/>
      <c r="B3343" s="5"/>
      <c r="C3343" s="5"/>
      <c r="E3343" s="5"/>
      <c r="G3343" s="5"/>
      <c r="H3343" s="5"/>
      <c r="I3343" s="5"/>
    </row>
    <row r="3344" spans="1:9" ht="12.5">
      <c r="A3344" s="5"/>
      <c r="B3344" s="5"/>
      <c r="C3344" s="5"/>
      <c r="E3344" s="5"/>
      <c r="G3344" s="5"/>
      <c r="H3344" s="5"/>
      <c r="I3344" s="5"/>
    </row>
    <row r="3345" spans="1:9" ht="12.5">
      <c r="A3345" s="5"/>
      <c r="B3345" s="5"/>
      <c r="C3345" s="5"/>
      <c r="E3345" s="5"/>
      <c r="G3345" s="5"/>
      <c r="H3345" s="5"/>
      <c r="I3345" s="5"/>
    </row>
    <row r="3346" spans="1:9" ht="12.5">
      <c r="A3346" s="5"/>
      <c r="B3346" s="5"/>
      <c r="C3346" s="5"/>
      <c r="E3346" s="5"/>
      <c r="G3346" s="5"/>
      <c r="H3346" s="5"/>
      <c r="I3346" s="5"/>
    </row>
    <row r="3347" spans="1:9" ht="12.5">
      <c r="A3347" s="5"/>
      <c r="B3347" s="5"/>
      <c r="C3347" s="5"/>
      <c r="E3347" s="5"/>
      <c r="G3347" s="5"/>
      <c r="H3347" s="5"/>
      <c r="I3347" s="5"/>
    </row>
    <row r="3348" spans="1:9" ht="12.5">
      <c r="A3348" s="5"/>
      <c r="B3348" s="5"/>
      <c r="C3348" s="5"/>
      <c r="E3348" s="5"/>
      <c r="G3348" s="5"/>
      <c r="H3348" s="5"/>
      <c r="I3348" s="5"/>
    </row>
    <row r="3349" spans="1:9" ht="12.5">
      <c r="A3349" s="5"/>
      <c r="B3349" s="5"/>
      <c r="C3349" s="5"/>
      <c r="E3349" s="5"/>
      <c r="G3349" s="5"/>
      <c r="H3349" s="5"/>
      <c r="I3349" s="5"/>
    </row>
    <row r="3350" spans="1:9" ht="12.5">
      <c r="A3350" s="5"/>
      <c r="B3350" s="5"/>
      <c r="C3350" s="5"/>
      <c r="E3350" s="5"/>
      <c r="G3350" s="5"/>
      <c r="H3350" s="5"/>
      <c r="I3350" s="5"/>
    </row>
    <row r="3351" spans="1:9" ht="12.5">
      <c r="A3351" s="5"/>
      <c r="B3351" s="5"/>
      <c r="C3351" s="5"/>
      <c r="E3351" s="5"/>
      <c r="G3351" s="5"/>
      <c r="H3351" s="5"/>
      <c r="I3351" s="5"/>
    </row>
    <row r="3352" spans="1:9" ht="12.5">
      <c r="A3352" s="5"/>
      <c r="B3352" s="5"/>
      <c r="C3352" s="5"/>
      <c r="E3352" s="5"/>
      <c r="G3352" s="5"/>
      <c r="H3352" s="5"/>
      <c r="I3352" s="5"/>
    </row>
    <row r="3353" spans="1:9" ht="12.5">
      <c r="A3353" s="5"/>
      <c r="B3353" s="5"/>
      <c r="C3353" s="5"/>
      <c r="E3353" s="5"/>
      <c r="G3353" s="5"/>
      <c r="H3353" s="5"/>
      <c r="I3353" s="5"/>
    </row>
    <row r="3354" spans="1:9" ht="12.5">
      <c r="A3354" s="5"/>
      <c r="B3354" s="5"/>
      <c r="C3354" s="5"/>
      <c r="E3354" s="5"/>
      <c r="G3354" s="5"/>
      <c r="H3354" s="5"/>
      <c r="I3354" s="5"/>
    </row>
    <row r="3355" spans="1:9" ht="12.5">
      <c r="A3355" s="5"/>
      <c r="B3355" s="5"/>
      <c r="C3355" s="5"/>
      <c r="E3355" s="5"/>
      <c r="G3355" s="5"/>
      <c r="H3355" s="5"/>
      <c r="I3355" s="5"/>
    </row>
    <row r="3356" spans="1:9" ht="12.5">
      <c r="A3356" s="5"/>
      <c r="B3356" s="5"/>
      <c r="C3356" s="5"/>
      <c r="E3356" s="5"/>
      <c r="G3356" s="5"/>
      <c r="H3356" s="5"/>
      <c r="I3356" s="5"/>
    </row>
    <row r="3357" spans="1:9" ht="12.5">
      <c r="A3357" s="5"/>
      <c r="B3357" s="5"/>
      <c r="C3357" s="5"/>
      <c r="E3357" s="5"/>
      <c r="G3357" s="5"/>
      <c r="H3357" s="5"/>
      <c r="I3357" s="5"/>
    </row>
    <row r="3358" spans="1:9" ht="12.5">
      <c r="A3358" s="5"/>
      <c r="B3358" s="5"/>
      <c r="C3358" s="5"/>
      <c r="E3358" s="5"/>
      <c r="G3358" s="5"/>
      <c r="H3358" s="5"/>
      <c r="I3358" s="5"/>
    </row>
    <row r="3359" spans="1:9" ht="12.5">
      <c r="A3359" s="5"/>
      <c r="B3359" s="5"/>
      <c r="C3359" s="5"/>
      <c r="E3359" s="5"/>
      <c r="G3359" s="5"/>
      <c r="H3359" s="5"/>
      <c r="I3359" s="5"/>
    </row>
    <row r="3360" spans="1:9" ht="12.5">
      <c r="A3360" s="5"/>
      <c r="B3360" s="5"/>
      <c r="C3360" s="5"/>
      <c r="E3360" s="5"/>
      <c r="G3360" s="5"/>
      <c r="H3360" s="5"/>
      <c r="I3360" s="5"/>
    </row>
    <row r="3361" spans="1:9" ht="12.5">
      <c r="A3361" s="5"/>
      <c r="B3361" s="5"/>
      <c r="C3361" s="5"/>
      <c r="E3361" s="5"/>
      <c r="G3361" s="5"/>
      <c r="H3361" s="5"/>
      <c r="I3361" s="5"/>
    </row>
    <row r="3362" spans="1:9" ht="12.5">
      <c r="A3362" s="5"/>
      <c r="B3362" s="5"/>
      <c r="C3362" s="5"/>
      <c r="E3362" s="5"/>
      <c r="G3362" s="5"/>
      <c r="H3362" s="5"/>
      <c r="I3362" s="5"/>
    </row>
    <row r="3363" spans="1:9" ht="12.5">
      <c r="A3363" s="5"/>
      <c r="B3363" s="5"/>
      <c r="C3363" s="5"/>
      <c r="E3363" s="5"/>
      <c r="G3363" s="5"/>
      <c r="H3363" s="5"/>
      <c r="I3363" s="5"/>
    </row>
    <row r="3364" spans="1:9" ht="12.5">
      <c r="A3364" s="5"/>
      <c r="B3364" s="5"/>
      <c r="C3364" s="5"/>
      <c r="E3364" s="5"/>
      <c r="G3364" s="5"/>
      <c r="H3364" s="5"/>
      <c r="I3364" s="5"/>
    </row>
    <row r="3365" spans="1:9" ht="12.5">
      <c r="A3365" s="5"/>
      <c r="B3365" s="5"/>
      <c r="C3365" s="5"/>
      <c r="E3365" s="5"/>
      <c r="G3365" s="5"/>
      <c r="H3365" s="5"/>
      <c r="I3365" s="5"/>
    </row>
    <row r="3366" spans="1:9" ht="12.5">
      <c r="A3366" s="5"/>
      <c r="B3366" s="5"/>
      <c r="C3366" s="5"/>
      <c r="E3366" s="5"/>
      <c r="G3366" s="5"/>
      <c r="H3366" s="5"/>
      <c r="I3366" s="5"/>
    </row>
    <row r="3367" spans="1:9" ht="12.5">
      <c r="A3367" s="5"/>
      <c r="B3367" s="5"/>
      <c r="C3367" s="5"/>
      <c r="E3367" s="5"/>
      <c r="G3367" s="5"/>
      <c r="H3367" s="5"/>
      <c r="I3367" s="5"/>
    </row>
    <row r="3368" spans="1:9" ht="12.5">
      <c r="A3368" s="5"/>
      <c r="B3368" s="5"/>
      <c r="C3368" s="5"/>
      <c r="E3368" s="5"/>
      <c r="G3368" s="5"/>
      <c r="H3368" s="5"/>
      <c r="I3368" s="5"/>
    </row>
    <row r="3369" spans="1:9" ht="12.5">
      <c r="A3369" s="5"/>
      <c r="B3369" s="5"/>
      <c r="C3369" s="5"/>
      <c r="E3369" s="5"/>
      <c r="G3369" s="5"/>
      <c r="H3369" s="5"/>
      <c r="I3369" s="5"/>
    </row>
    <row r="3370" spans="1:9" ht="12.5">
      <c r="A3370" s="5"/>
      <c r="B3370" s="5"/>
      <c r="C3370" s="5"/>
      <c r="E3370" s="5"/>
      <c r="G3370" s="5"/>
      <c r="H3370" s="5"/>
      <c r="I3370" s="5"/>
    </row>
    <row r="3371" spans="1:9" ht="12.5">
      <c r="A3371" s="5"/>
      <c r="B3371" s="5"/>
      <c r="C3371" s="5"/>
      <c r="E3371" s="5"/>
      <c r="G3371" s="5"/>
      <c r="H3371" s="5"/>
      <c r="I3371" s="5"/>
    </row>
    <row r="3372" spans="1:9" ht="12.5">
      <c r="A3372" s="5"/>
      <c r="B3372" s="5"/>
      <c r="C3372" s="5"/>
      <c r="E3372" s="5"/>
      <c r="G3372" s="5"/>
      <c r="H3372" s="5"/>
      <c r="I3372" s="5"/>
    </row>
    <row r="3373" spans="1:9" ht="12.5">
      <c r="A3373" s="5"/>
      <c r="B3373" s="5"/>
      <c r="C3373" s="5"/>
      <c r="E3373" s="5"/>
      <c r="G3373" s="5"/>
      <c r="H3373" s="5"/>
      <c r="I3373" s="5"/>
    </row>
    <row r="3374" spans="1:9" ht="12.5">
      <c r="A3374" s="5"/>
      <c r="B3374" s="5"/>
      <c r="C3374" s="5"/>
      <c r="E3374" s="5"/>
      <c r="G3374" s="5"/>
      <c r="H3374" s="5"/>
      <c r="I3374" s="5"/>
    </row>
    <row r="3375" spans="1:9" ht="12.5">
      <c r="A3375" s="5"/>
      <c r="B3375" s="5"/>
      <c r="C3375" s="5"/>
      <c r="E3375" s="5"/>
      <c r="G3375" s="5"/>
      <c r="H3375" s="5"/>
      <c r="I3375" s="5"/>
    </row>
    <row r="3376" spans="1:9" ht="12.5">
      <c r="A3376" s="5"/>
      <c r="B3376" s="5"/>
      <c r="C3376" s="5"/>
      <c r="E3376" s="5"/>
      <c r="G3376" s="5"/>
      <c r="H3376" s="5"/>
      <c r="I3376" s="5"/>
    </row>
    <row r="3377" spans="1:9" ht="12.5">
      <c r="A3377" s="5"/>
      <c r="B3377" s="5"/>
      <c r="C3377" s="5"/>
      <c r="E3377" s="5"/>
      <c r="G3377" s="5"/>
      <c r="H3377" s="5"/>
      <c r="I3377" s="5"/>
    </row>
    <row r="3378" spans="1:9" ht="12.5">
      <c r="A3378" s="5"/>
      <c r="B3378" s="5"/>
      <c r="C3378" s="5"/>
      <c r="E3378" s="5"/>
      <c r="G3378" s="5"/>
      <c r="H3378" s="5"/>
      <c r="I3378" s="5"/>
    </row>
    <row r="3379" spans="1:9" ht="12.5">
      <c r="A3379" s="5"/>
      <c r="B3379" s="5"/>
      <c r="C3379" s="5"/>
      <c r="E3379" s="5"/>
      <c r="G3379" s="5"/>
      <c r="H3379" s="5"/>
      <c r="I3379" s="5"/>
    </row>
    <row r="3380" spans="1:9" ht="12.5">
      <c r="A3380" s="5"/>
      <c r="B3380" s="5"/>
      <c r="C3380" s="5"/>
      <c r="E3380" s="5"/>
      <c r="G3380" s="5"/>
      <c r="H3380" s="5"/>
      <c r="I3380" s="5"/>
    </row>
    <row r="3381" spans="1:9" ht="12.5">
      <c r="A3381" s="5"/>
      <c r="B3381" s="5"/>
      <c r="C3381" s="5"/>
      <c r="E3381" s="5"/>
      <c r="G3381" s="5"/>
      <c r="H3381" s="5"/>
      <c r="I3381" s="5"/>
    </row>
    <row r="3382" spans="1:9" ht="12.5">
      <c r="A3382" s="5"/>
      <c r="B3382" s="5"/>
      <c r="C3382" s="5"/>
      <c r="E3382" s="5"/>
      <c r="G3382" s="5"/>
      <c r="H3382" s="5"/>
      <c r="I3382" s="5"/>
    </row>
    <row r="3383" spans="1:9" ht="12.5">
      <c r="A3383" s="5"/>
      <c r="B3383" s="5"/>
      <c r="C3383" s="5"/>
      <c r="E3383" s="5"/>
      <c r="G3383" s="5"/>
      <c r="H3383" s="5"/>
      <c r="I3383" s="5"/>
    </row>
    <row r="3384" spans="1:9" ht="12.5">
      <c r="A3384" s="5"/>
      <c r="B3384" s="5"/>
      <c r="C3384" s="5"/>
      <c r="E3384" s="5"/>
      <c r="G3384" s="5"/>
      <c r="H3384" s="5"/>
      <c r="I3384" s="5"/>
    </row>
    <row r="3385" spans="1:9" ht="12.5">
      <c r="A3385" s="5"/>
      <c r="B3385" s="5"/>
      <c r="C3385" s="5"/>
      <c r="E3385" s="5"/>
      <c r="G3385" s="5"/>
      <c r="H3385" s="5"/>
      <c r="I3385" s="5"/>
    </row>
    <row r="3386" spans="1:9" ht="12.5">
      <c r="A3386" s="5"/>
      <c r="B3386" s="5"/>
      <c r="C3386" s="5"/>
      <c r="E3386" s="5"/>
      <c r="G3386" s="5"/>
      <c r="H3386" s="5"/>
      <c r="I3386" s="5"/>
    </row>
    <row r="3387" spans="1:9" ht="12.5">
      <c r="A3387" s="5"/>
      <c r="B3387" s="5"/>
      <c r="C3387" s="5"/>
      <c r="E3387" s="5"/>
      <c r="G3387" s="5"/>
      <c r="H3387" s="5"/>
      <c r="I3387" s="5"/>
    </row>
    <row r="3388" spans="1:9" ht="12.5">
      <c r="A3388" s="5"/>
      <c r="B3388" s="5"/>
      <c r="C3388" s="5"/>
      <c r="E3388" s="5"/>
      <c r="G3388" s="5"/>
      <c r="H3388" s="5"/>
      <c r="I3388" s="5"/>
    </row>
    <row r="3389" spans="1:9" ht="12.5">
      <c r="A3389" s="5"/>
      <c r="B3389" s="5"/>
      <c r="C3389" s="5"/>
      <c r="E3389" s="5"/>
      <c r="G3389" s="5"/>
      <c r="H3389" s="5"/>
      <c r="I3389" s="5"/>
    </row>
    <row r="3390" spans="1:9" ht="12.5">
      <c r="A3390" s="5"/>
      <c r="B3390" s="5"/>
      <c r="C3390" s="5"/>
      <c r="E3390" s="5"/>
      <c r="G3390" s="5"/>
      <c r="H3390" s="5"/>
      <c r="I3390" s="5"/>
    </row>
    <row r="3391" spans="1:9" ht="12.5">
      <c r="A3391" s="5"/>
      <c r="B3391" s="5"/>
      <c r="C3391" s="5"/>
      <c r="E3391" s="5"/>
      <c r="G3391" s="5"/>
      <c r="H3391" s="5"/>
      <c r="I3391" s="5"/>
    </row>
    <row r="3392" spans="1:9" ht="12.5">
      <c r="A3392" s="5"/>
      <c r="B3392" s="5"/>
      <c r="C3392" s="5"/>
      <c r="E3392" s="5"/>
      <c r="G3392" s="5"/>
      <c r="H3392" s="5"/>
      <c r="I3392" s="5"/>
    </row>
    <row r="3393" spans="1:9" ht="12.5">
      <c r="A3393" s="5"/>
      <c r="B3393" s="5"/>
      <c r="C3393" s="5"/>
      <c r="E3393" s="5"/>
      <c r="G3393" s="5"/>
      <c r="H3393" s="5"/>
      <c r="I3393" s="5"/>
    </row>
    <row r="3394" spans="1:9" ht="12.5">
      <c r="A3394" s="5"/>
      <c r="B3394" s="5"/>
      <c r="C3394" s="5"/>
      <c r="E3394" s="5"/>
      <c r="G3394" s="5"/>
      <c r="H3394" s="5"/>
      <c r="I3394" s="5"/>
    </row>
    <row r="3395" spans="1:9" ht="12.5">
      <c r="A3395" s="5"/>
      <c r="B3395" s="5"/>
      <c r="C3395" s="5"/>
      <c r="E3395" s="5"/>
      <c r="G3395" s="5"/>
      <c r="H3395" s="5"/>
      <c r="I3395" s="5"/>
    </row>
    <row r="3396" spans="1:9" ht="12.5">
      <c r="A3396" s="5"/>
      <c r="B3396" s="5"/>
      <c r="C3396" s="5"/>
      <c r="E3396" s="5"/>
      <c r="G3396" s="5"/>
      <c r="H3396" s="5"/>
      <c r="I3396" s="5"/>
    </row>
    <row r="3397" spans="1:9" ht="12.5">
      <c r="A3397" s="5"/>
      <c r="B3397" s="5"/>
      <c r="C3397" s="5"/>
      <c r="E3397" s="5"/>
      <c r="G3397" s="5"/>
      <c r="H3397" s="5"/>
      <c r="I3397" s="5"/>
    </row>
    <row r="3398" spans="1:9" ht="12.5">
      <c r="A3398" s="5"/>
      <c r="B3398" s="5"/>
      <c r="C3398" s="5"/>
      <c r="E3398" s="5"/>
      <c r="G3398" s="5"/>
      <c r="H3398" s="5"/>
      <c r="I3398" s="5"/>
    </row>
    <row r="3399" spans="1:9" ht="12.5">
      <c r="A3399" s="5"/>
      <c r="B3399" s="5"/>
      <c r="C3399" s="5"/>
      <c r="E3399" s="5"/>
      <c r="G3399" s="5"/>
      <c r="H3399" s="5"/>
      <c r="I3399" s="5"/>
    </row>
    <row r="3400" spans="1:9" ht="12.5">
      <c r="A3400" s="5"/>
      <c r="B3400" s="5"/>
      <c r="C3400" s="5"/>
      <c r="E3400" s="5"/>
      <c r="G3400" s="5"/>
      <c r="H3400" s="5"/>
      <c r="I3400" s="5"/>
    </row>
    <row r="3401" spans="1:9" ht="12.5">
      <c r="A3401" s="5"/>
      <c r="B3401" s="5"/>
      <c r="C3401" s="5"/>
      <c r="E3401" s="5"/>
      <c r="G3401" s="5"/>
      <c r="H3401" s="5"/>
      <c r="I3401" s="5"/>
    </row>
    <row r="3402" spans="1:9" ht="12.5">
      <c r="A3402" s="5"/>
      <c r="B3402" s="5"/>
      <c r="C3402" s="5"/>
      <c r="E3402" s="5"/>
      <c r="G3402" s="5"/>
      <c r="H3402" s="5"/>
      <c r="I3402" s="5"/>
    </row>
    <row r="3403" spans="1:9" ht="12.5">
      <c r="A3403" s="5"/>
      <c r="B3403" s="5"/>
      <c r="C3403" s="5"/>
      <c r="E3403" s="5"/>
      <c r="G3403" s="5"/>
      <c r="H3403" s="5"/>
      <c r="I3403" s="5"/>
    </row>
    <row r="3404" spans="1:9" ht="12.5">
      <c r="A3404" s="5"/>
      <c r="B3404" s="5"/>
      <c r="C3404" s="5"/>
      <c r="E3404" s="5"/>
      <c r="G3404" s="5"/>
      <c r="H3404" s="5"/>
      <c r="I3404" s="5"/>
    </row>
    <row r="3405" spans="1:9" ht="12.5">
      <c r="A3405" s="5"/>
      <c r="B3405" s="5"/>
      <c r="C3405" s="5"/>
      <c r="E3405" s="5"/>
      <c r="G3405" s="5"/>
      <c r="H3405" s="5"/>
      <c r="I3405" s="5"/>
    </row>
    <row r="3406" spans="1:9" ht="12.5">
      <c r="A3406" s="5"/>
      <c r="B3406" s="5"/>
      <c r="C3406" s="5"/>
      <c r="E3406" s="5"/>
      <c r="G3406" s="5"/>
      <c r="H3406" s="5"/>
      <c r="I3406" s="5"/>
    </row>
    <row r="3407" spans="1:9" ht="12.5">
      <c r="A3407" s="5"/>
      <c r="B3407" s="5"/>
      <c r="C3407" s="5"/>
      <c r="E3407" s="5"/>
      <c r="G3407" s="5"/>
      <c r="H3407" s="5"/>
      <c r="I3407" s="5"/>
    </row>
    <row r="3408" spans="1:9" ht="12.5">
      <c r="A3408" s="5"/>
      <c r="B3408" s="5"/>
      <c r="C3408" s="5"/>
      <c r="E3408" s="5"/>
      <c r="G3408" s="5"/>
      <c r="H3408" s="5"/>
      <c r="I3408" s="5"/>
    </row>
    <row r="3409" spans="1:9" ht="12.5">
      <c r="A3409" s="5"/>
      <c r="B3409" s="5"/>
      <c r="C3409" s="5"/>
      <c r="E3409" s="5"/>
      <c r="G3409" s="5"/>
      <c r="H3409" s="5"/>
      <c r="I3409" s="5"/>
    </row>
    <row r="3410" spans="1:9" ht="12.5">
      <c r="A3410" s="5"/>
      <c r="B3410" s="5"/>
      <c r="C3410" s="5"/>
      <c r="E3410" s="5"/>
      <c r="G3410" s="5"/>
      <c r="H3410" s="5"/>
      <c r="I3410" s="5"/>
    </row>
    <row r="3411" spans="1:9" ht="12.5">
      <c r="A3411" s="5"/>
      <c r="B3411" s="5"/>
      <c r="C3411" s="5"/>
      <c r="E3411" s="5"/>
      <c r="G3411" s="5"/>
      <c r="H3411" s="5"/>
      <c r="I3411" s="5"/>
    </row>
    <row r="3412" spans="1:9" ht="12.5">
      <c r="A3412" s="5"/>
      <c r="B3412" s="5"/>
      <c r="C3412" s="5"/>
      <c r="E3412" s="5"/>
      <c r="G3412" s="5"/>
      <c r="H3412" s="5"/>
      <c r="I3412" s="5"/>
    </row>
    <row r="3413" spans="1:9" ht="12.5">
      <c r="A3413" s="5"/>
      <c r="B3413" s="5"/>
      <c r="C3413" s="5"/>
      <c r="E3413" s="5"/>
      <c r="G3413" s="5"/>
      <c r="H3413" s="5"/>
      <c r="I3413" s="5"/>
    </row>
    <row r="3414" spans="1:9" ht="12.5">
      <c r="A3414" s="5"/>
      <c r="B3414" s="5"/>
      <c r="C3414" s="5"/>
      <c r="E3414" s="5"/>
      <c r="G3414" s="5"/>
      <c r="H3414" s="5"/>
      <c r="I3414" s="5"/>
    </row>
    <row r="3415" spans="1:9" ht="12.5">
      <c r="A3415" s="5"/>
      <c r="B3415" s="5"/>
      <c r="C3415" s="5"/>
      <c r="E3415" s="5"/>
      <c r="G3415" s="5"/>
      <c r="H3415" s="5"/>
      <c r="I3415" s="5"/>
    </row>
    <row r="3416" spans="1:9" ht="12.5">
      <c r="A3416" s="5"/>
      <c r="B3416" s="5"/>
      <c r="C3416" s="5"/>
      <c r="E3416" s="5"/>
      <c r="G3416" s="5"/>
      <c r="H3416" s="5"/>
      <c r="I3416" s="5"/>
    </row>
    <row r="3417" spans="1:9" ht="12.5">
      <c r="A3417" s="5"/>
      <c r="B3417" s="5"/>
      <c r="C3417" s="5"/>
      <c r="E3417" s="5"/>
      <c r="G3417" s="5"/>
      <c r="H3417" s="5"/>
      <c r="I3417" s="5"/>
    </row>
    <row r="3418" spans="1:9" ht="12.5">
      <c r="A3418" s="5"/>
      <c r="B3418" s="5"/>
      <c r="C3418" s="5"/>
      <c r="E3418" s="5"/>
      <c r="G3418" s="5"/>
      <c r="H3418" s="5"/>
      <c r="I3418" s="5"/>
    </row>
    <row r="3419" spans="1:9" ht="12.5">
      <c r="A3419" s="5"/>
      <c r="B3419" s="5"/>
      <c r="C3419" s="5"/>
      <c r="E3419" s="5"/>
      <c r="G3419" s="5"/>
      <c r="H3419" s="5"/>
      <c r="I3419" s="5"/>
    </row>
    <row r="3420" spans="1:9" ht="12.5">
      <c r="A3420" s="5"/>
      <c r="B3420" s="5"/>
      <c r="C3420" s="5"/>
      <c r="E3420" s="5"/>
      <c r="G3420" s="5"/>
      <c r="H3420" s="5"/>
      <c r="I3420" s="5"/>
    </row>
    <row r="3421" spans="1:9" ht="12.5">
      <c r="A3421" s="5"/>
      <c r="B3421" s="5"/>
      <c r="C3421" s="5"/>
      <c r="E3421" s="5"/>
      <c r="G3421" s="5"/>
      <c r="H3421" s="5"/>
      <c r="I3421" s="5"/>
    </row>
    <row r="3422" spans="1:9" ht="12.5">
      <c r="A3422" s="5"/>
      <c r="B3422" s="5"/>
      <c r="C3422" s="5"/>
      <c r="E3422" s="5"/>
      <c r="G3422" s="5"/>
      <c r="H3422" s="5"/>
      <c r="I3422" s="5"/>
    </row>
    <row r="3423" spans="1:9" ht="12.5">
      <c r="A3423" s="5"/>
      <c r="B3423" s="5"/>
      <c r="C3423" s="5"/>
      <c r="E3423" s="5"/>
      <c r="G3423" s="5"/>
      <c r="H3423" s="5"/>
      <c r="I3423" s="5"/>
    </row>
    <row r="3424" spans="1:9" ht="12.5">
      <c r="A3424" s="5"/>
      <c r="B3424" s="5"/>
      <c r="C3424" s="5"/>
      <c r="E3424" s="5"/>
      <c r="G3424" s="5"/>
      <c r="H3424" s="5"/>
      <c r="I3424" s="5"/>
    </row>
    <row r="3425" spans="1:9" ht="12.5">
      <c r="A3425" s="5"/>
      <c r="B3425" s="5"/>
      <c r="C3425" s="5"/>
      <c r="E3425" s="5"/>
      <c r="G3425" s="5"/>
      <c r="H3425" s="5"/>
      <c r="I3425" s="5"/>
    </row>
    <row r="3426" spans="1:9" ht="12.5">
      <c r="A3426" s="5"/>
      <c r="B3426" s="5"/>
      <c r="C3426" s="5"/>
      <c r="E3426" s="5"/>
      <c r="G3426" s="5"/>
      <c r="H3426" s="5"/>
      <c r="I3426" s="5"/>
    </row>
    <row r="3427" spans="1:9" ht="12.5">
      <c r="A3427" s="5"/>
      <c r="B3427" s="5"/>
      <c r="C3427" s="5"/>
      <c r="E3427" s="5"/>
      <c r="G3427" s="5"/>
      <c r="H3427" s="5"/>
      <c r="I3427" s="5"/>
    </row>
    <row r="3428" spans="1:9" ht="12.5">
      <c r="A3428" s="5"/>
      <c r="B3428" s="5"/>
      <c r="C3428" s="5"/>
      <c r="E3428" s="5"/>
      <c r="G3428" s="5"/>
      <c r="H3428" s="5"/>
      <c r="I3428" s="5"/>
    </row>
    <row r="3429" spans="1:9" ht="12.5">
      <c r="A3429" s="5"/>
      <c r="B3429" s="5"/>
      <c r="C3429" s="5"/>
      <c r="E3429" s="5"/>
      <c r="G3429" s="5"/>
      <c r="H3429" s="5"/>
      <c r="I3429" s="5"/>
    </row>
    <row r="3430" spans="1:9" ht="12.5">
      <c r="A3430" s="5"/>
      <c r="B3430" s="5"/>
      <c r="C3430" s="5"/>
      <c r="E3430" s="5"/>
      <c r="G3430" s="5"/>
      <c r="H3430" s="5"/>
      <c r="I3430" s="5"/>
    </row>
    <row r="3431" spans="1:9" ht="12.5">
      <c r="A3431" s="5"/>
      <c r="B3431" s="5"/>
      <c r="C3431" s="5"/>
      <c r="E3431" s="5"/>
      <c r="G3431" s="5"/>
      <c r="H3431" s="5"/>
      <c r="I3431" s="5"/>
    </row>
    <row r="3432" spans="1:9" ht="12.5">
      <c r="A3432" s="5"/>
      <c r="B3432" s="5"/>
      <c r="C3432" s="5"/>
      <c r="E3432" s="5"/>
      <c r="G3432" s="5"/>
      <c r="H3432" s="5"/>
      <c r="I3432" s="5"/>
    </row>
    <row r="3433" spans="1:9" ht="12.5">
      <c r="A3433" s="5"/>
      <c r="B3433" s="5"/>
      <c r="C3433" s="5"/>
      <c r="E3433" s="5"/>
      <c r="G3433" s="5"/>
      <c r="H3433" s="5"/>
      <c r="I3433" s="5"/>
    </row>
    <row r="3434" spans="1:9" ht="12.5">
      <c r="A3434" s="5"/>
      <c r="B3434" s="5"/>
      <c r="C3434" s="5"/>
      <c r="E3434" s="5"/>
      <c r="G3434" s="5"/>
      <c r="H3434" s="5"/>
      <c r="I3434" s="5"/>
    </row>
    <row r="3435" spans="1:9" ht="12.5">
      <c r="A3435" s="5"/>
      <c r="B3435" s="5"/>
      <c r="C3435" s="5"/>
      <c r="E3435" s="5"/>
      <c r="G3435" s="5"/>
      <c r="H3435" s="5"/>
      <c r="I3435" s="5"/>
    </row>
    <row r="3436" spans="1:9" ht="12.5">
      <c r="A3436" s="5"/>
      <c r="B3436" s="5"/>
      <c r="C3436" s="5"/>
      <c r="E3436" s="5"/>
      <c r="G3436" s="5"/>
      <c r="H3436" s="5"/>
      <c r="I3436" s="5"/>
    </row>
    <row r="3437" spans="1:9" ht="12.5">
      <c r="A3437" s="5"/>
      <c r="B3437" s="5"/>
      <c r="C3437" s="5"/>
      <c r="E3437" s="5"/>
      <c r="G3437" s="5"/>
      <c r="H3437" s="5"/>
      <c r="I3437" s="5"/>
    </row>
    <row r="3438" spans="1:9" ht="12.5">
      <c r="A3438" s="5"/>
      <c r="B3438" s="5"/>
      <c r="C3438" s="5"/>
      <c r="E3438" s="5"/>
      <c r="G3438" s="5"/>
      <c r="H3438" s="5"/>
      <c r="I3438" s="5"/>
    </row>
    <row r="3439" spans="1:9" ht="12.5">
      <c r="A3439" s="5"/>
      <c r="B3439" s="5"/>
      <c r="C3439" s="5"/>
      <c r="E3439" s="5"/>
      <c r="G3439" s="5"/>
      <c r="H3439" s="5"/>
      <c r="I3439" s="5"/>
    </row>
    <row r="3440" spans="1:9" ht="12.5">
      <c r="A3440" s="5"/>
      <c r="B3440" s="5"/>
      <c r="C3440" s="5"/>
      <c r="E3440" s="5"/>
      <c r="G3440" s="5"/>
      <c r="H3440" s="5"/>
      <c r="I3440" s="5"/>
    </row>
    <row r="3441" spans="1:9" ht="12.5">
      <c r="A3441" s="5"/>
      <c r="B3441" s="5"/>
      <c r="C3441" s="5"/>
      <c r="E3441" s="5"/>
      <c r="G3441" s="5"/>
      <c r="H3441" s="5"/>
      <c r="I3441" s="5"/>
    </row>
    <row r="3442" spans="1:9" ht="12.5">
      <c r="A3442" s="5"/>
      <c r="B3442" s="5"/>
      <c r="C3442" s="5"/>
      <c r="E3442" s="5"/>
      <c r="G3442" s="5"/>
      <c r="H3442" s="5"/>
      <c r="I3442" s="5"/>
    </row>
    <row r="3443" spans="1:9" ht="12.5">
      <c r="A3443" s="5"/>
      <c r="B3443" s="5"/>
      <c r="C3443" s="5"/>
      <c r="E3443" s="5"/>
      <c r="G3443" s="5"/>
      <c r="H3443" s="5"/>
      <c r="I3443" s="5"/>
    </row>
    <row r="3444" spans="1:9" ht="12.5">
      <c r="A3444" s="5"/>
      <c r="B3444" s="5"/>
      <c r="C3444" s="5"/>
      <c r="E3444" s="5"/>
      <c r="G3444" s="5"/>
      <c r="H3444" s="5"/>
      <c r="I3444" s="5"/>
    </row>
    <row r="3445" spans="1:9" ht="12.5">
      <c r="A3445" s="5"/>
      <c r="B3445" s="5"/>
      <c r="C3445" s="5"/>
      <c r="E3445" s="5"/>
      <c r="G3445" s="5"/>
      <c r="H3445" s="5"/>
      <c r="I3445" s="5"/>
    </row>
    <row r="3446" spans="1:9" ht="12.5">
      <c r="A3446" s="5"/>
      <c r="B3446" s="5"/>
      <c r="C3446" s="5"/>
      <c r="E3446" s="5"/>
      <c r="G3446" s="5"/>
      <c r="H3446" s="5"/>
      <c r="I3446" s="5"/>
    </row>
    <row r="3447" spans="1:9" ht="12.5">
      <c r="A3447" s="5"/>
      <c r="B3447" s="5"/>
      <c r="C3447" s="5"/>
      <c r="E3447" s="5"/>
      <c r="G3447" s="5"/>
      <c r="H3447" s="5"/>
      <c r="I3447" s="5"/>
    </row>
    <row r="3448" spans="1:9" ht="12.5">
      <c r="A3448" s="5"/>
      <c r="B3448" s="5"/>
      <c r="C3448" s="5"/>
      <c r="E3448" s="5"/>
      <c r="G3448" s="5"/>
      <c r="H3448" s="5"/>
      <c r="I3448" s="5"/>
    </row>
    <row r="3449" spans="1:9" ht="12.5">
      <c r="A3449" s="5"/>
      <c r="B3449" s="5"/>
      <c r="C3449" s="5"/>
      <c r="E3449" s="5"/>
      <c r="G3449" s="5"/>
      <c r="H3449" s="5"/>
      <c r="I3449" s="5"/>
    </row>
    <row r="3450" spans="1:9" ht="12.5">
      <c r="A3450" s="5"/>
      <c r="B3450" s="5"/>
      <c r="C3450" s="5"/>
      <c r="E3450" s="5"/>
      <c r="G3450" s="5"/>
      <c r="H3450" s="5"/>
      <c r="I3450" s="5"/>
    </row>
    <row r="3451" spans="1:9" ht="12.5">
      <c r="A3451" s="5"/>
      <c r="B3451" s="5"/>
      <c r="C3451" s="5"/>
      <c r="E3451" s="5"/>
      <c r="G3451" s="5"/>
      <c r="H3451" s="5"/>
      <c r="I3451" s="5"/>
    </row>
    <row r="3452" spans="1:9" ht="12.5">
      <c r="A3452" s="5"/>
      <c r="B3452" s="5"/>
      <c r="C3452" s="5"/>
      <c r="E3452" s="5"/>
      <c r="G3452" s="5"/>
      <c r="H3452" s="5"/>
      <c r="I3452" s="5"/>
    </row>
    <row r="3453" spans="1:9" ht="12.5">
      <c r="A3453" s="5"/>
      <c r="B3453" s="5"/>
      <c r="C3453" s="5"/>
      <c r="E3453" s="5"/>
      <c r="G3453" s="5"/>
      <c r="H3453" s="5"/>
      <c r="I3453" s="5"/>
    </row>
    <row r="3454" spans="1:9" ht="12.5">
      <c r="A3454" s="5"/>
      <c r="B3454" s="5"/>
      <c r="C3454" s="5"/>
      <c r="E3454" s="5"/>
      <c r="G3454" s="5"/>
      <c r="H3454" s="5"/>
      <c r="I3454" s="5"/>
    </row>
    <row r="3455" spans="1:9" ht="12.5">
      <c r="A3455" s="5"/>
      <c r="B3455" s="5"/>
      <c r="C3455" s="5"/>
      <c r="E3455" s="5"/>
      <c r="G3455" s="5"/>
      <c r="H3455" s="5"/>
      <c r="I3455" s="5"/>
    </row>
    <row r="3456" spans="1:9" ht="12.5">
      <c r="A3456" s="5"/>
      <c r="B3456" s="5"/>
      <c r="C3456" s="5"/>
      <c r="E3456" s="5"/>
      <c r="G3456" s="5"/>
      <c r="H3456" s="5"/>
      <c r="I3456" s="5"/>
    </row>
    <row r="3457" spans="1:9" ht="12.5">
      <c r="A3457" s="5"/>
      <c r="B3457" s="5"/>
      <c r="C3457" s="5"/>
      <c r="E3457" s="5"/>
      <c r="G3457" s="5"/>
      <c r="H3457" s="5"/>
      <c r="I3457" s="5"/>
    </row>
    <row r="3458" spans="1:9" ht="12.5">
      <c r="A3458" s="5"/>
      <c r="B3458" s="5"/>
      <c r="C3458" s="5"/>
      <c r="E3458" s="5"/>
      <c r="G3458" s="5"/>
      <c r="H3458" s="5"/>
      <c r="I3458" s="5"/>
    </row>
    <row r="3459" spans="1:9" ht="12.5">
      <c r="A3459" s="5"/>
      <c r="B3459" s="5"/>
      <c r="C3459" s="5"/>
      <c r="E3459" s="5"/>
      <c r="G3459" s="5"/>
      <c r="H3459" s="5"/>
      <c r="I3459" s="5"/>
    </row>
    <row r="3460" spans="1:9" ht="12.5">
      <c r="A3460" s="5"/>
      <c r="B3460" s="5"/>
      <c r="C3460" s="5"/>
      <c r="E3460" s="5"/>
      <c r="G3460" s="5"/>
      <c r="H3460" s="5"/>
      <c r="I3460" s="5"/>
    </row>
    <row r="3461" spans="1:9" ht="12.5">
      <c r="A3461" s="5"/>
      <c r="B3461" s="5"/>
      <c r="C3461" s="5"/>
      <c r="E3461" s="5"/>
      <c r="G3461" s="5"/>
      <c r="H3461" s="5"/>
      <c r="I3461" s="5"/>
    </row>
    <row r="3462" spans="1:9" ht="12.5">
      <c r="A3462" s="5"/>
      <c r="B3462" s="5"/>
      <c r="C3462" s="5"/>
      <c r="E3462" s="5"/>
      <c r="G3462" s="5"/>
      <c r="H3462" s="5"/>
      <c r="I3462" s="5"/>
    </row>
    <row r="3463" spans="1:9" ht="12.5">
      <c r="A3463" s="5"/>
      <c r="B3463" s="5"/>
      <c r="C3463" s="5"/>
      <c r="E3463" s="5"/>
      <c r="G3463" s="5"/>
      <c r="H3463" s="5"/>
      <c r="I3463" s="5"/>
    </row>
    <row r="3464" spans="1:9" ht="12.5">
      <c r="A3464" s="5"/>
      <c r="B3464" s="5"/>
      <c r="C3464" s="5"/>
      <c r="E3464" s="5"/>
      <c r="G3464" s="5"/>
      <c r="H3464" s="5"/>
      <c r="I3464" s="5"/>
    </row>
    <row r="3465" spans="1:9" ht="12.5">
      <c r="A3465" s="5"/>
      <c r="B3465" s="5"/>
      <c r="C3465" s="5"/>
      <c r="E3465" s="5"/>
      <c r="G3465" s="5"/>
      <c r="H3465" s="5"/>
      <c r="I3465" s="5"/>
    </row>
    <row r="3466" spans="1:9" ht="12.5">
      <c r="A3466" s="5"/>
      <c r="B3466" s="5"/>
      <c r="C3466" s="5"/>
      <c r="E3466" s="5"/>
      <c r="G3466" s="5"/>
      <c r="H3466" s="5"/>
      <c r="I3466" s="5"/>
    </row>
    <row r="3467" spans="1:9" ht="12.5">
      <c r="A3467" s="5"/>
      <c r="B3467" s="5"/>
      <c r="C3467" s="5"/>
      <c r="E3467" s="5"/>
      <c r="G3467" s="5"/>
      <c r="H3467" s="5"/>
      <c r="I3467" s="5"/>
    </row>
    <row r="3468" spans="1:9" ht="12.5">
      <c r="A3468" s="5"/>
      <c r="B3468" s="5"/>
      <c r="C3468" s="5"/>
      <c r="E3468" s="5"/>
      <c r="G3468" s="5"/>
      <c r="H3468" s="5"/>
      <c r="I3468" s="5"/>
    </row>
    <row r="3469" spans="1:9" ht="12.5">
      <c r="A3469" s="5"/>
      <c r="B3469" s="5"/>
      <c r="C3469" s="5"/>
      <c r="E3469" s="5"/>
      <c r="G3469" s="5"/>
      <c r="H3469" s="5"/>
      <c r="I3469" s="5"/>
    </row>
    <row r="3470" spans="1:9" ht="12.5">
      <c r="A3470" s="5"/>
      <c r="B3470" s="5"/>
      <c r="C3470" s="5"/>
      <c r="E3470" s="5"/>
      <c r="G3470" s="5"/>
      <c r="H3470" s="5"/>
      <c r="I3470" s="5"/>
    </row>
    <row r="3471" spans="1:9" ht="12.5">
      <c r="A3471" s="5"/>
      <c r="B3471" s="5"/>
      <c r="C3471" s="5"/>
      <c r="E3471" s="5"/>
      <c r="G3471" s="5"/>
      <c r="H3471" s="5"/>
      <c r="I3471" s="5"/>
    </row>
    <row r="3472" spans="1:9" ht="12.5">
      <c r="A3472" s="5"/>
      <c r="B3472" s="5"/>
      <c r="C3472" s="5"/>
      <c r="E3472" s="5"/>
      <c r="G3472" s="5"/>
      <c r="H3472" s="5"/>
      <c r="I3472" s="5"/>
    </row>
    <row r="3473" spans="1:9" ht="12.5">
      <c r="A3473" s="5"/>
      <c r="B3473" s="5"/>
      <c r="C3473" s="5"/>
      <c r="E3473" s="5"/>
      <c r="G3473" s="5"/>
      <c r="H3473" s="5"/>
      <c r="I3473" s="5"/>
    </row>
    <row r="3474" spans="1:9" ht="12.5">
      <c r="A3474" s="5"/>
      <c r="B3474" s="5"/>
      <c r="C3474" s="5"/>
      <c r="E3474" s="5"/>
      <c r="G3474" s="5"/>
      <c r="H3474" s="5"/>
      <c r="I3474" s="5"/>
    </row>
    <row r="3475" spans="1:9" ht="12.5">
      <c r="A3475" s="5"/>
      <c r="B3475" s="5"/>
      <c r="C3475" s="5"/>
      <c r="E3475" s="5"/>
      <c r="G3475" s="5"/>
      <c r="H3475" s="5"/>
      <c r="I3475" s="5"/>
    </row>
    <row r="3476" spans="1:9" ht="12.5">
      <c r="A3476" s="5"/>
      <c r="B3476" s="5"/>
      <c r="C3476" s="5"/>
      <c r="E3476" s="5"/>
      <c r="G3476" s="5"/>
      <c r="H3476" s="5"/>
      <c r="I3476" s="5"/>
    </row>
    <row r="3477" spans="1:9" ht="12.5">
      <c r="A3477" s="5"/>
      <c r="B3477" s="5"/>
      <c r="C3477" s="5"/>
      <c r="E3477" s="5"/>
      <c r="G3477" s="5"/>
      <c r="H3477" s="5"/>
      <c r="I3477" s="5"/>
    </row>
    <row r="3478" spans="1:9" ht="12.5">
      <c r="A3478" s="5"/>
      <c r="B3478" s="5"/>
      <c r="C3478" s="5"/>
      <c r="E3478" s="5"/>
      <c r="G3478" s="5"/>
      <c r="H3478" s="5"/>
      <c r="I3478" s="5"/>
    </row>
    <row r="3479" spans="1:9" ht="12.5">
      <c r="A3479" s="5"/>
      <c r="B3479" s="5"/>
      <c r="C3479" s="5"/>
      <c r="E3479" s="5"/>
      <c r="G3479" s="5"/>
      <c r="H3479" s="5"/>
      <c r="I3479" s="5"/>
    </row>
    <row r="3480" spans="1:9" ht="12.5">
      <c r="A3480" s="5"/>
      <c r="B3480" s="5"/>
      <c r="C3480" s="5"/>
      <c r="E3480" s="5"/>
      <c r="G3480" s="5"/>
      <c r="H3480" s="5"/>
      <c r="I3480" s="5"/>
    </row>
    <row r="3481" spans="1:9" ht="12.5">
      <c r="A3481" s="5"/>
      <c r="B3481" s="5"/>
      <c r="C3481" s="5"/>
      <c r="E3481" s="5"/>
      <c r="G3481" s="5"/>
      <c r="H3481" s="5"/>
      <c r="I3481" s="5"/>
    </row>
    <row r="3482" spans="1:9" ht="12.5">
      <c r="A3482" s="5"/>
      <c r="B3482" s="5"/>
      <c r="C3482" s="5"/>
      <c r="E3482" s="5"/>
      <c r="G3482" s="5"/>
      <c r="H3482" s="5"/>
      <c r="I3482" s="5"/>
    </row>
    <row r="3483" spans="1:9" ht="12.5">
      <c r="A3483" s="5"/>
      <c r="B3483" s="5"/>
      <c r="C3483" s="5"/>
      <c r="E3483" s="5"/>
      <c r="G3483" s="5"/>
      <c r="H3483" s="5"/>
      <c r="I3483" s="5"/>
    </row>
    <row r="3484" spans="1:9" ht="12.5">
      <c r="A3484" s="5"/>
      <c r="B3484" s="5"/>
      <c r="C3484" s="5"/>
      <c r="E3484" s="5"/>
      <c r="G3484" s="5"/>
      <c r="H3484" s="5"/>
      <c r="I3484" s="5"/>
    </row>
    <row r="3485" spans="1:9" ht="12.5">
      <c r="A3485" s="5"/>
      <c r="B3485" s="5"/>
      <c r="C3485" s="5"/>
      <c r="E3485" s="5"/>
      <c r="G3485" s="5"/>
      <c r="H3485" s="5"/>
      <c r="I3485" s="5"/>
    </row>
    <row r="3486" spans="1:9" ht="12.5">
      <c r="A3486" s="5"/>
      <c r="B3486" s="5"/>
      <c r="C3486" s="5"/>
      <c r="E3486" s="5"/>
      <c r="G3486" s="5"/>
      <c r="H3486" s="5"/>
      <c r="I3486" s="5"/>
    </row>
    <row r="3487" spans="1:9" ht="12.5">
      <c r="A3487" s="5"/>
      <c r="B3487" s="5"/>
      <c r="C3487" s="5"/>
      <c r="E3487" s="5"/>
      <c r="G3487" s="5"/>
      <c r="H3487" s="5"/>
      <c r="I3487" s="5"/>
    </row>
    <row r="3488" spans="1:9" ht="12.5">
      <c r="A3488" s="5"/>
      <c r="B3488" s="5"/>
      <c r="C3488" s="5"/>
      <c r="E3488" s="5"/>
      <c r="G3488" s="5"/>
      <c r="H3488" s="5"/>
      <c r="I3488" s="5"/>
    </row>
    <row r="3489" spans="1:9" ht="12.5">
      <c r="A3489" s="5"/>
      <c r="B3489" s="5"/>
      <c r="C3489" s="5"/>
      <c r="E3489" s="5"/>
      <c r="G3489" s="5"/>
      <c r="H3489" s="5"/>
      <c r="I3489" s="5"/>
    </row>
    <row r="3490" spans="1:9" ht="12.5">
      <c r="A3490" s="5"/>
      <c r="B3490" s="5"/>
      <c r="C3490" s="5"/>
      <c r="E3490" s="5"/>
      <c r="G3490" s="5"/>
      <c r="H3490" s="5"/>
      <c r="I3490" s="5"/>
    </row>
    <row r="3491" spans="1:9" ht="12.5">
      <c r="A3491" s="5"/>
      <c r="B3491" s="5"/>
      <c r="C3491" s="5"/>
      <c r="E3491" s="5"/>
      <c r="G3491" s="5"/>
      <c r="H3491" s="5"/>
      <c r="I3491" s="5"/>
    </row>
    <row r="3492" spans="1:9" ht="12.5">
      <c r="A3492" s="5"/>
      <c r="B3492" s="5"/>
      <c r="C3492" s="5"/>
      <c r="E3492" s="5"/>
      <c r="G3492" s="5"/>
      <c r="H3492" s="5"/>
      <c r="I3492" s="5"/>
    </row>
    <row r="3493" spans="1:9" ht="12.5">
      <c r="A3493" s="5"/>
      <c r="B3493" s="5"/>
      <c r="C3493" s="5"/>
      <c r="E3493" s="5"/>
      <c r="G3493" s="5"/>
      <c r="H3493" s="5"/>
      <c r="I3493" s="5"/>
    </row>
    <row r="3494" spans="1:9" ht="12.5">
      <c r="A3494" s="5"/>
      <c r="B3494" s="5"/>
      <c r="C3494" s="5"/>
      <c r="E3494" s="5"/>
      <c r="G3494" s="5"/>
      <c r="H3494" s="5"/>
      <c r="I3494" s="5"/>
    </row>
    <row r="3495" spans="1:9" ht="12.5">
      <c r="A3495" s="5"/>
      <c r="B3495" s="5"/>
      <c r="C3495" s="5"/>
      <c r="E3495" s="5"/>
      <c r="G3495" s="5"/>
      <c r="H3495" s="5"/>
      <c r="I3495" s="5"/>
    </row>
    <row r="3496" spans="1:9" ht="12.5">
      <c r="A3496" s="5"/>
      <c r="B3496" s="5"/>
      <c r="C3496" s="5"/>
      <c r="E3496" s="5"/>
      <c r="G3496" s="5"/>
      <c r="H3496" s="5"/>
      <c r="I3496" s="5"/>
    </row>
    <row r="3497" spans="1:9" ht="12.5">
      <c r="A3497" s="5"/>
      <c r="B3497" s="5"/>
      <c r="C3497" s="5"/>
      <c r="E3497" s="5"/>
      <c r="G3497" s="5"/>
      <c r="H3497" s="5"/>
      <c r="I3497" s="5"/>
    </row>
    <row r="3498" spans="1:9" ht="12.5">
      <c r="A3498" s="5"/>
      <c r="B3498" s="5"/>
      <c r="C3498" s="5"/>
      <c r="E3498" s="5"/>
      <c r="G3498" s="5"/>
      <c r="H3498" s="5"/>
      <c r="I3498" s="5"/>
    </row>
    <row r="3499" spans="1:9" ht="12.5">
      <c r="A3499" s="5"/>
      <c r="B3499" s="5"/>
      <c r="C3499" s="5"/>
      <c r="E3499" s="5"/>
      <c r="G3499" s="5"/>
      <c r="H3499" s="5"/>
      <c r="I3499" s="5"/>
    </row>
    <row r="3500" spans="1:9" ht="12.5">
      <c r="A3500" s="5"/>
      <c r="B3500" s="5"/>
      <c r="C3500" s="5"/>
      <c r="E3500" s="5"/>
      <c r="G3500" s="5"/>
      <c r="H3500" s="5"/>
      <c r="I3500" s="5"/>
    </row>
    <row r="3501" spans="1:9" ht="12.5">
      <c r="A3501" s="5"/>
      <c r="B3501" s="5"/>
      <c r="C3501" s="5"/>
      <c r="E3501" s="5"/>
      <c r="G3501" s="5"/>
      <c r="H3501" s="5"/>
      <c r="I3501" s="5"/>
    </row>
    <row r="3502" spans="1:9" ht="12.5">
      <c r="A3502" s="5"/>
      <c r="B3502" s="5"/>
      <c r="C3502" s="5"/>
      <c r="E3502" s="5"/>
      <c r="G3502" s="5"/>
      <c r="H3502" s="5"/>
      <c r="I3502" s="5"/>
    </row>
    <row r="3503" spans="1:9" ht="12.5">
      <c r="A3503" s="5"/>
      <c r="B3503" s="5"/>
      <c r="C3503" s="5"/>
      <c r="E3503" s="5"/>
      <c r="G3503" s="5"/>
      <c r="H3503" s="5"/>
      <c r="I3503" s="5"/>
    </row>
    <row r="3504" spans="1:9" ht="12.5">
      <c r="A3504" s="5"/>
      <c r="B3504" s="5"/>
      <c r="C3504" s="5"/>
      <c r="E3504" s="5"/>
      <c r="G3504" s="5"/>
      <c r="H3504" s="5"/>
      <c r="I3504" s="5"/>
    </row>
    <row r="3505" spans="1:9" ht="12.5">
      <c r="A3505" s="5"/>
      <c r="B3505" s="5"/>
      <c r="C3505" s="5"/>
      <c r="E3505" s="5"/>
      <c r="G3505" s="5"/>
      <c r="H3505" s="5"/>
      <c r="I3505" s="5"/>
    </row>
    <row r="3506" spans="1:9" ht="12.5">
      <c r="A3506" s="5"/>
      <c r="B3506" s="5"/>
      <c r="C3506" s="5"/>
      <c r="E3506" s="5"/>
      <c r="G3506" s="5"/>
      <c r="H3506" s="5"/>
      <c r="I3506" s="5"/>
    </row>
    <row r="3507" spans="1:9" ht="12.5">
      <c r="A3507" s="5"/>
      <c r="B3507" s="5"/>
      <c r="C3507" s="5"/>
      <c r="E3507" s="5"/>
      <c r="G3507" s="5"/>
      <c r="H3507" s="5"/>
      <c r="I3507" s="5"/>
    </row>
    <row r="3508" spans="1:9" ht="12.5">
      <c r="A3508" s="5"/>
      <c r="B3508" s="5"/>
      <c r="C3508" s="5"/>
      <c r="E3508" s="5"/>
      <c r="G3508" s="5"/>
      <c r="H3508" s="5"/>
      <c r="I3508" s="5"/>
    </row>
    <row r="3509" spans="1:9" ht="12.5">
      <c r="A3509" s="5"/>
      <c r="B3509" s="5"/>
      <c r="C3509" s="5"/>
      <c r="E3509" s="5"/>
      <c r="G3509" s="5"/>
      <c r="H3509" s="5"/>
      <c r="I3509" s="5"/>
    </row>
    <row r="3510" spans="1:9" ht="12.5">
      <c r="A3510" s="5"/>
      <c r="B3510" s="5"/>
      <c r="C3510" s="5"/>
      <c r="E3510" s="5"/>
      <c r="G3510" s="5"/>
      <c r="H3510" s="5"/>
      <c r="I3510" s="5"/>
    </row>
    <row r="3511" spans="1:9" ht="12.5">
      <c r="A3511" s="5"/>
      <c r="B3511" s="5"/>
      <c r="C3511" s="5"/>
      <c r="E3511" s="5"/>
      <c r="G3511" s="5"/>
      <c r="H3511" s="5"/>
      <c r="I3511" s="5"/>
    </row>
    <row r="3512" spans="1:9" ht="12.5">
      <c r="A3512" s="5"/>
      <c r="B3512" s="5"/>
      <c r="C3512" s="5"/>
      <c r="E3512" s="5"/>
      <c r="G3512" s="5"/>
      <c r="H3512" s="5"/>
      <c r="I3512" s="5"/>
    </row>
    <row r="3513" spans="1:9" ht="12.5">
      <c r="A3513" s="5"/>
      <c r="B3513" s="5"/>
      <c r="C3513" s="5"/>
      <c r="E3513" s="5"/>
      <c r="G3513" s="5"/>
      <c r="H3513" s="5"/>
      <c r="I3513" s="5"/>
    </row>
    <row r="3514" spans="1:9" ht="12.5">
      <c r="A3514" s="5"/>
      <c r="B3514" s="5"/>
      <c r="C3514" s="5"/>
      <c r="E3514" s="5"/>
      <c r="G3514" s="5"/>
      <c r="H3514" s="5"/>
      <c r="I3514" s="5"/>
    </row>
    <row r="3515" spans="1:9" ht="12.5">
      <c r="A3515" s="5"/>
      <c r="B3515" s="5"/>
      <c r="C3515" s="5"/>
      <c r="E3515" s="5"/>
      <c r="G3515" s="5"/>
      <c r="H3515" s="5"/>
      <c r="I3515" s="5"/>
    </row>
    <row r="3516" spans="1:9" ht="12.5">
      <c r="A3516" s="5"/>
      <c r="B3516" s="5"/>
      <c r="C3516" s="5"/>
      <c r="E3516" s="5"/>
      <c r="G3516" s="5"/>
      <c r="H3516" s="5"/>
      <c r="I3516" s="5"/>
    </row>
    <row r="3517" spans="1:9" ht="12.5">
      <c r="A3517" s="5"/>
      <c r="B3517" s="5"/>
      <c r="C3517" s="5"/>
      <c r="E3517" s="5"/>
      <c r="G3517" s="5"/>
      <c r="H3517" s="5"/>
      <c r="I3517" s="5"/>
    </row>
    <row r="3518" spans="1:9" ht="12.5">
      <c r="A3518" s="5"/>
      <c r="B3518" s="5"/>
      <c r="C3518" s="5"/>
      <c r="E3518" s="5"/>
      <c r="G3518" s="5"/>
      <c r="H3518" s="5"/>
      <c r="I3518" s="5"/>
    </row>
    <row r="3519" spans="1:9" ht="12.5">
      <c r="A3519" s="5"/>
      <c r="B3519" s="5"/>
      <c r="C3519" s="5"/>
      <c r="E3519" s="5"/>
      <c r="G3519" s="5"/>
      <c r="H3519" s="5"/>
      <c r="I3519" s="5"/>
    </row>
    <row r="3520" spans="1:9" ht="12.5">
      <c r="A3520" s="5"/>
      <c r="B3520" s="5"/>
      <c r="C3520" s="5"/>
      <c r="E3520" s="5"/>
      <c r="G3520" s="5"/>
      <c r="H3520" s="5"/>
      <c r="I3520" s="5"/>
    </row>
    <row r="3521" spans="1:9" ht="12.5">
      <c r="A3521" s="5"/>
      <c r="B3521" s="5"/>
      <c r="C3521" s="5"/>
      <c r="E3521" s="5"/>
      <c r="G3521" s="5"/>
      <c r="H3521" s="5"/>
      <c r="I3521" s="5"/>
    </row>
    <row r="3522" spans="1:9" ht="12.5">
      <c r="A3522" s="5"/>
      <c r="B3522" s="5"/>
      <c r="C3522" s="5"/>
      <c r="E3522" s="5"/>
      <c r="G3522" s="5"/>
      <c r="H3522" s="5"/>
      <c r="I3522" s="5"/>
    </row>
    <row r="3523" spans="1:9" ht="12.5">
      <c r="A3523" s="5"/>
      <c r="B3523" s="5"/>
      <c r="C3523" s="5"/>
      <c r="E3523" s="5"/>
      <c r="G3523" s="5"/>
      <c r="H3523" s="5"/>
      <c r="I3523" s="5"/>
    </row>
    <row r="3524" spans="1:9" ht="12.5">
      <c r="A3524" s="5"/>
      <c r="B3524" s="5"/>
      <c r="C3524" s="5"/>
      <c r="E3524" s="5"/>
      <c r="G3524" s="5"/>
      <c r="H3524" s="5"/>
      <c r="I3524" s="5"/>
    </row>
    <row r="3525" spans="1:9" ht="12.5">
      <c r="A3525" s="5"/>
      <c r="B3525" s="5"/>
      <c r="C3525" s="5"/>
      <c r="E3525" s="5"/>
      <c r="G3525" s="5"/>
      <c r="H3525" s="5"/>
      <c r="I3525" s="5"/>
    </row>
    <row r="3526" spans="1:9" ht="12.5">
      <c r="A3526" s="5"/>
      <c r="B3526" s="5"/>
      <c r="C3526" s="5"/>
      <c r="E3526" s="5"/>
      <c r="G3526" s="5"/>
      <c r="H3526" s="5"/>
      <c r="I3526" s="5"/>
    </row>
    <row r="3527" spans="1:9" ht="12.5">
      <c r="A3527" s="5"/>
      <c r="B3527" s="5"/>
      <c r="C3527" s="5"/>
      <c r="E3527" s="5"/>
      <c r="G3527" s="5"/>
      <c r="H3527" s="5"/>
      <c r="I3527" s="5"/>
    </row>
    <row r="3528" spans="1:9" ht="12.5">
      <c r="A3528" s="5"/>
      <c r="B3528" s="5"/>
      <c r="C3528" s="5"/>
      <c r="E3528" s="5"/>
      <c r="G3528" s="5"/>
      <c r="H3528" s="5"/>
      <c r="I3528" s="5"/>
    </row>
    <row r="3529" spans="1:9" ht="12.5">
      <c r="A3529" s="5"/>
      <c r="B3529" s="5"/>
      <c r="C3529" s="5"/>
      <c r="E3529" s="5"/>
      <c r="G3529" s="5"/>
      <c r="H3529" s="5"/>
      <c r="I3529" s="5"/>
    </row>
    <row r="3530" spans="1:9" ht="12.5">
      <c r="A3530" s="5"/>
      <c r="B3530" s="5"/>
      <c r="C3530" s="5"/>
      <c r="E3530" s="5"/>
      <c r="G3530" s="5"/>
      <c r="H3530" s="5"/>
      <c r="I3530" s="5"/>
    </row>
    <row r="3531" spans="1:9" ht="12.5">
      <c r="A3531" s="5"/>
      <c r="B3531" s="5"/>
      <c r="C3531" s="5"/>
      <c r="E3531" s="5"/>
      <c r="G3531" s="5"/>
      <c r="H3531" s="5"/>
      <c r="I3531" s="5"/>
    </row>
    <row r="3532" spans="1:9" ht="12.5">
      <c r="A3532" s="5"/>
      <c r="B3532" s="5"/>
      <c r="C3532" s="5"/>
      <c r="E3532" s="5"/>
      <c r="G3532" s="5"/>
      <c r="H3532" s="5"/>
      <c r="I3532" s="5"/>
    </row>
    <row r="3533" spans="1:9" ht="12.5">
      <c r="A3533" s="5"/>
      <c r="B3533" s="5"/>
      <c r="C3533" s="5"/>
      <c r="E3533" s="5"/>
      <c r="G3533" s="5"/>
      <c r="H3533" s="5"/>
      <c r="I3533" s="5"/>
    </row>
    <row r="3534" spans="1:9" ht="12.5">
      <c r="A3534" s="5"/>
      <c r="B3534" s="5"/>
      <c r="C3534" s="5"/>
      <c r="E3534" s="5"/>
      <c r="G3534" s="5"/>
      <c r="H3534" s="5"/>
      <c r="I3534" s="5"/>
    </row>
    <row r="3535" spans="1:9" ht="12.5">
      <c r="A3535" s="5"/>
      <c r="B3535" s="5"/>
      <c r="C3535" s="5"/>
      <c r="E3535" s="5"/>
      <c r="G3535" s="5"/>
      <c r="H3535" s="5"/>
      <c r="I3535" s="5"/>
    </row>
    <row r="3536" spans="1:9" ht="12.5">
      <c r="A3536" s="5"/>
      <c r="B3536" s="5"/>
      <c r="C3536" s="5"/>
      <c r="E3536" s="5"/>
      <c r="G3536" s="5"/>
      <c r="H3536" s="5"/>
      <c r="I3536" s="5"/>
    </row>
    <row r="3537" spans="1:9" ht="12.5">
      <c r="A3537" s="5"/>
      <c r="B3537" s="5"/>
      <c r="C3537" s="5"/>
      <c r="E3537" s="5"/>
      <c r="G3537" s="5"/>
      <c r="H3537" s="5"/>
      <c r="I3537" s="5"/>
    </row>
    <row r="3538" spans="1:9" ht="12.5">
      <c r="A3538" s="5"/>
      <c r="B3538" s="5"/>
      <c r="C3538" s="5"/>
      <c r="E3538" s="5"/>
      <c r="G3538" s="5"/>
      <c r="H3538" s="5"/>
      <c r="I3538" s="5"/>
    </row>
    <row r="3539" spans="1:9" ht="12.5">
      <c r="A3539" s="5"/>
      <c r="B3539" s="5"/>
      <c r="C3539" s="5"/>
      <c r="E3539" s="5"/>
      <c r="G3539" s="5"/>
      <c r="H3539" s="5"/>
      <c r="I3539" s="5"/>
    </row>
    <row r="3540" spans="1:9" ht="12.5">
      <c r="A3540" s="5"/>
      <c r="B3540" s="5"/>
      <c r="C3540" s="5"/>
      <c r="E3540" s="5"/>
      <c r="G3540" s="5"/>
      <c r="H3540" s="5"/>
      <c r="I3540" s="5"/>
    </row>
    <row r="3541" spans="1:9" ht="12.5">
      <c r="A3541" s="5"/>
      <c r="B3541" s="5"/>
      <c r="C3541" s="5"/>
      <c r="E3541" s="5"/>
      <c r="G3541" s="5"/>
      <c r="H3541" s="5"/>
      <c r="I3541" s="5"/>
    </row>
    <row r="3542" spans="1:9" ht="12.5">
      <c r="A3542" s="5"/>
      <c r="B3542" s="5"/>
      <c r="C3542" s="5"/>
      <c r="E3542" s="5"/>
      <c r="G3542" s="5"/>
      <c r="H3542" s="5"/>
      <c r="I3542" s="5"/>
    </row>
    <row r="3543" spans="1:9" ht="12.5">
      <c r="A3543" s="5"/>
      <c r="B3543" s="5"/>
      <c r="C3543" s="5"/>
      <c r="E3543" s="5"/>
      <c r="G3543" s="5"/>
      <c r="H3543" s="5"/>
      <c r="I3543" s="5"/>
    </row>
    <row r="3544" spans="1:9" ht="12.5">
      <c r="A3544" s="5"/>
      <c r="B3544" s="5"/>
      <c r="C3544" s="5"/>
      <c r="E3544" s="5"/>
      <c r="G3544" s="5"/>
      <c r="H3544" s="5"/>
      <c r="I3544" s="5"/>
    </row>
    <row r="3545" spans="1:9" ht="12.5">
      <c r="A3545" s="5"/>
      <c r="B3545" s="5"/>
      <c r="C3545" s="5"/>
      <c r="E3545" s="5"/>
      <c r="G3545" s="5"/>
      <c r="H3545" s="5"/>
      <c r="I3545" s="5"/>
    </row>
    <row r="3546" spans="1:9" ht="12.5">
      <c r="A3546" s="5"/>
      <c r="B3546" s="5"/>
      <c r="C3546" s="5"/>
      <c r="E3546" s="5"/>
      <c r="G3546" s="5"/>
      <c r="H3546" s="5"/>
      <c r="I3546" s="5"/>
    </row>
    <row r="3547" spans="1:9" ht="12.5">
      <c r="A3547" s="5"/>
      <c r="B3547" s="5"/>
      <c r="C3547" s="5"/>
      <c r="E3547" s="5"/>
      <c r="G3547" s="5"/>
      <c r="H3547" s="5"/>
      <c r="I3547" s="5"/>
    </row>
    <row r="3548" spans="1:9" ht="12.5">
      <c r="A3548" s="5"/>
      <c r="B3548" s="5"/>
      <c r="C3548" s="5"/>
      <c r="E3548" s="5"/>
      <c r="G3548" s="5"/>
      <c r="H3548" s="5"/>
      <c r="I3548" s="5"/>
    </row>
    <row r="3549" spans="1:9" ht="12.5">
      <c r="A3549" s="5"/>
      <c r="B3549" s="5"/>
      <c r="C3549" s="5"/>
      <c r="E3549" s="5"/>
      <c r="G3549" s="5"/>
      <c r="H3549" s="5"/>
      <c r="I3549" s="5"/>
    </row>
    <row r="3550" spans="1:9" ht="12.5">
      <c r="A3550" s="5"/>
      <c r="B3550" s="5"/>
      <c r="C3550" s="5"/>
      <c r="E3550" s="5"/>
      <c r="G3550" s="5"/>
      <c r="H3550" s="5"/>
      <c r="I3550" s="5"/>
    </row>
    <row r="3551" spans="1:9" ht="12.5">
      <c r="A3551" s="5"/>
      <c r="B3551" s="5"/>
      <c r="C3551" s="5"/>
      <c r="E3551" s="5"/>
      <c r="G3551" s="5"/>
      <c r="H3551" s="5"/>
      <c r="I3551" s="5"/>
    </row>
    <row r="3552" spans="1:9" ht="12.5">
      <c r="A3552" s="5"/>
      <c r="B3552" s="5"/>
      <c r="C3552" s="5"/>
      <c r="E3552" s="5"/>
      <c r="G3552" s="5"/>
      <c r="H3552" s="5"/>
      <c r="I3552" s="5"/>
    </row>
    <row r="3553" spans="1:9" ht="12.5">
      <c r="A3553" s="5"/>
      <c r="B3553" s="5"/>
      <c r="C3553" s="5"/>
      <c r="E3553" s="5"/>
      <c r="G3553" s="5"/>
      <c r="H3553" s="5"/>
      <c r="I3553" s="5"/>
    </row>
    <row r="3554" spans="1:9" ht="12.5">
      <c r="A3554" s="5"/>
      <c r="B3554" s="5"/>
      <c r="C3554" s="5"/>
      <c r="E3554" s="5"/>
      <c r="G3554" s="5"/>
      <c r="H3554" s="5"/>
      <c r="I3554" s="5"/>
    </row>
    <row r="3555" spans="1:9" ht="12.5">
      <c r="A3555" s="5"/>
      <c r="B3555" s="5"/>
      <c r="C3555" s="5"/>
      <c r="E3555" s="5"/>
      <c r="G3555" s="5"/>
      <c r="H3555" s="5"/>
      <c r="I3555" s="5"/>
    </row>
    <row r="3556" spans="1:9" ht="12.5">
      <c r="A3556" s="5"/>
      <c r="B3556" s="5"/>
      <c r="C3556" s="5"/>
      <c r="E3556" s="5"/>
      <c r="G3556" s="5"/>
      <c r="H3556" s="5"/>
      <c r="I3556" s="5"/>
    </row>
    <row r="3557" spans="1:9" ht="12.5">
      <c r="A3557" s="5"/>
      <c r="B3557" s="5"/>
      <c r="C3557" s="5"/>
      <c r="E3557" s="5"/>
      <c r="G3557" s="5"/>
      <c r="H3557" s="5"/>
      <c r="I3557" s="5"/>
    </row>
    <row r="3558" spans="1:9" ht="12.5">
      <c r="A3558" s="5"/>
      <c r="B3558" s="5"/>
      <c r="C3558" s="5"/>
      <c r="E3558" s="5"/>
      <c r="G3558" s="5"/>
      <c r="H3558" s="5"/>
      <c r="I3558" s="5"/>
    </row>
    <row r="3559" spans="1:9" ht="12.5">
      <c r="A3559" s="5"/>
      <c r="B3559" s="5"/>
      <c r="C3559" s="5"/>
      <c r="E3559" s="5"/>
      <c r="G3559" s="5"/>
      <c r="H3559" s="5"/>
      <c r="I3559" s="5"/>
    </row>
    <row r="3560" spans="1:9" ht="12.5">
      <c r="A3560" s="5"/>
      <c r="B3560" s="5"/>
      <c r="C3560" s="5"/>
      <c r="E3560" s="5"/>
      <c r="G3560" s="5"/>
      <c r="H3560" s="5"/>
      <c r="I3560" s="5"/>
    </row>
    <row r="3561" spans="1:9" ht="12.5">
      <c r="A3561" s="5"/>
      <c r="B3561" s="5"/>
      <c r="C3561" s="5"/>
      <c r="E3561" s="5"/>
      <c r="G3561" s="5"/>
      <c r="H3561" s="5"/>
      <c r="I3561" s="5"/>
    </row>
    <row r="3562" spans="1:9" ht="12.5">
      <c r="A3562" s="5"/>
      <c r="B3562" s="5"/>
      <c r="C3562" s="5"/>
      <c r="E3562" s="5"/>
      <c r="G3562" s="5"/>
      <c r="H3562" s="5"/>
      <c r="I3562" s="5"/>
    </row>
    <row r="3563" spans="1:9" ht="12.5">
      <c r="A3563" s="5"/>
      <c r="B3563" s="5"/>
      <c r="C3563" s="5"/>
      <c r="E3563" s="5"/>
      <c r="G3563" s="5"/>
      <c r="H3563" s="5"/>
      <c r="I3563" s="5"/>
    </row>
    <row r="3564" spans="1:9" ht="12.5">
      <c r="A3564" s="5"/>
      <c r="B3564" s="5"/>
      <c r="C3564" s="5"/>
      <c r="E3564" s="5"/>
      <c r="G3564" s="5"/>
      <c r="H3564" s="5"/>
      <c r="I3564" s="5"/>
    </row>
    <row r="3565" spans="1:9" ht="12.5">
      <c r="A3565" s="5"/>
      <c r="B3565" s="5"/>
      <c r="C3565" s="5"/>
      <c r="E3565" s="5"/>
      <c r="G3565" s="5"/>
      <c r="H3565" s="5"/>
      <c r="I3565" s="5"/>
    </row>
    <row r="3566" spans="1:9" ht="12.5">
      <c r="A3566" s="5"/>
      <c r="B3566" s="5"/>
      <c r="C3566" s="5"/>
      <c r="E3566" s="5"/>
      <c r="G3566" s="5"/>
      <c r="H3566" s="5"/>
      <c r="I3566" s="5"/>
    </row>
    <row r="3567" spans="1:9" ht="12.5">
      <c r="A3567" s="5"/>
      <c r="B3567" s="5"/>
      <c r="C3567" s="5"/>
      <c r="E3567" s="5"/>
      <c r="G3567" s="5"/>
      <c r="H3567" s="5"/>
      <c r="I3567" s="5"/>
    </row>
    <row r="3568" spans="1:9" ht="12.5">
      <c r="A3568" s="5"/>
      <c r="B3568" s="5"/>
      <c r="C3568" s="5"/>
      <c r="E3568" s="5"/>
      <c r="G3568" s="5"/>
      <c r="H3568" s="5"/>
      <c r="I3568" s="5"/>
    </row>
    <row r="3569" spans="1:9" ht="12.5">
      <c r="A3569" s="5"/>
      <c r="B3569" s="5"/>
      <c r="C3569" s="5"/>
      <c r="E3569" s="5"/>
      <c r="G3569" s="5"/>
      <c r="H3569" s="5"/>
      <c r="I3569" s="5"/>
    </row>
    <row r="3570" spans="1:9" ht="12.5">
      <c r="A3570" s="5"/>
      <c r="B3570" s="5"/>
      <c r="C3570" s="5"/>
      <c r="E3570" s="5"/>
      <c r="G3570" s="5"/>
      <c r="H3570" s="5"/>
      <c r="I3570" s="5"/>
    </row>
    <row r="3571" spans="1:9" ht="12.5">
      <c r="A3571" s="5"/>
      <c r="B3571" s="5"/>
      <c r="C3571" s="5"/>
      <c r="E3571" s="5"/>
      <c r="G3571" s="5"/>
      <c r="H3571" s="5"/>
      <c r="I3571" s="5"/>
    </row>
    <row r="3572" spans="1:9" ht="12.5">
      <c r="A3572" s="5"/>
      <c r="B3572" s="5"/>
      <c r="C3572" s="5"/>
      <c r="E3572" s="5"/>
      <c r="G3572" s="5"/>
      <c r="H3572" s="5"/>
      <c r="I3572" s="5"/>
    </row>
    <row r="3573" spans="1:9" ht="12.5">
      <c r="A3573" s="5"/>
      <c r="B3573" s="5"/>
      <c r="C3573" s="5"/>
      <c r="E3573" s="5"/>
      <c r="G3573" s="5"/>
      <c r="H3573" s="5"/>
      <c r="I3573" s="5"/>
    </row>
    <row r="3574" spans="1:9" ht="12.5">
      <c r="A3574" s="5"/>
      <c r="B3574" s="5"/>
      <c r="C3574" s="5"/>
      <c r="E3574" s="5"/>
      <c r="G3574" s="5"/>
      <c r="H3574" s="5"/>
      <c r="I3574" s="5"/>
    </row>
    <row r="3575" spans="1:9" ht="12.5">
      <c r="A3575" s="5"/>
      <c r="B3575" s="5"/>
      <c r="C3575" s="5"/>
      <c r="E3575" s="5"/>
      <c r="G3575" s="5"/>
      <c r="H3575" s="5"/>
      <c r="I3575" s="5"/>
    </row>
    <row r="3576" spans="1:9" ht="12.5">
      <c r="A3576" s="5"/>
      <c r="B3576" s="5"/>
      <c r="C3576" s="5"/>
      <c r="E3576" s="5"/>
      <c r="G3576" s="5"/>
      <c r="H3576" s="5"/>
      <c r="I3576" s="5"/>
    </row>
    <row r="3577" spans="1:9" ht="12.5">
      <c r="A3577" s="5"/>
      <c r="B3577" s="5"/>
      <c r="C3577" s="5"/>
      <c r="E3577" s="5"/>
      <c r="G3577" s="5"/>
      <c r="H3577" s="5"/>
      <c r="I3577" s="5"/>
    </row>
    <row r="3578" spans="1:9" ht="12.5">
      <c r="A3578" s="5"/>
      <c r="B3578" s="5"/>
      <c r="C3578" s="5"/>
      <c r="E3578" s="5"/>
      <c r="G3578" s="5"/>
      <c r="H3578" s="5"/>
      <c r="I3578" s="5"/>
    </row>
    <row r="3579" spans="1:9" ht="12.5">
      <c r="A3579" s="5"/>
      <c r="B3579" s="5"/>
      <c r="C3579" s="5"/>
      <c r="E3579" s="5"/>
      <c r="G3579" s="5"/>
      <c r="H3579" s="5"/>
      <c r="I3579" s="5"/>
    </row>
    <row r="3580" spans="1:9" ht="12.5">
      <c r="A3580" s="5"/>
      <c r="B3580" s="5"/>
      <c r="C3580" s="5"/>
      <c r="E3580" s="5"/>
      <c r="G3580" s="5"/>
      <c r="H3580" s="5"/>
      <c r="I3580" s="5"/>
    </row>
    <row r="3581" spans="1:9" ht="12.5">
      <c r="A3581" s="5"/>
      <c r="B3581" s="5"/>
      <c r="C3581" s="5"/>
      <c r="E3581" s="5"/>
      <c r="G3581" s="5"/>
      <c r="H3581" s="5"/>
      <c r="I3581" s="5"/>
    </row>
    <row r="3582" spans="1:9" ht="12.5">
      <c r="A3582" s="5"/>
      <c r="B3582" s="5"/>
      <c r="C3582" s="5"/>
      <c r="E3582" s="5"/>
      <c r="G3582" s="5"/>
      <c r="H3582" s="5"/>
      <c r="I3582" s="5"/>
    </row>
    <row r="3583" spans="1:9" ht="12.5">
      <c r="A3583" s="5"/>
      <c r="B3583" s="5"/>
      <c r="C3583" s="5"/>
      <c r="E3583" s="5"/>
      <c r="G3583" s="5"/>
      <c r="H3583" s="5"/>
      <c r="I3583" s="5"/>
    </row>
    <row r="3584" spans="1:9" ht="12.5">
      <c r="A3584" s="5"/>
      <c r="B3584" s="5"/>
      <c r="C3584" s="5"/>
      <c r="E3584" s="5"/>
      <c r="G3584" s="5"/>
      <c r="H3584" s="5"/>
      <c r="I3584" s="5"/>
    </row>
    <row r="3585" spans="1:9" ht="12.5">
      <c r="A3585" s="5"/>
      <c r="B3585" s="5"/>
      <c r="C3585" s="5"/>
      <c r="E3585" s="5"/>
      <c r="G3585" s="5"/>
      <c r="H3585" s="5"/>
      <c r="I3585" s="5"/>
    </row>
    <row r="3586" spans="1:9" ht="12.5">
      <c r="A3586" s="5"/>
      <c r="B3586" s="5"/>
      <c r="C3586" s="5"/>
      <c r="E3586" s="5"/>
      <c r="G3586" s="5"/>
      <c r="H3586" s="5"/>
      <c r="I3586" s="5"/>
    </row>
    <row r="3587" spans="1:9" ht="12.5">
      <c r="A3587" s="5"/>
      <c r="B3587" s="5"/>
      <c r="C3587" s="5"/>
      <c r="E3587" s="5"/>
      <c r="G3587" s="5"/>
      <c r="H3587" s="5"/>
      <c r="I3587" s="5"/>
    </row>
    <row r="3588" spans="1:9" ht="12.5">
      <c r="A3588" s="5"/>
      <c r="B3588" s="5"/>
      <c r="C3588" s="5"/>
      <c r="E3588" s="5"/>
      <c r="G3588" s="5"/>
      <c r="H3588" s="5"/>
      <c r="I3588" s="5"/>
    </row>
    <row r="3589" spans="1:9" ht="12.5">
      <c r="A3589" s="5"/>
      <c r="B3589" s="5"/>
      <c r="C3589" s="5"/>
      <c r="E3589" s="5"/>
      <c r="G3589" s="5"/>
      <c r="H3589" s="5"/>
      <c r="I3589" s="5"/>
    </row>
    <row r="3590" spans="1:9" ht="12.5">
      <c r="A3590" s="5"/>
      <c r="B3590" s="5"/>
      <c r="C3590" s="5"/>
      <c r="E3590" s="5"/>
      <c r="G3590" s="5"/>
      <c r="H3590" s="5"/>
      <c r="I3590" s="5"/>
    </row>
    <row r="3591" spans="1:9" ht="12.5">
      <c r="A3591" s="5"/>
      <c r="B3591" s="5"/>
      <c r="C3591" s="5"/>
      <c r="E3591" s="5"/>
      <c r="G3591" s="5"/>
      <c r="H3591" s="5"/>
      <c r="I3591" s="5"/>
    </row>
    <row r="3592" spans="1:9" ht="12.5">
      <c r="A3592" s="5"/>
      <c r="B3592" s="5"/>
      <c r="C3592" s="5"/>
      <c r="E3592" s="5"/>
      <c r="G3592" s="5"/>
      <c r="H3592" s="5"/>
      <c r="I3592" s="5"/>
    </row>
    <row r="3593" spans="1:9" ht="12.5">
      <c r="A3593" s="5"/>
      <c r="B3593" s="5"/>
      <c r="C3593" s="5"/>
      <c r="E3593" s="5"/>
      <c r="G3593" s="5"/>
      <c r="H3593" s="5"/>
      <c r="I3593" s="5"/>
    </row>
    <row r="3594" spans="1:9" ht="12.5">
      <c r="A3594" s="5"/>
      <c r="B3594" s="5"/>
      <c r="C3594" s="5"/>
      <c r="E3594" s="5"/>
      <c r="G3594" s="5"/>
      <c r="H3594" s="5"/>
      <c r="I3594" s="5"/>
    </row>
    <row r="3595" spans="1:9" ht="12.5">
      <c r="A3595" s="5"/>
      <c r="B3595" s="5"/>
      <c r="C3595" s="5"/>
      <c r="E3595" s="5"/>
      <c r="G3595" s="5"/>
      <c r="H3595" s="5"/>
      <c r="I3595" s="5"/>
    </row>
    <row r="3596" spans="1:9" ht="12.5">
      <c r="A3596" s="5"/>
      <c r="B3596" s="5"/>
      <c r="C3596" s="5"/>
      <c r="E3596" s="5"/>
      <c r="G3596" s="5"/>
      <c r="H3596" s="5"/>
      <c r="I3596" s="5"/>
    </row>
    <row r="3597" spans="1:9" ht="12.5">
      <c r="A3597" s="5"/>
      <c r="B3597" s="5"/>
      <c r="C3597" s="5"/>
      <c r="E3597" s="5"/>
      <c r="G3597" s="5"/>
      <c r="H3597" s="5"/>
      <c r="I3597" s="5"/>
    </row>
    <row r="3598" spans="1:9" ht="12.5">
      <c r="A3598" s="5"/>
      <c r="B3598" s="5"/>
      <c r="C3598" s="5"/>
      <c r="E3598" s="5"/>
      <c r="G3598" s="5"/>
      <c r="H3598" s="5"/>
      <c r="I3598" s="5"/>
    </row>
    <row r="3599" spans="1:9" ht="12.5">
      <c r="A3599" s="5"/>
      <c r="B3599" s="5"/>
      <c r="C3599" s="5"/>
      <c r="E3599" s="5"/>
      <c r="G3599" s="5"/>
      <c r="H3599" s="5"/>
      <c r="I3599" s="5"/>
    </row>
    <row r="3600" spans="1:9" ht="12.5">
      <c r="A3600" s="5"/>
      <c r="B3600" s="5"/>
      <c r="C3600" s="5"/>
      <c r="E3600" s="5"/>
      <c r="G3600" s="5"/>
      <c r="H3600" s="5"/>
      <c r="I3600" s="5"/>
    </row>
    <row r="3601" spans="1:9" ht="12.5">
      <c r="A3601" s="5"/>
      <c r="B3601" s="5"/>
      <c r="C3601" s="5"/>
      <c r="E3601" s="5"/>
      <c r="G3601" s="5"/>
      <c r="H3601" s="5"/>
      <c r="I3601" s="5"/>
    </row>
    <row r="3602" spans="1:9" ht="12.5">
      <c r="A3602" s="5"/>
      <c r="B3602" s="5"/>
      <c r="C3602" s="5"/>
      <c r="E3602" s="5"/>
      <c r="G3602" s="5"/>
      <c r="H3602" s="5"/>
      <c r="I3602" s="5"/>
    </row>
    <row r="3603" spans="1:9" ht="12.5">
      <c r="A3603" s="5"/>
      <c r="B3603" s="5"/>
      <c r="C3603" s="5"/>
      <c r="E3603" s="5"/>
      <c r="G3603" s="5"/>
      <c r="H3603" s="5"/>
      <c r="I3603" s="5"/>
    </row>
    <row r="3604" spans="1:9" ht="12.5">
      <c r="A3604" s="5"/>
      <c r="B3604" s="5"/>
      <c r="C3604" s="5"/>
      <c r="E3604" s="5"/>
      <c r="G3604" s="5"/>
      <c r="H3604" s="5"/>
      <c r="I3604" s="5"/>
    </row>
    <row r="3605" spans="1:9" ht="12.5">
      <c r="A3605" s="5"/>
      <c r="B3605" s="5"/>
      <c r="C3605" s="5"/>
      <c r="E3605" s="5"/>
      <c r="G3605" s="5"/>
      <c r="H3605" s="5"/>
      <c r="I3605" s="5"/>
    </row>
    <row r="3606" spans="1:9" ht="12.5">
      <c r="A3606" s="5"/>
      <c r="B3606" s="5"/>
      <c r="C3606" s="5"/>
      <c r="E3606" s="5"/>
      <c r="G3606" s="5"/>
      <c r="H3606" s="5"/>
      <c r="I3606" s="5"/>
    </row>
    <row r="3607" spans="1:9" ht="12.5">
      <c r="A3607" s="5"/>
      <c r="B3607" s="5"/>
      <c r="C3607" s="5"/>
      <c r="E3607" s="5"/>
      <c r="G3607" s="5"/>
      <c r="H3607" s="5"/>
      <c r="I3607" s="5"/>
    </row>
    <row r="3608" spans="1:9" ht="12.5">
      <c r="A3608" s="5"/>
      <c r="B3608" s="5"/>
      <c r="C3608" s="5"/>
      <c r="E3608" s="5"/>
      <c r="G3608" s="5"/>
      <c r="H3608" s="5"/>
      <c r="I3608" s="5"/>
    </row>
    <row r="3609" spans="1:9" ht="12.5">
      <c r="A3609" s="5"/>
      <c r="B3609" s="5"/>
      <c r="C3609" s="5"/>
      <c r="E3609" s="5"/>
      <c r="G3609" s="5"/>
      <c r="H3609" s="5"/>
      <c r="I3609" s="5"/>
    </row>
    <row r="3610" spans="1:9" ht="12.5">
      <c r="A3610" s="5"/>
      <c r="B3610" s="5"/>
      <c r="C3610" s="5"/>
      <c r="E3610" s="5"/>
      <c r="G3610" s="5"/>
      <c r="H3610" s="5"/>
      <c r="I3610" s="5"/>
    </row>
    <row r="3611" spans="1:9" ht="12.5">
      <c r="A3611" s="5"/>
      <c r="B3611" s="5"/>
      <c r="C3611" s="5"/>
      <c r="E3611" s="5"/>
      <c r="G3611" s="5"/>
      <c r="H3611" s="5"/>
      <c r="I3611" s="5"/>
    </row>
    <row r="3612" spans="1:9" ht="12.5">
      <c r="A3612" s="5"/>
      <c r="B3612" s="5"/>
      <c r="C3612" s="5"/>
      <c r="E3612" s="5"/>
      <c r="G3612" s="5"/>
      <c r="H3612" s="5"/>
      <c r="I3612" s="5"/>
    </row>
    <row r="3613" spans="1:9" ht="12.5">
      <c r="A3613" s="5"/>
      <c r="B3613" s="5"/>
      <c r="C3613" s="5"/>
      <c r="E3613" s="5"/>
      <c r="G3613" s="5"/>
      <c r="H3613" s="5"/>
      <c r="I3613" s="5"/>
    </row>
    <row r="3614" spans="1:9" ht="12.5">
      <c r="A3614" s="5"/>
      <c r="B3614" s="5"/>
      <c r="C3614" s="5"/>
      <c r="E3614" s="5"/>
      <c r="G3614" s="5"/>
      <c r="H3614" s="5"/>
      <c r="I3614" s="5"/>
    </row>
    <row r="3615" spans="1:9" ht="12.5">
      <c r="A3615" s="5"/>
      <c r="B3615" s="5"/>
      <c r="C3615" s="5"/>
      <c r="E3615" s="5"/>
      <c r="G3615" s="5"/>
      <c r="H3615" s="5"/>
      <c r="I3615" s="5"/>
    </row>
    <row r="3616" spans="1:9" ht="12.5">
      <c r="A3616" s="5"/>
      <c r="B3616" s="5"/>
      <c r="C3616" s="5"/>
      <c r="E3616" s="5"/>
      <c r="G3616" s="5"/>
      <c r="H3616" s="5"/>
      <c r="I3616" s="5"/>
    </row>
    <row r="3617" spans="1:9" ht="12.5">
      <c r="A3617" s="5"/>
      <c r="B3617" s="5"/>
      <c r="C3617" s="5"/>
      <c r="E3617" s="5"/>
      <c r="G3617" s="5"/>
      <c r="H3617" s="5"/>
      <c r="I3617" s="5"/>
    </row>
    <row r="3618" spans="1:9" ht="12.5">
      <c r="A3618" s="5"/>
      <c r="B3618" s="5"/>
      <c r="C3618" s="5"/>
      <c r="E3618" s="5"/>
      <c r="G3618" s="5"/>
      <c r="H3618" s="5"/>
      <c r="I3618" s="5"/>
    </row>
    <row r="3619" spans="1:9" ht="12.5">
      <c r="A3619" s="5"/>
      <c r="B3619" s="5"/>
      <c r="C3619" s="5"/>
      <c r="E3619" s="5"/>
      <c r="G3619" s="5"/>
      <c r="H3619" s="5"/>
      <c r="I3619" s="5"/>
    </row>
    <row r="3620" spans="1:9" ht="12.5">
      <c r="A3620" s="5"/>
      <c r="B3620" s="5"/>
      <c r="C3620" s="5"/>
      <c r="E3620" s="5"/>
      <c r="G3620" s="5"/>
      <c r="H3620" s="5"/>
      <c r="I3620" s="5"/>
    </row>
    <row r="3621" spans="1:9" ht="12.5">
      <c r="A3621" s="5"/>
      <c r="B3621" s="5"/>
      <c r="C3621" s="5"/>
      <c r="E3621" s="5"/>
      <c r="G3621" s="5"/>
      <c r="H3621" s="5"/>
      <c r="I3621" s="5"/>
    </row>
    <row r="3622" spans="1:9" ht="12.5">
      <c r="A3622" s="5"/>
      <c r="B3622" s="5"/>
      <c r="C3622" s="5"/>
      <c r="E3622" s="5"/>
      <c r="G3622" s="5"/>
      <c r="H3622" s="5"/>
      <c r="I3622" s="5"/>
    </row>
    <row r="3623" spans="1:9" ht="12.5">
      <c r="A3623" s="5"/>
      <c r="B3623" s="5"/>
      <c r="C3623" s="5"/>
      <c r="E3623" s="5"/>
      <c r="G3623" s="5"/>
      <c r="H3623" s="5"/>
      <c r="I3623" s="5"/>
    </row>
    <row r="3624" spans="1:9" ht="12.5">
      <c r="A3624" s="5"/>
      <c r="B3624" s="5"/>
      <c r="C3624" s="5"/>
      <c r="E3624" s="5"/>
      <c r="G3624" s="5"/>
      <c r="H3624" s="5"/>
      <c r="I3624" s="5"/>
    </row>
    <row r="3625" spans="1:9" ht="12.5">
      <c r="A3625" s="5"/>
      <c r="B3625" s="5"/>
      <c r="C3625" s="5"/>
      <c r="E3625" s="5"/>
      <c r="G3625" s="5"/>
      <c r="H3625" s="5"/>
      <c r="I3625" s="5"/>
    </row>
    <row r="3626" spans="1:9" ht="12.5">
      <c r="A3626" s="5"/>
      <c r="B3626" s="5"/>
      <c r="C3626" s="5"/>
      <c r="E3626" s="5"/>
      <c r="G3626" s="5"/>
      <c r="H3626" s="5"/>
      <c r="I3626" s="5"/>
    </row>
    <row r="3627" spans="1:9" ht="12.5">
      <c r="A3627" s="5"/>
      <c r="B3627" s="5"/>
      <c r="C3627" s="5"/>
      <c r="E3627" s="5"/>
      <c r="G3627" s="5"/>
      <c r="H3627" s="5"/>
      <c r="I3627" s="5"/>
    </row>
    <row r="3628" spans="1:9" ht="12.5">
      <c r="A3628" s="5"/>
      <c r="B3628" s="5"/>
      <c r="C3628" s="5"/>
      <c r="E3628" s="5"/>
      <c r="G3628" s="5"/>
      <c r="H3628" s="5"/>
      <c r="I3628" s="5"/>
    </row>
    <row r="3629" spans="1:9" ht="12.5">
      <c r="A3629" s="5"/>
      <c r="B3629" s="5"/>
      <c r="C3629" s="5"/>
      <c r="E3629" s="5"/>
      <c r="G3629" s="5"/>
      <c r="H3629" s="5"/>
      <c r="I3629" s="5"/>
    </row>
    <row r="3630" spans="1:9" ht="12.5">
      <c r="A3630" s="5"/>
      <c r="B3630" s="5"/>
      <c r="C3630" s="5"/>
      <c r="E3630" s="5"/>
      <c r="G3630" s="5"/>
      <c r="H3630" s="5"/>
      <c r="I3630" s="5"/>
    </row>
    <row r="3631" spans="1:9" ht="12.5">
      <c r="A3631" s="5"/>
      <c r="B3631" s="5"/>
      <c r="C3631" s="5"/>
      <c r="E3631" s="5"/>
      <c r="G3631" s="5"/>
      <c r="H3631" s="5"/>
      <c r="I3631" s="5"/>
    </row>
    <row r="3632" spans="1:9" ht="12.5">
      <c r="A3632" s="5"/>
      <c r="B3632" s="5"/>
      <c r="C3632" s="5"/>
      <c r="E3632" s="5"/>
      <c r="G3632" s="5"/>
      <c r="H3632" s="5"/>
      <c r="I3632" s="5"/>
    </row>
    <row r="3633" spans="1:9" ht="12.5">
      <c r="A3633" s="5"/>
      <c r="B3633" s="5"/>
      <c r="C3633" s="5"/>
      <c r="E3633" s="5"/>
      <c r="G3633" s="5"/>
      <c r="H3633" s="5"/>
      <c r="I3633" s="5"/>
    </row>
    <row r="3634" spans="1:9" ht="12.5">
      <c r="A3634" s="5"/>
      <c r="B3634" s="5"/>
      <c r="C3634" s="5"/>
      <c r="E3634" s="5"/>
      <c r="G3634" s="5"/>
      <c r="H3634" s="5"/>
      <c r="I3634" s="5"/>
    </row>
    <row r="3635" spans="1:9" ht="12.5">
      <c r="A3635" s="5"/>
      <c r="B3635" s="5"/>
      <c r="C3635" s="5"/>
      <c r="E3635" s="5"/>
      <c r="G3635" s="5"/>
      <c r="H3635" s="5"/>
      <c r="I3635" s="5"/>
    </row>
    <row r="3636" spans="1:9" ht="12.5">
      <c r="A3636" s="5"/>
      <c r="B3636" s="5"/>
      <c r="C3636" s="5"/>
      <c r="E3636" s="5"/>
      <c r="G3636" s="5"/>
      <c r="H3636" s="5"/>
      <c r="I3636" s="5"/>
    </row>
    <row r="3637" spans="1:9" ht="12.5">
      <c r="A3637" s="5"/>
      <c r="B3637" s="5"/>
      <c r="C3637" s="5"/>
      <c r="E3637" s="5"/>
      <c r="G3637" s="5"/>
      <c r="H3637" s="5"/>
      <c r="I3637" s="5"/>
    </row>
    <row r="3638" spans="1:9" ht="12.5">
      <c r="A3638" s="5"/>
      <c r="B3638" s="5"/>
      <c r="C3638" s="5"/>
      <c r="E3638" s="5"/>
      <c r="G3638" s="5"/>
      <c r="H3638" s="5"/>
      <c r="I3638" s="5"/>
    </row>
    <row r="3639" spans="1:9" ht="12.5">
      <c r="A3639" s="5"/>
      <c r="B3639" s="5"/>
      <c r="C3639" s="5"/>
      <c r="E3639" s="5"/>
      <c r="G3639" s="5"/>
      <c r="H3639" s="5"/>
      <c r="I3639" s="5"/>
    </row>
    <row r="3640" spans="1:9" ht="12.5">
      <c r="A3640" s="5"/>
      <c r="B3640" s="5"/>
      <c r="C3640" s="5"/>
      <c r="E3640" s="5"/>
      <c r="G3640" s="5"/>
      <c r="H3640" s="5"/>
      <c r="I3640" s="5"/>
    </row>
    <row r="3641" spans="1:9" ht="12.5">
      <c r="A3641" s="5"/>
      <c r="B3641" s="5"/>
      <c r="C3641" s="5"/>
      <c r="E3641" s="5"/>
      <c r="G3641" s="5"/>
      <c r="H3641" s="5"/>
      <c r="I3641" s="5"/>
    </row>
    <row r="3642" spans="1:9" ht="12.5">
      <c r="A3642" s="5"/>
      <c r="B3642" s="5"/>
      <c r="C3642" s="5"/>
      <c r="E3642" s="5"/>
      <c r="G3642" s="5"/>
      <c r="H3642" s="5"/>
      <c r="I3642" s="5"/>
    </row>
    <row r="3643" spans="1:9" ht="12.5">
      <c r="A3643" s="5"/>
      <c r="B3643" s="5"/>
      <c r="C3643" s="5"/>
      <c r="E3643" s="5"/>
      <c r="G3643" s="5"/>
      <c r="H3643" s="5"/>
      <c r="I3643" s="5"/>
    </row>
    <row r="3644" spans="1:9" ht="12.5">
      <c r="A3644" s="5"/>
      <c r="B3644" s="5"/>
      <c r="C3644" s="5"/>
      <c r="E3644" s="5"/>
      <c r="G3644" s="5"/>
      <c r="H3644" s="5"/>
      <c r="I3644" s="5"/>
    </row>
    <row r="3645" spans="1:9" ht="12.5">
      <c r="A3645" s="5"/>
      <c r="B3645" s="5"/>
      <c r="C3645" s="5"/>
      <c r="E3645" s="5"/>
      <c r="G3645" s="5"/>
      <c r="H3645" s="5"/>
      <c r="I3645" s="5"/>
    </row>
    <row r="3646" spans="1:9" ht="12.5">
      <c r="A3646" s="5"/>
      <c r="B3646" s="5"/>
      <c r="C3646" s="5"/>
      <c r="E3646" s="5"/>
      <c r="G3646" s="5"/>
      <c r="H3646" s="5"/>
      <c r="I3646" s="5"/>
    </row>
    <row r="3647" spans="1:9" ht="12.5">
      <c r="A3647" s="5"/>
      <c r="B3647" s="5"/>
      <c r="C3647" s="5"/>
      <c r="E3647" s="5"/>
      <c r="G3647" s="5"/>
      <c r="H3647" s="5"/>
      <c r="I3647" s="5"/>
    </row>
    <row r="3648" spans="1:9" ht="12.5">
      <c r="A3648" s="5"/>
      <c r="B3648" s="5"/>
      <c r="C3648" s="5"/>
      <c r="E3648" s="5"/>
      <c r="G3648" s="5"/>
      <c r="H3648" s="5"/>
      <c r="I3648" s="5"/>
    </row>
    <row r="3649" spans="1:9" ht="12.5">
      <c r="A3649" s="5"/>
      <c r="B3649" s="5"/>
      <c r="C3649" s="5"/>
      <c r="E3649" s="5"/>
      <c r="G3649" s="5"/>
      <c r="H3649" s="5"/>
      <c r="I3649" s="5"/>
    </row>
    <row r="3650" spans="1:9" ht="12.5">
      <c r="A3650" s="5"/>
      <c r="B3650" s="5"/>
      <c r="C3650" s="5"/>
      <c r="E3650" s="5"/>
      <c r="G3650" s="5"/>
      <c r="H3650" s="5"/>
      <c r="I3650" s="5"/>
    </row>
    <row r="3651" spans="1:9" ht="12.5">
      <c r="A3651" s="5"/>
      <c r="B3651" s="5"/>
      <c r="C3651" s="5"/>
      <c r="E3651" s="5"/>
      <c r="G3651" s="5"/>
      <c r="H3651" s="5"/>
      <c r="I3651" s="5"/>
    </row>
    <row r="3652" spans="1:9" ht="12.5">
      <c r="A3652" s="5"/>
      <c r="B3652" s="5"/>
      <c r="C3652" s="5"/>
      <c r="E3652" s="5"/>
      <c r="G3652" s="5"/>
      <c r="H3652" s="5"/>
      <c r="I3652" s="5"/>
    </row>
    <row r="3653" spans="1:9" ht="12.5">
      <c r="A3653" s="5"/>
      <c r="B3653" s="5"/>
      <c r="C3653" s="5"/>
      <c r="E3653" s="5"/>
      <c r="G3653" s="5"/>
      <c r="H3653" s="5"/>
      <c r="I3653" s="5"/>
    </row>
    <row r="3654" spans="1:9" ht="12.5">
      <c r="A3654" s="5"/>
      <c r="B3654" s="5"/>
      <c r="C3654" s="5"/>
      <c r="E3654" s="5"/>
      <c r="G3654" s="5"/>
      <c r="H3654" s="5"/>
      <c r="I3654" s="5"/>
    </row>
    <row r="3655" spans="1:9" ht="12.5">
      <c r="A3655" s="5"/>
      <c r="B3655" s="5"/>
      <c r="C3655" s="5"/>
      <c r="E3655" s="5"/>
      <c r="G3655" s="5"/>
      <c r="H3655" s="5"/>
      <c r="I3655" s="5"/>
    </row>
    <row r="3656" spans="1:9" ht="12.5">
      <c r="A3656" s="5"/>
      <c r="B3656" s="5"/>
      <c r="C3656" s="5"/>
      <c r="E3656" s="5"/>
      <c r="G3656" s="5"/>
      <c r="H3656" s="5"/>
      <c r="I3656" s="5"/>
    </row>
    <row r="3657" spans="1:9" ht="12.5">
      <c r="A3657" s="5"/>
      <c r="B3657" s="5"/>
      <c r="C3657" s="5"/>
      <c r="E3657" s="5"/>
      <c r="G3657" s="5"/>
      <c r="H3657" s="5"/>
      <c r="I3657" s="5"/>
    </row>
    <row r="3658" spans="1:9" ht="12.5">
      <c r="A3658" s="5"/>
      <c r="B3658" s="5"/>
      <c r="C3658" s="5"/>
      <c r="E3658" s="5"/>
      <c r="G3658" s="5"/>
      <c r="H3658" s="5"/>
      <c r="I3658" s="5"/>
    </row>
    <row r="3659" spans="1:9" ht="12.5">
      <c r="A3659" s="5"/>
      <c r="B3659" s="5"/>
      <c r="C3659" s="5"/>
      <c r="E3659" s="5"/>
      <c r="G3659" s="5"/>
      <c r="H3659" s="5"/>
      <c r="I3659" s="5"/>
    </row>
    <row r="3660" spans="1:9" ht="12.5">
      <c r="A3660" s="5"/>
      <c r="B3660" s="5"/>
      <c r="C3660" s="5"/>
      <c r="E3660" s="5"/>
      <c r="G3660" s="5"/>
      <c r="H3660" s="5"/>
      <c r="I3660" s="5"/>
    </row>
    <row r="3661" spans="1:9" ht="12.5">
      <c r="A3661" s="5"/>
      <c r="B3661" s="5"/>
      <c r="C3661" s="5"/>
      <c r="E3661" s="5"/>
      <c r="G3661" s="5"/>
      <c r="H3661" s="5"/>
      <c r="I3661" s="5"/>
    </row>
    <row r="3662" spans="1:9" ht="12.5">
      <c r="A3662" s="5"/>
      <c r="B3662" s="5"/>
      <c r="C3662" s="5"/>
      <c r="E3662" s="5"/>
      <c r="G3662" s="5"/>
      <c r="H3662" s="5"/>
      <c r="I3662" s="5"/>
    </row>
    <row r="3663" spans="1:9" ht="12.5">
      <c r="A3663" s="5"/>
      <c r="B3663" s="5"/>
      <c r="C3663" s="5"/>
      <c r="E3663" s="5"/>
      <c r="G3663" s="5"/>
      <c r="H3663" s="5"/>
      <c r="I3663" s="5"/>
    </row>
    <row r="3664" spans="1:9" ht="12.5">
      <c r="A3664" s="5"/>
      <c r="B3664" s="5"/>
      <c r="C3664" s="5"/>
      <c r="E3664" s="5"/>
      <c r="G3664" s="5"/>
      <c r="H3664" s="5"/>
      <c r="I3664" s="5"/>
    </row>
    <row r="3665" spans="1:9" ht="12.5">
      <c r="A3665" s="5"/>
      <c r="B3665" s="5"/>
      <c r="C3665" s="5"/>
      <c r="E3665" s="5"/>
      <c r="G3665" s="5"/>
      <c r="H3665" s="5"/>
      <c r="I3665" s="5"/>
    </row>
    <row r="3666" spans="1:9" ht="12.5">
      <c r="A3666" s="5"/>
      <c r="B3666" s="5"/>
      <c r="C3666" s="5"/>
      <c r="E3666" s="5"/>
      <c r="G3666" s="5"/>
      <c r="H3666" s="5"/>
      <c r="I3666" s="5"/>
    </row>
    <row r="3667" spans="1:9" ht="12.5">
      <c r="A3667" s="5"/>
      <c r="B3667" s="5"/>
      <c r="C3667" s="5"/>
      <c r="E3667" s="5"/>
      <c r="G3667" s="5"/>
      <c r="H3667" s="5"/>
      <c r="I3667" s="5"/>
    </row>
    <row r="3668" spans="1:9" ht="12.5">
      <c r="A3668" s="5"/>
      <c r="B3668" s="5"/>
      <c r="C3668" s="5"/>
      <c r="E3668" s="5"/>
      <c r="G3668" s="5"/>
      <c r="H3668" s="5"/>
      <c r="I3668" s="5"/>
    </row>
    <row r="3669" spans="1:9" ht="12.5">
      <c r="A3669" s="5"/>
      <c r="B3669" s="5"/>
      <c r="C3669" s="5"/>
      <c r="E3669" s="5"/>
      <c r="G3669" s="5"/>
      <c r="H3669" s="5"/>
      <c r="I3669" s="5"/>
    </row>
    <row r="3670" spans="1:9" ht="12.5">
      <c r="A3670" s="5"/>
      <c r="B3670" s="5"/>
      <c r="C3670" s="5"/>
      <c r="E3670" s="5"/>
      <c r="G3670" s="5"/>
      <c r="H3670" s="5"/>
      <c r="I3670" s="5"/>
    </row>
    <row r="3671" spans="1:9" ht="12.5">
      <c r="A3671" s="5"/>
      <c r="B3671" s="5"/>
      <c r="C3671" s="5"/>
      <c r="E3671" s="5"/>
      <c r="G3671" s="5"/>
      <c r="H3671" s="5"/>
      <c r="I3671" s="5"/>
    </row>
    <row r="3672" spans="1:9" ht="12.5">
      <c r="A3672" s="5"/>
      <c r="B3672" s="5"/>
      <c r="C3672" s="5"/>
      <c r="E3672" s="5"/>
      <c r="G3672" s="5"/>
      <c r="H3672" s="5"/>
      <c r="I3672" s="5"/>
    </row>
    <row r="3673" spans="1:9" ht="12.5">
      <c r="A3673" s="5"/>
      <c r="B3673" s="5"/>
      <c r="C3673" s="5"/>
      <c r="E3673" s="5"/>
      <c r="G3673" s="5"/>
      <c r="H3673" s="5"/>
      <c r="I3673" s="5"/>
    </row>
    <row r="3674" spans="1:9" ht="12.5">
      <c r="A3674" s="5"/>
      <c r="B3674" s="5"/>
      <c r="C3674" s="5"/>
      <c r="E3674" s="5"/>
      <c r="G3674" s="5"/>
      <c r="H3674" s="5"/>
      <c r="I3674" s="5"/>
    </row>
    <row r="3675" spans="1:9" ht="12.5">
      <c r="A3675" s="5"/>
      <c r="B3675" s="5"/>
      <c r="C3675" s="5"/>
      <c r="E3675" s="5"/>
      <c r="G3675" s="5"/>
      <c r="H3675" s="5"/>
      <c r="I3675" s="5"/>
    </row>
    <row r="3676" spans="1:9" ht="12.5">
      <c r="A3676" s="5"/>
      <c r="B3676" s="5"/>
      <c r="C3676" s="5"/>
      <c r="E3676" s="5"/>
      <c r="G3676" s="5"/>
      <c r="H3676" s="5"/>
      <c r="I3676" s="5"/>
    </row>
    <row r="3677" spans="1:9" ht="12.5">
      <c r="A3677" s="5"/>
      <c r="B3677" s="5"/>
      <c r="C3677" s="5"/>
      <c r="E3677" s="5"/>
      <c r="G3677" s="5"/>
      <c r="H3677" s="5"/>
      <c r="I3677" s="5"/>
    </row>
    <row r="3678" spans="1:9" ht="12.5">
      <c r="A3678" s="5"/>
      <c r="B3678" s="5"/>
      <c r="C3678" s="5"/>
      <c r="E3678" s="5"/>
      <c r="G3678" s="5"/>
      <c r="H3678" s="5"/>
      <c r="I3678" s="5"/>
    </row>
    <row r="3679" spans="1:9" ht="12.5">
      <c r="A3679" s="5"/>
      <c r="B3679" s="5"/>
      <c r="C3679" s="5"/>
      <c r="E3679" s="5"/>
      <c r="G3679" s="5"/>
      <c r="H3679" s="5"/>
      <c r="I3679" s="5"/>
    </row>
    <row r="3680" spans="1:9" ht="12.5">
      <c r="A3680" s="5"/>
      <c r="B3680" s="5"/>
      <c r="C3680" s="5"/>
      <c r="E3680" s="5"/>
      <c r="G3680" s="5"/>
      <c r="H3680" s="5"/>
      <c r="I3680" s="5"/>
    </row>
    <row r="3681" spans="1:9" ht="12.5">
      <c r="A3681" s="5"/>
      <c r="B3681" s="5"/>
      <c r="C3681" s="5"/>
      <c r="E3681" s="5"/>
      <c r="G3681" s="5"/>
      <c r="H3681" s="5"/>
      <c r="I3681" s="5"/>
    </row>
    <row r="3682" spans="1:9" ht="12.5">
      <c r="A3682" s="5"/>
      <c r="B3682" s="5"/>
      <c r="C3682" s="5"/>
      <c r="E3682" s="5"/>
      <c r="G3682" s="5"/>
      <c r="H3682" s="5"/>
      <c r="I3682" s="5"/>
    </row>
    <row r="3683" spans="1:9" ht="12.5">
      <c r="A3683" s="5"/>
      <c r="B3683" s="5"/>
      <c r="C3683" s="5"/>
      <c r="E3683" s="5"/>
      <c r="G3683" s="5"/>
      <c r="H3683" s="5"/>
      <c r="I3683" s="5"/>
    </row>
    <row r="3684" spans="1:9" ht="12.5">
      <c r="A3684" s="5"/>
      <c r="B3684" s="5"/>
      <c r="C3684" s="5"/>
      <c r="E3684" s="5"/>
      <c r="G3684" s="5"/>
      <c r="H3684" s="5"/>
      <c r="I3684" s="5"/>
    </row>
    <row r="3685" spans="1:9" ht="12.5">
      <c r="A3685" s="5"/>
      <c r="B3685" s="5"/>
      <c r="C3685" s="5"/>
      <c r="E3685" s="5"/>
      <c r="G3685" s="5"/>
      <c r="H3685" s="5"/>
      <c r="I3685" s="5"/>
    </row>
    <row r="3686" spans="1:9" ht="12.5">
      <c r="A3686" s="5"/>
      <c r="B3686" s="5"/>
      <c r="C3686" s="5"/>
      <c r="E3686" s="5"/>
      <c r="G3686" s="5"/>
      <c r="H3686" s="5"/>
      <c r="I3686" s="5"/>
    </row>
    <row r="3687" spans="1:9" ht="12.5">
      <c r="A3687" s="5"/>
      <c r="B3687" s="5"/>
      <c r="C3687" s="5"/>
      <c r="E3687" s="5"/>
      <c r="G3687" s="5"/>
      <c r="H3687" s="5"/>
      <c r="I3687" s="5"/>
    </row>
    <row r="3688" spans="1:9" ht="12.5">
      <c r="A3688" s="5"/>
      <c r="B3688" s="5"/>
      <c r="C3688" s="5"/>
      <c r="E3688" s="5"/>
      <c r="G3688" s="5"/>
      <c r="H3688" s="5"/>
      <c r="I3688" s="5"/>
    </row>
    <row r="3689" spans="1:9" ht="12.5">
      <c r="A3689" s="5"/>
      <c r="B3689" s="5"/>
      <c r="C3689" s="5"/>
      <c r="E3689" s="5"/>
      <c r="G3689" s="5"/>
      <c r="H3689" s="5"/>
      <c r="I3689" s="5"/>
    </row>
    <row r="3690" spans="1:9" ht="12.5">
      <c r="A3690" s="5"/>
      <c r="B3690" s="5"/>
      <c r="C3690" s="5"/>
      <c r="E3690" s="5"/>
      <c r="G3690" s="5"/>
      <c r="H3690" s="5"/>
      <c r="I3690" s="5"/>
    </row>
    <row r="3691" spans="1:9" ht="12.5">
      <c r="A3691" s="5"/>
      <c r="B3691" s="5"/>
      <c r="C3691" s="5"/>
      <c r="E3691" s="5"/>
      <c r="G3691" s="5"/>
      <c r="H3691" s="5"/>
      <c r="I3691" s="5"/>
    </row>
    <row r="3692" spans="1:9" ht="12.5">
      <c r="A3692" s="5"/>
      <c r="B3692" s="5"/>
      <c r="C3692" s="5"/>
      <c r="E3692" s="5"/>
      <c r="G3692" s="5"/>
      <c r="H3692" s="5"/>
      <c r="I3692" s="5"/>
    </row>
    <row r="3693" spans="1:9" ht="12.5">
      <c r="A3693" s="5"/>
      <c r="B3693" s="5"/>
      <c r="C3693" s="5"/>
      <c r="E3693" s="5"/>
      <c r="G3693" s="5"/>
      <c r="H3693" s="5"/>
      <c r="I3693" s="5"/>
    </row>
    <row r="3694" spans="1:9" ht="12.5">
      <c r="A3694" s="5"/>
      <c r="B3694" s="5"/>
      <c r="C3694" s="5"/>
      <c r="E3694" s="5"/>
      <c r="G3694" s="5"/>
      <c r="H3694" s="5"/>
      <c r="I3694" s="5"/>
    </row>
    <row r="3695" spans="1:9" ht="12.5">
      <c r="A3695" s="5"/>
      <c r="B3695" s="5"/>
      <c r="C3695" s="5"/>
      <c r="E3695" s="5"/>
      <c r="G3695" s="5"/>
      <c r="H3695" s="5"/>
      <c r="I3695" s="5"/>
    </row>
    <row r="3696" spans="1:9" ht="12.5">
      <c r="A3696" s="5"/>
      <c r="B3696" s="5"/>
      <c r="C3696" s="5"/>
      <c r="E3696" s="5"/>
      <c r="G3696" s="5"/>
      <c r="H3696" s="5"/>
      <c r="I3696" s="5"/>
    </row>
    <row r="3697" spans="1:9" ht="12.5">
      <c r="A3697" s="5"/>
      <c r="B3697" s="5"/>
      <c r="C3697" s="5"/>
      <c r="E3697" s="5"/>
      <c r="G3697" s="5"/>
      <c r="H3697" s="5"/>
      <c r="I3697" s="5"/>
    </row>
    <row r="3698" spans="1:9" ht="12.5">
      <c r="A3698" s="5"/>
      <c r="B3698" s="5"/>
      <c r="C3698" s="5"/>
      <c r="E3698" s="5"/>
      <c r="G3698" s="5"/>
      <c r="H3698" s="5"/>
      <c r="I3698" s="5"/>
    </row>
    <row r="3699" spans="1:9" ht="12.5">
      <c r="A3699" s="5"/>
      <c r="B3699" s="5"/>
      <c r="C3699" s="5"/>
      <c r="E3699" s="5"/>
      <c r="G3699" s="5"/>
      <c r="H3699" s="5"/>
      <c r="I3699" s="5"/>
    </row>
    <row r="3700" spans="1:9" ht="12.5">
      <c r="A3700" s="5"/>
      <c r="B3700" s="5"/>
      <c r="C3700" s="5"/>
      <c r="E3700" s="5"/>
      <c r="G3700" s="5"/>
      <c r="H3700" s="5"/>
      <c r="I3700" s="5"/>
    </row>
    <row r="3701" spans="1:9" ht="12.5">
      <c r="A3701" s="5"/>
      <c r="B3701" s="5"/>
      <c r="C3701" s="5"/>
      <c r="E3701" s="5"/>
      <c r="G3701" s="5"/>
      <c r="H3701" s="5"/>
      <c r="I3701" s="5"/>
    </row>
    <row r="3702" spans="1:9" ht="12.5">
      <c r="A3702" s="5"/>
      <c r="B3702" s="5"/>
      <c r="C3702" s="5"/>
      <c r="E3702" s="5"/>
      <c r="G3702" s="5"/>
      <c r="H3702" s="5"/>
      <c r="I3702" s="5"/>
    </row>
    <row r="3703" spans="1:9" ht="12.5">
      <c r="A3703" s="5"/>
      <c r="B3703" s="5"/>
      <c r="C3703" s="5"/>
      <c r="E3703" s="5"/>
      <c r="G3703" s="5"/>
      <c r="H3703" s="5"/>
      <c r="I3703" s="5"/>
    </row>
    <row r="3704" spans="1:9" ht="12.5">
      <c r="A3704" s="5"/>
      <c r="B3704" s="5"/>
      <c r="C3704" s="5"/>
      <c r="E3704" s="5"/>
      <c r="G3704" s="5"/>
      <c r="H3704" s="5"/>
      <c r="I3704" s="5"/>
    </row>
    <row r="3705" spans="1:9" ht="12.5">
      <c r="A3705" s="5"/>
      <c r="B3705" s="5"/>
      <c r="C3705" s="5"/>
      <c r="E3705" s="5"/>
      <c r="G3705" s="5"/>
      <c r="H3705" s="5"/>
      <c r="I3705" s="5"/>
    </row>
    <row r="3706" spans="1:9" ht="12.5">
      <c r="A3706" s="5"/>
      <c r="B3706" s="5"/>
      <c r="C3706" s="5"/>
      <c r="E3706" s="5"/>
      <c r="G3706" s="5"/>
      <c r="H3706" s="5"/>
      <c r="I3706" s="5"/>
    </row>
    <row r="3707" spans="1:9" ht="12.5">
      <c r="A3707" s="5"/>
      <c r="B3707" s="5"/>
      <c r="C3707" s="5"/>
      <c r="E3707" s="5"/>
      <c r="G3707" s="5"/>
      <c r="H3707" s="5"/>
      <c r="I3707" s="5"/>
    </row>
    <row r="3708" spans="1:9" ht="12.5">
      <c r="A3708" s="5"/>
      <c r="B3708" s="5"/>
      <c r="C3708" s="5"/>
      <c r="E3708" s="5"/>
      <c r="G3708" s="5"/>
      <c r="H3708" s="5"/>
      <c r="I3708" s="5"/>
    </row>
    <row r="3709" spans="1:9" ht="12.5">
      <c r="A3709" s="5"/>
      <c r="B3709" s="5"/>
      <c r="C3709" s="5"/>
      <c r="E3709" s="5"/>
      <c r="G3709" s="5"/>
      <c r="H3709" s="5"/>
      <c r="I3709" s="5"/>
    </row>
    <row r="3710" spans="1:9" ht="12.5">
      <c r="A3710" s="5"/>
      <c r="B3710" s="5"/>
      <c r="C3710" s="5"/>
      <c r="E3710" s="5"/>
      <c r="G3710" s="5"/>
      <c r="H3710" s="5"/>
      <c r="I3710" s="5"/>
    </row>
    <row r="3711" spans="1:9" ht="12.5">
      <c r="A3711" s="5"/>
      <c r="B3711" s="5"/>
      <c r="C3711" s="5"/>
      <c r="E3711" s="5"/>
      <c r="G3711" s="5"/>
      <c r="H3711" s="5"/>
      <c r="I3711" s="5"/>
    </row>
    <row r="3712" spans="1:9" ht="12.5">
      <c r="A3712" s="5"/>
      <c r="B3712" s="5"/>
      <c r="C3712" s="5"/>
      <c r="E3712" s="5"/>
      <c r="G3712" s="5"/>
      <c r="H3712" s="5"/>
      <c r="I3712" s="5"/>
    </row>
    <row r="3713" spans="1:9" ht="12.5">
      <c r="A3713" s="5"/>
      <c r="B3713" s="5"/>
      <c r="C3713" s="5"/>
      <c r="E3713" s="5"/>
      <c r="G3713" s="5"/>
      <c r="H3713" s="5"/>
      <c r="I3713" s="5"/>
    </row>
    <row r="3714" spans="1:9" ht="12.5">
      <c r="A3714" s="5"/>
      <c r="B3714" s="5"/>
      <c r="C3714" s="5"/>
      <c r="E3714" s="5"/>
      <c r="G3714" s="5"/>
      <c r="H3714" s="5"/>
      <c r="I3714" s="5"/>
    </row>
    <row r="3715" spans="1:9" ht="12.5">
      <c r="A3715" s="5"/>
      <c r="B3715" s="5"/>
      <c r="C3715" s="5"/>
      <c r="E3715" s="5"/>
      <c r="G3715" s="5"/>
      <c r="H3715" s="5"/>
      <c r="I3715" s="5"/>
    </row>
    <row r="3716" spans="1:9" ht="12.5">
      <c r="A3716" s="5"/>
      <c r="B3716" s="5"/>
      <c r="C3716" s="5"/>
      <c r="E3716" s="5"/>
      <c r="G3716" s="5"/>
      <c r="H3716" s="5"/>
      <c r="I3716" s="5"/>
    </row>
    <row r="3717" spans="1:9" ht="12.5">
      <c r="A3717" s="5"/>
      <c r="B3717" s="5"/>
      <c r="C3717" s="5"/>
      <c r="E3717" s="5"/>
      <c r="G3717" s="5"/>
      <c r="H3717" s="5"/>
      <c r="I3717" s="5"/>
    </row>
    <row r="3718" spans="1:9" ht="12.5">
      <c r="A3718" s="5"/>
      <c r="B3718" s="5"/>
      <c r="C3718" s="5"/>
      <c r="E3718" s="5"/>
      <c r="G3718" s="5"/>
      <c r="H3718" s="5"/>
      <c r="I3718" s="5"/>
    </row>
    <row r="3719" spans="1:9" ht="12.5">
      <c r="A3719" s="5"/>
      <c r="B3719" s="5"/>
      <c r="C3719" s="5"/>
      <c r="E3719" s="5"/>
      <c r="G3719" s="5"/>
      <c r="H3719" s="5"/>
      <c r="I3719" s="5"/>
    </row>
    <row r="3720" spans="1:9" ht="12.5">
      <c r="A3720" s="5"/>
      <c r="B3720" s="5"/>
      <c r="C3720" s="5"/>
      <c r="E3720" s="5"/>
      <c r="G3720" s="5"/>
      <c r="H3720" s="5"/>
      <c r="I3720" s="5"/>
    </row>
    <row r="3721" spans="1:9" ht="12.5">
      <c r="A3721" s="5"/>
      <c r="B3721" s="5"/>
      <c r="C3721" s="5"/>
      <c r="E3721" s="5"/>
      <c r="G3721" s="5"/>
      <c r="H3721" s="5"/>
      <c r="I3721" s="5"/>
    </row>
    <row r="3722" spans="1:9" ht="12.5">
      <c r="A3722" s="5"/>
      <c r="B3722" s="5"/>
      <c r="C3722" s="5"/>
      <c r="E3722" s="5"/>
      <c r="G3722" s="5"/>
      <c r="H3722" s="5"/>
      <c r="I3722" s="5"/>
    </row>
    <row r="3723" spans="1:9" ht="12.5">
      <c r="A3723" s="5"/>
      <c r="B3723" s="5"/>
      <c r="C3723" s="5"/>
      <c r="E3723" s="5"/>
      <c r="G3723" s="5"/>
      <c r="H3723" s="5"/>
      <c r="I3723" s="5"/>
    </row>
    <row r="3724" spans="1:9" ht="12.5">
      <c r="A3724" s="5"/>
      <c r="B3724" s="5"/>
      <c r="C3724" s="5"/>
      <c r="E3724" s="5"/>
      <c r="G3724" s="5"/>
      <c r="H3724" s="5"/>
      <c r="I3724" s="5"/>
    </row>
    <row r="3725" spans="1:9" ht="12.5">
      <c r="A3725" s="5"/>
      <c r="B3725" s="5"/>
      <c r="C3725" s="5"/>
      <c r="E3725" s="5"/>
      <c r="G3725" s="5"/>
      <c r="H3725" s="5"/>
      <c r="I3725" s="5"/>
    </row>
    <row r="3726" spans="1:9" ht="12.5">
      <c r="A3726" s="5"/>
      <c r="B3726" s="5"/>
      <c r="C3726" s="5"/>
      <c r="E3726" s="5"/>
      <c r="G3726" s="5"/>
      <c r="H3726" s="5"/>
      <c r="I3726" s="5"/>
    </row>
    <row r="3727" spans="1:9" ht="12.5">
      <c r="A3727" s="5"/>
      <c r="B3727" s="5"/>
      <c r="C3727" s="5"/>
      <c r="E3727" s="5"/>
      <c r="G3727" s="5"/>
      <c r="H3727" s="5"/>
      <c r="I3727" s="5"/>
    </row>
    <row r="3728" spans="1:9" ht="12.5">
      <c r="A3728" s="5"/>
      <c r="B3728" s="5"/>
      <c r="C3728" s="5"/>
      <c r="E3728" s="5"/>
      <c r="G3728" s="5"/>
      <c r="H3728" s="5"/>
      <c r="I3728" s="5"/>
    </row>
    <row r="3729" spans="1:9" ht="12.5">
      <c r="A3729" s="5"/>
      <c r="B3729" s="5"/>
      <c r="C3729" s="5"/>
      <c r="E3729" s="5"/>
      <c r="G3729" s="5"/>
      <c r="H3729" s="5"/>
      <c r="I3729" s="5"/>
    </row>
    <row r="3730" spans="1:9" ht="12.5">
      <c r="A3730" s="5"/>
      <c r="B3730" s="5"/>
      <c r="C3730" s="5"/>
      <c r="E3730" s="5"/>
      <c r="G3730" s="5"/>
      <c r="H3730" s="5"/>
      <c r="I3730" s="5"/>
    </row>
    <row r="3731" spans="1:9" ht="12.5">
      <c r="A3731" s="5"/>
      <c r="B3731" s="5"/>
      <c r="C3731" s="5"/>
      <c r="E3731" s="5"/>
      <c r="G3731" s="5"/>
      <c r="H3731" s="5"/>
      <c r="I3731" s="5"/>
    </row>
    <row r="3732" spans="1:9" ht="12.5">
      <c r="A3732" s="5"/>
      <c r="B3732" s="5"/>
      <c r="C3732" s="5"/>
      <c r="E3732" s="5"/>
      <c r="G3732" s="5"/>
      <c r="H3732" s="5"/>
      <c r="I3732" s="5"/>
    </row>
    <row r="3733" spans="1:9" ht="12.5">
      <c r="A3733" s="5"/>
      <c r="B3733" s="5"/>
      <c r="C3733" s="5"/>
      <c r="E3733" s="5"/>
      <c r="G3733" s="5"/>
      <c r="H3733" s="5"/>
      <c r="I3733" s="5"/>
    </row>
    <row r="3734" spans="1:9" ht="12.5">
      <c r="A3734" s="5"/>
      <c r="B3734" s="5"/>
      <c r="C3734" s="5"/>
      <c r="E3734" s="5"/>
      <c r="G3734" s="5"/>
      <c r="H3734" s="5"/>
      <c r="I3734" s="5"/>
    </row>
    <row r="3735" spans="1:9" ht="12.5">
      <c r="A3735" s="5"/>
      <c r="B3735" s="5"/>
      <c r="C3735" s="5"/>
      <c r="E3735" s="5"/>
      <c r="G3735" s="5"/>
      <c r="H3735" s="5"/>
      <c r="I3735" s="5"/>
    </row>
    <row r="3736" spans="1:9" ht="12.5">
      <c r="A3736" s="5"/>
      <c r="B3736" s="5"/>
      <c r="C3736" s="5"/>
      <c r="E3736" s="5"/>
      <c r="G3736" s="5"/>
      <c r="H3736" s="5"/>
      <c r="I3736" s="5"/>
    </row>
    <row r="3737" spans="1:9" ht="12.5">
      <c r="A3737" s="5"/>
      <c r="B3737" s="5"/>
      <c r="C3737" s="5"/>
      <c r="E3737" s="5"/>
      <c r="G3737" s="5"/>
      <c r="H3737" s="5"/>
      <c r="I3737" s="5"/>
    </row>
    <row r="3738" spans="1:9" ht="12.5">
      <c r="A3738" s="5"/>
      <c r="B3738" s="5"/>
      <c r="C3738" s="5"/>
      <c r="E3738" s="5"/>
      <c r="G3738" s="5"/>
      <c r="H3738" s="5"/>
      <c r="I3738" s="5"/>
    </row>
    <row r="3739" spans="1:9" ht="12.5">
      <c r="A3739" s="5"/>
      <c r="B3739" s="5"/>
      <c r="C3739" s="5"/>
      <c r="E3739" s="5"/>
      <c r="G3739" s="5"/>
      <c r="H3739" s="5"/>
      <c r="I3739" s="5"/>
    </row>
    <row r="3740" spans="1:9" ht="12.5">
      <c r="A3740" s="5"/>
      <c r="B3740" s="5"/>
      <c r="C3740" s="5"/>
      <c r="E3740" s="5"/>
      <c r="G3740" s="5"/>
      <c r="H3740" s="5"/>
      <c r="I3740" s="5"/>
    </row>
    <row r="3741" spans="1:9" ht="12.5">
      <c r="A3741" s="5"/>
      <c r="B3741" s="5"/>
      <c r="C3741" s="5"/>
      <c r="E3741" s="5"/>
      <c r="G3741" s="5"/>
      <c r="H3741" s="5"/>
      <c r="I3741" s="5"/>
    </row>
    <row r="3742" spans="1:9" ht="12.5">
      <c r="A3742" s="5"/>
      <c r="B3742" s="5"/>
      <c r="C3742" s="5"/>
      <c r="E3742" s="5"/>
      <c r="G3742" s="5"/>
      <c r="H3742" s="5"/>
      <c r="I3742" s="5"/>
    </row>
    <row r="3743" spans="1:9" ht="12.5">
      <c r="A3743" s="5"/>
      <c r="B3743" s="5"/>
      <c r="C3743" s="5"/>
      <c r="E3743" s="5"/>
      <c r="G3743" s="5"/>
      <c r="H3743" s="5"/>
      <c r="I3743" s="5"/>
    </row>
    <row r="3744" spans="1:9" ht="12.5">
      <c r="A3744" s="5"/>
      <c r="B3744" s="5"/>
      <c r="C3744" s="5"/>
      <c r="E3744" s="5"/>
      <c r="G3744" s="5"/>
      <c r="H3744" s="5"/>
      <c r="I3744" s="5"/>
    </row>
    <row r="3745" spans="1:9" ht="12.5">
      <c r="A3745" s="5"/>
      <c r="B3745" s="5"/>
      <c r="C3745" s="5"/>
      <c r="E3745" s="5"/>
      <c r="G3745" s="5"/>
      <c r="H3745" s="5"/>
      <c r="I3745" s="5"/>
    </row>
    <row r="3746" spans="1:9" ht="12.5">
      <c r="A3746" s="5"/>
      <c r="B3746" s="5"/>
      <c r="C3746" s="5"/>
      <c r="E3746" s="5"/>
      <c r="G3746" s="5"/>
      <c r="H3746" s="5"/>
      <c r="I3746" s="5"/>
    </row>
    <row r="3747" spans="1:9" ht="12.5">
      <c r="A3747" s="5"/>
      <c r="B3747" s="5"/>
      <c r="C3747" s="5"/>
      <c r="E3747" s="5"/>
      <c r="G3747" s="5"/>
      <c r="H3747" s="5"/>
      <c r="I3747" s="5"/>
    </row>
    <row r="3748" spans="1:9" ht="12.5">
      <c r="A3748" s="5"/>
      <c r="B3748" s="5"/>
      <c r="C3748" s="5"/>
      <c r="E3748" s="5"/>
      <c r="G3748" s="5"/>
      <c r="H3748" s="5"/>
      <c r="I3748" s="5"/>
    </row>
    <row r="3749" spans="1:9" ht="12.5">
      <c r="A3749" s="5"/>
      <c r="B3749" s="5"/>
      <c r="C3749" s="5"/>
      <c r="E3749" s="5"/>
      <c r="G3749" s="5"/>
      <c r="H3749" s="5"/>
      <c r="I3749" s="5"/>
    </row>
    <row r="3750" spans="1:9" ht="12.5">
      <c r="A3750" s="5"/>
      <c r="B3750" s="5"/>
      <c r="C3750" s="5"/>
      <c r="E3750" s="5"/>
      <c r="G3750" s="5"/>
      <c r="H3750" s="5"/>
      <c r="I3750" s="5"/>
    </row>
    <row r="3751" spans="1:9" ht="12.5">
      <c r="A3751" s="5"/>
      <c r="B3751" s="5"/>
      <c r="C3751" s="5"/>
      <c r="E3751" s="5"/>
      <c r="G3751" s="5"/>
      <c r="H3751" s="5"/>
      <c r="I3751" s="5"/>
    </row>
    <row r="3752" spans="1:9" ht="12.5">
      <c r="A3752" s="5"/>
      <c r="B3752" s="5"/>
      <c r="C3752" s="5"/>
      <c r="E3752" s="5"/>
      <c r="G3752" s="5"/>
      <c r="H3752" s="5"/>
      <c r="I3752" s="5"/>
    </row>
    <row r="3753" spans="1:9" ht="12.5">
      <c r="A3753" s="5"/>
      <c r="B3753" s="5"/>
      <c r="C3753" s="5"/>
      <c r="E3753" s="5"/>
      <c r="G3753" s="5"/>
      <c r="H3753" s="5"/>
      <c r="I3753" s="5"/>
    </row>
    <row r="3754" spans="1:9" ht="12.5">
      <c r="A3754" s="5"/>
      <c r="B3754" s="5"/>
      <c r="C3754" s="5"/>
      <c r="E3754" s="5"/>
      <c r="G3754" s="5"/>
      <c r="H3754" s="5"/>
      <c r="I3754" s="5"/>
    </row>
    <row r="3755" spans="1:9" ht="12.5">
      <c r="A3755" s="5"/>
      <c r="B3755" s="5"/>
      <c r="C3755" s="5"/>
      <c r="E3755" s="5"/>
      <c r="G3755" s="5"/>
      <c r="H3755" s="5"/>
      <c r="I3755" s="5"/>
    </row>
    <row r="3756" spans="1:9" ht="12.5">
      <c r="A3756" s="5"/>
      <c r="B3756" s="5"/>
      <c r="C3756" s="5"/>
      <c r="E3756" s="5"/>
      <c r="G3756" s="5"/>
      <c r="H3756" s="5"/>
      <c r="I3756" s="5"/>
    </row>
    <row r="3757" spans="1:9" ht="12.5">
      <c r="A3757" s="5"/>
      <c r="B3757" s="5"/>
      <c r="C3757" s="5"/>
      <c r="E3757" s="5"/>
      <c r="G3757" s="5"/>
      <c r="H3757" s="5"/>
      <c r="I3757" s="5"/>
    </row>
    <row r="3758" spans="1:9" ht="12.5">
      <c r="A3758" s="5"/>
      <c r="B3758" s="5"/>
      <c r="C3758" s="5"/>
      <c r="E3758" s="5"/>
      <c r="G3758" s="5"/>
      <c r="H3758" s="5"/>
      <c r="I3758" s="5"/>
    </row>
    <row r="3759" spans="1:9" ht="12.5">
      <c r="A3759" s="5"/>
      <c r="B3759" s="5"/>
      <c r="C3759" s="5"/>
      <c r="E3759" s="5"/>
      <c r="G3759" s="5"/>
      <c r="H3759" s="5"/>
      <c r="I3759" s="5"/>
    </row>
    <row r="3760" spans="1:9" ht="12.5">
      <c r="A3760" s="5"/>
      <c r="B3760" s="5"/>
      <c r="C3760" s="5"/>
      <c r="E3760" s="5"/>
      <c r="G3760" s="5"/>
      <c r="H3760" s="5"/>
      <c r="I3760" s="5"/>
    </row>
    <row r="3761" spans="1:9" ht="12.5">
      <c r="A3761" s="5"/>
      <c r="B3761" s="5"/>
      <c r="C3761" s="5"/>
      <c r="E3761" s="5"/>
      <c r="G3761" s="5"/>
      <c r="H3761" s="5"/>
      <c r="I3761" s="5"/>
    </row>
    <row r="3762" spans="1:9" ht="12.5">
      <c r="A3762" s="5"/>
      <c r="B3762" s="5"/>
      <c r="C3762" s="5"/>
      <c r="E3762" s="5"/>
      <c r="G3762" s="5"/>
      <c r="H3762" s="5"/>
      <c r="I3762" s="5"/>
    </row>
    <row r="3763" spans="1:9" ht="12.5">
      <c r="A3763" s="5"/>
      <c r="B3763" s="5"/>
      <c r="C3763" s="5"/>
      <c r="E3763" s="5"/>
      <c r="G3763" s="5"/>
      <c r="H3763" s="5"/>
      <c r="I3763" s="5"/>
    </row>
    <row r="3764" spans="1:9" ht="12.5">
      <c r="A3764" s="5"/>
      <c r="B3764" s="5"/>
      <c r="C3764" s="5"/>
      <c r="E3764" s="5"/>
      <c r="G3764" s="5"/>
      <c r="H3764" s="5"/>
      <c r="I3764" s="5"/>
    </row>
    <row r="3765" spans="1:9" ht="12.5">
      <c r="A3765" s="5"/>
      <c r="B3765" s="5"/>
      <c r="C3765" s="5"/>
      <c r="E3765" s="5"/>
      <c r="G3765" s="5"/>
      <c r="H3765" s="5"/>
      <c r="I3765" s="5"/>
    </row>
    <row r="3766" spans="1:9" ht="12.5">
      <c r="A3766" s="5"/>
      <c r="B3766" s="5"/>
      <c r="C3766" s="5"/>
      <c r="E3766" s="5"/>
      <c r="G3766" s="5"/>
      <c r="H3766" s="5"/>
      <c r="I3766" s="5"/>
    </row>
    <row r="3767" spans="1:9" ht="12.5">
      <c r="A3767" s="5"/>
      <c r="B3767" s="5"/>
      <c r="C3767" s="5"/>
      <c r="E3767" s="5"/>
      <c r="G3767" s="5"/>
      <c r="H3767" s="5"/>
      <c r="I3767" s="5"/>
    </row>
    <row r="3768" spans="1:9" ht="12.5">
      <c r="A3768" s="5"/>
      <c r="B3768" s="5"/>
      <c r="C3768" s="5"/>
      <c r="E3768" s="5"/>
      <c r="G3768" s="5"/>
      <c r="H3768" s="5"/>
      <c r="I3768" s="5"/>
    </row>
    <row r="3769" spans="1:9" ht="12.5">
      <c r="A3769" s="5"/>
      <c r="B3769" s="5"/>
      <c r="C3769" s="5"/>
      <c r="E3769" s="5"/>
      <c r="G3769" s="5"/>
      <c r="H3769" s="5"/>
      <c r="I3769" s="5"/>
    </row>
    <row r="3770" spans="1:9" ht="12.5">
      <c r="A3770" s="5"/>
      <c r="B3770" s="5"/>
      <c r="C3770" s="5"/>
      <c r="E3770" s="5"/>
      <c r="G3770" s="5"/>
      <c r="H3770" s="5"/>
      <c r="I3770" s="5"/>
    </row>
    <row r="3771" spans="1:9" ht="12.5">
      <c r="A3771" s="5"/>
      <c r="B3771" s="5"/>
      <c r="C3771" s="5"/>
      <c r="E3771" s="5"/>
      <c r="G3771" s="5"/>
      <c r="H3771" s="5"/>
      <c r="I3771" s="5"/>
    </row>
    <row r="3772" spans="1:9" ht="12.5">
      <c r="A3772" s="5"/>
      <c r="B3772" s="5"/>
      <c r="C3772" s="5"/>
      <c r="E3772" s="5"/>
      <c r="G3772" s="5"/>
      <c r="H3772" s="5"/>
      <c r="I3772" s="5"/>
    </row>
    <row r="3773" spans="1:9" ht="12.5">
      <c r="A3773" s="5"/>
      <c r="B3773" s="5"/>
      <c r="C3773" s="5"/>
      <c r="E3773" s="5"/>
      <c r="G3773" s="5"/>
      <c r="H3773" s="5"/>
      <c r="I3773" s="5"/>
    </row>
    <row r="3774" spans="1:9" ht="12.5">
      <c r="A3774" s="5"/>
      <c r="B3774" s="5"/>
      <c r="C3774" s="5"/>
      <c r="E3774" s="5"/>
      <c r="G3774" s="5"/>
      <c r="H3774" s="5"/>
      <c r="I3774" s="5"/>
    </row>
    <row r="3775" spans="1:9" ht="12.5">
      <c r="A3775" s="5"/>
      <c r="B3775" s="5"/>
      <c r="C3775" s="5"/>
      <c r="E3775" s="5"/>
      <c r="G3775" s="5"/>
      <c r="H3775" s="5"/>
      <c r="I3775" s="5"/>
    </row>
    <row r="3776" spans="1:9" ht="12.5">
      <c r="A3776" s="5"/>
      <c r="B3776" s="5"/>
      <c r="C3776" s="5"/>
      <c r="E3776" s="5"/>
      <c r="G3776" s="5"/>
      <c r="H3776" s="5"/>
      <c r="I3776" s="5"/>
    </row>
    <row r="3777" spans="1:9" ht="12.5">
      <c r="A3777" s="5"/>
      <c r="B3777" s="5"/>
      <c r="C3777" s="5"/>
      <c r="E3777" s="5"/>
      <c r="G3777" s="5"/>
      <c r="H3777" s="5"/>
      <c r="I3777" s="5"/>
    </row>
    <row r="3778" spans="1:9" ht="12.5">
      <c r="A3778" s="5"/>
      <c r="B3778" s="5"/>
      <c r="C3778" s="5"/>
      <c r="E3778" s="5"/>
      <c r="G3778" s="5"/>
      <c r="H3778" s="5"/>
      <c r="I3778" s="5"/>
    </row>
    <row r="3779" spans="1:9" ht="12.5">
      <c r="A3779" s="5"/>
      <c r="B3779" s="5"/>
      <c r="C3779" s="5"/>
      <c r="E3779" s="5"/>
      <c r="G3779" s="5"/>
      <c r="H3779" s="5"/>
      <c r="I3779" s="5"/>
    </row>
    <row r="3780" spans="1:9" ht="12.5">
      <c r="A3780" s="5"/>
      <c r="B3780" s="5"/>
      <c r="C3780" s="5"/>
      <c r="E3780" s="5"/>
      <c r="G3780" s="5"/>
      <c r="H3780" s="5"/>
      <c r="I3780" s="5"/>
    </row>
    <row r="3781" spans="1:9" ht="12.5">
      <c r="A3781" s="5"/>
      <c r="B3781" s="5"/>
      <c r="C3781" s="5"/>
      <c r="E3781" s="5"/>
      <c r="G3781" s="5"/>
      <c r="H3781" s="5"/>
      <c r="I3781" s="5"/>
    </row>
    <row r="3782" spans="1:9" ht="12.5">
      <c r="A3782" s="5"/>
      <c r="B3782" s="5"/>
      <c r="C3782" s="5"/>
      <c r="E3782" s="5"/>
      <c r="G3782" s="5"/>
      <c r="H3782" s="5"/>
      <c r="I3782" s="5"/>
    </row>
    <row r="3783" spans="1:9" ht="12.5">
      <c r="A3783" s="5"/>
      <c r="B3783" s="5"/>
      <c r="C3783" s="5"/>
      <c r="E3783" s="5"/>
      <c r="G3783" s="5"/>
      <c r="H3783" s="5"/>
      <c r="I3783" s="5"/>
    </row>
    <row r="3784" spans="1:9" ht="12.5">
      <c r="A3784" s="5"/>
      <c r="B3784" s="5"/>
      <c r="C3784" s="5"/>
      <c r="E3784" s="5"/>
      <c r="G3784" s="5"/>
      <c r="H3784" s="5"/>
      <c r="I3784" s="5"/>
    </row>
    <row r="3785" spans="1:9" ht="12.5">
      <c r="A3785" s="5"/>
      <c r="B3785" s="5"/>
      <c r="C3785" s="5"/>
      <c r="E3785" s="5"/>
      <c r="G3785" s="5"/>
      <c r="H3785" s="5"/>
      <c r="I3785" s="5"/>
    </row>
    <row r="3786" spans="1:9" ht="12.5">
      <c r="A3786" s="5"/>
      <c r="B3786" s="5"/>
      <c r="C3786" s="5"/>
      <c r="E3786" s="5"/>
      <c r="G3786" s="5"/>
      <c r="H3786" s="5"/>
      <c r="I3786" s="5"/>
    </row>
    <row r="3787" spans="1:9" ht="12.5">
      <c r="A3787" s="5"/>
      <c r="B3787" s="5"/>
      <c r="C3787" s="5"/>
      <c r="E3787" s="5"/>
      <c r="G3787" s="5"/>
      <c r="H3787" s="5"/>
      <c r="I3787" s="5"/>
    </row>
    <row r="3788" spans="1:9" ht="12.5">
      <c r="A3788" s="5"/>
      <c r="B3788" s="5"/>
      <c r="C3788" s="5"/>
      <c r="E3788" s="5"/>
      <c r="G3788" s="5"/>
      <c r="H3788" s="5"/>
      <c r="I3788" s="5"/>
    </row>
    <row r="3789" spans="1:9" ht="12.5">
      <c r="A3789" s="5"/>
      <c r="B3789" s="5"/>
      <c r="C3789" s="5"/>
      <c r="E3789" s="5"/>
      <c r="G3789" s="5"/>
      <c r="H3789" s="5"/>
      <c r="I3789" s="5"/>
    </row>
    <row r="3790" spans="1:9" ht="12.5">
      <c r="A3790" s="5"/>
      <c r="B3790" s="5"/>
      <c r="C3790" s="5"/>
      <c r="E3790" s="5"/>
      <c r="G3790" s="5"/>
      <c r="H3790" s="5"/>
      <c r="I3790" s="5"/>
    </row>
    <row r="3791" spans="1:9" ht="12.5">
      <c r="A3791" s="5"/>
      <c r="B3791" s="5"/>
      <c r="C3791" s="5"/>
      <c r="E3791" s="5"/>
      <c r="G3791" s="5"/>
      <c r="H3791" s="5"/>
      <c r="I3791" s="5"/>
    </row>
    <row r="3792" spans="1:9" ht="12.5">
      <c r="A3792" s="5"/>
      <c r="B3792" s="5"/>
      <c r="C3792" s="5"/>
      <c r="E3792" s="5"/>
      <c r="G3792" s="5"/>
      <c r="H3792" s="5"/>
      <c r="I3792" s="5"/>
    </row>
    <row r="3793" spans="1:9" ht="12.5">
      <c r="A3793" s="5"/>
      <c r="B3793" s="5"/>
      <c r="C3793" s="5"/>
      <c r="E3793" s="5"/>
      <c r="G3793" s="5"/>
      <c r="H3793" s="5"/>
      <c r="I3793" s="5"/>
    </row>
    <row r="3794" spans="1:9" ht="12.5">
      <c r="A3794" s="5"/>
      <c r="B3794" s="5"/>
      <c r="C3794" s="5"/>
      <c r="E3794" s="5"/>
      <c r="G3794" s="5"/>
      <c r="H3794" s="5"/>
      <c r="I3794" s="5"/>
    </row>
    <row r="3795" spans="1:9" ht="12.5">
      <c r="A3795" s="5"/>
      <c r="B3795" s="5"/>
      <c r="C3795" s="5"/>
      <c r="E3795" s="5"/>
      <c r="G3795" s="5"/>
      <c r="H3795" s="5"/>
      <c r="I3795" s="5"/>
    </row>
    <row r="3796" spans="1:9" ht="12.5">
      <c r="A3796" s="5"/>
      <c r="B3796" s="5"/>
      <c r="C3796" s="5"/>
      <c r="E3796" s="5"/>
      <c r="G3796" s="5"/>
      <c r="H3796" s="5"/>
      <c r="I3796" s="5"/>
    </row>
    <row r="3797" spans="1:9" ht="12.5">
      <c r="A3797" s="5"/>
      <c r="B3797" s="5"/>
      <c r="C3797" s="5"/>
      <c r="E3797" s="5"/>
      <c r="G3797" s="5"/>
      <c r="H3797" s="5"/>
      <c r="I3797" s="5"/>
    </row>
    <row r="3798" spans="1:9" ht="12.5">
      <c r="A3798" s="5"/>
      <c r="B3798" s="5"/>
      <c r="C3798" s="5"/>
      <c r="E3798" s="5"/>
      <c r="G3798" s="5"/>
      <c r="H3798" s="5"/>
      <c r="I3798" s="5"/>
    </row>
    <row r="3799" spans="1:9" ht="12.5">
      <c r="A3799" s="5"/>
      <c r="B3799" s="5"/>
      <c r="C3799" s="5"/>
      <c r="E3799" s="5"/>
      <c r="G3799" s="5"/>
      <c r="H3799" s="5"/>
      <c r="I3799" s="5"/>
    </row>
    <row r="3800" spans="1:9" ht="12.5">
      <c r="A3800" s="5"/>
      <c r="B3800" s="5"/>
      <c r="C3800" s="5"/>
      <c r="E3800" s="5"/>
      <c r="G3800" s="5"/>
      <c r="H3800" s="5"/>
      <c r="I3800" s="5"/>
    </row>
    <row r="3801" spans="1:9" ht="12.5">
      <c r="A3801" s="5"/>
      <c r="B3801" s="5"/>
      <c r="C3801" s="5"/>
      <c r="E3801" s="5"/>
      <c r="G3801" s="5"/>
      <c r="H3801" s="5"/>
      <c r="I3801" s="5"/>
    </row>
    <row r="3802" spans="1:9" ht="12.5">
      <c r="A3802" s="5"/>
      <c r="B3802" s="5"/>
      <c r="C3802" s="5"/>
      <c r="E3802" s="5"/>
      <c r="G3802" s="5"/>
      <c r="H3802" s="5"/>
      <c r="I3802" s="5"/>
    </row>
    <row r="3803" spans="1:9" ht="12.5">
      <c r="A3803" s="5"/>
      <c r="B3803" s="5"/>
      <c r="C3803" s="5"/>
      <c r="E3803" s="5"/>
      <c r="G3803" s="5"/>
      <c r="H3803" s="5"/>
      <c r="I3803" s="5"/>
    </row>
    <row r="3804" spans="1:9" ht="12.5">
      <c r="A3804" s="5"/>
      <c r="B3804" s="5"/>
      <c r="C3804" s="5"/>
      <c r="E3804" s="5"/>
      <c r="G3804" s="5"/>
      <c r="H3804" s="5"/>
      <c r="I3804" s="5"/>
    </row>
    <row r="3805" spans="1:9" ht="12.5">
      <c r="A3805" s="5"/>
      <c r="B3805" s="5"/>
      <c r="C3805" s="5"/>
      <c r="E3805" s="5"/>
      <c r="G3805" s="5"/>
      <c r="H3805" s="5"/>
      <c r="I3805" s="5"/>
    </row>
    <row r="3806" spans="1:9" ht="12.5">
      <c r="A3806" s="5"/>
      <c r="B3806" s="5"/>
      <c r="C3806" s="5"/>
      <c r="E3806" s="5"/>
      <c r="G3806" s="5"/>
      <c r="H3806" s="5"/>
      <c r="I3806" s="5"/>
    </row>
    <row r="3807" spans="1:9" ht="12.5">
      <c r="A3807" s="5"/>
      <c r="B3807" s="5"/>
      <c r="C3807" s="5"/>
      <c r="E3807" s="5"/>
      <c r="G3807" s="5"/>
      <c r="H3807" s="5"/>
      <c r="I3807" s="5"/>
    </row>
    <row r="3808" spans="1:9" ht="12.5">
      <c r="A3808" s="5"/>
      <c r="B3808" s="5"/>
      <c r="C3808" s="5"/>
      <c r="E3808" s="5"/>
      <c r="G3808" s="5"/>
      <c r="H3808" s="5"/>
      <c r="I3808" s="5"/>
    </row>
    <row r="3809" spans="1:9" ht="12.5">
      <c r="A3809" s="5"/>
      <c r="B3809" s="5"/>
      <c r="C3809" s="5"/>
      <c r="E3809" s="5"/>
      <c r="G3809" s="5"/>
      <c r="H3809" s="5"/>
      <c r="I3809" s="5"/>
    </row>
    <row r="3810" spans="1:9" ht="12.5">
      <c r="A3810" s="5"/>
      <c r="B3810" s="5"/>
      <c r="C3810" s="5"/>
      <c r="E3810" s="5"/>
      <c r="G3810" s="5"/>
      <c r="H3810" s="5"/>
      <c r="I3810" s="5"/>
    </row>
  </sheetData>
  <autoFilter ref="A1:AB38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sheetPr>
  <dimension ref="A1:C995"/>
  <sheetViews>
    <sheetView workbookViewId="0"/>
  </sheetViews>
  <sheetFormatPr baseColWidth="10" defaultColWidth="12.6328125" defaultRowHeight="15.75" customHeight="1"/>
  <cols>
    <col min="1" max="1" width="27.36328125" customWidth="1"/>
    <col min="2" max="2" width="16.453125" customWidth="1"/>
    <col min="3" max="3" width="14.36328125" customWidth="1"/>
  </cols>
  <sheetData>
    <row r="1" spans="1:3" ht="19.5" customHeight="1">
      <c r="A1" s="1" t="s">
        <v>22850</v>
      </c>
      <c r="B1" s="57" t="s">
        <v>25336</v>
      </c>
      <c r="C1" s="58" t="s">
        <v>14568</v>
      </c>
    </row>
    <row r="2" spans="1:3" ht="14.5">
      <c r="A2" s="59" t="s">
        <v>25337</v>
      </c>
      <c r="B2" s="60">
        <v>17000</v>
      </c>
      <c r="C2" s="5" t="s">
        <v>14598</v>
      </c>
    </row>
    <row r="3" spans="1:3" ht="14.5">
      <c r="A3" s="59" t="s">
        <v>265</v>
      </c>
      <c r="B3" s="60">
        <v>17000</v>
      </c>
      <c r="C3" s="5" t="s">
        <v>14691</v>
      </c>
    </row>
    <row r="4" spans="1:3" ht="14.5">
      <c r="A4" s="61" t="s">
        <v>593</v>
      </c>
      <c r="B4" s="62">
        <v>15000</v>
      </c>
      <c r="C4" s="61" t="s">
        <v>14580</v>
      </c>
    </row>
    <row r="5" spans="1:3" ht="14.5">
      <c r="A5" s="59" t="s">
        <v>987</v>
      </c>
      <c r="B5" s="60">
        <v>25000</v>
      </c>
      <c r="C5" s="59" t="s">
        <v>14593</v>
      </c>
    </row>
    <row r="6" spans="1:3" ht="14.5">
      <c r="A6" s="59" t="s">
        <v>73</v>
      </c>
      <c r="B6" s="60">
        <v>8000</v>
      </c>
      <c r="C6" s="59" t="s">
        <v>14593</v>
      </c>
    </row>
    <row r="7" spans="1:3" ht="14.5">
      <c r="A7" s="59" t="s">
        <v>4558</v>
      </c>
      <c r="B7" s="60">
        <v>10000</v>
      </c>
      <c r="C7" s="59" t="s">
        <v>14593</v>
      </c>
    </row>
    <row r="8" spans="1:3" ht="14.5">
      <c r="A8" s="59" t="s">
        <v>185</v>
      </c>
      <c r="B8" s="60">
        <v>8000</v>
      </c>
      <c r="C8" s="59" t="s">
        <v>14580</v>
      </c>
    </row>
    <row r="9" spans="1:3" ht="14.5">
      <c r="A9" s="59" t="s">
        <v>208</v>
      </c>
      <c r="B9" s="60">
        <v>10000</v>
      </c>
      <c r="C9" s="59" t="s">
        <v>14593</v>
      </c>
    </row>
    <row r="10" spans="1:3" ht="14.5">
      <c r="A10" s="61" t="s">
        <v>2865</v>
      </c>
      <c r="B10" s="62">
        <v>12000</v>
      </c>
      <c r="C10" s="61" t="s">
        <v>14775</v>
      </c>
    </row>
    <row r="11" spans="1:3" ht="14.5">
      <c r="A11" s="59" t="s">
        <v>351</v>
      </c>
      <c r="B11" s="60">
        <v>12000</v>
      </c>
      <c r="C11" s="59" t="s">
        <v>14580</v>
      </c>
    </row>
    <row r="12" spans="1:3" ht="14.5">
      <c r="A12" s="59" t="s">
        <v>1047</v>
      </c>
      <c r="B12" s="60">
        <v>15000</v>
      </c>
      <c r="C12" s="61" t="s">
        <v>14580</v>
      </c>
    </row>
    <row r="13" spans="1:3" ht="14.5">
      <c r="A13" s="61" t="s">
        <v>14449</v>
      </c>
      <c r="B13" s="62">
        <v>16000</v>
      </c>
      <c r="C13" s="61" t="s">
        <v>14618</v>
      </c>
    </row>
    <row r="14" spans="1:3" ht="14.5">
      <c r="A14" s="59" t="s">
        <v>79</v>
      </c>
      <c r="B14" s="60">
        <v>10000</v>
      </c>
      <c r="C14" s="59" t="s">
        <v>14593</v>
      </c>
    </row>
    <row r="15" spans="1:3" ht="14.5">
      <c r="A15" s="61" t="s">
        <v>14052</v>
      </c>
      <c r="B15" s="62">
        <v>20000</v>
      </c>
      <c r="C15" s="59" t="s">
        <v>14580</v>
      </c>
    </row>
    <row r="16" spans="1:3" ht="14.5">
      <c r="A16" s="61" t="s">
        <v>25338</v>
      </c>
      <c r="B16" s="62">
        <v>20000</v>
      </c>
      <c r="C16" s="59" t="s">
        <v>14618</v>
      </c>
    </row>
    <row r="17" spans="1:3" ht="14.5">
      <c r="A17" s="61" t="s">
        <v>4749</v>
      </c>
      <c r="B17" s="62">
        <v>17000</v>
      </c>
      <c r="C17" s="59" t="s">
        <v>14618</v>
      </c>
    </row>
    <row r="18" spans="1:3" ht="14.5">
      <c r="A18" s="59" t="s">
        <v>2880</v>
      </c>
      <c r="B18" s="60">
        <v>25000</v>
      </c>
      <c r="C18" s="59" t="s">
        <v>14691</v>
      </c>
    </row>
    <row r="19" spans="1:3" ht="14.5">
      <c r="A19" s="61" t="s">
        <v>5195</v>
      </c>
      <c r="B19" s="62">
        <v>16000</v>
      </c>
      <c r="C19" s="59" t="s">
        <v>14580</v>
      </c>
    </row>
    <row r="20" spans="1:3" ht="14.5">
      <c r="A20" s="59" t="s">
        <v>5574</v>
      </c>
      <c r="B20" s="60">
        <v>10000</v>
      </c>
      <c r="C20" s="5" t="s">
        <v>14593</v>
      </c>
    </row>
    <row r="21" spans="1:3" ht="14.5">
      <c r="A21" s="59" t="s">
        <v>6905</v>
      </c>
      <c r="B21" s="60">
        <v>25000</v>
      </c>
      <c r="C21" s="5" t="s">
        <v>14598</v>
      </c>
    </row>
    <row r="22" spans="1:3" ht="14.5">
      <c r="A22" s="61" t="s">
        <v>1815</v>
      </c>
      <c r="B22" s="62">
        <v>18000</v>
      </c>
      <c r="C22" s="61" t="s">
        <v>14580</v>
      </c>
    </row>
    <row r="23" spans="1:3" ht="14.5">
      <c r="A23" s="59" t="s">
        <v>9581</v>
      </c>
      <c r="B23" s="60">
        <v>18000</v>
      </c>
      <c r="C23" s="59" t="s">
        <v>14580</v>
      </c>
    </row>
    <row r="24" spans="1:3" ht="14.5">
      <c r="A24" s="59" t="s">
        <v>2263</v>
      </c>
      <c r="B24" s="60">
        <v>17000</v>
      </c>
      <c r="C24" s="61" t="s">
        <v>14580</v>
      </c>
    </row>
    <row r="25" spans="1:3" ht="14.5">
      <c r="A25" s="59" t="s">
        <v>5089</v>
      </c>
      <c r="B25" s="60">
        <v>25000</v>
      </c>
      <c r="C25" s="61" t="s">
        <v>14580</v>
      </c>
    </row>
    <row r="26" spans="1:3" ht="14.5">
      <c r="A26" s="59" t="s">
        <v>25339</v>
      </c>
      <c r="B26" s="60">
        <v>18000</v>
      </c>
      <c r="C26" s="61" t="s">
        <v>14618</v>
      </c>
    </row>
    <row r="27" spans="1:3" ht="14.5">
      <c r="A27" s="59" t="s">
        <v>25340</v>
      </c>
      <c r="B27" s="60">
        <v>15000</v>
      </c>
      <c r="C27" s="5" t="s">
        <v>14598</v>
      </c>
    </row>
    <row r="28" spans="1:3" ht="14.5">
      <c r="A28" s="59" t="s">
        <v>10229</v>
      </c>
      <c r="B28" s="60">
        <v>20000</v>
      </c>
      <c r="C28" s="59" t="s">
        <v>14598</v>
      </c>
    </row>
    <row r="29" spans="1:3" ht="14.5">
      <c r="A29" s="61" t="s">
        <v>3091</v>
      </c>
      <c r="B29" s="62">
        <v>20000</v>
      </c>
      <c r="C29" s="61" t="s">
        <v>14580</v>
      </c>
    </row>
    <row r="30" spans="1:3" ht="14.5">
      <c r="A30" s="59" t="s">
        <v>420</v>
      </c>
      <c r="B30" s="60">
        <v>16000</v>
      </c>
      <c r="C30" s="59" t="s">
        <v>14580</v>
      </c>
    </row>
    <row r="31" spans="1:3" ht="14.5">
      <c r="A31" s="59" t="s">
        <v>2944</v>
      </c>
      <c r="B31" s="60">
        <v>10000</v>
      </c>
      <c r="C31" s="59" t="s">
        <v>14593</v>
      </c>
    </row>
    <row r="32" spans="1:3" ht="14.5">
      <c r="A32" s="61" t="s">
        <v>25341</v>
      </c>
      <c r="B32" s="62">
        <v>20000</v>
      </c>
      <c r="C32" s="61" t="s">
        <v>14618</v>
      </c>
    </row>
    <row r="33" spans="1:3" ht="14.5">
      <c r="A33" s="59" t="s">
        <v>161</v>
      </c>
      <c r="B33" s="60">
        <v>8000</v>
      </c>
      <c r="C33" s="59" t="s">
        <v>14593</v>
      </c>
    </row>
    <row r="34" spans="1:3" ht="14.5">
      <c r="A34" s="61" t="s">
        <v>6692</v>
      </c>
      <c r="B34" s="62">
        <v>20000</v>
      </c>
      <c r="C34" s="61" t="s">
        <v>14580</v>
      </c>
    </row>
    <row r="35" spans="1:3" ht="14.5">
      <c r="A35" s="59" t="s">
        <v>598</v>
      </c>
      <c r="B35" s="60">
        <v>10000</v>
      </c>
      <c r="C35" s="59" t="s">
        <v>14593</v>
      </c>
    </row>
    <row r="36" spans="1:3" ht="14.5">
      <c r="A36" s="61" t="s">
        <v>176</v>
      </c>
      <c r="B36" s="62">
        <v>30000</v>
      </c>
      <c r="C36" s="61" t="s">
        <v>14580</v>
      </c>
    </row>
    <row r="37" spans="1:3" ht="14.5">
      <c r="A37" s="59" t="s">
        <v>975</v>
      </c>
      <c r="B37" s="60">
        <v>10000</v>
      </c>
      <c r="C37" s="59" t="s">
        <v>14593</v>
      </c>
    </row>
    <row r="38" spans="1:3" ht="14.5">
      <c r="A38" s="59" t="s">
        <v>516</v>
      </c>
      <c r="B38" s="60">
        <v>10000</v>
      </c>
      <c r="C38" s="59" t="s">
        <v>14580</v>
      </c>
    </row>
    <row r="39" spans="1:3" ht="14.5">
      <c r="A39" s="59" t="s">
        <v>124</v>
      </c>
      <c r="B39" s="60">
        <v>12000</v>
      </c>
      <c r="C39" s="61" t="s">
        <v>14775</v>
      </c>
    </row>
    <row r="40" spans="1:3" ht="14.5">
      <c r="A40" s="61" t="s">
        <v>1057</v>
      </c>
      <c r="B40" s="62">
        <v>14000</v>
      </c>
      <c r="C40" s="61" t="s">
        <v>14580</v>
      </c>
    </row>
    <row r="41" spans="1:3" ht="14.5">
      <c r="A41" s="61" t="s">
        <v>3775</v>
      </c>
      <c r="B41" s="62">
        <v>20000</v>
      </c>
      <c r="C41" s="61" t="s">
        <v>14618</v>
      </c>
    </row>
    <row r="42" spans="1:3" ht="14.5">
      <c r="A42" s="61" t="s">
        <v>6194</v>
      </c>
      <c r="B42" s="62">
        <v>18000</v>
      </c>
      <c r="C42" s="61" t="s">
        <v>14580</v>
      </c>
    </row>
    <row r="43" spans="1:3" ht="14.5">
      <c r="A43" s="61" t="s">
        <v>25342</v>
      </c>
      <c r="B43" s="62">
        <v>20000</v>
      </c>
      <c r="C43" s="61" t="s">
        <v>14618</v>
      </c>
    </row>
    <row r="44" spans="1:3" ht="14.5">
      <c r="A44" s="61" t="s">
        <v>1595</v>
      </c>
      <c r="B44" s="62">
        <v>20000</v>
      </c>
      <c r="C44" s="61" t="s">
        <v>14580</v>
      </c>
    </row>
    <row r="45" spans="1:3" ht="14.5">
      <c r="A45" s="59" t="s">
        <v>193</v>
      </c>
      <c r="B45" s="60">
        <v>15000</v>
      </c>
      <c r="C45" s="61" t="s">
        <v>14580</v>
      </c>
    </row>
    <row r="46" spans="1:3" ht="14.5">
      <c r="A46" s="59" t="s">
        <v>886</v>
      </c>
      <c r="B46" s="60">
        <v>12000</v>
      </c>
      <c r="C46" s="61" t="s">
        <v>14618</v>
      </c>
    </row>
    <row r="47" spans="1:3" ht="14.5">
      <c r="A47" s="61" t="s">
        <v>25343</v>
      </c>
      <c r="B47" s="62">
        <v>20000</v>
      </c>
      <c r="C47" s="61" t="s">
        <v>14618</v>
      </c>
    </row>
    <row r="48" spans="1:3" ht="14.5">
      <c r="A48" s="16" t="s">
        <v>33</v>
      </c>
      <c r="B48" s="63">
        <v>0</v>
      </c>
      <c r="C48" s="59" t="s">
        <v>33</v>
      </c>
    </row>
    <row r="49" spans="1:3" ht="14.5">
      <c r="A49" s="61" t="s">
        <v>3764</v>
      </c>
      <c r="B49" s="62">
        <v>9000</v>
      </c>
      <c r="C49" s="59" t="s">
        <v>14618</v>
      </c>
    </row>
    <row r="50" spans="1:3" ht="14.5">
      <c r="A50" s="61" t="s">
        <v>630</v>
      </c>
      <c r="B50" s="62">
        <v>20000</v>
      </c>
      <c r="C50" s="61" t="s">
        <v>14580</v>
      </c>
    </row>
    <row r="51" spans="1:3" ht="14.5">
      <c r="A51" s="61" t="s">
        <v>25344</v>
      </c>
      <c r="B51" s="62">
        <v>22000</v>
      </c>
      <c r="C51" s="61" t="s">
        <v>14618</v>
      </c>
    </row>
    <row r="52" spans="1:3" ht="14.5">
      <c r="A52" s="61" t="s">
        <v>9208</v>
      </c>
      <c r="B52" s="62">
        <v>20000</v>
      </c>
      <c r="C52" s="61" t="s">
        <v>14580</v>
      </c>
    </row>
    <row r="53" spans="1:3" ht="14.5">
      <c r="A53" s="61" t="s">
        <v>25345</v>
      </c>
      <c r="B53" s="62">
        <v>20000</v>
      </c>
      <c r="C53" s="61" t="s">
        <v>14580</v>
      </c>
    </row>
    <row r="54" spans="1:3" ht="14.5">
      <c r="A54" s="59" t="s">
        <v>726</v>
      </c>
      <c r="B54" s="60">
        <v>9000</v>
      </c>
      <c r="C54" s="59" t="s">
        <v>14618</v>
      </c>
    </row>
    <row r="55" spans="1:3" ht="14.5">
      <c r="A55" s="61" t="s">
        <v>3480</v>
      </c>
      <c r="B55" s="62">
        <v>20000</v>
      </c>
      <c r="C55" s="61" t="s">
        <v>14580</v>
      </c>
    </row>
    <row r="56" spans="1:3" ht="14.5">
      <c r="A56" s="59" t="s">
        <v>563</v>
      </c>
      <c r="B56" s="60">
        <v>15000</v>
      </c>
      <c r="C56" s="61" t="s">
        <v>14775</v>
      </c>
    </row>
    <row r="57" spans="1:3" ht="14.5">
      <c r="A57" s="59" t="s">
        <v>2631</v>
      </c>
      <c r="B57" s="60">
        <v>12000</v>
      </c>
      <c r="C57" s="59" t="s">
        <v>14618</v>
      </c>
    </row>
    <row r="58" spans="1:3" ht="14.5">
      <c r="A58" s="61" t="s">
        <v>9556</v>
      </c>
      <c r="B58" s="62">
        <v>18000</v>
      </c>
      <c r="C58" s="61" t="s">
        <v>14580</v>
      </c>
    </row>
    <row r="59" spans="1:3" ht="14.5">
      <c r="A59" s="59" t="s">
        <v>3781</v>
      </c>
      <c r="B59" s="60">
        <v>11000</v>
      </c>
      <c r="C59" s="59" t="s">
        <v>14593</v>
      </c>
    </row>
    <row r="60" spans="1:3" ht="14.5">
      <c r="A60" s="61" t="s">
        <v>25346</v>
      </c>
      <c r="B60" s="62">
        <v>20000</v>
      </c>
      <c r="C60" s="61" t="s">
        <v>14618</v>
      </c>
    </row>
    <row r="61" spans="1:3" ht="14.5">
      <c r="A61" s="59" t="s">
        <v>25347</v>
      </c>
      <c r="B61" s="60">
        <v>20000</v>
      </c>
      <c r="C61" s="59" t="s">
        <v>14580</v>
      </c>
    </row>
    <row r="62" spans="1:3" ht="14.5">
      <c r="A62" s="59" t="s">
        <v>2115</v>
      </c>
      <c r="B62" s="60">
        <v>18000</v>
      </c>
      <c r="C62" s="59" t="s">
        <v>14691</v>
      </c>
    </row>
    <row r="63" spans="1:3" ht="14.5">
      <c r="A63" s="59" t="s">
        <v>5898</v>
      </c>
      <c r="B63" s="60">
        <v>17000</v>
      </c>
      <c r="C63" s="59" t="s">
        <v>14598</v>
      </c>
    </row>
    <row r="64" spans="1:3" ht="14.5">
      <c r="A64" s="61" t="s">
        <v>1124</v>
      </c>
      <c r="B64" s="62">
        <v>20000</v>
      </c>
      <c r="C64" s="59" t="s">
        <v>14691</v>
      </c>
    </row>
    <row r="65" spans="1:3" ht="14.5">
      <c r="A65" s="59" t="s">
        <v>879</v>
      </c>
      <c r="B65" s="60">
        <v>20000</v>
      </c>
      <c r="C65" s="64" t="s">
        <v>14580</v>
      </c>
    </row>
    <row r="66" spans="1:3" ht="14.5">
      <c r="A66" s="65"/>
      <c r="B66" s="66"/>
      <c r="C66" s="65"/>
    </row>
    <row r="67" spans="1:3" ht="14.5">
      <c r="A67" s="67" t="s">
        <v>11907</v>
      </c>
      <c r="B67" s="68">
        <v>20000</v>
      </c>
      <c r="C67" s="5" t="s">
        <v>14580</v>
      </c>
    </row>
    <row r="68" spans="1:3" ht="14.5">
      <c r="A68" s="59" t="s">
        <v>5672</v>
      </c>
      <c r="B68" s="60">
        <v>30000</v>
      </c>
      <c r="C68" s="5" t="s">
        <v>14691</v>
      </c>
    </row>
    <row r="69" spans="1:3" ht="14.5">
      <c r="A69" s="61" t="s">
        <v>25348</v>
      </c>
      <c r="B69" s="62">
        <v>18000</v>
      </c>
      <c r="C69" s="59" t="s">
        <v>14618</v>
      </c>
    </row>
    <row r="70" spans="1:3" ht="14.5">
      <c r="A70" s="59" t="s">
        <v>87</v>
      </c>
      <c r="B70" s="60">
        <v>13000</v>
      </c>
      <c r="C70" s="59" t="s">
        <v>14580</v>
      </c>
    </row>
    <row r="71" spans="1:3" ht="14.5">
      <c r="A71" s="59" t="s">
        <v>4171</v>
      </c>
      <c r="B71" s="60">
        <v>18000</v>
      </c>
      <c r="C71" s="61" t="s">
        <v>14618</v>
      </c>
    </row>
    <row r="72" spans="1:3" ht="14.5">
      <c r="A72" s="59" t="s">
        <v>2381</v>
      </c>
      <c r="B72" s="60">
        <v>18000</v>
      </c>
      <c r="C72" s="59" t="s">
        <v>14593</v>
      </c>
    </row>
    <row r="73" spans="1:3" ht="14.5">
      <c r="A73" s="59" t="s">
        <v>401</v>
      </c>
      <c r="B73" s="60">
        <v>12000</v>
      </c>
      <c r="C73" s="61" t="s">
        <v>14618</v>
      </c>
    </row>
    <row r="74" spans="1:3" ht="14.5">
      <c r="A74" s="59" t="s">
        <v>10191</v>
      </c>
      <c r="B74" s="60">
        <v>30000</v>
      </c>
      <c r="C74" s="5" t="s">
        <v>14691</v>
      </c>
    </row>
    <row r="75" spans="1:3" ht="14.5">
      <c r="A75" s="59" t="s">
        <v>464</v>
      </c>
      <c r="B75" s="60">
        <v>20000</v>
      </c>
      <c r="C75" s="59" t="s">
        <v>14580</v>
      </c>
    </row>
    <row r="76" spans="1:3" ht="14.5">
      <c r="A76" s="59" t="s">
        <v>3874</v>
      </c>
      <c r="B76" s="60">
        <v>18000</v>
      </c>
      <c r="C76" s="61" t="s">
        <v>14580</v>
      </c>
    </row>
    <row r="77" spans="1:3" ht="14.5">
      <c r="A77" s="61" t="s">
        <v>25349</v>
      </c>
      <c r="B77" s="62">
        <v>16000</v>
      </c>
      <c r="C77" s="61" t="s">
        <v>14618</v>
      </c>
    </row>
    <row r="78" spans="1:3" ht="14.5">
      <c r="A78" s="59" t="s">
        <v>8142</v>
      </c>
      <c r="B78" s="60">
        <v>10000</v>
      </c>
      <c r="C78" s="59" t="s">
        <v>14593</v>
      </c>
    </row>
    <row r="79" spans="1:3" ht="14.5">
      <c r="A79" s="61" t="s">
        <v>25350</v>
      </c>
      <c r="B79" s="62">
        <v>20000</v>
      </c>
      <c r="C79" s="61" t="s">
        <v>14580</v>
      </c>
    </row>
    <row r="80" spans="1:3" ht="14.5">
      <c r="A80" s="61" t="s">
        <v>5360</v>
      </c>
      <c r="B80" s="62">
        <v>17000</v>
      </c>
      <c r="C80" s="61" t="s">
        <v>14580</v>
      </c>
    </row>
    <row r="81" spans="1:3" ht="14.5">
      <c r="A81" s="61" t="s">
        <v>2090</v>
      </c>
      <c r="B81" s="62">
        <v>10000</v>
      </c>
      <c r="C81" s="61" t="s">
        <v>14618</v>
      </c>
    </row>
    <row r="82" spans="1:3" ht="14.5">
      <c r="A82" s="59" t="s">
        <v>6662</v>
      </c>
      <c r="B82" s="60">
        <v>15000</v>
      </c>
      <c r="C82" s="61" t="s">
        <v>14580</v>
      </c>
    </row>
    <row r="83" spans="1:3" ht="14.5">
      <c r="A83" s="61" t="s">
        <v>4533</v>
      </c>
      <c r="B83" s="62">
        <v>10000</v>
      </c>
      <c r="C83" s="61" t="s">
        <v>14618</v>
      </c>
    </row>
    <row r="84" spans="1:3" ht="14.5">
      <c r="A84" s="61" t="s">
        <v>25351</v>
      </c>
      <c r="B84" s="60">
        <v>30000</v>
      </c>
      <c r="C84" s="59" t="s">
        <v>14580</v>
      </c>
    </row>
    <row r="85" spans="1:3" ht="14.5">
      <c r="A85" s="59" t="s">
        <v>25351</v>
      </c>
      <c r="B85" s="60">
        <v>8000</v>
      </c>
      <c r="C85" s="5" t="s">
        <v>14593</v>
      </c>
    </row>
    <row r="86" spans="1:3" ht="14.5">
      <c r="A86" s="59" t="s">
        <v>964</v>
      </c>
      <c r="B86" s="60">
        <v>12000</v>
      </c>
      <c r="C86" s="59" t="s">
        <v>14618</v>
      </c>
    </row>
    <row r="87" spans="1:3" ht="14.5">
      <c r="A87" s="59" t="s">
        <v>924</v>
      </c>
      <c r="B87" s="60">
        <v>20000</v>
      </c>
      <c r="C87" s="61" t="s">
        <v>14691</v>
      </c>
    </row>
    <row r="88" spans="1:3" ht="14.5">
      <c r="A88" s="61" t="s">
        <v>4283</v>
      </c>
      <c r="B88" s="62">
        <v>20000</v>
      </c>
      <c r="C88" s="61" t="s">
        <v>14691</v>
      </c>
    </row>
    <row r="89" spans="1:3" ht="14.5">
      <c r="A89" s="61" t="s">
        <v>3267</v>
      </c>
      <c r="B89" s="62">
        <v>16000</v>
      </c>
      <c r="C89" s="59" t="s">
        <v>14580</v>
      </c>
    </row>
    <row r="90" spans="1:3" ht="14.5">
      <c r="A90" s="59" t="s">
        <v>13394</v>
      </c>
      <c r="B90" s="60">
        <v>30000</v>
      </c>
      <c r="C90" s="5" t="s">
        <v>14691</v>
      </c>
    </row>
    <row r="91" spans="1:3" ht="14.5">
      <c r="A91" s="61" t="s">
        <v>25352</v>
      </c>
      <c r="B91" s="62">
        <v>25000</v>
      </c>
      <c r="C91" s="59" t="s">
        <v>14580</v>
      </c>
    </row>
    <row r="92" spans="1:3" ht="14.5">
      <c r="A92" s="59" t="s">
        <v>1677</v>
      </c>
      <c r="B92" s="60">
        <v>17000</v>
      </c>
      <c r="C92" s="59" t="s">
        <v>14580</v>
      </c>
    </row>
    <row r="93" spans="1:3" ht="14.5">
      <c r="A93" s="59" t="s">
        <v>2218</v>
      </c>
      <c r="B93" s="60">
        <v>50000</v>
      </c>
      <c r="C93" s="5" t="s">
        <v>14691</v>
      </c>
    </row>
    <row r="94" spans="1:3" ht="14.5">
      <c r="A94" s="59" t="s">
        <v>12827</v>
      </c>
      <c r="B94" s="60">
        <v>17000</v>
      </c>
      <c r="C94" s="5" t="s">
        <v>14598</v>
      </c>
    </row>
    <row r="95" spans="1:3" ht="14.5">
      <c r="A95" s="59" t="s">
        <v>146</v>
      </c>
      <c r="B95" s="60">
        <v>15000</v>
      </c>
      <c r="C95" s="5" t="s">
        <v>14618</v>
      </c>
    </row>
    <row r="96" spans="1:3" ht="14.5">
      <c r="A96" s="61" t="s">
        <v>916</v>
      </c>
      <c r="B96" s="62">
        <v>20000</v>
      </c>
      <c r="C96" s="61" t="s">
        <v>14580</v>
      </c>
    </row>
    <row r="97" spans="1:3" ht="14.5">
      <c r="A97" s="61" t="s">
        <v>9225</v>
      </c>
      <c r="B97" s="62">
        <v>15000</v>
      </c>
      <c r="C97" s="61" t="s">
        <v>14775</v>
      </c>
    </row>
    <row r="98" spans="1:3" ht="14.5">
      <c r="A98" s="61" t="s">
        <v>54</v>
      </c>
      <c r="B98" s="62">
        <v>20000</v>
      </c>
      <c r="C98" s="61" t="s">
        <v>14580</v>
      </c>
    </row>
    <row r="99" spans="1:3" ht="14.5">
      <c r="A99" s="59" t="s">
        <v>1722</v>
      </c>
      <c r="B99" s="60">
        <v>15000</v>
      </c>
      <c r="C99" s="59" t="s">
        <v>14580</v>
      </c>
    </row>
    <row r="100" spans="1:3" ht="14.5">
      <c r="A100" s="59" t="s">
        <v>1272</v>
      </c>
      <c r="B100" s="60">
        <v>12000</v>
      </c>
      <c r="C100" s="59" t="s">
        <v>14593</v>
      </c>
    </row>
    <row r="101" spans="1:3" ht="14.5">
      <c r="A101" s="59" t="s">
        <v>448</v>
      </c>
      <c r="B101" s="60">
        <v>15000</v>
      </c>
      <c r="C101" s="59" t="s">
        <v>14580</v>
      </c>
    </row>
    <row r="102" spans="1:3" ht="14.5">
      <c r="A102" s="59" t="s">
        <v>892</v>
      </c>
      <c r="B102" s="60">
        <v>10000</v>
      </c>
      <c r="C102" s="59" t="s">
        <v>14593</v>
      </c>
    </row>
    <row r="103" spans="1:3" ht="14.5">
      <c r="A103" s="59" t="s">
        <v>25353</v>
      </c>
      <c r="B103" s="60">
        <v>30000</v>
      </c>
      <c r="C103" s="5" t="s">
        <v>14598</v>
      </c>
    </row>
    <row r="104" spans="1:3" ht="14.5">
      <c r="A104" s="61" t="s">
        <v>12699</v>
      </c>
      <c r="B104" s="62">
        <v>16000</v>
      </c>
      <c r="C104" s="59" t="s">
        <v>14580</v>
      </c>
    </row>
    <row r="105" spans="1:3" ht="14.5">
      <c r="A105" s="59" t="s">
        <v>103</v>
      </c>
      <c r="B105" s="60">
        <v>10000</v>
      </c>
      <c r="C105" s="59" t="s">
        <v>14593</v>
      </c>
    </row>
    <row r="106" spans="1:3" ht="14.5">
      <c r="A106" s="59" t="s">
        <v>25354</v>
      </c>
      <c r="B106" s="60">
        <v>30000</v>
      </c>
      <c r="C106" s="5" t="s">
        <v>14598</v>
      </c>
    </row>
    <row r="107" spans="1:3" ht="14.5">
      <c r="A107" s="59" t="s">
        <v>8961</v>
      </c>
      <c r="B107" s="60">
        <v>30000</v>
      </c>
      <c r="C107" s="5" t="s">
        <v>14598</v>
      </c>
    </row>
    <row r="108" spans="1:3" ht="14.5">
      <c r="A108" s="59" t="s">
        <v>1921</v>
      </c>
      <c r="B108" s="60">
        <v>15000</v>
      </c>
      <c r="C108" s="59" t="s">
        <v>14580</v>
      </c>
    </row>
    <row r="109" spans="1:3" ht="14.5">
      <c r="A109" s="61" t="s">
        <v>1100</v>
      </c>
      <c r="B109" s="62">
        <v>13000</v>
      </c>
      <c r="C109" s="59" t="s">
        <v>14775</v>
      </c>
    </row>
    <row r="110" spans="1:3" ht="14.5">
      <c r="A110" s="59" t="s">
        <v>314</v>
      </c>
      <c r="B110" s="60">
        <v>15000</v>
      </c>
      <c r="C110" s="61" t="s">
        <v>14580</v>
      </c>
    </row>
    <row r="111" spans="1:3" ht="14.5">
      <c r="A111" s="61" t="s">
        <v>1647</v>
      </c>
      <c r="B111" s="62">
        <v>18000</v>
      </c>
      <c r="C111" s="61" t="s">
        <v>14580</v>
      </c>
    </row>
    <row r="112" spans="1:3" ht="14.5">
      <c r="A112" s="61" t="s">
        <v>25355</v>
      </c>
      <c r="B112" s="62">
        <v>20000</v>
      </c>
      <c r="C112" s="61" t="s">
        <v>14580</v>
      </c>
    </row>
    <row r="113" spans="1:3" ht="14.5">
      <c r="A113" s="61" t="s">
        <v>25356</v>
      </c>
      <c r="B113" s="62">
        <v>25000</v>
      </c>
      <c r="C113" s="61" t="s">
        <v>14580</v>
      </c>
    </row>
    <row r="114" spans="1:3" ht="14.5">
      <c r="A114" s="59" t="s">
        <v>1497</v>
      </c>
      <c r="B114" s="60">
        <v>12000</v>
      </c>
      <c r="C114" s="59" t="s">
        <v>14593</v>
      </c>
    </row>
    <row r="115" spans="1:3" ht="14.5">
      <c r="A115" s="61" t="s">
        <v>168</v>
      </c>
      <c r="B115" s="62">
        <v>13000</v>
      </c>
      <c r="C115" s="61" t="s">
        <v>14580</v>
      </c>
    </row>
    <row r="116" spans="1:3" ht="14.5">
      <c r="A116" s="61" t="s">
        <v>25357</v>
      </c>
      <c r="B116" s="62">
        <v>30000</v>
      </c>
      <c r="C116" s="59" t="s">
        <v>14580</v>
      </c>
    </row>
    <row r="117" spans="1:3" ht="14.5">
      <c r="A117" s="59" t="s">
        <v>10526</v>
      </c>
      <c r="B117" s="60">
        <v>12000</v>
      </c>
      <c r="C117" s="59" t="s">
        <v>14593</v>
      </c>
    </row>
    <row r="118" spans="1:3" ht="14.5">
      <c r="A118" s="59" t="s">
        <v>12417</v>
      </c>
      <c r="B118" s="60">
        <v>20000</v>
      </c>
      <c r="C118" s="59" t="s">
        <v>14598</v>
      </c>
    </row>
    <row r="119" spans="1:3" ht="14.5">
      <c r="A119" s="59" t="s">
        <v>4883</v>
      </c>
      <c r="B119" s="60">
        <v>25000</v>
      </c>
      <c r="C119" s="59" t="s">
        <v>14580</v>
      </c>
    </row>
    <row r="120" spans="1:3" ht="14.5" hidden="1">
      <c r="A120" s="59" t="s">
        <v>110</v>
      </c>
      <c r="B120" s="60">
        <v>6000</v>
      </c>
      <c r="C120" s="5" t="s">
        <v>14593</v>
      </c>
    </row>
    <row r="121" spans="1:3" ht="14.5">
      <c r="A121" s="59" t="s">
        <v>25358</v>
      </c>
      <c r="B121" s="60">
        <v>10000</v>
      </c>
      <c r="C121" s="59" t="s">
        <v>14593</v>
      </c>
    </row>
    <row r="122" spans="1:3" ht="14.5">
      <c r="A122" s="59" t="s">
        <v>11267</v>
      </c>
      <c r="B122" s="60">
        <v>35000</v>
      </c>
      <c r="C122" s="5" t="s">
        <v>14691</v>
      </c>
    </row>
    <row r="123" spans="1:3" ht="14.5">
      <c r="A123" s="61" t="s">
        <v>25359</v>
      </c>
      <c r="B123" s="62">
        <v>25000</v>
      </c>
      <c r="C123" s="61" t="s">
        <v>14580</v>
      </c>
    </row>
    <row r="124" spans="1:3" ht="14.5">
      <c r="A124" s="61" t="s">
        <v>25360</v>
      </c>
      <c r="B124" s="62">
        <v>24000</v>
      </c>
      <c r="C124" s="59" t="s">
        <v>14580</v>
      </c>
    </row>
    <row r="125" spans="1:3" ht="14.5">
      <c r="A125" s="59" t="s">
        <v>25361</v>
      </c>
      <c r="B125" s="60">
        <v>24000</v>
      </c>
      <c r="C125" s="59" t="s">
        <v>14580</v>
      </c>
    </row>
    <row r="126" spans="1:3" ht="14.5">
      <c r="A126" s="59" t="s">
        <v>25362</v>
      </c>
      <c r="B126" s="60">
        <v>18000</v>
      </c>
      <c r="C126" s="59" t="s">
        <v>14580</v>
      </c>
    </row>
    <row r="127" spans="1:3" ht="14.5">
      <c r="A127" s="59" t="s">
        <v>63</v>
      </c>
      <c r="B127" s="60">
        <v>17000</v>
      </c>
      <c r="C127" s="59" t="s">
        <v>14598</v>
      </c>
    </row>
    <row r="128" spans="1:3" ht="14.5">
      <c r="A128" s="59" t="s">
        <v>249</v>
      </c>
      <c r="B128" s="60">
        <v>10000</v>
      </c>
      <c r="C128" s="59" t="s">
        <v>14593</v>
      </c>
    </row>
    <row r="129" spans="1:3" ht="14.5">
      <c r="A129" s="59" t="s">
        <v>154</v>
      </c>
      <c r="B129" s="60">
        <v>8000</v>
      </c>
      <c r="C129" s="61" t="s">
        <v>14593</v>
      </c>
    </row>
    <row r="130" spans="1:3" ht="14.5">
      <c r="A130" s="61" t="s">
        <v>25363</v>
      </c>
      <c r="B130" s="62">
        <v>30000</v>
      </c>
      <c r="C130" s="59" t="s">
        <v>14580</v>
      </c>
    </row>
    <row r="131" spans="1:3" ht="14.5">
      <c r="A131" s="59" t="s">
        <v>25364</v>
      </c>
      <c r="B131" s="60">
        <v>10000</v>
      </c>
      <c r="C131" s="59" t="s">
        <v>14593</v>
      </c>
    </row>
    <row r="132" spans="1:3" ht="14.5">
      <c r="A132" s="59" t="s">
        <v>307</v>
      </c>
      <c r="B132" s="60">
        <v>10000</v>
      </c>
      <c r="C132" s="59" t="s">
        <v>14618</v>
      </c>
    </row>
    <row r="133" spans="1:3" ht="14.5">
      <c r="A133" s="59" t="s">
        <v>25365</v>
      </c>
      <c r="B133" s="60">
        <v>8000</v>
      </c>
      <c r="C133" s="5" t="s">
        <v>14593</v>
      </c>
    </row>
    <row r="134" spans="1:3" ht="14.5">
      <c r="A134" s="61" t="s">
        <v>6612</v>
      </c>
      <c r="B134" s="62">
        <v>25000</v>
      </c>
      <c r="C134" s="59" t="s">
        <v>14593</v>
      </c>
    </row>
    <row r="135" spans="1:3" ht="14.5">
      <c r="A135" s="61" t="s">
        <v>9013</v>
      </c>
      <c r="B135" s="62">
        <v>15000</v>
      </c>
      <c r="C135" s="59" t="s">
        <v>14593</v>
      </c>
    </row>
    <row r="136" spans="1:3" ht="12.5">
      <c r="A136" s="5" t="s">
        <v>25366</v>
      </c>
      <c r="B136" s="21">
        <v>50000</v>
      </c>
      <c r="C136" s="5" t="s">
        <v>14775</v>
      </c>
    </row>
    <row r="137" spans="1:3" ht="12.5">
      <c r="A137" s="5" t="s">
        <v>930</v>
      </c>
      <c r="B137" s="21">
        <v>30000</v>
      </c>
      <c r="C137" s="5" t="s">
        <v>14598</v>
      </c>
    </row>
    <row r="138" spans="1:3" ht="12.5">
      <c r="A138" s="5" t="s">
        <v>25367</v>
      </c>
      <c r="B138" s="21">
        <v>80000</v>
      </c>
    </row>
    <row r="139" spans="1:3" ht="12.5">
      <c r="A139" s="5" t="s">
        <v>25368</v>
      </c>
      <c r="B139" s="21">
        <v>15000</v>
      </c>
    </row>
    <row r="140" spans="1:3" ht="12.5">
      <c r="A140" s="5" t="s">
        <v>1317</v>
      </c>
      <c r="B140" s="21">
        <v>12000</v>
      </c>
      <c r="C140" s="5" t="s">
        <v>15349</v>
      </c>
    </row>
    <row r="141" spans="1:3" ht="12.5">
      <c r="A141" s="5" t="s">
        <v>7476</v>
      </c>
      <c r="B141" s="21">
        <v>17000</v>
      </c>
      <c r="C141" s="5" t="s">
        <v>15349</v>
      </c>
    </row>
    <row r="142" spans="1:3" ht="12.5">
      <c r="A142" s="5" t="s">
        <v>11628</v>
      </c>
      <c r="B142" s="21">
        <v>12000</v>
      </c>
    </row>
    <row r="143" spans="1:3" ht="12.5">
      <c r="A143" s="5" t="s">
        <v>2509</v>
      </c>
      <c r="B143" s="21">
        <v>10000</v>
      </c>
      <c r="C143" s="5" t="s">
        <v>16770</v>
      </c>
    </row>
    <row r="144" spans="1:3" ht="12.5">
      <c r="A144" s="5" t="s">
        <v>2554</v>
      </c>
      <c r="B144" s="21">
        <v>12000</v>
      </c>
      <c r="C144" s="5" t="s">
        <v>25369</v>
      </c>
    </row>
    <row r="145" spans="1:3" ht="12.5">
      <c r="A145" s="5" t="s">
        <v>4403</v>
      </c>
      <c r="B145" s="21">
        <v>20000</v>
      </c>
      <c r="C145" s="5" t="s">
        <v>14598</v>
      </c>
    </row>
    <row r="146" spans="1:3" ht="12.5">
      <c r="A146" s="5" t="s">
        <v>11062</v>
      </c>
      <c r="B146" s="21">
        <v>20000</v>
      </c>
      <c r="C146" s="5" t="s">
        <v>15349</v>
      </c>
    </row>
    <row r="147" spans="1:3" ht="12.5">
      <c r="A147" s="5" t="s">
        <v>25370</v>
      </c>
      <c r="B147" s="21">
        <v>20000</v>
      </c>
      <c r="C147" s="5" t="s">
        <v>15349</v>
      </c>
    </row>
    <row r="148" spans="1:3" ht="12.5">
      <c r="A148" s="5" t="s">
        <v>25371</v>
      </c>
      <c r="B148" s="21">
        <v>20000</v>
      </c>
      <c r="C148" s="5" t="s">
        <v>15349</v>
      </c>
    </row>
    <row r="149" spans="1:3" ht="12.5">
      <c r="A149" s="5" t="s">
        <v>25372</v>
      </c>
      <c r="B149" s="21">
        <v>35000</v>
      </c>
      <c r="C149" s="5" t="s">
        <v>25373</v>
      </c>
    </row>
    <row r="150" spans="1:3" ht="12.5">
      <c r="A150" s="5" t="s">
        <v>9002</v>
      </c>
      <c r="B150" s="21">
        <v>16000</v>
      </c>
      <c r="C150" s="5" t="s">
        <v>14775</v>
      </c>
    </row>
    <row r="151" spans="1:3" ht="12.5">
      <c r="A151" s="5" t="s">
        <v>8750</v>
      </c>
      <c r="B151" s="21">
        <v>30000</v>
      </c>
    </row>
    <row r="152" spans="1:3" ht="12.5">
      <c r="A152" s="5" t="s">
        <v>9166</v>
      </c>
      <c r="B152" s="21">
        <v>16000</v>
      </c>
    </row>
    <row r="153" spans="1:3" ht="12.5">
      <c r="A153" s="5" t="s">
        <v>9925</v>
      </c>
      <c r="B153" s="21">
        <v>11000</v>
      </c>
      <c r="C153" s="5" t="s">
        <v>14618</v>
      </c>
    </row>
    <row r="154" spans="1:3" ht="12.5">
      <c r="A154" s="5" t="s">
        <v>11248</v>
      </c>
      <c r="B154" s="21">
        <v>15000</v>
      </c>
      <c r="C154" s="5" t="s">
        <v>14618</v>
      </c>
    </row>
    <row r="155" spans="1:3" ht="12.5">
      <c r="A155" s="5" t="s">
        <v>11361</v>
      </c>
      <c r="B155" s="21">
        <v>30000</v>
      </c>
      <c r="C155" s="5" t="s">
        <v>18786</v>
      </c>
    </row>
    <row r="156" spans="1:3" ht="12.5">
      <c r="A156" s="5" t="s">
        <v>13289</v>
      </c>
      <c r="B156" s="21">
        <v>25000</v>
      </c>
      <c r="C156" s="5" t="s">
        <v>14691</v>
      </c>
    </row>
    <row r="157" spans="1:3" ht="12.5">
      <c r="B157" s="21"/>
    </row>
    <row r="158" spans="1:3" ht="12.5">
      <c r="B158" s="21"/>
    </row>
    <row r="159" spans="1:3" ht="12.5">
      <c r="B159" s="21"/>
    </row>
    <row r="160" spans="1:3" ht="12.5">
      <c r="B160" s="21"/>
    </row>
    <row r="161" spans="2:2" ht="12.5">
      <c r="B161" s="21"/>
    </row>
    <row r="162" spans="2:2" ht="12.5">
      <c r="B162" s="21"/>
    </row>
    <row r="163" spans="2:2" ht="12.5">
      <c r="B163" s="21"/>
    </row>
    <row r="164" spans="2:2" ht="12.5">
      <c r="B164" s="21"/>
    </row>
    <row r="165" spans="2:2" ht="12.5">
      <c r="B165" s="21"/>
    </row>
    <row r="166" spans="2:2" ht="12.5">
      <c r="B166" s="21"/>
    </row>
    <row r="167" spans="2:2" ht="12.5">
      <c r="B167" s="21"/>
    </row>
    <row r="168" spans="2:2" ht="12.5">
      <c r="B168" s="21"/>
    </row>
    <row r="169" spans="2:2" ht="12.5">
      <c r="B169" s="21"/>
    </row>
    <row r="170" spans="2:2" ht="12.5">
      <c r="B170" s="21"/>
    </row>
    <row r="171" spans="2:2" ht="12.5">
      <c r="B171" s="21"/>
    </row>
    <row r="172" spans="2:2" ht="12.5">
      <c r="B172" s="21"/>
    </row>
    <row r="173" spans="2:2" ht="12.5">
      <c r="B173" s="21"/>
    </row>
    <row r="174" spans="2:2" ht="12.5">
      <c r="B174" s="21"/>
    </row>
    <row r="175" spans="2:2" ht="12.5">
      <c r="B175" s="21"/>
    </row>
    <row r="176" spans="2:2" ht="12.5">
      <c r="B176" s="21"/>
    </row>
    <row r="177" spans="2:2" ht="12.5">
      <c r="B177" s="21"/>
    </row>
    <row r="178" spans="2:2" ht="12.5">
      <c r="B178" s="21"/>
    </row>
    <row r="179" spans="2:2" ht="12.5">
      <c r="B179" s="21"/>
    </row>
    <row r="180" spans="2:2" ht="12.5">
      <c r="B180" s="21"/>
    </row>
    <row r="181" spans="2:2" ht="12.5">
      <c r="B181" s="21"/>
    </row>
    <row r="182" spans="2:2" ht="12.5">
      <c r="B182" s="21"/>
    </row>
    <row r="183" spans="2:2" ht="12.5">
      <c r="B183" s="21"/>
    </row>
    <row r="184" spans="2:2" ht="12.5">
      <c r="B184" s="21"/>
    </row>
    <row r="185" spans="2:2" ht="12.5">
      <c r="B185" s="21"/>
    </row>
    <row r="186" spans="2:2" ht="12.5">
      <c r="B186" s="21"/>
    </row>
    <row r="187" spans="2:2" ht="12.5">
      <c r="B187" s="21"/>
    </row>
    <row r="188" spans="2:2" ht="12.5">
      <c r="B188" s="21"/>
    </row>
    <row r="189" spans="2:2" ht="12.5">
      <c r="B189" s="21"/>
    </row>
    <row r="190" spans="2:2" ht="12.5">
      <c r="B190" s="21"/>
    </row>
    <row r="191" spans="2:2" ht="12.5">
      <c r="B191" s="21"/>
    </row>
    <row r="192" spans="2:2" ht="12.5">
      <c r="B192" s="21"/>
    </row>
    <row r="193" spans="2:2" ht="12.5">
      <c r="B193" s="21"/>
    </row>
    <row r="194" spans="2:2" ht="12.5">
      <c r="B194" s="21"/>
    </row>
    <row r="195" spans="2:2" ht="12.5">
      <c r="B195" s="21"/>
    </row>
    <row r="196" spans="2:2" ht="12.5">
      <c r="B196" s="21"/>
    </row>
    <row r="197" spans="2:2" ht="12.5">
      <c r="B197" s="21"/>
    </row>
    <row r="198" spans="2:2" ht="12.5">
      <c r="B198" s="21"/>
    </row>
    <row r="199" spans="2:2" ht="12.5">
      <c r="B199" s="21"/>
    </row>
    <row r="200" spans="2:2" ht="12.5">
      <c r="B200" s="21"/>
    </row>
    <row r="201" spans="2:2" ht="12.5">
      <c r="B201" s="21"/>
    </row>
    <row r="202" spans="2:2" ht="12.5">
      <c r="B202" s="21"/>
    </row>
    <row r="203" spans="2:2" ht="12.5">
      <c r="B203" s="21"/>
    </row>
    <row r="204" spans="2:2" ht="12.5">
      <c r="B204" s="21"/>
    </row>
    <row r="205" spans="2:2" ht="12.5">
      <c r="B205" s="21"/>
    </row>
    <row r="206" spans="2:2" ht="12.5">
      <c r="B206" s="21"/>
    </row>
    <row r="207" spans="2:2" ht="12.5">
      <c r="B207" s="21"/>
    </row>
    <row r="208" spans="2:2" ht="12.5">
      <c r="B208" s="21"/>
    </row>
    <row r="209" spans="2:2" ht="12.5">
      <c r="B209" s="21"/>
    </row>
    <row r="210" spans="2:2" ht="12.5">
      <c r="B210" s="21"/>
    </row>
    <row r="211" spans="2:2" ht="12.5">
      <c r="B211" s="21"/>
    </row>
    <row r="212" spans="2:2" ht="12.5">
      <c r="B212" s="21"/>
    </row>
    <row r="213" spans="2:2" ht="12.5">
      <c r="B213" s="21"/>
    </row>
    <row r="214" spans="2:2" ht="12.5">
      <c r="B214" s="21"/>
    </row>
    <row r="215" spans="2:2" ht="12.5">
      <c r="B215" s="21"/>
    </row>
    <row r="216" spans="2:2" ht="12.5">
      <c r="B216" s="21"/>
    </row>
    <row r="217" spans="2:2" ht="12.5">
      <c r="B217" s="21"/>
    </row>
    <row r="218" spans="2:2" ht="12.5">
      <c r="B218" s="21"/>
    </row>
    <row r="219" spans="2:2" ht="12.5">
      <c r="B219" s="21"/>
    </row>
    <row r="220" spans="2:2" ht="12.5">
      <c r="B220" s="21"/>
    </row>
    <row r="221" spans="2:2" ht="12.5">
      <c r="B221" s="21"/>
    </row>
    <row r="222" spans="2:2" ht="12.5">
      <c r="B222" s="21"/>
    </row>
    <row r="223" spans="2:2" ht="12.5">
      <c r="B223" s="21"/>
    </row>
    <row r="224" spans="2:2" ht="12.5">
      <c r="B224" s="21"/>
    </row>
    <row r="225" spans="2:2" ht="12.5">
      <c r="B225" s="21"/>
    </row>
    <row r="226" spans="2:2" ht="12.5">
      <c r="B226" s="21"/>
    </row>
    <row r="227" spans="2:2" ht="12.5">
      <c r="B227" s="21"/>
    </row>
    <row r="228" spans="2:2" ht="12.5">
      <c r="B228" s="21"/>
    </row>
    <row r="229" spans="2:2" ht="12.5">
      <c r="B229" s="21"/>
    </row>
    <row r="230" spans="2:2" ht="12.5">
      <c r="B230" s="21"/>
    </row>
    <row r="231" spans="2:2" ht="12.5">
      <c r="B231" s="21"/>
    </row>
    <row r="232" spans="2:2" ht="12.5">
      <c r="B232" s="21"/>
    </row>
    <row r="233" spans="2:2" ht="12.5">
      <c r="B233" s="21"/>
    </row>
    <row r="234" spans="2:2" ht="12.5">
      <c r="B234" s="21"/>
    </row>
    <row r="235" spans="2:2" ht="12.5">
      <c r="B235" s="21"/>
    </row>
    <row r="236" spans="2:2" ht="12.5">
      <c r="B236" s="21"/>
    </row>
    <row r="237" spans="2:2" ht="12.5">
      <c r="B237" s="21"/>
    </row>
    <row r="238" spans="2:2" ht="12.5">
      <c r="B238" s="21"/>
    </row>
    <row r="239" spans="2:2" ht="12.5">
      <c r="B239" s="21"/>
    </row>
    <row r="240" spans="2:2" ht="12.5">
      <c r="B240" s="21"/>
    </row>
    <row r="241" spans="2:2" ht="12.5">
      <c r="B241" s="21"/>
    </row>
    <row r="242" spans="2:2" ht="12.5">
      <c r="B242" s="21"/>
    </row>
    <row r="243" spans="2:2" ht="12.5">
      <c r="B243" s="21"/>
    </row>
    <row r="244" spans="2:2" ht="12.5">
      <c r="B244" s="21"/>
    </row>
    <row r="245" spans="2:2" ht="12.5">
      <c r="B245" s="21"/>
    </row>
    <row r="246" spans="2:2" ht="12.5">
      <c r="B246" s="21"/>
    </row>
    <row r="247" spans="2:2" ht="12.5">
      <c r="B247" s="21"/>
    </row>
    <row r="248" spans="2:2" ht="12.5">
      <c r="B248" s="21"/>
    </row>
    <row r="249" spans="2:2" ht="12.5">
      <c r="B249" s="21"/>
    </row>
    <row r="250" spans="2:2" ht="12.5">
      <c r="B250" s="21"/>
    </row>
    <row r="251" spans="2:2" ht="12.5">
      <c r="B251" s="21"/>
    </row>
    <row r="252" spans="2:2" ht="12.5">
      <c r="B252" s="21"/>
    </row>
    <row r="253" spans="2:2" ht="12.5">
      <c r="B253" s="21"/>
    </row>
    <row r="254" spans="2:2" ht="12.5">
      <c r="B254" s="21"/>
    </row>
    <row r="255" spans="2:2" ht="12.5">
      <c r="B255" s="21"/>
    </row>
    <row r="256" spans="2:2" ht="12.5">
      <c r="B256" s="21"/>
    </row>
    <row r="257" spans="2:2" ht="12.5">
      <c r="B257" s="21"/>
    </row>
    <row r="258" spans="2:2" ht="12.5">
      <c r="B258" s="21"/>
    </row>
    <row r="259" spans="2:2" ht="12.5">
      <c r="B259" s="21"/>
    </row>
    <row r="260" spans="2:2" ht="12.5">
      <c r="B260" s="21"/>
    </row>
    <row r="261" spans="2:2" ht="12.5">
      <c r="B261" s="21"/>
    </row>
    <row r="262" spans="2:2" ht="12.5">
      <c r="B262" s="21"/>
    </row>
    <row r="263" spans="2:2" ht="12.5">
      <c r="B263" s="21"/>
    </row>
    <row r="264" spans="2:2" ht="12.5">
      <c r="B264" s="21"/>
    </row>
    <row r="265" spans="2:2" ht="12.5">
      <c r="B265" s="21"/>
    </row>
    <row r="266" spans="2:2" ht="12.5">
      <c r="B266" s="21"/>
    </row>
    <row r="267" spans="2:2" ht="12.5">
      <c r="B267" s="21"/>
    </row>
    <row r="268" spans="2:2" ht="12.5">
      <c r="B268" s="21"/>
    </row>
    <row r="269" spans="2:2" ht="12.5">
      <c r="B269" s="21"/>
    </row>
    <row r="270" spans="2:2" ht="12.5">
      <c r="B270" s="21"/>
    </row>
    <row r="271" spans="2:2" ht="12.5">
      <c r="B271" s="21"/>
    </row>
    <row r="272" spans="2:2" ht="12.5">
      <c r="B272" s="21"/>
    </row>
    <row r="273" spans="2:2" ht="12.5">
      <c r="B273" s="21"/>
    </row>
    <row r="274" spans="2:2" ht="12.5">
      <c r="B274" s="21"/>
    </row>
    <row r="275" spans="2:2" ht="12.5">
      <c r="B275" s="21"/>
    </row>
    <row r="276" spans="2:2" ht="12.5">
      <c r="B276" s="21"/>
    </row>
    <row r="277" spans="2:2" ht="12.5">
      <c r="B277" s="21"/>
    </row>
    <row r="278" spans="2:2" ht="12.5">
      <c r="B278" s="21"/>
    </row>
    <row r="279" spans="2:2" ht="12.5">
      <c r="B279" s="21"/>
    </row>
    <row r="280" spans="2:2" ht="12.5">
      <c r="B280" s="21"/>
    </row>
    <row r="281" spans="2:2" ht="12.5">
      <c r="B281" s="21"/>
    </row>
    <row r="282" spans="2:2" ht="12.5">
      <c r="B282" s="21"/>
    </row>
    <row r="283" spans="2:2" ht="12.5">
      <c r="B283" s="21"/>
    </row>
    <row r="284" spans="2:2" ht="12.5">
      <c r="B284" s="21"/>
    </row>
    <row r="285" spans="2:2" ht="12.5">
      <c r="B285" s="21"/>
    </row>
    <row r="286" spans="2:2" ht="12.5">
      <c r="B286" s="21"/>
    </row>
    <row r="287" spans="2:2" ht="12.5">
      <c r="B287" s="21"/>
    </row>
    <row r="288" spans="2:2" ht="12.5">
      <c r="B288" s="21"/>
    </row>
    <row r="289" spans="2:2" ht="12.5">
      <c r="B289" s="21"/>
    </row>
    <row r="290" spans="2:2" ht="12.5">
      <c r="B290" s="21"/>
    </row>
    <row r="291" spans="2:2" ht="12.5">
      <c r="B291" s="21"/>
    </row>
    <row r="292" spans="2:2" ht="12.5">
      <c r="B292" s="21"/>
    </row>
    <row r="293" spans="2:2" ht="12.5">
      <c r="B293" s="21"/>
    </row>
    <row r="294" spans="2:2" ht="12.5">
      <c r="B294" s="21"/>
    </row>
    <row r="295" spans="2:2" ht="12.5">
      <c r="B295" s="21"/>
    </row>
    <row r="296" spans="2:2" ht="12.5">
      <c r="B296" s="21"/>
    </row>
    <row r="297" spans="2:2" ht="12.5">
      <c r="B297" s="21"/>
    </row>
    <row r="298" spans="2:2" ht="12.5">
      <c r="B298" s="21"/>
    </row>
    <row r="299" spans="2:2" ht="12.5">
      <c r="B299" s="21"/>
    </row>
    <row r="300" spans="2:2" ht="12.5">
      <c r="B300" s="21"/>
    </row>
    <row r="301" spans="2:2" ht="12.5">
      <c r="B301" s="21"/>
    </row>
    <row r="302" spans="2:2" ht="12.5">
      <c r="B302" s="21"/>
    </row>
    <row r="303" spans="2:2" ht="12.5">
      <c r="B303" s="21"/>
    </row>
    <row r="304" spans="2:2" ht="12.5">
      <c r="B304" s="21"/>
    </row>
    <row r="305" spans="2:2" ht="12.5">
      <c r="B305" s="21"/>
    </row>
    <row r="306" spans="2:2" ht="12.5">
      <c r="B306" s="21"/>
    </row>
    <row r="307" spans="2:2" ht="12.5">
      <c r="B307" s="21"/>
    </row>
    <row r="308" spans="2:2" ht="12.5">
      <c r="B308" s="21"/>
    </row>
    <row r="309" spans="2:2" ht="12.5">
      <c r="B309" s="21"/>
    </row>
    <row r="310" spans="2:2" ht="12.5">
      <c r="B310" s="21"/>
    </row>
    <row r="311" spans="2:2" ht="12.5">
      <c r="B311" s="21"/>
    </row>
    <row r="312" spans="2:2" ht="12.5">
      <c r="B312" s="21"/>
    </row>
    <row r="313" spans="2:2" ht="12.5">
      <c r="B313" s="21"/>
    </row>
    <row r="314" spans="2:2" ht="12.5">
      <c r="B314" s="21"/>
    </row>
    <row r="315" spans="2:2" ht="12.5">
      <c r="B315" s="21"/>
    </row>
    <row r="316" spans="2:2" ht="12.5">
      <c r="B316" s="21"/>
    </row>
    <row r="317" spans="2:2" ht="12.5">
      <c r="B317" s="21"/>
    </row>
    <row r="318" spans="2:2" ht="12.5">
      <c r="B318" s="21"/>
    </row>
    <row r="319" spans="2:2" ht="12.5">
      <c r="B319" s="21"/>
    </row>
    <row r="320" spans="2:2" ht="12.5">
      <c r="B320" s="21"/>
    </row>
    <row r="321" spans="2:2" ht="12.5">
      <c r="B321" s="21"/>
    </row>
    <row r="322" spans="2:2" ht="12.5">
      <c r="B322" s="21"/>
    </row>
    <row r="323" spans="2:2" ht="12.5">
      <c r="B323" s="21"/>
    </row>
    <row r="324" spans="2:2" ht="12.5">
      <c r="B324" s="21"/>
    </row>
    <row r="325" spans="2:2" ht="12.5">
      <c r="B325" s="21"/>
    </row>
    <row r="326" spans="2:2" ht="12.5">
      <c r="B326" s="21"/>
    </row>
    <row r="327" spans="2:2" ht="12.5">
      <c r="B327" s="21"/>
    </row>
    <row r="328" spans="2:2" ht="12.5">
      <c r="B328" s="21"/>
    </row>
    <row r="329" spans="2:2" ht="12.5">
      <c r="B329" s="21"/>
    </row>
    <row r="330" spans="2:2" ht="12.5">
      <c r="B330" s="21"/>
    </row>
    <row r="331" spans="2:2" ht="12.5">
      <c r="B331" s="21"/>
    </row>
    <row r="332" spans="2:2" ht="12.5">
      <c r="B332" s="21"/>
    </row>
    <row r="333" spans="2:2" ht="12.5">
      <c r="B333" s="21"/>
    </row>
    <row r="334" spans="2:2" ht="12.5">
      <c r="B334" s="21"/>
    </row>
    <row r="335" spans="2:2" ht="12.5">
      <c r="B335" s="21"/>
    </row>
    <row r="336" spans="2:2" ht="12.5">
      <c r="B336" s="21"/>
    </row>
    <row r="337" spans="2:2" ht="12.5">
      <c r="B337" s="21"/>
    </row>
    <row r="338" spans="2:2" ht="12.5">
      <c r="B338" s="21"/>
    </row>
    <row r="339" spans="2:2" ht="12.5">
      <c r="B339" s="21"/>
    </row>
    <row r="340" spans="2:2" ht="12.5">
      <c r="B340" s="21"/>
    </row>
    <row r="341" spans="2:2" ht="12.5">
      <c r="B341" s="21"/>
    </row>
    <row r="342" spans="2:2" ht="12.5">
      <c r="B342" s="21"/>
    </row>
    <row r="343" spans="2:2" ht="12.5">
      <c r="B343" s="21"/>
    </row>
    <row r="344" spans="2:2" ht="12.5">
      <c r="B344" s="21"/>
    </row>
    <row r="345" spans="2:2" ht="12.5">
      <c r="B345" s="21"/>
    </row>
    <row r="346" spans="2:2" ht="12.5">
      <c r="B346" s="21"/>
    </row>
    <row r="347" spans="2:2" ht="12.5">
      <c r="B347" s="21"/>
    </row>
    <row r="348" spans="2:2" ht="12.5">
      <c r="B348" s="21"/>
    </row>
    <row r="349" spans="2:2" ht="12.5">
      <c r="B349" s="21"/>
    </row>
    <row r="350" spans="2:2" ht="12.5">
      <c r="B350" s="21"/>
    </row>
    <row r="351" spans="2:2" ht="12.5">
      <c r="B351" s="21"/>
    </row>
    <row r="352" spans="2:2" ht="12.5">
      <c r="B352" s="21"/>
    </row>
    <row r="353" spans="2:2" ht="12.5">
      <c r="B353" s="21"/>
    </row>
    <row r="354" spans="2:2" ht="12.5">
      <c r="B354" s="21"/>
    </row>
    <row r="355" spans="2:2" ht="12.5">
      <c r="B355" s="21"/>
    </row>
    <row r="356" spans="2:2" ht="12.5">
      <c r="B356" s="21"/>
    </row>
    <row r="357" spans="2:2" ht="12.5">
      <c r="B357" s="21"/>
    </row>
    <row r="358" spans="2:2" ht="12.5">
      <c r="B358" s="21"/>
    </row>
    <row r="359" spans="2:2" ht="12.5">
      <c r="B359" s="21"/>
    </row>
    <row r="360" spans="2:2" ht="12.5">
      <c r="B360" s="21"/>
    </row>
    <row r="361" spans="2:2" ht="12.5">
      <c r="B361" s="21"/>
    </row>
    <row r="362" spans="2:2" ht="12.5">
      <c r="B362" s="21"/>
    </row>
    <row r="363" spans="2:2" ht="12.5">
      <c r="B363" s="21"/>
    </row>
    <row r="364" spans="2:2" ht="12.5">
      <c r="B364" s="21"/>
    </row>
    <row r="365" spans="2:2" ht="12.5">
      <c r="B365" s="21"/>
    </row>
    <row r="366" spans="2:2" ht="12.5">
      <c r="B366" s="21"/>
    </row>
    <row r="367" spans="2:2" ht="12.5">
      <c r="B367" s="21"/>
    </row>
    <row r="368" spans="2:2" ht="12.5">
      <c r="B368" s="21"/>
    </row>
    <row r="369" spans="2:2" ht="12.5">
      <c r="B369" s="21"/>
    </row>
    <row r="370" spans="2:2" ht="12.5">
      <c r="B370" s="21"/>
    </row>
    <row r="371" spans="2:2" ht="12.5">
      <c r="B371" s="21"/>
    </row>
    <row r="372" spans="2:2" ht="12.5">
      <c r="B372" s="21"/>
    </row>
    <row r="373" spans="2:2" ht="12.5">
      <c r="B373" s="21"/>
    </row>
    <row r="374" spans="2:2" ht="12.5">
      <c r="B374" s="21"/>
    </row>
    <row r="375" spans="2:2" ht="12.5">
      <c r="B375" s="21"/>
    </row>
    <row r="376" spans="2:2" ht="12.5">
      <c r="B376" s="21"/>
    </row>
    <row r="377" spans="2:2" ht="12.5">
      <c r="B377" s="21"/>
    </row>
    <row r="378" spans="2:2" ht="12.5">
      <c r="B378" s="21"/>
    </row>
    <row r="379" spans="2:2" ht="12.5">
      <c r="B379" s="21"/>
    </row>
    <row r="380" spans="2:2" ht="12.5">
      <c r="B380" s="21"/>
    </row>
    <row r="381" spans="2:2" ht="12.5">
      <c r="B381" s="21"/>
    </row>
    <row r="382" spans="2:2" ht="12.5">
      <c r="B382" s="21"/>
    </row>
    <row r="383" spans="2:2" ht="12.5">
      <c r="B383" s="21"/>
    </row>
    <row r="384" spans="2:2" ht="12.5">
      <c r="B384" s="21"/>
    </row>
    <row r="385" spans="2:2" ht="12.5">
      <c r="B385" s="21"/>
    </row>
    <row r="386" spans="2:2" ht="12.5">
      <c r="B386" s="21"/>
    </row>
    <row r="387" spans="2:2" ht="12.5">
      <c r="B387" s="21"/>
    </row>
    <row r="388" spans="2:2" ht="12.5">
      <c r="B388" s="21"/>
    </row>
    <row r="389" spans="2:2" ht="12.5">
      <c r="B389" s="21"/>
    </row>
    <row r="390" spans="2:2" ht="12.5">
      <c r="B390" s="21"/>
    </row>
    <row r="391" spans="2:2" ht="12.5">
      <c r="B391" s="21"/>
    </row>
    <row r="392" spans="2:2" ht="12.5">
      <c r="B392" s="21"/>
    </row>
    <row r="393" spans="2:2" ht="12.5">
      <c r="B393" s="21"/>
    </row>
    <row r="394" spans="2:2" ht="12.5">
      <c r="B394" s="21"/>
    </row>
    <row r="395" spans="2:2" ht="12.5">
      <c r="B395" s="21"/>
    </row>
    <row r="396" spans="2:2" ht="12.5">
      <c r="B396" s="21"/>
    </row>
    <row r="397" spans="2:2" ht="12.5">
      <c r="B397" s="21"/>
    </row>
    <row r="398" spans="2:2" ht="12.5">
      <c r="B398" s="21"/>
    </row>
    <row r="399" spans="2:2" ht="12.5">
      <c r="B399" s="21"/>
    </row>
    <row r="400" spans="2:2" ht="12.5">
      <c r="B400" s="21"/>
    </row>
    <row r="401" spans="2:2" ht="12.5">
      <c r="B401" s="21"/>
    </row>
    <row r="402" spans="2:2" ht="12.5">
      <c r="B402" s="21"/>
    </row>
    <row r="403" spans="2:2" ht="12.5">
      <c r="B403" s="21"/>
    </row>
    <row r="404" spans="2:2" ht="12.5">
      <c r="B404" s="21"/>
    </row>
    <row r="405" spans="2:2" ht="12.5">
      <c r="B405" s="21"/>
    </row>
    <row r="406" spans="2:2" ht="12.5">
      <c r="B406" s="21"/>
    </row>
    <row r="407" spans="2:2" ht="12.5">
      <c r="B407" s="21"/>
    </row>
    <row r="408" spans="2:2" ht="12.5">
      <c r="B408" s="21"/>
    </row>
    <row r="409" spans="2:2" ht="12.5">
      <c r="B409" s="21"/>
    </row>
    <row r="410" spans="2:2" ht="12.5">
      <c r="B410" s="21"/>
    </row>
    <row r="411" spans="2:2" ht="12.5">
      <c r="B411" s="21"/>
    </row>
    <row r="412" spans="2:2" ht="12.5">
      <c r="B412" s="21"/>
    </row>
    <row r="413" spans="2:2" ht="12.5">
      <c r="B413" s="21"/>
    </row>
    <row r="414" spans="2:2" ht="12.5">
      <c r="B414" s="21"/>
    </row>
    <row r="415" spans="2:2" ht="12.5">
      <c r="B415" s="21"/>
    </row>
    <row r="416" spans="2:2" ht="12.5">
      <c r="B416" s="21"/>
    </row>
    <row r="417" spans="2:2" ht="12.5">
      <c r="B417" s="21"/>
    </row>
    <row r="418" spans="2:2" ht="12.5">
      <c r="B418" s="21"/>
    </row>
    <row r="419" spans="2:2" ht="12.5">
      <c r="B419" s="21"/>
    </row>
    <row r="420" spans="2:2" ht="12.5">
      <c r="B420" s="21"/>
    </row>
    <row r="421" spans="2:2" ht="12.5">
      <c r="B421" s="21"/>
    </row>
    <row r="422" spans="2:2" ht="12.5">
      <c r="B422" s="21"/>
    </row>
    <row r="423" spans="2:2" ht="12.5">
      <c r="B423" s="21"/>
    </row>
    <row r="424" spans="2:2" ht="12.5">
      <c r="B424" s="21"/>
    </row>
    <row r="425" spans="2:2" ht="12.5">
      <c r="B425" s="21"/>
    </row>
    <row r="426" spans="2:2" ht="12.5">
      <c r="B426" s="21"/>
    </row>
    <row r="427" spans="2:2" ht="12.5">
      <c r="B427" s="21"/>
    </row>
    <row r="428" spans="2:2" ht="12.5">
      <c r="B428" s="21"/>
    </row>
    <row r="429" spans="2:2" ht="12.5">
      <c r="B429" s="21"/>
    </row>
    <row r="430" spans="2:2" ht="12.5">
      <c r="B430" s="21"/>
    </row>
    <row r="431" spans="2:2" ht="12.5">
      <c r="B431" s="21"/>
    </row>
    <row r="432" spans="2:2" ht="12.5">
      <c r="B432" s="21"/>
    </row>
    <row r="433" spans="2:2" ht="12.5">
      <c r="B433" s="21"/>
    </row>
    <row r="434" spans="2:2" ht="12.5">
      <c r="B434" s="21"/>
    </row>
    <row r="435" spans="2:2" ht="12.5">
      <c r="B435" s="21"/>
    </row>
    <row r="436" spans="2:2" ht="12.5">
      <c r="B436" s="21"/>
    </row>
    <row r="437" spans="2:2" ht="12.5">
      <c r="B437" s="21"/>
    </row>
    <row r="438" spans="2:2" ht="12.5">
      <c r="B438" s="21"/>
    </row>
    <row r="439" spans="2:2" ht="12.5">
      <c r="B439" s="21"/>
    </row>
    <row r="440" spans="2:2" ht="12.5">
      <c r="B440" s="21"/>
    </row>
    <row r="441" spans="2:2" ht="12.5">
      <c r="B441" s="21"/>
    </row>
    <row r="442" spans="2:2" ht="12.5">
      <c r="B442" s="21"/>
    </row>
    <row r="443" spans="2:2" ht="12.5">
      <c r="B443" s="21"/>
    </row>
    <row r="444" spans="2:2" ht="12.5">
      <c r="B444" s="21"/>
    </row>
    <row r="445" spans="2:2" ht="12.5">
      <c r="B445" s="21"/>
    </row>
    <row r="446" spans="2:2" ht="12.5">
      <c r="B446" s="21"/>
    </row>
    <row r="447" spans="2:2" ht="12.5">
      <c r="B447" s="21"/>
    </row>
    <row r="448" spans="2:2" ht="12.5">
      <c r="B448" s="21"/>
    </row>
    <row r="449" spans="2:2" ht="12.5">
      <c r="B449" s="21"/>
    </row>
    <row r="450" spans="2:2" ht="12.5">
      <c r="B450" s="21"/>
    </row>
    <row r="451" spans="2:2" ht="12.5">
      <c r="B451" s="21"/>
    </row>
    <row r="452" spans="2:2" ht="12.5">
      <c r="B452" s="21"/>
    </row>
    <row r="453" spans="2:2" ht="12.5">
      <c r="B453" s="21"/>
    </row>
    <row r="454" spans="2:2" ht="12.5">
      <c r="B454" s="21"/>
    </row>
    <row r="455" spans="2:2" ht="12.5">
      <c r="B455" s="21"/>
    </row>
    <row r="456" spans="2:2" ht="12.5">
      <c r="B456" s="21"/>
    </row>
    <row r="457" spans="2:2" ht="12.5">
      <c r="B457" s="21"/>
    </row>
    <row r="458" spans="2:2" ht="12.5">
      <c r="B458" s="21"/>
    </row>
    <row r="459" spans="2:2" ht="12.5">
      <c r="B459" s="21"/>
    </row>
    <row r="460" spans="2:2" ht="12.5">
      <c r="B460" s="21"/>
    </row>
    <row r="461" spans="2:2" ht="12.5">
      <c r="B461" s="21"/>
    </row>
    <row r="462" spans="2:2" ht="12.5">
      <c r="B462" s="21"/>
    </row>
    <row r="463" spans="2:2" ht="12.5">
      <c r="B463" s="21"/>
    </row>
    <row r="464" spans="2:2" ht="12.5">
      <c r="B464" s="21"/>
    </row>
    <row r="465" spans="2:2" ht="12.5">
      <c r="B465" s="21"/>
    </row>
    <row r="466" spans="2:2" ht="12.5">
      <c r="B466" s="21"/>
    </row>
    <row r="467" spans="2:2" ht="12.5">
      <c r="B467" s="21"/>
    </row>
    <row r="468" spans="2:2" ht="12.5">
      <c r="B468" s="21"/>
    </row>
    <row r="469" spans="2:2" ht="12.5">
      <c r="B469" s="21"/>
    </row>
    <row r="470" spans="2:2" ht="12.5">
      <c r="B470" s="21"/>
    </row>
    <row r="471" spans="2:2" ht="12.5">
      <c r="B471" s="21"/>
    </row>
    <row r="472" spans="2:2" ht="12.5">
      <c r="B472" s="21"/>
    </row>
    <row r="473" spans="2:2" ht="12.5">
      <c r="B473" s="21"/>
    </row>
    <row r="474" spans="2:2" ht="12.5">
      <c r="B474" s="21"/>
    </row>
    <row r="475" spans="2:2" ht="12.5">
      <c r="B475" s="21"/>
    </row>
    <row r="476" spans="2:2" ht="12.5">
      <c r="B476" s="21"/>
    </row>
    <row r="477" spans="2:2" ht="12.5">
      <c r="B477" s="21"/>
    </row>
    <row r="478" spans="2:2" ht="12.5">
      <c r="B478" s="21"/>
    </row>
    <row r="479" spans="2:2" ht="12.5">
      <c r="B479" s="21"/>
    </row>
    <row r="480" spans="2:2" ht="12.5">
      <c r="B480" s="21"/>
    </row>
    <row r="481" spans="2:2" ht="12.5">
      <c r="B481" s="21"/>
    </row>
    <row r="482" spans="2:2" ht="12.5">
      <c r="B482" s="21"/>
    </row>
    <row r="483" spans="2:2" ht="12.5">
      <c r="B483" s="21"/>
    </row>
    <row r="484" spans="2:2" ht="12.5">
      <c r="B484" s="21"/>
    </row>
    <row r="485" spans="2:2" ht="12.5">
      <c r="B485" s="21"/>
    </row>
    <row r="486" spans="2:2" ht="12.5">
      <c r="B486" s="21"/>
    </row>
    <row r="487" spans="2:2" ht="12.5">
      <c r="B487" s="21"/>
    </row>
    <row r="488" spans="2:2" ht="12.5">
      <c r="B488" s="21"/>
    </row>
    <row r="489" spans="2:2" ht="12.5">
      <c r="B489" s="21"/>
    </row>
    <row r="490" spans="2:2" ht="12.5">
      <c r="B490" s="21"/>
    </row>
    <row r="491" spans="2:2" ht="12.5">
      <c r="B491" s="21"/>
    </row>
    <row r="492" spans="2:2" ht="12.5">
      <c r="B492" s="21"/>
    </row>
    <row r="493" spans="2:2" ht="12.5">
      <c r="B493" s="21"/>
    </row>
    <row r="494" spans="2:2" ht="12.5">
      <c r="B494" s="21"/>
    </row>
    <row r="495" spans="2:2" ht="12.5">
      <c r="B495" s="21"/>
    </row>
    <row r="496" spans="2:2" ht="12.5">
      <c r="B496" s="21"/>
    </row>
    <row r="497" spans="2:2" ht="12.5">
      <c r="B497" s="21"/>
    </row>
    <row r="498" spans="2:2" ht="12.5">
      <c r="B498" s="21"/>
    </row>
    <row r="499" spans="2:2" ht="12.5">
      <c r="B499" s="21"/>
    </row>
    <row r="500" spans="2:2" ht="12.5">
      <c r="B500" s="21"/>
    </row>
    <row r="501" spans="2:2" ht="12.5">
      <c r="B501" s="21"/>
    </row>
    <row r="502" spans="2:2" ht="12.5">
      <c r="B502" s="21"/>
    </row>
    <row r="503" spans="2:2" ht="12.5">
      <c r="B503" s="21"/>
    </row>
    <row r="504" spans="2:2" ht="12.5">
      <c r="B504" s="21"/>
    </row>
    <row r="505" spans="2:2" ht="12.5">
      <c r="B505" s="21"/>
    </row>
    <row r="506" spans="2:2" ht="12.5">
      <c r="B506" s="21"/>
    </row>
    <row r="507" spans="2:2" ht="12.5">
      <c r="B507" s="21"/>
    </row>
    <row r="508" spans="2:2" ht="12.5">
      <c r="B508" s="21"/>
    </row>
    <row r="509" spans="2:2" ht="12.5">
      <c r="B509" s="21"/>
    </row>
    <row r="510" spans="2:2" ht="12.5">
      <c r="B510" s="21"/>
    </row>
    <row r="511" spans="2:2" ht="12.5">
      <c r="B511" s="21"/>
    </row>
    <row r="512" spans="2:2" ht="12.5">
      <c r="B512" s="21"/>
    </row>
    <row r="513" spans="2:2" ht="12.5">
      <c r="B513" s="21"/>
    </row>
    <row r="514" spans="2:2" ht="12.5">
      <c r="B514" s="21"/>
    </row>
    <row r="515" spans="2:2" ht="12.5">
      <c r="B515" s="21"/>
    </row>
    <row r="516" spans="2:2" ht="12.5">
      <c r="B516" s="21"/>
    </row>
    <row r="517" spans="2:2" ht="12.5">
      <c r="B517" s="21"/>
    </row>
    <row r="518" spans="2:2" ht="12.5">
      <c r="B518" s="21"/>
    </row>
    <row r="519" spans="2:2" ht="12.5">
      <c r="B519" s="21"/>
    </row>
    <row r="520" spans="2:2" ht="12.5">
      <c r="B520" s="21"/>
    </row>
    <row r="521" spans="2:2" ht="12.5">
      <c r="B521" s="21"/>
    </row>
    <row r="522" spans="2:2" ht="12.5">
      <c r="B522" s="21"/>
    </row>
    <row r="523" spans="2:2" ht="12.5">
      <c r="B523" s="21"/>
    </row>
    <row r="524" spans="2:2" ht="12.5">
      <c r="B524" s="21"/>
    </row>
    <row r="525" spans="2:2" ht="12.5">
      <c r="B525" s="21"/>
    </row>
    <row r="526" spans="2:2" ht="12.5">
      <c r="B526" s="21"/>
    </row>
    <row r="527" spans="2:2" ht="12.5">
      <c r="B527" s="21"/>
    </row>
    <row r="528" spans="2:2" ht="12.5">
      <c r="B528" s="21"/>
    </row>
    <row r="529" spans="2:2" ht="12.5">
      <c r="B529" s="21"/>
    </row>
    <row r="530" spans="2:2" ht="12.5">
      <c r="B530" s="21"/>
    </row>
    <row r="531" spans="2:2" ht="12.5">
      <c r="B531" s="21"/>
    </row>
    <row r="532" spans="2:2" ht="12.5">
      <c r="B532" s="21"/>
    </row>
    <row r="533" spans="2:2" ht="12.5">
      <c r="B533" s="21"/>
    </row>
    <row r="534" spans="2:2" ht="12.5">
      <c r="B534" s="21"/>
    </row>
    <row r="535" spans="2:2" ht="12.5">
      <c r="B535" s="21"/>
    </row>
    <row r="536" spans="2:2" ht="12.5">
      <c r="B536" s="21"/>
    </row>
    <row r="537" spans="2:2" ht="12.5">
      <c r="B537" s="21"/>
    </row>
    <row r="538" spans="2:2" ht="12.5">
      <c r="B538" s="21"/>
    </row>
    <row r="539" spans="2:2" ht="12.5">
      <c r="B539" s="21"/>
    </row>
    <row r="540" spans="2:2" ht="12.5">
      <c r="B540" s="21"/>
    </row>
    <row r="541" spans="2:2" ht="12.5">
      <c r="B541" s="21"/>
    </row>
    <row r="542" spans="2:2" ht="12.5">
      <c r="B542" s="21"/>
    </row>
    <row r="543" spans="2:2" ht="12.5">
      <c r="B543" s="21"/>
    </row>
    <row r="544" spans="2:2" ht="12.5">
      <c r="B544" s="21"/>
    </row>
    <row r="545" spans="2:2" ht="12.5">
      <c r="B545" s="21"/>
    </row>
    <row r="546" spans="2:2" ht="12.5">
      <c r="B546" s="21"/>
    </row>
    <row r="547" spans="2:2" ht="12.5">
      <c r="B547" s="21"/>
    </row>
    <row r="548" spans="2:2" ht="12.5">
      <c r="B548" s="21"/>
    </row>
    <row r="549" spans="2:2" ht="12.5">
      <c r="B549" s="21"/>
    </row>
    <row r="550" spans="2:2" ht="12.5">
      <c r="B550" s="21"/>
    </row>
    <row r="551" spans="2:2" ht="12.5">
      <c r="B551" s="21"/>
    </row>
    <row r="552" spans="2:2" ht="12.5">
      <c r="B552" s="21"/>
    </row>
    <row r="553" spans="2:2" ht="12.5">
      <c r="B553" s="21"/>
    </row>
    <row r="554" spans="2:2" ht="12.5">
      <c r="B554" s="21"/>
    </row>
    <row r="555" spans="2:2" ht="12.5">
      <c r="B555" s="21"/>
    </row>
    <row r="556" spans="2:2" ht="12.5">
      <c r="B556" s="21"/>
    </row>
    <row r="557" spans="2:2" ht="12.5">
      <c r="B557" s="21"/>
    </row>
    <row r="558" spans="2:2" ht="12.5">
      <c r="B558" s="21"/>
    </row>
    <row r="559" spans="2:2" ht="12.5">
      <c r="B559" s="21"/>
    </row>
    <row r="560" spans="2:2" ht="12.5">
      <c r="B560" s="21"/>
    </row>
    <row r="561" spans="2:2" ht="12.5">
      <c r="B561" s="21"/>
    </row>
    <row r="562" spans="2:2" ht="12.5">
      <c r="B562" s="21"/>
    </row>
    <row r="563" spans="2:2" ht="12.5">
      <c r="B563" s="21"/>
    </row>
    <row r="564" spans="2:2" ht="12.5">
      <c r="B564" s="21"/>
    </row>
    <row r="565" spans="2:2" ht="12.5">
      <c r="B565" s="21"/>
    </row>
    <row r="566" spans="2:2" ht="12.5">
      <c r="B566" s="21"/>
    </row>
    <row r="567" spans="2:2" ht="12.5">
      <c r="B567" s="21"/>
    </row>
    <row r="568" spans="2:2" ht="12.5">
      <c r="B568" s="21"/>
    </row>
    <row r="569" spans="2:2" ht="12.5">
      <c r="B569" s="21"/>
    </row>
    <row r="570" spans="2:2" ht="12.5">
      <c r="B570" s="21"/>
    </row>
    <row r="571" spans="2:2" ht="12.5">
      <c r="B571" s="21"/>
    </row>
    <row r="572" spans="2:2" ht="12.5">
      <c r="B572" s="21"/>
    </row>
    <row r="573" spans="2:2" ht="12.5">
      <c r="B573" s="21"/>
    </row>
    <row r="574" spans="2:2" ht="12.5">
      <c r="B574" s="21"/>
    </row>
    <row r="575" spans="2:2" ht="12.5">
      <c r="B575" s="21"/>
    </row>
    <row r="576" spans="2:2" ht="12.5">
      <c r="B576" s="21"/>
    </row>
    <row r="577" spans="2:2" ht="12.5">
      <c r="B577" s="21"/>
    </row>
    <row r="578" spans="2:2" ht="12.5">
      <c r="B578" s="21"/>
    </row>
    <row r="579" spans="2:2" ht="12.5">
      <c r="B579" s="21"/>
    </row>
    <row r="580" spans="2:2" ht="12.5">
      <c r="B580" s="21"/>
    </row>
    <row r="581" spans="2:2" ht="12.5">
      <c r="B581" s="21"/>
    </row>
    <row r="582" spans="2:2" ht="12.5">
      <c r="B582" s="21"/>
    </row>
    <row r="583" spans="2:2" ht="12.5">
      <c r="B583" s="21"/>
    </row>
    <row r="584" spans="2:2" ht="12.5">
      <c r="B584" s="21"/>
    </row>
    <row r="585" spans="2:2" ht="12.5">
      <c r="B585" s="21"/>
    </row>
    <row r="586" spans="2:2" ht="12.5">
      <c r="B586" s="21"/>
    </row>
    <row r="587" spans="2:2" ht="12.5">
      <c r="B587" s="21"/>
    </row>
    <row r="588" spans="2:2" ht="12.5">
      <c r="B588" s="21"/>
    </row>
    <row r="589" spans="2:2" ht="12.5">
      <c r="B589" s="21"/>
    </row>
    <row r="590" spans="2:2" ht="12.5">
      <c r="B590" s="21"/>
    </row>
    <row r="591" spans="2:2" ht="12.5">
      <c r="B591" s="21"/>
    </row>
    <row r="592" spans="2:2" ht="12.5">
      <c r="B592" s="21"/>
    </row>
    <row r="593" spans="2:2" ht="12.5">
      <c r="B593" s="21"/>
    </row>
    <row r="594" spans="2:2" ht="12.5">
      <c r="B594" s="21"/>
    </row>
    <row r="595" spans="2:2" ht="12.5">
      <c r="B595" s="21"/>
    </row>
    <row r="596" spans="2:2" ht="12.5">
      <c r="B596" s="21"/>
    </row>
    <row r="597" spans="2:2" ht="12.5">
      <c r="B597" s="21"/>
    </row>
    <row r="598" spans="2:2" ht="12.5">
      <c r="B598" s="21"/>
    </row>
    <row r="599" spans="2:2" ht="12.5">
      <c r="B599" s="21"/>
    </row>
    <row r="600" spans="2:2" ht="12.5">
      <c r="B600" s="21"/>
    </row>
    <row r="601" spans="2:2" ht="12.5">
      <c r="B601" s="21"/>
    </row>
    <row r="602" spans="2:2" ht="12.5">
      <c r="B602" s="21"/>
    </row>
    <row r="603" spans="2:2" ht="12.5">
      <c r="B603" s="21"/>
    </row>
    <row r="604" spans="2:2" ht="12.5">
      <c r="B604" s="21"/>
    </row>
    <row r="605" spans="2:2" ht="12.5">
      <c r="B605" s="21"/>
    </row>
    <row r="606" spans="2:2" ht="12.5">
      <c r="B606" s="21"/>
    </row>
    <row r="607" spans="2:2" ht="12.5">
      <c r="B607" s="21"/>
    </row>
    <row r="608" spans="2:2" ht="12.5">
      <c r="B608" s="21"/>
    </row>
    <row r="609" spans="2:2" ht="12.5">
      <c r="B609" s="21"/>
    </row>
    <row r="610" spans="2:2" ht="12.5">
      <c r="B610" s="21"/>
    </row>
    <row r="611" spans="2:2" ht="12.5">
      <c r="B611" s="21"/>
    </row>
    <row r="612" spans="2:2" ht="12.5">
      <c r="B612" s="21"/>
    </row>
    <row r="613" spans="2:2" ht="12.5">
      <c r="B613" s="21"/>
    </row>
    <row r="614" spans="2:2" ht="12.5">
      <c r="B614" s="21"/>
    </row>
    <row r="615" spans="2:2" ht="12.5">
      <c r="B615" s="21"/>
    </row>
    <row r="616" spans="2:2" ht="12.5">
      <c r="B616" s="21"/>
    </row>
    <row r="617" spans="2:2" ht="12.5">
      <c r="B617" s="21"/>
    </row>
    <row r="618" spans="2:2" ht="12.5">
      <c r="B618" s="21"/>
    </row>
    <row r="619" spans="2:2" ht="12.5">
      <c r="B619" s="21"/>
    </row>
    <row r="620" spans="2:2" ht="12.5">
      <c r="B620" s="21"/>
    </row>
    <row r="621" spans="2:2" ht="12.5">
      <c r="B621" s="21"/>
    </row>
    <row r="622" spans="2:2" ht="12.5">
      <c r="B622" s="21"/>
    </row>
    <row r="623" spans="2:2" ht="12.5">
      <c r="B623" s="21"/>
    </row>
    <row r="624" spans="2:2" ht="12.5">
      <c r="B624" s="21"/>
    </row>
    <row r="625" spans="2:2" ht="12.5">
      <c r="B625" s="21"/>
    </row>
    <row r="626" spans="2:2" ht="12.5">
      <c r="B626" s="21"/>
    </row>
    <row r="627" spans="2:2" ht="12.5">
      <c r="B627" s="21"/>
    </row>
    <row r="628" spans="2:2" ht="12.5">
      <c r="B628" s="21"/>
    </row>
    <row r="629" spans="2:2" ht="12.5">
      <c r="B629" s="21"/>
    </row>
    <row r="630" spans="2:2" ht="12.5">
      <c r="B630" s="21"/>
    </row>
    <row r="631" spans="2:2" ht="12.5">
      <c r="B631" s="21"/>
    </row>
    <row r="632" spans="2:2" ht="12.5">
      <c r="B632" s="21"/>
    </row>
    <row r="633" spans="2:2" ht="12.5">
      <c r="B633" s="21"/>
    </row>
    <row r="634" spans="2:2" ht="12.5">
      <c r="B634" s="21"/>
    </row>
    <row r="635" spans="2:2" ht="12.5">
      <c r="B635" s="21"/>
    </row>
    <row r="636" spans="2:2" ht="12.5">
      <c r="B636" s="21"/>
    </row>
    <row r="637" spans="2:2" ht="12.5">
      <c r="B637" s="21"/>
    </row>
    <row r="638" spans="2:2" ht="12.5">
      <c r="B638" s="21"/>
    </row>
    <row r="639" spans="2:2" ht="12.5">
      <c r="B639" s="21"/>
    </row>
    <row r="640" spans="2:2" ht="12.5">
      <c r="B640" s="21"/>
    </row>
    <row r="641" spans="2:2" ht="12.5">
      <c r="B641" s="21"/>
    </row>
    <row r="642" spans="2:2" ht="12.5">
      <c r="B642" s="21"/>
    </row>
    <row r="643" spans="2:2" ht="12.5">
      <c r="B643" s="21"/>
    </row>
    <row r="644" spans="2:2" ht="12.5">
      <c r="B644" s="21"/>
    </row>
    <row r="645" spans="2:2" ht="12.5">
      <c r="B645" s="21"/>
    </row>
    <row r="646" spans="2:2" ht="12.5">
      <c r="B646" s="21"/>
    </row>
    <row r="647" spans="2:2" ht="12.5">
      <c r="B647" s="21"/>
    </row>
    <row r="648" spans="2:2" ht="12.5">
      <c r="B648" s="21"/>
    </row>
    <row r="649" spans="2:2" ht="12.5">
      <c r="B649" s="21"/>
    </row>
    <row r="650" spans="2:2" ht="12.5">
      <c r="B650" s="21"/>
    </row>
    <row r="651" spans="2:2" ht="12.5">
      <c r="B651" s="21"/>
    </row>
    <row r="652" spans="2:2" ht="12.5">
      <c r="B652" s="21"/>
    </row>
    <row r="653" spans="2:2" ht="12.5">
      <c r="B653" s="21"/>
    </row>
    <row r="654" spans="2:2" ht="12.5">
      <c r="B654" s="21"/>
    </row>
    <row r="655" spans="2:2" ht="12.5">
      <c r="B655" s="21"/>
    </row>
    <row r="656" spans="2:2" ht="12.5">
      <c r="B656" s="21"/>
    </row>
    <row r="657" spans="2:2" ht="12.5">
      <c r="B657" s="21"/>
    </row>
    <row r="658" spans="2:2" ht="12.5">
      <c r="B658" s="21"/>
    </row>
    <row r="659" spans="2:2" ht="12.5">
      <c r="B659" s="21"/>
    </row>
    <row r="660" spans="2:2" ht="12.5">
      <c r="B660" s="21"/>
    </row>
    <row r="661" spans="2:2" ht="12.5">
      <c r="B661" s="21"/>
    </row>
    <row r="662" spans="2:2" ht="12.5">
      <c r="B662" s="21"/>
    </row>
    <row r="663" spans="2:2" ht="12.5">
      <c r="B663" s="21"/>
    </row>
    <row r="664" spans="2:2" ht="12.5">
      <c r="B664" s="21"/>
    </row>
    <row r="665" spans="2:2" ht="12.5">
      <c r="B665" s="21"/>
    </row>
    <row r="666" spans="2:2" ht="12.5">
      <c r="B666" s="21"/>
    </row>
    <row r="667" spans="2:2" ht="12.5">
      <c r="B667" s="21"/>
    </row>
    <row r="668" spans="2:2" ht="12.5">
      <c r="B668" s="21"/>
    </row>
    <row r="669" spans="2:2" ht="12.5">
      <c r="B669" s="21"/>
    </row>
    <row r="670" spans="2:2" ht="12.5">
      <c r="B670" s="21"/>
    </row>
    <row r="671" spans="2:2" ht="12.5">
      <c r="B671" s="21"/>
    </row>
    <row r="672" spans="2:2" ht="12.5">
      <c r="B672" s="21"/>
    </row>
    <row r="673" spans="2:2" ht="12.5">
      <c r="B673" s="21"/>
    </row>
    <row r="674" spans="2:2" ht="12.5">
      <c r="B674" s="21"/>
    </row>
    <row r="675" spans="2:2" ht="12.5">
      <c r="B675" s="21"/>
    </row>
    <row r="676" spans="2:2" ht="12.5">
      <c r="B676" s="21"/>
    </row>
    <row r="677" spans="2:2" ht="12.5">
      <c r="B677" s="21"/>
    </row>
    <row r="678" spans="2:2" ht="12.5">
      <c r="B678" s="21"/>
    </row>
    <row r="679" spans="2:2" ht="12.5">
      <c r="B679" s="21"/>
    </row>
    <row r="680" spans="2:2" ht="12.5">
      <c r="B680" s="21"/>
    </row>
    <row r="681" spans="2:2" ht="12.5">
      <c r="B681" s="21"/>
    </row>
    <row r="682" spans="2:2" ht="12.5">
      <c r="B682" s="21"/>
    </row>
    <row r="683" spans="2:2" ht="12.5">
      <c r="B683" s="21"/>
    </row>
    <row r="684" spans="2:2" ht="12.5">
      <c r="B684" s="21"/>
    </row>
    <row r="685" spans="2:2" ht="12.5">
      <c r="B685" s="21"/>
    </row>
    <row r="686" spans="2:2" ht="12.5">
      <c r="B686" s="21"/>
    </row>
    <row r="687" spans="2:2" ht="12.5">
      <c r="B687" s="21"/>
    </row>
    <row r="688" spans="2:2" ht="12.5">
      <c r="B688" s="21"/>
    </row>
    <row r="689" spans="2:2" ht="12.5">
      <c r="B689" s="21"/>
    </row>
    <row r="690" spans="2:2" ht="12.5">
      <c r="B690" s="21"/>
    </row>
    <row r="691" spans="2:2" ht="12.5">
      <c r="B691" s="21"/>
    </row>
    <row r="692" spans="2:2" ht="12.5">
      <c r="B692" s="21"/>
    </row>
    <row r="693" spans="2:2" ht="12.5">
      <c r="B693" s="21"/>
    </row>
    <row r="694" spans="2:2" ht="12.5">
      <c r="B694" s="21"/>
    </row>
    <row r="695" spans="2:2" ht="12.5">
      <c r="B695" s="21"/>
    </row>
    <row r="696" spans="2:2" ht="12.5">
      <c r="B696" s="21"/>
    </row>
    <row r="697" spans="2:2" ht="12.5">
      <c r="B697" s="21"/>
    </row>
    <row r="698" spans="2:2" ht="12.5">
      <c r="B698" s="21"/>
    </row>
    <row r="699" spans="2:2" ht="12.5">
      <c r="B699" s="21"/>
    </row>
    <row r="700" spans="2:2" ht="12.5">
      <c r="B700" s="21"/>
    </row>
    <row r="701" spans="2:2" ht="12.5">
      <c r="B701" s="21"/>
    </row>
    <row r="702" spans="2:2" ht="12.5">
      <c r="B702" s="21"/>
    </row>
    <row r="703" spans="2:2" ht="12.5">
      <c r="B703" s="21"/>
    </row>
    <row r="704" spans="2:2" ht="12.5">
      <c r="B704" s="21"/>
    </row>
    <row r="705" spans="2:2" ht="12.5">
      <c r="B705" s="21"/>
    </row>
    <row r="706" spans="2:2" ht="12.5">
      <c r="B706" s="21"/>
    </row>
    <row r="707" spans="2:2" ht="12.5">
      <c r="B707" s="21"/>
    </row>
    <row r="708" spans="2:2" ht="12.5">
      <c r="B708" s="21"/>
    </row>
    <row r="709" spans="2:2" ht="12.5">
      <c r="B709" s="21"/>
    </row>
    <row r="710" spans="2:2" ht="12.5">
      <c r="B710" s="21"/>
    </row>
    <row r="711" spans="2:2" ht="12.5">
      <c r="B711" s="21"/>
    </row>
    <row r="712" spans="2:2" ht="12.5">
      <c r="B712" s="21"/>
    </row>
    <row r="713" spans="2:2" ht="12.5">
      <c r="B713" s="21"/>
    </row>
    <row r="714" spans="2:2" ht="12.5">
      <c r="B714" s="21"/>
    </row>
    <row r="715" spans="2:2" ht="12.5">
      <c r="B715" s="21"/>
    </row>
    <row r="716" spans="2:2" ht="12.5">
      <c r="B716" s="21"/>
    </row>
    <row r="717" spans="2:2" ht="12.5">
      <c r="B717" s="21"/>
    </row>
    <row r="718" spans="2:2" ht="12.5">
      <c r="B718" s="21"/>
    </row>
    <row r="719" spans="2:2" ht="12.5">
      <c r="B719" s="21"/>
    </row>
    <row r="720" spans="2:2" ht="12.5">
      <c r="B720" s="21"/>
    </row>
    <row r="721" spans="2:2" ht="12.5">
      <c r="B721" s="21"/>
    </row>
    <row r="722" spans="2:2" ht="12.5">
      <c r="B722" s="21"/>
    </row>
    <row r="723" spans="2:2" ht="12.5">
      <c r="B723" s="21"/>
    </row>
    <row r="724" spans="2:2" ht="12.5">
      <c r="B724" s="21"/>
    </row>
    <row r="725" spans="2:2" ht="12.5">
      <c r="B725" s="21"/>
    </row>
    <row r="726" spans="2:2" ht="12.5">
      <c r="B726" s="21"/>
    </row>
    <row r="727" spans="2:2" ht="12.5">
      <c r="B727" s="21"/>
    </row>
    <row r="728" spans="2:2" ht="12.5">
      <c r="B728" s="21"/>
    </row>
    <row r="729" spans="2:2" ht="12.5">
      <c r="B729" s="21"/>
    </row>
    <row r="730" spans="2:2" ht="12.5">
      <c r="B730" s="21"/>
    </row>
    <row r="731" spans="2:2" ht="12.5">
      <c r="B731" s="21"/>
    </row>
    <row r="732" spans="2:2" ht="12.5">
      <c r="B732" s="21"/>
    </row>
    <row r="733" spans="2:2" ht="12.5">
      <c r="B733" s="21"/>
    </row>
    <row r="734" spans="2:2" ht="12.5">
      <c r="B734" s="21"/>
    </row>
    <row r="735" spans="2:2" ht="12.5">
      <c r="B735" s="21"/>
    </row>
    <row r="736" spans="2:2" ht="12.5">
      <c r="B736" s="21"/>
    </row>
    <row r="737" spans="2:2" ht="12.5">
      <c r="B737" s="21"/>
    </row>
    <row r="738" spans="2:2" ht="12.5">
      <c r="B738" s="21"/>
    </row>
    <row r="739" spans="2:2" ht="12.5">
      <c r="B739" s="21"/>
    </row>
    <row r="740" spans="2:2" ht="12.5">
      <c r="B740" s="21"/>
    </row>
    <row r="741" spans="2:2" ht="12.5">
      <c r="B741" s="21"/>
    </row>
    <row r="742" spans="2:2" ht="12.5">
      <c r="B742" s="21"/>
    </row>
    <row r="743" spans="2:2" ht="12.5">
      <c r="B743" s="21"/>
    </row>
    <row r="744" spans="2:2" ht="12.5">
      <c r="B744" s="21"/>
    </row>
    <row r="745" spans="2:2" ht="12.5">
      <c r="B745" s="21"/>
    </row>
    <row r="746" spans="2:2" ht="12.5">
      <c r="B746" s="21"/>
    </row>
    <row r="747" spans="2:2" ht="12.5">
      <c r="B747" s="21"/>
    </row>
    <row r="748" spans="2:2" ht="12.5">
      <c r="B748" s="21"/>
    </row>
    <row r="749" spans="2:2" ht="12.5">
      <c r="B749" s="21"/>
    </row>
    <row r="750" spans="2:2" ht="12.5">
      <c r="B750" s="21"/>
    </row>
    <row r="751" spans="2:2" ht="12.5">
      <c r="B751" s="21"/>
    </row>
    <row r="752" spans="2:2" ht="12.5">
      <c r="B752" s="21"/>
    </row>
    <row r="753" spans="2:2" ht="12.5">
      <c r="B753" s="21"/>
    </row>
    <row r="754" spans="2:2" ht="12.5">
      <c r="B754" s="21"/>
    </row>
    <row r="755" spans="2:2" ht="12.5">
      <c r="B755" s="21"/>
    </row>
    <row r="756" spans="2:2" ht="12.5">
      <c r="B756" s="21"/>
    </row>
    <row r="757" spans="2:2" ht="12.5">
      <c r="B757" s="21"/>
    </row>
    <row r="758" spans="2:2" ht="12.5">
      <c r="B758" s="21"/>
    </row>
    <row r="759" spans="2:2" ht="12.5">
      <c r="B759" s="21"/>
    </row>
    <row r="760" spans="2:2" ht="12.5">
      <c r="B760" s="21"/>
    </row>
    <row r="761" spans="2:2" ht="12.5">
      <c r="B761" s="21"/>
    </row>
    <row r="762" spans="2:2" ht="12.5">
      <c r="B762" s="21"/>
    </row>
    <row r="763" spans="2:2" ht="12.5">
      <c r="B763" s="21"/>
    </row>
    <row r="764" spans="2:2" ht="12.5">
      <c r="B764" s="21"/>
    </row>
    <row r="765" spans="2:2" ht="12.5">
      <c r="B765" s="21"/>
    </row>
    <row r="766" spans="2:2" ht="12.5">
      <c r="B766" s="21"/>
    </row>
    <row r="767" spans="2:2" ht="12.5">
      <c r="B767" s="21"/>
    </row>
    <row r="768" spans="2:2" ht="12.5">
      <c r="B768" s="21"/>
    </row>
    <row r="769" spans="2:2" ht="12.5">
      <c r="B769" s="21"/>
    </row>
    <row r="770" spans="2:2" ht="12.5">
      <c r="B770" s="21"/>
    </row>
    <row r="771" spans="2:2" ht="12.5">
      <c r="B771" s="21"/>
    </row>
    <row r="772" spans="2:2" ht="12.5">
      <c r="B772" s="21"/>
    </row>
    <row r="773" spans="2:2" ht="12.5">
      <c r="B773" s="21"/>
    </row>
    <row r="774" spans="2:2" ht="12.5">
      <c r="B774" s="21"/>
    </row>
    <row r="775" spans="2:2" ht="12.5">
      <c r="B775" s="21"/>
    </row>
    <row r="776" spans="2:2" ht="12.5">
      <c r="B776" s="21"/>
    </row>
    <row r="777" spans="2:2" ht="12.5">
      <c r="B777" s="21"/>
    </row>
    <row r="778" spans="2:2" ht="12.5">
      <c r="B778" s="21"/>
    </row>
    <row r="779" spans="2:2" ht="12.5">
      <c r="B779" s="21"/>
    </row>
    <row r="780" spans="2:2" ht="12.5">
      <c r="B780" s="21"/>
    </row>
    <row r="781" spans="2:2" ht="12.5">
      <c r="B781" s="21"/>
    </row>
    <row r="782" spans="2:2" ht="12.5">
      <c r="B782" s="21"/>
    </row>
    <row r="783" spans="2:2" ht="12.5">
      <c r="B783" s="21"/>
    </row>
    <row r="784" spans="2:2" ht="12.5">
      <c r="B784" s="21"/>
    </row>
    <row r="785" spans="2:2" ht="12.5">
      <c r="B785" s="21"/>
    </row>
    <row r="786" spans="2:2" ht="12.5">
      <c r="B786" s="21"/>
    </row>
    <row r="787" spans="2:2" ht="12.5">
      <c r="B787" s="21"/>
    </row>
    <row r="788" spans="2:2" ht="12.5">
      <c r="B788" s="21"/>
    </row>
    <row r="789" spans="2:2" ht="12.5">
      <c r="B789" s="21"/>
    </row>
    <row r="790" spans="2:2" ht="12.5">
      <c r="B790" s="21"/>
    </row>
    <row r="791" spans="2:2" ht="12.5">
      <c r="B791" s="21"/>
    </row>
    <row r="792" spans="2:2" ht="12.5">
      <c r="B792" s="21"/>
    </row>
    <row r="793" spans="2:2" ht="12.5">
      <c r="B793" s="21"/>
    </row>
    <row r="794" spans="2:2" ht="12.5">
      <c r="B794" s="21"/>
    </row>
    <row r="795" spans="2:2" ht="12.5">
      <c r="B795" s="21"/>
    </row>
    <row r="796" spans="2:2" ht="12.5">
      <c r="B796" s="21"/>
    </row>
    <row r="797" spans="2:2" ht="12.5">
      <c r="B797" s="21"/>
    </row>
    <row r="798" spans="2:2" ht="12.5">
      <c r="B798" s="21"/>
    </row>
    <row r="799" spans="2:2" ht="12.5">
      <c r="B799" s="21"/>
    </row>
    <row r="800" spans="2:2" ht="12.5">
      <c r="B800" s="21"/>
    </row>
    <row r="801" spans="2:2" ht="12.5">
      <c r="B801" s="21"/>
    </row>
    <row r="802" spans="2:2" ht="12.5">
      <c r="B802" s="21"/>
    </row>
    <row r="803" spans="2:2" ht="12.5">
      <c r="B803" s="21"/>
    </row>
    <row r="804" spans="2:2" ht="12.5">
      <c r="B804" s="21"/>
    </row>
    <row r="805" spans="2:2" ht="12.5">
      <c r="B805" s="21"/>
    </row>
    <row r="806" spans="2:2" ht="12.5">
      <c r="B806" s="21"/>
    </row>
    <row r="807" spans="2:2" ht="12.5">
      <c r="B807" s="21"/>
    </row>
    <row r="808" spans="2:2" ht="12.5">
      <c r="B808" s="21"/>
    </row>
    <row r="809" spans="2:2" ht="12.5">
      <c r="B809" s="21"/>
    </row>
    <row r="810" spans="2:2" ht="12.5">
      <c r="B810" s="21"/>
    </row>
    <row r="811" spans="2:2" ht="12.5">
      <c r="B811" s="21"/>
    </row>
    <row r="812" spans="2:2" ht="12.5">
      <c r="B812" s="21"/>
    </row>
    <row r="813" spans="2:2" ht="12.5">
      <c r="B813" s="21"/>
    </row>
    <row r="814" spans="2:2" ht="12.5">
      <c r="B814" s="21"/>
    </row>
    <row r="815" spans="2:2" ht="12.5">
      <c r="B815" s="21"/>
    </row>
    <row r="816" spans="2:2" ht="12.5">
      <c r="B816" s="21"/>
    </row>
    <row r="817" spans="2:2" ht="12.5">
      <c r="B817" s="21"/>
    </row>
    <row r="818" spans="2:2" ht="12.5">
      <c r="B818" s="21"/>
    </row>
    <row r="819" spans="2:2" ht="12.5">
      <c r="B819" s="21"/>
    </row>
    <row r="820" spans="2:2" ht="12.5">
      <c r="B820" s="21"/>
    </row>
    <row r="821" spans="2:2" ht="12.5">
      <c r="B821" s="21"/>
    </row>
    <row r="822" spans="2:2" ht="12.5">
      <c r="B822" s="21"/>
    </row>
    <row r="823" spans="2:2" ht="12.5">
      <c r="B823" s="21"/>
    </row>
    <row r="824" spans="2:2" ht="12.5">
      <c r="B824" s="21"/>
    </row>
    <row r="825" spans="2:2" ht="12.5">
      <c r="B825" s="21"/>
    </row>
    <row r="826" spans="2:2" ht="12.5">
      <c r="B826" s="21"/>
    </row>
    <row r="827" spans="2:2" ht="12.5">
      <c r="B827" s="21"/>
    </row>
    <row r="828" spans="2:2" ht="12.5">
      <c r="B828" s="21"/>
    </row>
    <row r="829" spans="2:2" ht="12.5">
      <c r="B829" s="21"/>
    </row>
    <row r="830" spans="2:2" ht="12.5">
      <c r="B830" s="21"/>
    </row>
    <row r="831" spans="2:2" ht="12.5">
      <c r="B831" s="21"/>
    </row>
    <row r="832" spans="2:2" ht="12.5">
      <c r="B832" s="21"/>
    </row>
    <row r="833" spans="2:2" ht="12.5">
      <c r="B833" s="21"/>
    </row>
    <row r="834" spans="2:2" ht="12.5">
      <c r="B834" s="21"/>
    </row>
    <row r="835" spans="2:2" ht="12.5">
      <c r="B835" s="21"/>
    </row>
    <row r="836" spans="2:2" ht="12.5">
      <c r="B836" s="21"/>
    </row>
    <row r="837" spans="2:2" ht="12.5">
      <c r="B837" s="21"/>
    </row>
    <row r="838" spans="2:2" ht="12.5">
      <c r="B838" s="21"/>
    </row>
    <row r="839" spans="2:2" ht="12.5">
      <c r="B839" s="21"/>
    </row>
    <row r="840" spans="2:2" ht="12.5">
      <c r="B840" s="21"/>
    </row>
    <row r="841" spans="2:2" ht="12.5">
      <c r="B841" s="21"/>
    </row>
    <row r="842" spans="2:2" ht="12.5">
      <c r="B842" s="21"/>
    </row>
    <row r="843" spans="2:2" ht="12.5">
      <c r="B843" s="21"/>
    </row>
    <row r="844" spans="2:2" ht="12.5">
      <c r="B844" s="21"/>
    </row>
    <row r="845" spans="2:2" ht="12.5">
      <c r="B845" s="21"/>
    </row>
    <row r="846" spans="2:2" ht="12.5">
      <c r="B846" s="21"/>
    </row>
    <row r="847" spans="2:2" ht="12.5">
      <c r="B847" s="21"/>
    </row>
    <row r="848" spans="2:2" ht="12.5">
      <c r="B848" s="21"/>
    </row>
    <row r="849" spans="2:2" ht="12.5">
      <c r="B849" s="21"/>
    </row>
    <row r="850" spans="2:2" ht="12.5">
      <c r="B850" s="21"/>
    </row>
    <row r="851" spans="2:2" ht="12.5">
      <c r="B851" s="21"/>
    </row>
    <row r="852" spans="2:2" ht="12.5">
      <c r="B852" s="21"/>
    </row>
    <row r="853" spans="2:2" ht="12.5">
      <c r="B853" s="21"/>
    </row>
    <row r="854" spans="2:2" ht="12.5">
      <c r="B854" s="21"/>
    </row>
    <row r="855" spans="2:2" ht="12.5">
      <c r="B855" s="21"/>
    </row>
    <row r="856" spans="2:2" ht="12.5">
      <c r="B856" s="21"/>
    </row>
    <row r="857" spans="2:2" ht="12.5">
      <c r="B857" s="21"/>
    </row>
    <row r="858" spans="2:2" ht="12.5">
      <c r="B858" s="21"/>
    </row>
    <row r="859" spans="2:2" ht="12.5">
      <c r="B859" s="21"/>
    </row>
    <row r="860" spans="2:2" ht="12.5">
      <c r="B860" s="21"/>
    </row>
    <row r="861" spans="2:2" ht="12.5">
      <c r="B861" s="21"/>
    </row>
    <row r="862" spans="2:2" ht="12.5">
      <c r="B862" s="21"/>
    </row>
    <row r="863" spans="2:2" ht="12.5">
      <c r="B863" s="21"/>
    </row>
    <row r="864" spans="2:2" ht="12.5">
      <c r="B864" s="21"/>
    </row>
    <row r="865" spans="2:2" ht="12.5">
      <c r="B865" s="21"/>
    </row>
    <row r="866" spans="2:2" ht="12.5">
      <c r="B866" s="21"/>
    </row>
    <row r="867" spans="2:2" ht="12.5">
      <c r="B867" s="21"/>
    </row>
    <row r="868" spans="2:2" ht="12.5">
      <c r="B868" s="21"/>
    </row>
    <row r="869" spans="2:2" ht="12.5">
      <c r="B869" s="21"/>
    </row>
    <row r="870" spans="2:2" ht="12.5">
      <c r="B870" s="21"/>
    </row>
    <row r="871" spans="2:2" ht="12.5">
      <c r="B871" s="21"/>
    </row>
    <row r="872" spans="2:2" ht="12.5">
      <c r="B872" s="21"/>
    </row>
    <row r="873" spans="2:2" ht="12.5">
      <c r="B873" s="21"/>
    </row>
    <row r="874" spans="2:2" ht="12.5">
      <c r="B874" s="21"/>
    </row>
    <row r="875" spans="2:2" ht="12.5">
      <c r="B875" s="21"/>
    </row>
    <row r="876" spans="2:2" ht="12.5">
      <c r="B876" s="21"/>
    </row>
    <row r="877" spans="2:2" ht="12.5">
      <c r="B877" s="21"/>
    </row>
    <row r="878" spans="2:2" ht="12.5">
      <c r="B878" s="21"/>
    </row>
    <row r="879" spans="2:2" ht="12.5">
      <c r="B879" s="21"/>
    </row>
    <row r="880" spans="2:2" ht="12.5">
      <c r="B880" s="21"/>
    </row>
    <row r="881" spans="2:2" ht="12.5">
      <c r="B881" s="21"/>
    </row>
    <row r="882" spans="2:2" ht="12.5">
      <c r="B882" s="21"/>
    </row>
    <row r="883" spans="2:2" ht="12.5">
      <c r="B883" s="21"/>
    </row>
    <row r="884" spans="2:2" ht="12.5">
      <c r="B884" s="21"/>
    </row>
    <row r="885" spans="2:2" ht="12.5">
      <c r="B885" s="21"/>
    </row>
    <row r="886" spans="2:2" ht="12.5">
      <c r="B886" s="21"/>
    </row>
    <row r="887" spans="2:2" ht="12.5">
      <c r="B887" s="21"/>
    </row>
    <row r="888" spans="2:2" ht="12.5">
      <c r="B888" s="21"/>
    </row>
    <row r="889" spans="2:2" ht="12.5">
      <c r="B889" s="21"/>
    </row>
    <row r="890" spans="2:2" ht="12.5">
      <c r="B890" s="21"/>
    </row>
    <row r="891" spans="2:2" ht="12.5">
      <c r="B891" s="21"/>
    </row>
    <row r="892" spans="2:2" ht="12.5">
      <c r="B892" s="21"/>
    </row>
    <row r="893" spans="2:2" ht="12.5">
      <c r="B893" s="21"/>
    </row>
    <row r="894" spans="2:2" ht="12.5">
      <c r="B894" s="21"/>
    </row>
    <row r="895" spans="2:2" ht="12.5">
      <c r="B895" s="21"/>
    </row>
    <row r="896" spans="2:2" ht="12.5">
      <c r="B896" s="21"/>
    </row>
    <row r="897" spans="2:2" ht="12.5">
      <c r="B897" s="21"/>
    </row>
    <row r="898" spans="2:2" ht="12.5">
      <c r="B898" s="21"/>
    </row>
    <row r="899" spans="2:2" ht="12.5">
      <c r="B899" s="21"/>
    </row>
    <row r="900" spans="2:2" ht="12.5">
      <c r="B900" s="21"/>
    </row>
    <row r="901" spans="2:2" ht="12.5">
      <c r="B901" s="21"/>
    </row>
    <row r="902" spans="2:2" ht="12.5">
      <c r="B902" s="21"/>
    </row>
    <row r="903" spans="2:2" ht="12.5">
      <c r="B903" s="21"/>
    </row>
    <row r="904" spans="2:2" ht="12.5">
      <c r="B904" s="21"/>
    </row>
    <row r="905" spans="2:2" ht="12.5">
      <c r="B905" s="21"/>
    </row>
    <row r="906" spans="2:2" ht="12.5">
      <c r="B906" s="21"/>
    </row>
    <row r="907" spans="2:2" ht="12.5">
      <c r="B907" s="21"/>
    </row>
    <row r="908" spans="2:2" ht="12.5">
      <c r="B908" s="21"/>
    </row>
    <row r="909" spans="2:2" ht="12.5">
      <c r="B909" s="21"/>
    </row>
    <row r="910" spans="2:2" ht="12.5">
      <c r="B910" s="21"/>
    </row>
    <row r="911" spans="2:2" ht="12.5">
      <c r="B911" s="21"/>
    </row>
    <row r="912" spans="2:2" ht="12.5">
      <c r="B912" s="21"/>
    </row>
    <row r="913" spans="2:2" ht="12.5">
      <c r="B913" s="21"/>
    </row>
    <row r="914" spans="2:2" ht="12.5">
      <c r="B914" s="21"/>
    </row>
    <row r="915" spans="2:2" ht="12.5">
      <c r="B915" s="21"/>
    </row>
    <row r="916" spans="2:2" ht="12.5">
      <c r="B916" s="21"/>
    </row>
    <row r="917" spans="2:2" ht="12.5">
      <c r="B917" s="21"/>
    </row>
    <row r="918" spans="2:2" ht="12.5">
      <c r="B918" s="21"/>
    </row>
    <row r="919" spans="2:2" ht="12.5">
      <c r="B919" s="21"/>
    </row>
    <row r="920" spans="2:2" ht="12.5">
      <c r="B920" s="21"/>
    </row>
    <row r="921" spans="2:2" ht="12.5">
      <c r="B921" s="21"/>
    </row>
    <row r="922" spans="2:2" ht="12.5">
      <c r="B922" s="21"/>
    </row>
    <row r="923" spans="2:2" ht="12.5">
      <c r="B923" s="21"/>
    </row>
    <row r="924" spans="2:2" ht="12.5">
      <c r="B924" s="21"/>
    </row>
    <row r="925" spans="2:2" ht="12.5">
      <c r="B925" s="21"/>
    </row>
    <row r="926" spans="2:2" ht="12.5">
      <c r="B926" s="21"/>
    </row>
    <row r="927" spans="2:2" ht="12.5">
      <c r="B927" s="21"/>
    </row>
    <row r="928" spans="2:2" ht="12.5">
      <c r="B928" s="21"/>
    </row>
    <row r="929" spans="2:2" ht="12.5">
      <c r="B929" s="21"/>
    </row>
    <row r="930" spans="2:2" ht="12.5">
      <c r="B930" s="21"/>
    </row>
    <row r="931" spans="2:2" ht="12.5">
      <c r="B931" s="21"/>
    </row>
    <row r="932" spans="2:2" ht="12.5">
      <c r="B932" s="21"/>
    </row>
    <row r="933" spans="2:2" ht="12.5">
      <c r="B933" s="21"/>
    </row>
    <row r="934" spans="2:2" ht="12.5">
      <c r="B934" s="21"/>
    </row>
    <row r="935" spans="2:2" ht="12.5">
      <c r="B935" s="21"/>
    </row>
    <row r="936" spans="2:2" ht="12.5">
      <c r="B936" s="21"/>
    </row>
    <row r="937" spans="2:2" ht="12.5">
      <c r="B937" s="21"/>
    </row>
    <row r="938" spans="2:2" ht="12.5">
      <c r="B938" s="21"/>
    </row>
    <row r="939" spans="2:2" ht="12.5">
      <c r="B939" s="21"/>
    </row>
    <row r="940" spans="2:2" ht="12.5">
      <c r="B940" s="21"/>
    </row>
    <row r="941" spans="2:2" ht="12.5">
      <c r="B941" s="21"/>
    </row>
    <row r="942" spans="2:2" ht="12.5">
      <c r="B942" s="21"/>
    </row>
    <row r="943" spans="2:2" ht="12.5">
      <c r="B943" s="21"/>
    </row>
    <row r="944" spans="2:2" ht="12.5">
      <c r="B944" s="21"/>
    </row>
    <row r="945" spans="2:2" ht="12.5">
      <c r="B945" s="21"/>
    </row>
    <row r="946" spans="2:2" ht="12.5">
      <c r="B946" s="21"/>
    </row>
    <row r="947" spans="2:2" ht="12.5">
      <c r="B947" s="21"/>
    </row>
    <row r="948" spans="2:2" ht="12.5">
      <c r="B948" s="21"/>
    </row>
    <row r="949" spans="2:2" ht="12.5">
      <c r="B949" s="21"/>
    </row>
    <row r="950" spans="2:2" ht="12.5">
      <c r="B950" s="21"/>
    </row>
    <row r="951" spans="2:2" ht="12.5">
      <c r="B951" s="21"/>
    </row>
    <row r="952" spans="2:2" ht="12.5">
      <c r="B952" s="21"/>
    </row>
    <row r="953" spans="2:2" ht="12.5">
      <c r="B953" s="21"/>
    </row>
    <row r="954" spans="2:2" ht="12.5">
      <c r="B954" s="21"/>
    </row>
    <row r="955" spans="2:2" ht="12.5">
      <c r="B955" s="21"/>
    </row>
    <row r="956" spans="2:2" ht="12.5">
      <c r="B956" s="21"/>
    </row>
    <row r="957" spans="2:2" ht="12.5">
      <c r="B957" s="21"/>
    </row>
    <row r="958" spans="2:2" ht="12.5">
      <c r="B958" s="21"/>
    </row>
    <row r="959" spans="2:2" ht="12.5">
      <c r="B959" s="21"/>
    </row>
    <row r="960" spans="2:2" ht="12.5">
      <c r="B960" s="21"/>
    </row>
    <row r="961" spans="2:2" ht="12.5">
      <c r="B961" s="21"/>
    </row>
    <row r="962" spans="2:2" ht="12.5">
      <c r="B962" s="21"/>
    </row>
    <row r="963" spans="2:2" ht="12.5">
      <c r="B963" s="21"/>
    </row>
    <row r="964" spans="2:2" ht="12.5">
      <c r="B964" s="21"/>
    </row>
    <row r="965" spans="2:2" ht="12.5">
      <c r="B965" s="21"/>
    </row>
    <row r="966" spans="2:2" ht="12.5">
      <c r="B966" s="21"/>
    </row>
    <row r="967" spans="2:2" ht="12.5">
      <c r="B967" s="21"/>
    </row>
    <row r="968" spans="2:2" ht="12.5">
      <c r="B968" s="21"/>
    </row>
    <row r="969" spans="2:2" ht="12.5">
      <c r="B969" s="21"/>
    </row>
    <row r="970" spans="2:2" ht="12.5">
      <c r="B970" s="21"/>
    </row>
    <row r="971" spans="2:2" ht="12.5">
      <c r="B971" s="21"/>
    </row>
    <row r="972" spans="2:2" ht="12.5">
      <c r="B972" s="21"/>
    </row>
    <row r="973" spans="2:2" ht="12.5">
      <c r="B973" s="21"/>
    </row>
    <row r="974" spans="2:2" ht="12.5">
      <c r="B974" s="21"/>
    </row>
    <row r="975" spans="2:2" ht="12.5">
      <c r="B975" s="21"/>
    </row>
    <row r="976" spans="2:2" ht="12.5">
      <c r="B976" s="21"/>
    </row>
    <row r="977" spans="2:2" ht="12.5">
      <c r="B977" s="21"/>
    </row>
    <row r="978" spans="2:2" ht="12.5">
      <c r="B978" s="21"/>
    </row>
    <row r="979" spans="2:2" ht="12.5">
      <c r="B979" s="21"/>
    </row>
    <row r="980" spans="2:2" ht="12.5">
      <c r="B980" s="21"/>
    </row>
    <row r="981" spans="2:2" ht="12.5">
      <c r="B981" s="21"/>
    </row>
    <row r="982" spans="2:2" ht="12.5">
      <c r="B982" s="21"/>
    </row>
    <row r="983" spans="2:2" ht="12.5">
      <c r="B983" s="21"/>
    </row>
    <row r="984" spans="2:2" ht="12.5">
      <c r="B984" s="21"/>
    </row>
    <row r="985" spans="2:2" ht="12.5">
      <c r="B985" s="21"/>
    </row>
    <row r="986" spans="2:2" ht="12.5">
      <c r="B986" s="21"/>
    </row>
    <row r="987" spans="2:2" ht="12.5">
      <c r="B987" s="21"/>
    </row>
    <row r="988" spans="2:2" ht="12.5">
      <c r="B988" s="21"/>
    </row>
    <row r="989" spans="2:2" ht="12.5">
      <c r="B989" s="21"/>
    </row>
    <row r="990" spans="2:2" ht="12.5">
      <c r="B990" s="21"/>
    </row>
    <row r="991" spans="2:2" ht="12.5">
      <c r="B991" s="21"/>
    </row>
    <row r="992" spans="2:2" ht="12.5">
      <c r="B992" s="21"/>
    </row>
    <row r="993" spans="2:2" ht="12.5">
      <c r="B993" s="21"/>
    </row>
    <row r="994" spans="2:2" ht="12.5">
      <c r="B994" s="21"/>
    </row>
    <row r="995" spans="2:2" ht="12.5">
      <c r="B995" s="21"/>
    </row>
  </sheetData>
  <autoFilter ref="A1:C135" xr:uid="{00000000-0009-0000-0000-00000F000000}">
    <filterColumn colId="0">
      <filters blank="1">
        <filter val="Adela de char"/>
        <filter val="Alameda del Río"/>
        <filter val="Alfonso López"/>
        <filter val="Altamira"/>
        <filter val="Altos de Riomar"/>
        <filter val="Altos del Limón"/>
        <filter val="Altos del Prado"/>
        <filter val="Andalucía"/>
        <filter val="Bellavista"/>
        <filter val="Bethania"/>
        <filter val="Bostón"/>
        <filter val="Buena Esperanza"/>
        <filter val="Buenavista"/>
        <filter val="Buenos Aires"/>
        <filter val="California"/>
        <filter val="Campo Alegre"/>
        <filter val="Caribe Verde"/>
        <filter val="Carlos Meisel"/>
        <filter val="Castellana"/>
        <filter val="Caujaral"/>
        <filter val="Centro"/>
        <filter val="Cevillar"/>
        <filter val="Chiquinquirá"/>
        <filter val="Ciudadela 20 de Julio"/>
        <filter val="Colina Campestre"/>
        <filter val="Conjunto Terra"/>
        <filter val="Corregimiento Eduardo Santos"/>
        <filter val="El Campito"/>
        <filter val="El Carmén"/>
        <filter val="El Castillo"/>
        <filter val="El Edén"/>
        <filter val="El Golf"/>
        <filter val="El Limón"/>
        <filter val="El Limoncito"/>
        <filter val="El Parque"/>
        <filter val="El Poblado"/>
        <filter val="El Porvenir"/>
        <filter val="El Prado"/>
        <filter val="El Recreo"/>
        <filter val="El Romance"/>
        <filter val="El Rosario"/>
        <filter val="El Rubí"/>
        <filter val="El Santuario"/>
        <filter val="El Silencio"/>
        <filter val="El Tabor"/>
        <filter val="El Valle"/>
        <filter val="Entrega En Tienda"/>
        <filter val="Granadillo"/>
        <filter val="José Antonio Galán"/>
        <filter val="Kalamary"/>
        <filter val="Kennedy"/>
        <filter val="La Arboraya"/>
        <filter val="La Campiña"/>
        <filter val="La Ceiba"/>
        <filter val="La Concepción"/>
        <filter val="La Cumbre"/>
        <filter val="La Esmeralda"/>
        <filter val="La Floresta"/>
        <filter val="La Florida"/>
        <filter val="La Magdalena"/>
        <filter val="La Paz"/>
        <filter val="La Playa"/>
        <filter val="La Pradera"/>
        <filter val="La Unión"/>
        <filter val="La victoria"/>
        <filter val="Las cayenas"/>
        <filter val="Las Colinas"/>
        <filter val="Las Delicias"/>
        <filter val="Las Estrellas"/>
        <filter val="Las Flores"/>
        <filter val="Las Mercedes"/>
        <filter val="Las moras"/>
        <filter val="Las Nieves"/>
        <filter val="Las Palmas"/>
        <filter val="Las Terrazas"/>
        <filter val="Las Tres ave maria"/>
        <filter val="Lipaya"/>
        <filter val="Loma Fresca"/>
        <filter val="Los Alpes"/>
        <filter val="Los Andes"/>
        <filter val="Los Jobos"/>
        <filter val="Los laureles"/>
        <filter val="Los Nogales"/>
        <filter val="Los Olivos I"/>
        <filter val="Los Olivos II"/>
        <filter val="Los Pinos"/>
        <filter val="Los Robles"/>
        <filter val="Los Trupillos"/>
        <filter val="Lucero"/>
        <filter val="Malambo"/>
        <filter val="Mallorquin"/>
        <filter val="Miramar"/>
        <filter val="Moderno"/>
        <filter val="Montecristo"/>
        <filter val="Montes"/>
        <filter val="Nueva Granada"/>
        <filter val="Nuevo Horizonte"/>
        <filter val="Olaya"/>
        <filter val="Paraíso"/>
        <filter val="Pradomar"/>
        <filter val="Pumarejo"/>
        <filter val="Riomar"/>
        <filter val="Sabanilla"/>
        <filter val="Salgar"/>
        <filter val="San Felipe"/>
        <filter val="San Francisco"/>
        <filter val="San Isidro"/>
        <filter val="San José"/>
        <filter val="San Nicolás"/>
        <filter val="San Roque"/>
        <filter val="San Salvador"/>
        <filter val="Santa Ana"/>
        <filter val="Santa Helena"/>
        <filter val="Santa Mónica"/>
        <filter val="Siape"/>
        <filter val="Simón Bolívar"/>
        <filter val="Solaire Norte"/>
        <filter val="Soledad"/>
        <filter val="Tayrona"/>
        <filter val="Universal I"/>
        <filter val="Universal II"/>
        <filter val="Villa Blanca"/>
        <filter val="Villa Campestre"/>
        <filter val="Villa Carolina"/>
        <filter val="Villa Country"/>
        <filter val="Villa del Carmén"/>
        <filter val="Villa del Este"/>
        <filter val="Villa Santos"/>
        <filter val="Zion Tower"/>
        <filter val="Zona Franca"/>
        <filter val="Zona Industrial"/>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D1000"/>
  <sheetViews>
    <sheetView workbookViewId="0"/>
  </sheetViews>
  <sheetFormatPr baseColWidth="10" defaultColWidth="12.6328125" defaultRowHeight="15.75" customHeight="1"/>
  <cols>
    <col min="2" max="2" width="14" customWidth="1"/>
  </cols>
  <sheetData>
    <row r="1" spans="1:4" ht="15.75" customHeight="1">
      <c r="A1" s="16" t="s">
        <v>25374</v>
      </c>
      <c r="B1" s="16" t="s">
        <v>22850</v>
      </c>
      <c r="C1" s="16" t="s">
        <v>22851</v>
      </c>
      <c r="D1" s="21" t="s">
        <v>25375</v>
      </c>
    </row>
    <row r="2" spans="1:4" ht="15.75" customHeight="1">
      <c r="A2" s="16" t="s">
        <v>25376</v>
      </c>
      <c r="B2" s="16" t="s">
        <v>14572</v>
      </c>
      <c r="C2" s="16" t="s">
        <v>5994</v>
      </c>
      <c r="D2" s="63">
        <v>2</v>
      </c>
    </row>
    <row r="3" spans="1:4" ht="15.75" customHeight="1">
      <c r="A3" s="16" t="s">
        <v>25377</v>
      </c>
      <c r="B3" s="16" t="s">
        <v>14578</v>
      </c>
      <c r="C3" s="16" t="s">
        <v>5994</v>
      </c>
      <c r="D3" s="63">
        <v>2</v>
      </c>
    </row>
    <row r="4" spans="1:4" ht="15.75" customHeight="1">
      <c r="A4" s="16" t="s">
        <v>25378</v>
      </c>
      <c r="B4" s="16" t="s">
        <v>14612</v>
      </c>
      <c r="C4" s="16" t="s">
        <v>14574</v>
      </c>
      <c r="D4" s="63">
        <v>8</v>
      </c>
    </row>
    <row r="5" spans="1:4" ht="15.75" customHeight="1">
      <c r="A5" s="16" t="s">
        <v>25379</v>
      </c>
      <c r="B5" s="5" t="s">
        <v>14699</v>
      </c>
      <c r="C5" s="16" t="s">
        <v>14574</v>
      </c>
      <c r="D5" s="21">
        <v>7</v>
      </c>
    </row>
    <row r="6" spans="1:4" ht="15.75" customHeight="1">
      <c r="A6" s="16" t="s">
        <v>25380</v>
      </c>
      <c r="B6" s="5" t="s">
        <v>17404</v>
      </c>
      <c r="C6" s="5" t="s">
        <v>5994</v>
      </c>
      <c r="D6" s="21">
        <v>0</v>
      </c>
    </row>
    <row r="7" spans="1:4" ht="15.75" customHeight="1">
      <c r="A7" s="16" t="s">
        <v>25381</v>
      </c>
      <c r="B7" s="5" t="s">
        <v>17423</v>
      </c>
      <c r="C7" s="5" t="s">
        <v>5994</v>
      </c>
      <c r="D7" s="21">
        <v>0</v>
      </c>
    </row>
    <row r="8" spans="1:4" ht="15.75" customHeight="1">
      <c r="A8" s="16" t="s">
        <v>25382</v>
      </c>
      <c r="B8" s="5" t="s">
        <v>17688</v>
      </c>
      <c r="C8" s="5" t="s">
        <v>5994</v>
      </c>
      <c r="D8" s="21">
        <v>0</v>
      </c>
    </row>
    <row r="9" spans="1:4" ht="15.75" customHeight="1">
      <c r="A9" s="16" t="s">
        <v>25383</v>
      </c>
      <c r="B9" s="5" t="s">
        <v>17990</v>
      </c>
      <c r="C9" s="5" t="s">
        <v>5994</v>
      </c>
      <c r="D9" s="21">
        <v>0</v>
      </c>
    </row>
    <row r="10" spans="1:4" ht="15.75" customHeight="1">
      <c r="A10" s="16" t="s">
        <v>25384</v>
      </c>
      <c r="B10" s="5" t="s">
        <v>17479</v>
      </c>
      <c r="C10" s="5" t="s">
        <v>5994</v>
      </c>
      <c r="D10" s="21">
        <v>0</v>
      </c>
    </row>
    <row r="11" spans="1:4" ht="15.75" customHeight="1">
      <c r="A11" s="5" t="s">
        <v>25385</v>
      </c>
      <c r="B11" s="5" t="s">
        <v>16907</v>
      </c>
      <c r="C11" s="5" t="s">
        <v>5994</v>
      </c>
      <c r="D11" s="21">
        <v>0</v>
      </c>
    </row>
    <row r="12" spans="1:4" ht="15.75" customHeight="1">
      <c r="A12" s="5" t="s">
        <v>25386</v>
      </c>
      <c r="B12" s="5" t="s">
        <v>25387</v>
      </c>
      <c r="C12" s="5" t="s">
        <v>5994</v>
      </c>
      <c r="D12" s="5">
        <v>0</v>
      </c>
    </row>
    <row r="13" spans="1:4" ht="15.75" customHeight="1">
      <c r="D13" s="21"/>
    </row>
    <row r="14" spans="1:4" ht="15.75" customHeight="1">
      <c r="D14" s="21"/>
    </row>
    <row r="15" spans="1:4" ht="15.75" customHeight="1">
      <c r="D15" s="21"/>
    </row>
    <row r="16" spans="1:4" ht="15.75" customHeight="1">
      <c r="D16" s="21"/>
    </row>
    <row r="17" spans="3:4" ht="15.75" customHeight="1">
      <c r="C17" s="21"/>
      <c r="D17" s="21"/>
    </row>
    <row r="18" spans="3:4" ht="15.75" customHeight="1">
      <c r="D18" s="21"/>
    </row>
    <row r="19" spans="3:4" ht="15.75" customHeight="1">
      <c r="D19" s="21"/>
    </row>
    <row r="20" spans="3:4" ht="15.75" customHeight="1">
      <c r="D20" s="21"/>
    </row>
    <row r="21" spans="3:4" ht="15.75" customHeight="1">
      <c r="D21" s="21"/>
    </row>
    <row r="22" spans="3:4" ht="12.5">
      <c r="D22" s="21"/>
    </row>
    <row r="23" spans="3:4" ht="12.5">
      <c r="D23" s="21"/>
    </row>
    <row r="24" spans="3:4" ht="12.5">
      <c r="D24" s="21"/>
    </row>
    <row r="25" spans="3:4" ht="12.5">
      <c r="D25" s="21"/>
    </row>
    <row r="26" spans="3:4" ht="12.5">
      <c r="D26" s="21"/>
    </row>
    <row r="27" spans="3:4" ht="12.5">
      <c r="D27" s="21"/>
    </row>
    <row r="28" spans="3:4" ht="12.5">
      <c r="D28" s="21"/>
    </row>
    <row r="29" spans="3:4" ht="12.5">
      <c r="D29" s="21"/>
    </row>
    <row r="30" spans="3:4" ht="12.5">
      <c r="D30" s="21"/>
    </row>
    <row r="31" spans="3:4" ht="12.5">
      <c r="D31" s="21"/>
    </row>
    <row r="32" spans="3:4" ht="12.5">
      <c r="D32" s="21"/>
    </row>
    <row r="33" spans="4:4" ht="12.5">
      <c r="D33" s="21"/>
    </row>
    <row r="34" spans="4:4" ht="12.5">
      <c r="D34" s="21"/>
    </row>
    <row r="35" spans="4:4" ht="12.5">
      <c r="D35" s="21"/>
    </row>
    <row r="36" spans="4:4" ht="12.5">
      <c r="D36" s="21"/>
    </row>
    <row r="37" spans="4:4" ht="12.5">
      <c r="D37" s="21"/>
    </row>
    <row r="38" spans="4:4" ht="12.5">
      <c r="D38" s="21"/>
    </row>
    <row r="39" spans="4:4" ht="12.5">
      <c r="D39" s="21"/>
    </row>
    <row r="40" spans="4:4" ht="12.5">
      <c r="D40" s="21"/>
    </row>
    <row r="41" spans="4:4" ht="12.5">
      <c r="D41" s="21"/>
    </row>
    <row r="42" spans="4:4" ht="12.5">
      <c r="D42" s="21"/>
    </row>
    <row r="43" spans="4:4" ht="12.5">
      <c r="D43" s="21"/>
    </row>
    <row r="44" spans="4:4" ht="12.5">
      <c r="D44" s="21"/>
    </row>
    <row r="45" spans="4:4" ht="12.5">
      <c r="D45" s="21"/>
    </row>
    <row r="46" spans="4:4" ht="12.5">
      <c r="D46" s="21"/>
    </row>
    <row r="47" spans="4:4" ht="12.5">
      <c r="D47" s="21"/>
    </row>
    <row r="48" spans="4:4" ht="12.5">
      <c r="D48" s="21"/>
    </row>
    <row r="49" spans="4:4" ht="12.5">
      <c r="D49" s="21"/>
    </row>
    <row r="50" spans="4:4" ht="12.5">
      <c r="D50" s="21"/>
    </row>
    <row r="51" spans="4:4" ht="12.5">
      <c r="D51" s="21"/>
    </row>
    <row r="52" spans="4:4" ht="12.5">
      <c r="D52" s="21"/>
    </row>
    <row r="53" spans="4:4" ht="12.5">
      <c r="D53" s="21"/>
    </row>
    <row r="54" spans="4:4" ht="12.5">
      <c r="D54" s="21"/>
    </row>
    <row r="55" spans="4:4" ht="12.5">
      <c r="D55" s="21"/>
    </row>
    <row r="56" spans="4:4" ht="12.5">
      <c r="D56" s="21"/>
    </row>
    <row r="57" spans="4:4" ht="12.5">
      <c r="D57" s="21"/>
    </row>
    <row r="58" spans="4:4" ht="12.5">
      <c r="D58" s="21"/>
    </row>
    <row r="59" spans="4:4" ht="12.5">
      <c r="D59" s="21"/>
    </row>
    <row r="60" spans="4:4" ht="12.5">
      <c r="D60" s="21"/>
    </row>
    <row r="61" spans="4:4" ht="12.5">
      <c r="D61" s="21"/>
    </row>
    <row r="62" spans="4:4" ht="12.5">
      <c r="D62" s="21"/>
    </row>
    <row r="63" spans="4:4" ht="12.5">
      <c r="D63" s="21"/>
    </row>
    <row r="64" spans="4:4" ht="12.5">
      <c r="D64" s="21"/>
    </row>
    <row r="65" spans="4:4" ht="12.5">
      <c r="D65" s="21"/>
    </row>
    <row r="66" spans="4:4" ht="12.5">
      <c r="D66" s="21"/>
    </row>
    <row r="67" spans="4:4" ht="12.5">
      <c r="D67" s="21"/>
    </row>
    <row r="68" spans="4:4" ht="12.5">
      <c r="D68" s="21"/>
    </row>
    <row r="69" spans="4:4" ht="12.5">
      <c r="D69" s="21"/>
    </row>
    <row r="70" spans="4:4" ht="12.5">
      <c r="D70" s="21"/>
    </row>
    <row r="71" spans="4:4" ht="12.5">
      <c r="D71" s="21"/>
    </row>
    <row r="72" spans="4:4" ht="12.5">
      <c r="D72" s="21"/>
    </row>
    <row r="73" spans="4:4" ht="12.5">
      <c r="D73" s="21"/>
    </row>
    <row r="74" spans="4:4" ht="12.5">
      <c r="D74" s="21"/>
    </row>
    <row r="75" spans="4:4" ht="12.5">
      <c r="D75" s="21"/>
    </row>
    <row r="76" spans="4:4" ht="12.5">
      <c r="D76" s="21"/>
    </row>
    <row r="77" spans="4:4" ht="12.5">
      <c r="D77" s="21"/>
    </row>
    <row r="78" spans="4:4" ht="12.5">
      <c r="D78" s="21"/>
    </row>
    <row r="79" spans="4:4" ht="12.5">
      <c r="D79" s="21"/>
    </row>
    <row r="80" spans="4:4" ht="12.5">
      <c r="D80" s="21"/>
    </row>
    <row r="81" spans="4:4" ht="12.5">
      <c r="D81" s="21"/>
    </row>
    <row r="82" spans="4:4" ht="12.5">
      <c r="D82" s="21"/>
    </row>
    <row r="83" spans="4:4" ht="12.5">
      <c r="D83" s="21"/>
    </row>
    <row r="84" spans="4:4" ht="12.5">
      <c r="D84" s="21"/>
    </row>
    <row r="85" spans="4:4" ht="12.5">
      <c r="D85" s="21"/>
    </row>
    <row r="86" spans="4:4" ht="12.5">
      <c r="D86" s="21"/>
    </row>
    <row r="87" spans="4:4" ht="12.5">
      <c r="D87" s="21"/>
    </row>
    <row r="88" spans="4:4" ht="12.5">
      <c r="D88" s="21"/>
    </row>
    <row r="89" spans="4:4" ht="12.5">
      <c r="D89" s="21"/>
    </row>
    <row r="90" spans="4:4" ht="12.5">
      <c r="D90" s="21"/>
    </row>
    <row r="91" spans="4:4" ht="12.5">
      <c r="D91" s="21"/>
    </row>
    <row r="92" spans="4:4" ht="12.5">
      <c r="D92" s="21"/>
    </row>
    <row r="93" spans="4:4" ht="12.5">
      <c r="D93" s="21"/>
    </row>
    <row r="94" spans="4:4" ht="12.5">
      <c r="D94" s="21"/>
    </row>
    <row r="95" spans="4:4" ht="12.5">
      <c r="D95" s="21"/>
    </row>
    <row r="96" spans="4:4" ht="12.5">
      <c r="D96" s="21"/>
    </row>
    <row r="97" spans="4:4" ht="12.5">
      <c r="D97" s="21"/>
    </row>
    <row r="98" spans="4:4" ht="12.5">
      <c r="D98" s="21"/>
    </row>
    <row r="99" spans="4:4" ht="12.5">
      <c r="D99" s="21"/>
    </row>
    <row r="100" spans="4:4" ht="12.5">
      <c r="D100" s="21"/>
    </row>
    <row r="101" spans="4:4" ht="12.5">
      <c r="D101" s="21"/>
    </row>
    <row r="102" spans="4:4" ht="12.5">
      <c r="D102" s="21"/>
    </row>
    <row r="103" spans="4:4" ht="12.5">
      <c r="D103" s="21"/>
    </row>
    <row r="104" spans="4:4" ht="12.5">
      <c r="D104" s="21"/>
    </row>
    <row r="105" spans="4:4" ht="12.5">
      <c r="D105" s="21"/>
    </row>
    <row r="106" spans="4:4" ht="12.5">
      <c r="D106" s="21"/>
    </row>
    <row r="107" spans="4:4" ht="12.5">
      <c r="D107" s="21"/>
    </row>
    <row r="108" spans="4:4" ht="12.5">
      <c r="D108" s="21"/>
    </row>
    <row r="109" spans="4:4" ht="12.5">
      <c r="D109" s="21"/>
    </row>
    <row r="110" spans="4:4" ht="12.5">
      <c r="D110" s="21"/>
    </row>
    <row r="111" spans="4:4" ht="12.5">
      <c r="D111" s="21"/>
    </row>
    <row r="112" spans="4:4" ht="12.5">
      <c r="D112" s="21"/>
    </row>
    <row r="113" spans="4:4" ht="12.5">
      <c r="D113" s="21"/>
    </row>
    <row r="114" spans="4:4" ht="12.5">
      <c r="D114" s="21"/>
    </row>
    <row r="115" spans="4:4" ht="12.5">
      <c r="D115" s="21"/>
    </row>
    <row r="116" spans="4:4" ht="12.5">
      <c r="D116" s="21"/>
    </row>
    <row r="117" spans="4:4" ht="12.5">
      <c r="D117" s="21"/>
    </row>
    <row r="118" spans="4:4" ht="12.5">
      <c r="D118" s="21"/>
    </row>
    <row r="119" spans="4:4" ht="12.5">
      <c r="D119" s="21"/>
    </row>
    <row r="120" spans="4:4" ht="12.5">
      <c r="D120" s="21"/>
    </row>
    <row r="121" spans="4:4" ht="12.5">
      <c r="D121" s="21"/>
    </row>
    <row r="122" spans="4:4" ht="12.5">
      <c r="D122" s="21"/>
    </row>
    <row r="123" spans="4:4" ht="12.5">
      <c r="D123" s="21"/>
    </row>
    <row r="124" spans="4:4" ht="12.5">
      <c r="D124" s="21"/>
    </row>
    <row r="125" spans="4:4" ht="12.5">
      <c r="D125" s="21"/>
    </row>
    <row r="126" spans="4:4" ht="12.5">
      <c r="D126" s="21"/>
    </row>
    <row r="127" spans="4:4" ht="12.5">
      <c r="D127" s="21"/>
    </row>
    <row r="128" spans="4:4" ht="12.5">
      <c r="D128" s="21"/>
    </row>
    <row r="129" spans="4:4" ht="12.5">
      <c r="D129" s="21"/>
    </row>
    <row r="130" spans="4:4" ht="12.5">
      <c r="D130" s="21"/>
    </row>
    <row r="131" spans="4:4" ht="12.5">
      <c r="D131" s="21"/>
    </row>
    <row r="132" spans="4:4" ht="12.5">
      <c r="D132" s="21"/>
    </row>
    <row r="133" spans="4:4" ht="12.5">
      <c r="D133" s="21"/>
    </row>
    <row r="134" spans="4:4" ht="12.5">
      <c r="D134" s="21"/>
    </row>
    <row r="135" spans="4:4" ht="12.5">
      <c r="D135" s="21"/>
    </row>
    <row r="136" spans="4:4" ht="12.5">
      <c r="D136" s="21"/>
    </row>
    <row r="137" spans="4:4" ht="12.5">
      <c r="D137" s="21"/>
    </row>
    <row r="138" spans="4:4" ht="12.5">
      <c r="D138" s="21"/>
    </row>
    <row r="139" spans="4:4" ht="12.5">
      <c r="D139" s="21"/>
    </row>
    <row r="140" spans="4:4" ht="12.5">
      <c r="D140" s="21"/>
    </row>
    <row r="141" spans="4:4" ht="12.5">
      <c r="D141" s="21"/>
    </row>
    <row r="142" spans="4:4" ht="12.5">
      <c r="D142" s="21"/>
    </row>
    <row r="143" spans="4:4" ht="12.5">
      <c r="D143" s="21"/>
    </row>
    <row r="144" spans="4:4" ht="12.5">
      <c r="D144" s="21"/>
    </row>
    <row r="145" spans="4:4" ht="12.5">
      <c r="D145" s="21"/>
    </row>
    <row r="146" spans="4:4" ht="12.5">
      <c r="D146" s="21"/>
    </row>
    <row r="147" spans="4:4" ht="12.5">
      <c r="D147" s="21"/>
    </row>
    <row r="148" spans="4:4" ht="12.5">
      <c r="D148" s="21"/>
    </row>
    <row r="149" spans="4:4" ht="12.5">
      <c r="D149" s="21"/>
    </row>
    <row r="150" spans="4:4" ht="12.5">
      <c r="D150" s="21"/>
    </row>
    <row r="151" spans="4:4" ht="12.5">
      <c r="D151" s="21"/>
    </row>
    <row r="152" spans="4:4" ht="12.5">
      <c r="D152" s="21"/>
    </row>
    <row r="153" spans="4:4" ht="12.5">
      <c r="D153" s="21"/>
    </row>
    <row r="154" spans="4:4" ht="12.5">
      <c r="D154" s="21"/>
    </row>
    <row r="155" spans="4:4" ht="12.5">
      <c r="D155" s="21"/>
    </row>
    <row r="156" spans="4:4" ht="12.5">
      <c r="D156" s="21"/>
    </row>
    <row r="157" spans="4:4" ht="12.5">
      <c r="D157" s="21"/>
    </row>
    <row r="158" spans="4:4" ht="12.5">
      <c r="D158" s="21"/>
    </row>
    <row r="159" spans="4:4" ht="12.5">
      <c r="D159" s="21"/>
    </row>
    <row r="160" spans="4:4" ht="12.5">
      <c r="D160" s="21"/>
    </row>
    <row r="161" spans="4:4" ht="12.5">
      <c r="D161" s="21"/>
    </row>
    <row r="162" spans="4:4" ht="12.5">
      <c r="D162" s="21"/>
    </row>
    <row r="163" spans="4:4" ht="12.5">
      <c r="D163" s="21"/>
    </row>
    <row r="164" spans="4:4" ht="12.5">
      <c r="D164" s="21"/>
    </row>
    <row r="165" spans="4:4" ht="12.5">
      <c r="D165" s="21"/>
    </row>
    <row r="166" spans="4:4" ht="12.5">
      <c r="D166" s="21"/>
    </row>
    <row r="167" spans="4:4" ht="12.5">
      <c r="D167" s="21"/>
    </row>
    <row r="168" spans="4:4" ht="12.5">
      <c r="D168" s="21"/>
    </row>
    <row r="169" spans="4:4" ht="12.5">
      <c r="D169" s="21"/>
    </row>
    <row r="170" spans="4:4" ht="12.5">
      <c r="D170" s="21"/>
    </row>
    <row r="171" spans="4:4" ht="12.5">
      <c r="D171" s="21"/>
    </row>
    <row r="172" spans="4:4" ht="12.5">
      <c r="D172" s="21"/>
    </row>
    <row r="173" spans="4:4" ht="12.5">
      <c r="D173" s="21"/>
    </row>
    <row r="174" spans="4:4" ht="12.5">
      <c r="D174" s="21"/>
    </row>
    <row r="175" spans="4:4" ht="12.5">
      <c r="D175" s="21"/>
    </row>
    <row r="176" spans="4:4" ht="12.5">
      <c r="D176" s="21"/>
    </row>
    <row r="177" spans="4:4" ht="12.5">
      <c r="D177" s="21"/>
    </row>
    <row r="178" spans="4:4" ht="12.5">
      <c r="D178" s="21"/>
    </row>
    <row r="179" spans="4:4" ht="12.5">
      <c r="D179" s="21"/>
    </row>
    <row r="180" spans="4:4" ht="12.5">
      <c r="D180" s="21"/>
    </row>
    <row r="181" spans="4:4" ht="12.5">
      <c r="D181" s="21"/>
    </row>
    <row r="182" spans="4:4" ht="12.5">
      <c r="D182" s="21"/>
    </row>
    <row r="183" spans="4:4" ht="12.5">
      <c r="D183" s="21"/>
    </row>
    <row r="184" spans="4:4" ht="12.5">
      <c r="D184" s="21"/>
    </row>
    <row r="185" spans="4:4" ht="12.5">
      <c r="D185" s="21"/>
    </row>
    <row r="186" spans="4:4" ht="12.5">
      <c r="D186" s="21"/>
    </row>
    <row r="187" spans="4:4" ht="12.5">
      <c r="D187" s="21"/>
    </row>
    <row r="188" spans="4:4" ht="12.5">
      <c r="D188" s="21"/>
    </row>
    <row r="189" spans="4:4" ht="12.5">
      <c r="D189" s="21"/>
    </row>
    <row r="190" spans="4:4" ht="12.5">
      <c r="D190" s="21"/>
    </row>
    <row r="191" spans="4:4" ht="12.5">
      <c r="D191" s="21"/>
    </row>
    <row r="192" spans="4:4" ht="12.5">
      <c r="D192" s="21"/>
    </row>
    <row r="193" spans="4:4" ht="12.5">
      <c r="D193" s="21"/>
    </row>
    <row r="194" spans="4:4" ht="12.5">
      <c r="D194" s="21"/>
    </row>
    <row r="195" spans="4:4" ht="12.5">
      <c r="D195" s="21"/>
    </row>
    <row r="196" spans="4:4" ht="12.5">
      <c r="D196" s="21"/>
    </row>
    <row r="197" spans="4:4" ht="12.5">
      <c r="D197" s="21"/>
    </row>
    <row r="198" spans="4:4" ht="12.5">
      <c r="D198" s="21"/>
    </row>
    <row r="199" spans="4:4" ht="12.5">
      <c r="D199" s="21"/>
    </row>
    <row r="200" spans="4:4" ht="12.5">
      <c r="D200" s="21"/>
    </row>
    <row r="201" spans="4:4" ht="12.5">
      <c r="D201" s="21"/>
    </row>
    <row r="202" spans="4:4" ht="12.5">
      <c r="D202" s="21"/>
    </row>
    <row r="203" spans="4:4" ht="12.5">
      <c r="D203" s="21"/>
    </row>
    <row r="204" spans="4:4" ht="12.5">
      <c r="D204" s="21"/>
    </row>
    <row r="205" spans="4:4" ht="12.5">
      <c r="D205" s="21"/>
    </row>
    <row r="206" spans="4:4" ht="12.5">
      <c r="D206" s="21"/>
    </row>
    <row r="207" spans="4:4" ht="12.5">
      <c r="D207" s="21"/>
    </row>
    <row r="208" spans="4:4" ht="12.5">
      <c r="D208" s="21"/>
    </row>
    <row r="209" spans="4:4" ht="12.5">
      <c r="D209" s="21"/>
    </row>
    <row r="210" spans="4:4" ht="12.5">
      <c r="D210" s="21"/>
    </row>
    <row r="211" spans="4:4" ht="12.5">
      <c r="D211" s="21"/>
    </row>
    <row r="212" spans="4:4" ht="12.5">
      <c r="D212" s="21"/>
    </row>
    <row r="213" spans="4:4" ht="12.5">
      <c r="D213" s="21"/>
    </row>
    <row r="214" spans="4:4" ht="12.5">
      <c r="D214" s="21"/>
    </row>
    <row r="215" spans="4:4" ht="12.5">
      <c r="D215" s="21"/>
    </row>
    <row r="216" spans="4:4" ht="12.5">
      <c r="D216" s="21"/>
    </row>
    <row r="217" spans="4:4" ht="12.5">
      <c r="D217" s="21"/>
    </row>
    <row r="218" spans="4:4" ht="12.5">
      <c r="D218" s="21"/>
    </row>
    <row r="219" spans="4:4" ht="12.5">
      <c r="D219" s="21"/>
    </row>
    <row r="220" spans="4:4" ht="12.5">
      <c r="D220" s="21"/>
    </row>
    <row r="221" spans="4:4" ht="12.5">
      <c r="D221" s="21"/>
    </row>
    <row r="222" spans="4:4" ht="12.5">
      <c r="D222" s="21"/>
    </row>
    <row r="223" spans="4:4" ht="12.5">
      <c r="D223" s="21"/>
    </row>
    <row r="224" spans="4:4" ht="12.5">
      <c r="D224" s="21"/>
    </row>
    <row r="225" spans="4:4" ht="12.5">
      <c r="D225" s="21"/>
    </row>
    <row r="226" spans="4:4" ht="12.5">
      <c r="D226" s="21"/>
    </row>
    <row r="227" spans="4:4" ht="12.5">
      <c r="D227" s="21"/>
    </row>
    <row r="228" spans="4:4" ht="12.5">
      <c r="D228" s="21"/>
    </row>
    <row r="229" spans="4:4" ht="12.5">
      <c r="D229" s="21"/>
    </row>
    <row r="230" spans="4:4" ht="12.5">
      <c r="D230" s="21"/>
    </row>
    <row r="231" spans="4:4" ht="12.5">
      <c r="D231" s="21"/>
    </row>
    <row r="232" spans="4:4" ht="12.5">
      <c r="D232" s="21"/>
    </row>
    <row r="233" spans="4:4" ht="12.5">
      <c r="D233" s="21"/>
    </row>
    <row r="234" spans="4:4" ht="12.5">
      <c r="D234" s="21"/>
    </row>
    <row r="235" spans="4:4" ht="12.5">
      <c r="D235" s="21"/>
    </row>
    <row r="236" spans="4:4" ht="12.5">
      <c r="D236" s="21"/>
    </row>
    <row r="237" spans="4:4" ht="12.5">
      <c r="D237" s="21"/>
    </row>
    <row r="238" spans="4:4" ht="12.5">
      <c r="D238" s="21"/>
    </row>
    <row r="239" spans="4:4" ht="12.5">
      <c r="D239" s="21"/>
    </row>
    <row r="240" spans="4:4" ht="12.5">
      <c r="D240" s="21"/>
    </row>
    <row r="241" spans="4:4" ht="12.5">
      <c r="D241" s="21"/>
    </row>
    <row r="242" spans="4:4" ht="12.5">
      <c r="D242" s="21"/>
    </row>
    <row r="243" spans="4:4" ht="12.5">
      <c r="D243" s="21"/>
    </row>
    <row r="244" spans="4:4" ht="12.5">
      <c r="D244" s="21"/>
    </row>
    <row r="245" spans="4:4" ht="12.5">
      <c r="D245" s="21"/>
    </row>
    <row r="246" spans="4:4" ht="12.5">
      <c r="D246" s="21"/>
    </row>
    <row r="247" spans="4:4" ht="12.5">
      <c r="D247" s="21"/>
    </row>
    <row r="248" spans="4:4" ht="12.5">
      <c r="D248" s="21"/>
    </row>
    <row r="249" spans="4:4" ht="12.5">
      <c r="D249" s="21"/>
    </row>
    <row r="250" spans="4:4" ht="12.5">
      <c r="D250" s="21"/>
    </row>
    <row r="251" spans="4:4" ht="12.5">
      <c r="D251" s="21"/>
    </row>
    <row r="252" spans="4:4" ht="12.5">
      <c r="D252" s="21"/>
    </row>
    <row r="253" spans="4:4" ht="12.5">
      <c r="D253" s="21"/>
    </row>
    <row r="254" spans="4:4" ht="12.5">
      <c r="D254" s="21"/>
    </row>
    <row r="255" spans="4:4" ht="12.5">
      <c r="D255" s="21"/>
    </row>
    <row r="256" spans="4:4" ht="12.5">
      <c r="D256" s="21"/>
    </row>
    <row r="257" spans="4:4" ht="12.5">
      <c r="D257" s="21"/>
    </row>
    <row r="258" spans="4:4" ht="12.5">
      <c r="D258" s="21"/>
    </row>
    <row r="259" spans="4:4" ht="12.5">
      <c r="D259" s="21"/>
    </row>
    <row r="260" spans="4:4" ht="12.5">
      <c r="D260" s="21"/>
    </row>
    <row r="261" spans="4:4" ht="12.5">
      <c r="D261" s="21"/>
    </row>
    <row r="262" spans="4:4" ht="12.5">
      <c r="D262" s="21"/>
    </row>
    <row r="263" spans="4:4" ht="12.5">
      <c r="D263" s="21"/>
    </row>
    <row r="264" spans="4:4" ht="12.5">
      <c r="D264" s="21"/>
    </row>
    <row r="265" spans="4:4" ht="12.5">
      <c r="D265" s="21"/>
    </row>
    <row r="266" spans="4:4" ht="12.5">
      <c r="D266" s="21"/>
    </row>
    <row r="267" spans="4:4" ht="12.5">
      <c r="D267" s="21"/>
    </row>
    <row r="268" spans="4:4" ht="12.5">
      <c r="D268" s="21"/>
    </row>
    <row r="269" spans="4:4" ht="12.5">
      <c r="D269" s="21"/>
    </row>
    <row r="270" spans="4:4" ht="12.5">
      <c r="D270" s="21"/>
    </row>
    <row r="271" spans="4:4" ht="12.5">
      <c r="D271" s="21"/>
    </row>
    <row r="272" spans="4:4" ht="12.5">
      <c r="D272" s="21"/>
    </row>
    <row r="273" spans="4:4" ht="12.5">
      <c r="D273" s="21"/>
    </row>
    <row r="274" spans="4:4" ht="12.5">
      <c r="D274" s="21"/>
    </row>
    <row r="275" spans="4:4" ht="12.5">
      <c r="D275" s="21"/>
    </row>
    <row r="276" spans="4:4" ht="12.5">
      <c r="D276" s="21"/>
    </row>
    <row r="277" spans="4:4" ht="12.5">
      <c r="D277" s="21"/>
    </row>
    <row r="278" spans="4:4" ht="12.5">
      <c r="D278" s="21"/>
    </row>
    <row r="279" spans="4:4" ht="12.5">
      <c r="D279" s="21"/>
    </row>
    <row r="280" spans="4:4" ht="12.5">
      <c r="D280" s="21"/>
    </row>
    <row r="281" spans="4:4" ht="12.5">
      <c r="D281" s="21"/>
    </row>
    <row r="282" spans="4:4" ht="12.5">
      <c r="D282" s="21"/>
    </row>
    <row r="283" spans="4:4" ht="12.5">
      <c r="D283" s="21"/>
    </row>
    <row r="284" spans="4:4" ht="12.5">
      <c r="D284" s="21"/>
    </row>
    <row r="285" spans="4:4" ht="12.5">
      <c r="D285" s="21"/>
    </row>
    <row r="286" spans="4:4" ht="12.5">
      <c r="D286" s="21"/>
    </row>
    <row r="287" spans="4:4" ht="12.5">
      <c r="D287" s="21"/>
    </row>
    <row r="288" spans="4:4" ht="12.5">
      <c r="D288" s="21"/>
    </row>
    <row r="289" spans="4:4" ht="12.5">
      <c r="D289" s="21"/>
    </row>
    <row r="290" spans="4:4" ht="12.5">
      <c r="D290" s="21"/>
    </row>
    <row r="291" spans="4:4" ht="12.5">
      <c r="D291" s="21"/>
    </row>
    <row r="292" spans="4:4" ht="12.5">
      <c r="D292" s="21"/>
    </row>
    <row r="293" spans="4:4" ht="12.5">
      <c r="D293" s="21"/>
    </row>
    <row r="294" spans="4:4" ht="12.5">
      <c r="D294" s="21"/>
    </row>
    <row r="295" spans="4:4" ht="12.5">
      <c r="D295" s="21"/>
    </row>
    <row r="296" spans="4:4" ht="12.5">
      <c r="D296" s="21"/>
    </row>
    <row r="297" spans="4:4" ht="12.5">
      <c r="D297" s="21"/>
    </row>
    <row r="298" spans="4:4" ht="12.5">
      <c r="D298" s="21"/>
    </row>
    <row r="299" spans="4:4" ht="12.5">
      <c r="D299" s="21"/>
    </row>
    <row r="300" spans="4:4" ht="12.5">
      <c r="D300" s="21"/>
    </row>
    <row r="301" spans="4:4" ht="12.5">
      <c r="D301" s="21"/>
    </row>
    <row r="302" spans="4:4" ht="12.5">
      <c r="D302" s="21"/>
    </row>
    <row r="303" spans="4:4" ht="12.5">
      <c r="D303" s="21"/>
    </row>
    <row r="304" spans="4:4" ht="12.5">
      <c r="D304" s="21"/>
    </row>
    <row r="305" spans="4:4" ht="12.5">
      <c r="D305" s="21"/>
    </row>
    <row r="306" spans="4:4" ht="12.5">
      <c r="D306" s="21"/>
    </row>
    <row r="307" spans="4:4" ht="12.5">
      <c r="D307" s="21"/>
    </row>
    <row r="308" spans="4:4" ht="12.5">
      <c r="D308" s="21"/>
    </row>
    <row r="309" spans="4:4" ht="12.5">
      <c r="D309" s="21"/>
    </row>
    <row r="310" spans="4:4" ht="12.5">
      <c r="D310" s="21"/>
    </row>
    <row r="311" spans="4:4" ht="12.5">
      <c r="D311" s="21"/>
    </row>
    <row r="312" spans="4:4" ht="12.5">
      <c r="D312" s="21"/>
    </row>
    <row r="313" spans="4:4" ht="12.5">
      <c r="D313" s="21"/>
    </row>
    <row r="314" spans="4:4" ht="12.5">
      <c r="D314" s="21"/>
    </row>
    <row r="315" spans="4:4" ht="12.5">
      <c r="D315" s="21"/>
    </row>
    <row r="316" spans="4:4" ht="12.5">
      <c r="D316" s="21"/>
    </row>
    <row r="317" spans="4:4" ht="12.5">
      <c r="D317" s="21"/>
    </row>
    <row r="318" spans="4:4" ht="12.5">
      <c r="D318" s="21"/>
    </row>
    <row r="319" spans="4:4" ht="12.5">
      <c r="D319" s="21"/>
    </row>
    <row r="320" spans="4:4" ht="12.5">
      <c r="D320" s="21"/>
    </row>
    <row r="321" spans="4:4" ht="12.5">
      <c r="D321" s="21"/>
    </row>
    <row r="322" spans="4:4" ht="12.5">
      <c r="D322" s="21"/>
    </row>
    <row r="323" spans="4:4" ht="12.5">
      <c r="D323" s="21"/>
    </row>
    <row r="324" spans="4:4" ht="12.5">
      <c r="D324" s="21"/>
    </row>
    <row r="325" spans="4:4" ht="12.5">
      <c r="D325" s="21"/>
    </row>
    <row r="326" spans="4:4" ht="12.5">
      <c r="D326" s="21"/>
    </row>
    <row r="327" spans="4:4" ht="12.5">
      <c r="D327" s="21"/>
    </row>
    <row r="328" spans="4:4" ht="12.5">
      <c r="D328" s="21"/>
    </row>
    <row r="329" spans="4:4" ht="12.5">
      <c r="D329" s="21"/>
    </row>
    <row r="330" spans="4:4" ht="12.5">
      <c r="D330" s="21"/>
    </row>
    <row r="331" spans="4:4" ht="12.5">
      <c r="D331" s="21"/>
    </row>
    <row r="332" spans="4:4" ht="12.5">
      <c r="D332" s="21"/>
    </row>
    <row r="333" spans="4:4" ht="12.5">
      <c r="D333" s="21"/>
    </row>
    <row r="334" spans="4:4" ht="12.5">
      <c r="D334" s="21"/>
    </row>
    <row r="335" spans="4:4" ht="12.5">
      <c r="D335" s="21"/>
    </row>
    <row r="336" spans="4:4" ht="12.5">
      <c r="D336" s="21"/>
    </row>
    <row r="337" spans="4:4" ht="12.5">
      <c r="D337" s="21"/>
    </row>
    <row r="338" spans="4:4" ht="12.5">
      <c r="D338" s="21"/>
    </row>
    <row r="339" spans="4:4" ht="12.5">
      <c r="D339" s="21"/>
    </row>
    <row r="340" spans="4:4" ht="12.5">
      <c r="D340" s="21"/>
    </row>
    <row r="341" spans="4:4" ht="12.5">
      <c r="D341" s="21"/>
    </row>
    <row r="342" spans="4:4" ht="12.5">
      <c r="D342" s="21"/>
    </row>
    <row r="343" spans="4:4" ht="12.5">
      <c r="D343" s="21"/>
    </row>
    <row r="344" spans="4:4" ht="12.5">
      <c r="D344" s="21"/>
    </row>
    <row r="345" spans="4:4" ht="12.5">
      <c r="D345" s="21"/>
    </row>
    <row r="346" spans="4:4" ht="12.5">
      <c r="D346" s="21"/>
    </row>
    <row r="347" spans="4:4" ht="12.5">
      <c r="D347" s="21"/>
    </row>
    <row r="348" spans="4:4" ht="12.5">
      <c r="D348" s="21"/>
    </row>
    <row r="349" spans="4:4" ht="12.5">
      <c r="D349" s="21"/>
    </row>
    <row r="350" spans="4:4" ht="12.5">
      <c r="D350" s="21"/>
    </row>
    <row r="351" spans="4:4" ht="12.5">
      <c r="D351" s="21"/>
    </row>
    <row r="352" spans="4:4" ht="12.5">
      <c r="D352" s="21"/>
    </row>
    <row r="353" spans="4:4" ht="12.5">
      <c r="D353" s="21"/>
    </row>
    <row r="354" spans="4:4" ht="12.5">
      <c r="D354" s="21"/>
    </row>
    <row r="355" spans="4:4" ht="12.5">
      <c r="D355" s="21"/>
    </row>
    <row r="356" spans="4:4" ht="12.5">
      <c r="D356" s="21"/>
    </row>
    <row r="357" spans="4:4" ht="12.5">
      <c r="D357" s="21"/>
    </row>
    <row r="358" spans="4:4" ht="12.5">
      <c r="D358" s="21"/>
    </row>
    <row r="359" spans="4:4" ht="12.5">
      <c r="D359" s="21"/>
    </row>
    <row r="360" spans="4:4" ht="12.5">
      <c r="D360" s="21"/>
    </row>
    <row r="361" spans="4:4" ht="12.5">
      <c r="D361" s="21"/>
    </row>
    <row r="362" spans="4:4" ht="12.5">
      <c r="D362" s="21"/>
    </row>
    <row r="363" spans="4:4" ht="12.5">
      <c r="D363" s="21"/>
    </row>
    <row r="364" spans="4:4" ht="12.5">
      <c r="D364" s="21"/>
    </row>
    <row r="365" spans="4:4" ht="12.5">
      <c r="D365" s="21"/>
    </row>
    <row r="366" spans="4:4" ht="12.5">
      <c r="D366" s="21"/>
    </row>
    <row r="367" spans="4:4" ht="12.5">
      <c r="D367" s="21"/>
    </row>
    <row r="368" spans="4:4" ht="12.5">
      <c r="D368" s="21"/>
    </row>
    <row r="369" spans="4:4" ht="12.5">
      <c r="D369" s="21"/>
    </row>
    <row r="370" spans="4:4" ht="12.5">
      <c r="D370" s="21"/>
    </row>
    <row r="371" spans="4:4" ht="12.5">
      <c r="D371" s="21"/>
    </row>
    <row r="372" spans="4:4" ht="12.5">
      <c r="D372" s="21"/>
    </row>
    <row r="373" spans="4:4" ht="12.5">
      <c r="D373" s="21"/>
    </row>
    <row r="374" spans="4:4" ht="12.5">
      <c r="D374" s="21"/>
    </row>
    <row r="375" spans="4:4" ht="12.5">
      <c r="D375" s="21"/>
    </row>
    <row r="376" spans="4:4" ht="12.5">
      <c r="D376" s="21"/>
    </row>
    <row r="377" spans="4:4" ht="12.5">
      <c r="D377" s="21"/>
    </row>
    <row r="378" spans="4:4" ht="12.5">
      <c r="D378" s="21"/>
    </row>
    <row r="379" spans="4:4" ht="12.5">
      <c r="D379" s="21"/>
    </row>
    <row r="380" spans="4:4" ht="12.5">
      <c r="D380" s="21"/>
    </row>
    <row r="381" spans="4:4" ht="12.5">
      <c r="D381" s="21"/>
    </row>
    <row r="382" spans="4:4" ht="12.5">
      <c r="D382" s="21"/>
    </row>
    <row r="383" spans="4:4" ht="12.5">
      <c r="D383" s="21"/>
    </row>
    <row r="384" spans="4:4" ht="12.5">
      <c r="D384" s="21"/>
    </row>
    <row r="385" spans="4:4" ht="12.5">
      <c r="D385" s="21"/>
    </row>
    <row r="386" spans="4:4" ht="12.5">
      <c r="D386" s="21"/>
    </row>
    <row r="387" spans="4:4" ht="12.5">
      <c r="D387" s="21"/>
    </row>
    <row r="388" spans="4:4" ht="12.5">
      <c r="D388" s="21"/>
    </row>
    <row r="389" spans="4:4" ht="12.5">
      <c r="D389" s="21"/>
    </row>
    <row r="390" spans="4:4" ht="12.5">
      <c r="D390" s="21"/>
    </row>
    <row r="391" spans="4:4" ht="12.5">
      <c r="D391" s="21"/>
    </row>
    <row r="392" spans="4:4" ht="12.5">
      <c r="D392" s="21"/>
    </row>
    <row r="393" spans="4:4" ht="12.5">
      <c r="D393" s="21"/>
    </row>
    <row r="394" spans="4:4" ht="12.5">
      <c r="D394" s="21"/>
    </row>
    <row r="395" spans="4:4" ht="12.5">
      <c r="D395" s="21"/>
    </row>
    <row r="396" spans="4:4" ht="12.5">
      <c r="D396" s="21"/>
    </row>
    <row r="397" spans="4:4" ht="12.5">
      <c r="D397" s="21"/>
    </row>
    <row r="398" spans="4:4" ht="12.5">
      <c r="D398" s="21"/>
    </row>
    <row r="399" spans="4:4" ht="12.5">
      <c r="D399" s="21"/>
    </row>
    <row r="400" spans="4:4" ht="12.5">
      <c r="D400" s="21"/>
    </row>
    <row r="401" spans="4:4" ht="12.5">
      <c r="D401" s="21"/>
    </row>
    <row r="402" spans="4:4" ht="12.5">
      <c r="D402" s="21"/>
    </row>
    <row r="403" spans="4:4" ht="12.5">
      <c r="D403" s="21"/>
    </row>
    <row r="404" spans="4:4" ht="12.5">
      <c r="D404" s="21"/>
    </row>
    <row r="405" spans="4:4" ht="12.5">
      <c r="D405" s="21"/>
    </row>
    <row r="406" spans="4:4" ht="12.5">
      <c r="D406" s="21"/>
    </row>
    <row r="407" spans="4:4" ht="12.5">
      <c r="D407" s="21"/>
    </row>
    <row r="408" spans="4:4" ht="12.5">
      <c r="D408" s="21"/>
    </row>
    <row r="409" spans="4:4" ht="12.5">
      <c r="D409" s="21"/>
    </row>
    <row r="410" spans="4:4" ht="12.5">
      <c r="D410" s="21"/>
    </row>
    <row r="411" spans="4:4" ht="12.5">
      <c r="D411" s="21"/>
    </row>
    <row r="412" spans="4:4" ht="12.5">
      <c r="D412" s="21"/>
    </row>
    <row r="413" spans="4:4" ht="12.5">
      <c r="D413" s="21"/>
    </row>
    <row r="414" spans="4:4" ht="12.5">
      <c r="D414" s="21"/>
    </row>
    <row r="415" spans="4:4" ht="12.5">
      <c r="D415" s="21"/>
    </row>
    <row r="416" spans="4:4" ht="12.5">
      <c r="D416" s="21"/>
    </row>
    <row r="417" spans="4:4" ht="12.5">
      <c r="D417" s="21"/>
    </row>
    <row r="418" spans="4:4" ht="12.5">
      <c r="D418" s="21"/>
    </row>
    <row r="419" spans="4:4" ht="12.5">
      <c r="D419" s="21"/>
    </row>
    <row r="420" spans="4:4" ht="12.5">
      <c r="D420" s="21"/>
    </row>
    <row r="421" spans="4:4" ht="12.5">
      <c r="D421" s="21"/>
    </row>
    <row r="422" spans="4:4" ht="12.5">
      <c r="D422" s="21"/>
    </row>
    <row r="423" spans="4:4" ht="12.5">
      <c r="D423" s="21"/>
    </row>
    <row r="424" spans="4:4" ht="12.5">
      <c r="D424" s="21"/>
    </row>
    <row r="425" spans="4:4" ht="12.5">
      <c r="D425" s="21"/>
    </row>
    <row r="426" spans="4:4" ht="12.5">
      <c r="D426" s="21"/>
    </row>
    <row r="427" spans="4:4" ht="12.5">
      <c r="D427" s="21"/>
    </row>
    <row r="428" spans="4:4" ht="12.5">
      <c r="D428" s="21"/>
    </row>
    <row r="429" spans="4:4" ht="12.5">
      <c r="D429" s="21"/>
    </row>
    <row r="430" spans="4:4" ht="12.5">
      <c r="D430" s="21"/>
    </row>
    <row r="431" spans="4:4" ht="12.5">
      <c r="D431" s="21"/>
    </row>
    <row r="432" spans="4:4" ht="12.5">
      <c r="D432" s="21"/>
    </row>
    <row r="433" spans="4:4" ht="12.5">
      <c r="D433" s="21"/>
    </row>
    <row r="434" spans="4:4" ht="12.5">
      <c r="D434" s="21"/>
    </row>
    <row r="435" spans="4:4" ht="12.5">
      <c r="D435" s="21"/>
    </row>
    <row r="436" spans="4:4" ht="12.5">
      <c r="D436" s="21"/>
    </row>
    <row r="437" spans="4:4" ht="12.5">
      <c r="D437" s="21"/>
    </row>
    <row r="438" spans="4:4" ht="12.5">
      <c r="D438" s="21"/>
    </row>
    <row r="439" spans="4:4" ht="12.5">
      <c r="D439" s="21"/>
    </row>
    <row r="440" spans="4:4" ht="12.5">
      <c r="D440" s="21"/>
    </row>
    <row r="441" spans="4:4" ht="12.5">
      <c r="D441" s="21"/>
    </row>
    <row r="442" spans="4:4" ht="12.5">
      <c r="D442" s="21"/>
    </row>
    <row r="443" spans="4:4" ht="12.5">
      <c r="D443" s="21"/>
    </row>
    <row r="444" spans="4:4" ht="12.5">
      <c r="D444" s="21"/>
    </row>
    <row r="445" spans="4:4" ht="12.5">
      <c r="D445" s="21"/>
    </row>
    <row r="446" spans="4:4" ht="12.5">
      <c r="D446" s="21"/>
    </row>
    <row r="447" spans="4:4" ht="12.5">
      <c r="D447" s="21"/>
    </row>
    <row r="448" spans="4:4" ht="12.5">
      <c r="D448" s="21"/>
    </row>
    <row r="449" spans="4:4" ht="12.5">
      <c r="D449" s="21"/>
    </row>
    <row r="450" spans="4:4" ht="12.5">
      <c r="D450" s="21"/>
    </row>
    <row r="451" spans="4:4" ht="12.5">
      <c r="D451" s="21"/>
    </row>
    <row r="452" spans="4:4" ht="12.5">
      <c r="D452" s="21"/>
    </row>
    <row r="453" spans="4:4" ht="12.5">
      <c r="D453" s="21"/>
    </row>
    <row r="454" spans="4:4" ht="12.5">
      <c r="D454" s="21"/>
    </row>
    <row r="455" spans="4:4" ht="12.5">
      <c r="D455" s="21"/>
    </row>
    <row r="456" spans="4:4" ht="12.5">
      <c r="D456" s="21"/>
    </row>
    <row r="457" spans="4:4" ht="12.5">
      <c r="D457" s="21"/>
    </row>
    <row r="458" spans="4:4" ht="12.5">
      <c r="D458" s="21"/>
    </row>
    <row r="459" spans="4:4" ht="12.5">
      <c r="D459" s="21"/>
    </row>
    <row r="460" spans="4:4" ht="12.5">
      <c r="D460" s="21"/>
    </row>
    <row r="461" spans="4:4" ht="12.5">
      <c r="D461" s="21"/>
    </row>
    <row r="462" spans="4:4" ht="12.5">
      <c r="D462" s="21"/>
    </row>
    <row r="463" spans="4:4" ht="12.5">
      <c r="D463" s="21"/>
    </row>
    <row r="464" spans="4:4" ht="12.5">
      <c r="D464" s="21"/>
    </row>
    <row r="465" spans="4:4" ht="12.5">
      <c r="D465" s="21"/>
    </row>
    <row r="466" spans="4:4" ht="12.5">
      <c r="D466" s="21"/>
    </row>
    <row r="467" spans="4:4" ht="12.5">
      <c r="D467" s="21"/>
    </row>
    <row r="468" spans="4:4" ht="12.5">
      <c r="D468" s="21"/>
    </row>
    <row r="469" spans="4:4" ht="12.5">
      <c r="D469" s="21"/>
    </row>
    <row r="470" spans="4:4" ht="12.5">
      <c r="D470" s="21"/>
    </row>
    <row r="471" spans="4:4" ht="12.5">
      <c r="D471" s="21"/>
    </row>
    <row r="472" spans="4:4" ht="12.5">
      <c r="D472" s="21"/>
    </row>
    <row r="473" spans="4:4" ht="12.5">
      <c r="D473" s="21"/>
    </row>
    <row r="474" spans="4:4" ht="12.5">
      <c r="D474" s="21"/>
    </row>
    <row r="475" spans="4:4" ht="12.5">
      <c r="D475" s="21"/>
    </row>
    <row r="476" spans="4:4" ht="12.5">
      <c r="D476" s="21"/>
    </row>
    <row r="477" spans="4:4" ht="12.5">
      <c r="D477" s="21"/>
    </row>
    <row r="478" spans="4:4" ht="12.5">
      <c r="D478" s="21"/>
    </row>
    <row r="479" spans="4:4" ht="12.5">
      <c r="D479" s="21"/>
    </row>
    <row r="480" spans="4:4" ht="12.5">
      <c r="D480" s="21"/>
    </row>
    <row r="481" spans="4:4" ht="12.5">
      <c r="D481" s="21"/>
    </row>
    <row r="482" spans="4:4" ht="12.5">
      <c r="D482" s="21"/>
    </row>
    <row r="483" spans="4:4" ht="12.5">
      <c r="D483" s="21"/>
    </row>
    <row r="484" spans="4:4" ht="12.5">
      <c r="D484" s="21"/>
    </row>
    <row r="485" spans="4:4" ht="12.5">
      <c r="D485" s="21"/>
    </row>
    <row r="486" spans="4:4" ht="12.5">
      <c r="D486" s="21"/>
    </row>
    <row r="487" spans="4:4" ht="12.5">
      <c r="D487" s="21"/>
    </row>
    <row r="488" spans="4:4" ht="12.5">
      <c r="D488" s="21"/>
    </row>
    <row r="489" spans="4:4" ht="12.5">
      <c r="D489" s="21"/>
    </row>
    <row r="490" spans="4:4" ht="12.5">
      <c r="D490" s="21"/>
    </row>
    <row r="491" spans="4:4" ht="12.5">
      <c r="D491" s="21"/>
    </row>
    <row r="492" spans="4:4" ht="12.5">
      <c r="D492" s="21"/>
    </row>
    <row r="493" spans="4:4" ht="12.5">
      <c r="D493" s="21"/>
    </row>
    <row r="494" spans="4:4" ht="12.5">
      <c r="D494" s="21"/>
    </row>
    <row r="495" spans="4:4" ht="12.5">
      <c r="D495" s="21"/>
    </row>
    <row r="496" spans="4:4" ht="12.5">
      <c r="D496" s="21"/>
    </row>
    <row r="497" spans="4:4" ht="12.5">
      <c r="D497" s="21"/>
    </row>
    <row r="498" spans="4:4" ht="12.5">
      <c r="D498" s="21"/>
    </row>
    <row r="499" spans="4:4" ht="12.5">
      <c r="D499" s="21"/>
    </row>
    <row r="500" spans="4:4" ht="12.5">
      <c r="D500" s="21"/>
    </row>
    <row r="501" spans="4:4" ht="12.5">
      <c r="D501" s="21"/>
    </row>
    <row r="502" spans="4:4" ht="12.5">
      <c r="D502" s="21"/>
    </row>
    <row r="503" spans="4:4" ht="12.5">
      <c r="D503" s="21"/>
    </row>
    <row r="504" spans="4:4" ht="12.5">
      <c r="D504" s="21"/>
    </row>
    <row r="505" spans="4:4" ht="12.5">
      <c r="D505" s="21"/>
    </row>
    <row r="506" spans="4:4" ht="12.5">
      <c r="D506" s="21"/>
    </row>
    <row r="507" spans="4:4" ht="12.5">
      <c r="D507" s="21"/>
    </row>
    <row r="508" spans="4:4" ht="12.5">
      <c r="D508" s="21"/>
    </row>
    <row r="509" spans="4:4" ht="12.5">
      <c r="D509" s="21"/>
    </row>
    <row r="510" spans="4:4" ht="12.5">
      <c r="D510" s="21"/>
    </row>
    <row r="511" spans="4:4" ht="12.5">
      <c r="D511" s="21"/>
    </row>
    <row r="512" spans="4:4" ht="12.5">
      <c r="D512" s="21"/>
    </row>
    <row r="513" spans="4:4" ht="12.5">
      <c r="D513" s="21"/>
    </row>
    <row r="514" spans="4:4" ht="12.5">
      <c r="D514" s="21"/>
    </row>
    <row r="515" spans="4:4" ht="12.5">
      <c r="D515" s="21"/>
    </row>
    <row r="516" spans="4:4" ht="12.5">
      <c r="D516" s="21"/>
    </row>
    <row r="517" spans="4:4" ht="12.5">
      <c r="D517" s="21"/>
    </row>
    <row r="518" spans="4:4" ht="12.5">
      <c r="D518" s="21"/>
    </row>
    <row r="519" spans="4:4" ht="12.5">
      <c r="D519" s="21"/>
    </row>
    <row r="520" spans="4:4" ht="12.5">
      <c r="D520" s="21"/>
    </row>
    <row r="521" spans="4:4" ht="12.5">
      <c r="D521" s="21"/>
    </row>
    <row r="522" spans="4:4" ht="12.5">
      <c r="D522" s="21"/>
    </row>
    <row r="523" spans="4:4" ht="12.5">
      <c r="D523" s="21"/>
    </row>
    <row r="524" spans="4:4" ht="12.5">
      <c r="D524" s="21"/>
    </row>
    <row r="525" spans="4:4" ht="12.5">
      <c r="D525" s="21"/>
    </row>
    <row r="526" spans="4:4" ht="12.5">
      <c r="D526" s="21"/>
    </row>
    <row r="527" spans="4:4" ht="12.5">
      <c r="D527" s="21"/>
    </row>
    <row r="528" spans="4:4" ht="12.5">
      <c r="D528" s="21"/>
    </row>
    <row r="529" spans="4:4" ht="12.5">
      <c r="D529" s="21"/>
    </row>
    <row r="530" spans="4:4" ht="12.5">
      <c r="D530" s="21"/>
    </row>
    <row r="531" spans="4:4" ht="12.5">
      <c r="D531" s="21"/>
    </row>
    <row r="532" spans="4:4" ht="12.5">
      <c r="D532" s="21"/>
    </row>
    <row r="533" spans="4:4" ht="12.5">
      <c r="D533" s="21"/>
    </row>
    <row r="534" spans="4:4" ht="12.5">
      <c r="D534" s="21"/>
    </row>
    <row r="535" spans="4:4" ht="12.5">
      <c r="D535" s="21"/>
    </row>
    <row r="536" spans="4:4" ht="12.5">
      <c r="D536" s="21"/>
    </row>
    <row r="537" spans="4:4" ht="12.5">
      <c r="D537" s="21"/>
    </row>
    <row r="538" spans="4:4" ht="12.5">
      <c r="D538" s="21"/>
    </row>
    <row r="539" spans="4:4" ht="12.5">
      <c r="D539" s="21"/>
    </row>
    <row r="540" spans="4:4" ht="12.5">
      <c r="D540" s="21"/>
    </row>
    <row r="541" spans="4:4" ht="12.5">
      <c r="D541" s="21"/>
    </row>
    <row r="542" spans="4:4" ht="12.5">
      <c r="D542" s="21"/>
    </row>
    <row r="543" spans="4:4" ht="12.5">
      <c r="D543" s="21"/>
    </row>
    <row r="544" spans="4:4" ht="12.5">
      <c r="D544" s="21"/>
    </row>
    <row r="545" spans="4:4" ht="12.5">
      <c r="D545" s="21"/>
    </row>
    <row r="546" spans="4:4" ht="12.5">
      <c r="D546" s="21"/>
    </row>
    <row r="547" spans="4:4" ht="12.5">
      <c r="D547" s="21"/>
    </row>
    <row r="548" spans="4:4" ht="12.5">
      <c r="D548" s="21"/>
    </row>
    <row r="549" spans="4:4" ht="12.5">
      <c r="D549" s="21"/>
    </row>
    <row r="550" spans="4:4" ht="12.5">
      <c r="D550" s="21"/>
    </row>
    <row r="551" spans="4:4" ht="12.5">
      <c r="D551" s="21"/>
    </row>
    <row r="552" spans="4:4" ht="12.5">
      <c r="D552" s="21"/>
    </row>
    <row r="553" spans="4:4" ht="12.5">
      <c r="D553" s="21"/>
    </row>
    <row r="554" spans="4:4" ht="12.5">
      <c r="D554" s="21"/>
    </row>
    <row r="555" spans="4:4" ht="12.5">
      <c r="D555" s="21"/>
    </row>
    <row r="556" spans="4:4" ht="12.5">
      <c r="D556" s="21"/>
    </row>
    <row r="557" spans="4:4" ht="12.5">
      <c r="D557" s="21"/>
    </row>
    <row r="558" spans="4:4" ht="12.5">
      <c r="D558" s="21"/>
    </row>
    <row r="559" spans="4:4" ht="12.5">
      <c r="D559" s="21"/>
    </row>
    <row r="560" spans="4:4" ht="12.5">
      <c r="D560" s="21"/>
    </row>
    <row r="561" spans="4:4" ht="12.5">
      <c r="D561" s="21"/>
    </row>
    <row r="562" spans="4:4" ht="12.5">
      <c r="D562" s="21"/>
    </row>
    <row r="563" spans="4:4" ht="12.5">
      <c r="D563" s="21"/>
    </row>
    <row r="564" spans="4:4" ht="12.5">
      <c r="D564" s="21"/>
    </row>
    <row r="565" spans="4:4" ht="12.5">
      <c r="D565" s="21"/>
    </row>
    <row r="566" spans="4:4" ht="12.5">
      <c r="D566" s="21"/>
    </row>
    <row r="567" spans="4:4" ht="12.5">
      <c r="D567" s="21"/>
    </row>
    <row r="568" spans="4:4" ht="12.5">
      <c r="D568" s="21"/>
    </row>
    <row r="569" spans="4:4" ht="12.5">
      <c r="D569" s="21"/>
    </row>
    <row r="570" spans="4:4" ht="12.5">
      <c r="D570" s="21"/>
    </row>
    <row r="571" spans="4:4" ht="12.5">
      <c r="D571" s="21"/>
    </row>
    <row r="572" spans="4:4" ht="12.5">
      <c r="D572" s="21"/>
    </row>
    <row r="573" spans="4:4" ht="12.5">
      <c r="D573" s="21"/>
    </row>
    <row r="574" spans="4:4" ht="12.5">
      <c r="D574" s="21"/>
    </row>
    <row r="575" spans="4:4" ht="12.5">
      <c r="D575" s="21"/>
    </row>
    <row r="576" spans="4:4" ht="12.5">
      <c r="D576" s="21"/>
    </row>
    <row r="577" spans="4:4" ht="12.5">
      <c r="D577" s="21"/>
    </row>
    <row r="578" spans="4:4" ht="12.5">
      <c r="D578" s="21"/>
    </row>
    <row r="579" spans="4:4" ht="12.5">
      <c r="D579" s="21"/>
    </row>
    <row r="580" spans="4:4" ht="12.5">
      <c r="D580" s="21"/>
    </row>
    <row r="581" spans="4:4" ht="12.5">
      <c r="D581" s="21"/>
    </row>
    <row r="582" spans="4:4" ht="12.5">
      <c r="D582" s="21"/>
    </row>
    <row r="583" spans="4:4" ht="12.5">
      <c r="D583" s="21"/>
    </row>
    <row r="584" spans="4:4" ht="12.5">
      <c r="D584" s="21"/>
    </row>
    <row r="585" spans="4:4" ht="12.5">
      <c r="D585" s="21"/>
    </row>
    <row r="586" spans="4:4" ht="12.5">
      <c r="D586" s="21"/>
    </row>
    <row r="587" spans="4:4" ht="12.5">
      <c r="D587" s="21"/>
    </row>
    <row r="588" spans="4:4" ht="12.5">
      <c r="D588" s="21"/>
    </row>
    <row r="589" spans="4:4" ht="12.5">
      <c r="D589" s="21"/>
    </row>
    <row r="590" spans="4:4" ht="12.5">
      <c r="D590" s="21"/>
    </row>
    <row r="591" spans="4:4" ht="12.5">
      <c r="D591" s="21"/>
    </row>
    <row r="592" spans="4:4" ht="12.5">
      <c r="D592" s="21"/>
    </row>
    <row r="593" spans="4:4" ht="12.5">
      <c r="D593" s="21"/>
    </row>
    <row r="594" spans="4:4" ht="12.5">
      <c r="D594" s="21"/>
    </row>
    <row r="595" spans="4:4" ht="12.5">
      <c r="D595" s="21"/>
    </row>
    <row r="596" spans="4:4" ht="12.5">
      <c r="D596" s="21"/>
    </row>
    <row r="597" spans="4:4" ht="12.5">
      <c r="D597" s="21"/>
    </row>
    <row r="598" spans="4:4" ht="12.5">
      <c r="D598" s="21"/>
    </row>
    <row r="599" spans="4:4" ht="12.5">
      <c r="D599" s="21"/>
    </row>
    <row r="600" spans="4:4" ht="12.5">
      <c r="D600" s="21"/>
    </row>
    <row r="601" spans="4:4" ht="12.5">
      <c r="D601" s="21"/>
    </row>
    <row r="602" spans="4:4" ht="12.5">
      <c r="D602" s="21"/>
    </row>
    <row r="603" spans="4:4" ht="12.5">
      <c r="D603" s="21"/>
    </row>
    <row r="604" spans="4:4" ht="12.5">
      <c r="D604" s="21"/>
    </row>
    <row r="605" spans="4:4" ht="12.5">
      <c r="D605" s="21"/>
    </row>
    <row r="606" spans="4:4" ht="12.5">
      <c r="D606" s="21"/>
    </row>
    <row r="607" spans="4:4" ht="12.5">
      <c r="D607" s="21"/>
    </row>
    <row r="608" spans="4:4" ht="12.5">
      <c r="D608" s="21"/>
    </row>
    <row r="609" spans="4:4" ht="12.5">
      <c r="D609" s="21"/>
    </row>
    <row r="610" spans="4:4" ht="12.5">
      <c r="D610" s="21"/>
    </row>
    <row r="611" spans="4:4" ht="12.5">
      <c r="D611" s="21"/>
    </row>
    <row r="612" spans="4:4" ht="12.5">
      <c r="D612" s="21"/>
    </row>
    <row r="613" spans="4:4" ht="12.5">
      <c r="D613" s="21"/>
    </row>
    <row r="614" spans="4:4" ht="12.5">
      <c r="D614" s="21"/>
    </row>
    <row r="615" spans="4:4" ht="12.5">
      <c r="D615" s="21"/>
    </row>
    <row r="616" spans="4:4" ht="12.5">
      <c r="D616" s="21"/>
    </row>
    <row r="617" spans="4:4" ht="12.5">
      <c r="D617" s="21"/>
    </row>
    <row r="618" spans="4:4" ht="12.5">
      <c r="D618" s="21"/>
    </row>
    <row r="619" spans="4:4" ht="12.5">
      <c r="D619" s="21"/>
    </row>
    <row r="620" spans="4:4" ht="12.5">
      <c r="D620" s="21"/>
    </row>
    <row r="621" spans="4:4" ht="12.5">
      <c r="D621" s="21"/>
    </row>
    <row r="622" spans="4:4" ht="12.5">
      <c r="D622" s="21"/>
    </row>
    <row r="623" spans="4:4" ht="12.5">
      <c r="D623" s="21"/>
    </row>
    <row r="624" spans="4:4" ht="12.5">
      <c r="D624" s="21"/>
    </row>
    <row r="625" spans="4:4" ht="12.5">
      <c r="D625" s="21"/>
    </row>
    <row r="626" spans="4:4" ht="12.5">
      <c r="D626" s="21"/>
    </row>
    <row r="627" spans="4:4" ht="12.5">
      <c r="D627" s="21"/>
    </row>
    <row r="628" spans="4:4" ht="12.5">
      <c r="D628" s="21"/>
    </row>
    <row r="629" spans="4:4" ht="12.5">
      <c r="D629" s="21"/>
    </row>
    <row r="630" spans="4:4" ht="12.5">
      <c r="D630" s="21"/>
    </row>
    <row r="631" spans="4:4" ht="12.5">
      <c r="D631" s="21"/>
    </row>
    <row r="632" spans="4:4" ht="12.5">
      <c r="D632" s="21"/>
    </row>
    <row r="633" spans="4:4" ht="12.5">
      <c r="D633" s="21"/>
    </row>
    <row r="634" spans="4:4" ht="12.5">
      <c r="D634" s="21"/>
    </row>
    <row r="635" spans="4:4" ht="12.5">
      <c r="D635" s="21"/>
    </row>
    <row r="636" spans="4:4" ht="12.5">
      <c r="D636" s="21"/>
    </row>
    <row r="637" spans="4:4" ht="12.5">
      <c r="D637" s="21"/>
    </row>
    <row r="638" spans="4:4" ht="12.5">
      <c r="D638" s="21"/>
    </row>
    <row r="639" spans="4:4" ht="12.5">
      <c r="D639" s="21"/>
    </row>
    <row r="640" spans="4:4" ht="12.5">
      <c r="D640" s="21"/>
    </row>
    <row r="641" spans="4:4" ht="12.5">
      <c r="D641" s="21"/>
    </row>
    <row r="642" spans="4:4" ht="12.5">
      <c r="D642" s="21"/>
    </row>
    <row r="643" spans="4:4" ht="12.5">
      <c r="D643" s="21"/>
    </row>
    <row r="644" spans="4:4" ht="12.5">
      <c r="D644" s="21"/>
    </row>
    <row r="645" spans="4:4" ht="12.5">
      <c r="D645" s="21"/>
    </row>
    <row r="646" spans="4:4" ht="12.5">
      <c r="D646" s="21"/>
    </row>
    <row r="647" spans="4:4" ht="12.5">
      <c r="D647" s="21"/>
    </row>
    <row r="648" spans="4:4" ht="12.5">
      <c r="D648" s="21"/>
    </row>
    <row r="649" spans="4:4" ht="12.5">
      <c r="D649" s="21"/>
    </row>
    <row r="650" spans="4:4" ht="12.5">
      <c r="D650" s="21"/>
    </row>
    <row r="651" spans="4:4" ht="12.5">
      <c r="D651" s="21"/>
    </row>
    <row r="652" spans="4:4" ht="12.5">
      <c r="D652" s="21"/>
    </row>
    <row r="653" spans="4:4" ht="12.5">
      <c r="D653" s="21"/>
    </row>
    <row r="654" spans="4:4" ht="12.5">
      <c r="D654" s="21"/>
    </row>
    <row r="655" spans="4:4" ht="12.5">
      <c r="D655" s="21"/>
    </row>
    <row r="656" spans="4:4" ht="12.5">
      <c r="D656" s="21"/>
    </row>
    <row r="657" spans="4:4" ht="12.5">
      <c r="D657" s="21"/>
    </row>
    <row r="658" spans="4:4" ht="12.5">
      <c r="D658" s="21"/>
    </row>
    <row r="659" spans="4:4" ht="12.5">
      <c r="D659" s="21"/>
    </row>
    <row r="660" spans="4:4" ht="12.5">
      <c r="D660" s="21"/>
    </row>
    <row r="661" spans="4:4" ht="12.5">
      <c r="D661" s="21"/>
    </row>
    <row r="662" spans="4:4" ht="12.5">
      <c r="D662" s="21"/>
    </row>
    <row r="663" spans="4:4" ht="12.5">
      <c r="D663" s="21"/>
    </row>
    <row r="664" spans="4:4" ht="12.5">
      <c r="D664" s="21"/>
    </row>
    <row r="665" spans="4:4" ht="12.5">
      <c r="D665" s="21"/>
    </row>
    <row r="666" spans="4:4" ht="12.5">
      <c r="D666" s="21"/>
    </row>
    <row r="667" spans="4:4" ht="12.5">
      <c r="D667" s="21"/>
    </row>
    <row r="668" spans="4:4" ht="12.5">
      <c r="D668" s="21"/>
    </row>
    <row r="669" spans="4:4" ht="12.5">
      <c r="D669" s="21"/>
    </row>
    <row r="670" spans="4:4" ht="12.5">
      <c r="D670" s="21"/>
    </row>
    <row r="671" spans="4:4" ht="12.5">
      <c r="D671" s="21"/>
    </row>
    <row r="672" spans="4:4" ht="12.5">
      <c r="D672" s="21"/>
    </row>
    <row r="673" spans="4:4" ht="12.5">
      <c r="D673" s="21"/>
    </row>
    <row r="674" spans="4:4" ht="12.5">
      <c r="D674" s="21"/>
    </row>
    <row r="675" spans="4:4" ht="12.5">
      <c r="D675" s="21"/>
    </row>
    <row r="676" spans="4:4" ht="12.5">
      <c r="D676" s="21"/>
    </row>
    <row r="677" spans="4:4" ht="12.5">
      <c r="D677" s="21"/>
    </row>
    <row r="678" spans="4:4" ht="12.5">
      <c r="D678" s="21"/>
    </row>
    <row r="679" spans="4:4" ht="12.5">
      <c r="D679" s="21"/>
    </row>
    <row r="680" spans="4:4" ht="12.5">
      <c r="D680" s="21"/>
    </row>
    <row r="681" spans="4:4" ht="12.5">
      <c r="D681" s="21"/>
    </row>
    <row r="682" spans="4:4" ht="12.5">
      <c r="D682" s="21"/>
    </row>
    <row r="683" spans="4:4" ht="12.5">
      <c r="D683" s="21"/>
    </row>
    <row r="684" spans="4:4" ht="12.5">
      <c r="D684" s="21"/>
    </row>
    <row r="685" spans="4:4" ht="12.5">
      <c r="D685" s="21"/>
    </row>
    <row r="686" spans="4:4" ht="12.5">
      <c r="D686" s="21"/>
    </row>
    <row r="687" spans="4:4" ht="12.5">
      <c r="D687" s="21"/>
    </row>
    <row r="688" spans="4:4" ht="12.5">
      <c r="D688" s="21"/>
    </row>
    <row r="689" spans="4:4" ht="12.5">
      <c r="D689" s="21"/>
    </row>
    <row r="690" spans="4:4" ht="12.5">
      <c r="D690" s="21"/>
    </row>
    <row r="691" spans="4:4" ht="12.5">
      <c r="D691" s="21"/>
    </row>
    <row r="692" spans="4:4" ht="12.5">
      <c r="D692" s="21"/>
    </row>
    <row r="693" spans="4:4" ht="12.5">
      <c r="D693" s="21"/>
    </row>
    <row r="694" spans="4:4" ht="12.5">
      <c r="D694" s="21"/>
    </row>
    <row r="695" spans="4:4" ht="12.5">
      <c r="D695" s="21"/>
    </row>
    <row r="696" spans="4:4" ht="12.5">
      <c r="D696" s="21"/>
    </row>
    <row r="697" spans="4:4" ht="12.5">
      <c r="D697" s="21"/>
    </row>
    <row r="698" spans="4:4" ht="12.5">
      <c r="D698" s="21"/>
    </row>
    <row r="699" spans="4:4" ht="12.5">
      <c r="D699" s="21"/>
    </row>
    <row r="700" spans="4:4" ht="12.5">
      <c r="D700" s="21"/>
    </row>
    <row r="701" spans="4:4" ht="12.5">
      <c r="D701" s="21"/>
    </row>
    <row r="702" spans="4:4" ht="12.5">
      <c r="D702" s="21"/>
    </row>
    <row r="703" spans="4:4" ht="12.5">
      <c r="D703" s="21"/>
    </row>
    <row r="704" spans="4:4" ht="12.5">
      <c r="D704" s="21"/>
    </row>
    <row r="705" spans="4:4" ht="12.5">
      <c r="D705" s="21"/>
    </row>
    <row r="706" spans="4:4" ht="12.5">
      <c r="D706" s="21"/>
    </row>
    <row r="707" spans="4:4" ht="12.5">
      <c r="D707" s="21"/>
    </row>
    <row r="708" spans="4:4" ht="12.5">
      <c r="D708" s="21"/>
    </row>
    <row r="709" spans="4:4" ht="12.5">
      <c r="D709" s="21"/>
    </row>
    <row r="710" spans="4:4" ht="12.5">
      <c r="D710" s="21"/>
    </row>
    <row r="711" spans="4:4" ht="12.5">
      <c r="D711" s="21"/>
    </row>
    <row r="712" spans="4:4" ht="12.5">
      <c r="D712" s="21"/>
    </row>
    <row r="713" spans="4:4" ht="12.5">
      <c r="D713" s="21"/>
    </row>
    <row r="714" spans="4:4" ht="12.5">
      <c r="D714" s="21"/>
    </row>
    <row r="715" spans="4:4" ht="12.5">
      <c r="D715" s="21"/>
    </row>
    <row r="716" spans="4:4" ht="12.5">
      <c r="D716" s="21"/>
    </row>
    <row r="717" spans="4:4" ht="12.5">
      <c r="D717" s="21"/>
    </row>
    <row r="718" spans="4:4" ht="12.5">
      <c r="D718" s="21"/>
    </row>
    <row r="719" spans="4:4" ht="12.5">
      <c r="D719" s="21"/>
    </row>
    <row r="720" spans="4:4" ht="12.5">
      <c r="D720" s="21"/>
    </row>
    <row r="721" spans="4:4" ht="12.5">
      <c r="D721" s="21"/>
    </row>
    <row r="722" spans="4:4" ht="12.5">
      <c r="D722" s="21"/>
    </row>
    <row r="723" spans="4:4" ht="12.5">
      <c r="D723" s="21"/>
    </row>
    <row r="724" spans="4:4" ht="12.5">
      <c r="D724" s="21"/>
    </row>
    <row r="725" spans="4:4" ht="12.5">
      <c r="D725" s="21"/>
    </row>
    <row r="726" spans="4:4" ht="12.5">
      <c r="D726" s="21"/>
    </row>
    <row r="727" spans="4:4" ht="12.5">
      <c r="D727" s="21"/>
    </row>
    <row r="728" spans="4:4" ht="12.5">
      <c r="D728" s="21"/>
    </row>
    <row r="729" spans="4:4" ht="12.5">
      <c r="D729" s="21"/>
    </row>
    <row r="730" spans="4:4" ht="12.5">
      <c r="D730" s="21"/>
    </row>
    <row r="731" spans="4:4" ht="12.5">
      <c r="D731" s="21"/>
    </row>
    <row r="732" spans="4:4" ht="12.5">
      <c r="D732" s="21"/>
    </row>
    <row r="733" spans="4:4" ht="12.5">
      <c r="D733" s="21"/>
    </row>
    <row r="734" spans="4:4" ht="12.5">
      <c r="D734" s="21"/>
    </row>
    <row r="735" spans="4:4" ht="12.5">
      <c r="D735" s="21"/>
    </row>
    <row r="736" spans="4:4" ht="12.5">
      <c r="D736" s="21"/>
    </row>
    <row r="737" spans="4:4" ht="12.5">
      <c r="D737" s="21"/>
    </row>
    <row r="738" spans="4:4" ht="12.5">
      <c r="D738" s="21"/>
    </row>
    <row r="739" spans="4:4" ht="12.5">
      <c r="D739" s="21"/>
    </row>
    <row r="740" spans="4:4" ht="12.5">
      <c r="D740" s="21"/>
    </row>
    <row r="741" spans="4:4" ht="12.5">
      <c r="D741" s="21"/>
    </row>
    <row r="742" spans="4:4" ht="12.5">
      <c r="D742" s="21"/>
    </row>
    <row r="743" spans="4:4" ht="12.5">
      <c r="D743" s="21"/>
    </row>
    <row r="744" spans="4:4" ht="12.5">
      <c r="D744" s="21"/>
    </row>
    <row r="745" spans="4:4" ht="12.5">
      <c r="D745" s="21"/>
    </row>
    <row r="746" spans="4:4" ht="12.5">
      <c r="D746" s="21"/>
    </row>
    <row r="747" spans="4:4" ht="12.5">
      <c r="D747" s="21"/>
    </row>
    <row r="748" spans="4:4" ht="12.5">
      <c r="D748" s="21"/>
    </row>
    <row r="749" spans="4:4" ht="12.5">
      <c r="D749" s="21"/>
    </row>
    <row r="750" spans="4:4" ht="12.5">
      <c r="D750" s="21"/>
    </row>
    <row r="751" spans="4:4" ht="12.5">
      <c r="D751" s="21"/>
    </row>
    <row r="752" spans="4:4" ht="12.5">
      <c r="D752" s="21"/>
    </row>
    <row r="753" spans="4:4" ht="12.5">
      <c r="D753" s="21"/>
    </row>
    <row r="754" spans="4:4" ht="12.5">
      <c r="D754" s="21"/>
    </row>
    <row r="755" spans="4:4" ht="12.5">
      <c r="D755" s="21"/>
    </row>
    <row r="756" spans="4:4" ht="12.5">
      <c r="D756" s="21"/>
    </row>
    <row r="757" spans="4:4" ht="12.5">
      <c r="D757" s="21"/>
    </row>
    <row r="758" spans="4:4" ht="12.5">
      <c r="D758" s="21"/>
    </row>
    <row r="759" spans="4:4" ht="12.5">
      <c r="D759" s="21"/>
    </row>
    <row r="760" spans="4:4" ht="12.5">
      <c r="D760" s="21"/>
    </row>
    <row r="761" spans="4:4" ht="12.5">
      <c r="D761" s="21"/>
    </row>
    <row r="762" spans="4:4" ht="12.5">
      <c r="D762" s="21"/>
    </row>
    <row r="763" spans="4:4" ht="12.5">
      <c r="D763" s="21"/>
    </row>
    <row r="764" spans="4:4" ht="12.5">
      <c r="D764" s="21"/>
    </row>
    <row r="765" spans="4:4" ht="12.5">
      <c r="D765" s="21"/>
    </row>
    <row r="766" spans="4:4" ht="12.5">
      <c r="D766" s="21"/>
    </row>
    <row r="767" spans="4:4" ht="12.5">
      <c r="D767" s="21"/>
    </row>
    <row r="768" spans="4:4" ht="12.5">
      <c r="D768" s="21"/>
    </row>
    <row r="769" spans="4:4" ht="12.5">
      <c r="D769" s="21"/>
    </row>
    <row r="770" spans="4:4" ht="12.5">
      <c r="D770" s="21"/>
    </row>
    <row r="771" spans="4:4" ht="12.5">
      <c r="D771" s="21"/>
    </row>
    <row r="772" spans="4:4" ht="12.5">
      <c r="D772" s="21"/>
    </row>
    <row r="773" spans="4:4" ht="12.5">
      <c r="D773" s="21"/>
    </row>
    <row r="774" spans="4:4" ht="12.5">
      <c r="D774" s="21"/>
    </row>
    <row r="775" spans="4:4" ht="12.5">
      <c r="D775" s="21"/>
    </row>
    <row r="776" spans="4:4" ht="12.5">
      <c r="D776" s="21"/>
    </row>
    <row r="777" spans="4:4" ht="12.5">
      <c r="D777" s="21"/>
    </row>
    <row r="778" spans="4:4" ht="12.5">
      <c r="D778" s="21"/>
    </row>
    <row r="779" spans="4:4" ht="12.5">
      <c r="D779" s="21"/>
    </row>
    <row r="780" spans="4:4" ht="12.5">
      <c r="D780" s="21"/>
    </row>
    <row r="781" spans="4:4" ht="12.5">
      <c r="D781" s="21"/>
    </row>
    <row r="782" spans="4:4" ht="12.5">
      <c r="D782" s="21"/>
    </row>
    <row r="783" spans="4:4" ht="12.5">
      <c r="D783" s="21"/>
    </row>
    <row r="784" spans="4:4" ht="12.5">
      <c r="D784" s="21"/>
    </row>
    <row r="785" spans="4:4" ht="12.5">
      <c r="D785" s="21"/>
    </row>
    <row r="786" spans="4:4" ht="12.5">
      <c r="D786" s="21"/>
    </row>
    <row r="787" spans="4:4" ht="12.5">
      <c r="D787" s="21"/>
    </row>
    <row r="788" spans="4:4" ht="12.5">
      <c r="D788" s="21"/>
    </row>
    <row r="789" spans="4:4" ht="12.5">
      <c r="D789" s="21"/>
    </row>
    <row r="790" spans="4:4" ht="12.5">
      <c r="D790" s="21"/>
    </row>
    <row r="791" spans="4:4" ht="12.5">
      <c r="D791" s="21"/>
    </row>
    <row r="792" spans="4:4" ht="12.5">
      <c r="D792" s="21"/>
    </row>
    <row r="793" spans="4:4" ht="12.5">
      <c r="D793" s="21"/>
    </row>
    <row r="794" spans="4:4" ht="12.5">
      <c r="D794" s="21"/>
    </row>
    <row r="795" spans="4:4" ht="12.5">
      <c r="D795" s="21"/>
    </row>
    <row r="796" spans="4:4" ht="12.5">
      <c r="D796" s="21"/>
    </row>
    <row r="797" spans="4:4" ht="12.5">
      <c r="D797" s="21"/>
    </row>
    <row r="798" spans="4:4" ht="12.5">
      <c r="D798" s="21"/>
    </row>
    <row r="799" spans="4:4" ht="12.5">
      <c r="D799" s="21"/>
    </row>
    <row r="800" spans="4:4" ht="12.5">
      <c r="D800" s="21"/>
    </row>
    <row r="801" spans="4:4" ht="12.5">
      <c r="D801" s="21"/>
    </row>
    <row r="802" spans="4:4" ht="12.5">
      <c r="D802" s="21"/>
    </row>
    <row r="803" spans="4:4" ht="12.5">
      <c r="D803" s="21"/>
    </row>
    <row r="804" spans="4:4" ht="12.5">
      <c r="D804" s="21"/>
    </row>
    <row r="805" spans="4:4" ht="12.5">
      <c r="D805" s="21"/>
    </row>
    <row r="806" spans="4:4" ht="12.5">
      <c r="D806" s="21"/>
    </row>
    <row r="807" spans="4:4" ht="12.5">
      <c r="D807" s="21"/>
    </row>
    <row r="808" spans="4:4" ht="12.5">
      <c r="D808" s="21"/>
    </row>
    <row r="809" spans="4:4" ht="12.5">
      <c r="D809" s="21"/>
    </row>
    <row r="810" spans="4:4" ht="12.5">
      <c r="D810" s="21"/>
    </row>
    <row r="811" spans="4:4" ht="12.5">
      <c r="D811" s="21"/>
    </row>
    <row r="812" spans="4:4" ht="12.5">
      <c r="D812" s="21"/>
    </row>
    <row r="813" spans="4:4" ht="12.5">
      <c r="D813" s="21"/>
    </row>
    <row r="814" spans="4:4" ht="12.5">
      <c r="D814" s="21"/>
    </row>
    <row r="815" spans="4:4" ht="12.5">
      <c r="D815" s="21"/>
    </row>
    <row r="816" spans="4:4" ht="12.5">
      <c r="D816" s="21"/>
    </row>
    <row r="817" spans="4:4" ht="12.5">
      <c r="D817" s="21"/>
    </row>
    <row r="818" spans="4:4" ht="12.5">
      <c r="D818" s="21"/>
    </row>
    <row r="819" spans="4:4" ht="12.5">
      <c r="D819" s="21"/>
    </row>
    <row r="820" spans="4:4" ht="12.5">
      <c r="D820" s="21"/>
    </row>
    <row r="821" spans="4:4" ht="12.5">
      <c r="D821" s="21"/>
    </row>
    <row r="822" spans="4:4" ht="12.5">
      <c r="D822" s="21"/>
    </row>
    <row r="823" spans="4:4" ht="12.5">
      <c r="D823" s="21"/>
    </row>
    <row r="824" spans="4:4" ht="12.5">
      <c r="D824" s="21"/>
    </row>
    <row r="825" spans="4:4" ht="12.5">
      <c r="D825" s="21"/>
    </row>
    <row r="826" spans="4:4" ht="12.5">
      <c r="D826" s="21"/>
    </row>
    <row r="827" spans="4:4" ht="12.5">
      <c r="D827" s="21"/>
    </row>
    <row r="828" spans="4:4" ht="12.5">
      <c r="D828" s="21"/>
    </row>
    <row r="829" spans="4:4" ht="12.5">
      <c r="D829" s="21"/>
    </row>
    <row r="830" spans="4:4" ht="12.5">
      <c r="D830" s="21"/>
    </row>
    <row r="831" spans="4:4" ht="12.5">
      <c r="D831" s="21"/>
    </row>
    <row r="832" spans="4:4" ht="12.5">
      <c r="D832" s="21"/>
    </row>
    <row r="833" spans="4:4" ht="12.5">
      <c r="D833" s="21"/>
    </row>
    <row r="834" spans="4:4" ht="12.5">
      <c r="D834" s="21"/>
    </row>
    <row r="835" spans="4:4" ht="12.5">
      <c r="D835" s="21"/>
    </row>
    <row r="836" spans="4:4" ht="12.5">
      <c r="D836" s="21"/>
    </row>
    <row r="837" spans="4:4" ht="12.5">
      <c r="D837" s="21"/>
    </row>
    <row r="838" spans="4:4" ht="12.5">
      <c r="D838" s="21"/>
    </row>
    <row r="839" spans="4:4" ht="12.5">
      <c r="D839" s="21"/>
    </row>
    <row r="840" spans="4:4" ht="12.5">
      <c r="D840" s="21"/>
    </row>
    <row r="841" spans="4:4" ht="12.5">
      <c r="D841" s="21"/>
    </row>
    <row r="842" spans="4:4" ht="12.5">
      <c r="D842" s="21"/>
    </row>
    <row r="843" spans="4:4" ht="12.5">
      <c r="D843" s="21"/>
    </row>
    <row r="844" spans="4:4" ht="12.5">
      <c r="D844" s="21"/>
    </row>
    <row r="845" spans="4:4" ht="12.5">
      <c r="D845" s="21"/>
    </row>
    <row r="846" spans="4:4" ht="12.5">
      <c r="D846" s="21"/>
    </row>
    <row r="847" spans="4:4" ht="12.5">
      <c r="D847" s="21"/>
    </row>
    <row r="848" spans="4:4" ht="12.5">
      <c r="D848" s="21"/>
    </row>
    <row r="849" spans="4:4" ht="12.5">
      <c r="D849" s="21"/>
    </row>
    <row r="850" spans="4:4" ht="12.5">
      <c r="D850" s="21"/>
    </row>
    <row r="851" spans="4:4" ht="12.5">
      <c r="D851" s="21"/>
    </row>
    <row r="852" spans="4:4" ht="12.5">
      <c r="D852" s="21"/>
    </row>
    <row r="853" spans="4:4" ht="12.5">
      <c r="D853" s="21"/>
    </row>
    <row r="854" spans="4:4" ht="12.5">
      <c r="D854" s="21"/>
    </row>
    <row r="855" spans="4:4" ht="12.5">
      <c r="D855" s="21"/>
    </row>
    <row r="856" spans="4:4" ht="12.5">
      <c r="D856" s="21"/>
    </row>
    <row r="857" spans="4:4" ht="12.5">
      <c r="D857" s="21"/>
    </row>
    <row r="858" spans="4:4" ht="12.5">
      <c r="D858" s="21"/>
    </row>
    <row r="859" spans="4:4" ht="12.5">
      <c r="D859" s="21"/>
    </row>
    <row r="860" spans="4:4" ht="12.5">
      <c r="D860" s="21"/>
    </row>
    <row r="861" spans="4:4" ht="12.5">
      <c r="D861" s="21"/>
    </row>
    <row r="862" spans="4:4" ht="12.5">
      <c r="D862" s="21"/>
    </row>
    <row r="863" spans="4:4" ht="12.5">
      <c r="D863" s="21"/>
    </row>
    <row r="864" spans="4:4" ht="12.5">
      <c r="D864" s="21"/>
    </row>
    <row r="865" spans="4:4" ht="12.5">
      <c r="D865" s="21"/>
    </row>
    <row r="866" spans="4:4" ht="12.5">
      <c r="D866" s="21"/>
    </row>
    <row r="867" spans="4:4" ht="12.5">
      <c r="D867" s="21"/>
    </row>
    <row r="868" spans="4:4" ht="12.5">
      <c r="D868" s="21"/>
    </row>
    <row r="869" spans="4:4" ht="12.5">
      <c r="D869" s="21"/>
    </row>
    <row r="870" spans="4:4" ht="12.5">
      <c r="D870" s="21"/>
    </row>
    <row r="871" spans="4:4" ht="12.5">
      <c r="D871" s="21"/>
    </row>
    <row r="872" spans="4:4" ht="12.5">
      <c r="D872" s="21"/>
    </row>
    <row r="873" spans="4:4" ht="12.5">
      <c r="D873" s="21"/>
    </row>
    <row r="874" spans="4:4" ht="12.5">
      <c r="D874" s="21"/>
    </row>
    <row r="875" spans="4:4" ht="12.5">
      <c r="D875" s="21"/>
    </row>
    <row r="876" spans="4:4" ht="12.5">
      <c r="D876" s="21"/>
    </row>
    <row r="877" spans="4:4" ht="12.5">
      <c r="D877" s="21"/>
    </row>
    <row r="878" spans="4:4" ht="12.5">
      <c r="D878" s="21"/>
    </row>
    <row r="879" spans="4:4" ht="12.5">
      <c r="D879" s="21"/>
    </row>
    <row r="880" spans="4:4" ht="12.5">
      <c r="D880" s="21"/>
    </row>
    <row r="881" spans="4:4" ht="12.5">
      <c r="D881" s="21"/>
    </row>
    <row r="882" spans="4:4" ht="12.5">
      <c r="D882" s="21"/>
    </row>
    <row r="883" spans="4:4" ht="12.5">
      <c r="D883" s="21"/>
    </row>
    <row r="884" spans="4:4" ht="12.5">
      <c r="D884" s="21"/>
    </row>
    <row r="885" spans="4:4" ht="12.5">
      <c r="D885" s="21"/>
    </row>
    <row r="886" spans="4:4" ht="12.5">
      <c r="D886" s="21"/>
    </row>
    <row r="887" spans="4:4" ht="12.5">
      <c r="D887" s="21"/>
    </row>
    <row r="888" spans="4:4" ht="12.5">
      <c r="D888" s="21"/>
    </row>
    <row r="889" spans="4:4" ht="12.5">
      <c r="D889" s="21"/>
    </row>
    <row r="890" spans="4:4" ht="12.5">
      <c r="D890" s="21"/>
    </row>
    <row r="891" spans="4:4" ht="12.5">
      <c r="D891" s="21"/>
    </row>
    <row r="892" spans="4:4" ht="12.5">
      <c r="D892" s="21"/>
    </row>
    <row r="893" spans="4:4" ht="12.5">
      <c r="D893" s="21"/>
    </row>
    <row r="894" spans="4:4" ht="12.5">
      <c r="D894" s="21"/>
    </row>
    <row r="895" spans="4:4" ht="12.5">
      <c r="D895" s="21"/>
    </row>
    <row r="896" spans="4:4" ht="12.5">
      <c r="D896" s="21"/>
    </row>
    <row r="897" spans="4:4" ht="12.5">
      <c r="D897" s="21"/>
    </row>
    <row r="898" spans="4:4" ht="12.5">
      <c r="D898" s="21"/>
    </row>
    <row r="899" spans="4:4" ht="12.5">
      <c r="D899" s="21"/>
    </row>
    <row r="900" spans="4:4" ht="12.5">
      <c r="D900" s="21"/>
    </row>
    <row r="901" spans="4:4" ht="12.5">
      <c r="D901" s="21"/>
    </row>
    <row r="902" spans="4:4" ht="12.5">
      <c r="D902" s="21"/>
    </row>
    <row r="903" spans="4:4" ht="12.5">
      <c r="D903" s="21"/>
    </row>
    <row r="904" spans="4:4" ht="12.5">
      <c r="D904" s="21"/>
    </row>
    <row r="905" spans="4:4" ht="12.5">
      <c r="D905" s="21"/>
    </row>
    <row r="906" spans="4:4" ht="12.5">
      <c r="D906" s="21"/>
    </row>
    <row r="907" spans="4:4" ht="12.5">
      <c r="D907" s="21"/>
    </row>
    <row r="908" spans="4:4" ht="12.5">
      <c r="D908" s="21"/>
    </row>
    <row r="909" spans="4:4" ht="12.5">
      <c r="D909" s="21"/>
    </row>
    <row r="910" spans="4:4" ht="12.5">
      <c r="D910" s="21"/>
    </row>
    <row r="911" spans="4:4" ht="12.5">
      <c r="D911" s="21"/>
    </row>
    <row r="912" spans="4:4" ht="12.5">
      <c r="D912" s="21"/>
    </row>
    <row r="913" spans="4:4" ht="12.5">
      <c r="D913" s="21"/>
    </row>
    <row r="914" spans="4:4" ht="12.5">
      <c r="D914" s="21"/>
    </row>
    <row r="915" spans="4:4" ht="12.5">
      <c r="D915" s="21"/>
    </row>
    <row r="916" spans="4:4" ht="12.5">
      <c r="D916" s="21"/>
    </row>
    <row r="917" spans="4:4" ht="12.5">
      <c r="D917" s="21"/>
    </row>
    <row r="918" spans="4:4" ht="12.5">
      <c r="D918" s="21"/>
    </row>
    <row r="919" spans="4:4" ht="12.5">
      <c r="D919" s="21"/>
    </row>
    <row r="920" spans="4:4" ht="12.5">
      <c r="D920" s="21"/>
    </row>
    <row r="921" spans="4:4" ht="12.5">
      <c r="D921" s="21"/>
    </row>
    <row r="922" spans="4:4" ht="12.5">
      <c r="D922" s="21"/>
    </row>
    <row r="923" spans="4:4" ht="12.5">
      <c r="D923" s="21"/>
    </row>
    <row r="924" spans="4:4" ht="12.5">
      <c r="D924" s="21"/>
    </row>
    <row r="925" spans="4:4" ht="12.5">
      <c r="D925" s="21"/>
    </row>
    <row r="926" spans="4:4" ht="12.5">
      <c r="D926" s="21"/>
    </row>
    <row r="927" spans="4:4" ht="12.5">
      <c r="D927" s="21"/>
    </row>
    <row r="928" spans="4:4" ht="12.5">
      <c r="D928" s="21"/>
    </row>
    <row r="929" spans="4:4" ht="12.5">
      <c r="D929" s="21"/>
    </row>
    <row r="930" spans="4:4" ht="12.5">
      <c r="D930" s="21"/>
    </row>
    <row r="931" spans="4:4" ht="12.5">
      <c r="D931" s="21"/>
    </row>
    <row r="932" spans="4:4" ht="12.5">
      <c r="D932" s="21"/>
    </row>
    <row r="933" spans="4:4" ht="12.5">
      <c r="D933" s="21"/>
    </row>
    <row r="934" spans="4:4" ht="12.5">
      <c r="D934" s="21"/>
    </row>
    <row r="935" spans="4:4" ht="12.5">
      <c r="D935" s="21"/>
    </row>
    <row r="936" spans="4:4" ht="12.5">
      <c r="D936" s="21"/>
    </row>
    <row r="937" spans="4:4" ht="12.5">
      <c r="D937" s="21"/>
    </row>
    <row r="938" spans="4:4" ht="12.5">
      <c r="D938" s="21"/>
    </row>
    <row r="939" spans="4:4" ht="12.5">
      <c r="D939" s="21"/>
    </row>
    <row r="940" spans="4:4" ht="12.5">
      <c r="D940" s="21"/>
    </row>
    <row r="941" spans="4:4" ht="12.5">
      <c r="D941" s="21"/>
    </row>
    <row r="942" spans="4:4" ht="12.5">
      <c r="D942" s="21"/>
    </row>
    <row r="943" spans="4:4" ht="12.5">
      <c r="D943" s="21"/>
    </row>
    <row r="944" spans="4:4" ht="12.5">
      <c r="D944" s="21"/>
    </row>
    <row r="945" spans="4:4" ht="12.5">
      <c r="D945" s="21"/>
    </row>
    <row r="946" spans="4:4" ht="12.5">
      <c r="D946" s="21"/>
    </row>
    <row r="947" spans="4:4" ht="12.5">
      <c r="D947" s="21"/>
    </row>
    <row r="948" spans="4:4" ht="12.5">
      <c r="D948" s="21"/>
    </row>
    <row r="949" spans="4:4" ht="12.5">
      <c r="D949" s="21"/>
    </row>
    <row r="950" spans="4:4" ht="12.5">
      <c r="D950" s="21"/>
    </row>
    <row r="951" spans="4:4" ht="12.5">
      <c r="D951" s="21"/>
    </row>
    <row r="952" spans="4:4" ht="12.5">
      <c r="D952" s="21"/>
    </row>
    <row r="953" spans="4:4" ht="12.5">
      <c r="D953" s="21"/>
    </row>
    <row r="954" spans="4:4" ht="12.5">
      <c r="D954" s="21"/>
    </row>
    <row r="955" spans="4:4" ht="12.5">
      <c r="D955" s="21"/>
    </row>
    <row r="956" spans="4:4" ht="12.5">
      <c r="D956" s="21"/>
    </row>
    <row r="957" spans="4:4" ht="12.5">
      <c r="D957" s="21"/>
    </row>
    <row r="958" spans="4:4" ht="12.5">
      <c r="D958" s="21"/>
    </row>
    <row r="959" spans="4:4" ht="12.5">
      <c r="D959" s="21"/>
    </row>
    <row r="960" spans="4:4" ht="12.5">
      <c r="D960" s="21"/>
    </row>
    <row r="961" spans="4:4" ht="12.5">
      <c r="D961" s="21"/>
    </row>
    <row r="962" spans="4:4" ht="12.5">
      <c r="D962" s="21"/>
    </row>
    <row r="963" spans="4:4" ht="12.5">
      <c r="D963" s="21"/>
    </row>
    <row r="964" spans="4:4" ht="12.5">
      <c r="D964" s="21"/>
    </row>
    <row r="965" spans="4:4" ht="12.5">
      <c r="D965" s="21"/>
    </row>
    <row r="966" spans="4:4" ht="12.5">
      <c r="D966" s="21"/>
    </row>
    <row r="967" spans="4:4" ht="12.5">
      <c r="D967" s="21"/>
    </row>
    <row r="968" spans="4:4" ht="12.5">
      <c r="D968" s="21"/>
    </row>
    <row r="969" spans="4:4" ht="12.5">
      <c r="D969" s="21"/>
    </row>
    <row r="970" spans="4:4" ht="12.5">
      <c r="D970" s="21"/>
    </row>
    <row r="971" spans="4:4" ht="12.5">
      <c r="D971" s="21"/>
    </row>
    <row r="972" spans="4:4" ht="12.5">
      <c r="D972" s="21"/>
    </row>
    <row r="973" spans="4:4" ht="12.5">
      <c r="D973" s="21"/>
    </row>
    <row r="974" spans="4:4" ht="12.5">
      <c r="D974" s="21"/>
    </row>
    <row r="975" spans="4:4" ht="12.5">
      <c r="D975" s="21"/>
    </row>
    <row r="976" spans="4:4" ht="12.5">
      <c r="D976" s="21"/>
    </row>
    <row r="977" spans="4:4" ht="12.5">
      <c r="D977" s="21"/>
    </row>
    <row r="978" spans="4:4" ht="12.5">
      <c r="D978" s="21"/>
    </row>
    <row r="979" spans="4:4" ht="12.5">
      <c r="D979" s="21"/>
    </row>
    <row r="980" spans="4:4" ht="12.5">
      <c r="D980" s="21"/>
    </row>
    <row r="981" spans="4:4" ht="12.5">
      <c r="D981" s="21"/>
    </row>
    <row r="982" spans="4:4" ht="12.5">
      <c r="D982" s="21"/>
    </row>
    <row r="983" spans="4:4" ht="12.5">
      <c r="D983" s="21"/>
    </row>
    <row r="984" spans="4:4" ht="12.5">
      <c r="D984" s="21"/>
    </row>
    <row r="985" spans="4:4" ht="12.5">
      <c r="D985" s="21"/>
    </row>
    <row r="986" spans="4:4" ht="12.5">
      <c r="D986" s="21"/>
    </row>
    <row r="987" spans="4:4" ht="12.5">
      <c r="D987" s="21"/>
    </row>
    <row r="988" spans="4:4" ht="12.5">
      <c r="D988" s="21"/>
    </row>
    <row r="989" spans="4:4" ht="12.5">
      <c r="D989" s="21"/>
    </row>
    <row r="990" spans="4:4" ht="12.5">
      <c r="D990" s="21"/>
    </row>
    <row r="991" spans="4:4" ht="12.5">
      <c r="D991" s="21"/>
    </row>
    <row r="992" spans="4:4" ht="12.5">
      <c r="D992" s="21"/>
    </row>
    <row r="993" spans="4:4" ht="12.5">
      <c r="D993" s="21"/>
    </row>
    <row r="994" spans="4:4" ht="12.5">
      <c r="D994" s="21"/>
    </row>
    <row r="995" spans="4:4" ht="12.5">
      <c r="D995" s="21"/>
    </row>
    <row r="996" spans="4:4" ht="12.5">
      <c r="D996" s="21"/>
    </row>
    <row r="997" spans="4:4" ht="12.5">
      <c r="D997" s="21"/>
    </row>
    <row r="998" spans="4:4" ht="12.5">
      <c r="D998" s="21"/>
    </row>
    <row r="999" spans="4:4" ht="12.5">
      <c r="D999" s="21"/>
    </row>
    <row r="1000" spans="4:4" ht="12.5">
      <c r="D1000" s="2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3"/>
  <sheetViews>
    <sheetView workbookViewId="0"/>
  </sheetViews>
  <sheetFormatPr baseColWidth="10" defaultColWidth="12.6328125" defaultRowHeight="15.75" customHeight="1"/>
  <sheetData>
    <row r="1" spans="1:2" ht="15.75" customHeight="1">
      <c r="A1" s="5" t="s">
        <v>22864</v>
      </c>
      <c r="B1" s="5" t="s">
        <v>25388</v>
      </c>
    </row>
    <row r="2" spans="1:2" ht="15.75" customHeight="1">
      <c r="A2" s="5">
        <v>1</v>
      </c>
      <c r="B2" s="37" t="s">
        <v>25389</v>
      </c>
    </row>
    <row r="3" spans="1:2" ht="15.75" customHeight="1">
      <c r="A3" s="5">
        <v>2</v>
      </c>
      <c r="B3" s="37" t="s">
        <v>25390</v>
      </c>
    </row>
  </sheetData>
  <hyperlinks>
    <hyperlink ref="B2" r:id="rId1" xr:uid="{00000000-0004-0000-1100-000000000000}"/>
    <hyperlink ref="B3" r:id="rId2" xr:uid="{00000000-0004-0000-11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outlinePr summaryBelow="0" summaryRight="0"/>
  </sheetPr>
  <dimension ref="A1:C9997"/>
  <sheetViews>
    <sheetView workbookViewId="0"/>
  </sheetViews>
  <sheetFormatPr baseColWidth="10" defaultColWidth="12.6328125" defaultRowHeight="15.75" customHeight="1"/>
  <sheetData>
    <row r="1" spans="1:2" ht="12.5">
      <c r="A1" s="5" t="s">
        <v>23176</v>
      </c>
      <c r="B1" s="69" t="s">
        <v>23659</v>
      </c>
    </row>
    <row r="2" spans="1:2" ht="12.5" hidden="1">
      <c r="A2" s="5">
        <f ca="1">IFERROR(__xludf.DUMMYFUNCTION("ARRAYFORMULA(
  QUERY(
    SPLIT(
      FLATTEN(
        IF(
          Produccion!D2:D9997&lt;&gt;"""",
          SPLIT(Produccion!D2:D9997,""|""),
          """"
        )
      ),
      ""♦""
    ),
    ""where Col1 is not null"",
    0
  )
)
"),56)</f>
        <v>56</v>
      </c>
      <c r="B2" s="69">
        <v>46388</v>
      </c>
    </row>
    <row r="3" spans="1:2" ht="12.5" hidden="1">
      <c r="A3" s="5">
        <f ca="1">IFERROR(__xludf.DUMMYFUNCTION("""COMPUTED_VALUE"""),63)</f>
        <v>63</v>
      </c>
      <c r="B3" s="69">
        <v>46389</v>
      </c>
    </row>
    <row r="4" spans="1:2" ht="12.5" hidden="1">
      <c r="A4" s="5">
        <f ca="1">IFERROR(__xludf.DUMMYFUNCTION("""COMPUTED_VALUE"""),21)</f>
        <v>21</v>
      </c>
      <c r="B4" s="69">
        <v>46390</v>
      </c>
    </row>
    <row r="5" spans="1:2" ht="12.5">
      <c r="A5" s="5">
        <f ca="1">IFERROR(__xludf.DUMMYFUNCTION("""COMPUTED_VALUE"""),29)</f>
        <v>29</v>
      </c>
      <c r="B5" s="69">
        <v>46391</v>
      </c>
    </row>
    <row r="6" spans="1:2" ht="12.5" hidden="1">
      <c r="A6" s="5">
        <f ca="1">IFERROR(__xludf.DUMMYFUNCTION("""COMPUTED_VALUE"""),29)</f>
        <v>29</v>
      </c>
      <c r="B6" s="69">
        <v>46392</v>
      </c>
    </row>
    <row r="7" spans="1:2" ht="12.5" hidden="1">
      <c r="A7" s="5">
        <f ca="1">IFERROR(__xludf.DUMMYFUNCTION("""COMPUTED_VALUE"""),64)</f>
        <v>64</v>
      </c>
      <c r="B7" s="69">
        <v>46393</v>
      </c>
    </row>
    <row r="8" spans="1:2" ht="12.5" hidden="1">
      <c r="A8" s="5">
        <f ca="1">IFERROR(__xludf.DUMMYFUNCTION("""COMPUTED_VALUE"""),95)</f>
        <v>95</v>
      </c>
      <c r="B8" s="69">
        <v>46394</v>
      </c>
    </row>
    <row r="9" spans="1:2" ht="12.5" hidden="1">
      <c r="A9" s="5">
        <f ca="1">IFERROR(__xludf.DUMMYFUNCTION("""COMPUTED_VALUE"""),95)</f>
        <v>95</v>
      </c>
      <c r="B9" s="69">
        <v>46395</v>
      </c>
    </row>
    <row r="10" spans="1:2" ht="12.5" hidden="1">
      <c r="A10" s="5">
        <f ca="1">IFERROR(__xludf.DUMMYFUNCTION("""COMPUTED_VALUE"""),59)</f>
        <v>59</v>
      </c>
      <c r="B10" s="69">
        <v>46396</v>
      </c>
    </row>
    <row r="11" spans="1:2" ht="12.5" hidden="1">
      <c r="A11" s="5">
        <f ca="1">IFERROR(__xludf.DUMMYFUNCTION("""COMPUTED_VALUE"""),95)</f>
        <v>95</v>
      </c>
      <c r="B11" s="69">
        <v>46397</v>
      </c>
    </row>
    <row r="12" spans="1:2" ht="12.5" hidden="1">
      <c r="A12" s="5">
        <f ca="1">IFERROR(__xludf.DUMMYFUNCTION("""COMPUTED_VALUE"""),95)</f>
        <v>95</v>
      </c>
      <c r="B12" s="69">
        <v>46398</v>
      </c>
    </row>
    <row r="13" spans="1:2" ht="12.5" hidden="1">
      <c r="A13" s="5">
        <f ca="1">IFERROR(__xludf.DUMMYFUNCTION("""COMPUTED_VALUE"""),95)</f>
        <v>95</v>
      </c>
      <c r="B13" s="69">
        <v>46399</v>
      </c>
    </row>
    <row r="14" spans="1:2" ht="12.5">
      <c r="A14" s="5">
        <f ca="1">IFERROR(__xludf.DUMMYFUNCTION("""COMPUTED_VALUE"""),51)</f>
        <v>51</v>
      </c>
      <c r="B14" s="69">
        <v>46400</v>
      </c>
    </row>
    <row r="15" spans="1:2" ht="12.5" hidden="1">
      <c r="A15" s="5">
        <f ca="1">IFERROR(__xludf.DUMMYFUNCTION("""COMPUTED_VALUE"""),32)</f>
        <v>32</v>
      </c>
      <c r="B15" s="69">
        <v>46401</v>
      </c>
    </row>
    <row r="16" spans="1:2" ht="12.5" hidden="1">
      <c r="A16" s="5">
        <f ca="1">IFERROR(__xludf.DUMMYFUNCTION("""COMPUTED_VALUE"""),95)</f>
        <v>95</v>
      </c>
      <c r="B16" s="69">
        <v>46402</v>
      </c>
    </row>
    <row r="17" spans="1:2" ht="12.5" hidden="1">
      <c r="A17" s="5">
        <f ca="1">IFERROR(__xludf.DUMMYFUNCTION("""COMPUTED_VALUE"""),45)</f>
        <v>45</v>
      </c>
      <c r="B17" s="69">
        <v>46403</v>
      </c>
    </row>
    <row r="18" spans="1:2" ht="12.5" hidden="1">
      <c r="A18" s="5">
        <f ca="1">IFERROR(__xludf.DUMMYFUNCTION("""COMPUTED_VALUE"""),5)</f>
        <v>5</v>
      </c>
      <c r="B18" s="69">
        <v>46404</v>
      </c>
    </row>
    <row r="19" spans="1:2" ht="12.5" hidden="1">
      <c r="A19" s="5">
        <f ca="1">IFERROR(__xludf.DUMMYFUNCTION("""COMPUTED_VALUE"""),52)</f>
        <v>52</v>
      </c>
      <c r="B19" s="69">
        <v>46405</v>
      </c>
    </row>
    <row r="20" spans="1:2" ht="12.5" hidden="1">
      <c r="A20" s="5">
        <f ca="1">IFERROR(__xludf.DUMMYFUNCTION("""COMPUTED_VALUE"""),51)</f>
        <v>51</v>
      </c>
      <c r="B20" s="69">
        <v>46406</v>
      </c>
    </row>
    <row r="21" spans="1:2" ht="12.5" hidden="1">
      <c r="A21" s="5">
        <f ca="1">IFERROR(__xludf.DUMMYFUNCTION("""COMPUTED_VALUE"""),95)</f>
        <v>95</v>
      </c>
      <c r="B21" s="69">
        <v>46407</v>
      </c>
    </row>
    <row r="22" spans="1:2" ht="12.5" hidden="1">
      <c r="A22" s="5">
        <f ca="1">IFERROR(__xludf.DUMMYFUNCTION("""COMPUTED_VALUE"""),31)</f>
        <v>31</v>
      </c>
      <c r="B22" s="69">
        <v>46408</v>
      </c>
    </row>
    <row r="23" spans="1:2" ht="12.5" hidden="1">
      <c r="A23" s="5">
        <f ca="1">IFERROR(__xludf.DUMMYFUNCTION("""COMPUTED_VALUE"""),24)</f>
        <v>24</v>
      </c>
      <c r="B23" s="69">
        <v>46409</v>
      </c>
    </row>
    <row r="24" spans="1:2" ht="12.5" hidden="1">
      <c r="A24" s="5">
        <f ca="1">IFERROR(__xludf.DUMMYFUNCTION("""COMPUTED_VALUE"""),35)</f>
        <v>35</v>
      </c>
      <c r="B24" s="69">
        <v>46410</v>
      </c>
    </row>
    <row r="25" spans="1:2" ht="12.5" hidden="1">
      <c r="A25" s="5">
        <f ca="1">IFERROR(__xludf.DUMMYFUNCTION("""COMPUTED_VALUE"""),52)</f>
        <v>52</v>
      </c>
      <c r="B25" s="69">
        <v>46411</v>
      </c>
    </row>
    <row r="26" spans="1:2" ht="12.5" hidden="1">
      <c r="A26" s="5">
        <f ca="1">IFERROR(__xludf.DUMMYFUNCTION("""COMPUTED_VALUE"""),95)</f>
        <v>95</v>
      </c>
      <c r="B26" s="69">
        <v>46412</v>
      </c>
    </row>
    <row r="27" spans="1:2" ht="12.5" hidden="1">
      <c r="A27" s="5">
        <f ca="1">IFERROR(__xludf.DUMMYFUNCTION("""COMPUTED_VALUE"""),41)</f>
        <v>41</v>
      </c>
      <c r="B27" s="69">
        <v>46413</v>
      </c>
    </row>
    <row r="28" spans="1:2" ht="12.5" hidden="1">
      <c r="A28" s="5">
        <f ca="1">IFERROR(__xludf.DUMMYFUNCTION("""COMPUTED_VALUE"""),3)</f>
        <v>3</v>
      </c>
      <c r="B28" s="69">
        <v>46414</v>
      </c>
    </row>
    <row r="29" spans="1:2" ht="12.5" hidden="1">
      <c r="A29" s="5">
        <f ca="1">IFERROR(__xludf.DUMMYFUNCTION("""COMPUTED_VALUE"""),31)</f>
        <v>31</v>
      </c>
      <c r="B29" s="69">
        <v>46415</v>
      </c>
    </row>
    <row r="30" spans="1:2" ht="12.5" hidden="1">
      <c r="A30" s="5">
        <f ca="1">IFERROR(__xludf.DUMMYFUNCTION("""COMPUTED_VALUE"""),95)</f>
        <v>95</v>
      </c>
      <c r="B30" s="69">
        <v>46416</v>
      </c>
    </row>
    <row r="31" spans="1:2" ht="12.5" hidden="1">
      <c r="A31" s="5">
        <f ca="1">IFERROR(__xludf.DUMMYFUNCTION("""COMPUTED_VALUE"""),95)</f>
        <v>95</v>
      </c>
      <c r="B31" s="69">
        <v>46417</v>
      </c>
    </row>
    <row r="32" spans="1:2" ht="12.5" hidden="1">
      <c r="A32" s="5">
        <f ca="1">IFERROR(__xludf.DUMMYFUNCTION("""COMPUTED_VALUE"""),95)</f>
        <v>95</v>
      </c>
      <c r="B32" s="69">
        <v>46418</v>
      </c>
    </row>
    <row r="33" spans="1:2" ht="12.5" hidden="1">
      <c r="A33" s="5">
        <f ca="1">IFERROR(__xludf.DUMMYFUNCTION("""COMPUTED_VALUE"""),52)</f>
        <v>52</v>
      </c>
      <c r="B33" s="69">
        <v>46419</v>
      </c>
    </row>
    <row r="34" spans="1:2" ht="12.5" hidden="1">
      <c r="A34" s="5">
        <f ca="1">IFERROR(__xludf.DUMMYFUNCTION("""COMPUTED_VALUE"""),95)</f>
        <v>95</v>
      </c>
      <c r="B34" s="69">
        <v>46420</v>
      </c>
    </row>
    <row r="35" spans="1:2" ht="12.5" hidden="1">
      <c r="A35" s="5">
        <f ca="1">IFERROR(__xludf.DUMMYFUNCTION("""COMPUTED_VALUE"""),31)</f>
        <v>31</v>
      </c>
      <c r="B35" s="69">
        <v>46421</v>
      </c>
    </row>
    <row r="36" spans="1:2" ht="12.5" hidden="1">
      <c r="A36" s="5">
        <f ca="1">IFERROR(__xludf.DUMMYFUNCTION("""COMPUTED_VALUE"""),31)</f>
        <v>31</v>
      </c>
      <c r="B36" s="69">
        <v>46422</v>
      </c>
    </row>
    <row r="37" spans="1:2" ht="12.5" hidden="1">
      <c r="A37" s="5">
        <f ca="1">IFERROR(__xludf.DUMMYFUNCTION("""COMPUTED_VALUE"""),18)</f>
        <v>18</v>
      </c>
      <c r="B37" s="69">
        <v>46423</v>
      </c>
    </row>
    <row r="38" spans="1:2" ht="12.5" hidden="1">
      <c r="A38" s="5">
        <f ca="1">IFERROR(__xludf.DUMMYFUNCTION("""COMPUTED_VALUE"""),63)</f>
        <v>63</v>
      </c>
      <c r="B38" s="69">
        <v>46424</v>
      </c>
    </row>
    <row r="39" spans="1:2" ht="12.5" hidden="1">
      <c r="A39" s="5">
        <f ca="1">IFERROR(__xludf.DUMMYFUNCTION("""COMPUTED_VALUE"""),12)</f>
        <v>12</v>
      </c>
      <c r="B39" s="69">
        <v>46425</v>
      </c>
    </row>
    <row r="40" spans="1:2" ht="12.5" hidden="1">
      <c r="A40" s="5">
        <f ca="1">IFERROR(__xludf.DUMMYFUNCTION("""COMPUTED_VALUE"""),32)</f>
        <v>32</v>
      </c>
      <c r="B40" s="69">
        <v>46426</v>
      </c>
    </row>
    <row r="41" spans="1:2" ht="12.5" hidden="1">
      <c r="A41" s="5">
        <f ca="1">IFERROR(__xludf.DUMMYFUNCTION("""COMPUTED_VALUE"""),23)</f>
        <v>23</v>
      </c>
      <c r="B41" s="69">
        <v>46427</v>
      </c>
    </row>
    <row r="42" spans="1:2" ht="12.5" hidden="1">
      <c r="A42" s="5">
        <f ca="1">IFERROR(__xludf.DUMMYFUNCTION("""COMPUTED_VALUE"""),21)</f>
        <v>21</v>
      </c>
      <c r="B42" s="69">
        <v>46428</v>
      </c>
    </row>
    <row r="43" spans="1:2" ht="12.5" hidden="1">
      <c r="A43" s="5">
        <f ca="1">IFERROR(__xludf.DUMMYFUNCTION("""COMPUTED_VALUE"""),21)</f>
        <v>21</v>
      </c>
      <c r="B43" s="69">
        <v>46429</v>
      </c>
    </row>
    <row r="44" spans="1:2" ht="12.5" hidden="1">
      <c r="A44" s="5">
        <f ca="1">IFERROR(__xludf.DUMMYFUNCTION("""COMPUTED_VALUE"""),45)</f>
        <v>45</v>
      </c>
      <c r="B44" s="69">
        <v>46430</v>
      </c>
    </row>
    <row r="45" spans="1:2" ht="12.5" hidden="1">
      <c r="A45" s="5">
        <f ca="1">IFERROR(__xludf.DUMMYFUNCTION("""COMPUTED_VALUE"""),68)</f>
        <v>68</v>
      </c>
      <c r="B45" s="69">
        <v>46431</v>
      </c>
    </row>
    <row r="46" spans="1:2" ht="12.5" hidden="1">
      <c r="A46" s="5">
        <f ca="1">IFERROR(__xludf.DUMMYFUNCTION("""COMPUTED_VALUE"""),95)</f>
        <v>95</v>
      </c>
      <c r="B46" s="69">
        <v>46432</v>
      </c>
    </row>
    <row r="47" spans="1:2" ht="12.5" hidden="1">
      <c r="A47" s="5">
        <f ca="1">IFERROR(__xludf.DUMMYFUNCTION("""COMPUTED_VALUE"""),7)</f>
        <v>7</v>
      </c>
      <c r="B47" s="69">
        <v>46433</v>
      </c>
    </row>
    <row r="48" spans="1:2" ht="12.5" hidden="1">
      <c r="A48" s="5">
        <f ca="1">IFERROR(__xludf.DUMMYFUNCTION("""COMPUTED_VALUE"""),31)</f>
        <v>31</v>
      </c>
      <c r="B48" s="69">
        <v>46434</v>
      </c>
    </row>
    <row r="49" spans="1:2" ht="12.5" hidden="1">
      <c r="A49" s="5">
        <f ca="1">IFERROR(__xludf.DUMMYFUNCTION("""COMPUTED_VALUE"""),95)</f>
        <v>95</v>
      </c>
      <c r="B49" s="69">
        <v>46435</v>
      </c>
    </row>
    <row r="50" spans="1:2" ht="12.5" hidden="1">
      <c r="A50" s="5">
        <f ca="1">IFERROR(__xludf.DUMMYFUNCTION("""COMPUTED_VALUE"""),52)</f>
        <v>52</v>
      </c>
      <c r="B50" s="69">
        <v>46436</v>
      </c>
    </row>
    <row r="51" spans="1:2" ht="12.5" hidden="1">
      <c r="A51" s="5">
        <f ca="1">IFERROR(__xludf.DUMMYFUNCTION("""COMPUTED_VALUE"""),20)</f>
        <v>20</v>
      </c>
      <c r="B51" s="69">
        <v>46437</v>
      </c>
    </row>
    <row r="52" spans="1:2" ht="12.5" hidden="1">
      <c r="A52" s="5">
        <f ca="1">IFERROR(__xludf.DUMMYFUNCTION("""COMPUTED_VALUE"""),51)</f>
        <v>51</v>
      </c>
      <c r="B52" s="69">
        <v>46438</v>
      </c>
    </row>
    <row r="53" spans="1:2" ht="12.5" hidden="1">
      <c r="A53" s="5">
        <f ca="1">IFERROR(__xludf.DUMMYFUNCTION("""COMPUTED_VALUE"""),32)</f>
        <v>32</v>
      </c>
      <c r="B53" s="69">
        <v>46439</v>
      </c>
    </row>
    <row r="54" spans="1:2" ht="12.5" hidden="1">
      <c r="A54" s="5">
        <f ca="1">IFERROR(__xludf.DUMMYFUNCTION("""COMPUTED_VALUE"""),29)</f>
        <v>29</v>
      </c>
      <c r="B54" s="69">
        <v>46440</v>
      </c>
    </row>
    <row r="55" spans="1:2" ht="12.5" hidden="1">
      <c r="A55" s="5">
        <f ca="1">IFERROR(__xludf.DUMMYFUNCTION("""COMPUTED_VALUE"""),45)</f>
        <v>45</v>
      </c>
      <c r="B55" s="69">
        <v>46441</v>
      </c>
    </row>
    <row r="56" spans="1:2" ht="12.5" hidden="1">
      <c r="A56" s="5">
        <f ca="1">IFERROR(__xludf.DUMMYFUNCTION("""COMPUTED_VALUE"""),46)</f>
        <v>46</v>
      </c>
      <c r="B56" s="69">
        <v>46442</v>
      </c>
    </row>
    <row r="57" spans="1:2" ht="12.5" hidden="1">
      <c r="A57" s="5">
        <f ca="1">IFERROR(__xludf.DUMMYFUNCTION("""COMPUTED_VALUE"""),1)</f>
        <v>1</v>
      </c>
      <c r="B57" s="69">
        <v>46443</v>
      </c>
    </row>
    <row r="58" spans="1:2" ht="12.5" hidden="1">
      <c r="A58" s="5">
        <f ca="1">IFERROR(__xludf.DUMMYFUNCTION("""COMPUTED_VALUE"""),68)</f>
        <v>68</v>
      </c>
      <c r="B58" s="69">
        <v>46444</v>
      </c>
    </row>
    <row r="59" spans="1:2" ht="12.5" hidden="1">
      <c r="A59" s="5">
        <f ca="1">IFERROR(__xludf.DUMMYFUNCTION("""COMPUTED_VALUE"""),5)</f>
        <v>5</v>
      </c>
      <c r="B59" s="69">
        <v>46445</v>
      </c>
    </row>
    <row r="60" spans="1:2" ht="12.5" hidden="1">
      <c r="A60" s="5">
        <f ca="1">IFERROR(__xludf.DUMMYFUNCTION("""COMPUTED_VALUE"""),52)</f>
        <v>52</v>
      </c>
      <c r="B60" s="69">
        <v>46446</v>
      </c>
    </row>
    <row r="61" spans="1:2" ht="12.5" hidden="1">
      <c r="A61" s="5">
        <f ca="1">IFERROR(__xludf.DUMMYFUNCTION("""COMPUTED_VALUE"""),30)</f>
        <v>30</v>
      </c>
      <c r="B61" s="69">
        <v>46447</v>
      </c>
    </row>
    <row r="62" spans="1:2" ht="12.5" hidden="1">
      <c r="A62" s="5">
        <f ca="1">IFERROR(__xludf.DUMMYFUNCTION("""COMPUTED_VALUE"""),52)</f>
        <v>52</v>
      </c>
      <c r="B62" s="69">
        <v>46448</v>
      </c>
    </row>
    <row r="63" spans="1:2" ht="12.5" hidden="1">
      <c r="A63" s="5">
        <f ca="1">IFERROR(__xludf.DUMMYFUNCTION("""COMPUTED_VALUE"""),29)</f>
        <v>29</v>
      </c>
      <c r="B63" s="69">
        <v>46449</v>
      </c>
    </row>
    <row r="64" spans="1:2" ht="12.5" hidden="1">
      <c r="A64" s="5">
        <f ca="1">IFERROR(__xludf.DUMMYFUNCTION("""COMPUTED_VALUE"""),95)</f>
        <v>95</v>
      </c>
      <c r="B64" s="69">
        <v>46450</v>
      </c>
    </row>
    <row r="65" spans="1:2" ht="12.5" hidden="1">
      <c r="A65" s="5">
        <f ca="1">IFERROR(__xludf.DUMMYFUNCTION("""COMPUTED_VALUE"""),21)</f>
        <v>21</v>
      </c>
      <c r="B65" s="69">
        <v>46451</v>
      </c>
    </row>
    <row r="66" spans="1:2" ht="12.5" hidden="1">
      <c r="A66" s="5">
        <f ca="1">IFERROR(__xludf.DUMMYFUNCTION("""COMPUTED_VALUE"""),53)</f>
        <v>53</v>
      </c>
      <c r="B66" s="69">
        <v>46452</v>
      </c>
    </row>
    <row r="67" spans="1:2" ht="12.5" hidden="1">
      <c r="A67" s="5">
        <f ca="1">IFERROR(__xludf.DUMMYFUNCTION("""COMPUTED_VALUE"""),46)</f>
        <v>46</v>
      </c>
      <c r="B67" s="69">
        <v>46453</v>
      </c>
    </row>
    <row r="68" spans="1:2" ht="12.5" hidden="1">
      <c r="A68" s="5">
        <f ca="1">IFERROR(__xludf.DUMMYFUNCTION("""COMPUTED_VALUE"""),62)</f>
        <v>62</v>
      </c>
      <c r="B68" s="69">
        <v>46454</v>
      </c>
    </row>
    <row r="69" spans="1:2" ht="12.5" hidden="1">
      <c r="A69" s="5">
        <f ca="1">IFERROR(__xludf.DUMMYFUNCTION("""COMPUTED_VALUE"""),29)</f>
        <v>29</v>
      </c>
      <c r="B69" s="69">
        <v>46455</v>
      </c>
    </row>
    <row r="70" spans="1:2" ht="12.5" hidden="1">
      <c r="A70" s="5">
        <f ca="1">IFERROR(__xludf.DUMMYFUNCTION("""COMPUTED_VALUE"""),52)</f>
        <v>52</v>
      </c>
      <c r="B70" s="69">
        <v>46456</v>
      </c>
    </row>
    <row r="71" spans="1:2" ht="12.5" hidden="1">
      <c r="A71" s="5">
        <f ca="1">IFERROR(__xludf.DUMMYFUNCTION("""COMPUTED_VALUE"""),95)</f>
        <v>95</v>
      </c>
      <c r="B71" s="69">
        <v>46457</v>
      </c>
    </row>
    <row r="72" spans="1:2" ht="12.5" hidden="1">
      <c r="A72" s="5">
        <f ca="1">IFERROR(__xludf.DUMMYFUNCTION("""COMPUTED_VALUE"""),95)</f>
        <v>95</v>
      </c>
      <c r="B72" s="69">
        <v>46458</v>
      </c>
    </row>
    <row r="73" spans="1:2" ht="12.5" hidden="1">
      <c r="A73" s="5">
        <f ca="1">IFERROR(__xludf.DUMMYFUNCTION("""COMPUTED_VALUE"""),39)</f>
        <v>39</v>
      </c>
      <c r="B73" s="69">
        <v>46459</v>
      </c>
    </row>
    <row r="74" spans="1:2" ht="12.5" hidden="1">
      <c r="A74" s="5">
        <f ca="1">IFERROR(__xludf.DUMMYFUNCTION("""COMPUTED_VALUE"""),95)</f>
        <v>95</v>
      </c>
      <c r="B74" s="69">
        <v>46460</v>
      </c>
    </row>
    <row r="75" spans="1:2" ht="12.5" hidden="1">
      <c r="A75" s="5">
        <f ca="1">IFERROR(__xludf.DUMMYFUNCTION("""COMPUTED_VALUE"""),5)</f>
        <v>5</v>
      </c>
      <c r="B75" s="69">
        <v>46461</v>
      </c>
    </row>
    <row r="76" spans="1:2" ht="12.5" hidden="1">
      <c r="A76" s="5">
        <f ca="1">IFERROR(__xludf.DUMMYFUNCTION("""COMPUTED_VALUE"""),32)</f>
        <v>32</v>
      </c>
      <c r="B76" s="69">
        <v>46462</v>
      </c>
    </row>
    <row r="77" spans="1:2" ht="12.5" hidden="1">
      <c r="A77" s="5">
        <f ca="1">IFERROR(__xludf.DUMMYFUNCTION("""COMPUTED_VALUE"""),66)</f>
        <v>66</v>
      </c>
      <c r="B77" s="69">
        <v>46463</v>
      </c>
    </row>
    <row r="78" spans="1:2" ht="12.5" hidden="1">
      <c r="A78" s="5">
        <f ca="1">IFERROR(__xludf.DUMMYFUNCTION("""COMPUTED_VALUE"""),62)</f>
        <v>62</v>
      </c>
      <c r="B78" s="69">
        <v>46464</v>
      </c>
    </row>
    <row r="79" spans="1:2" ht="12.5" hidden="1">
      <c r="A79" s="5">
        <f ca="1">IFERROR(__xludf.DUMMYFUNCTION("""COMPUTED_VALUE"""),70)</f>
        <v>70</v>
      </c>
      <c r="B79" s="69">
        <v>46465</v>
      </c>
    </row>
    <row r="80" spans="1:2" ht="12.5" hidden="1">
      <c r="A80" s="5">
        <f ca="1">IFERROR(__xludf.DUMMYFUNCTION("""COMPUTED_VALUE"""),3)</f>
        <v>3</v>
      </c>
      <c r="B80" s="69">
        <v>46466</v>
      </c>
    </row>
    <row r="81" spans="1:2" ht="12.5" hidden="1">
      <c r="A81" s="5">
        <f ca="1">IFERROR(__xludf.DUMMYFUNCTION("""COMPUTED_VALUE"""),32)</f>
        <v>32</v>
      </c>
      <c r="B81" s="69">
        <v>46467</v>
      </c>
    </row>
    <row r="82" spans="1:2" ht="12.5" hidden="1">
      <c r="A82" s="5">
        <f ca="1">IFERROR(__xludf.DUMMYFUNCTION("""COMPUTED_VALUE"""),46)</f>
        <v>46</v>
      </c>
      <c r="B82" s="69">
        <v>46468</v>
      </c>
    </row>
    <row r="83" spans="1:2" ht="12.5" hidden="1">
      <c r="A83" s="5">
        <f ca="1">IFERROR(__xludf.DUMMYFUNCTION("""COMPUTED_VALUE"""),95)</f>
        <v>95</v>
      </c>
      <c r="B83" s="69">
        <v>46469</v>
      </c>
    </row>
    <row r="84" spans="1:2" ht="12.5" hidden="1">
      <c r="A84" s="5">
        <f ca="1">IFERROR(__xludf.DUMMYFUNCTION("""COMPUTED_VALUE"""),95)</f>
        <v>95</v>
      </c>
      <c r="B84" s="69">
        <v>46470</v>
      </c>
    </row>
    <row r="85" spans="1:2" ht="12.5" hidden="1">
      <c r="A85" s="5">
        <f ca="1">IFERROR(__xludf.DUMMYFUNCTION("""COMPUTED_VALUE"""),95)</f>
        <v>95</v>
      </c>
      <c r="B85" s="69">
        <v>46471</v>
      </c>
    </row>
    <row r="86" spans="1:2" ht="12.5" hidden="1">
      <c r="A86" s="5">
        <f ca="1">IFERROR(__xludf.DUMMYFUNCTION("""COMPUTED_VALUE"""),95)</f>
        <v>95</v>
      </c>
      <c r="B86" s="69">
        <v>46472</v>
      </c>
    </row>
    <row r="87" spans="1:2" ht="12.5" hidden="1">
      <c r="A87" s="5">
        <f ca="1">IFERROR(__xludf.DUMMYFUNCTION("""COMPUTED_VALUE"""),17)</f>
        <v>17</v>
      </c>
      <c r="B87" s="69">
        <v>46473</v>
      </c>
    </row>
    <row r="88" spans="1:2" ht="12.5" hidden="1">
      <c r="A88" s="5">
        <f ca="1">IFERROR(__xludf.DUMMYFUNCTION("""COMPUTED_VALUE"""),41)</f>
        <v>41</v>
      </c>
      <c r="B88" s="69">
        <v>46474</v>
      </c>
    </row>
    <row r="89" spans="1:2" ht="12.5" hidden="1">
      <c r="A89" s="5">
        <f ca="1">IFERROR(__xludf.DUMMYFUNCTION("""COMPUTED_VALUE"""),46)</f>
        <v>46</v>
      </c>
      <c r="B89" s="69">
        <v>46475</v>
      </c>
    </row>
    <row r="90" spans="1:2" ht="12.5" hidden="1">
      <c r="A90" s="5">
        <f ca="1">IFERROR(__xludf.DUMMYFUNCTION("""COMPUTED_VALUE"""),67)</f>
        <v>67</v>
      </c>
      <c r="B90" s="69">
        <v>46476</v>
      </c>
    </row>
    <row r="91" spans="1:2" ht="12.5" hidden="1">
      <c r="A91" s="5">
        <f ca="1">IFERROR(__xludf.DUMMYFUNCTION("""COMPUTED_VALUE"""),44)</f>
        <v>44</v>
      </c>
      <c r="B91" s="69">
        <v>46477</v>
      </c>
    </row>
    <row r="92" spans="1:2" ht="12.5" hidden="1">
      <c r="A92" s="5">
        <f ca="1">IFERROR(__xludf.DUMMYFUNCTION("""COMPUTED_VALUE"""),56)</f>
        <v>56</v>
      </c>
      <c r="B92" s="69">
        <v>46478</v>
      </c>
    </row>
    <row r="93" spans="1:2" ht="12.5" hidden="1">
      <c r="A93" s="5">
        <f ca="1">IFERROR(__xludf.DUMMYFUNCTION("""COMPUTED_VALUE"""),95)</f>
        <v>95</v>
      </c>
      <c r="B93" s="69">
        <v>46479</v>
      </c>
    </row>
    <row r="94" spans="1:2" ht="12.5" hidden="1">
      <c r="A94" s="5">
        <f ca="1">IFERROR(__xludf.DUMMYFUNCTION("""COMPUTED_VALUE"""),95)</f>
        <v>95</v>
      </c>
      <c r="B94" s="69">
        <v>46480</v>
      </c>
    </row>
    <row r="95" spans="1:2" ht="12.5" hidden="1">
      <c r="A95" s="5">
        <f ca="1">IFERROR(__xludf.DUMMYFUNCTION("""COMPUTED_VALUE"""),95)</f>
        <v>95</v>
      </c>
      <c r="B95" s="69">
        <v>46481</v>
      </c>
    </row>
    <row r="96" spans="1:2" ht="12.5" hidden="1">
      <c r="A96" s="5">
        <f ca="1">IFERROR(__xludf.DUMMYFUNCTION("""COMPUTED_VALUE"""),68)</f>
        <v>68</v>
      </c>
      <c r="B96" s="69">
        <v>46482</v>
      </c>
    </row>
    <row r="97" spans="1:2" ht="12.5" hidden="1">
      <c r="A97" s="5">
        <f ca="1">IFERROR(__xludf.DUMMYFUNCTION("""COMPUTED_VALUE"""),5)</f>
        <v>5</v>
      </c>
      <c r="B97" s="69">
        <v>46483</v>
      </c>
    </row>
    <row r="98" spans="1:2" ht="12.5">
      <c r="A98" s="5">
        <f ca="1">IFERROR(__xludf.DUMMYFUNCTION("""COMPUTED_VALUE"""),95)</f>
        <v>95</v>
      </c>
      <c r="B98" s="69">
        <v>46484</v>
      </c>
    </row>
    <row r="99" spans="1:2" ht="12.5" hidden="1">
      <c r="A99" s="5">
        <f ca="1">IFERROR(__xludf.DUMMYFUNCTION("""COMPUTED_VALUE"""),95)</f>
        <v>95</v>
      </c>
      <c r="B99" s="69">
        <v>46485</v>
      </c>
    </row>
    <row r="100" spans="1:2" ht="12.5" hidden="1">
      <c r="A100" s="5">
        <f ca="1">IFERROR(__xludf.DUMMYFUNCTION("""COMPUTED_VALUE"""),24)</f>
        <v>24</v>
      </c>
      <c r="B100" s="69">
        <v>46486</v>
      </c>
    </row>
    <row r="101" spans="1:2" ht="12.5" hidden="1">
      <c r="A101" s="5">
        <f ca="1">IFERROR(__xludf.DUMMYFUNCTION("""COMPUTED_VALUE"""),95)</f>
        <v>95</v>
      </c>
      <c r="B101" s="69">
        <v>46487</v>
      </c>
    </row>
    <row r="102" spans="1:2" ht="12.5" hidden="1">
      <c r="A102" s="5">
        <f ca="1">IFERROR(__xludf.DUMMYFUNCTION("""COMPUTED_VALUE"""),13)</f>
        <v>13</v>
      </c>
      <c r="B102" s="69">
        <v>46488</v>
      </c>
    </row>
    <row r="103" spans="1:2" ht="12.5" hidden="1">
      <c r="A103" s="5">
        <f ca="1">IFERROR(__xludf.DUMMYFUNCTION("""COMPUTED_VALUE"""),31)</f>
        <v>31</v>
      </c>
      <c r="B103" s="69">
        <v>46489</v>
      </c>
    </row>
    <row r="104" spans="1:2" ht="12.5" hidden="1">
      <c r="A104" s="5">
        <f ca="1">IFERROR(__xludf.DUMMYFUNCTION("""COMPUTED_VALUE"""),69)</f>
        <v>69</v>
      </c>
      <c r="B104" s="69">
        <v>46490</v>
      </c>
    </row>
    <row r="105" spans="1:2" ht="12.5" hidden="1">
      <c r="A105" s="5">
        <f ca="1">IFERROR(__xludf.DUMMYFUNCTION("""COMPUTED_VALUE"""),95)</f>
        <v>95</v>
      </c>
      <c r="B105" s="69">
        <v>46491</v>
      </c>
    </row>
    <row r="106" spans="1:2" ht="12.5" hidden="1">
      <c r="A106" s="5">
        <f ca="1">IFERROR(__xludf.DUMMYFUNCTION("""COMPUTED_VALUE"""),95)</f>
        <v>95</v>
      </c>
      <c r="B106" s="69">
        <v>46492</v>
      </c>
    </row>
    <row r="107" spans="1:2" ht="12.5">
      <c r="A107" s="5">
        <f ca="1">IFERROR(__xludf.DUMMYFUNCTION("""COMPUTED_VALUE"""),31)</f>
        <v>31</v>
      </c>
      <c r="B107" s="69">
        <v>46493</v>
      </c>
    </row>
    <row r="108" spans="1:2" ht="12.5" hidden="1">
      <c r="A108" s="5">
        <f ca="1">IFERROR(__xludf.DUMMYFUNCTION("""COMPUTED_VALUE"""),45)</f>
        <v>45</v>
      </c>
      <c r="B108" s="69">
        <v>46494</v>
      </c>
    </row>
    <row r="109" spans="1:2" ht="12.5" hidden="1">
      <c r="A109" s="5">
        <f ca="1">IFERROR(__xludf.DUMMYFUNCTION("""COMPUTED_VALUE"""),95)</f>
        <v>95</v>
      </c>
      <c r="B109" s="69">
        <v>46495</v>
      </c>
    </row>
    <row r="110" spans="1:2" ht="12.5" hidden="1">
      <c r="A110" s="5">
        <f ca="1">IFERROR(__xludf.DUMMYFUNCTION("""COMPUTED_VALUE"""),95)</f>
        <v>95</v>
      </c>
      <c r="B110" s="69">
        <v>46496</v>
      </c>
    </row>
    <row r="111" spans="1:2" ht="12.5" hidden="1">
      <c r="A111" s="5">
        <f ca="1">IFERROR(__xludf.DUMMYFUNCTION("""COMPUTED_VALUE"""),95)</f>
        <v>95</v>
      </c>
      <c r="B111" s="69">
        <v>46497</v>
      </c>
    </row>
    <row r="112" spans="1:2" ht="12.5" hidden="1">
      <c r="A112" s="5">
        <f ca="1">IFERROR(__xludf.DUMMYFUNCTION("""COMPUTED_VALUE"""),95)</f>
        <v>95</v>
      </c>
      <c r="B112" s="69">
        <v>46498</v>
      </c>
    </row>
    <row r="113" spans="1:2" ht="12.5" hidden="1">
      <c r="A113" s="5">
        <f ca="1">IFERROR(__xludf.DUMMYFUNCTION("""COMPUTED_VALUE"""),95)</f>
        <v>95</v>
      </c>
      <c r="B113" s="69">
        <v>46499</v>
      </c>
    </row>
    <row r="114" spans="1:2" ht="12.5" hidden="1">
      <c r="A114" s="5">
        <f ca="1">IFERROR(__xludf.DUMMYFUNCTION("""COMPUTED_VALUE"""),95)</f>
        <v>95</v>
      </c>
      <c r="B114" s="69">
        <v>46500</v>
      </c>
    </row>
    <row r="115" spans="1:2" ht="12.5" hidden="1">
      <c r="A115" s="5">
        <f ca="1">IFERROR(__xludf.DUMMYFUNCTION("""COMPUTED_VALUE"""),51)</f>
        <v>51</v>
      </c>
      <c r="B115" s="69">
        <v>46501</v>
      </c>
    </row>
    <row r="116" spans="1:2" ht="12.5" hidden="1">
      <c r="A116" s="5">
        <f ca="1">IFERROR(__xludf.DUMMYFUNCTION("""COMPUTED_VALUE"""),95)</f>
        <v>95</v>
      </c>
      <c r="B116" s="69">
        <v>46502</v>
      </c>
    </row>
    <row r="117" spans="1:2" ht="12.5" hidden="1">
      <c r="A117" s="5">
        <f ca="1">IFERROR(__xludf.DUMMYFUNCTION("""COMPUTED_VALUE"""),12)</f>
        <v>12</v>
      </c>
      <c r="B117" s="69">
        <v>46503</v>
      </c>
    </row>
    <row r="118" spans="1:2" ht="12.5" hidden="1">
      <c r="A118" s="5">
        <f ca="1">IFERROR(__xludf.DUMMYFUNCTION("""COMPUTED_VALUE"""),95)</f>
        <v>95</v>
      </c>
      <c r="B118" s="69">
        <v>46504</v>
      </c>
    </row>
    <row r="119" spans="1:2" ht="12.5" hidden="1">
      <c r="A119" s="5">
        <f ca="1">IFERROR(__xludf.DUMMYFUNCTION("""COMPUTED_VALUE"""),95)</f>
        <v>95</v>
      </c>
      <c r="B119" s="69">
        <v>46505</v>
      </c>
    </row>
    <row r="120" spans="1:2" ht="12.5" hidden="1">
      <c r="A120" s="5">
        <f ca="1">IFERROR(__xludf.DUMMYFUNCTION("""COMPUTED_VALUE"""),51)</f>
        <v>51</v>
      </c>
      <c r="B120" s="69">
        <v>46506</v>
      </c>
    </row>
    <row r="121" spans="1:2" ht="12.5" hidden="1">
      <c r="A121" s="5">
        <f ca="1">IFERROR(__xludf.DUMMYFUNCTION("""COMPUTED_VALUE"""),32)</f>
        <v>32</v>
      </c>
      <c r="B121" s="69">
        <v>46507</v>
      </c>
    </row>
    <row r="122" spans="1:2" ht="12.5" hidden="1">
      <c r="A122" s="5">
        <f ca="1">IFERROR(__xludf.DUMMYFUNCTION("""COMPUTED_VALUE"""),31)</f>
        <v>31</v>
      </c>
      <c r="B122" s="69">
        <v>46508</v>
      </c>
    </row>
    <row r="123" spans="1:2" ht="12.5" hidden="1">
      <c r="A123" s="5">
        <f ca="1">IFERROR(__xludf.DUMMYFUNCTION("""COMPUTED_VALUE"""),69)</f>
        <v>69</v>
      </c>
      <c r="B123" s="69">
        <v>46509</v>
      </c>
    </row>
    <row r="124" spans="1:2" ht="12.5" hidden="1">
      <c r="A124" s="5">
        <f ca="1">IFERROR(__xludf.DUMMYFUNCTION("""COMPUTED_VALUE"""),70)</f>
        <v>70</v>
      </c>
      <c r="B124" s="69">
        <v>46510</v>
      </c>
    </row>
    <row r="125" spans="1:2" ht="12.5" hidden="1">
      <c r="A125" s="5">
        <f ca="1">IFERROR(__xludf.DUMMYFUNCTION("""COMPUTED_VALUE"""),31)</f>
        <v>31</v>
      </c>
      <c r="B125" s="69">
        <v>46511</v>
      </c>
    </row>
    <row r="126" spans="1:2" ht="12.5" hidden="1">
      <c r="A126" s="5">
        <f ca="1">IFERROR(__xludf.DUMMYFUNCTION("""COMPUTED_VALUE"""),29)</f>
        <v>29</v>
      </c>
      <c r="B126" s="69">
        <v>46512</v>
      </c>
    </row>
    <row r="127" spans="1:2" ht="12.5" hidden="1">
      <c r="A127" s="5">
        <f ca="1">IFERROR(__xludf.DUMMYFUNCTION("""COMPUTED_VALUE"""),25)</f>
        <v>25</v>
      </c>
      <c r="B127" s="69">
        <v>46513</v>
      </c>
    </row>
    <row r="128" spans="1:2" ht="12.5" hidden="1">
      <c r="A128" s="5">
        <f ca="1">IFERROR(__xludf.DUMMYFUNCTION("""COMPUTED_VALUE"""),69)</f>
        <v>69</v>
      </c>
      <c r="B128" s="69">
        <v>46514</v>
      </c>
    </row>
    <row r="129" spans="1:2" ht="12.5" hidden="1">
      <c r="A129" s="5">
        <f ca="1">IFERROR(__xludf.DUMMYFUNCTION("""COMPUTED_VALUE"""),26)</f>
        <v>26</v>
      </c>
      <c r="B129" s="69">
        <v>46515</v>
      </c>
    </row>
    <row r="130" spans="1:2" ht="12.5" hidden="1">
      <c r="A130" s="5">
        <f ca="1">IFERROR(__xludf.DUMMYFUNCTION("""COMPUTED_VALUE"""),95)</f>
        <v>95</v>
      </c>
      <c r="B130" s="69">
        <v>46516</v>
      </c>
    </row>
    <row r="131" spans="1:2" ht="12.5" hidden="1">
      <c r="A131" s="5">
        <f ca="1">IFERROR(__xludf.DUMMYFUNCTION("""COMPUTED_VALUE"""),78)</f>
        <v>78</v>
      </c>
      <c r="B131" s="69">
        <v>46517</v>
      </c>
    </row>
    <row r="132" spans="1:2" ht="12.5" hidden="1">
      <c r="A132" s="5">
        <f ca="1">IFERROR(__xludf.DUMMYFUNCTION("""COMPUTED_VALUE"""),2)</f>
        <v>2</v>
      </c>
      <c r="B132" s="69">
        <v>46518</v>
      </c>
    </row>
    <row r="133" spans="1:2" ht="12.5" hidden="1">
      <c r="A133" s="5">
        <f ca="1">IFERROR(__xludf.DUMMYFUNCTION("""COMPUTED_VALUE"""),52)</f>
        <v>52</v>
      </c>
      <c r="B133" s="69">
        <v>46519</v>
      </c>
    </row>
    <row r="134" spans="1:2" ht="12.5" hidden="1">
      <c r="A134" s="5">
        <f ca="1">IFERROR(__xludf.DUMMYFUNCTION("""COMPUTED_VALUE"""),53)</f>
        <v>53</v>
      </c>
      <c r="B134" s="69">
        <v>46520</v>
      </c>
    </row>
    <row r="135" spans="1:2" ht="12.5">
      <c r="A135" s="5">
        <f ca="1">IFERROR(__xludf.DUMMYFUNCTION("""COMPUTED_VALUE"""),33)</f>
        <v>33</v>
      </c>
      <c r="B135" s="69">
        <v>46521</v>
      </c>
    </row>
    <row r="136" spans="1:2" ht="12.5" hidden="1">
      <c r="A136" s="5">
        <f ca="1">IFERROR(__xludf.DUMMYFUNCTION("""COMPUTED_VALUE"""),1)</f>
        <v>1</v>
      </c>
      <c r="B136" s="69">
        <v>46522</v>
      </c>
    </row>
    <row r="137" spans="1:2" ht="12.5" hidden="1">
      <c r="A137" s="5">
        <f ca="1">IFERROR(__xludf.DUMMYFUNCTION("""COMPUTED_VALUE"""),21)</f>
        <v>21</v>
      </c>
      <c r="B137" s="69">
        <v>46523</v>
      </c>
    </row>
    <row r="138" spans="1:2" ht="12.5" hidden="1">
      <c r="A138" s="5">
        <f ca="1">IFERROR(__xludf.DUMMYFUNCTION("""COMPUTED_VALUE"""),51)</f>
        <v>51</v>
      </c>
      <c r="B138" s="69">
        <v>46524</v>
      </c>
    </row>
    <row r="139" spans="1:2" ht="12.5" hidden="1">
      <c r="A139" s="5">
        <f ca="1">IFERROR(__xludf.DUMMYFUNCTION("""COMPUTED_VALUE"""),23)</f>
        <v>23</v>
      </c>
      <c r="B139" s="69">
        <v>46525</v>
      </c>
    </row>
    <row r="140" spans="1:2" ht="12.5" hidden="1">
      <c r="A140" s="5">
        <f ca="1">IFERROR(__xludf.DUMMYFUNCTION("""COMPUTED_VALUE"""),95)</f>
        <v>95</v>
      </c>
      <c r="B140" s="69">
        <v>46526</v>
      </c>
    </row>
    <row r="141" spans="1:2" ht="12.5" hidden="1">
      <c r="A141" s="5">
        <f ca="1">IFERROR(__xludf.DUMMYFUNCTION("""COMPUTED_VALUE"""),21)</f>
        <v>21</v>
      </c>
      <c r="B141" s="69">
        <v>46527</v>
      </c>
    </row>
    <row r="142" spans="1:2" ht="12.5" hidden="1">
      <c r="A142" s="5">
        <f ca="1">IFERROR(__xludf.DUMMYFUNCTION("""COMPUTED_VALUE"""),35)</f>
        <v>35</v>
      </c>
      <c r="B142" s="69">
        <v>46528</v>
      </c>
    </row>
    <row r="143" spans="1:2" ht="12.5" hidden="1">
      <c r="A143" s="5">
        <f ca="1">IFERROR(__xludf.DUMMYFUNCTION("""COMPUTED_VALUE"""),95)</f>
        <v>95</v>
      </c>
      <c r="B143" s="69">
        <v>46529</v>
      </c>
    </row>
    <row r="144" spans="1:2" ht="12.5" hidden="1">
      <c r="A144" s="5">
        <f ca="1">IFERROR(__xludf.DUMMYFUNCTION("""COMPUTED_VALUE"""),95)</f>
        <v>95</v>
      </c>
      <c r="B144" s="69">
        <v>46530</v>
      </c>
    </row>
    <row r="145" spans="1:2" ht="12.5" hidden="1">
      <c r="A145" s="5">
        <f ca="1">IFERROR(__xludf.DUMMYFUNCTION("""COMPUTED_VALUE"""),95)</f>
        <v>95</v>
      </c>
      <c r="B145" s="69">
        <v>46531</v>
      </c>
    </row>
    <row r="146" spans="1:2" ht="12.5" hidden="1">
      <c r="A146" s="5">
        <f ca="1">IFERROR(__xludf.DUMMYFUNCTION("""COMPUTED_VALUE"""),95)</f>
        <v>95</v>
      </c>
      <c r="B146" s="69">
        <v>46532</v>
      </c>
    </row>
    <row r="147" spans="1:2" ht="12.5" hidden="1">
      <c r="A147" s="5">
        <f ca="1">IFERROR(__xludf.DUMMYFUNCTION("""COMPUTED_VALUE"""),52)</f>
        <v>52</v>
      </c>
      <c r="B147" s="69">
        <v>46533</v>
      </c>
    </row>
    <row r="148" spans="1:2" ht="12.5" hidden="1">
      <c r="A148" s="5">
        <f ca="1">IFERROR(__xludf.DUMMYFUNCTION("""COMPUTED_VALUE"""),95)</f>
        <v>95</v>
      </c>
      <c r="B148" s="69">
        <v>46534</v>
      </c>
    </row>
    <row r="149" spans="1:2" ht="12.5" hidden="1">
      <c r="A149" s="5">
        <f ca="1">IFERROR(__xludf.DUMMYFUNCTION("""COMPUTED_VALUE"""),21)</f>
        <v>21</v>
      </c>
      <c r="B149" s="69">
        <v>46535</v>
      </c>
    </row>
    <row r="150" spans="1:2" ht="12.5" hidden="1">
      <c r="A150" s="5">
        <f ca="1">IFERROR(__xludf.DUMMYFUNCTION("""COMPUTED_VALUE"""),95)</f>
        <v>95</v>
      </c>
      <c r="B150" s="69">
        <v>46536</v>
      </c>
    </row>
    <row r="151" spans="1:2" ht="12.5" hidden="1">
      <c r="A151" s="5">
        <f ca="1">IFERROR(__xludf.DUMMYFUNCTION("""COMPUTED_VALUE"""),20)</f>
        <v>20</v>
      </c>
      <c r="B151" s="69">
        <v>46537</v>
      </c>
    </row>
    <row r="152" spans="1:2" ht="12.5" hidden="1">
      <c r="A152" s="5">
        <f ca="1">IFERROR(__xludf.DUMMYFUNCTION("""COMPUTED_VALUE"""),9)</f>
        <v>9</v>
      </c>
      <c r="B152" s="69">
        <v>46538</v>
      </c>
    </row>
    <row r="153" spans="1:2" ht="12.5">
      <c r="A153" s="5">
        <f ca="1">IFERROR(__xludf.DUMMYFUNCTION("""COMPUTED_VALUE"""),25)</f>
        <v>25</v>
      </c>
      <c r="B153" s="69">
        <v>46539</v>
      </c>
    </row>
    <row r="154" spans="1:2" ht="12.5" hidden="1">
      <c r="A154" s="5">
        <f ca="1">IFERROR(__xludf.DUMMYFUNCTION("""COMPUTED_VALUE"""),5)</f>
        <v>5</v>
      </c>
      <c r="B154" s="69">
        <v>46540</v>
      </c>
    </row>
    <row r="155" spans="1:2" ht="12.5" hidden="1">
      <c r="A155" s="5">
        <f ca="1">IFERROR(__xludf.DUMMYFUNCTION("""COMPUTED_VALUE"""),95)</f>
        <v>95</v>
      </c>
      <c r="B155" s="69">
        <v>46541</v>
      </c>
    </row>
    <row r="156" spans="1:2" ht="12.5" hidden="1">
      <c r="A156" s="5">
        <f ca="1">IFERROR(__xludf.DUMMYFUNCTION("""COMPUTED_VALUE"""),29)</f>
        <v>29</v>
      </c>
      <c r="B156" s="69">
        <v>46542</v>
      </c>
    </row>
    <row r="157" spans="1:2" ht="12.5" hidden="1">
      <c r="A157" s="5">
        <f ca="1">IFERROR(__xludf.DUMMYFUNCTION("""COMPUTED_VALUE"""),58)</f>
        <v>58</v>
      </c>
      <c r="B157" s="69">
        <v>46543</v>
      </c>
    </row>
    <row r="158" spans="1:2" ht="12.5">
      <c r="A158" s="5">
        <f ca="1">IFERROR(__xludf.DUMMYFUNCTION("""COMPUTED_VALUE"""),52)</f>
        <v>52</v>
      </c>
      <c r="B158" s="69">
        <v>46544</v>
      </c>
    </row>
    <row r="159" spans="1:2" ht="12.5" hidden="1">
      <c r="A159" s="5">
        <f ca="1">IFERROR(__xludf.DUMMYFUNCTION("""COMPUTED_VALUE"""),53)</f>
        <v>53</v>
      </c>
      <c r="B159" s="69">
        <v>46545</v>
      </c>
    </row>
    <row r="160" spans="1:2" ht="12.5" hidden="1">
      <c r="A160" s="5">
        <f ca="1">IFERROR(__xludf.DUMMYFUNCTION("""COMPUTED_VALUE"""),21)</f>
        <v>21</v>
      </c>
      <c r="B160" s="69">
        <v>46546</v>
      </c>
    </row>
    <row r="161" spans="1:2" ht="12.5" hidden="1">
      <c r="A161" s="5">
        <f ca="1">IFERROR(__xludf.DUMMYFUNCTION("""COMPUTED_VALUE"""),18)</f>
        <v>18</v>
      </c>
      <c r="B161" s="69">
        <v>46547</v>
      </c>
    </row>
    <row r="162" spans="1:2" ht="12.5" hidden="1">
      <c r="A162" s="5">
        <f ca="1">IFERROR(__xludf.DUMMYFUNCTION("""COMPUTED_VALUE"""),52)</f>
        <v>52</v>
      </c>
      <c r="B162" s="69">
        <v>46548</v>
      </c>
    </row>
    <row r="163" spans="1:2" ht="12.5" hidden="1">
      <c r="A163" s="5">
        <f ca="1">IFERROR(__xludf.DUMMYFUNCTION("""COMPUTED_VALUE"""),20)</f>
        <v>20</v>
      </c>
      <c r="B163" s="69">
        <v>46549</v>
      </c>
    </row>
    <row r="164" spans="1:2" ht="12.5" hidden="1">
      <c r="A164" s="5">
        <f ca="1">IFERROR(__xludf.DUMMYFUNCTION("""COMPUTED_VALUE"""),71)</f>
        <v>71</v>
      </c>
      <c r="B164" s="69">
        <v>46550</v>
      </c>
    </row>
    <row r="165" spans="1:2" ht="12.5" hidden="1">
      <c r="A165" s="5">
        <f ca="1">IFERROR(__xludf.DUMMYFUNCTION("""COMPUTED_VALUE"""),95)</f>
        <v>95</v>
      </c>
      <c r="B165" s="69">
        <v>46551</v>
      </c>
    </row>
    <row r="166" spans="1:2" ht="12.5" hidden="1">
      <c r="A166" s="5">
        <f ca="1">IFERROR(__xludf.DUMMYFUNCTION("""COMPUTED_VALUE"""),51)</f>
        <v>51</v>
      </c>
      <c r="B166" s="69">
        <v>46552</v>
      </c>
    </row>
    <row r="167" spans="1:2" ht="12.5" hidden="1">
      <c r="A167" s="5">
        <f ca="1">IFERROR(__xludf.DUMMYFUNCTION("""COMPUTED_VALUE"""),32)</f>
        <v>32</v>
      </c>
      <c r="B167" s="69">
        <v>46553</v>
      </c>
    </row>
    <row r="168" spans="1:2" ht="12.5" hidden="1">
      <c r="A168" s="5">
        <f ca="1">IFERROR(__xludf.DUMMYFUNCTION("""COMPUTED_VALUE"""),29)</f>
        <v>29</v>
      </c>
      <c r="B168" s="69">
        <v>46554</v>
      </c>
    </row>
    <row r="169" spans="1:2" ht="12.5" hidden="1">
      <c r="A169" s="5">
        <f ca="1">IFERROR(__xludf.DUMMYFUNCTION("""COMPUTED_VALUE"""),45)</f>
        <v>45</v>
      </c>
      <c r="B169" s="69">
        <v>46555</v>
      </c>
    </row>
    <row r="170" spans="1:2" ht="12.5" hidden="1">
      <c r="A170" s="5">
        <f ca="1">IFERROR(__xludf.DUMMYFUNCTION("""COMPUTED_VALUE"""),31)</f>
        <v>31</v>
      </c>
      <c r="B170" s="69">
        <v>46556</v>
      </c>
    </row>
    <row r="171" spans="1:2" ht="12.5" hidden="1">
      <c r="A171" s="5">
        <f ca="1">IFERROR(__xludf.DUMMYFUNCTION("""COMPUTED_VALUE"""),95)</f>
        <v>95</v>
      </c>
      <c r="B171" s="69">
        <v>46557</v>
      </c>
    </row>
    <row r="172" spans="1:2" ht="12.5" hidden="1">
      <c r="A172" s="5">
        <f ca="1">IFERROR(__xludf.DUMMYFUNCTION("""COMPUTED_VALUE"""),95)</f>
        <v>95</v>
      </c>
      <c r="B172" s="69">
        <v>46558</v>
      </c>
    </row>
    <row r="173" spans="1:2" ht="12.5" hidden="1">
      <c r="A173" s="5">
        <f ca="1">IFERROR(__xludf.DUMMYFUNCTION("""COMPUTED_VALUE"""),95)</f>
        <v>95</v>
      </c>
      <c r="B173" s="69">
        <v>46559</v>
      </c>
    </row>
    <row r="174" spans="1:2" ht="12.5" hidden="1">
      <c r="A174" s="5">
        <f ca="1">IFERROR(__xludf.DUMMYFUNCTION("""COMPUTED_VALUE"""),95)</f>
        <v>95</v>
      </c>
      <c r="B174" s="69">
        <v>46560</v>
      </c>
    </row>
    <row r="175" spans="1:2" ht="12.5" hidden="1">
      <c r="A175" s="5">
        <f ca="1">IFERROR(__xludf.DUMMYFUNCTION("""COMPUTED_VALUE"""),51)</f>
        <v>51</v>
      </c>
      <c r="B175" s="69">
        <v>46561</v>
      </c>
    </row>
    <row r="176" spans="1:2" ht="12.5" hidden="1">
      <c r="A176" s="5">
        <f ca="1">IFERROR(__xludf.DUMMYFUNCTION("""COMPUTED_VALUE"""),95)</f>
        <v>95</v>
      </c>
      <c r="B176" s="69">
        <v>46562</v>
      </c>
    </row>
    <row r="177" spans="1:2" ht="12.5" hidden="1">
      <c r="A177" s="5">
        <f ca="1">IFERROR(__xludf.DUMMYFUNCTION("""COMPUTED_VALUE"""),63)</f>
        <v>63</v>
      </c>
      <c r="B177" s="69">
        <v>46563</v>
      </c>
    </row>
    <row r="178" spans="1:2" ht="12.5" hidden="1">
      <c r="A178" s="5">
        <f ca="1">IFERROR(__xludf.DUMMYFUNCTION("""COMPUTED_VALUE"""),95)</f>
        <v>95</v>
      </c>
      <c r="B178" s="69">
        <v>46564</v>
      </c>
    </row>
    <row r="179" spans="1:2" ht="12.5" hidden="1">
      <c r="A179" s="5">
        <f ca="1">IFERROR(__xludf.DUMMYFUNCTION("""COMPUTED_VALUE"""),95)</f>
        <v>95</v>
      </c>
      <c r="B179" s="69">
        <v>46565</v>
      </c>
    </row>
    <row r="180" spans="1:2" ht="12.5" hidden="1">
      <c r="A180" s="5">
        <f ca="1">IFERROR(__xludf.DUMMYFUNCTION("""COMPUTED_VALUE"""),28)</f>
        <v>28</v>
      </c>
      <c r="B180" s="69">
        <v>46566</v>
      </c>
    </row>
    <row r="181" spans="1:2" ht="12.5" hidden="1">
      <c r="A181" s="5">
        <f ca="1">IFERROR(__xludf.DUMMYFUNCTION("""COMPUTED_VALUE"""),7)</f>
        <v>7</v>
      </c>
      <c r="B181" s="69">
        <v>46567</v>
      </c>
    </row>
    <row r="182" spans="1:2" ht="12.5" hidden="1">
      <c r="A182" s="5">
        <f ca="1">IFERROR(__xludf.DUMMYFUNCTION("""COMPUTED_VALUE"""),95)</f>
        <v>95</v>
      </c>
      <c r="B182" s="69">
        <v>46568</v>
      </c>
    </row>
    <row r="183" spans="1:2" ht="12.5" hidden="1">
      <c r="A183" s="5">
        <f ca="1">IFERROR(__xludf.DUMMYFUNCTION("""COMPUTED_VALUE"""),95)</f>
        <v>95</v>
      </c>
      <c r="B183" s="69">
        <v>46569</v>
      </c>
    </row>
    <row r="184" spans="1:2" ht="12.5" hidden="1">
      <c r="A184" s="5">
        <f ca="1">IFERROR(__xludf.DUMMYFUNCTION("""COMPUTED_VALUE"""),12)</f>
        <v>12</v>
      </c>
      <c r="B184" s="69">
        <v>46570</v>
      </c>
    </row>
    <row r="185" spans="1:2" ht="12.5" hidden="1">
      <c r="A185" s="5">
        <f ca="1">IFERROR(__xludf.DUMMYFUNCTION("""COMPUTED_VALUE"""),29)</f>
        <v>29</v>
      </c>
      <c r="B185" s="69">
        <v>46571</v>
      </c>
    </row>
    <row r="186" spans="1:2" ht="12.5" hidden="1">
      <c r="A186" s="5">
        <f ca="1">IFERROR(__xludf.DUMMYFUNCTION("""COMPUTED_VALUE"""),2)</f>
        <v>2</v>
      </c>
      <c r="B186" s="69">
        <v>46572</v>
      </c>
    </row>
    <row r="187" spans="1:2" ht="12.5" hidden="1">
      <c r="A187" s="5">
        <f ca="1">IFERROR(__xludf.DUMMYFUNCTION("""COMPUTED_VALUE"""),31)</f>
        <v>31</v>
      </c>
      <c r="B187" s="69">
        <v>46573</v>
      </c>
    </row>
    <row r="188" spans="1:2" ht="12.5" hidden="1">
      <c r="A188" s="5">
        <f ca="1">IFERROR(__xludf.DUMMYFUNCTION("""COMPUTED_VALUE"""),67)</f>
        <v>67</v>
      </c>
      <c r="B188" s="69">
        <v>46574</v>
      </c>
    </row>
    <row r="189" spans="1:2" ht="12.5" hidden="1">
      <c r="A189" s="5">
        <f ca="1">IFERROR(__xludf.DUMMYFUNCTION("""COMPUTED_VALUE"""),95)</f>
        <v>95</v>
      </c>
      <c r="B189" s="69">
        <v>46575</v>
      </c>
    </row>
    <row r="190" spans="1:2" ht="12.5" hidden="1">
      <c r="A190" s="5">
        <f ca="1">IFERROR(__xludf.DUMMYFUNCTION("""COMPUTED_VALUE"""),22)</f>
        <v>22</v>
      </c>
      <c r="B190" s="69">
        <v>46576</v>
      </c>
    </row>
    <row r="191" spans="1:2" ht="12.5" hidden="1">
      <c r="A191" s="5">
        <f ca="1">IFERROR(__xludf.DUMMYFUNCTION("""COMPUTED_VALUE"""),16)</f>
        <v>16</v>
      </c>
      <c r="B191" s="69">
        <v>46577</v>
      </c>
    </row>
    <row r="192" spans="1:2" ht="12.5" hidden="1">
      <c r="A192" s="5">
        <f ca="1">IFERROR(__xludf.DUMMYFUNCTION("""COMPUTED_VALUE"""),71)</f>
        <v>71</v>
      </c>
      <c r="B192" s="69">
        <v>46578</v>
      </c>
    </row>
    <row r="193" spans="1:2" ht="12.5" hidden="1">
      <c r="A193" s="5">
        <f ca="1">IFERROR(__xludf.DUMMYFUNCTION("""COMPUTED_VALUE"""),64)</f>
        <v>64</v>
      </c>
      <c r="B193" s="69">
        <v>46579</v>
      </c>
    </row>
    <row r="194" spans="1:2" ht="12.5" hidden="1">
      <c r="A194" s="5">
        <f ca="1">IFERROR(__xludf.DUMMYFUNCTION("""COMPUTED_VALUE"""),29)</f>
        <v>29</v>
      </c>
      <c r="B194" s="69">
        <v>46580</v>
      </c>
    </row>
    <row r="195" spans="1:2" ht="12.5" hidden="1">
      <c r="A195" s="5">
        <f ca="1">IFERROR(__xludf.DUMMYFUNCTION("""COMPUTED_VALUE"""),57)</f>
        <v>57</v>
      </c>
      <c r="B195" s="69">
        <v>46581</v>
      </c>
    </row>
    <row r="196" spans="1:2" ht="12.5" hidden="1">
      <c r="A196" s="5">
        <f ca="1">IFERROR(__xludf.DUMMYFUNCTION("""COMPUTED_VALUE"""),95)</f>
        <v>95</v>
      </c>
      <c r="B196" s="69">
        <v>46582</v>
      </c>
    </row>
    <row r="197" spans="1:2" ht="12.5" hidden="1">
      <c r="A197" s="5">
        <f ca="1">IFERROR(__xludf.DUMMYFUNCTION("""COMPUTED_VALUE"""),69)</f>
        <v>69</v>
      </c>
      <c r="B197" s="69">
        <v>46583</v>
      </c>
    </row>
    <row r="198" spans="1:2" ht="12.5" hidden="1">
      <c r="A198" s="5">
        <f ca="1">IFERROR(__xludf.DUMMYFUNCTION("""COMPUTED_VALUE"""),64)</f>
        <v>64</v>
      </c>
      <c r="B198" s="69">
        <v>46584</v>
      </c>
    </row>
    <row r="199" spans="1:2" ht="12.5" hidden="1">
      <c r="A199" s="5">
        <f ca="1">IFERROR(__xludf.DUMMYFUNCTION("""COMPUTED_VALUE"""),95)</f>
        <v>95</v>
      </c>
      <c r="B199" s="69">
        <v>46585</v>
      </c>
    </row>
    <row r="200" spans="1:2" ht="12.5" hidden="1">
      <c r="A200" s="5">
        <f ca="1">IFERROR(__xludf.DUMMYFUNCTION("""COMPUTED_VALUE"""),31)</f>
        <v>31</v>
      </c>
      <c r="B200" s="69">
        <v>46586</v>
      </c>
    </row>
    <row r="201" spans="1:2" ht="12.5" hidden="1">
      <c r="A201" s="5">
        <f ca="1">IFERROR(__xludf.DUMMYFUNCTION("""COMPUTED_VALUE"""),52)</f>
        <v>52</v>
      </c>
      <c r="B201" s="69">
        <v>46587</v>
      </c>
    </row>
    <row r="202" spans="1:2" ht="12.5" hidden="1">
      <c r="A202" s="5">
        <f ca="1">IFERROR(__xludf.DUMMYFUNCTION("""COMPUTED_VALUE"""),48)</f>
        <v>48</v>
      </c>
      <c r="B202" s="69">
        <v>46588</v>
      </c>
    </row>
    <row r="203" spans="1:2" ht="12.5" hidden="1">
      <c r="A203" s="5">
        <f ca="1">IFERROR(__xludf.DUMMYFUNCTION("""COMPUTED_VALUE"""),21)</f>
        <v>21</v>
      </c>
      <c r="B203" s="69">
        <v>46589</v>
      </c>
    </row>
    <row r="204" spans="1:2" ht="12.5" hidden="1">
      <c r="A204" s="5">
        <f ca="1">IFERROR(__xludf.DUMMYFUNCTION("""COMPUTED_VALUE"""),26)</f>
        <v>26</v>
      </c>
      <c r="B204" s="69">
        <v>46590</v>
      </c>
    </row>
    <row r="205" spans="1:2" ht="12.5" hidden="1">
      <c r="A205" s="5">
        <f ca="1">IFERROR(__xludf.DUMMYFUNCTION("""COMPUTED_VALUE"""),95)</f>
        <v>95</v>
      </c>
      <c r="B205" s="69">
        <v>46591</v>
      </c>
    </row>
    <row r="206" spans="1:2" ht="12.5" hidden="1">
      <c r="A206" s="5">
        <f ca="1">IFERROR(__xludf.DUMMYFUNCTION("""COMPUTED_VALUE"""),95)</f>
        <v>95</v>
      </c>
      <c r="B206" s="69">
        <v>46592</v>
      </c>
    </row>
    <row r="207" spans="1:2" ht="12.5" hidden="1">
      <c r="A207" s="5">
        <f ca="1">IFERROR(__xludf.DUMMYFUNCTION("""COMPUTED_VALUE"""),32)</f>
        <v>32</v>
      </c>
      <c r="B207" s="69">
        <v>46593</v>
      </c>
    </row>
    <row r="208" spans="1:2" ht="12.5" hidden="1">
      <c r="A208" s="5">
        <f ca="1">IFERROR(__xludf.DUMMYFUNCTION("""COMPUTED_VALUE"""),70)</f>
        <v>70</v>
      </c>
      <c r="B208" s="69">
        <v>46594</v>
      </c>
    </row>
    <row r="209" spans="1:2" ht="12.5" hidden="1">
      <c r="A209" s="5">
        <f ca="1">IFERROR(__xludf.DUMMYFUNCTION("""COMPUTED_VALUE"""),11)</f>
        <v>11</v>
      </c>
      <c r="B209" s="69">
        <v>46595</v>
      </c>
    </row>
    <row r="210" spans="1:2" ht="12.5" hidden="1">
      <c r="A210" s="5">
        <f ca="1">IFERROR(__xludf.DUMMYFUNCTION("""COMPUTED_VALUE"""),29)</f>
        <v>29</v>
      </c>
      <c r="B210" s="69">
        <v>46596</v>
      </c>
    </row>
    <row r="211" spans="1:2" ht="12.5" hidden="1">
      <c r="A211" s="5">
        <f ca="1">IFERROR(__xludf.DUMMYFUNCTION("""COMPUTED_VALUE"""),95)</f>
        <v>95</v>
      </c>
      <c r="B211" s="69">
        <v>46597</v>
      </c>
    </row>
    <row r="212" spans="1:2" ht="12.5" hidden="1">
      <c r="A212" s="5">
        <f ca="1">IFERROR(__xludf.DUMMYFUNCTION("""COMPUTED_VALUE"""),95)</f>
        <v>95</v>
      </c>
      <c r="B212" s="69">
        <v>46598</v>
      </c>
    </row>
    <row r="213" spans="1:2" ht="12.5" hidden="1">
      <c r="A213" s="5">
        <f ca="1">IFERROR(__xludf.DUMMYFUNCTION("""COMPUTED_VALUE"""),64)</f>
        <v>64</v>
      </c>
      <c r="B213" s="69">
        <v>46599</v>
      </c>
    </row>
    <row r="214" spans="1:2" ht="12.5" hidden="1">
      <c r="A214" s="5">
        <f ca="1">IFERROR(__xludf.DUMMYFUNCTION("""COMPUTED_VALUE"""),5)</f>
        <v>5</v>
      </c>
      <c r="B214" s="69">
        <v>46600</v>
      </c>
    </row>
    <row r="215" spans="1:2" ht="12.5" hidden="1">
      <c r="A215" s="5">
        <f ca="1">IFERROR(__xludf.DUMMYFUNCTION("""COMPUTED_VALUE"""),12)</f>
        <v>12</v>
      </c>
      <c r="B215" s="69">
        <v>46601</v>
      </c>
    </row>
    <row r="216" spans="1:2" ht="12.5" hidden="1">
      <c r="A216" s="5">
        <f ca="1">IFERROR(__xludf.DUMMYFUNCTION("""COMPUTED_VALUE"""),16)</f>
        <v>16</v>
      </c>
      <c r="B216" s="69">
        <v>46602</v>
      </c>
    </row>
    <row r="217" spans="1:2" ht="12.5" hidden="1">
      <c r="A217" s="5">
        <f ca="1">IFERROR(__xludf.DUMMYFUNCTION("""COMPUTED_VALUE"""),39)</f>
        <v>39</v>
      </c>
      <c r="B217" s="69">
        <v>46603</v>
      </c>
    </row>
    <row r="218" spans="1:2" ht="12.5" hidden="1">
      <c r="A218" s="5">
        <f ca="1">IFERROR(__xludf.DUMMYFUNCTION("""COMPUTED_VALUE"""),5)</f>
        <v>5</v>
      </c>
      <c r="B218" s="69">
        <v>46604</v>
      </c>
    </row>
    <row r="219" spans="1:2" ht="12.5" hidden="1">
      <c r="A219" s="5">
        <f ca="1">IFERROR(__xludf.DUMMYFUNCTION("""COMPUTED_VALUE"""),25)</f>
        <v>25</v>
      </c>
      <c r="B219" s="69">
        <v>46605</v>
      </c>
    </row>
    <row r="220" spans="1:2" ht="12.5" hidden="1">
      <c r="A220" s="5">
        <f ca="1">IFERROR(__xludf.DUMMYFUNCTION("""COMPUTED_VALUE"""),42)</f>
        <v>42</v>
      </c>
      <c r="B220" s="69">
        <v>46606</v>
      </c>
    </row>
    <row r="221" spans="1:2" ht="12.5">
      <c r="A221" s="5">
        <f ca="1">IFERROR(__xludf.DUMMYFUNCTION("""COMPUTED_VALUE"""),43)</f>
        <v>43</v>
      </c>
      <c r="B221" s="69">
        <v>46607</v>
      </c>
    </row>
    <row r="222" spans="1:2" ht="12.5" hidden="1">
      <c r="A222" s="5">
        <f ca="1">IFERROR(__xludf.DUMMYFUNCTION("""COMPUTED_VALUE"""),95)</f>
        <v>95</v>
      </c>
      <c r="B222" s="69">
        <v>46608</v>
      </c>
    </row>
    <row r="223" spans="1:2" ht="12.5" hidden="1">
      <c r="A223" s="5">
        <f ca="1">IFERROR(__xludf.DUMMYFUNCTION("""COMPUTED_VALUE"""),41)</f>
        <v>41</v>
      </c>
      <c r="B223" s="69">
        <v>46609</v>
      </c>
    </row>
    <row r="224" spans="1:2" ht="12.5" hidden="1">
      <c r="A224" s="5">
        <f ca="1">IFERROR(__xludf.DUMMYFUNCTION("""COMPUTED_VALUE"""),20)</f>
        <v>20</v>
      </c>
      <c r="B224" s="69">
        <v>46610</v>
      </c>
    </row>
    <row r="225" spans="1:2" ht="12.5" hidden="1">
      <c r="A225" s="5">
        <f ca="1">IFERROR(__xludf.DUMMYFUNCTION("""COMPUTED_VALUE"""),95)</f>
        <v>95</v>
      </c>
      <c r="B225" s="69">
        <v>46611</v>
      </c>
    </row>
    <row r="226" spans="1:2" ht="12.5" hidden="1">
      <c r="A226" s="5">
        <f ca="1">IFERROR(__xludf.DUMMYFUNCTION("""COMPUTED_VALUE"""),52)</f>
        <v>52</v>
      </c>
      <c r="B226" s="69">
        <v>46612</v>
      </c>
    </row>
    <row r="227" spans="1:2" ht="12.5" hidden="1">
      <c r="A227" s="5">
        <f ca="1">IFERROR(__xludf.DUMMYFUNCTION("""COMPUTED_VALUE"""),52)</f>
        <v>52</v>
      </c>
      <c r="B227" s="69">
        <v>46613</v>
      </c>
    </row>
    <row r="228" spans="1:2" ht="12.5" hidden="1">
      <c r="A228" s="5">
        <f ca="1">IFERROR(__xludf.DUMMYFUNCTION("""COMPUTED_VALUE"""),20)</f>
        <v>20</v>
      </c>
      <c r="B228" s="69">
        <v>46614</v>
      </c>
    </row>
    <row r="229" spans="1:2" ht="12.5" hidden="1">
      <c r="A229" s="5">
        <f ca="1">IFERROR(__xludf.DUMMYFUNCTION("""COMPUTED_VALUE"""),23)</f>
        <v>23</v>
      </c>
      <c r="B229" s="69">
        <v>46615</v>
      </c>
    </row>
    <row r="230" spans="1:2" ht="12.5" hidden="1">
      <c r="A230" s="5">
        <f ca="1">IFERROR(__xludf.DUMMYFUNCTION("""COMPUTED_VALUE"""),52)</f>
        <v>52</v>
      </c>
      <c r="B230" s="69">
        <v>46616</v>
      </c>
    </row>
    <row r="231" spans="1:2" ht="12.5" hidden="1">
      <c r="A231" s="5">
        <f ca="1">IFERROR(__xludf.DUMMYFUNCTION("""COMPUTED_VALUE"""),52)</f>
        <v>52</v>
      </c>
      <c r="B231" s="69">
        <v>46617</v>
      </c>
    </row>
    <row r="232" spans="1:2" ht="12.5" hidden="1">
      <c r="A232" s="5">
        <f ca="1">IFERROR(__xludf.DUMMYFUNCTION("""COMPUTED_VALUE"""),46)</f>
        <v>46</v>
      </c>
      <c r="B232" s="69">
        <v>46618</v>
      </c>
    </row>
    <row r="233" spans="1:2" ht="12.5" hidden="1">
      <c r="A233" s="5">
        <f ca="1">IFERROR(__xludf.DUMMYFUNCTION("""COMPUTED_VALUE"""),23)</f>
        <v>23</v>
      </c>
      <c r="B233" s="69">
        <v>46619</v>
      </c>
    </row>
    <row r="234" spans="1:2" ht="12.5" hidden="1">
      <c r="A234" s="5">
        <f ca="1">IFERROR(__xludf.DUMMYFUNCTION("""COMPUTED_VALUE"""),56)</f>
        <v>56</v>
      </c>
      <c r="B234" s="69">
        <v>46620</v>
      </c>
    </row>
    <row r="235" spans="1:2" ht="12.5" hidden="1">
      <c r="A235" s="5">
        <f ca="1">IFERROR(__xludf.DUMMYFUNCTION("""COMPUTED_VALUE"""),63)</f>
        <v>63</v>
      </c>
      <c r="B235" s="69">
        <v>46621</v>
      </c>
    </row>
    <row r="236" spans="1:2" ht="12.5" hidden="1">
      <c r="A236" s="5">
        <f ca="1">IFERROR(__xludf.DUMMYFUNCTION("""COMPUTED_VALUE"""),95)</f>
        <v>95</v>
      </c>
      <c r="B236" s="69">
        <v>46622</v>
      </c>
    </row>
    <row r="237" spans="1:2" ht="12.5" hidden="1">
      <c r="A237" s="5">
        <f ca="1">IFERROR(__xludf.DUMMYFUNCTION("""COMPUTED_VALUE"""),68)</f>
        <v>68</v>
      </c>
      <c r="B237" s="69">
        <v>46623</v>
      </c>
    </row>
    <row r="238" spans="1:2" ht="12.5" hidden="1">
      <c r="A238" s="5">
        <f ca="1">IFERROR(__xludf.DUMMYFUNCTION("""COMPUTED_VALUE"""),23)</f>
        <v>23</v>
      </c>
      <c r="B238" s="69">
        <v>46624</v>
      </c>
    </row>
    <row r="239" spans="1:2" ht="12.5" hidden="1">
      <c r="A239" s="5">
        <f ca="1">IFERROR(__xludf.DUMMYFUNCTION("""COMPUTED_VALUE"""),45)</f>
        <v>45</v>
      </c>
      <c r="B239" s="69">
        <v>46625</v>
      </c>
    </row>
    <row r="240" spans="1:2" ht="12.5" hidden="1">
      <c r="A240" s="5">
        <f ca="1">IFERROR(__xludf.DUMMYFUNCTION("""COMPUTED_VALUE"""),39)</f>
        <v>39</v>
      </c>
      <c r="B240" s="69">
        <v>46626</v>
      </c>
    </row>
    <row r="241" spans="1:2" ht="12.5" hidden="1">
      <c r="A241" s="5">
        <f ca="1">IFERROR(__xludf.DUMMYFUNCTION("""COMPUTED_VALUE"""),45)</f>
        <v>45</v>
      </c>
      <c r="B241" s="69">
        <v>46627</v>
      </c>
    </row>
    <row r="242" spans="1:2" ht="12.5" hidden="1">
      <c r="A242" s="5">
        <f ca="1">IFERROR(__xludf.DUMMYFUNCTION("""COMPUTED_VALUE"""),70)</f>
        <v>70</v>
      </c>
      <c r="B242" s="69">
        <v>46628</v>
      </c>
    </row>
    <row r="243" spans="1:2" ht="12.5" hidden="1">
      <c r="A243" s="5">
        <f ca="1">IFERROR(__xludf.DUMMYFUNCTION("""COMPUTED_VALUE"""),22)</f>
        <v>22</v>
      </c>
      <c r="B243" s="69">
        <v>46629</v>
      </c>
    </row>
    <row r="244" spans="1:2" ht="12.5" hidden="1">
      <c r="A244" s="5">
        <f ca="1">IFERROR(__xludf.DUMMYFUNCTION("""COMPUTED_VALUE"""),32)</f>
        <v>32</v>
      </c>
      <c r="B244" s="69">
        <v>46630</v>
      </c>
    </row>
    <row r="245" spans="1:2" ht="12.5" hidden="1">
      <c r="A245" s="5">
        <f ca="1">IFERROR(__xludf.DUMMYFUNCTION("""COMPUTED_VALUE"""),16)</f>
        <v>16</v>
      </c>
      <c r="B245" s="69">
        <v>46631</v>
      </c>
    </row>
    <row r="246" spans="1:2" ht="12.5" hidden="1">
      <c r="A246" s="5">
        <f ca="1">IFERROR(__xludf.DUMMYFUNCTION("""COMPUTED_VALUE"""),59)</f>
        <v>59</v>
      </c>
      <c r="B246" s="69">
        <v>46632</v>
      </c>
    </row>
    <row r="247" spans="1:2" ht="12.5" hidden="1">
      <c r="A247" s="5">
        <f ca="1">IFERROR(__xludf.DUMMYFUNCTION("""COMPUTED_VALUE"""),31)</f>
        <v>31</v>
      </c>
      <c r="B247" s="69">
        <v>46633</v>
      </c>
    </row>
    <row r="248" spans="1:2" ht="12.5" hidden="1">
      <c r="A248" s="5">
        <f ca="1">IFERROR(__xludf.DUMMYFUNCTION("""COMPUTED_VALUE"""),29)</f>
        <v>29</v>
      </c>
      <c r="B248" s="69">
        <v>46634</v>
      </c>
    </row>
    <row r="249" spans="1:2" ht="12.5" hidden="1">
      <c r="A249" s="5">
        <f ca="1">IFERROR(__xludf.DUMMYFUNCTION("""COMPUTED_VALUE"""),52)</f>
        <v>52</v>
      </c>
      <c r="B249" s="69">
        <v>46635</v>
      </c>
    </row>
    <row r="250" spans="1:2" ht="12.5" hidden="1">
      <c r="A250" s="5">
        <f ca="1">IFERROR(__xludf.DUMMYFUNCTION("""COMPUTED_VALUE"""),37)</f>
        <v>37</v>
      </c>
      <c r="B250" s="69">
        <v>46636</v>
      </c>
    </row>
    <row r="251" spans="1:2" ht="12.5" hidden="1">
      <c r="A251" s="5">
        <f ca="1">IFERROR(__xludf.DUMMYFUNCTION("""COMPUTED_VALUE"""),6)</f>
        <v>6</v>
      </c>
      <c r="B251" s="69">
        <v>46637</v>
      </c>
    </row>
    <row r="252" spans="1:2" ht="12.5" hidden="1">
      <c r="A252" s="5">
        <f ca="1">IFERROR(__xludf.DUMMYFUNCTION("""COMPUTED_VALUE"""),78)</f>
        <v>78</v>
      </c>
      <c r="B252" s="69">
        <v>46638</v>
      </c>
    </row>
    <row r="253" spans="1:2" ht="12.5">
      <c r="A253" s="5">
        <f ca="1">IFERROR(__xludf.DUMMYFUNCTION("""COMPUTED_VALUE"""),37)</f>
        <v>37</v>
      </c>
      <c r="B253" s="69">
        <v>46639</v>
      </c>
    </row>
    <row r="254" spans="1:2" ht="12.5" hidden="1">
      <c r="A254" s="5">
        <f ca="1">IFERROR(__xludf.DUMMYFUNCTION("""COMPUTED_VALUE"""),52)</f>
        <v>52</v>
      </c>
      <c r="B254" s="69">
        <v>46640</v>
      </c>
    </row>
    <row r="255" spans="1:2" ht="12.5" hidden="1">
      <c r="A255" s="5">
        <f ca="1">IFERROR(__xludf.DUMMYFUNCTION("""COMPUTED_VALUE"""),3)</f>
        <v>3</v>
      </c>
      <c r="B255" s="69">
        <v>46641</v>
      </c>
    </row>
    <row r="256" spans="1:2" ht="12.5" hidden="1">
      <c r="A256" s="5">
        <f ca="1">IFERROR(__xludf.DUMMYFUNCTION("""COMPUTED_VALUE"""),51)</f>
        <v>51</v>
      </c>
      <c r="B256" s="69">
        <v>46642</v>
      </c>
    </row>
    <row r="257" spans="1:2" ht="12.5" hidden="1">
      <c r="A257" s="5">
        <f ca="1">IFERROR(__xludf.DUMMYFUNCTION("""COMPUTED_VALUE"""),41)</f>
        <v>41</v>
      </c>
      <c r="B257" s="69">
        <v>46643</v>
      </c>
    </row>
    <row r="258" spans="1:2" ht="12.5" hidden="1">
      <c r="A258" s="5">
        <f ca="1">IFERROR(__xludf.DUMMYFUNCTION("""COMPUTED_VALUE"""),67)</f>
        <v>67</v>
      </c>
      <c r="B258" s="69">
        <v>46644</v>
      </c>
    </row>
    <row r="259" spans="1:2" ht="12.5">
      <c r="A259" s="5">
        <f ca="1">IFERROR(__xludf.DUMMYFUNCTION("""COMPUTED_VALUE"""),2)</f>
        <v>2</v>
      </c>
      <c r="B259" s="69">
        <v>46645</v>
      </c>
    </row>
    <row r="260" spans="1:2" ht="12.5" hidden="1">
      <c r="A260" s="5">
        <f ca="1">IFERROR(__xludf.DUMMYFUNCTION("""COMPUTED_VALUE"""),32)</f>
        <v>32</v>
      </c>
      <c r="B260" s="69">
        <v>46646</v>
      </c>
    </row>
    <row r="261" spans="1:2" ht="12.5" hidden="1">
      <c r="A261" s="5">
        <f ca="1">IFERROR(__xludf.DUMMYFUNCTION("""COMPUTED_VALUE"""),45)</f>
        <v>45</v>
      </c>
      <c r="B261" s="69">
        <v>46647</v>
      </c>
    </row>
    <row r="262" spans="1:2" ht="12.5" hidden="1">
      <c r="A262" s="5">
        <f ca="1">IFERROR(__xludf.DUMMYFUNCTION("""COMPUTED_VALUE"""),95)</f>
        <v>95</v>
      </c>
      <c r="B262" s="69">
        <v>46648</v>
      </c>
    </row>
    <row r="263" spans="1:2" ht="12.5" hidden="1">
      <c r="A263" s="5">
        <f ca="1">IFERROR(__xludf.DUMMYFUNCTION("""COMPUTED_VALUE"""),7)</f>
        <v>7</v>
      </c>
      <c r="B263" s="69">
        <v>46649</v>
      </c>
    </row>
    <row r="264" spans="1:2" ht="12.5" hidden="1">
      <c r="A264" s="5">
        <f ca="1">IFERROR(__xludf.DUMMYFUNCTION("""COMPUTED_VALUE"""),38)</f>
        <v>38</v>
      </c>
      <c r="B264" s="69">
        <v>46650</v>
      </c>
    </row>
    <row r="265" spans="1:2" ht="12.5" hidden="1">
      <c r="A265" s="5">
        <f ca="1">IFERROR(__xludf.DUMMYFUNCTION("""COMPUTED_VALUE"""),95)</f>
        <v>95</v>
      </c>
      <c r="B265" s="69">
        <v>46651</v>
      </c>
    </row>
    <row r="266" spans="1:2" ht="12.5" hidden="1">
      <c r="A266" s="5">
        <f ca="1">IFERROR(__xludf.DUMMYFUNCTION("""COMPUTED_VALUE"""),71)</f>
        <v>71</v>
      </c>
      <c r="B266" s="69">
        <v>46652</v>
      </c>
    </row>
    <row r="267" spans="1:2" ht="12.5" hidden="1">
      <c r="A267" s="5">
        <f ca="1">IFERROR(__xludf.DUMMYFUNCTION("""COMPUTED_VALUE"""),95)</f>
        <v>95</v>
      </c>
      <c r="B267" s="69">
        <v>46653</v>
      </c>
    </row>
    <row r="268" spans="1:2" ht="12.5" hidden="1">
      <c r="A268" s="5">
        <f ca="1">IFERROR(__xludf.DUMMYFUNCTION("""COMPUTED_VALUE"""),51)</f>
        <v>51</v>
      </c>
      <c r="B268" s="69">
        <v>46654</v>
      </c>
    </row>
    <row r="269" spans="1:2" ht="12.5" hidden="1">
      <c r="A269" s="5">
        <f ca="1">IFERROR(__xludf.DUMMYFUNCTION("""COMPUTED_VALUE"""),41)</f>
        <v>41</v>
      </c>
      <c r="B269" s="69">
        <v>46655</v>
      </c>
    </row>
    <row r="270" spans="1:2" ht="12.5" hidden="1">
      <c r="A270" s="5">
        <f ca="1">IFERROR(__xludf.DUMMYFUNCTION("""COMPUTED_VALUE"""),95)</f>
        <v>95</v>
      </c>
      <c r="B270" s="69">
        <v>46656</v>
      </c>
    </row>
    <row r="271" spans="1:2" ht="12.5" hidden="1">
      <c r="A271" s="5">
        <f ca="1">IFERROR(__xludf.DUMMYFUNCTION("""COMPUTED_VALUE"""),41)</f>
        <v>41</v>
      </c>
      <c r="B271" s="69">
        <v>46657</v>
      </c>
    </row>
    <row r="272" spans="1:2" ht="12.5" hidden="1">
      <c r="A272" s="5">
        <f ca="1">IFERROR(__xludf.DUMMYFUNCTION("""COMPUTED_VALUE"""),95)</f>
        <v>95</v>
      </c>
      <c r="B272" s="69">
        <v>46658</v>
      </c>
    </row>
    <row r="273" spans="1:2" ht="12.5" hidden="1">
      <c r="A273" s="5">
        <f ca="1">IFERROR(__xludf.DUMMYFUNCTION("""COMPUTED_VALUE"""),25)</f>
        <v>25</v>
      </c>
      <c r="B273" s="69">
        <v>46659</v>
      </c>
    </row>
    <row r="274" spans="1:2" ht="12.5" hidden="1">
      <c r="A274" s="5">
        <f ca="1">IFERROR(__xludf.DUMMYFUNCTION("""COMPUTED_VALUE"""),29)</f>
        <v>29</v>
      </c>
      <c r="B274" s="69">
        <v>46660</v>
      </c>
    </row>
    <row r="275" spans="1:2" ht="12.5" hidden="1">
      <c r="A275" s="5">
        <f ca="1">IFERROR(__xludf.DUMMYFUNCTION("""COMPUTED_VALUE"""),31)</f>
        <v>31</v>
      </c>
      <c r="B275" s="69">
        <v>46661</v>
      </c>
    </row>
    <row r="276" spans="1:2" ht="12.5" hidden="1">
      <c r="A276" s="5">
        <f ca="1">IFERROR(__xludf.DUMMYFUNCTION("""COMPUTED_VALUE"""),31)</f>
        <v>31</v>
      </c>
      <c r="B276" s="69">
        <v>46662</v>
      </c>
    </row>
    <row r="277" spans="1:2" ht="12.5" hidden="1">
      <c r="A277" s="5">
        <f ca="1">IFERROR(__xludf.DUMMYFUNCTION("""COMPUTED_VALUE"""),95)</f>
        <v>95</v>
      </c>
      <c r="B277" s="69">
        <v>46663</v>
      </c>
    </row>
    <row r="278" spans="1:2" ht="12.5" hidden="1">
      <c r="A278" s="5">
        <f ca="1">IFERROR(__xludf.DUMMYFUNCTION("""COMPUTED_VALUE"""),31)</f>
        <v>31</v>
      </c>
      <c r="B278" s="69">
        <v>46664</v>
      </c>
    </row>
    <row r="279" spans="1:2" ht="12.5" hidden="1">
      <c r="A279" s="5">
        <f ca="1">IFERROR(__xludf.DUMMYFUNCTION("""COMPUTED_VALUE"""),30)</f>
        <v>30</v>
      </c>
      <c r="B279" s="69">
        <v>46665</v>
      </c>
    </row>
    <row r="280" spans="1:2" ht="12.5" hidden="1">
      <c r="A280" s="5">
        <f ca="1">IFERROR(__xludf.DUMMYFUNCTION("""COMPUTED_VALUE"""),29)</f>
        <v>29</v>
      </c>
      <c r="B280" s="69">
        <v>46666</v>
      </c>
    </row>
    <row r="281" spans="1:2" ht="12.5" hidden="1">
      <c r="A281" s="5">
        <f ca="1">IFERROR(__xludf.DUMMYFUNCTION("""COMPUTED_VALUE"""),95)</f>
        <v>95</v>
      </c>
      <c r="B281" s="69">
        <v>46667</v>
      </c>
    </row>
    <row r="282" spans="1:2" ht="12.5" hidden="1">
      <c r="A282" s="5">
        <f ca="1">IFERROR(__xludf.DUMMYFUNCTION("""COMPUTED_VALUE"""),95)</f>
        <v>95</v>
      </c>
      <c r="B282" s="69">
        <v>46668</v>
      </c>
    </row>
    <row r="283" spans="1:2" ht="12.5" hidden="1">
      <c r="A283" s="5">
        <f ca="1">IFERROR(__xludf.DUMMYFUNCTION("""COMPUTED_VALUE"""),95)</f>
        <v>95</v>
      </c>
      <c r="B283" s="69">
        <v>46669</v>
      </c>
    </row>
    <row r="284" spans="1:2" ht="12.5" hidden="1">
      <c r="A284" s="5">
        <f ca="1">IFERROR(__xludf.DUMMYFUNCTION("""COMPUTED_VALUE"""),95)</f>
        <v>95</v>
      </c>
      <c r="B284" s="69">
        <v>46670</v>
      </c>
    </row>
    <row r="285" spans="1:2" ht="12.5" hidden="1">
      <c r="A285" s="5">
        <f ca="1">IFERROR(__xludf.DUMMYFUNCTION("""COMPUTED_VALUE"""),52)</f>
        <v>52</v>
      </c>
      <c r="B285" s="69">
        <v>46671</v>
      </c>
    </row>
    <row r="286" spans="1:2" ht="12.5" hidden="1">
      <c r="A286" s="5">
        <f ca="1">IFERROR(__xludf.DUMMYFUNCTION("""COMPUTED_VALUE"""),95)</f>
        <v>95</v>
      </c>
      <c r="B286" s="69">
        <v>46672</v>
      </c>
    </row>
    <row r="287" spans="1:2" ht="12.5" hidden="1">
      <c r="A287" s="5">
        <f ca="1">IFERROR(__xludf.DUMMYFUNCTION("""COMPUTED_VALUE"""),95)</f>
        <v>95</v>
      </c>
      <c r="B287" s="69">
        <v>46673</v>
      </c>
    </row>
    <row r="288" spans="1:2" ht="12.5" hidden="1">
      <c r="A288" s="5">
        <f ca="1">IFERROR(__xludf.DUMMYFUNCTION("""COMPUTED_VALUE"""),29)</f>
        <v>29</v>
      </c>
      <c r="B288" s="69">
        <v>46674</v>
      </c>
    </row>
    <row r="289" spans="1:2" ht="12.5" hidden="1">
      <c r="A289" s="5">
        <f ca="1">IFERROR(__xludf.DUMMYFUNCTION("""COMPUTED_VALUE"""),43)</f>
        <v>43</v>
      </c>
      <c r="B289" s="69">
        <v>46675</v>
      </c>
    </row>
    <row r="290" spans="1:2" ht="12.5" hidden="1">
      <c r="A290" s="5">
        <f ca="1">IFERROR(__xludf.DUMMYFUNCTION("""COMPUTED_VALUE"""),31)</f>
        <v>31</v>
      </c>
      <c r="B290" s="69">
        <v>46676</v>
      </c>
    </row>
    <row r="291" spans="1:2" ht="12.5" hidden="1">
      <c r="A291" s="5">
        <f ca="1">IFERROR(__xludf.DUMMYFUNCTION("""COMPUTED_VALUE"""),15)</f>
        <v>15</v>
      </c>
      <c r="B291" s="69">
        <v>46677</v>
      </c>
    </row>
    <row r="292" spans="1:2" ht="12.5" hidden="1">
      <c r="A292" s="5">
        <f ca="1">IFERROR(__xludf.DUMMYFUNCTION("""COMPUTED_VALUE"""),29)</f>
        <v>29</v>
      </c>
      <c r="B292" s="69">
        <v>46678</v>
      </c>
    </row>
    <row r="293" spans="1:2" ht="12.5" hidden="1">
      <c r="A293" s="5">
        <f ca="1">IFERROR(__xludf.DUMMYFUNCTION("""COMPUTED_VALUE"""),52)</f>
        <v>52</v>
      </c>
      <c r="B293" s="69">
        <v>46679</v>
      </c>
    </row>
    <row r="294" spans="1:2" ht="12.5" hidden="1">
      <c r="A294" s="5">
        <f ca="1">IFERROR(__xludf.DUMMYFUNCTION("""COMPUTED_VALUE"""),32)</f>
        <v>32</v>
      </c>
      <c r="B294" s="69">
        <v>46680</v>
      </c>
    </row>
    <row r="295" spans="1:2" ht="12.5" hidden="1">
      <c r="A295" s="5">
        <f ca="1">IFERROR(__xludf.DUMMYFUNCTION("""COMPUTED_VALUE"""),95)</f>
        <v>95</v>
      </c>
      <c r="B295" s="69">
        <v>46681</v>
      </c>
    </row>
    <row r="296" spans="1:2" ht="12.5" hidden="1">
      <c r="A296" s="5">
        <f ca="1">IFERROR(__xludf.DUMMYFUNCTION("""COMPUTED_VALUE"""),95)</f>
        <v>95</v>
      </c>
      <c r="B296" s="69">
        <v>46682</v>
      </c>
    </row>
    <row r="297" spans="1:2" ht="12.5" hidden="1">
      <c r="A297" s="5">
        <f ca="1">IFERROR(__xludf.DUMMYFUNCTION("""COMPUTED_VALUE"""),95)</f>
        <v>95</v>
      </c>
      <c r="B297" s="69">
        <v>46683</v>
      </c>
    </row>
    <row r="298" spans="1:2" ht="12.5" hidden="1">
      <c r="A298" s="5">
        <f ca="1">IFERROR(__xludf.DUMMYFUNCTION("""COMPUTED_VALUE"""),95)</f>
        <v>95</v>
      </c>
      <c r="B298" s="69">
        <v>46684</v>
      </c>
    </row>
    <row r="299" spans="1:2" ht="12.5" hidden="1">
      <c r="A299" s="5">
        <f ca="1">IFERROR(__xludf.DUMMYFUNCTION("""COMPUTED_VALUE"""),52)</f>
        <v>52</v>
      </c>
      <c r="B299" s="69">
        <v>46685</v>
      </c>
    </row>
    <row r="300" spans="1:2" ht="12.5" hidden="1">
      <c r="A300" s="5">
        <f ca="1">IFERROR(__xludf.DUMMYFUNCTION("""COMPUTED_VALUE"""),5)</f>
        <v>5</v>
      </c>
      <c r="B300" s="69">
        <v>46686</v>
      </c>
    </row>
    <row r="301" spans="1:2" ht="12.5" hidden="1">
      <c r="A301" s="5">
        <f ca="1">IFERROR(__xludf.DUMMYFUNCTION("""COMPUTED_VALUE"""),95)</f>
        <v>95</v>
      </c>
      <c r="B301" s="69">
        <v>46687</v>
      </c>
    </row>
    <row r="302" spans="1:2" ht="12.5" hidden="1">
      <c r="A302" s="5">
        <f ca="1">IFERROR(__xludf.DUMMYFUNCTION("""COMPUTED_VALUE"""),29)</f>
        <v>29</v>
      </c>
      <c r="B302" s="69">
        <v>46688</v>
      </c>
    </row>
    <row r="303" spans="1:2" ht="12.5" hidden="1">
      <c r="A303" s="5">
        <f ca="1">IFERROR(__xludf.DUMMYFUNCTION("""COMPUTED_VALUE"""),39)</f>
        <v>39</v>
      </c>
      <c r="B303" s="69">
        <v>46689</v>
      </c>
    </row>
    <row r="304" spans="1:2" ht="12.5" hidden="1">
      <c r="A304" s="5">
        <f ca="1">IFERROR(__xludf.DUMMYFUNCTION("""COMPUTED_VALUE"""),95)</f>
        <v>95</v>
      </c>
      <c r="B304" s="69">
        <v>46690</v>
      </c>
    </row>
    <row r="305" spans="1:2" ht="12.5" hidden="1">
      <c r="A305" s="5">
        <f ca="1">IFERROR(__xludf.DUMMYFUNCTION("""COMPUTED_VALUE"""),95)</f>
        <v>95</v>
      </c>
      <c r="B305" s="69">
        <v>46691</v>
      </c>
    </row>
    <row r="306" spans="1:2" ht="12.5" hidden="1">
      <c r="A306" s="5">
        <f ca="1">IFERROR(__xludf.DUMMYFUNCTION("""COMPUTED_VALUE"""),14)</f>
        <v>14</v>
      </c>
      <c r="B306" s="69">
        <v>46692</v>
      </c>
    </row>
    <row r="307" spans="1:2" ht="12.5" hidden="1">
      <c r="A307" s="5">
        <f ca="1">IFERROR(__xludf.DUMMYFUNCTION("""COMPUTED_VALUE"""),68)</f>
        <v>68</v>
      </c>
      <c r="B307" s="69">
        <v>46693</v>
      </c>
    </row>
    <row r="308" spans="1:2" ht="12.5" hidden="1">
      <c r="A308" s="5">
        <f ca="1">IFERROR(__xludf.DUMMYFUNCTION("""COMPUTED_VALUE"""),58)</f>
        <v>58</v>
      </c>
      <c r="B308" s="69">
        <v>46694</v>
      </c>
    </row>
    <row r="309" spans="1:2" ht="12.5" hidden="1">
      <c r="A309" s="5">
        <f ca="1">IFERROR(__xludf.DUMMYFUNCTION("""COMPUTED_VALUE"""),95)</f>
        <v>95</v>
      </c>
      <c r="B309" s="69">
        <v>46695</v>
      </c>
    </row>
    <row r="310" spans="1:2" ht="12.5" hidden="1">
      <c r="A310" s="5">
        <f ca="1">IFERROR(__xludf.DUMMYFUNCTION("""COMPUTED_VALUE"""),79)</f>
        <v>79</v>
      </c>
      <c r="B310" s="69">
        <v>46696</v>
      </c>
    </row>
    <row r="311" spans="1:2" ht="12.5" hidden="1">
      <c r="A311" s="5">
        <f ca="1">IFERROR(__xludf.DUMMYFUNCTION("""COMPUTED_VALUE"""),45)</f>
        <v>45</v>
      </c>
      <c r="B311" s="69">
        <v>46697</v>
      </c>
    </row>
    <row r="312" spans="1:2" ht="12.5" hidden="1">
      <c r="A312" s="5">
        <f ca="1">IFERROR(__xludf.DUMMYFUNCTION("""COMPUTED_VALUE"""),41)</f>
        <v>41</v>
      </c>
      <c r="B312" s="69">
        <v>46698</v>
      </c>
    </row>
    <row r="313" spans="1:2" ht="12.5" hidden="1">
      <c r="A313" s="5">
        <f ca="1">IFERROR(__xludf.DUMMYFUNCTION("""COMPUTED_VALUE"""),65)</f>
        <v>65</v>
      </c>
      <c r="B313" s="69">
        <v>46699</v>
      </c>
    </row>
    <row r="314" spans="1:2" ht="12.5" hidden="1">
      <c r="A314" s="5">
        <f ca="1">IFERROR(__xludf.DUMMYFUNCTION("""COMPUTED_VALUE"""),45)</f>
        <v>45</v>
      </c>
      <c r="B314" s="69">
        <v>46700</v>
      </c>
    </row>
    <row r="315" spans="1:2" ht="12.5" hidden="1">
      <c r="A315" s="5">
        <f ca="1">IFERROR(__xludf.DUMMYFUNCTION("""COMPUTED_VALUE"""),65)</f>
        <v>65</v>
      </c>
      <c r="B315" s="69">
        <v>46701</v>
      </c>
    </row>
    <row r="316" spans="1:2" ht="12.5" hidden="1">
      <c r="A316" s="5">
        <f ca="1">IFERROR(__xludf.DUMMYFUNCTION("""COMPUTED_VALUE"""),12)</f>
        <v>12</v>
      </c>
      <c r="B316" s="69">
        <v>46702</v>
      </c>
    </row>
    <row r="317" spans="1:2" ht="12.5" hidden="1">
      <c r="A317" s="5">
        <f ca="1">IFERROR(__xludf.DUMMYFUNCTION("""COMPUTED_VALUE"""),41)</f>
        <v>41</v>
      </c>
      <c r="B317" s="69">
        <v>46703</v>
      </c>
    </row>
    <row r="318" spans="1:2" ht="12.5" hidden="1">
      <c r="A318" s="5">
        <f ca="1">IFERROR(__xludf.DUMMYFUNCTION("""COMPUTED_VALUE"""),45)</f>
        <v>45</v>
      </c>
      <c r="B318" s="69">
        <v>46704</v>
      </c>
    </row>
    <row r="319" spans="1:2" ht="12.5" hidden="1">
      <c r="A319" s="5">
        <f ca="1">IFERROR(__xludf.DUMMYFUNCTION("""COMPUTED_VALUE"""),5)</f>
        <v>5</v>
      </c>
      <c r="B319" s="69">
        <v>46705</v>
      </c>
    </row>
    <row r="320" spans="1:2" ht="12.5">
      <c r="A320" s="5">
        <f ca="1">IFERROR(__xludf.DUMMYFUNCTION("""COMPUTED_VALUE"""),51)</f>
        <v>51</v>
      </c>
      <c r="B320" s="69">
        <v>46706</v>
      </c>
    </row>
    <row r="321" spans="1:2" ht="12.5" hidden="1">
      <c r="A321" s="5">
        <f ca="1">IFERROR(__xludf.DUMMYFUNCTION("""COMPUTED_VALUE"""),95)</f>
        <v>95</v>
      </c>
      <c r="B321" s="69">
        <v>46707</v>
      </c>
    </row>
    <row r="322" spans="1:2" ht="12.5" hidden="1">
      <c r="A322" s="5">
        <f ca="1">IFERROR(__xludf.DUMMYFUNCTION("""COMPUTED_VALUE"""),24)</f>
        <v>24</v>
      </c>
      <c r="B322" s="69">
        <v>46708</v>
      </c>
    </row>
    <row r="323" spans="1:2" ht="12.5" hidden="1">
      <c r="A323" s="5">
        <f ca="1">IFERROR(__xludf.DUMMYFUNCTION("""COMPUTED_VALUE"""),52)</f>
        <v>52</v>
      </c>
      <c r="B323" s="69">
        <v>46709</v>
      </c>
    </row>
    <row r="324" spans="1:2" ht="12.5" hidden="1">
      <c r="A324" s="5">
        <f ca="1">IFERROR(__xludf.DUMMYFUNCTION("""COMPUTED_VALUE"""),95)</f>
        <v>95</v>
      </c>
      <c r="B324" s="69">
        <v>46710</v>
      </c>
    </row>
    <row r="325" spans="1:2" ht="12.5" hidden="1">
      <c r="A325" s="5">
        <f ca="1">IFERROR(__xludf.DUMMYFUNCTION("""COMPUTED_VALUE"""),95)</f>
        <v>95</v>
      </c>
      <c r="B325" s="69">
        <v>46711</v>
      </c>
    </row>
    <row r="326" spans="1:2" ht="12.5">
      <c r="A326" s="5">
        <f ca="1">IFERROR(__xludf.DUMMYFUNCTION("""COMPUTED_VALUE"""),51)</f>
        <v>51</v>
      </c>
      <c r="B326" s="69">
        <v>46712</v>
      </c>
    </row>
    <row r="327" spans="1:2" ht="12.5" hidden="1">
      <c r="A327" s="5">
        <f ca="1">IFERROR(__xludf.DUMMYFUNCTION("""COMPUTED_VALUE"""),52)</f>
        <v>52</v>
      </c>
      <c r="B327" s="69">
        <v>46713</v>
      </c>
    </row>
    <row r="328" spans="1:2" ht="12.5" hidden="1">
      <c r="A328" s="5">
        <f ca="1">IFERROR(__xludf.DUMMYFUNCTION("""COMPUTED_VALUE"""),29)</f>
        <v>29</v>
      </c>
      <c r="B328" s="69">
        <v>46714</v>
      </c>
    </row>
    <row r="329" spans="1:2" ht="12.5" hidden="1">
      <c r="A329" s="5">
        <f ca="1">IFERROR(__xludf.DUMMYFUNCTION("""COMPUTED_VALUE"""),26)</f>
        <v>26</v>
      </c>
      <c r="B329" s="69">
        <v>46715</v>
      </c>
    </row>
    <row r="330" spans="1:2" ht="12.5" hidden="1">
      <c r="A330" s="5">
        <f ca="1">IFERROR(__xludf.DUMMYFUNCTION("""COMPUTED_VALUE"""),69)</f>
        <v>69</v>
      </c>
      <c r="B330" s="69">
        <v>46716</v>
      </c>
    </row>
    <row r="331" spans="1:2" ht="12.5">
      <c r="A331" s="5">
        <f ca="1">IFERROR(__xludf.DUMMYFUNCTION("""COMPUTED_VALUE"""),51)</f>
        <v>51</v>
      </c>
      <c r="B331" s="69">
        <v>46717</v>
      </c>
    </row>
    <row r="332" spans="1:2" ht="12.5" hidden="1">
      <c r="A332" s="5">
        <f ca="1">IFERROR(__xludf.DUMMYFUNCTION("""COMPUTED_VALUE"""),95)</f>
        <v>95</v>
      </c>
      <c r="B332" s="69">
        <v>46718</v>
      </c>
    </row>
    <row r="333" spans="1:2" ht="12.5" hidden="1">
      <c r="A333" s="5">
        <f ca="1">IFERROR(__xludf.DUMMYFUNCTION("""COMPUTED_VALUE"""),53)</f>
        <v>53</v>
      </c>
      <c r="B333" s="69">
        <v>46719</v>
      </c>
    </row>
    <row r="334" spans="1:2" ht="12.5" hidden="1">
      <c r="A334" s="5">
        <f ca="1">IFERROR(__xludf.DUMMYFUNCTION("""COMPUTED_VALUE"""),95)</f>
        <v>95</v>
      </c>
      <c r="B334" s="69">
        <v>46720</v>
      </c>
    </row>
    <row r="335" spans="1:2" ht="12.5" hidden="1">
      <c r="A335" s="5">
        <f ca="1">IFERROR(__xludf.DUMMYFUNCTION("""COMPUTED_VALUE"""),44)</f>
        <v>44</v>
      </c>
      <c r="B335" s="69">
        <v>46721</v>
      </c>
    </row>
    <row r="336" spans="1:2" ht="12.5" hidden="1">
      <c r="A336" s="5">
        <f ca="1">IFERROR(__xludf.DUMMYFUNCTION("""COMPUTED_VALUE"""),95)</f>
        <v>95</v>
      </c>
      <c r="B336" s="69">
        <v>46722</v>
      </c>
    </row>
    <row r="337" spans="1:2" ht="12.5" hidden="1">
      <c r="A337" s="5">
        <f ca="1">IFERROR(__xludf.DUMMYFUNCTION("""COMPUTED_VALUE"""),95)</f>
        <v>95</v>
      </c>
      <c r="B337" s="69">
        <v>46723</v>
      </c>
    </row>
    <row r="338" spans="1:2" ht="12.5" hidden="1">
      <c r="A338" s="5">
        <f ca="1">IFERROR(__xludf.DUMMYFUNCTION("""COMPUTED_VALUE"""),20)</f>
        <v>20</v>
      </c>
      <c r="B338" s="69">
        <v>46724</v>
      </c>
    </row>
    <row r="339" spans="1:2" ht="12.5" hidden="1">
      <c r="A339" s="5">
        <f ca="1">IFERROR(__xludf.DUMMYFUNCTION("""COMPUTED_VALUE"""),18)</f>
        <v>18</v>
      </c>
      <c r="B339" s="69">
        <v>46725</v>
      </c>
    </row>
    <row r="340" spans="1:2" ht="12.5" hidden="1">
      <c r="A340" s="5">
        <f ca="1">IFERROR(__xludf.DUMMYFUNCTION("""COMPUTED_VALUE"""),29)</f>
        <v>29</v>
      </c>
      <c r="B340" s="69">
        <v>46726</v>
      </c>
    </row>
    <row r="341" spans="1:2" ht="12.5" hidden="1">
      <c r="A341" s="5">
        <f ca="1">IFERROR(__xludf.DUMMYFUNCTION("""COMPUTED_VALUE"""),53)</f>
        <v>53</v>
      </c>
      <c r="B341" s="69">
        <v>46727</v>
      </c>
    </row>
    <row r="342" spans="1:2" ht="12.5" hidden="1">
      <c r="A342" s="5">
        <f ca="1">IFERROR(__xludf.DUMMYFUNCTION("""COMPUTED_VALUE"""),95)</f>
        <v>95</v>
      </c>
      <c r="B342" s="69">
        <v>46728</v>
      </c>
    </row>
    <row r="343" spans="1:2" ht="12.5">
      <c r="A343" s="5">
        <f ca="1">IFERROR(__xludf.DUMMYFUNCTION("""COMPUTED_VALUE"""),51)</f>
        <v>51</v>
      </c>
      <c r="B343" s="69">
        <v>46729</v>
      </c>
    </row>
    <row r="344" spans="1:2" ht="12.5" hidden="1">
      <c r="A344" s="5">
        <f ca="1">IFERROR(__xludf.DUMMYFUNCTION("""COMPUTED_VALUE"""),31)</f>
        <v>31</v>
      </c>
      <c r="B344" s="69">
        <v>46730</v>
      </c>
    </row>
    <row r="345" spans="1:2" ht="12.5" hidden="1">
      <c r="A345" s="5">
        <f ca="1">IFERROR(__xludf.DUMMYFUNCTION("""COMPUTED_VALUE"""),95)</f>
        <v>95</v>
      </c>
      <c r="B345" s="69">
        <v>46731</v>
      </c>
    </row>
    <row r="346" spans="1:2" ht="12.5" hidden="1">
      <c r="A346" s="5">
        <f ca="1">IFERROR(__xludf.DUMMYFUNCTION("""COMPUTED_VALUE"""),28)</f>
        <v>28</v>
      </c>
      <c r="B346" s="69">
        <v>46732</v>
      </c>
    </row>
    <row r="347" spans="1:2" ht="12.5" hidden="1">
      <c r="A347" s="5">
        <f ca="1">IFERROR(__xludf.DUMMYFUNCTION("""COMPUTED_VALUE"""),53)</f>
        <v>53</v>
      </c>
      <c r="B347" s="69">
        <v>46733</v>
      </c>
    </row>
    <row r="348" spans="1:2" ht="12.5" hidden="1">
      <c r="A348" s="5">
        <f ca="1">IFERROR(__xludf.DUMMYFUNCTION("""COMPUTED_VALUE"""),31)</f>
        <v>31</v>
      </c>
      <c r="B348" s="69">
        <v>46734</v>
      </c>
    </row>
    <row r="349" spans="1:2" ht="12.5" hidden="1">
      <c r="A349" s="5">
        <f ca="1">IFERROR(__xludf.DUMMYFUNCTION("""COMPUTED_VALUE"""),53)</f>
        <v>53</v>
      </c>
      <c r="B349" s="69">
        <v>46735</v>
      </c>
    </row>
    <row r="350" spans="1:2" ht="12.5" hidden="1">
      <c r="A350" s="5">
        <f ca="1">IFERROR(__xludf.DUMMYFUNCTION("""COMPUTED_VALUE"""),7)</f>
        <v>7</v>
      </c>
      <c r="B350" s="69">
        <v>46736</v>
      </c>
    </row>
    <row r="351" spans="1:2" ht="12.5" hidden="1">
      <c r="A351" s="5">
        <f ca="1">IFERROR(__xludf.DUMMYFUNCTION("""COMPUTED_VALUE"""),9)</f>
        <v>9</v>
      </c>
      <c r="B351" s="69">
        <v>46737</v>
      </c>
    </row>
    <row r="352" spans="1:2" ht="12.5" hidden="1">
      <c r="A352" s="5">
        <f ca="1">IFERROR(__xludf.DUMMYFUNCTION("""COMPUTED_VALUE"""),79)</f>
        <v>79</v>
      </c>
      <c r="B352" s="69">
        <v>46738</v>
      </c>
    </row>
    <row r="353" spans="1:2" ht="12.5" hidden="1">
      <c r="A353" s="5">
        <f ca="1">IFERROR(__xludf.DUMMYFUNCTION("""COMPUTED_VALUE"""),52)</f>
        <v>52</v>
      </c>
      <c r="B353" s="69">
        <v>46739</v>
      </c>
    </row>
    <row r="354" spans="1:2" ht="12.5" hidden="1">
      <c r="A354" s="5">
        <f ca="1">IFERROR(__xludf.DUMMYFUNCTION("""COMPUTED_VALUE"""),29)</f>
        <v>29</v>
      </c>
      <c r="B354" s="69">
        <v>46740</v>
      </c>
    </row>
    <row r="355" spans="1:2" ht="12.5" hidden="1">
      <c r="A355" s="5">
        <f ca="1">IFERROR(__xludf.DUMMYFUNCTION("""COMPUTED_VALUE"""),20)</f>
        <v>20</v>
      </c>
      <c r="B355" s="69">
        <v>46741</v>
      </c>
    </row>
    <row r="356" spans="1:2" ht="12.5" hidden="1">
      <c r="A356" s="5">
        <f ca="1">IFERROR(__xludf.DUMMYFUNCTION("""COMPUTED_VALUE"""),95)</f>
        <v>95</v>
      </c>
      <c r="B356" s="69">
        <v>46742</v>
      </c>
    </row>
    <row r="357" spans="1:2" ht="12.5" hidden="1">
      <c r="A357" s="5">
        <f ca="1">IFERROR(__xludf.DUMMYFUNCTION("""COMPUTED_VALUE"""),1)</f>
        <v>1</v>
      </c>
      <c r="B357" s="69">
        <v>46743</v>
      </c>
    </row>
    <row r="358" spans="1:2" ht="12.5" hidden="1">
      <c r="A358" s="5">
        <f ca="1">IFERROR(__xludf.DUMMYFUNCTION("""COMPUTED_VALUE"""),16)</f>
        <v>16</v>
      </c>
      <c r="B358" s="69">
        <v>46744</v>
      </c>
    </row>
    <row r="359" spans="1:2" ht="12.5" hidden="1">
      <c r="A359" s="5">
        <f ca="1">IFERROR(__xludf.DUMMYFUNCTION("""COMPUTED_VALUE"""),30)</f>
        <v>30</v>
      </c>
      <c r="B359" s="69">
        <v>46745</v>
      </c>
    </row>
    <row r="360" spans="1:2" ht="12.5" hidden="1">
      <c r="A360" s="5">
        <f ca="1">IFERROR(__xludf.DUMMYFUNCTION("""COMPUTED_VALUE"""),21)</f>
        <v>21</v>
      </c>
      <c r="B360" s="69">
        <v>46746</v>
      </c>
    </row>
    <row r="361" spans="1:2" ht="12.5" hidden="1">
      <c r="A361" s="5">
        <f ca="1">IFERROR(__xludf.DUMMYFUNCTION("""COMPUTED_VALUE"""),52)</f>
        <v>52</v>
      </c>
      <c r="B361" s="69">
        <v>46747</v>
      </c>
    </row>
    <row r="362" spans="1:2" ht="12.5" hidden="1">
      <c r="A362" s="5">
        <f ca="1">IFERROR(__xludf.DUMMYFUNCTION("""COMPUTED_VALUE"""),2)</f>
        <v>2</v>
      </c>
      <c r="B362" s="69">
        <v>46748</v>
      </c>
    </row>
    <row r="363" spans="1:2" ht="12.5" hidden="1">
      <c r="A363" s="5">
        <f ca="1">IFERROR(__xludf.DUMMYFUNCTION("""COMPUTED_VALUE"""),95)</f>
        <v>95</v>
      </c>
      <c r="B363" s="69">
        <v>46749</v>
      </c>
    </row>
    <row r="364" spans="1:2" ht="12.5" hidden="1">
      <c r="A364" s="5">
        <f ca="1">IFERROR(__xludf.DUMMYFUNCTION("""COMPUTED_VALUE"""),29)</f>
        <v>29</v>
      </c>
      <c r="B364" s="69">
        <v>46750</v>
      </c>
    </row>
    <row r="365" spans="1:2" ht="12.5" hidden="1">
      <c r="A365" s="5">
        <f ca="1">IFERROR(__xludf.DUMMYFUNCTION("""COMPUTED_VALUE"""),52)</f>
        <v>52</v>
      </c>
      <c r="B365" s="69">
        <v>46751</v>
      </c>
    </row>
    <row r="366" spans="1:2" ht="12.5" hidden="1">
      <c r="A366" s="5">
        <f ca="1">IFERROR(__xludf.DUMMYFUNCTION("""COMPUTED_VALUE"""),31)</f>
        <v>31</v>
      </c>
      <c r="B366" s="69">
        <v>46752</v>
      </c>
    </row>
    <row r="367" spans="1:2" ht="12.5" hidden="1">
      <c r="A367" s="5">
        <f ca="1">IFERROR(__xludf.DUMMYFUNCTION("""COMPUTED_VALUE"""),7)</f>
        <v>7</v>
      </c>
      <c r="B367" s="69">
        <v>46753</v>
      </c>
    </row>
    <row r="368" spans="1:2" ht="12.5" hidden="1">
      <c r="A368" s="5">
        <f ca="1">IFERROR(__xludf.DUMMYFUNCTION("""COMPUTED_VALUE"""),31)</f>
        <v>31</v>
      </c>
      <c r="B368" s="69">
        <v>46754</v>
      </c>
    </row>
    <row r="369" spans="1:2" ht="12.5" hidden="1">
      <c r="A369" s="5">
        <f ca="1">IFERROR(__xludf.DUMMYFUNCTION("""COMPUTED_VALUE"""),29)</f>
        <v>29</v>
      </c>
      <c r="B369" s="69">
        <v>46755</v>
      </c>
    </row>
    <row r="370" spans="1:2" ht="12.5" hidden="1">
      <c r="A370" s="5">
        <f ca="1">IFERROR(__xludf.DUMMYFUNCTION("""COMPUTED_VALUE"""),5)</f>
        <v>5</v>
      </c>
      <c r="B370" s="69">
        <v>46756</v>
      </c>
    </row>
    <row r="371" spans="1:2" ht="12.5" hidden="1">
      <c r="A371" s="5">
        <f ca="1">IFERROR(__xludf.DUMMYFUNCTION("""COMPUTED_VALUE"""),32)</f>
        <v>32</v>
      </c>
      <c r="B371" s="69">
        <v>46757</v>
      </c>
    </row>
    <row r="372" spans="1:2" ht="12.5" hidden="1">
      <c r="A372" s="5">
        <f ca="1">IFERROR(__xludf.DUMMYFUNCTION("""COMPUTED_VALUE"""),52)</f>
        <v>52</v>
      </c>
      <c r="B372" s="69">
        <v>46758</v>
      </c>
    </row>
    <row r="373" spans="1:2" ht="12.5" hidden="1">
      <c r="A373" s="5">
        <f ca="1">IFERROR(__xludf.DUMMYFUNCTION("""COMPUTED_VALUE"""),63)</f>
        <v>63</v>
      </c>
      <c r="B373" s="69">
        <v>46759</v>
      </c>
    </row>
    <row r="374" spans="1:2" ht="12.5" hidden="1">
      <c r="A374" s="5">
        <f ca="1">IFERROR(__xludf.DUMMYFUNCTION("""COMPUTED_VALUE"""),25)</f>
        <v>25</v>
      </c>
      <c r="B374" s="69">
        <v>46760</v>
      </c>
    </row>
    <row r="375" spans="1:2" ht="12.5" hidden="1">
      <c r="A375" s="5">
        <f ca="1">IFERROR(__xludf.DUMMYFUNCTION("""COMPUTED_VALUE"""),95)</f>
        <v>95</v>
      </c>
      <c r="B375" s="69">
        <v>46761</v>
      </c>
    </row>
    <row r="376" spans="1:2" ht="12.5" hidden="1">
      <c r="A376" s="5">
        <f ca="1">IFERROR(__xludf.DUMMYFUNCTION("""COMPUTED_VALUE"""),6)</f>
        <v>6</v>
      </c>
      <c r="B376" s="69">
        <v>46762</v>
      </c>
    </row>
    <row r="377" spans="1:2" ht="12.5" hidden="1">
      <c r="A377" s="5">
        <f ca="1">IFERROR(__xludf.DUMMYFUNCTION("""COMPUTED_VALUE"""),95)</f>
        <v>95</v>
      </c>
      <c r="B377" s="69">
        <v>46763</v>
      </c>
    </row>
    <row r="378" spans="1:2" ht="12.5" hidden="1">
      <c r="A378" s="5">
        <f ca="1">IFERROR(__xludf.DUMMYFUNCTION("""COMPUTED_VALUE"""),5)</f>
        <v>5</v>
      </c>
      <c r="B378" s="69">
        <v>46764</v>
      </c>
    </row>
    <row r="379" spans="1:2" ht="12.5" hidden="1">
      <c r="A379" s="5">
        <f ca="1">IFERROR(__xludf.DUMMYFUNCTION("""COMPUTED_VALUE"""),53)</f>
        <v>53</v>
      </c>
      <c r="B379" s="69">
        <v>46765</v>
      </c>
    </row>
    <row r="380" spans="1:2" ht="12.5" hidden="1">
      <c r="A380" s="5">
        <f ca="1">IFERROR(__xludf.DUMMYFUNCTION("""COMPUTED_VALUE"""),95)</f>
        <v>95</v>
      </c>
      <c r="B380" s="69">
        <v>46766</v>
      </c>
    </row>
    <row r="381" spans="1:2" ht="12.5" hidden="1">
      <c r="A381" s="5">
        <f ca="1">IFERROR(__xludf.DUMMYFUNCTION("""COMPUTED_VALUE"""),52)</f>
        <v>52</v>
      </c>
      <c r="B381" s="69">
        <v>46767</v>
      </c>
    </row>
    <row r="382" spans="1:2" ht="12.5" hidden="1">
      <c r="A382" s="5">
        <f ca="1">IFERROR(__xludf.DUMMYFUNCTION("""COMPUTED_VALUE"""),42)</f>
        <v>42</v>
      </c>
      <c r="B382" s="69">
        <v>46768</v>
      </c>
    </row>
    <row r="383" spans="1:2" ht="12.5" hidden="1">
      <c r="A383" s="5">
        <f ca="1">IFERROR(__xludf.DUMMYFUNCTION("""COMPUTED_VALUE"""),52)</f>
        <v>52</v>
      </c>
      <c r="B383" s="69">
        <v>46769</v>
      </c>
    </row>
    <row r="384" spans="1:2" ht="12.5" hidden="1">
      <c r="A384" s="5">
        <f ca="1">IFERROR(__xludf.DUMMYFUNCTION("""COMPUTED_VALUE"""),66)</f>
        <v>66</v>
      </c>
      <c r="B384" s="69">
        <v>46770</v>
      </c>
    </row>
    <row r="385" spans="1:2" ht="12.5" hidden="1">
      <c r="A385" s="5">
        <f ca="1">IFERROR(__xludf.DUMMYFUNCTION("""COMPUTED_VALUE"""),68)</f>
        <v>68</v>
      </c>
      <c r="B385" s="69">
        <v>46771</v>
      </c>
    </row>
    <row r="386" spans="1:2" ht="12.5" hidden="1">
      <c r="A386" s="5">
        <f ca="1">IFERROR(__xludf.DUMMYFUNCTION("""COMPUTED_VALUE"""),37)</f>
        <v>37</v>
      </c>
      <c r="B386" s="69">
        <v>46772</v>
      </c>
    </row>
    <row r="387" spans="1:2" ht="12.5" hidden="1">
      <c r="A387" s="5">
        <f ca="1">IFERROR(__xludf.DUMMYFUNCTION("""COMPUTED_VALUE"""),64)</f>
        <v>64</v>
      </c>
      <c r="B387" s="69">
        <v>46773</v>
      </c>
    </row>
    <row r="388" spans="1:2" ht="12.5" hidden="1">
      <c r="A388" s="5">
        <f ca="1">IFERROR(__xludf.DUMMYFUNCTION("""COMPUTED_VALUE"""),12)</f>
        <v>12</v>
      </c>
      <c r="B388" s="69">
        <v>46774</v>
      </c>
    </row>
    <row r="389" spans="1:2" ht="12.5" hidden="1">
      <c r="A389" s="5">
        <f ca="1">IFERROR(__xludf.DUMMYFUNCTION("""COMPUTED_VALUE"""),65)</f>
        <v>65</v>
      </c>
      <c r="B389" s="69">
        <v>46775</v>
      </c>
    </row>
    <row r="390" spans="1:2" ht="12.5" hidden="1">
      <c r="A390" s="5">
        <f ca="1">IFERROR(__xludf.DUMMYFUNCTION("""COMPUTED_VALUE"""),95)</f>
        <v>95</v>
      </c>
      <c r="B390" s="69">
        <v>46776</v>
      </c>
    </row>
    <row r="391" spans="1:2" ht="12.5" hidden="1">
      <c r="A391" s="5">
        <f ca="1">IFERROR(__xludf.DUMMYFUNCTION("""COMPUTED_VALUE"""),32)</f>
        <v>32</v>
      </c>
      <c r="B391" s="69">
        <v>46777</v>
      </c>
    </row>
    <row r="392" spans="1:2" ht="12.5" hidden="1">
      <c r="A392" s="5">
        <f ca="1">IFERROR(__xludf.DUMMYFUNCTION("""COMPUTED_VALUE"""),95)</f>
        <v>95</v>
      </c>
      <c r="B392" s="69">
        <v>46778</v>
      </c>
    </row>
    <row r="393" spans="1:2" ht="12.5" hidden="1">
      <c r="A393" s="5">
        <f ca="1">IFERROR(__xludf.DUMMYFUNCTION("""COMPUTED_VALUE"""),65)</f>
        <v>65</v>
      </c>
      <c r="B393" s="69">
        <v>46779</v>
      </c>
    </row>
    <row r="394" spans="1:2" ht="12.5" hidden="1">
      <c r="A394" s="5">
        <f ca="1">IFERROR(__xludf.DUMMYFUNCTION("""COMPUTED_VALUE"""),95)</f>
        <v>95</v>
      </c>
      <c r="B394" s="69">
        <v>46780</v>
      </c>
    </row>
    <row r="395" spans="1:2" ht="12.5" hidden="1">
      <c r="A395" s="5">
        <f ca="1">IFERROR(__xludf.DUMMYFUNCTION("""COMPUTED_VALUE"""),56)</f>
        <v>56</v>
      </c>
      <c r="B395" s="69">
        <v>46781</v>
      </c>
    </row>
    <row r="396" spans="1:2" ht="12.5" hidden="1">
      <c r="A396" s="5">
        <f ca="1">IFERROR(__xludf.DUMMYFUNCTION("""COMPUTED_VALUE"""),29)</f>
        <v>29</v>
      </c>
      <c r="B396" s="69">
        <v>46782</v>
      </c>
    </row>
    <row r="397" spans="1:2" ht="12.5" hidden="1">
      <c r="A397" s="5">
        <f ca="1">IFERROR(__xludf.DUMMYFUNCTION("""COMPUTED_VALUE"""),95)</f>
        <v>95</v>
      </c>
      <c r="B397" s="69">
        <v>46783</v>
      </c>
    </row>
    <row r="398" spans="1:2" ht="12.5" hidden="1">
      <c r="A398" s="5">
        <f ca="1">IFERROR(__xludf.DUMMYFUNCTION("""COMPUTED_VALUE"""),18)</f>
        <v>18</v>
      </c>
      <c r="B398" s="69">
        <v>46784</v>
      </c>
    </row>
    <row r="399" spans="1:2" ht="12.5" hidden="1">
      <c r="A399" s="5">
        <f ca="1">IFERROR(__xludf.DUMMYFUNCTION("""COMPUTED_VALUE"""),20)</f>
        <v>20</v>
      </c>
      <c r="B399" s="69">
        <v>46785</v>
      </c>
    </row>
    <row r="400" spans="1:2" ht="12.5" hidden="1">
      <c r="A400" s="5">
        <f ca="1">IFERROR(__xludf.DUMMYFUNCTION("""COMPUTED_VALUE"""),95)</f>
        <v>95</v>
      </c>
      <c r="B400" s="69">
        <v>46786</v>
      </c>
    </row>
    <row r="401" spans="1:2" ht="12.5" hidden="1">
      <c r="A401" s="5">
        <f ca="1">IFERROR(__xludf.DUMMYFUNCTION("""COMPUTED_VALUE"""),53)</f>
        <v>53</v>
      </c>
      <c r="B401" s="69">
        <v>46787</v>
      </c>
    </row>
    <row r="402" spans="1:2" ht="12.5" hidden="1">
      <c r="A402" s="5">
        <f ca="1">IFERROR(__xludf.DUMMYFUNCTION("""COMPUTED_VALUE"""),67)</f>
        <v>67</v>
      </c>
      <c r="B402" s="69">
        <v>46788</v>
      </c>
    </row>
    <row r="403" spans="1:2" ht="12.5" hidden="1">
      <c r="A403" s="5">
        <f ca="1">IFERROR(__xludf.DUMMYFUNCTION("""COMPUTED_VALUE"""),33)</f>
        <v>33</v>
      </c>
      <c r="B403" s="69">
        <v>46789</v>
      </c>
    </row>
    <row r="404" spans="1:2" ht="12.5" hidden="1">
      <c r="A404" s="5">
        <f ca="1">IFERROR(__xludf.DUMMYFUNCTION("""COMPUTED_VALUE"""),52)</f>
        <v>52</v>
      </c>
      <c r="B404" s="69">
        <v>46790</v>
      </c>
    </row>
    <row r="405" spans="1:2" ht="12.5" hidden="1">
      <c r="A405" s="5">
        <f ca="1">IFERROR(__xludf.DUMMYFUNCTION("""COMPUTED_VALUE"""),6)</f>
        <v>6</v>
      </c>
      <c r="B405" s="69">
        <v>46791</v>
      </c>
    </row>
    <row r="406" spans="1:2" ht="12.5" hidden="1">
      <c r="A406" s="5">
        <f ca="1">IFERROR(__xludf.DUMMYFUNCTION("""COMPUTED_VALUE"""),52)</f>
        <v>52</v>
      </c>
      <c r="B406" s="69">
        <v>46792</v>
      </c>
    </row>
    <row r="407" spans="1:2" ht="12.5" hidden="1">
      <c r="A407" s="5">
        <f ca="1">IFERROR(__xludf.DUMMYFUNCTION("""COMPUTED_VALUE"""),95)</f>
        <v>95</v>
      </c>
      <c r="B407" s="69">
        <v>46793</v>
      </c>
    </row>
    <row r="408" spans="1:2" ht="12.5" hidden="1">
      <c r="A408" s="5">
        <f ca="1">IFERROR(__xludf.DUMMYFUNCTION("""COMPUTED_VALUE"""),20)</f>
        <v>20</v>
      </c>
      <c r="B408" s="69">
        <v>46794</v>
      </c>
    </row>
    <row r="409" spans="1:2" ht="12.5" hidden="1">
      <c r="A409" s="5">
        <f ca="1">IFERROR(__xludf.DUMMYFUNCTION("""COMPUTED_VALUE"""),29)</f>
        <v>29</v>
      </c>
      <c r="B409" s="69">
        <v>46795</v>
      </c>
    </row>
    <row r="410" spans="1:2" ht="12.5" hidden="1">
      <c r="A410" s="5">
        <f ca="1">IFERROR(__xludf.DUMMYFUNCTION("""COMPUTED_VALUE"""),53)</f>
        <v>53</v>
      </c>
      <c r="B410" s="69">
        <v>46796</v>
      </c>
    </row>
    <row r="411" spans="1:2" ht="12.5" hidden="1">
      <c r="A411" s="5">
        <f ca="1">IFERROR(__xludf.DUMMYFUNCTION("""COMPUTED_VALUE"""),47)</f>
        <v>47</v>
      </c>
      <c r="B411" s="69">
        <v>46797</v>
      </c>
    </row>
    <row r="412" spans="1:2" ht="12.5" hidden="1">
      <c r="A412" s="5">
        <f ca="1">IFERROR(__xludf.DUMMYFUNCTION("""COMPUTED_VALUE"""),31)</f>
        <v>31</v>
      </c>
      <c r="B412" s="69">
        <v>46798</v>
      </c>
    </row>
    <row r="413" spans="1:2" ht="12.5" hidden="1">
      <c r="A413" s="5">
        <f ca="1">IFERROR(__xludf.DUMMYFUNCTION("""COMPUTED_VALUE"""),53)</f>
        <v>53</v>
      </c>
      <c r="B413" s="69">
        <v>46799</v>
      </c>
    </row>
    <row r="414" spans="1:2" ht="12.5" hidden="1">
      <c r="A414" s="5">
        <f ca="1">IFERROR(__xludf.DUMMYFUNCTION("""COMPUTED_VALUE"""),22)</f>
        <v>22</v>
      </c>
      <c r="B414" s="69">
        <v>46800</v>
      </c>
    </row>
    <row r="415" spans="1:2" ht="12.5" hidden="1">
      <c r="A415" s="5">
        <f ca="1">IFERROR(__xludf.DUMMYFUNCTION("""COMPUTED_VALUE"""),95)</f>
        <v>95</v>
      </c>
      <c r="B415" s="69">
        <v>46801</v>
      </c>
    </row>
    <row r="416" spans="1:2" ht="12.5" hidden="1">
      <c r="A416" s="5">
        <f ca="1">IFERROR(__xludf.DUMMYFUNCTION("""COMPUTED_VALUE"""),53)</f>
        <v>53</v>
      </c>
      <c r="B416" s="69">
        <v>46802</v>
      </c>
    </row>
    <row r="417" spans="1:2" ht="12.5" hidden="1">
      <c r="A417" s="5">
        <f ca="1">IFERROR(__xludf.DUMMYFUNCTION("""COMPUTED_VALUE"""),1)</f>
        <v>1</v>
      </c>
      <c r="B417" s="69">
        <v>46803</v>
      </c>
    </row>
    <row r="418" spans="1:2" ht="12.5" hidden="1">
      <c r="A418" s="5">
        <f ca="1">IFERROR(__xludf.DUMMYFUNCTION("""COMPUTED_VALUE"""),95)</f>
        <v>95</v>
      </c>
      <c r="B418" s="69">
        <v>46804</v>
      </c>
    </row>
    <row r="419" spans="1:2" ht="12.5" hidden="1">
      <c r="A419" s="5">
        <f ca="1">IFERROR(__xludf.DUMMYFUNCTION("""COMPUTED_VALUE"""),95)</f>
        <v>95</v>
      </c>
      <c r="B419" s="69">
        <v>46805</v>
      </c>
    </row>
    <row r="420" spans="1:2" ht="12.5" hidden="1">
      <c r="A420" s="5">
        <f ca="1">IFERROR(__xludf.DUMMYFUNCTION("""COMPUTED_VALUE"""),53)</f>
        <v>53</v>
      </c>
      <c r="B420" s="69">
        <v>46806</v>
      </c>
    </row>
    <row r="421" spans="1:2" ht="12.5" hidden="1">
      <c r="A421" s="5">
        <f ca="1">IFERROR(__xludf.DUMMYFUNCTION("""COMPUTED_VALUE"""),44)</f>
        <v>44</v>
      </c>
      <c r="B421" s="69">
        <v>46807</v>
      </c>
    </row>
    <row r="422" spans="1:2" ht="12.5" hidden="1">
      <c r="A422" s="5">
        <f ca="1">IFERROR(__xludf.DUMMYFUNCTION("""COMPUTED_VALUE"""),29)</f>
        <v>29</v>
      </c>
      <c r="B422" s="69">
        <v>46808</v>
      </c>
    </row>
    <row r="423" spans="1:2" ht="12.5" hidden="1">
      <c r="A423" s="5">
        <f ca="1">IFERROR(__xludf.DUMMYFUNCTION("""COMPUTED_VALUE"""),78)</f>
        <v>78</v>
      </c>
      <c r="B423" s="69">
        <v>46809</v>
      </c>
    </row>
    <row r="424" spans="1:2" ht="12.5" hidden="1">
      <c r="A424" s="5">
        <f ca="1">IFERROR(__xludf.DUMMYFUNCTION("""COMPUTED_VALUE"""),95)</f>
        <v>95</v>
      </c>
      <c r="B424" s="69">
        <v>46810</v>
      </c>
    </row>
    <row r="425" spans="1:2" ht="12.5" hidden="1">
      <c r="A425" s="5">
        <f ca="1">IFERROR(__xludf.DUMMYFUNCTION("""COMPUTED_VALUE"""),68)</f>
        <v>68</v>
      </c>
      <c r="B425" s="69">
        <v>46811</v>
      </c>
    </row>
    <row r="426" spans="1:2" ht="12.5" hidden="1">
      <c r="A426" s="5">
        <f ca="1">IFERROR(__xludf.DUMMYFUNCTION("""COMPUTED_VALUE"""),31)</f>
        <v>31</v>
      </c>
      <c r="B426" s="69">
        <v>46812</v>
      </c>
    </row>
    <row r="427" spans="1:2" ht="12.5" hidden="1">
      <c r="A427" s="5">
        <f ca="1">IFERROR(__xludf.DUMMYFUNCTION("""COMPUTED_VALUE"""),23)</f>
        <v>23</v>
      </c>
      <c r="B427" s="69">
        <v>46813</v>
      </c>
    </row>
    <row r="428" spans="1:2" ht="12.5" hidden="1">
      <c r="A428" s="5">
        <f ca="1">IFERROR(__xludf.DUMMYFUNCTION("""COMPUTED_VALUE"""),95)</f>
        <v>95</v>
      </c>
      <c r="B428" s="69">
        <v>46814</v>
      </c>
    </row>
    <row r="429" spans="1:2" ht="12.5" hidden="1">
      <c r="A429" s="5">
        <f ca="1">IFERROR(__xludf.DUMMYFUNCTION("""COMPUTED_VALUE"""),20)</f>
        <v>20</v>
      </c>
      <c r="B429" s="69">
        <v>46815</v>
      </c>
    </row>
    <row r="430" spans="1:2" ht="12.5" hidden="1">
      <c r="A430" s="5">
        <f ca="1">IFERROR(__xludf.DUMMYFUNCTION("""COMPUTED_VALUE"""),52)</f>
        <v>52</v>
      </c>
      <c r="B430" s="69">
        <v>46816</v>
      </c>
    </row>
    <row r="431" spans="1:2" ht="12.5" hidden="1">
      <c r="A431" s="5">
        <f ca="1">IFERROR(__xludf.DUMMYFUNCTION("""COMPUTED_VALUE"""),5)</f>
        <v>5</v>
      </c>
      <c r="B431" s="69">
        <v>46817</v>
      </c>
    </row>
    <row r="432" spans="1:2" ht="12.5">
      <c r="A432" s="5">
        <f ca="1">IFERROR(__xludf.DUMMYFUNCTION("""COMPUTED_VALUE"""),51)</f>
        <v>51</v>
      </c>
      <c r="B432" s="69">
        <v>46818</v>
      </c>
    </row>
    <row r="433" spans="1:2" ht="12.5" hidden="1">
      <c r="A433" s="5">
        <f ca="1">IFERROR(__xludf.DUMMYFUNCTION("""COMPUTED_VALUE"""),7)</f>
        <v>7</v>
      </c>
      <c r="B433" s="69">
        <v>46819</v>
      </c>
    </row>
    <row r="434" spans="1:2" ht="12.5" hidden="1">
      <c r="A434" s="5">
        <f ca="1">IFERROR(__xludf.DUMMYFUNCTION("""COMPUTED_VALUE"""),15)</f>
        <v>15</v>
      </c>
      <c r="B434" s="69">
        <v>46820</v>
      </c>
    </row>
    <row r="435" spans="1:2" ht="12.5" hidden="1">
      <c r="A435" s="5">
        <f ca="1">IFERROR(__xludf.DUMMYFUNCTION("""COMPUTED_VALUE"""),95)</f>
        <v>95</v>
      </c>
      <c r="B435" s="69">
        <v>46821</v>
      </c>
    </row>
    <row r="436" spans="1:2" ht="12.5" hidden="1">
      <c r="A436" s="5">
        <f ca="1">IFERROR(__xludf.DUMMYFUNCTION("""COMPUTED_VALUE"""),29)</f>
        <v>29</v>
      </c>
      <c r="B436" s="69">
        <v>46822</v>
      </c>
    </row>
    <row r="437" spans="1:2" ht="12.5" hidden="1">
      <c r="A437" s="5">
        <f ca="1">IFERROR(__xludf.DUMMYFUNCTION("""COMPUTED_VALUE"""),95)</f>
        <v>95</v>
      </c>
      <c r="B437" s="69">
        <v>46823</v>
      </c>
    </row>
    <row r="438" spans="1:2" ht="12.5" hidden="1">
      <c r="A438" s="5">
        <f ca="1">IFERROR(__xludf.DUMMYFUNCTION("""COMPUTED_VALUE"""),41)</f>
        <v>41</v>
      </c>
      <c r="B438" s="69">
        <v>46824</v>
      </c>
    </row>
    <row r="439" spans="1:2" ht="12.5" hidden="1">
      <c r="A439" s="5">
        <f ca="1">IFERROR(__xludf.DUMMYFUNCTION("""COMPUTED_VALUE"""),57)</f>
        <v>57</v>
      </c>
      <c r="B439" s="69">
        <v>46825</v>
      </c>
    </row>
    <row r="440" spans="1:2" ht="12.5" hidden="1">
      <c r="A440" s="5">
        <f ca="1">IFERROR(__xludf.DUMMYFUNCTION("""COMPUTED_VALUE"""),95)</f>
        <v>95</v>
      </c>
      <c r="B440" s="69">
        <v>46826</v>
      </c>
    </row>
    <row r="441" spans="1:2" ht="12.5" hidden="1">
      <c r="A441" s="5">
        <f ca="1">IFERROR(__xludf.DUMMYFUNCTION("""COMPUTED_VALUE"""),95)</f>
        <v>95</v>
      </c>
      <c r="B441" s="69">
        <v>46827</v>
      </c>
    </row>
    <row r="442" spans="1:2" ht="12.5" hidden="1">
      <c r="A442" s="5">
        <f ca="1">IFERROR(__xludf.DUMMYFUNCTION("""COMPUTED_VALUE"""),29)</f>
        <v>29</v>
      </c>
      <c r="B442" s="69">
        <v>46828</v>
      </c>
    </row>
    <row r="443" spans="1:2" ht="12.5" hidden="1">
      <c r="A443" s="5">
        <f ca="1">IFERROR(__xludf.DUMMYFUNCTION("""COMPUTED_VALUE"""),53)</f>
        <v>53</v>
      </c>
      <c r="B443" s="69">
        <v>46829</v>
      </c>
    </row>
    <row r="444" spans="1:2" ht="12.5" hidden="1">
      <c r="A444" s="5">
        <f ca="1">IFERROR(__xludf.DUMMYFUNCTION("""COMPUTED_VALUE"""),30)</f>
        <v>30</v>
      </c>
      <c r="B444" s="69">
        <v>46830</v>
      </c>
    </row>
    <row r="445" spans="1:2" ht="12.5" hidden="1">
      <c r="A445" s="5">
        <f ca="1">IFERROR(__xludf.DUMMYFUNCTION("""COMPUTED_VALUE"""),79)</f>
        <v>79</v>
      </c>
      <c r="B445" s="69">
        <v>46831</v>
      </c>
    </row>
    <row r="446" spans="1:2" ht="12.5" hidden="1">
      <c r="A446" s="5">
        <f ca="1">IFERROR(__xludf.DUMMYFUNCTION("""COMPUTED_VALUE"""),70)</f>
        <v>70</v>
      </c>
      <c r="B446" s="69">
        <v>46832</v>
      </c>
    </row>
    <row r="447" spans="1:2" ht="12.5" hidden="1">
      <c r="A447" s="5">
        <f ca="1">IFERROR(__xludf.DUMMYFUNCTION("""COMPUTED_VALUE"""),58)</f>
        <v>58</v>
      </c>
      <c r="B447" s="69">
        <v>46833</v>
      </c>
    </row>
    <row r="448" spans="1:2" ht="12.5" hidden="1">
      <c r="A448" s="5">
        <f ca="1">IFERROR(__xludf.DUMMYFUNCTION("""COMPUTED_VALUE"""),30)</f>
        <v>30</v>
      </c>
      <c r="B448" s="69">
        <v>46834</v>
      </c>
    </row>
    <row r="449" spans="1:2" ht="12.5" hidden="1">
      <c r="A449" s="5">
        <f ca="1">IFERROR(__xludf.DUMMYFUNCTION("""COMPUTED_VALUE"""),95)</f>
        <v>95</v>
      </c>
      <c r="B449" s="69">
        <v>46835</v>
      </c>
    </row>
    <row r="450" spans="1:2" ht="12.5" hidden="1">
      <c r="A450" s="5">
        <f ca="1">IFERROR(__xludf.DUMMYFUNCTION("""COMPUTED_VALUE"""),45)</f>
        <v>45</v>
      </c>
      <c r="B450" s="69">
        <v>46836</v>
      </c>
    </row>
    <row r="451" spans="1:2" ht="12.5" hidden="1">
      <c r="A451" s="5">
        <f ca="1">IFERROR(__xludf.DUMMYFUNCTION("""COMPUTED_VALUE"""),53)</f>
        <v>53</v>
      </c>
      <c r="B451" s="69">
        <v>46837</v>
      </c>
    </row>
    <row r="452" spans="1:2" ht="12.5" hidden="1">
      <c r="A452" s="5">
        <f ca="1">IFERROR(__xludf.DUMMYFUNCTION("""COMPUTED_VALUE"""),66)</f>
        <v>66</v>
      </c>
      <c r="B452" s="69">
        <v>46838</v>
      </c>
    </row>
    <row r="453" spans="1:2" ht="12.5" hidden="1">
      <c r="A453" s="5">
        <f ca="1">IFERROR(__xludf.DUMMYFUNCTION("""COMPUTED_VALUE"""),95)</f>
        <v>95</v>
      </c>
      <c r="B453" s="69">
        <v>46839</v>
      </c>
    </row>
    <row r="454" spans="1:2" ht="12.5" hidden="1">
      <c r="A454" s="5">
        <f ca="1">IFERROR(__xludf.DUMMYFUNCTION("""COMPUTED_VALUE"""),32)</f>
        <v>32</v>
      </c>
      <c r="B454" s="69">
        <v>46840</v>
      </c>
    </row>
    <row r="455" spans="1:2" ht="12.5" hidden="1">
      <c r="A455" s="5">
        <f ca="1">IFERROR(__xludf.DUMMYFUNCTION("""COMPUTED_VALUE"""),52)</f>
        <v>52</v>
      </c>
      <c r="B455" s="69">
        <v>46841</v>
      </c>
    </row>
    <row r="456" spans="1:2" ht="12.5" hidden="1">
      <c r="A456" s="5">
        <f ca="1">IFERROR(__xludf.DUMMYFUNCTION("""COMPUTED_VALUE"""),59)</f>
        <v>59</v>
      </c>
      <c r="B456" s="69">
        <v>46842</v>
      </c>
    </row>
    <row r="457" spans="1:2" ht="12.5" hidden="1">
      <c r="A457" s="5">
        <f ca="1">IFERROR(__xludf.DUMMYFUNCTION("""COMPUTED_VALUE"""),95)</f>
        <v>95</v>
      </c>
      <c r="B457" s="69">
        <v>46843</v>
      </c>
    </row>
    <row r="458" spans="1:2" ht="12.5" hidden="1">
      <c r="A458" s="5">
        <f ca="1">IFERROR(__xludf.DUMMYFUNCTION("""COMPUTED_VALUE"""),29)</f>
        <v>29</v>
      </c>
      <c r="B458" s="69">
        <v>46844</v>
      </c>
    </row>
    <row r="459" spans="1:2" ht="12.5" hidden="1">
      <c r="A459" s="5">
        <f ca="1">IFERROR(__xludf.DUMMYFUNCTION("""COMPUTED_VALUE"""),53)</f>
        <v>53</v>
      </c>
      <c r="B459" s="69">
        <v>46845</v>
      </c>
    </row>
    <row r="460" spans="1:2" ht="12.5" hidden="1">
      <c r="A460" s="5">
        <f ca="1">IFERROR(__xludf.DUMMYFUNCTION("""COMPUTED_VALUE"""),12)</f>
        <v>12</v>
      </c>
      <c r="B460" s="69">
        <v>46846</v>
      </c>
    </row>
    <row r="461" spans="1:2" ht="12.5" hidden="1">
      <c r="A461" s="5">
        <f ca="1">IFERROR(__xludf.DUMMYFUNCTION("""COMPUTED_VALUE"""),49)</f>
        <v>49</v>
      </c>
      <c r="B461" s="69">
        <v>46847</v>
      </c>
    </row>
    <row r="462" spans="1:2" ht="12.5">
      <c r="A462" s="5">
        <f ca="1">IFERROR(__xludf.DUMMYFUNCTION("""COMPUTED_VALUE"""),51)</f>
        <v>51</v>
      </c>
      <c r="B462" s="69">
        <v>46848</v>
      </c>
    </row>
    <row r="463" spans="1:2" ht="12.5" hidden="1">
      <c r="A463" s="5">
        <f ca="1">IFERROR(__xludf.DUMMYFUNCTION("""COMPUTED_VALUE"""),4)</f>
        <v>4</v>
      </c>
      <c r="B463" s="69">
        <v>46849</v>
      </c>
    </row>
    <row r="464" spans="1:2" ht="12.5" hidden="1">
      <c r="A464" s="5">
        <f ca="1">IFERROR(__xludf.DUMMYFUNCTION("""COMPUTED_VALUE"""),53)</f>
        <v>53</v>
      </c>
      <c r="B464" s="69">
        <v>46850</v>
      </c>
    </row>
    <row r="465" spans="1:2" ht="12.5" hidden="1">
      <c r="A465" s="5">
        <f ca="1">IFERROR(__xludf.DUMMYFUNCTION("""COMPUTED_VALUE"""),7)</f>
        <v>7</v>
      </c>
      <c r="B465" s="69">
        <v>46851</v>
      </c>
    </row>
    <row r="466" spans="1:2" ht="12.5" hidden="1">
      <c r="A466" s="5">
        <f ca="1">IFERROR(__xludf.DUMMYFUNCTION("""COMPUTED_VALUE"""),41)</f>
        <v>41</v>
      </c>
      <c r="B466" s="69">
        <v>46852</v>
      </c>
    </row>
    <row r="467" spans="1:2" ht="12.5" hidden="1">
      <c r="A467" s="5">
        <f ca="1">IFERROR(__xludf.DUMMYFUNCTION("""COMPUTED_VALUE"""),31)</f>
        <v>31</v>
      </c>
      <c r="B467" s="69">
        <v>46853</v>
      </c>
    </row>
    <row r="468" spans="1:2" ht="12.5" hidden="1">
      <c r="A468" s="5">
        <f ca="1">IFERROR(__xludf.DUMMYFUNCTION("""COMPUTED_VALUE"""),21)</f>
        <v>21</v>
      </c>
      <c r="B468" s="69">
        <v>46854</v>
      </c>
    </row>
    <row r="469" spans="1:2" ht="12.5" hidden="1">
      <c r="A469" s="5">
        <f ca="1">IFERROR(__xludf.DUMMYFUNCTION("""COMPUTED_VALUE"""),95)</f>
        <v>95</v>
      </c>
      <c r="B469" s="69">
        <v>46855</v>
      </c>
    </row>
    <row r="470" spans="1:2" ht="12.5" hidden="1">
      <c r="A470" s="5">
        <f ca="1">IFERROR(__xludf.DUMMYFUNCTION("""COMPUTED_VALUE"""),24)</f>
        <v>24</v>
      </c>
      <c r="B470" s="69">
        <v>46856</v>
      </c>
    </row>
    <row r="471" spans="1:2" ht="12.5" hidden="1">
      <c r="A471" s="5">
        <f ca="1">IFERROR(__xludf.DUMMYFUNCTION("""COMPUTED_VALUE"""),20)</f>
        <v>20</v>
      </c>
      <c r="B471" s="69">
        <v>46857</v>
      </c>
    </row>
    <row r="472" spans="1:2" ht="12.5" hidden="1">
      <c r="A472" s="5">
        <f ca="1">IFERROR(__xludf.DUMMYFUNCTION("""COMPUTED_VALUE"""),95)</f>
        <v>95</v>
      </c>
      <c r="B472" s="69">
        <v>46858</v>
      </c>
    </row>
    <row r="473" spans="1:2" ht="12.5" hidden="1">
      <c r="A473" s="5">
        <f ca="1">IFERROR(__xludf.DUMMYFUNCTION("""COMPUTED_VALUE"""),1)</f>
        <v>1</v>
      </c>
      <c r="B473" s="69">
        <v>46859</v>
      </c>
    </row>
    <row r="474" spans="1:2" ht="12.5" hidden="1">
      <c r="A474" s="5">
        <f ca="1">IFERROR(__xludf.DUMMYFUNCTION("""COMPUTED_VALUE"""),41)</f>
        <v>41</v>
      </c>
      <c r="B474" s="69">
        <v>46860</v>
      </c>
    </row>
    <row r="475" spans="1:2" ht="12.5">
      <c r="A475" s="5">
        <f ca="1">IFERROR(__xludf.DUMMYFUNCTION("""COMPUTED_VALUE"""),51)</f>
        <v>51</v>
      </c>
      <c r="B475" s="69">
        <v>46861</v>
      </c>
    </row>
    <row r="476" spans="1:2" ht="12.5" hidden="1">
      <c r="A476" s="5">
        <f ca="1">IFERROR(__xludf.DUMMYFUNCTION("""COMPUTED_VALUE"""),29)</f>
        <v>29</v>
      </c>
      <c r="B476" s="69">
        <v>46862</v>
      </c>
    </row>
    <row r="477" spans="1:2" ht="12.5" hidden="1">
      <c r="A477" s="5">
        <f ca="1">IFERROR(__xludf.DUMMYFUNCTION("""COMPUTED_VALUE"""),32)</f>
        <v>32</v>
      </c>
      <c r="B477" s="69">
        <v>46863</v>
      </c>
    </row>
    <row r="478" spans="1:2" ht="12.5" hidden="1">
      <c r="A478" s="5">
        <f ca="1">IFERROR(__xludf.DUMMYFUNCTION("""COMPUTED_VALUE"""),52)</f>
        <v>52</v>
      </c>
      <c r="B478" s="69">
        <v>46864</v>
      </c>
    </row>
    <row r="479" spans="1:2" ht="12.5" hidden="1">
      <c r="A479" s="5">
        <f ca="1">IFERROR(__xludf.DUMMYFUNCTION("""COMPUTED_VALUE"""),44)</f>
        <v>44</v>
      </c>
      <c r="B479" s="69">
        <v>46865</v>
      </c>
    </row>
    <row r="480" spans="1:2" ht="12.5" hidden="1">
      <c r="A480" s="5">
        <f ca="1">IFERROR(__xludf.DUMMYFUNCTION("""COMPUTED_VALUE"""),95)</f>
        <v>95</v>
      </c>
      <c r="B480" s="69">
        <v>46866</v>
      </c>
    </row>
    <row r="481" spans="1:2" ht="12.5" hidden="1">
      <c r="A481" s="5">
        <f ca="1">IFERROR(__xludf.DUMMYFUNCTION("""COMPUTED_VALUE"""),95)</f>
        <v>95</v>
      </c>
      <c r="B481" s="69">
        <v>46867</v>
      </c>
    </row>
    <row r="482" spans="1:2" ht="12.5" hidden="1">
      <c r="A482" s="5">
        <f ca="1">IFERROR(__xludf.DUMMYFUNCTION("""COMPUTED_VALUE"""),95)</f>
        <v>95</v>
      </c>
      <c r="B482" s="69">
        <v>46868</v>
      </c>
    </row>
    <row r="483" spans="1:2" ht="12.5" hidden="1">
      <c r="A483" s="5">
        <f ca="1">IFERROR(__xludf.DUMMYFUNCTION("""COMPUTED_VALUE"""),52)</f>
        <v>52</v>
      </c>
      <c r="B483" s="69">
        <v>46869</v>
      </c>
    </row>
    <row r="484" spans="1:2" ht="12.5" hidden="1">
      <c r="A484" s="5">
        <f ca="1">IFERROR(__xludf.DUMMYFUNCTION("""COMPUTED_VALUE"""),95)</f>
        <v>95</v>
      </c>
      <c r="B484" s="69">
        <v>46870</v>
      </c>
    </row>
    <row r="485" spans="1:2" ht="12.5" hidden="1">
      <c r="A485" s="5">
        <f ca="1">IFERROR(__xludf.DUMMYFUNCTION("""COMPUTED_VALUE"""),95)</f>
        <v>95</v>
      </c>
      <c r="B485" s="69">
        <v>46871</v>
      </c>
    </row>
    <row r="486" spans="1:2" ht="12.5" hidden="1">
      <c r="A486" s="5">
        <f ca="1">IFERROR(__xludf.DUMMYFUNCTION("""COMPUTED_VALUE"""),26)</f>
        <v>26</v>
      </c>
      <c r="B486" s="69">
        <v>46872</v>
      </c>
    </row>
    <row r="487" spans="1:2" ht="12.5" hidden="1">
      <c r="A487" s="5">
        <f ca="1">IFERROR(__xludf.DUMMYFUNCTION("""COMPUTED_VALUE"""),49)</f>
        <v>49</v>
      </c>
      <c r="B487" s="69">
        <v>46873</v>
      </c>
    </row>
    <row r="488" spans="1:2" ht="12.5" hidden="1">
      <c r="A488" s="5">
        <f ca="1">IFERROR(__xludf.DUMMYFUNCTION("""COMPUTED_VALUE"""),23)</f>
        <v>23</v>
      </c>
      <c r="B488" s="69">
        <v>46874</v>
      </c>
    </row>
    <row r="489" spans="1:2" ht="12.5" hidden="1">
      <c r="A489" s="5">
        <f ca="1">IFERROR(__xludf.DUMMYFUNCTION("""COMPUTED_VALUE"""),95)</f>
        <v>95</v>
      </c>
      <c r="B489" s="69">
        <v>46875</v>
      </c>
    </row>
    <row r="490" spans="1:2" ht="12.5" hidden="1">
      <c r="A490" s="5">
        <f ca="1">IFERROR(__xludf.DUMMYFUNCTION("""COMPUTED_VALUE"""),4)</f>
        <v>4</v>
      </c>
      <c r="B490" s="69">
        <v>46876</v>
      </c>
    </row>
    <row r="491" spans="1:2" ht="12.5" hidden="1">
      <c r="A491" s="5">
        <f ca="1">IFERROR(__xludf.DUMMYFUNCTION("""COMPUTED_VALUE"""),95)</f>
        <v>95</v>
      </c>
      <c r="B491" s="69">
        <v>46877</v>
      </c>
    </row>
    <row r="492" spans="1:2" ht="12.5" hidden="1">
      <c r="A492" s="5">
        <f ca="1">IFERROR(__xludf.DUMMYFUNCTION("""COMPUTED_VALUE"""),95)</f>
        <v>95</v>
      </c>
      <c r="B492" s="69">
        <v>46878</v>
      </c>
    </row>
    <row r="493" spans="1:2" ht="12.5" hidden="1">
      <c r="A493" s="5">
        <f ca="1">IFERROR(__xludf.DUMMYFUNCTION("""COMPUTED_VALUE"""),95)</f>
        <v>95</v>
      </c>
      <c r="B493" s="69">
        <v>46879</v>
      </c>
    </row>
    <row r="494" spans="1:2" ht="12.5" hidden="1">
      <c r="A494" s="5">
        <f ca="1">IFERROR(__xludf.DUMMYFUNCTION("""COMPUTED_VALUE"""),67)</f>
        <v>67</v>
      </c>
      <c r="B494" s="69">
        <v>46880</v>
      </c>
    </row>
    <row r="495" spans="1:2" ht="12.5" hidden="1">
      <c r="A495" s="5">
        <f ca="1">IFERROR(__xludf.DUMMYFUNCTION("""COMPUTED_VALUE"""),64)</f>
        <v>64</v>
      </c>
      <c r="B495" s="69">
        <v>46881</v>
      </c>
    </row>
    <row r="496" spans="1:2" ht="12.5" hidden="1">
      <c r="A496" s="5">
        <f ca="1">IFERROR(__xludf.DUMMYFUNCTION("""COMPUTED_VALUE"""),32)</f>
        <v>32</v>
      </c>
      <c r="B496" s="69">
        <v>46882</v>
      </c>
    </row>
    <row r="497" spans="1:2" ht="12.5" hidden="1">
      <c r="A497" s="5">
        <f ca="1">IFERROR(__xludf.DUMMYFUNCTION("""COMPUTED_VALUE"""),21)</f>
        <v>21</v>
      </c>
      <c r="B497" s="69">
        <v>46883</v>
      </c>
    </row>
    <row r="498" spans="1:2" ht="12.5" hidden="1">
      <c r="A498" s="5">
        <f ca="1">IFERROR(__xludf.DUMMYFUNCTION("""COMPUTED_VALUE"""),95)</f>
        <v>95</v>
      </c>
      <c r="B498" s="69">
        <v>46884</v>
      </c>
    </row>
    <row r="499" spans="1:2" ht="12.5" hidden="1">
      <c r="A499" s="5">
        <f ca="1">IFERROR(__xludf.DUMMYFUNCTION("""COMPUTED_VALUE"""),95)</f>
        <v>95</v>
      </c>
      <c r="B499" s="69">
        <v>46885</v>
      </c>
    </row>
    <row r="500" spans="1:2" ht="12.5" hidden="1">
      <c r="A500" s="5">
        <f ca="1">IFERROR(__xludf.DUMMYFUNCTION("""COMPUTED_VALUE"""),73)</f>
        <v>73</v>
      </c>
      <c r="B500" s="69">
        <v>46886</v>
      </c>
    </row>
    <row r="501" spans="1:2" ht="12.5" hidden="1">
      <c r="A501" s="5">
        <f ca="1">IFERROR(__xludf.DUMMYFUNCTION("""COMPUTED_VALUE"""),70)</f>
        <v>70</v>
      </c>
      <c r="B501" s="69">
        <v>46887</v>
      </c>
    </row>
    <row r="502" spans="1:2" ht="12.5" hidden="1">
      <c r="A502" s="5">
        <f ca="1">IFERROR(__xludf.DUMMYFUNCTION("""COMPUTED_VALUE"""),57)</f>
        <v>57</v>
      </c>
      <c r="B502" s="69">
        <v>46888</v>
      </c>
    </row>
    <row r="503" spans="1:2" ht="12.5" hidden="1">
      <c r="A503" s="5">
        <f ca="1">IFERROR(__xludf.DUMMYFUNCTION("""COMPUTED_VALUE"""),5)</f>
        <v>5</v>
      </c>
      <c r="B503" s="69">
        <v>46889</v>
      </c>
    </row>
    <row r="504" spans="1:2" ht="12.5" hidden="1">
      <c r="A504" s="5">
        <f ca="1">IFERROR(__xludf.DUMMYFUNCTION("""COMPUTED_VALUE"""),95)</f>
        <v>95</v>
      </c>
      <c r="B504" s="69">
        <v>46890</v>
      </c>
    </row>
    <row r="505" spans="1:2" ht="12.5" hidden="1">
      <c r="A505" s="5">
        <f ca="1">IFERROR(__xludf.DUMMYFUNCTION("""COMPUTED_VALUE"""),26)</f>
        <v>26</v>
      </c>
      <c r="B505" s="69">
        <v>46891</v>
      </c>
    </row>
    <row r="506" spans="1:2" ht="12.5" hidden="1">
      <c r="A506" s="5">
        <f ca="1">IFERROR(__xludf.DUMMYFUNCTION("""COMPUTED_VALUE"""),95)</f>
        <v>95</v>
      </c>
      <c r="B506" s="69">
        <v>46892</v>
      </c>
    </row>
    <row r="507" spans="1:2" ht="12.5" hidden="1">
      <c r="A507" s="5">
        <f ca="1">IFERROR(__xludf.DUMMYFUNCTION("""COMPUTED_VALUE"""),95)</f>
        <v>95</v>
      </c>
      <c r="B507" s="69">
        <v>46893</v>
      </c>
    </row>
    <row r="508" spans="1:2" ht="12.5" hidden="1">
      <c r="A508" s="5">
        <f ca="1">IFERROR(__xludf.DUMMYFUNCTION("""COMPUTED_VALUE"""),26)</f>
        <v>26</v>
      </c>
      <c r="B508" s="69">
        <v>46894</v>
      </c>
    </row>
    <row r="509" spans="1:2" ht="12.5" hidden="1">
      <c r="A509" s="5">
        <f ca="1">IFERROR(__xludf.DUMMYFUNCTION("""COMPUTED_VALUE"""),45)</f>
        <v>45</v>
      </c>
      <c r="B509" s="69">
        <v>46895</v>
      </c>
    </row>
    <row r="510" spans="1:2" ht="12.5" hidden="1">
      <c r="A510" s="5">
        <f ca="1">IFERROR(__xludf.DUMMYFUNCTION("""COMPUTED_VALUE"""),95)</f>
        <v>95</v>
      </c>
      <c r="B510" s="69">
        <v>46896</v>
      </c>
    </row>
    <row r="511" spans="1:2" ht="12.5" hidden="1">
      <c r="A511" s="5">
        <f ca="1">IFERROR(__xludf.DUMMYFUNCTION("""COMPUTED_VALUE"""),32)</f>
        <v>32</v>
      </c>
      <c r="B511" s="69">
        <v>46897</v>
      </c>
    </row>
    <row r="512" spans="1:2" ht="12.5" hidden="1">
      <c r="A512" s="5">
        <f ca="1">IFERROR(__xludf.DUMMYFUNCTION("""COMPUTED_VALUE"""),10)</f>
        <v>10</v>
      </c>
      <c r="B512" s="69">
        <v>46898</v>
      </c>
    </row>
    <row r="513" spans="1:2" ht="12.5" hidden="1">
      <c r="A513" s="5">
        <f ca="1">IFERROR(__xludf.DUMMYFUNCTION("""COMPUTED_VALUE"""),4)</f>
        <v>4</v>
      </c>
      <c r="B513" s="69">
        <v>46899</v>
      </c>
    </row>
    <row r="514" spans="1:2" ht="12.5" hidden="1">
      <c r="A514" s="5">
        <f ca="1">IFERROR(__xludf.DUMMYFUNCTION("""COMPUTED_VALUE"""),52)</f>
        <v>52</v>
      </c>
      <c r="B514" s="69">
        <v>46900</v>
      </c>
    </row>
    <row r="515" spans="1:2" ht="12.5" hidden="1">
      <c r="A515" s="5">
        <f ca="1">IFERROR(__xludf.DUMMYFUNCTION("""COMPUTED_VALUE"""),95)</f>
        <v>95</v>
      </c>
      <c r="B515" s="69">
        <v>46901</v>
      </c>
    </row>
    <row r="516" spans="1:2" ht="12.5" hidden="1">
      <c r="A516" s="5">
        <f ca="1">IFERROR(__xludf.DUMMYFUNCTION("""COMPUTED_VALUE"""),52)</f>
        <v>52</v>
      </c>
      <c r="B516" s="69">
        <v>46902</v>
      </c>
    </row>
    <row r="517" spans="1:2" ht="12.5" hidden="1">
      <c r="A517" s="5">
        <f ca="1">IFERROR(__xludf.DUMMYFUNCTION("""COMPUTED_VALUE"""),32)</f>
        <v>32</v>
      </c>
      <c r="B517" s="69">
        <v>46903</v>
      </c>
    </row>
    <row r="518" spans="1:2" ht="12.5" hidden="1">
      <c r="A518" s="5">
        <f ca="1">IFERROR(__xludf.DUMMYFUNCTION("""COMPUTED_VALUE"""),95)</f>
        <v>95</v>
      </c>
      <c r="B518" s="69">
        <v>46904</v>
      </c>
    </row>
    <row r="519" spans="1:2" ht="12.5" hidden="1">
      <c r="A519" s="5">
        <f ca="1">IFERROR(__xludf.DUMMYFUNCTION("""COMPUTED_VALUE"""),95)</f>
        <v>95</v>
      </c>
      <c r="B519" s="69">
        <v>46905</v>
      </c>
    </row>
    <row r="520" spans="1:2" ht="12.5" hidden="1">
      <c r="A520" s="5">
        <f ca="1">IFERROR(__xludf.DUMMYFUNCTION("""COMPUTED_VALUE"""),31)</f>
        <v>31</v>
      </c>
      <c r="B520" s="69">
        <v>46906</v>
      </c>
    </row>
    <row r="521" spans="1:2" ht="12.5" hidden="1">
      <c r="A521" s="5">
        <f ca="1">IFERROR(__xludf.DUMMYFUNCTION("""COMPUTED_VALUE"""),29)</f>
        <v>29</v>
      </c>
      <c r="B521" s="69">
        <v>46907</v>
      </c>
    </row>
    <row r="522" spans="1:2" ht="12.5" hidden="1">
      <c r="A522" s="5">
        <f ca="1">IFERROR(__xludf.DUMMYFUNCTION("""COMPUTED_VALUE"""),67)</f>
        <v>67</v>
      </c>
      <c r="B522" s="69">
        <v>46908</v>
      </c>
    </row>
    <row r="523" spans="1:2" ht="12.5" hidden="1">
      <c r="A523" s="5">
        <f ca="1">IFERROR(__xludf.DUMMYFUNCTION("""COMPUTED_VALUE"""),18)</f>
        <v>18</v>
      </c>
      <c r="B523" s="69">
        <v>46909</v>
      </c>
    </row>
    <row r="524" spans="1:2" ht="12.5" hidden="1">
      <c r="A524" s="5">
        <f ca="1">IFERROR(__xludf.DUMMYFUNCTION("""COMPUTED_VALUE"""),30)</f>
        <v>30</v>
      </c>
      <c r="B524" s="69">
        <v>46910</v>
      </c>
    </row>
    <row r="525" spans="1:2" ht="12.5" hidden="1">
      <c r="A525" s="5">
        <f ca="1">IFERROR(__xludf.DUMMYFUNCTION("""COMPUTED_VALUE"""),95)</f>
        <v>95</v>
      </c>
      <c r="B525" s="69">
        <v>46911</v>
      </c>
    </row>
    <row r="526" spans="1:2" ht="12.5" hidden="1">
      <c r="A526" s="5">
        <f ca="1">IFERROR(__xludf.DUMMYFUNCTION("""COMPUTED_VALUE"""),26)</f>
        <v>26</v>
      </c>
      <c r="B526" s="69">
        <v>46912</v>
      </c>
    </row>
    <row r="527" spans="1:2" ht="12.5" hidden="1">
      <c r="A527" s="5">
        <f ca="1">IFERROR(__xludf.DUMMYFUNCTION("""COMPUTED_VALUE"""),95)</f>
        <v>95</v>
      </c>
      <c r="B527" s="69">
        <v>46913</v>
      </c>
    </row>
    <row r="528" spans="1:2" ht="12.5" hidden="1">
      <c r="A528" s="5">
        <f ca="1">IFERROR(__xludf.DUMMYFUNCTION("""COMPUTED_VALUE"""),26)</f>
        <v>26</v>
      </c>
      <c r="B528" s="69">
        <v>46914</v>
      </c>
    </row>
    <row r="529" spans="1:2" ht="12.5" hidden="1">
      <c r="A529" s="5">
        <f ca="1">IFERROR(__xludf.DUMMYFUNCTION("""COMPUTED_VALUE"""),95)</f>
        <v>95</v>
      </c>
      <c r="B529" s="69">
        <v>46915</v>
      </c>
    </row>
    <row r="530" spans="1:2" ht="12.5" hidden="1">
      <c r="A530" s="5">
        <f ca="1">IFERROR(__xludf.DUMMYFUNCTION("""COMPUTED_VALUE"""),37)</f>
        <v>37</v>
      </c>
      <c r="B530" s="69">
        <v>46916</v>
      </c>
    </row>
    <row r="531" spans="1:2" ht="12.5" hidden="1">
      <c r="A531" s="5">
        <f ca="1">IFERROR(__xludf.DUMMYFUNCTION("""COMPUTED_VALUE"""),29)</f>
        <v>29</v>
      </c>
      <c r="B531" s="69">
        <v>46917</v>
      </c>
    </row>
    <row r="532" spans="1:2" ht="12.5" hidden="1">
      <c r="A532" s="5">
        <f ca="1">IFERROR(__xludf.DUMMYFUNCTION("""COMPUTED_VALUE"""),45)</f>
        <v>45</v>
      </c>
      <c r="B532" s="69">
        <v>46918</v>
      </c>
    </row>
    <row r="533" spans="1:2" ht="12.5" hidden="1">
      <c r="A533" s="5">
        <f ca="1">IFERROR(__xludf.DUMMYFUNCTION("""COMPUTED_VALUE"""),29)</f>
        <v>29</v>
      </c>
      <c r="B533" s="69">
        <v>46919</v>
      </c>
    </row>
    <row r="534" spans="1:2" ht="12.5" hidden="1">
      <c r="A534" s="5">
        <f ca="1">IFERROR(__xludf.DUMMYFUNCTION("""COMPUTED_VALUE"""),21)</f>
        <v>21</v>
      </c>
      <c r="B534" s="69">
        <v>46920</v>
      </c>
    </row>
    <row r="535" spans="1:2" ht="12.5" hidden="1">
      <c r="A535" s="5">
        <f ca="1">IFERROR(__xludf.DUMMYFUNCTION("""COMPUTED_VALUE"""),95)</f>
        <v>95</v>
      </c>
      <c r="B535" s="69">
        <v>46921</v>
      </c>
    </row>
    <row r="536" spans="1:2" ht="12.5" hidden="1">
      <c r="A536" s="5">
        <f ca="1">IFERROR(__xludf.DUMMYFUNCTION("""COMPUTED_VALUE"""),30)</f>
        <v>30</v>
      </c>
      <c r="B536" s="69">
        <v>46922</v>
      </c>
    </row>
    <row r="537" spans="1:2" ht="12.5" hidden="1">
      <c r="A537" s="5">
        <f ca="1">IFERROR(__xludf.DUMMYFUNCTION("""COMPUTED_VALUE"""),53)</f>
        <v>53</v>
      </c>
      <c r="B537" s="69">
        <v>46923</v>
      </c>
    </row>
    <row r="538" spans="1:2" ht="12.5" hidden="1">
      <c r="A538" s="5">
        <f ca="1">IFERROR(__xludf.DUMMYFUNCTION("""COMPUTED_VALUE"""),52)</f>
        <v>52</v>
      </c>
      <c r="B538" s="69">
        <v>46924</v>
      </c>
    </row>
    <row r="539" spans="1:2" ht="12.5" hidden="1">
      <c r="A539" s="5">
        <f ca="1">IFERROR(__xludf.DUMMYFUNCTION("""COMPUTED_VALUE"""),43)</f>
        <v>43</v>
      </c>
      <c r="B539" s="69">
        <v>46925</v>
      </c>
    </row>
    <row r="540" spans="1:2" ht="12.5" hidden="1">
      <c r="A540" s="5">
        <f ca="1">IFERROR(__xludf.DUMMYFUNCTION("""COMPUTED_VALUE"""),29)</f>
        <v>29</v>
      </c>
      <c r="B540" s="69">
        <v>46926</v>
      </c>
    </row>
    <row r="541" spans="1:2" ht="12.5" hidden="1">
      <c r="A541" s="5">
        <f ca="1">IFERROR(__xludf.DUMMYFUNCTION("""COMPUTED_VALUE"""),29)</f>
        <v>29</v>
      </c>
      <c r="B541" s="69">
        <v>46927</v>
      </c>
    </row>
    <row r="542" spans="1:2" ht="12.5" hidden="1">
      <c r="A542" s="5">
        <f ca="1">IFERROR(__xludf.DUMMYFUNCTION("""COMPUTED_VALUE"""),67)</f>
        <v>67</v>
      </c>
      <c r="B542" s="69">
        <v>46928</v>
      </c>
    </row>
    <row r="543" spans="1:2" ht="12.5" hidden="1">
      <c r="A543" s="5">
        <f ca="1">IFERROR(__xludf.DUMMYFUNCTION("""COMPUTED_VALUE"""),95)</f>
        <v>95</v>
      </c>
      <c r="B543" s="69">
        <v>46929</v>
      </c>
    </row>
    <row r="544" spans="1:2" ht="12.5" hidden="1">
      <c r="A544" s="5">
        <f ca="1">IFERROR(__xludf.DUMMYFUNCTION("""COMPUTED_VALUE"""),64)</f>
        <v>64</v>
      </c>
      <c r="B544" s="69">
        <v>46930</v>
      </c>
    </row>
    <row r="545" spans="1:2" ht="12.5" hidden="1">
      <c r="A545" s="5">
        <f ca="1">IFERROR(__xludf.DUMMYFUNCTION("""COMPUTED_VALUE"""),50)</f>
        <v>50</v>
      </c>
      <c r="B545" s="69">
        <v>46931</v>
      </c>
    </row>
    <row r="546" spans="1:2" ht="12.5" hidden="1">
      <c r="A546" s="5">
        <f ca="1">IFERROR(__xludf.DUMMYFUNCTION("""COMPUTED_VALUE"""),18)</f>
        <v>18</v>
      </c>
      <c r="B546" s="69">
        <v>46932</v>
      </c>
    </row>
    <row r="547" spans="1:2" ht="12.5" hidden="1">
      <c r="A547" s="5">
        <f ca="1">IFERROR(__xludf.DUMMYFUNCTION("""COMPUTED_VALUE"""),32)</f>
        <v>32</v>
      </c>
      <c r="B547" s="69">
        <v>46933</v>
      </c>
    </row>
    <row r="548" spans="1:2" ht="12.5">
      <c r="A548" s="5">
        <f ca="1">IFERROR(__xludf.DUMMYFUNCTION("""COMPUTED_VALUE"""),51)</f>
        <v>51</v>
      </c>
      <c r="B548" s="69">
        <v>46934</v>
      </c>
    </row>
    <row r="549" spans="1:2" ht="12.5" hidden="1">
      <c r="A549" s="5">
        <f ca="1">IFERROR(__xludf.DUMMYFUNCTION("""COMPUTED_VALUE"""),45)</f>
        <v>45</v>
      </c>
      <c r="B549" s="69">
        <v>46935</v>
      </c>
    </row>
    <row r="550" spans="1:2" ht="12.5" hidden="1">
      <c r="A550" s="5">
        <f ca="1">IFERROR(__xludf.DUMMYFUNCTION("""COMPUTED_VALUE"""),69)</f>
        <v>69</v>
      </c>
      <c r="B550" s="69">
        <v>46936</v>
      </c>
    </row>
    <row r="551" spans="1:2" ht="12.5" hidden="1">
      <c r="A551" s="5">
        <f ca="1">IFERROR(__xludf.DUMMYFUNCTION("""COMPUTED_VALUE"""),62)</f>
        <v>62</v>
      </c>
      <c r="B551" s="69">
        <v>46937</v>
      </c>
    </row>
    <row r="552" spans="1:2" ht="12.5" hidden="1">
      <c r="A552" s="5">
        <f ca="1">IFERROR(__xludf.DUMMYFUNCTION("""COMPUTED_VALUE"""),42)</f>
        <v>42</v>
      </c>
      <c r="B552" s="69">
        <v>46938</v>
      </c>
    </row>
    <row r="553" spans="1:2" ht="12.5" hidden="1">
      <c r="A553" s="5">
        <f ca="1">IFERROR(__xludf.DUMMYFUNCTION("""COMPUTED_VALUE"""),32)</f>
        <v>32</v>
      </c>
      <c r="B553" s="69">
        <v>46939</v>
      </c>
    </row>
    <row r="554" spans="1:2" ht="12.5" hidden="1">
      <c r="A554" s="5">
        <f ca="1">IFERROR(__xludf.DUMMYFUNCTION("""COMPUTED_VALUE"""),95)</f>
        <v>95</v>
      </c>
      <c r="B554" s="69">
        <v>46940</v>
      </c>
    </row>
    <row r="555" spans="1:2" ht="12.5" hidden="1">
      <c r="A555" s="5">
        <f ca="1">IFERROR(__xludf.DUMMYFUNCTION("""COMPUTED_VALUE"""),53)</f>
        <v>53</v>
      </c>
      <c r="B555" s="69">
        <v>46941</v>
      </c>
    </row>
    <row r="556" spans="1:2" ht="12.5" hidden="1">
      <c r="A556" s="5">
        <f ca="1">IFERROR(__xludf.DUMMYFUNCTION("""COMPUTED_VALUE"""),32)</f>
        <v>32</v>
      </c>
      <c r="B556" s="69">
        <v>46942</v>
      </c>
    </row>
    <row r="557" spans="1:2" ht="12.5" hidden="1">
      <c r="A557" s="5">
        <f ca="1">IFERROR(__xludf.DUMMYFUNCTION("""COMPUTED_VALUE"""),38)</f>
        <v>38</v>
      </c>
      <c r="B557" s="69">
        <v>46943</v>
      </c>
    </row>
    <row r="558" spans="1:2" ht="12.5" hidden="1">
      <c r="A558" s="5">
        <f ca="1">IFERROR(__xludf.DUMMYFUNCTION("""COMPUTED_VALUE"""),20)</f>
        <v>20</v>
      </c>
      <c r="B558" s="69">
        <v>46944</v>
      </c>
    </row>
    <row r="559" spans="1:2" ht="12.5" hidden="1">
      <c r="A559" s="5">
        <f ca="1">IFERROR(__xludf.DUMMYFUNCTION("""COMPUTED_VALUE"""),41)</f>
        <v>41</v>
      </c>
      <c r="B559" s="69">
        <v>46945</v>
      </c>
    </row>
    <row r="560" spans="1:2" ht="12.5" hidden="1">
      <c r="A560" s="5">
        <f ca="1">IFERROR(__xludf.DUMMYFUNCTION("""COMPUTED_VALUE"""),31)</f>
        <v>31</v>
      </c>
      <c r="B560" s="69">
        <v>46946</v>
      </c>
    </row>
    <row r="561" spans="1:2" ht="12.5" hidden="1">
      <c r="A561" s="5">
        <f ca="1">IFERROR(__xludf.DUMMYFUNCTION("""COMPUTED_VALUE"""),95)</f>
        <v>95</v>
      </c>
      <c r="B561" s="69">
        <v>46947</v>
      </c>
    </row>
    <row r="562" spans="1:2" ht="12.5" hidden="1">
      <c r="A562" s="5">
        <f ca="1">IFERROR(__xludf.DUMMYFUNCTION("""COMPUTED_VALUE"""),46)</f>
        <v>46</v>
      </c>
      <c r="B562" s="69">
        <v>46948</v>
      </c>
    </row>
    <row r="563" spans="1:2" ht="12.5" hidden="1">
      <c r="A563" s="5">
        <f ca="1">IFERROR(__xludf.DUMMYFUNCTION("""COMPUTED_VALUE"""),45)</f>
        <v>45</v>
      </c>
      <c r="B563" s="69">
        <v>46949</v>
      </c>
    </row>
    <row r="564" spans="1:2" ht="12.5" hidden="1">
      <c r="A564" s="5">
        <f ca="1">IFERROR(__xludf.DUMMYFUNCTION("""COMPUTED_VALUE"""),31)</f>
        <v>31</v>
      </c>
      <c r="B564" s="69">
        <v>46950</v>
      </c>
    </row>
    <row r="565" spans="1:2" ht="12.5" hidden="1">
      <c r="A565" s="5">
        <f ca="1">IFERROR(__xludf.DUMMYFUNCTION("""COMPUTED_VALUE"""),44)</f>
        <v>44</v>
      </c>
      <c r="B565" s="69">
        <v>46951</v>
      </c>
    </row>
    <row r="566" spans="1:2" ht="12.5" hidden="1">
      <c r="A566" s="5">
        <f ca="1">IFERROR(__xludf.DUMMYFUNCTION("""COMPUTED_VALUE"""),31)</f>
        <v>31</v>
      </c>
      <c r="B566" s="69">
        <v>46952</v>
      </c>
    </row>
    <row r="567" spans="1:2" ht="12.5" hidden="1">
      <c r="A567" s="5">
        <f ca="1">IFERROR(__xludf.DUMMYFUNCTION("""COMPUTED_VALUE"""),5)</f>
        <v>5</v>
      </c>
      <c r="B567" s="69">
        <v>46953</v>
      </c>
    </row>
    <row r="568" spans="1:2" ht="12.5" hidden="1">
      <c r="A568" s="5">
        <f ca="1">IFERROR(__xludf.DUMMYFUNCTION("""COMPUTED_VALUE"""),95)</f>
        <v>95</v>
      </c>
      <c r="B568" s="69">
        <v>46954</v>
      </c>
    </row>
    <row r="569" spans="1:2" ht="12.5" hidden="1">
      <c r="A569" s="5">
        <f ca="1">IFERROR(__xludf.DUMMYFUNCTION("""COMPUTED_VALUE"""),95)</f>
        <v>95</v>
      </c>
      <c r="B569" s="69">
        <v>46955</v>
      </c>
    </row>
    <row r="570" spans="1:2" ht="12.5" hidden="1">
      <c r="A570" s="5">
        <f ca="1">IFERROR(__xludf.DUMMYFUNCTION("""COMPUTED_VALUE"""),95)</f>
        <v>95</v>
      </c>
      <c r="B570" s="69">
        <v>46956</v>
      </c>
    </row>
    <row r="571" spans="1:2" ht="12.5" hidden="1">
      <c r="A571" s="5">
        <f ca="1">IFERROR(__xludf.DUMMYFUNCTION("""COMPUTED_VALUE"""),95)</f>
        <v>95</v>
      </c>
      <c r="B571" s="69">
        <v>46957</v>
      </c>
    </row>
    <row r="572" spans="1:2" ht="12.5" hidden="1">
      <c r="A572" s="5">
        <f ca="1">IFERROR(__xludf.DUMMYFUNCTION("""COMPUTED_VALUE"""),95)</f>
        <v>95</v>
      </c>
      <c r="B572" s="69">
        <v>46958</v>
      </c>
    </row>
    <row r="573" spans="1:2" ht="12.5" hidden="1">
      <c r="A573" s="5">
        <f ca="1">IFERROR(__xludf.DUMMYFUNCTION("""COMPUTED_VALUE"""),95)</f>
        <v>95</v>
      </c>
      <c r="B573" s="69">
        <v>46959</v>
      </c>
    </row>
    <row r="574" spans="1:2" ht="12.5">
      <c r="A574" s="5">
        <f ca="1">IFERROR(__xludf.DUMMYFUNCTION("""COMPUTED_VALUE"""),51)</f>
        <v>51</v>
      </c>
      <c r="B574" s="69">
        <v>46960</v>
      </c>
    </row>
    <row r="575" spans="1:2" ht="12.5" hidden="1">
      <c r="A575" s="5">
        <f ca="1">IFERROR(__xludf.DUMMYFUNCTION("""COMPUTED_VALUE"""),95)</f>
        <v>95</v>
      </c>
      <c r="B575" s="69">
        <v>46961</v>
      </c>
    </row>
    <row r="576" spans="1:2" ht="12.5" hidden="1">
      <c r="A576" s="5">
        <f ca="1">IFERROR(__xludf.DUMMYFUNCTION("""COMPUTED_VALUE"""),45)</f>
        <v>45</v>
      </c>
      <c r="B576" s="69">
        <v>46962</v>
      </c>
    </row>
    <row r="577" spans="1:2" ht="12.5" hidden="1">
      <c r="A577" s="5">
        <f ca="1">IFERROR(__xludf.DUMMYFUNCTION("""COMPUTED_VALUE"""),95)</f>
        <v>95</v>
      </c>
      <c r="B577" s="69">
        <v>46963</v>
      </c>
    </row>
    <row r="578" spans="1:2" ht="12.5" hidden="1">
      <c r="A578" s="5">
        <f ca="1">IFERROR(__xludf.DUMMYFUNCTION("""COMPUTED_VALUE"""),95)</f>
        <v>95</v>
      </c>
      <c r="B578" s="69">
        <v>46964</v>
      </c>
    </row>
    <row r="579" spans="1:2" ht="12.5" hidden="1">
      <c r="A579" s="5">
        <f ca="1">IFERROR(__xludf.DUMMYFUNCTION("""COMPUTED_VALUE"""),95)</f>
        <v>95</v>
      </c>
      <c r="B579" s="69">
        <v>46965</v>
      </c>
    </row>
    <row r="580" spans="1:2" ht="12.5" hidden="1">
      <c r="A580" s="5">
        <f ca="1">IFERROR(__xludf.DUMMYFUNCTION("""COMPUTED_VALUE"""),40)</f>
        <v>40</v>
      </c>
      <c r="B580" s="69">
        <v>46966</v>
      </c>
    </row>
    <row r="581" spans="1:2" ht="12.5" hidden="1">
      <c r="A581" s="5">
        <f ca="1">IFERROR(__xludf.DUMMYFUNCTION("""COMPUTED_VALUE"""),49)</f>
        <v>49</v>
      </c>
      <c r="B581" s="69">
        <v>46967</v>
      </c>
    </row>
    <row r="582" spans="1:2" ht="12.5" hidden="1">
      <c r="A582" s="5">
        <f ca="1">IFERROR(__xludf.DUMMYFUNCTION("""COMPUTED_VALUE"""),66)</f>
        <v>66</v>
      </c>
      <c r="B582" s="69">
        <v>46968</v>
      </c>
    </row>
    <row r="583" spans="1:2" ht="12.5" hidden="1">
      <c r="A583" s="5">
        <f ca="1">IFERROR(__xludf.DUMMYFUNCTION("""COMPUTED_VALUE"""),38)</f>
        <v>38</v>
      </c>
      <c r="B583" s="69">
        <v>46969</v>
      </c>
    </row>
    <row r="584" spans="1:2" ht="12.5" hidden="1">
      <c r="A584" s="5">
        <f ca="1">IFERROR(__xludf.DUMMYFUNCTION("""COMPUTED_VALUE"""),29)</f>
        <v>29</v>
      </c>
      <c r="B584" s="69">
        <v>46970</v>
      </c>
    </row>
    <row r="585" spans="1:2" ht="12.5" hidden="1">
      <c r="A585" s="5">
        <f ca="1">IFERROR(__xludf.DUMMYFUNCTION("""COMPUTED_VALUE"""),31)</f>
        <v>31</v>
      </c>
      <c r="B585" s="69">
        <v>46971</v>
      </c>
    </row>
    <row r="586" spans="1:2" ht="12.5" hidden="1">
      <c r="A586" s="5">
        <f ca="1">IFERROR(__xludf.DUMMYFUNCTION("""COMPUTED_VALUE"""),45)</f>
        <v>45</v>
      </c>
      <c r="B586" s="69">
        <v>46972</v>
      </c>
    </row>
    <row r="587" spans="1:2" ht="12.5" hidden="1">
      <c r="A587" s="5">
        <f ca="1">IFERROR(__xludf.DUMMYFUNCTION("""COMPUTED_VALUE"""),53)</f>
        <v>53</v>
      </c>
      <c r="B587" s="69">
        <v>46973</v>
      </c>
    </row>
    <row r="588" spans="1:2" ht="12.5" hidden="1">
      <c r="A588" s="5">
        <f ca="1">IFERROR(__xludf.DUMMYFUNCTION("""COMPUTED_VALUE"""),62)</f>
        <v>62</v>
      </c>
      <c r="B588" s="69">
        <v>46974</v>
      </c>
    </row>
    <row r="589" spans="1:2" ht="12.5" hidden="1">
      <c r="A589" s="5">
        <f ca="1">IFERROR(__xludf.DUMMYFUNCTION("""COMPUTED_VALUE"""),63)</f>
        <v>63</v>
      </c>
      <c r="B589" s="69">
        <v>46975</v>
      </c>
    </row>
    <row r="590" spans="1:2" ht="12.5" hidden="1">
      <c r="A590" s="5">
        <f ca="1">IFERROR(__xludf.DUMMYFUNCTION("""COMPUTED_VALUE"""),95)</f>
        <v>95</v>
      </c>
      <c r="B590" s="69">
        <v>46976</v>
      </c>
    </row>
    <row r="591" spans="1:2" ht="12.5" hidden="1">
      <c r="A591" s="5">
        <f ca="1">IFERROR(__xludf.DUMMYFUNCTION("""COMPUTED_VALUE"""),23)</f>
        <v>23</v>
      </c>
      <c r="B591" s="69">
        <v>46977</v>
      </c>
    </row>
    <row r="592" spans="1:2" ht="12.5" hidden="1">
      <c r="A592" s="5">
        <f ca="1">IFERROR(__xludf.DUMMYFUNCTION("""COMPUTED_VALUE"""),95)</f>
        <v>95</v>
      </c>
      <c r="B592" s="69">
        <v>46978</v>
      </c>
    </row>
    <row r="593" spans="1:2" ht="12.5" hidden="1">
      <c r="A593" s="5">
        <f ca="1">IFERROR(__xludf.DUMMYFUNCTION("""COMPUTED_VALUE"""),52)</f>
        <v>52</v>
      </c>
      <c r="B593" s="69">
        <v>46979</v>
      </c>
    </row>
    <row r="594" spans="1:2" ht="12.5" hidden="1">
      <c r="A594" s="5">
        <f ca="1">IFERROR(__xludf.DUMMYFUNCTION("""COMPUTED_VALUE"""),95)</f>
        <v>95</v>
      </c>
      <c r="B594" s="69">
        <v>46980</v>
      </c>
    </row>
    <row r="595" spans="1:2" ht="12.5" hidden="1">
      <c r="A595" s="5">
        <f ca="1">IFERROR(__xludf.DUMMYFUNCTION("""COMPUTED_VALUE"""),95)</f>
        <v>95</v>
      </c>
      <c r="B595" s="69">
        <v>46981</v>
      </c>
    </row>
    <row r="596" spans="1:2" ht="12.5" hidden="1">
      <c r="A596" s="5">
        <f ca="1">IFERROR(__xludf.DUMMYFUNCTION("""COMPUTED_VALUE"""),66)</f>
        <v>66</v>
      </c>
      <c r="B596" s="69">
        <v>46982</v>
      </c>
    </row>
    <row r="597" spans="1:2" ht="12.5" hidden="1">
      <c r="A597" s="5">
        <f ca="1">IFERROR(__xludf.DUMMYFUNCTION("""COMPUTED_VALUE"""),95)</f>
        <v>95</v>
      </c>
      <c r="B597" s="69">
        <v>46983</v>
      </c>
    </row>
    <row r="598" spans="1:2" ht="12.5" hidden="1">
      <c r="A598" s="5">
        <f ca="1">IFERROR(__xludf.DUMMYFUNCTION("""COMPUTED_VALUE"""),1)</f>
        <v>1</v>
      </c>
      <c r="B598" s="69">
        <v>46984</v>
      </c>
    </row>
    <row r="599" spans="1:2" ht="12.5" hidden="1">
      <c r="A599" s="5">
        <f ca="1">IFERROR(__xludf.DUMMYFUNCTION("""COMPUTED_VALUE"""),42)</f>
        <v>42</v>
      </c>
      <c r="B599" s="69">
        <v>46985</v>
      </c>
    </row>
    <row r="600" spans="1:2" ht="12.5" hidden="1">
      <c r="A600" s="5">
        <f ca="1">IFERROR(__xludf.DUMMYFUNCTION("""COMPUTED_VALUE"""),95)</f>
        <v>95</v>
      </c>
      <c r="B600" s="69">
        <v>46986</v>
      </c>
    </row>
    <row r="601" spans="1:2" ht="12.5" hidden="1">
      <c r="A601" s="5">
        <f ca="1">IFERROR(__xludf.DUMMYFUNCTION("""COMPUTED_VALUE"""),95)</f>
        <v>95</v>
      </c>
      <c r="B601" s="69">
        <v>46987</v>
      </c>
    </row>
    <row r="602" spans="1:2" ht="12.5" hidden="1">
      <c r="A602" s="5">
        <f ca="1">IFERROR(__xludf.DUMMYFUNCTION("""COMPUTED_VALUE"""),95)</f>
        <v>95</v>
      </c>
      <c r="B602" s="69">
        <v>46988</v>
      </c>
    </row>
    <row r="603" spans="1:2" ht="12.5" hidden="1">
      <c r="A603" s="5">
        <f ca="1">IFERROR(__xludf.DUMMYFUNCTION("""COMPUTED_VALUE"""),95)</f>
        <v>95</v>
      </c>
      <c r="B603" s="69">
        <v>46989</v>
      </c>
    </row>
    <row r="604" spans="1:2" ht="12.5" hidden="1">
      <c r="A604" s="5">
        <f ca="1">IFERROR(__xludf.DUMMYFUNCTION("""COMPUTED_VALUE"""),59)</f>
        <v>59</v>
      </c>
      <c r="B604" s="69">
        <v>46990</v>
      </c>
    </row>
    <row r="605" spans="1:2" ht="12.5" hidden="1">
      <c r="A605" s="5">
        <f ca="1">IFERROR(__xludf.DUMMYFUNCTION("""COMPUTED_VALUE"""),31)</f>
        <v>31</v>
      </c>
      <c r="B605" s="69">
        <v>46991</v>
      </c>
    </row>
    <row r="606" spans="1:2" ht="12.5" hidden="1">
      <c r="A606" s="5">
        <f ca="1">IFERROR(__xludf.DUMMYFUNCTION("""COMPUTED_VALUE"""),20)</f>
        <v>20</v>
      </c>
      <c r="B606" s="69">
        <v>46992</v>
      </c>
    </row>
    <row r="607" spans="1:2" ht="12.5" hidden="1">
      <c r="A607" s="5">
        <f ca="1">IFERROR(__xludf.DUMMYFUNCTION("""COMPUTED_VALUE"""),95)</f>
        <v>95</v>
      </c>
      <c r="B607" s="69">
        <v>46993</v>
      </c>
    </row>
    <row r="608" spans="1:2" ht="12.5" hidden="1">
      <c r="A608" s="5">
        <f ca="1">IFERROR(__xludf.DUMMYFUNCTION("""COMPUTED_VALUE"""),18)</f>
        <v>18</v>
      </c>
      <c r="B608" s="69">
        <v>46994</v>
      </c>
    </row>
    <row r="609" spans="1:2" ht="12.5" hidden="1">
      <c r="A609" s="5">
        <f ca="1">IFERROR(__xludf.DUMMYFUNCTION("""COMPUTED_VALUE"""),22)</f>
        <v>22</v>
      </c>
      <c r="B609" s="69">
        <v>46995</v>
      </c>
    </row>
    <row r="610" spans="1:2" ht="12.5" hidden="1">
      <c r="A610" s="5">
        <f ca="1">IFERROR(__xludf.DUMMYFUNCTION("""COMPUTED_VALUE"""),95)</f>
        <v>95</v>
      </c>
      <c r="B610" s="69">
        <v>46996</v>
      </c>
    </row>
    <row r="611" spans="1:2" ht="12.5" hidden="1">
      <c r="A611" s="5">
        <f ca="1">IFERROR(__xludf.DUMMYFUNCTION("""COMPUTED_VALUE"""),41)</f>
        <v>41</v>
      </c>
      <c r="B611" s="69">
        <v>46997</v>
      </c>
    </row>
    <row r="612" spans="1:2" ht="12.5" hidden="1">
      <c r="A612" s="5">
        <f ca="1">IFERROR(__xludf.DUMMYFUNCTION("""COMPUTED_VALUE"""),95)</f>
        <v>95</v>
      </c>
      <c r="B612" s="69">
        <v>46998</v>
      </c>
    </row>
    <row r="613" spans="1:2" ht="12.5" hidden="1">
      <c r="A613" s="5">
        <f ca="1">IFERROR(__xludf.DUMMYFUNCTION("""COMPUTED_VALUE"""),95)</f>
        <v>95</v>
      </c>
      <c r="B613" s="69">
        <v>46999</v>
      </c>
    </row>
    <row r="614" spans="1:2" ht="12.5" hidden="1">
      <c r="A614" s="5">
        <f ca="1">IFERROR(__xludf.DUMMYFUNCTION("""COMPUTED_VALUE"""),32)</f>
        <v>32</v>
      </c>
      <c r="B614" s="69">
        <v>47000</v>
      </c>
    </row>
    <row r="615" spans="1:2" ht="12.5" hidden="1">
      <c r="A615" s="5">
        <f ca="1">IFERROR(__xludf.DUMMYFUNCTION("""COMPUTED_VALUE"""),30)</f>
        <v>30</v>
      </c>
      <c r="B615" s="69">
        <v>47001</v>
      </c>
    </row>
    <row r="616" spans="1:2" ht="12.5" hidden="1">
      <c r="A616" s="5">
        <f ca="1">IFERROR(__xludf.DUMMYFUNCTION("""COMPUTED_VALUE"""),95)</f>
        <v>95</v>
      </c>
      <c r="B616" s="69">
        <v>47002</v>
      </c>
    </row>
    <row r="617" spans="1:2" ht="12.5" hidden="1">
      <c r="A617" s="5">
        <f ca="1">IFERROR(__xludf.DUMMYFUNCTION("""COMPUTED_VALUE"""),28)</f>
        <v>28</v>
      </c>
      <c r="B617" s="69">
        <v>47003</v>
      </c>
    </row>
    <row r="618" spans="1:2" ht="12.5" hidden="1">
      <c r="A618" s="5">
        <f ca="1">IFERROR(__xludf.DUMMYFUNCTION("""COMPUTED_VALUE"""),64)</f>
        <v>64</v>
      </c>
      <c r="B618" s="69">
        <v>47004</v>
      </c>
    </row>
    <row r="619" spans="1:2" ht="12.5" hidden="1">
      <c r="A619" s="5">
        <f ca="1">IFERROR(__xludf.DUMMYFUNCTION("""COMPUTED_VALUE"""),52)</f>
        <v>52</v>
      </c>
      <c r="B619" s="69">
        <v>47005</v>
      </c>
    </row>
    <row r="620" spans="1:2" ht="12.5" hidden="1">
      <c r="A620" s="5">
        <f ca="1">IFERROR(__xludf.DUMMYFUNCTION("""COMPUTED_VALUE"""),46)</f>
        <v>46</v>
      </c>
      <c r="B620" s="69">
        <v>47006</v>
      </c>
    </row>
    <row r="621" spans="1:2" ht="12.5" hidden="1">
      <c r="A621" s="5">
        <f ca="1">IFERROR(__xludf.DUMMYFUNCTION("""COMPUTED_VALUE"""),55)</f>
        <v>55</v>
      </c>
      <c r="B621" s="69">
        <v>47007</v>
      </c>
    </row>
    <row r="622" spans="1:2" ht="12.5" hidden="1">
      <c r="A622" s="5">
        <f ca="1">IFERROR(__xludf.DUMMYFUNCTION("""COMPUTED_VALUE"""),63)</f>
        <v>63</v>
      </c>
      <c r="B622" s="69">
        <v>47008</v>
      </c>
    </row>
    <row r="623" spans="1:2" ht="12.5" hidden="1">
      <c r="A623" s="5">
        <f ca="1">IFERROR(__xludf.DUMMYFUNCTION("""COMPUTED_VALUE"""),65)</f>
        <v>65</v>
      </c>
      <c r="B623" s="69">
        <v>47009</v>
      </c>
    </row>
    <row r="624" spans="1:2" ht="12.5" hidden="1">
      <c r="A624" s="5">
        <f ca="1">IFERROR(__xludf.DUMMYFUNCTION("""COMPUTED_VALUE"""),32)</f>
        <v>32</v>
      </c>
      <c r="B624" s="69">
        <v>47010</v>
      </c>
    </row>
    <row r="625" spans="1:2" ht="12.5" hidden="1">
      <c r="A625" s="5">
        <f ca="1">IFERROR(__xludf.DUMMYFUNCTION("""COMPUTED_VALUE"""),30)</f>
        <v>30</v>
      </c>
      <c r="B625" s="69">
        <v>47011</v>
      </c>
    </row>
    <row r="626" spans="1:2" ht="12.5" hidden="1">
      <c r="A626" s="5">
        <f ca="1">IFERROR(__xludf.DUMMYFUNCTION("""COMPUTED_VALUE"""),26)</f>
        <v>26</v>
      </c>
      <c r="B626" s="69">
        <v>47012</v>
      </c>
    </row>
    <row r="627" spans="1:2" ht="12.5">
      <c r="A627" s="5">
        <f ca="1">IFERROR(__xludf.DUMMYFUNCTION("""COMPUTED_VALUE"""),51)</f>
        <v>51</v>
      </c>
      <c r="B627" s="69">
        <v>47013</v>
      </c>
    </row>
    <row r="628" spans="1:2" ht="12.5" hidden="1">
      <c r="A628" s="5">
        <f ca="1">IFERROR(__xludf.DUMMYFUNCTION("""COMPUTED_VALUE"""),52)</f>
        <v>52</v>
      </c>
      <c r="B628" s="69">
        <v>47014</v>
      </c>
    </row>
    <row r="629" spans="1:2" ht="12.5" hidden="1">
      <c r="A629" s="5">
        <f ca="1">IFERROR(__xludf.DUMMYFUNCTION("""COMPUTED_VALUE"""),53)</f>
        <v>53</v>
      </c>
      <c r="B629" s="69">
        <v>47015</v>
      </c>
    </row>
    <row r="630" spans="1:2" ht="12.5" hidden="1">
      <c r="A630" s="5">
        <f ca="1">IFERROR(__xludf.DUMMYFUNCTION("""COMPUTED_VALUE"""),37)</f>
        <v>37</v>
      </c>
      <c r="B630" s="69">
        <v>47016</v>
      </c>
    </row>
    <row r="631" spans="1:2" ht="12.5" hidden="1">
      <c r="A631" s="5">
        <f ca="1">IFERROR(__xludf.DUMMYFUNCTION("""COMPUTED_VALUE"""),95)</f>
        <v>95</v>
      </c>
      <c r="B631" s="69">
        <v>47017</v>
      </c>
    </row>
    <row r="632" spans="1:2" ht="12.5" hidden="1">
      <c r="A632" s="5">
        <f ca="1">IFERROR(__xludf.DUMMYFUNCTION("""COMPUTED_VALUE"""),95)</f>
        <v>95</v>
      </c>
      <c r="B632" s="69">
        <v>47018</v>
      </c>
    </row>
    <row r="633" spans="1:2" ht="12.5" hidden="1">
      <c r="A633" s="5">
        <f ca="1">IFERROR(__xludf.DUMMYFUNCTION("""COMPUTED_VALUE"""),67)</f>
        <v>67</v>
      </c>
      <c r="B633" s="69">
        <v>47019</v>
      </c>
    </row>
    <row r="634" spans="1:2" ht="12.5" hidden="1">
      <c r="A634" s="5">
        <f ca="1">IFERROR(__xludf.DUMMYFUNCTION("""COMPUTED_VALUE"""),53)</f>
        <v>53</v>
      </c>
      <c r="B634" s="69">
        <v>47020</v>
      </c>
    </row>
    <row r="635" spans="1:2" ht="12.5" hidden="1">
      <c r="A635" s="5">
        <f ca="1">IFERROR(__xludf.DUMMYFUNCTION("""COMPUTED_VALUE"""),67)</f>
        <v>67</v>
      </c>
      <c r="B635" s="69">
        <v>47021</v>
      </c>
    </row>
    <row r="636" spans="1:2" ht="12.5" hidden="1">
      <c r="A636" s="5">
        <f ca="1">IFERROR(__xludf.DUMMYFUNCTION("""COMPUTED_VALUE"""),70)</f>
        <v>70</v>
      </c>
      <c r="B636" s="69">
        <v>47022</v>
      </c>
    </row>
    <row r="637" spans="1:2" ht="12.5" hidden="1">
      <c r="A637" s="5">
        <f ca="1">IFERROR(__xludf.DUMMYFUNCTION("""COMPUTED_VALUE"""),29)</f>
        <v>29</v>
      </c>
      <c r="B637" s="69">
        <v>47023</v>
      </c>
    </row>
    <row r="638" spans="1:2" ht="12.5" hidden="1">
      <c r="A638" s="5">
        <f ca="1">IFERROR(__xludf.DUMMYFUNCTION("""COMPUTED_VALUE"""),31)</f>
        <v>31</v>
      </c>
      <c r="B638" s="69">
        <v>47024</v>
      </c>
    </row>
    <row r="639" spans="1:2" ht="12.5">
      <c r="A639" s="5">
        <f ca="1">IFERROR(__xludf.DUMMYFUNCTION("""COMPUTED_VALUE"""),51)</f>
        <v>51</v>
      </c>
      <c r="B639" s="69">
        <v>47025</v>
      </c>
    </row>
    <row r="640" spans="1:2" ht="12.5" hidden="1">
      <c r="A640" s="5">
        <f ca="1">IFERROR(__xludf.DUMMYFUNCTION("""COMPUTED_VALUE"""),44)</f>
        <v>44</v>
      </c>
      <c r="B640" s="69">
        <v>47026</v>
      </c>
    </row>
    <row r="641" spans="1:2" ht="12.5" hidden="1">
      <c r="A641" s="5">
        <f ca="1">IFERROR(__xludf.DUMMYFUNCTION("""COMPUTED_VALUE"""),31)</f>
        <v>31</v>
      </c>
      <c r="B641" s="69">
        <v>47027</v>
      </c>
    </row>
    <row r="642" spans="1:2" ht="12.5" hidden="1">
      <c r="A642" s="5">
        <f ca="1">IFERROR(__xludf.DUMMYFUNCTION("""COMPUTED_VALUE"""),69)</f>
        <v>69</v>
      </c>
      <c r="B642" s="69">
        <v>47028</v>
      </c>
    </row>
    <row r="643" spans="1:2" ht="12.5" hidden="1">
      <c r="A643" s="5">
        <f ca="1">IFERROR(__xludf.DUMMYFUNCTION("""COMPUTED_VALUE"""),95)</f>
        <v>95</v>
      </c>
      <c r="B643" s="69">
        <v>47029</v>
      </c>
    </row>
    <row r="644" spans="1:2" ht="12.5" hidden="1">
      <c r="A644" s="5">
        <f ca="1">IFERROR(__xludf.DUMMYFUNCTION("""COMPUTED_VALUE"""),37)</f>
        <v>37</v>
      </c>
      <c r="B644" s="69">
        <v>47030</v>
      </c>
    </row>
    <row r="645" spans="1:2" ht="12.5" hidden="1">
      <c r="A645" s="5">
        <f ca="1">IFERROR(__xludf.DUMMYFUNCTION("""COMPUTED_VALUE"""),52)</f>
        <v>52</v>
      </c>
      <c r="B645" s="69">
        <v>47031</v>
      </c>
    </row>
    <row r="646" spans="1:2" ht="12.5" hidden="1">
      <c r="A646" s="5">
        <f ca="1">IFERROR(__xludf.DUMMYFUNCTION("""COMPUTED_VALUE"""),95)</f>
        <v>95</v>
      </c>
      <c r="B646" s="69">
        <v>47032</v>
      </c>
    </row>
    <row r="647" spans="1:2" ht="12.5" hidden="1">
      <c r="A647" s="5">
        <f ca="1">IFERROR(__xludf.DUMMYFUNCTION("""COMPUTED_VALUE"""),31)</f>
        <v>31</v>
      </c>
      <c r="B647" s="69">
        <v>47033</v>
      </c>
    </row>
    <row r="648" spans="1:2" ht="12.5" hidden="1">
      <c r="A648" s="5">
        <f ca="1">IFERROR(__xludf.DUMMYFUNCTION("""COMPUTED_VALUE"""),58)</f>
        <v>58</v>
      </c>
      <c r="B648" s="69">
        <v>47034</v>
      </c>
    </row>
    <row r="649" spans="1:2" ht="12.5" hidden="1">
      <c r="A649" s="5">
        <f ca="1">IFERROR(__xludf.DUMMYFUNCTION("""COMPUTED_VALUE"""),26)</f>
        <v>26</v>
      </c>
      <c r="B649" s="69">
        <v>47035</v>
      </c>
    </row>
    <row r="650" spans="1:2" ht="12.5" hidden="1">
      <c r="A650" s="5">
        <f ca="1">IFERROR(__xludf.DUMMYFUNCTION("""COMPUTED_VALUE"""),24)</f>
        <v>24</v>
      </c>
      <c r="B650" s="69">
        <v>47036</v>
      </c>
    </row>
    <row r="651" spans="1:2" ht="12.5" hidden="1">
      <c r="A651" s="5">
        <f ca="1">IFERROR(__xludf.DUMMYFUNCTION("""COMPUTED_VALUE"""),53)</f>
        <v>53</v>
      </c>
      <c r="B651" s="69">
        <v>47037</v>
      </c>
    </row>
    <row r="652" spans="1:2" ht="12.5" hidden="1">
      <c r="A652" s="5">
        <f ca="1">IFERROR(__xludf.DUMMYFUNCTION("""COMPUTED_VALUE"""),31)</f>
        <v>31</v>
      </c>
      <c r="B652" s="69">
        <v>47038</v>
      </c>
    </row>
    <row r="653" spans="1:2" ht="12.5" hidden="1">
      <c r="A653" s="5">
        <f ca="1">IFERROR(__xludf.DUMMYFUNCTION("""COMPUTED_VALUE"""),95)</f>
        <v>95</v>
      </c>
      <c r="B653" s="69">
        <v>47039</v>
      </c>
    </row>
    <row r="654" spans="1:2" ht="12.5" hidden="1">
      <c r="A654" s="5">
        <f ca="1">IFERROR(__xludf.DUMMYFUNCTION("""COMPUTED_VALUE"""),45)</f>
        <v>45</v>
      </c>
      <c r="B654" s="69">
        <v>47040</v>
      </c>
    </row>
    <row r="655" spans="1:2" ht="12.5" hidden="1">
      <c r="A655" s="5">
        <f ca="1">IFERROR(__xludf.DUMMYFUNCTION("""COMPUTED_VALUE"""),31)</f>
        <v>31</v>
      </c>
      <c r="B655" s="69">
        <v>47041</v>
      </c>
    </row>
    <row r="656" spans="1:2" ht="12.5" hidden="1">
      <c r="A656" s="5">
        <f ca="1">IFERROR(__xludf.DUMMYFUNCTION("""COMPUTED_VALUE"""),16)</f>
        <v>16</v>
      </c>
      <c r="B656" s="69">
        <v>47042</v>
      </c>
    </row>
    <row r="657" spans="1:2" ht="12.5" hidden="1">
      <c r="A657" s="5">
        <f ca="1">IFERROR(__xludf.DUMMYFUNCTION("""COMPUTED_VALUE"""),21)</f>
        <v>21</v>
      </c>
      <c r="B657" s="69">
        <v>47043</v>
      </c>
    </row>
    <row r="658" spans="1:2" ht="12.5" hidden="1">
      <c r="A658" s="5">
        <f ca="1">IFERROR(__xludf.DUMMYFUNCTION("""COMPUTED_VALUE"""),95)</f>
        <v>95</v>
      </c>
      <c r="B658" s="69">
        <v>47044</v>
      </c>
    </row>
    <row r="659" spans="1:2" ht="12.5" hidden="1">
      <c r="A659" s="5">
        <f ca="1">IFERROR(__xludf.DUMMYFUNCTION("""COMPUTED_VALUE"""),1)</f>
        <v>1</v>
      </c>
      <c r="B659" s="69">
        <v>47045</v>
      </c>
    </row>
    <row r="660" spans="1:2" ht="12.5" hidden="1">
      <c r="A660" s="5">
        <f ca="1">IFERROR(__xludf.DUMMYFUNCTION("""COMPUTED_VALUE"""),26)</f>
        <v>26</v>
      </c>
      <c r="B660" s="69">
        <v>47046</v>
      </c>
    </row>
    <row r="661" spans="1:2" ht="12.5">
      <c r="A661" s="5">
        <f ca="1">IFERROR(__xludf.DUMMYFUNCTION("""COMPUTED_VALUE"""),51)</f>
        <v>51</v>
      </c>
      <c r="B661" s="69">
        <v>47047</v>
      </c>
    </row>
    <row r="662" spans="1:2" ht="12.5" hidden="1">
      <c r="A662" s="5">
        <f ca="1">IFERROR(__xludf.DUMMYFUNCTION("""COMPUTED_VALUE"""),95)</f>
        <v>95</v>
      </c>
      <c r="B662" s="69">
        <v>47048</v>
      </c>
    </row>
    <row r="663" spans="1:2" ht="12.5" hidden="1">
      <c r="A663" s="5">
        <f ca="1">IFERROR(__xludf.DUMMYFUNCTION("""COMPUTED_VALUE"""),23)</f>
        <v>23</v>
      </c>
      <c r="B663" s="69">
        <v>47049</v>
      </c>
    </row>
    <row r="664" spans="1:2" ht="12.5" hidden="1">
      <c r="A664" s="5">
        <f ca="1">IFERROR(__xludf.DUMMYFUNCTION("""COMPUTED_VALUE"""),95)</f>
        <v>95</v>
      </c>
      <c r="B664" s="69">
        <v>47050</v>
      </c>
    </row>
    <row r="665" spans="1:2" ht="12.5" hidden="1">
      <c r="A665" s="5">
        <f ca="1">IFERROR(__xludf.DUMMYFUNCTION("""COMPUTED_VALUE"""),69)</f>
        <v>69</v>
      </c>
      <c r="B665" s="69">
        <v>47051</v>
      </c>
    </row>
    <row r="666" spans="1:2" ht="12.5" hidden="1">
      <c r="A666" s="5">
        <f ca="1">IFERROR(__xludf.DUMMYFUNCTION("""COMPUTED_VALUE"""),95)</f>
        <v>95</v>
      </c>
      <c r="B666" s="69">
        <v>47052</v>
      </c>
    </row>
    <row r="667" spans="1:2" ht="12.5" hidden="1">
      <c r="A667" s="5">
        <f ca="1">IFERROR(__xludf.DUMMYFUNCTION("""COMPUTED_VALUE"""),95)</f>
        <v>95</v>
      </c>
      <c r="B667" s="69">
        <v>47053</v>
      </c>
    </row>
    <row r="668" spans="1:2" ht="12.5" hidden="1">
      <c r="A668" s="5">
        <f ca="1">IFERROR(__xludf.DUMMYFUNCTION("""COMPUTED_VALUE"""),56)</f>
        <v>56</v>
      </c>
      <c r="B668" s="69">
        <v>47054</v>
      </c>
    </row>
    <row r="669" spans="1:2" ht="12.5" hidden="1">
      <c r="A669" s="5">
        <f ca="1">IFERROR(__xludf.DUMMYFUNCTION("""COMPUTED_VALUE"""),31)</f>
        <v>31</v>
      </c>
      <c r="B669" s="69">
        <v>47055</v>
      </c>
    </row>
    <row r="670" spans="1:2" ht="12.5" hidden="1">
      <c r="A670" s="5">
        <f ca="1">IFERROR(__xludf.DUMMYFUNCTION("""COMPUTED_VALUE"""),28)</f>
        <v>28</v>
      </c>
      <c r="B670" s="69">
        <v>47056</v>
      </c>
    </row>
    <row r="671" spans="1:2" ht="12.5" hidden="1">
      <c r="A671" s="5">
        <f ca="1">IFERROR(__xludf.DUMMYFUNCTION("""COMPUTED_VALUE"""),45)</f>
        <v>45</v>
      </c>
      <c r="B671" s="69">
        <v>47057</v>
      </c>
    </row>
    <row r="672" spans="1:2" ht="12.5" hidden="1">
      <c r="A672" s="5">
        <f ca="1">IFERROR(__xludf.DUMMYFUNCTION("""COMPUTED_VALUE"""),52)</f>
        <v>52</v>
      </c>
      <c r="B672" s="69">
        <v>47058</v>
      </c>
    </row>
    <row r="673" spans="1:2" ht="12.5" hidden="1">
      <c r="A673" s="5">
        <f ca="1">IFERROR(__xludf.DUMMYFUNCTION("""COMPUTED_VALUE"""),31)</f>
        <v>31</v>
      </c>
      <c r="B673" s="69">
        <v>47059</v>
      </c>
    </row>
    <row r="674" spans="1:2" ht="12.5" hidden="1">
      <c r="A674" s="5">
        <f ca="1">IFERROR(__xludf.DUMMYFUNCTION("""COMPUTED_VALUE"""),57)</f>
        <v>57</v>
      </c>
      <c r="B674" s="69">
        <v>47060</v>
      </c>
    </row>
    <row r="675" spans="1:2" ht="12.5" hidden="1">
      <c r="A675" s="5">
        <f ca="1">IFERROR(__xludf.DUMMYFUNCTION("""COMPUTED_VALUE"""),20)</f>
        <v>20</v>
      </c>
      <c r="B675" s="69">
        <v>47061</v>
      </c>
    </row>
    <row r="676" spans="1:2" ht="12.5" hidden="1">
      <c r="A676" s="5">
        <f ca="1">IFERROR(__xludf.DUMMYFUNCTION("""COMPUTED_VALUE"""),53)</f>
        <v>53</v>
      </c>
      <c r="B676" s="69">
        <v>47062</v>
      </c>
    </row>
    <row r="677" spans="1:2" ht="12.5" hidden="1">
      <c r="A677" s="5">
        <f ca="1">IFERROR(__xludf.DUMMYFUNCTION("""COMPUTED_VALUE"""),95)</f>
        <v>95</v>
      </c>
      <c r="B677" s="69">
        <v>47063</v>
      </c>
    </row>
    <row r="678" spans="1:2" ht="12.5" hidden="1">
      <c r="A678" s="5">
        <f ca="1">IFERROR(__xludf.DUMMYFUNCTION("""COMPUTED_VALUE"""),24)</f>
        <v>24</v>
      </c>
      <c r="B678" s="69">
        <v>47064</v>
      </c>
    </row>
    <row r="679" spans="1:2" ht="12.5" hidden="1">
      <c r="A679" s="5">
        <f ca="1">IFERROR(__xludf.DUMMYFUNCTION("""COMPUTED_VALUE"""),31)</f>
        <v>31</v>
      </c>
      <c r="B679" s="69">
        <v>47065</v>
      </c>
    </row>
    <row r="680" spans="1:2" ht="12.5" hidden="1">
      <c r="A680" s="5">
        <f ca="1">IFERROR(__xludf.DUMMYFUNCTION("""COMPUTED_VALUE"""),95)</f>
        <v>95</v>
      </c>
      <c r="B680" s="69">
        <v>47066</v>
      </c>
    </row>
    <row r="681" spans="1:2" ht="12.5" hidden="1">
      <c r="A681" s="5">
        <f ca="1">IFERROR(__xludf.DUMMYFUNCTION("""COMPUTED_VALUE"""),95)</f>
        <v>95</v>
      </c>
      <c r="B681" s="69">
        <v>47067</v>
      </c>
    </row>
    <row r="682" spans="1:2" ht="12.5" hidden="1">
      <c r="A682" s="5">
        <f ca="1">IFERROR(__xludf.DUMMYFUNCTION("""COMPUTED_VALUE"""),95)</f>
        <v>95</v>
      </c>
      <c r="B682" s="69">
        <v>47068</v>
      </c>
    </row>
    <row r="683" spans="1:2" ht="12.5" hidden="1">
      <c r="A683" s="5">
        <f ca="1">IFERROR(__xludf.DUMMYFUNCTION("""COMPUTED_VALUE"""),68)</f>
        <v>68</v>
      </c>
      <c r="B683" s="69">
        <v>47069</v>
      </c>
    </row>
    <row r="684" spans="1:2" ht="12.5" hidden="1">
      <c r="A684" s="5">
        <f ca="1">IFERROR(__xludf.DUMMYFUNCTION("""COMPUTED_VALUE"""),10)</f>
        <v>10</v>
      </c>
      <c r="B684" s="69">
        <v>47070</v>
      </c>
    </row>
    <row r="685" spans="1:2" ht="12.5" hidden="1">
      <c r="A685" s="5">
        <f ca="1">IFERROR(__xludf.DUMMYFUNCTION("""COMPUTED_VALUE"""),95)</f>
        <v>95</v>
      </c>
      <c r="B685" s="69">
        <v>47071</v>
      </c>
    </row>
    <row r="686" spans="1:2" ht="12.5" hidden="1">
      <c r="A686" s="5">
        <f ca="1">IFERROR(__xludf.DUMMYFUNCTION("""COMPUTED_VALUE"""),31)</f>
        <v>31</v>
      </c>
      <c r="B686" s="69">
        <v>47072</v>
      </c>
    </row>
    <row r="687" spans="1:2" ht="12.5" hidden="1">
      <c r="A687" s="5">
        <f ca="1">IFERROR(__xludf.DUMMYFUNCTION("""COMPUTED_VALUE"""),42)</f>
        <v>42</v>
      </c>
      <c r="B687" s="69">
        <v>47073</v>
      </c>
    </row>
    <row r="688" spans="1:2" ht="12.5" hidden="1">
      <c r="A688" s="5">
        <f ca="1">IFERROR(__xludf.DUMMYFUNCTION("""COMPUTED_VALUE"""),55)</f>
        <v>55</v>
      </c>
      <c r="B688" s="69">
        <v>47074</v>
      </c>
    </row>
    <row r="689" spans="1:2" ht="12.5" hidden="1">
      <c r="A689" s="5">
        <f ca="1">IFERROR(__xludf.DUMMYFUNCTION("""COMPUTED_VALUE"""),26)</f>
        <v>26</v>
      </c>
      <c r="B689" s="69">
        <v>47075</v>
      </c>
    </row>
    <row r="690" spans="1:2" ht="12.5" hidden="1">
      <c r="A690" s="5">
        <f ca="1">IFERROR(__xludf.DUMMYFUNCTION("""COMPUTED_VALUE"""),68)</f>
        <v>68</v>
      </c>
      <c r="B690" s="69">
        <v>47076</v>
      </c>
    </row>
    <row r="691" spans="1:2" ht="12.5" hidden="1">
      <c r="A691" s="5">
        <f ca="1">IFERROR(__xludf.DUMMYFUNCTION("""COMPUTED_VALUE"""),63)</f>
        <v>63</v>
      </c>
      <c r="B691" s="69">
        <v>47077</v>
      </c>
    </row>
    <row r="692" spans="1:2" ht="12.5" hidden="1">
      <c r="A692" s="5">
        <f ca="1">IFERROR(__xludf.DUMMYFUNCTION("""COMPUTED_VALUE"""),95)</f>
        <v>95</v>
      </c>
      <c r="B692" s="69">
        <v>47078</v>
      </c>
    </row>
    <row r="693" spans="1:2" ht="12.5" hidden="1">
      <c r="A693" s="5">
        <f ca="1">IFERROR(__xludf.DUMMYFUNCTION("""COMPUTED_VALUE"""),29)</f>
        <v>29</v>
      </c>
      <c r="B693" s="69">
        <v>47079</v>
      </c>
    </row>
    <row r="694" spans="1:2" ht="12.5" hidden="1">
      <c r="A694" s="5">
        <f ca="1">IFERROR(__xludf.DUMMYFUNCTION("""COMPUTED_VALUE"""),31)</f>
        <v>31</v>
      </c>
      <c r="B694" s="69">
        <v>47080</v>
      </c>
    </row>
    <row r="695" spans="1:2" ht="12.5" hidden="1">
      <c r="A695" s="5">
        <f ca="1">IFERROR(__xludf.DUMMYFUNCTION("""COMPUTED_VALUE"""),41)</f>
        <v>41</v>
      </c>
      <c r="B695" s="69">
        <v>47081</v>
      </c>
    </row>
    <row r="696" spans="1:2" ht="12.5" hidden="1">
      <c r="A696" s="5">
        <f ca="1">IFERROR(__xludf.DUMMYFUNCTION("""COMPUTED_VALUE"""),68)</f>
        <v>68</v>
      </c>
      <c r="B696" s="69">
        <v>47082</v>
      </c>
    </row>
    <row r="697" spans="1:2" ht="12.5" hidden="1">
      <c r="A697" s="5">
        <f ca="1">IFERROR(__xludf.DUMMYFUNCTION("""COMPUTED_VALUE"""),95)</f>
        <v>95</v>
      </c>
      <c r="B697" s="69">
        <v>47083</v>
      </c>
    </row>
    <row r="698" spans="1:2" ht="12.5" hidden="1">
      <c r="A698" s="5">
        <f ca="1">IFERROR(__xludf.DUMMYFUNCTION("""COMPUTED_VALUE"""),55)</f>
        <v>55</v>
      </c>
      <c r="B698" s="69">
        <v>47084</v>
      </c>
    </row>
    <row r="699" spans="1:2" ht="12.5" hidden="1">
      <c r="A699" s="5">
        <f ca="1">IFERROR(__xludf.DUMMYFUNCTION("""COMPUTED_VALUE"""),95)</f>
        <v>95</v>
      </c>
      <c r="B699" s="69">
        <v>47085</v>
      </c>
    </row>
    <row r="700" spans="1:2" ht="12.5" hidden="1">
      <c r="A700" s="5">
        <f ca="1">IFERROR(__xludf.DUMMYFUNCTION("""COMPUTED_VALUE"""),18)</f>
        <v>18</v>
      </c>
      <c r="B700" s="69">
        <v>47086</v>
      </c>
    </row>
    <row r="701" spans="1:2" ht="12.5" hidden="1">
      <c r="A701" s="5">
        <f ca="1">IFERROR(__xludf.DUMMYFUNCTION("""COMPUTED_VALUE"""),95)</f>
        <v>95</v>
      </c>
      <c r="B701" s="69">
        <v>47087</v>
      </c>
    </row>
    <row r="702" spans="1:2" ht="12.5" hidden="1">
      <c r="A702" s="5">
        <f ca="1">IFERROR(__xludf.DUMMYFUNCTION("""COMPUTED_VALUE"""),95)</f>
        <v>95</v>
      </c>
      <c r="B702" s="69">
        <v>47088</v>
      </c>
    </row>
    <row r="703" spans="1:2" ht="12.5" hidden="1">
      <c r="A703" s="5">
        <f ca="1">IFERROR(__xludf.DUMMYFUNCTION("""COMPUTED_VALUE"""),25)</f>
        <v>25</v>
      </c>
      <c r="B703" s="69">
        <v>47089</v>
      </c>
    </row>
    <row r="704" spans="1:2" ht="12.5" hidden="1">
      <c r="A704" s="5">
        <f ca="1">IFERROR(__xludf.DUMMYFUNCTION("""COMPUTED_VALUE"""),2)</f>
        <v>2</v>
      </c>
      <c r="B704" s="69">
        <v>47090</v>
      </c>
    </row>
    <row r="705" spans="1:2" ht="12.5" hidden="1">
      <c r="A705" s="5">
        <f ca="1">IFERROR(__xludf.DUMMYFUNCTION("""COMPUTED_VALUE"""),15)</f>
        <v>15</v>
      </c>
      <c r="B705" s="69">
        <v>47091</v>
      </c>
    </row>
    <row r="706" spans="1:2" ht="12.5" hidden="1">
      <c r="A706" s="5">
        <f ca="1">IFERROR(__xludf.DUMMYFUNCTION("""COMPUTED_VALUE"""),47)</f>
        <v>47</v>
      </c>
      <c r="B706" s="69">
        <v>47092</v>
      </c>
    </row>
    <row r="707" spans="1:2" ht="12.5" hidden="1">
      <c r="A707" s="5">
        <f ca="1">IFERROR(__xludf.DUMMYFUNCTION("""COMPUTED_VALUE"""),95)</f>
        <v>95</v>
      </c>
      <c r="B707" s="69">
        <v>47093</v>
      </c>
    </row>
    <row r="708" spans="1:2" ht="12.5" hidden="1">
      <c r="A708" s="5">
        <f ca="1">IFERROR(__xludf.DUMMYFUNCTION("""COMPUTED_VALUE"""),41)</f>
        <v>41</v>
      </c>
      <c r="B708" s="69">
        <v>47094</v>
      </c>
    </row>
    <row r="709" spans="1:2" ht="12.5" hidden="1">
      <c r="A709" s="5">
        <f ca="1">IFERROR(__xludf.DUMMYFUNCTION("""COMPUTED_VALUE"""),44)</f>
        <v>44</v>
      </c>
      <c r="B709" s="69">
        <v>47095</v>
      </c>
    </row>
    <row r="710" spans="1:2" ht="12.5" hidden="1">
      <c r="A710" s="5">
        <f ca="1">IFERROR(__xludf.DUMMYFUNCTION("""COMPUTED_VALUE"""),44)</f>
        <v>44</v>
      </c>
      <c r="B710" s="69">
        <v>47096</v>
      </c>
    </row>
    <row r="711" spans="1:2" ht="12.5" hidden="1">
      <c r="A711" s="5">
        <f ca="1">IFERROR(__xludf.DUMMYFUNCTION("""COMPUTED_VALUE"""),52)</f>
        <v>52</v>
      </c>
      <c r="B711" s="69">
        <v>47097</v>
      </c>
    </row>
    <row r="712" spans="1:2" ht="12.5" hidden="1">
      <c r="A712" s="5">
        <f ca="1">IFERROR(__xludf.DUMMYFUNCTION("""COMPUTED_VALUE"""),95)</f>
        <v>95</v>
      </c>
      <c r="B712" s="69">
        <v>47098</v>
      </c>
    </row>
    <row r="713" spans="1:2" ht="12.5" hidden="1">
      <c r="A713" s="5">
        <f ca="1">IFERROR(__xludf.DUMMYFUNCTION("""COMPUTED_VALUE"""),49)</f>
        <v>49</v>
      </c>
      <c r="B713" s="69">
        <v>47099</v>
      </c>
    </row>
    <row r="714" spans="1:2" ht="12.5" hidden="1">
      <c r="A714" s="5">
        <f ca="1">IFERROR(__xludf.DUMMYFUNCTION("""COMPUTED_VALUE"""),46)</f>
        <v>46</v>
      </c>
      <c r="B714" s="69">
        <v>47100</v>
      </c>
    </row>
    <row r="715" spans="1:2" ht="12.5" hidden="1">
      <c r="A715" s="5">
        <f ca="1">IFERROR(__xludf.DUMMYFUNCTION("""COMPUTED_VALUE"""),47)</f>
        <v>47</v>
      </c>
      <c r="B715" s="69">
        <v>47101</v>
      </c>
    </row>
    <row r="716" spans="1:2" ht="12.5" hidden="1">
      <c r="A716" s="5">
        <f ca="1">IFERROR(__xludf.DUMMYFUNCTION("""COMPUTED_VALUE"""),31)</f>
        <v>31</v>
      </c>
      <c r="B716" s="69">
        <v>47102</v>
      </c>
    </row>
    <row r="717" spans="1:2" ht="12.5" hidden="1">
      <c r="A717" s="5">
        <f ca="1">IFERROR(__xludf.DUMMYFUNCTION("""COMPUTED_VALUE"""),95)</f>
        <v>95</v>
      </c>
      <c r="B717" s="69">
        <v>47103</v>
      </c>
    </row>
    <row r="718" spans="1:2" ht="12.5" hidden="1">
      <c r="A718" s="5">
        <f ca="1">IFERROR(__xludf.DUMMYFUNCTION("""COMPUTED_VALUE"""),31)</f>
        <v>31</v>
      </c>
      <c r="B718" s="69">
        <v>47104</v>
      </c>
    </row>
    <row r="719" spans="1:2" ht="12.5" hidden="1">
      <c r="A719" s="5">
        <f ca="1">IFERROR(__xludf.DUMMYFUNCTION("""COMPUTED_VALUE"""),12)</f>
        <v>12</v>
      </c>
      <c r="B719" s="69">
        <v>47105</v>
      </c>
    </row>
    <row r="720" spans="1:2" ht="12.5" hidden="1">
      <c r="A720" s="5">
        <f ca="1">IFERROR(__xludf.DUMMYFUNCTION("""COMPUTED_VALUE"""),64)</f>
        <v>64</v>
      </c>
      <c r="B720" s="69">
        <v>47106</v>
      </c>
    </row>
    <row r="721" spans="1:2" ht="12.5" hidden="1">
      <c r="A721" s="5">
        <f ca="1">IFERROR(__xludf.DUMMYFUNCTION("""COMPUTED_VALUE"""),68)</f>
        <v>68</v>
      </c>
      <c r="B721" s="69">
        <v>47107</v>
      </c>
    </row>
    <row r="722" spans="1:2" ht="12.5" hidden="1">
      <c r="A722" s="5">
        <f ca="1">IFERROR(__xludf.DUMMYFUNCTION("""COMPUTED_VALUE"""),28)</f>
        <v>28</v>
      </c>
      <c r="B722" s="69">
        <v>47108</v>
      </c>
    </row>
    <row r="723" spans="1:2" ht="12.5" hidden="1">
      <c r="A723" s="5">
        <f ca="1">IFERROR(__xludf.DUMMYFUNCTION("""COMPUTED_VALUE"""),32)</f>
        <v>32</v>
      </c>
      <c r="B723" s="69">
        <v>47109</v>
      </c>
    </row>
    <row r="724" spans="1:2" ht="12.5" hidden="1">
      <c r="A724" s="5">
        <f ca="1">IFERROR(__xludf.DUMMYFUNCTION("""COMPUTED_VALUE"""),95)</f>
        <v>95</v>
      </c>
      <c r="B724" s="69">
        <v>47110</v>
      </c>
    </row>
    <row r="725" spans="1:2" ht="12.5" hidden="1">
      <c r="A725" s="5">
        <f ca="1">IFERROR(__xludf.DUMMYFUNCTION("""COMPUTED_VALUE"""),95)</f>
        <v>95</v>
      </c>
      <c r="B725" s="69">
        <v>47111</v>
      </c>
    </row>
    <row r="726" spans="1:2" ht="12.5" hidden="1">
      <c r="A726" s="5">
        <f ca="1">IFERROR(__xludf.DUMMYFUNCTION("""COMPUTED_VALUE"""),95)</f>
        <v>95</v>
      </c>
      <c r="B726" s="69">
        <v>47112</v>
      </c>
    </row>
    <row r="727" spans="1:2" ht="12.5" hidden="1">
      <c r="A727" s="5">
        <f ca="1">IFERROR(__xludf.DUMMYFUNCTION("""COMPUTED_VALUE"""),42)</f>
        <v>42</v>
      </c>
      <c r="B727" s="69">
        <v>47113</v>
      </c>
    </row>
    <row r="728" spans="1:2" ht="12.5" hidden="1">
      <c r="A728" s="5">
        <f ca="1">IFERROR(__xludf.DUMMYFUNCTION("""COMPUTED_VALUE"""),32)</f>
        <v>32</v>
      </c>
      <c r="B728" s="69">
        <v>47114</v>
      </c>
    </row>
    <row r="729" spans="1:2" ht="12.5" hidden="1">
      <c r="A729" s="5">
        <f ca="1">IFERROR(__xludf.DUMMYFUNCTION("""COMPUTED_VALUE"""),31)</f>
        <v>31</v>
      </c>
      <c r="B729" s="69">
        <v>47115</v>
      </c>
    </row>
    <row r="730" spans="1:2" ht="12.5" hidden="1">
      <c r="A730" s="5">
        <f ca="1">IFERROR(__xludf.DUMMYFUNCTION("""COMPUTED_VALUE"""),32)</f>
        <v>32</v>
      </c>
      <c r="B730" s="69">
        <v>47116</v>
      </c>
    </row>
    <row r="731" spans="1:2" ht="12.5" hidden="1">
      <c r="A731" s="5">
        <f ca="1">IFERROR(__xludf.DUMMYFUNCTION("""COMPUTED_VALUE"""),41)</f>
        <v>41</v>
      </c>
      <c r="B731" s="69">
        <v>47117</v>
      </c>
    </row>
    <row r="732" spans="1:2" ht="12.5" hidden="1">
      <c r="A732" s="5">
        <f ca="1">IFERROR(__xludf.DUMMYFUNCTION("""COMPUTED_VALUE"""),31)</f>
        <v>31</v>
      </c>
      <c r="B732" s="69">
        <v>47118</v>
      </c>
    </row>
    <row r="733" spans="1:2" ht="12.5" hidden="1">
      <c r="A733" s="5">
        <f ca="1">IFERROR(__xludf.DUMMYFUNCTION("""COMPUTED_VALUE"""),31)</f>
        <v>31</v>
      </c>
      <c r="B733" s="69">
        <v>47119</v>
      </c>
    </row>
    <row r="734" spans="1:2" ht="12.5" hidden="1">
      <c r="A734" s="5">
        <f ca="1">IFERROR(__xludf.DUMMYFUNCTION("""COMPUTED_VALUE"""),44)</f>
        <v>44</v>
      </c>
      <c r="B734" s="69">
        <v>47120</v>
      </c>
    </row>
    <row r="735" spans="1:2" ht="12.5" hidden="1">
      <c r="A735" s="5">
        <f ca="1">IFERROR(__xludf.DUMMYFUNCTION("""COMPUTED_VALUE"""),39)</f>
        <v>39</v>
      </c>
      <c r="B735" s="69">
        <v>47121</v>
      </c>
    </row>
    <row r="736" spans="1:2" ht="12.5" hidden="1">
      <c r="A736" s="5">
        <f ca="1">IFERROR(__xludf.DUMMYFUNCTION("""COMPUTED_VALUE"""),58)</f>
        <v>58</v>
      </c>
      <c r="B736" s="69">
        <v>47122</v>
      </c>
    </row>
    <row r="737" spans="1:2" ht="12.5" hidden="1">
      <c r="A737" s="5">
        <f ca="1">IFERROR(__xludf.DUMMYFUNCTION("""COMPUTED_VALUE"""),52)</f>
        <v>52</v>
      </c>
      <c r="B737" s="69">
        <v>47123</v>
      </c>
    </row>
    <row r="738" spans="1:2" ht="12.5" hidden="1">
      <c r="A738" s="5">
        <f ca="1">IFERROR(__xludf.DUMMYFUNCTION("""COMPUTED_VALUE"""),95)</f>
        <v>95</v>
      </c>
      <c r="B738" s="69">
        <v>47124</v>
      </c>
    </row>
    <row r="739" spans="1:2" ht="12.5" hidden="1">
      <c r="A739" s="5">
        <f ca="1">IFERROR(__xludf.DUMMYFUNCTION("""COMPUTED_VALUE"""),95)</f>
        <v>95</v>
      </c>
      <c r="B739" s="69">
        <v>47125</v>
      </c>
    </row>
    <row r="740" spans="1:2" ht="12.5" hidden="1">
      <c r="A740" s="5">
        <f ca="1">IFERROR(__xludf.DUMMYFUNCTION("""COMPUTED_VALUE"""),25)</f>
        <v>25</v>
      </c>
      <c r="B740" s="69">
        <v>47126</v>
      </c>
    </row>
    <row r="741" spans="1:2" ht="12.5">
      <c r="A741" s="5">
        <f ca="1">IFERROR(__xludf.DUMMYFUNCTION("""COMPUTED_VALUE"""),51)</f>
        <v>51</v>
      </c>
      <c r="B741" s="69">
        <v>47127</v>
      </c>
    </row>
    <row r="742" spans="1:2" ht="12.5" hidden="1">
      <c r="A742" s="5">
        <f ca="1">IFERROR(__xludf.DUMMYFUNCTION("""COMPUTED_VALUE"""),21)</f>
        <v>21</v>
      </c>
      <c r="B742" s="69">
        <v>47128</v>
      </c>
    </row>
    <row r="743" spans="1:2" ht="12.5" hidden="1">
      <c r="A743" s="5">
        <f ca="1">IFERROR(__xludf.DUMMYFUNCTION("""COMPUTED_VALUE"""),95)</f>
        <v>95</v>
      </c>
      <c r="B743" s="69">
        <v>47129</v>
      </c>
    </row>
    <row r="744" spans="1:2" ht="12.5" hidden="1">
      <c r="A744" s="5">
        <f ca="1">IFERROR(__xludf.DUMMYFUNCTION("""COMPUTED_VALUE"""),26)</f>
        <v>26</v>
      </c>
      <c r="B744" s="69">
        <v>47130</v>
      </c>
    </row>
    <row r="745" spans="1:2" ht="12.5" hidden="1">
      <c r="A745" s="5">
        <f ca="1">IFERROR(__xludf.DUMMYFUNCTION("""COMPUTED_VALUE"""),95)</f>
        <v>95</v>
      </c>
      <c r="B745" s="69">
        <v>47131</v>
      </c>
    </row>
    <row r="746" spans="1:2" ht="12.5" hidden="1">
      <c r="A746" s="5">
        <f ca="1">IFERROR(__xludf.DUMMYFUNCTION("""COMPUTED_VALUE"""),95)</f>
        <v>95</v>
      </c>
      <c r="B746" s="69">
        <v>47132</v>
      </c>
    </row>
    <row r="747" spans="1:2" ht="12.5" hidden="1">
      <c r="A747" s="5">
        <f ca="1">IFERROR(__xludf.DUMMYFUNCTION("""COMPUTED_VALUE"""),16)</f>
        <v>16</v>
      </c>
      <c r="B747" s="69">
        <v>47133</v>
      </c>
    </row>
    <row r="748" spans="1:2" ht="12.5" hidden="1">
      <c r="A748" s="5">
        <f ca="1">IFERROR(__xludf.DUMMYFUNCTION("""COMPUTED_VALUE"""),9)</f>
        <v>9</v>
      </c>
      <c r="B748" s="69">
        <v>47134</v>
      </c>
    </row>
    <row r="749" spans="1:2" ht="12.5" hidden="1">
      <c r="A749" s="5">
        <f ca="1">IFERROR(__xludf.DUMMYFUNCTION("""COMPUTED_VALUE"""),64)</f>
        <v>64</v>
      </c>
      <c r="B749" s="69">
        <v>47135</v>
      </c>
    </row>
    <row r="750" spans="1:2" ht="12.5" hidden="1">
      <c r="A750" s="5">
        <f ca="1">IFERROR(__xludf.DUMMYFUNCTION("""COMPUTED_VALUE"""),32)</f>
        <v>32</v>
      </c>
      <c r="B750" s="69">
        <v>47136</v>
      </c>
    </row>
    <row r="751" spans="1:2" ht="12.5" hidden="1">
      <c r="A751" s="5">
        <f ca="1">IFERROR(__xludf.DUMMYFUNCTION("""COMPUTED_VALUE"""),29)</f>
        <v>29</v>
      </c>
      <c r="B751" s="69">
        <v>47137</v>
      </c>
    </row>
    <row r="752" spans="1:2" ht="12.5" hidden="1">
      <c r="A752" s="5">
        <f ca="1">IFERROR(__xludf.DUMMYFUNCTION("""COMPUTED_VALUE"""),70)</f>
        <v>70</v>
      </c>
      <c r="B752" s="69">
        <v>47138</v>
      </c>
    </row>
    <row r="753" spans="1:2" ht="12.5" hidden="1">
      <c r="A753" s="5">
        <f ca="1">IFERROR(__xludf.DUMMYFUNCTION("""COMPUTED_VALUE"""),41)</f>
        <v>41</v>
      </c>
      <c r="B753" s="69">
        <v>47139</v>
      </c>
    </row>
    <row r="754" spans="1:2" ht="12.5" hidden="1">
      <c r="A754" s="5">
        <f ca="1">IFERROR(__xludf.DUMMYFUNCTION("""COMPUTED_VALUE"""),95)</f>
        <v>95</v>
      </c>
      <c r="B754" s="69">
        <v>47140</v>
      </c>
    </row>
    <row r="755" spans="1:2" ht="12.5" hidden="1">
      <c r="A755" s="5">
        <f ca="1">IFERROR(__xludf.DUMMYFUNCTION("""COMPUTED_VALUE"""),63)</f>
        <v>63</v>
      </c>
      <c r="B755" s="69">
        <v>47141</v>
      </c>
    </row>
    <row r="756" spans="1:2" ht="12.5" hidden="1">
      <c r="A756" s="5">
        <f ca="1">IFERROR(__xludf.DUMMYFUNCTION("""COMPUTED_VALUE"""),55)</f>
        <v>55</v>
      </c>
      <c r="B756" s="69">
        <v>47142</v>
      </c>
    </row>
    <row r="757" spans="1:2" ht="12.5" hidden="1">
      <c r="A757" s="5">
        <f ca="1">IFERROR(__xludf.DUMMYFUNCTION("""COMPUTED_VALUE"""),95)</f>
        <v>95</v>
      </c>
      <c r="B757" s="69">
        <v>47143</v>
      </c>
    </row>
    <row r="758" spans="1:2" ht="12.5" hidden="1">
      <c r="A758" s="5">
        <f ca="1">IFERROR(__xludf.DUMMYFUNCTION("""COMPUTED_VALUE"""),95)</f>
        <v>95</v>
      </c>
      <c r="B758" s="69">
        <v>47144</v>
      </c>
    </row>
    <row r="759" spans="1:2" ht="12.5" hidden="1">
      <c r="A759" s="5">
        <f ca="1">IFERROR(__xludf.DUMMYFUNCTION("""COMPUTED_VALUE"""),95)</f>
        <v>95</v>
      </c>
      <c r="B759" s="69">
        <v>47145</v>
      </c>
    </row>
    <row r="760" spans="1:2" ht="12.5" hidden="1">
      <c r="A760" s="5">
        <f ca="1">IFERROR(__xludf.DUMMYFUNCTION("""COMPUTED_VALUE"""),31)</f>
        <v>31</v>
      </c>
      <c r="B760" s="69">
        <v>47146</v>
      </c>
    </row>
    <row r="761" spans="1:2" ht="12.5" hidden="1">
      <c r="A761" s="5">
        <f ca="1">IFERROR(__xludf.DUMMYFUNCTION("""COMPUTED_VALUE"""),5)</f>
        <v>5</v>
      </c>
      <c r="B761" s="69">
        <v>47147</v>
      </c>
    </row>
    <row r="762" spans="1:2" ht="12.5" hidden="1">
      <c r="A762" s="5">
        <f ca="1">IFERROR(__xludf.DUMMYFUNCTION("""COMPUTED_VALUE"""),52)</f>
        <v>52</v>
      </c>
      <c r="B762" s="69">
        <v>47148</v>
      </c>
    </row>
    <row r="763" spans="1:2" ht="12.5" hidden="1">
      <c r="A763" s="5">
        <f ca="1">IFERROR(__xludf.DUMMYFUNCTION("""COMPUTED_VALUE"""),45)</f>
        <v>45</v>
      </c>
      <c r="B763" s="69">
        <v>47149</v>
      </c>
    </row>
    <row r="764" spans="1:2" ht="12.5" hidden="1">
      <c r="A764" s="5">
        <f ca="1">IFERROR(__xludf.DUMMYFUNCTION("""COMPUTED_VALUE"""),95)</f>
        <v>95</v>
      </c>
      <c r="B764" s="69">
        <v>47150</v>
      </c>
    </row>
    <row r="765" spans="1:2" ht="12.5" hidden="1">
      <c r="A765" s="5">
        <f ca="1">IFERROR(__xludf.DUMMYFUNCTION("""COMPUTED_VALUE"""),52)</f>
        <v>52</v>
      </c>
      <c r="B765" s="69">
        <v>47151</v>
      </c>
    </row>
    <row r="766" spans="1:2" ht="12.5" hidden="1">
      <c r="A766" s="5">
        <f ca="1">IFERROR(__xludf.DUMMYFUNCTION("""COMPUTED_VALUE"""),95)</f>
        <v>95</v>
      </c>
      <c r="B766" s="69">
        <v>47152</v>
      </c>
    </row>
    <row r="767" spans="1:2" ht="12.5" hidden="1">
      <c r="A767" s="5">
        <f ca="1">IFERROR(__xludf.DUMMYFUNCTION("""COMPUTED_VALUE"""),20)</f>
        <v>20</v>
      </c>
      <c r="B767" s="69">
        <v>47153</v>
      </c>
    </row>
    <row r="768" spans="1:2" ht="12.5" hidden="1">
      <c r="A768" s="5">
        <f ca="1">IFERROR(__xludf.DUMMYFUNCTION("""COMPUTED_VALUE"""),23)</f>
        <v>23</v>
      </c>
      <c r="B768" s="69">
        <v>47154</v>
      </c>
    </row>
    <row r="769" spans="1:2" ht="12.5" hidden="1">
      <c r="A769" s="5">
        <f ca="1">IFERROR(__xludf.DUMMYFUNCTION("""COMPUTED_VALUE"""),29)</f>
        <v>29</v>
      </c>
      <c r="B769" s="69">
        <v>47155</v>
      </c>
    </row>
    <row r="770" spans="1:2" ht="12.5" hidden="1">
      <c r="A770" s="5">
        <f ca="1">IFERROR(__xludf.DUMMYFUNCTION("""COMPUTED_VALUE"""),44)</f>
        <v>44</v>
      </c>
      <c r="B770" s="69">
        <v>47156</v>
      </c>
    </row>
    <row r="771" spans="1:2" ht="12.5" hidden="1">
      <c r="A771" s="5">
        <f ca="1">IFERROR(__xludf.DUMMYFUNCTION("""COMPUTED_VALUE"""),95)</f>
        <v>95</v>
      </c>
      <c r="B771" s="69">
        <v>47157</v>
      </c>
    </row>
    <row r="772" spans="1:2" ht="12.5" hidden="1">
      <c r="A772" s="5">
        <f ca="1">IFERROR(__xludf.DUMMYFUNCTION("""COMPUTED_VALUE"""),70)</f>
        <v>70</v>
      </c>
      <c r="B772" s="69">
        <v>47158</v>
      </c>
    </row>
    <row r="773" spans="1:2" ht="12.5" hidden="1">
      <c r="A773" s="5">
        <f ca="1">IFERROR(__xludf.DUMMYFUNCTION("""COMPUTED_VALUE"""),32)</f>
        <v>32</v>
      </c>
      <c r="B773" s="69">
        <v>47159</v>
      </c>
    </row>
    <row r="774" spans="1:2" ht="12.5" hidden="1">
      <c r="A774" s="5">
        <f ca="1">IFERROR(__xludf.DUMMYFUNCTION("""COMPUTED_VALUE"""),53)</f>
        <v>53</v>
      </c>
      <c r="B774" s="69">
        <v>47160</v>
      </c>
    </row>
    <row r="775" spans="1:2" ht="12.5" hidden="1">
      <c r="A775" s="5">
        <f ca="1">IFERROR(__xludf.DUMMYFUNCTION("""COMPUTED_VALUE"""),7)</f>
        <v>7</v>
      </c>
      <c r="B775" s="69">
        <v>47161</v>
      </c>
    </row>
    <row r="776" spans="1:2" ht="12.5" hidden="1">
      <c r="A776" s="5">
        <f ca="1">IFERROR(__xludf.DUMMYFUNCTION("""COMPUTED_VALUE"""),7)</f>
        <v>7</v>
      </c>
      <c r="B776" s="69">
        <v>47162</v>
      </c>
    </row>
    <row r="777" spans="1:2" ht="12.5" hidden="1">
      <c r="A777" s="5">
        <f ca="1">IFERROR(__xludf.DUMMYFUNCTION("""COMPUTED_VALUE"""),29)</f>
        <v>29</v>
      </c>
      <c r="B777" s="69">
        <v>47163</v>
      </c>
    </row>
    <row r="778" spans="1:2" ht="12.5" hidden="1">
      <c r="A778" s="5">
        <f ca="1">IFERROR(__xludf.DUMMYFUNCTION("""COMPUTED_VALUE"""),56)</f>
        <v>56</v>
      </c>
      <c r="B778" s="69">
        <v>47164</v>
      </c>
    </row>
    <row r="779" spans="1:2" ht="12.5" hidden="1">
      <c r="A779" s="5">
        <f ca="1">IFERROR(__xludf.DUMMYFUNCTION("""COMPUTED_VALUE"""),71)</f>
        <v>71</v>
      </c>
      <c r="B779" s="69">
        <v>47165</v>
      </c>
    </row>
    <row r="780" spans="1:2" ht="12.5" hidden="1">
      <c r="A780" s="5">
        <f ca="1">IFERROR(__xludf.DUMMYFUNCTION("""COMPUTED_VALUE"""),52)</f>
        <v>52</v>
      </c>
      <c r="B780" s="69">
        <v>47166</v>
      </c>
    </row>
    <row r="781" spans="1:2" ht="12.5" hidden="1">
      <c r="A781" s="5">
        <f ca="1">IFERROR(__xludf.DUMMYFUNCTION("""COMPUTED_VALUE"""),30)</f>
        <v>30</v>
      </c>
      <c r="B781" s="69">
        <v>47167</v>
      </c>
    </row>
    <row r="782" spans="1:2" ht="12.5" hidden="1">
      <c r="A782" s="5">
        <f ca="1">IFERROR(__xludf.DUMMYFUNCTION("""COMPUTED_VALUE"""),95)</f>
        <v>95</v>
      </c>
      <c r="B782" s="69">
        <v>47168</v>
      </c>
    </row>
    <row r="783" spans="1:2" ht="12.5" hidden="1">
      <c r="A783" s="5">
        <f ca="1">IFERROR(__xludf.DUMMYFUNCTION("""COMPUTED_VALUE"""),31)</f>
        <v>31</v>
      </c>
      <c r="B783" s="69">
        <v>47169</v>
      </c>
    </row>
    <row r="784" spans="1:2" ht="12.5" hidden="1">
      <c r="A784" s="5">
        <f ca="1">IFERROR(__xludf.DUMMYFUNCTION("""COMPUTED_VALUE"""),95)</f>
        <v>95</v>
      </c>
      <c r="B784" s="69">
        <v>47170</v>
      </c>
    </row>
    <row r="785" spans="1:2" ht="12.5" hidden="1">
      <c r="A785" s="5">
        <f ca="1">IFERROR(__xludf.DUMMYFUNCTION("""COMPUTED_VALUE"""),25)</f>
        <v>25</v>
      </c>
      <c r="B785" s="69">
        <v>47171</v>
      </c>
    </row>
    <row r="786" spans="1:2" ht="12.5" hidden="1">
      <c r="A786" s="5">
        <f ca="1">IFERROR(__xludf.DUMMYFUNCTION("""COMPUTED_VALUE"""),64)</f>
        <v>64</v>
      </c>
      <c r="B786" s="69">
        <v>47172</v>
      </c>
    </row>
    <row r="787" spans="1:2" ht="12.5" hidden="1">
      <c r="A787" s="5">
        <f ca="1">IFERROR(__xludf.DUMMYFUNCTION("""COMPUTED_VALUE"""),95)</f>
        <v>95</v>
      </c>
      <c r="B787" s="69">
        <v>47173</v>
      </c>
    </row>
    <row r="788" spans="1:2" ht="12.5" hidden="1">
      <c r="A788" s="5">
        <f ca="1">IFERROR(__xludf.DUMMYFUNCTION("""COMPUTED_VALUE"""),30)</f>
        <v>30</v>
      </c>
      <c r="B788" s="69">
        <v>47174</v>
      </c>
    </row>
    <row r="789" spans="1:2" ht="12.5" hidden="1">
      <c r="A789" s="5">
        <f ca="1">IFERROR(__xludf.DUMMYFUNCTION("""COMPUTED_VALUE"""),41)</f>
        <v>41</v>
      </c>
      <c r="B789" s="69">
        <v>47175</v>
      </c>
    </row>
    <row r="790" spans="1:2" ht="12.5" hidden="1">
      <c r="A790" s="5">
        <f ca="1">IFERROR(__xludf.DUMMYFUNCTION("""COMPUTED_VALUE"""),25)</f>
        <v>25</v>
      </c>
      <c r="B790" s="69">
        <v>47176</v>
      </c>
    </row>
    <row r="791" spans="1:2" ht="12.5" hidden="1">
      <c r="A791" s="5">
        <f ca="1">IFERROR(__xludf.DUMMYFUNCTION("""COMPUTED_VALUE"""),30)</f>
        <v>30</v>
      </c>
      <c r="B791" s="69">
        <v>47177</v>
      </c>
    </row>
    <row r="792" spans="1:2" ht="12.5" hidden="1">
      <c r="A792" s="5">
        <f ca="1">IFERROR(__xludf.DUMMYFUNCTION("""COMPUTED_VALUE"""),53)</f>
        <v>53</v>
      </c>
      <c r="B792" s="69">
        <v>47178</v>
      </c>
    </row>
    <row r="793" spans="1:2" ht="12.5" hidden="1">
      <c r="A793" s="5">
        <f ca="1">IFERROR(__xludf.DUMMYFUNCTION("""COMPUTED_VALUE"""),53)</f>
        <v>53</v>
      </c>
      <c r="B793" s="69">
        <v>47179</v>
      </c>
    </row>
    <row r="794" spans="1:2" ht="12.5" hidden="1">
      <c r="A794" s="5">
        <f ca="1">IFERROR(__xludf.DUMMYFUNCTION("""COMPUTED_VALUE"""),53)</f>
        <v>53</v>
      </c>
      <c r="B794" s="69">
        <v>47180</v>
      </c>
    </row>
    <row r="795" spans="1:2" ht="12.5" hidden="1">
      <c r="A795" s="5">
        <f ca="1">IFERROR(__xludf.DUMMYFUNCTION("""COMPUTED_VALUE"""),49)</f>
        <v>49</v>
      </c>
      <c r="B795" s="69">
        <v>47181</v>
      </c>
    </row>
    <row r="796" spans="1:2" ht="12.5" hidden="1">
      <c r="A796" s="5">
        <f ca="1">IFERROR(__xludf.DUMMYFUNCTION("""COMPUTED_VALUE"""),2)</f>
        <v>2</v>
      </c>
      <c r="B796" s="69">
        <v>47182</v>
      </c>
    </row>
    <row r="797" spans="1:2" ht="12.5" hidden="1">
      <c r="A797" s="5">
        <f ca="1">IFERROR(__xludf.DUMMYFUNCTION("""COMPUTED_VALUE"""),52)</f>
        <v>52</v>
      </c>
      <c r="B797" s="69">
        <v>47183</v>
      </c>
    </row>
    <row r="798" spans="1:2" ht="12.5" hidden="1">
      <c r="A798" s="5">
        <f ca="1">IFERROR(__xludf.DUMMYFUNCTION("""COMPUTED_VALUE"""),95)</f>
        <v>95</v>
      </c>
      <c r="B798" s="69">
        <v>47184</v>
      </c>
    </row>
    <row r="799" spans="1:2" ht="12.5" hidden="1">
      <c r="A799" s="5">
        <f ca="1">IFERROR(__xludf.DUMMYFUNCTION("""COMPUTED_VALUE"""),95)</f>
        <v>95</v>
      </c>
      <c r="B799" s="69">
        <v>47185</v>
      </c>
    </row>
    <row r="800" spans="1:2" ht="12.5" hidden="1">
      <c r="A800" s="5">
        <f ca="1">IFERROR(__xludf.DUMMYFUNCTION("""COMPUTED_VALUE"""),95)</f>
        <v>95</v>
      </c>
      <c r="B800" s="69">
        <v>47186</v>
      </c>
    </row>
    <row r="801" spans="1:2" ht="12.5" hidden="1">
      <c r="A801" s="5">
        <f ca="1">IFERROR(__xludf.DUMMYFUNCTION("""COMPUTED_VALUE"""),63)</f>
        <v>63</v>
      </c>
      <c r="B801" s="69">
        <v>47187</v>
      </c>
    </row>
    <row r="802" spans="1:2" ht="12.5" hidden="1">
      <c r="A802" s="5">
        <f ca="1">IFERROR(__xludf.DUMMYFUNCTION("""COMPUTED_VALUE"""),67)</f>
        <v>67</v>
      </c>
      <c r="B802" s="69">
        <v>47188</v>
      </c>
    </row>
    <row r="803" spans="1:2" ht="12.5" hidden="1">
      <c r="A803" s="5">
        <f ca="1">IFERROR(__xludf.DUMMYFUNCTION("""COMPUTED_VALUE"""),29)</f>
        <v>29</v>
      </c>
      <c r="B803" s="69">
        <v>47189</v>
      </c>
    </row>
    <row r="804" spans="1:2" ht="12.5" hidden="1">
      <c r="A804" s="5">
        <f ca="1">IFERROR(__xludf.DUMMYFUNCTION("""COMPUTED_VALUE"""),28)</f>
        <v>28</v>
      </c>
      <c r="B804" s="69">
        <v>47190</v>
      </c>
    </row>
    <row r="805" spans="1:2" ht="12.5" hidden="1">
      <c r="A805" s="5">
        <f ca="1">IFERROR(__xludf.DUMMYFUNCTION("""COMPUTED_VALUE"""),31)</f>
        <v>31</v>
      </c>
      <c r="B805" s="69">
        <v>47191</v>
      </c>
    </row>
    <row r="806" spans="1:2" ht="12.5" hidden="1">
      <c r="A806" s="5">
        <f ca="1">IFERROR(__xludf.DUMMYFUNCTION("""COMPUTED_VALUE"""),95)</f>
        <v>95</v>
      </c>
      <c r="B806" s="69">
        <v>47192</v>
      </c>
    </row>
    <row r="807" spans="1:2" ht="12.5" hidden="1">
      <c r="A807" s="5">
        <f ca="1">IFERROR(__xludf.DUMMYFUNCTION("""COMPUTED_VALUE"""),58)</f>
        <v>58</v>
      </c>
      <c r="B807" s="69">
        <v>47193</v>
      </c>
    </row>
    <row r="808" spans="1:2" ht="12.5" hidden="1">
      <c r="A808" s="5">
        <f ca="1">IFERROR(__xludf.DUMMYFUNCTION("""COMPUTED_VALUE"""),59)</f>
        <v>59</v>
      </c>
      <c r="B808" s="69">
        <v>47194</v>
      </c>
    </row>
    <row r="809" spans="1:2" ht="12.5" hidden="1">
      <c r="A809" s="5">
        <f ca="1">IFERROR(__xludf.DUMMYFUNCTION("""COMPUTED_VALUE"""),52)</f>
        <v>52</v>
      </c>
      <c r="B809" s="69">
        <v>47195</v>
      </c>
    </row>
    <row r="810" spans="1:2" ht="12.5" hidden="1">
      <c r="A810" s="5">
        <f ca="1">IFERROR(__xludf.DUMMYFUNCTION("""COMPUTED_VALUE"""),57)</f>
        <v>57</v>
      </c>
      <c r="B810" s="69">
        <v>47196</v>
      </c>
    </row>
    <row r="811" spans="1:2" ht="12.5" hidden="1">
      <c r="A811" s="5">
        <f ca="1">IFERROR(__xludf.DUMMYFUNCTION("""COMPUTED_VALUE"""),18)</f>
        <v>18</v>
      </c>
      <c r="B811" s="69">
        <v>47197</v>
      </c>
    </row>
    <row r="812" spans="1:2" ht="12.5" hidden="1">
      <c r="A812" s="5">
        <f ca="1">IFERROR(__xludf.DUMMYFUNCTION("""COMPUTED_VALUE"""),29)</f>
        <v>29</v>
      </c>
      <c r="B812" s="69">
        <v>47198</v>
      </c>
    </row>
    <row r="813" spans="1:2" ht="12.5" hidden="1">
      <c r="A813" s="5">
        <f ca="1">IFERROR(__xludf.DUMMYFUNCTION("""COMPUTED_VALUE"""),42)</f>
        <v>42</v>
      </c>
      <c r="B813" s="69">
        <v>47199</v>
      </c>
    </row>
    <row r="814" spans="1:2" ht="12.5" hidden="1">
      <c r="A814" s="5">
        <f ca="1">IFERROR(__xludf.DUMMYFUNCTION("""COMPUTED_VALUE"""),52)</f>
        <v>52</v>
      </c>
      <c r="B814" s="69">
        <v>47200</v>
      </c>
    </row>
    <row r="815" spans="1:2" ht="12.5" hidden="1">
      <c r="A815" s="5">
        <f ca="1">IFERROR(__xludf.DUMMYFUNCTION("""COMPUTED_VALUE"""),31)</f>
        <v>31</v>
      </c>
      <c r="B815" s="69">
        <v>47201</v>
      </c>
    </row>
    <row r="816" spans="1:2" ht="12.5" hidden="1">
      <c r="A816" s="5">
        <f ca="1">IFERROR(__xludf.DUMMYFUNCTION("""COMPUTED_VALUE"""),27)</f>
        <v>27</v>
      </c>
      <c r="B816" s="69">
        <v>47202</v>
      </c>
    </row>
    <row r="817" spans="1:2" ht="12.5" hidden="1">
      <c r="A817" s="5">
        <f ca="1">IFERROR(__xludf.DUMMYFUNCTION("""COMPUTED_VALUE"""),3)</f>
        <v>3</v>
      </c>
      <c r="B817" s="69">
        <v>47203</v>
      </c>
    </row>
    <row r="818" spans="1:2" ht="12.5" hidden="1">
      <c r="A818" s="5">
        <f ca="1">IFERROR(__xludf.DUMMYFUNCTION("""COMPUTED_VALUE"""),95)</f>
        <v>95</v>
      </c>
      <c r="B818" s="69">
        <v>47204</v>
      </c>
    </row>
    <row r="819" spans="1:2" ht="12.5" hidden="1">
      <c r="A819" s="5">
        <f ca="1">IFERROR(__xludf.DUMMYFUNCTION("""COMPUTED_VALUE"""),46)</f>
        <v>46</v>
      </c>
      <c r="B819" s="69">
        <v>47205</v>
      </c>
    </row>
    <row r="820" spans="1:2" ht="12.5" hidden="1">
      <c r="A820" s="5">
        <f ca="1">IFERROR(__xludf.DUMMYFUNCTION("""COMPUTED_VALUE"""),23)</f>
        <v>23</v>
      </c>
      <c r="B820" s="69">
        <v>47206</v>
      </c>
    </row>
    <row r="821" spans="1:2" ht="12.5" hidden="1">
      <c r="A821" s="5">
        <f ca="1">IFERROR(__xludf.DUMMYFUNCTION("""COMPUTED_VALUE"""),62)</f>
        <v>62</v>
      </c>
      <c r="B821" s="69">
        <v>47207</v>
      </c>
    </row>
    <row r="822" spans="1:2" ht="12.5" hidden="1">
      <c r="A822" s="5">
        <f ca="1">IFERROR(__xludf.DUMMYFUNCTION("""COMPUTED_VALUE"""),31)</f>
        <v>31</v>
      </c>
      <c r="B822" s="69">
        <v>47208</v>
      </c>
    </row>
    <row r="823" spans="1:2" ht="12.5" hidden="1">
      <c r="A823" s="5">
        <f ca="1">IFERROR(__xludf.DUMMYFUNCTION("""COMPUTED_VALUE"""),20)</f>
        <v>20</v>
      </c>
      <c r="B823" s="69">
        <v>47209</v>
      </c>
    </row>
    <row r="824" spans="1:2" ht="12.5" hidden="1">
      <c r="A824" s="5">
        <f ca="1">IFERROR(__xludf.DUMMYFUNCTION("""COMPUTED_VALUE"""),28)</f>
        <v>28</v>
      </c>
      <c r="B824" s="69">
        <v>47210</v>
      </c>
    </row>
    <row r="825" spans="1:2" ht="12.5" hidden="1">
      <c r="A825" s="5">
        <f ca="1">IFERROR(__xludf.DUMMYFUNCTION("""COMPUTED_VALUE"""),56)</f>
        <v>56</v>
      </c>
      <c r="B825" s="69">
        <v>47211</v>
      </c>
    </row>
    <row r="826" spans="1:2" ht="12.5" hidden="1">
      <c r="A826" s="5">
        <f ca="1">IFERROR(__xludf.DUMMYFUNCTION("""COMPUTED_VALUE"""),58)</f>
        <v>58</v>
      </c>
      <c r="B826" s="69">
        <v>47212</v>
      </c>
    </row>
    <row r="827" spans="1:2" ht="12.5" hidden="1">
      <c r="A827" s="5">
        <f ca="1">IFERROR(__xludf.DUMMYFUNCTION("""COMPUTED_VALUE"""),29)</f>
        <v>29</v>
      </c>
      <c r="B827" s="69">
        <v>47213</v>
      </c>
    </row>
    <row r="828" spans="1:2" ht="12.5" hidden="1">
      <c r="A828" s="5">
        <f ca="1">IFERROR(__xludf.DUMMYFUNCTION("""COMPUTED_VALUE"""),14)</f>
        <v>14</v>
      </c>
      <c r="B828" s="69">
        <v>47214</v>
      </c>
    </row>
    <row r="829" spans="1:2" ht="12.5" hidden="1">
      <c r="A829" s="5">
        <f ca="1">IFERROR(__xludf.DUMMYFUNCTION("""COMPUTED_VALUE"""),52)</f>
        <v>52</v>
      </c>
      <c r="B829" s="69">
        <v>47215</v>
      </c>
    </row>
    <row r="830" spans="1:2" ht="12.5" hidden="1">
      <c r="A830" s="5">
        <f ca="1">IFERROR(__xludf.DUMMYFUNCTION("""COMPUTED_VALUE"""),29)</f>
        <v>29</v>
      </c>
      <c r="B830" s="69">
        <v>47216</v>
      </c>
    </row>
    <row r="831" spans="1:2" ht="12.5" hidden="1">
      <c r="A831" s="5">
        <f ca="1">IFERROR(__xludf.DUMMYFUNCTION("""COMPUTED_VALUE"""),32)</f>
        <v>32</v>
      </c>
      <c r="B831" s="69">
        <v>47217</v>
      </c>
    </row>
    <row r="832" spans="1:2" ht="12.5" hidden="1">
      <c r="A832" s="5">
        <f ca="1">IFERROR(__xludf.DUMMYFUNCTION("""COMPUTED_VALUE"""),95)</f>
        <v>95</v>
      </c>
      <c r="B832" s="69">
        <v>47218</v>
      </c>
    </row>
    <row r="833" spans="1:2" ht="12.5" hidden="1">
      <c r="A833" s="5">
        <f ca="1">IFERROR(__xludf.DUMMYFUNCTION("""COMPUTED_VALUE"""),5)</f>
        <v>5</v>
      </c>
      <c r="B833" s="69">
        <v>47219</v>
      </c>
    </row>
    <row r="834" spans="1:2" ht="12.5" hidden="1">
      <c r="A834" s="5">
        <f ca="1">IFERROR(__xludf.DUMMYFUNCTION("""COMPUTED_VALUE"""),52)</f>
        <v>52</v>
      </c>
      <c r="B834" s="69">
        <v>47220</v>
      </c>
    </row>
    <row r="835" spans="1:2" ht="12.5" hidden="1">
      <c r="A835" s="5">
        <f ca="1">IFERROR(__xludf.DUMMYFUNCTION("""COMPUTED_VALUE"""),53)</f>
        <v>53</v>
      </c>
      <c r="B835" s="69">
        <v>47221</v>
      </c>
    </row>
    <row r="836" spans="1:2" ht="12.5" hidden="1">
      <c r="A836" s="5">
        <f ca="1">IFERROR(__xludf.DUMMYFUNCTION("""COMPUTED_VALUE"""),95)</f>
        <v>95</v>
      </c>
      <c r="B836" s="69">
        <v>47222</v>
      </c>
    </row>
    <row r="837" spans="1:2" ht="12.5" hidden="1">
      <c r="A837" s="5">
        <f ca="1">IFERROR(__xludf.DUMMYFUNCTION("""COMPUTED_VALUE"""),22)</f>
        <v>22</v>
      </c>
      <c r="B837" s="69">
        <v>47223</v>
      </c>
    </row>
    <row r="838" spans="1:2" ht="12.5" hidden="1">
      <c r="A838" s="5">
        <f ca="1">IFERROR(__xludf.DUMMYFUNCTION("""COMPUTED_VALUE"""),95)</f>
        <v>95</v>
      </c>
      <c r="B838" s="69">
        <v>47224</v>
      </c>
    </row>
    <row r="839" spans="1:2" ht="12.5" hidden="1">
      <c r="A839" s="5">
        <f ca="1">IFERROR(__xludf.DUMMYFUNCTION("""COMPUTED_VALUE"""),68)</f>
        <v>68</v>
      </c>
      <c r="B839" s="69">
        <v>47225</v>
      </c>
    </row>
    <row r="840" spans="1:2" ht="12.5" hidden="1">
      <c r="A840" s="5">
        <f ca="1">IFERROR(__xludf.DUMMYFUNCTION("""COMPUTED_VALUE"""),20)</f>
        <v>20</v>
      </c>
      <c r="B840" s="69">
        <v>47226</v>
      </c>
    </row>
    <row r="841" spans="1:2" ht="12.5" hidden="1">
      <c r="A841" s="5">
        <f ca="1">IFERROR(__xludf.DUMMYFUNCTION("""COMPUTED_VALUE"""),54)</f>
        <v>54</v>
      </c>
      <c r="B841" s="69">
        <v>47227</v>
      </c>
    </row>
    <row r="842" spans="1:2" ht="12.5" hidden="1">
      <c r="A842" s="5">
        <f ca="1">IFERROR(__xludf.DUMMYFUNCTION("""COMPUTED_VALUE"""),31)</f>
        <v>31</v>
      </c>
      <c r="B842" s="69">
        <v>47228</v>
      </c>
    </row>
    <row r="843" spans="1:2" ht="12.5" hidden="1">
      <c r="A843" s="5">
        <f ca="1">IFERROR(__xludf.DUMMYFUNCTION("""COMPUTED_VALUE"""),31)</f>
        <v>31</v>
      </c>
      <c r="B843" s="69">
        <v>47229</v>
      </c>
    </row>
    <row r="844" spans="1:2" ht="12.5" hidden="1">
      <c r="A844" s="5">
        <f ca="1">IFERROR(__xludf.DUMMYFUNCTION("""COMPUTED_VALUE"""),29)</f>
        <v>29</v>
      </c>
      <c r="B844" s="69">
        <v>47230</v>
      </c>
    </row>
    <row r="845" spans="1:2" ht="12.5" hidden="1">
      <c r="A845" s="5">
        <f ca="1">IFERROR(__xludf.DUMMYFUNCTION("""COMPUTED_VALUE"""),31)</f>
        <v>31</v>
      </c>
      <c r="B845" s="69">
        <v>47231</v>
      </c>
    </row>
    <row r="846" spans="1:2" ht="12.5" hidden="1">
      <c r="A846" s="5">
        <f ca="1">IFERROR(__xludf.DUMMYFUNCTION("""COMPUTED_VALUE"""),26)</f>
        <v>26</v>
      </c>
      <c r="B846" s="69">
        <v>47232</v>
      </c>
    </row>
    <row r="847" spans="1:2" ht="12.5" hidden="1">
      <c r="A847" s="5">
        <f ca="1">IFERROR(__xludf.DUMMYFUNCTION("""COMPUTED_VALUE"""),95)</f>
        <v>95</v>
      </c>
      <c r="B847" s="69">
        <v>47233</v>
      </c>
    </row>
    <row r="848" spans="1:2" ht="12.5" hidden="1">
      <c r="A848" s="5">
        <f ca="1">IFERROR(__xludf.DUMMYFUNCTION("""COMPUTED_VALUE"""),29)</f>
        <v>29</v>
      </c>
      <c r="B848" s="69">
        <v>47234</v>
      </c>
    </row>
    <row r="849" spans="1:2" ht="12.5" hidden="1">
      <c r="A849" s="5">
        <f ca="1">IFERROR(__xludf.DUMMYFUNCTION("""COMPUTED_VALUE"""),64)</f>
        <v>64</v>
      </c>
      <c r="B849" s="69">
        <v>47235</v>
      </c>
    </row>
    <row r="850" spans="1:2" ht="12.5" hidden="1">
      <c r="A850" s="5">
        <f ca="1">IFERROR(__xludf.DUMMYFUNCTION("""COMPUTED_VALUE"""),38)</f>
        <v>38</v>
      </c>
      <c r="B850" s="69">
        <v>47236</v>
      </c>
    </row>
    <row r="851" spans="1:2" ht="12.5" hidden="1">
      <c r="A851" s="5">
        <f ca="1">IFERROR(__xludf.DUMMYFUNCTION("""COMPUTED_VALUE"""),95)</f>
        <v>95</v>
      </c>
      <c r="B851" s="69">
        <v>47237</v>
      </c>
    </row>
    <row r="852" spans="1:2" ht="12.5" hidden="1">
      <c r="A852" s="5">
        <f ca="1">IFERROR(__xludf.DUMMYFUNCTION("""COMPUTED_VALUE"""),36)</f>
        <v>36</v>
      </c>
      <c r="B852" s="69">
        <v>47238</v>
      </c>
    </row>
    <row r="853" spans="1:2" ht="12.5" hidden="1">
      <c r="A853" s="5">
        <f ca="1">IFERROR(__xludf.DUMMYFUNCTION("""COMPUTED_VALUE"""),38)</f>
        <v>38</v>
      </c>
      <c r="B853" s="69">
        <v>47239</v>
      </c>
    </row>
    <row r="854" spans="1:2" ht="12.5" hidden="1">
      <c r="A854" s="5">
        <f ca="1">IFERROR(__xludf.DUMMYFUNCTION("""COMPUTED_VALUE"""),31)</f>
        <v>31</v>
      </c>
      <c r="B854" s="69">
        <v>47240</v>
      </c>
    </row>
    <row r="855" spans="1:2" ht="12.5" hidden="1">
      <c r="A855" s="5">
        <f ca="1">IFERROR(__xludf.DUMMYFUNCTION("""COMPUTED_VALUE"""),95)</f>
        <v>95</v>
      </c>
      <c r="B855" s="69">
        <v>47241</v>
      </c>
    </row>
    <row r="856" spans="1:2" ht="12.5">
      <c r="A856" s="5">
        <f ca="1">IFERROR(__xludf.DUMMYFUNCTION("""COMPUTED_VALUE"""),51)</f>
        <v>51</v>
      </c>
      <c r="B856" s="69">
        <v>47242</v>
      </c>
    </row>
    <row r="857" spans="1:2" ht="12.5" hidden="1">
      <c r="A857" s="5">
        <f ca="1">IFERROR(__xludf.DUMMYFUNCTION("""COMPUTED_VALUE"""),5)</f>
        <v>5</v>
      </c>
      <c r="B857" s="69">
        <v>47243</v>
      </c>
    </row>
    <row r="858" spans="1:2" ht="12.5" hidden="1">
      <c r="A858" s="5">
        <f ca="1">IFERROR(__xludf.DUMMYFUNCTION("""COMPUTED_VALUE"""),95)</f>
        <v>95</v>
      </c>
      <c r="B858" s="69">
        <v>47244</v>
      </c>
    </row>
    <row r="859" spans="1:2" ht="12.5" hidden="1">
      <c r="A859" s="5">
        <f ca="1">IFERROR(__xludf.DUMMYFUNCTION("""COMPUTED_VALUE"""),32)</f>
        <v>32</v>
      </c>
      <c r="B859" s="69">
        <v>47245</v>
      </c>
    </row>
    <row r="860" spans="1:2" ht="12.5">
      <c r="A860" s="5">
        <f ca="1">IFERROR(__xludf.DUMMYFUNCTION("""COMPUTED_VALUE"""),51)</f>
        <v>51</v>
      </c>
      <c r="B860" s="69">
        <v>47246</v>
      </c>
    </row>
    <row r="861" spans="1:2" ht="12.5" hidden="1">
      <c r="A861" s="5">
        <f ca="1">IFERROR(__xludf.DUMMYFUNCTION("""COMPUTED_VALUE"""),95)</f>
        <v>95</v>
      </c>
      <c r="B861" s="69">
        <v>47247</v>
      </c>
    </row>
    <row r="862" spans="1:2" ht="12.5" hidden="1">
      <c r="A862" s="5">
        <f ca="1">IFERROR(__xludf.DUMMYFUNCTION("""COMPUTED_VALUE"""),55)</f>
        <v>55</v>
      </c>
      <c r="B862" s="69">
        <v>47248</v>
      </c>
    </row>
    <row r="863" spans="1:2" ht="12.5" hidden="1">
      <c r="A863" s="5">
        <f ca="1">IFERROR(__xludf.DUMMYFUNCTION("""COMPUTED_VALUE"""),32)</f>
        <v>32</v>
      </c>
      <c r="B863" s="69">
        <v>47249</v>
      </c>
    </row>
    <row r="864" spans="1:2" ht="12.5" hidden="1">
      <c r="A864" s="5">
        <f ca="1">IFERROR(__xludf.DUMMYFUNCTION("""COMPUTED_VALUE"""),95)</f>
        <v>95</v>
      </c>
      <c r="B864" s="69">
        <v>47250</v>
      </c>
    </row>
    <row r="865" spans="1:2" ht="12.5" hidden="1">
      <c r="A865" s="5">
        <f ca="1">IFERROR(__xludf.DUMMYFUNCTION("""COMPUTED_VALUE"""),32)</f>
        <v>32</v>
      </c>
      <c r="B865" s="69">
        <v>47251</v>
      </c>
    </row>
    <row r="866" spans="1:2" ht="12.5" hidden="1">
      <c r="A866" s="5">
        <f ca="1">IFERROR(__xludf.DUMMYFUNCTION("""COMPUTED_VALUE"""),26)</f>
        <v>26</v>
      </c>
      <c r="B866" s="69">
        <v>47252</v>
      </c>
    </row>
    <row r="867" spans="1:2" ht="12.5" hidden="1">
      <c r="A867" s="5">
        <f ca="1">IFERROR(__xludf.DUMMYFUNCTION("""COMPUTED_VALUE"""),95)</f>
        <v>95</v>
      </c>
      <c r="B867" s="69">
        <v>47253</v>
      </c>
    </row>
    <row r="868" spans="1:2" ht="12.5" hidden="1">
      <c r="A868" s="5">
        <f ca="1">IFERROR(__xludf.DUMMYFUNCTION("""COMPUTED_VALUE"""),95)</f>
        <v>95</v>
      </c>
      <c r="B868" s="69">
        <v>47254</v>
      </c>
    </row>
    <row r="869" spans="1:2" ht="12.5" hidden="1">
      <c r="A869" s="5">
        <f ca="1">IFERROR(__xludf.DUMMYFUNCTION("""COMPUTED_VALUE"""),95)</f>
        <v>95</v>
      </c>
      <c r="B869" s="69">
        <v>47255</v>
      </c>
    </row>
    <row r="870" spans="1:2" ht="12.5" hidden="1">
      <c r="A870" s="5">
        <f ca="1">IFERROR(__xludf.DUMMYFUNCTION("""COMPUTED_VALUE"""),95)</f>
        <v>95</v>
      </c>
      <c r="B870" s="69">
        <v>47256</v>
      </c>
    </row>
    <row r="871" spans="1:2" ht="12.5" hidden="1">
      <c r="A871" s="5">
        <f ca="1">IFERROR(__xludf.DUMMYFUNCTION("""COMPUTED_VALUE"""),95)</f>
        <v>95</v>
      </c>
      <c r="B871" s="69">
        <v>47257</v>
      </c>
    </row>
    <row r="872" spans="1:2" ht="12.5" hidden="1">
      <c r="A872" s="5">
        <f ca="1">IFERROR(__xludf.DUMMYFUNCTION("""COMPUTED_VALUE"""),28)</f>
        <v>28</v>
      </c>
      <c r="B872" s="69">
        <v>47258</v>
      </c>
    </row>
    <row r="873" spans="1:2" ht="12.5" hidden="1">
      <c r="A873" s="5">
        <f ca="1">IFERROR(__xludf.DUMMYFUNCTION("""COMPUTED_VALUE"""),95)</f>
        <v>95</v>
      </c>
      <c r="B873" s="69">
        <v>47259</v>
      </c>
    </row>
    <row r="874" spans="1:2" ht="12.5" hidden="1">
      <c r="A874" s="5">
        <f ca="1">IFERROR(__xludf.DUMMYFUNCTION("""COMPUTED_VALUE"""),52)</f>
        <v>52</v>
      </c>
      <c r="B874" s="69">
        <v>47260</v>
      </c>
    </row>
    <row r="875" spans="1:2" ht="12.5" hidden="1">
      <c r="A875" s="5">
        <f ca="1">IFERROR(__xludf.DUMMYFUNCTION("""COMPUTED_VALUE"""),55)</f>
        <v>55</v>
      </c>
      <c r="B875" s="69">
        <v>47261</v>
      </c>
    </row>
    <row r="876" spans="1:2" ht="12.5" hidden="1">
      <c r="A876" s="5">
        <f ca="1">IFERROR(__xludf.DUMMYFUNCTION("""COMPUTED_VALUE"""),62)</f>
        <v>62</v>
      </c>
      <c r="B876" s="69">
        <v>47262</v>
      </c>
    </row>
    <row r="877" spans="1:2" ht="12.5" hidden="1">
      <c r="A877" s="5">
        <f ca="1">IFERROR(__xludf.DUMMYFUNCTION("""COMPUTED_VALUE"""),30)</f>
        <v>30</v>
      </c>
      <c r="B877" s="69">
        <v>47263</v>
      </c>
    </row>
    <row r="878" spans="1:2" ht="12.5" hidden="1">
      <c r="A878" s="5">
        <f ca="1">IFERROR(__xludf.DUMMYFUNCTION("""COMPUTED_VALUE"""),28)</f>
        <v>28</v>
      </c>
      <c r="B878" s="69">
        <v>47264</v>
      </c>
    </row>
    <row r="879" spans="1:2" ht="12.5" hidden="1">
      <c r="A879" s="5">
        <f ca="1">IFERROR(__xludf.DUMMYFUNCTION("""COMPUTED_VALUE"""),31)</f>
        <v>31</v>
      </c>
      <c r="B879" s="69">
        <v>47265</v>
      </c>
    </row>
    <row r="880" spans="1:2" ht="12.5" hidden="1">
      <c r="A880" s="5">
        <f ca="1">IFERROR(__xludf.DUMMYFUNCTION("""COMPUTED_VALUE"""),52)</f>
        <v>52</v>
      </c>
      <c r="B880" s="69">
        <v>47266</v>
      </c>
    </row>
    <row r="881" spans="1:2" ht="12.5" hidden="1">
      <c r="A881" s="5">
        <f ca="1">IFERROR(__xludf.DUMMYFUNCTION("""COMPUTED_VALUE"""),95)</f>
        <v>95</v>
      </c>
      <c r="B881" s="69">
        <v>47267</v>
      </c>
    </row>
    <row r="882" spans="1:2" ht="12.5" hidden="1">
      <c r="A882" s="5">
        <f ca="1">IFERROR(__xludf.DUMMYFUNCTION("""COMPUTED_VALUE"""),20)</f>
        <v>20</v>
      </c>
      <c r="B882" s="69">
        <v>47268</v>
      </c>
    </row>
    <row r="883" spans="1:2" ht="12.5" hidden="1">
      <c r="A883" s="5">
        <f ca="1">IFERROR(__xludf.DUMMYFUNCTION("""COMPUTED_VALUE"""),95)</f>
        <v>95</v>
      </c>
      <c r="B883" s="69">
        <v>47269</v>
      </c>
    </row>
    <row r="884" spans="1:2" ht="12.5" hidden="1">
      <c r="A884" s="5">
        <f ca="1">IFERROR(__xludf.DUMMYFUNCTION("""COMPUTED_VALUE"""),52)</f>
        <v>52</v>
      </c>
      <c r="B884" s="69">
        <v>47270</v>
      </c>
    </row>
    <row r="885" spans="1:2" ht="12.5" hidden="1">
      <c r="A885" s="5">
        <f ca="1">IFERROR(__xludf.DUMMYFUNCTION("""COMPUTED_VALUE"""),92)</f>
        <v>92</v>
      </c>
      <c r="B885" s="69">
        <v>47271</v>
      </c>
    </row>
    <row r="886" spans="1:2" ht="12.5" hidden="1">
      <c r="A886" s="5">
        <f ca="1">IFERROR(__xludf.DUMMYFUNCTION("""COMPUTED_VALUE"""),7)</f>
        <v>7</v>
      </c>
      <c r="B886" s="69">
        <v>47272</v>
      </c>
    </row>
    <row r="887" spans="1:2" ht="12.5" hidden="1">
      <c r="A887" s="5">
        <f ca="1">IFERROR(__xludf.DUMMYFUNCTION("""COMPUTED_VALUE"""),32)</f>
        <v>32</v>
      </c>
      <c r="B887" s="69">
        <v>47273</v>
      </c>
    </row>
    <row r="888" spans="1:2" ht="12.5" hidden="1">
      <c r="A888" s="5">
        <f ca="1">IFERROR(__xludf.DUMMYFUNCTION("""COMPUTED_VALUE"""),52)</f>
        <v>52</v>
      </c>
      <c r="B888" s="69">
        <v>47274</v>
      </c>
    </row>
    <row r="889" spans="1:2" ht="12.5" hidden="1">
      <c r="A889" s="5">
        <f ca="1">IFERROR(__xludf.DUMMYFUNCTION("""COMPUTED_VALUE"""),52)</f>
        <v>52</v>
      </c>
      <c r="B889" s="69">
        <v>47275</v>
      </c>
    </row>
    <row r="890" spans="1:2" ht="12.5" hidden="1">
      <c r="A890" s="5">
        <f ca="1">IFERROR(__xludf.DUMMYFUNCTION("""COMPUTED_VALUE"""),10)</f>
        <v>10</v>
      </c>
      <c r="B890" s="69">
        <v>47276</v>
      </c>
    </row>
    <row r="891" spans="1:2" ht="12.5" hidden="1">
      <c r="A891" s="5">
        <f ca="1">IFERROR(__xludf.DUMMYFUNCTION("""COMPUTED_VALUE"""),62)</f>
        <v>62</v>
      </c>
      <c r="B891" s="69">
        <v>47277</v>
      </c>
    </row>
    <row r="892" spans="1:2" ht="12.5" hidden="1">
      <c r="A892" s="5">
        <f ca="1">IFERROR(__xludf.DUMMYFUNCTION("""COMPUTED_VALUE"""),29)</f>
        <v>29</v>
      </c>
      <c r="B892" s="69">
        <v>47278</v>
      </c>
    </row>
    <row r="893" spans="1:2" ht="12.5" hidden="1">
      <c r="A893" s="5">
        <f ca="1">IFERROR(__xludf.DUMMYFUNCTION("""COMPUTED_VALUE"""),64)</f>
        <v>64</v>
      </c>
      <c r="B893" s="69">
        <v>47279</v>
      </c>
    </row>
    <row r="894" spans="1:2" ht="12.5" hidden="1">
      <c r="A894" s="5">
        <f ca="1">IFERROR(__xludf.DUMMYFUNCTION("""COMPUTED_VALUE"""),59)</f>
        <v>59</v>
      </c>
      <c r="B894" s="69">
        <v>47280</v>
      </c>
    </row>
    <row r="895" spans="1:2" ht="12.5" hidden="1">
      <c r="A895" s="5">
        <f ca="1">IFERROR(__xludf.DUMMYFUNCTION("""COMPUTED_VALUE"""),16)</f>
        <v>16</v>
      </c>
      <c r="B895" s="69">
        <v>47281</v>
      </c>
    </row>
    <row r="896" spans="1:2" ht="12.5" hidden="1">
      <c r="A896" s="5">
        <f ca="1">IFERROR(__xludf.DUMMYFUNCTION("""COMPUTED_VALUE"""),70)</f>
        <v>70</v>
      </c>
      <c r="B896" s="69">
        <v>47282</v>
      </c>
    </row>
    <row r="897" spans="1:2" ht="12.5" hidden="1">
      <c r="A897" s="5">
        <f ca="1">IFERROR(__xludf.DUMMYFUNCTION("""COMPUTED_VALUE"""),32)</f>
        <v>32</v>
      </c>
      <c r="B897" s="69">
        <v>47283</v>
      </c>
    </row>
    <row r="898" spans="1:2" ht="12.5" hidden="1">
      <c r="A898" s="5">
        <f ca="1">IFERROR(__xludf.DUMMYFUNCTION("""COMPUTED_VALUE"""),95)</f>
        <v>95</v>
      </c>
      <c r="B898" s="69">
        <v>47284</v>
      </c>
    </row>
    <row r="899" spans="1:2" ht="12.5" hidden="1">
      <c r="A899" s="5">
        <f ca="1">IFERROR(__xludf.DUMMYFUNCTION("""COMPUTED_VALUE"""),21)</f>
        <v>21</v>
      </c>
      <c r="B899" s="69">
        <v>47285</v>
      </c>
    </row>
    <row r="900" spans="1:2" ht="12.5" hidden="1">
      <c r="A900" s="5">
        <f ca="1">IFERROR(__xludf.DUMMYFUNCTION("""COMPUTED_VALUE"""),68)</f>
        <v>68</v>
      </c>
      <c r="B900" s="69">
        <v>47286</v>
      </c>
    </row>
    <row r="901" spans="1:2" ht="12.5" hidden="1">
      <c r="A901" s="5">
        <f ca="1">IFERROR(__xludf.DUMMYFUNCTION("""COMPUTED_VALUE"""),95)</f>
        <v>95</v>
      </c>
      <c r="B901" s="69">
        <v>47287</v>
      </c>
    </row>
    <row r="902" spans="1:2" ht="12.5" hidden="1">
      <c r="A902" s="5">
        <f ca="1">IFERROR(__xludf.DUMMYFUNCTION("""COMPUTED_VALUE"""),21)</f>
        <v>21</v>
      </c>
      <c r="B902" s="69">
        <v>47288</v>
      </c>
    </row>
    <row r="903" spans="1:2" ht="12.5" hidden="1">
      <c r="A903" s="5">
        <f ca="1">IFERROR(__xludf.DUMMYFUNCTION("""COMPUTED_VALUE"""),45)</f>
        <v>45</v>
      </c>
      <c r="B903" s="69">
        <v>47289</v>
      </c>
    </row>
    <row r="904" spans="1:2" ht="12.5" hidden="1">
      <c r="A904" s="5">
        <f ca="1">IFERROR(__xludf.DUMMYFUNCTION("""COMPUTED_VALUE"""),50)</f>
        <v>50</v>
      </c>
      <c r="B904" s="69">
        <v>47290</v>
      </c>
    </row>
    <row r="905" spans="1:2" ht="12.5" hidden="1">
      <c r="A905" s="5">
        <f ca="1">IFERROR(__xludf.DUMMYFUNCTION("""COMPUTED_VALUE"""),95)</f>
        <v>95</v>
      </c>
      <c r="B905" s="69">
        <v>47291</v>
      </c>
    </row>
    <row r="906" spans="1:2" ht="12.5" hidden="1">
      <c r="A906" s="5">
        <f ca="1">IFERROR(__xludf.DUMMYFUNCTION("""COMPUTED_VALUE"""),53)</f>
        <v>53</v>
      </c>
      <c r="B906" s="69">
        <v>47292</v>
      </c>
    </row>
    <row r="907" spans="1:2" ht="12.5" hidden="1">
      <c r="A907" s="5">
        <f ca="1">IFERROR(__xludf.DUMMYFUNCTION("""COMPUTED_VALUE"""),73)</f>
        <v>73</v>
      </c>
      <c r="B907" s="69">
        <v>47293</v>
      </c>
    </row>
    <row r="908" spans="1:2" ht="12.5" hidden="1">
      <c r="A908" s="5">
        <f ca="1">IFERROR(__xludf.DUMMYFUNCTION("""COMPUTED_VALUE"""),29)</f>
        <v>29</v>
      </c>
      <c r="B908" s="69">
        <v>47294</v>
      </c>
    </row>
    <row r="909" spans="1:2" ht="12.5" hidden="1">
      <c r="A909" s="5">
        <f ca="1">IFERROR(__xludf.DUMMYFUNCTION("""COMPUTED_VALUE"""),25)</f>
        <v>25</v>
      </c>
      <c r="B909" s="69">
        <v>47295</v>
      </c>
    </row>
    <row r="910" spans="1:2" ht="12.5" hidden="1">
      <c r="A910" s="5">
        <f ca="1">IFERROR(__xludf.DUMMYFUNCTION("""COMPUTED_VALUE"""),29)</f>
        <v>29</v>
      </c>
      <c r="B910" s="69">
        <v>47296</v>
      </c>
    </row>
    <row r="911" spans="1:2" ht="12.5" hidden="1">
      <c r="A911" s="5">
        <f ca="1">IFERROR(__xludf.DUMMYFUNCTION("""COMPUTED_VALUE"""),26)</f>
        <v>26</v>
      </c>
      <c r="B911" s="69">
        <v>47297</v>
      </c>
    </row>
    <row r="912" spans="1:2" ht="12.5" hidden="1">
      <c r="A912" s="5">
        <f ca="1">IFERROR(__xludf.DUMMYFUNCTION("""COMPUTED_VALUE"""),29)</f>
        <v>29</v>
      </c>
      <c r="B912" s="69">
        <v>47298</v>
      </c>
    </row>
    <row r="913" spans="1:2" ht="12.5" hidden="1">
      <c r="A913" s="5">
        <f ca="1">IFERROR(__xludf.DUMMYFUNCTION("""COMPUTED_VALUE"""),29)</f>
        <v>29</v>
      </c>
      <c r="B913" s="69">
        <v>47299</v>
      </c>
    </row>
    <row r="914" spans="1:2" ht="12.5" hidden="1">
      <c r="A914" s="5">
        <f ca="1">IFERROR(__xludf.DUMMYFUNCTION("""COMPUTED_VALUE"""),52)</f>
        <v>52</v>
      </c>
      <c r="B914" s="69">
        <v>47300</v>
      </c>
    </row>
    <row r="915" spans="1:2" ht="12.5" hidden="1">
      <c r="A915" s="5">
        <f ca="1">IFERROR(__xludf.DUMMYFUNCTION("""COMPUTED_VALUE"""),95)</f>
        <v>95</v>
      </c>
      <c r="B915" s="69">
        <v>47301</v>
      </c>
    </row>
    <row r="916" spans="1:2" ht="12.5" hidden="1">
      <c r="A916" s="5">
        <f ca="1">IFERROR(__xludf.DUMMYFUNCTION("""COMPUTED_VALUE"""),95)</f>
        <v>95</v>
      </c>
      <c r="B916" s="69">
        <v>47302</v>
      </c>
    </row>
    <row r="917" spans="1:2" ht="12.5" hidden="1">
      <c r="A917" s="5">
        <f ca="1">IFERROR(__xludf.DUMMYFUNCTION("""COMPUTED_VALUE"""),40)</f>
        <v>40</v>
      </c>
      <c r="B917" s="69">
        <v>47303</v>
      </c>
    </row>
    <row r="918" spans="1:2" ht="12.5" hidden="1">
      <c r="A918" s="5">
        <f ca="1">IFERROR(__xludf.DUMMYFUNCTION("""COMPUTED_VALUE"""),28)</f>
        <v>28</v>
      </c>
      <c r="B918" s="69">
        <v>47304</v>
      </c>
    </row>
    <row r="919" spans="1:2" ht="12.5" hidden="1">
      <c r="A919" s="5">
        <f ca="1">IFERROR(__xludf.DUMMYFUNCTION("""COMPUTED_VALUE"""),44)</f>
        <v>44</v>
      </c>
      <c r="B919" s="69">
        <v>47305</v>
      </c>
    </row>
    <row r="920" spans="1:2" ht="12.5" hidden="1">
      <c r="A920" s="5">
        <f ca="1">IFERROR(__xludf.DUMMYFUNCTION("""COMPUTED_VALUE"""),32)</f>
        <v>32</v>
      </c>
      <c r="B920" s="69">
        <v>47306</v>
      </c>
    </row>
    <row r="921" spans="1:2" ht="12.5" hidden="1">
      <c r="A921" s="5">
        <f ca="1">IFERROR(__xludf.DUMMYFUNCTION("""COMPUTED_VALUE"""),18)</f>
        <v>18</v>
      </c>
      <c r="B921" s="69">
        <v>47307</v>
      </c>
    </row>
    <row r="922" spans="1:2" ht="12.5" hidden="1">
      <c r="A922" s="5">
        <f ca="1">IFERROR(__xludf.DUMMYFUNCTION("""COMPUTED_VALUE"""),31)</f>
        <v>31</v>
      </c>
      <c r="B922" s="69">
        <v>47308</v>
      </c>
    </row>
    <row r="923" spans="1:2" ht="12.5" hidden="1">
      <c r="A923" s="5">
        <f ca="1">IFERROR(__xludf.DUMMYFUNCTION("""COMPUTED_VALUE"""),2)</f>
        <v>2</v>
      </c>
      <c r="B923" s="69">
        <v>47309</v>
      </c>
    </row>
    <row r="924" spans="1:2" ht="12.5" hidden="1">
      <c r="A924" s="5">
        <f ca="1">IFERROR(__xludf.DUMMYFUNCTION("""COMPUTED_VALUE"""),95)</f>
        <v>95</v>
      </c>
      <c r="B924" s="69">
        <v>47310</v>
      </c>
    </row>
    <row r="925" spans="1:2" ht="12.5" hidden="1">
      <c r="A925" s="5">
        <f ca="1">IFERROR(__xludf.DUMMYFUNCTION("""COMPUTED_VALUE"""),68)</f>
        <v>68</v>
      </c>
      <c r="B925" s="69">
        <v>47311</v>
      </c>
    </row>
    <row r="926" spans="1:2" ht="12.5" hidden="1">
      <c r="A926" s="5">
        <f ca="1">IFERROR(__xludf.DUMMYFUNCTION("""COMPUTED_VALUE"""),95)</f>
        <v>95</v>
      </c>
      <c r="B926" s="69">
        <v>47312</v>
      </c>
    </row>
    <row r="927" spans="1:2" ht="12.5" hidden="1">
      <c r="A927" s="5">
        <f ca="1">IFERROR(__xludf.DUMMYFUNCTION("""COMPUTED_VALUE"""),95)</f>
        <v>95</v>
      </c>
      <c r="B927" s="69">
        <v>47313</v>
      </c>
    </row>
    <row r="928" spans="1:2" ht="12.5" hidden="1">
      <c r="A928" s="5">
        <f ca="1">IFERROR(__xludf.DUMMYFUNCTION("""COMPUTED_VALUE"""),4)</f>
        <v>4</v>
      </c>
      <c r="B928" s="69">
        <v>47314</v>
      </c>
    </row>
    <row r="929" spans="1:2" ht="12.5" hidden="1">
      <c r="A929" s="5">
        <f ca="1">IFERROR(__xludf.DUMMYFUNCTION("""COMPUTED_VALUE"""),52)</f>
        <v>52</v>
      </c>
      <c r="B929" s="69">
        <v>47315</v>
      </c>
    </row>
    <row r="930" spans="1:2" ht="12.5" hidden="1">
      <c r="A930" s="5">
        <f ca="1">IFERROR(__xludf.DUMMYFUNCTION("""COMPUTED_VALUE"""),42)</f>
        <v>42</v>
      </c>
      <c r="B930" s="69">
        <v>47316</v>
      </c>
    </row>
    <row r="931" spans="1:2" ht="12.5" hidden="1">
      <c r="A931" s="5">
        <f ca="1">IFERROR(__xludf.DUMMYFUNCTION("""COMPUTED_VALUE"""),3)</f>
        <v>3</v>
      </c>
      <c r="B931" s="69">
        <v>47317</v>
      </c>
    </row>
    <row r="932" spans="1:2" ht="12.5" hidden="1">
      <c r="A932" s="5">
        <f ca="1">IFERROR(__xludf.DUMMYFUNCTION("""COMPUTED_VALUE"""),1)</f>
        <v>1</v>
      </c>
      <c r="B932" s="69">
        <v>47318</v>
      </c>
    </row>
    <row r="933" spans="1:2" ht="12.5" hidden="1">
      <c r="A933" s="5">
        <f ca="1">IFERROR(__xludf.DUMMYFUNCTION("""COMPUTED_VALUE"""),28)</f>
        <v>28</v>
      </c>
      <c r="B933" s="69">
        <v>47319</v>
      </c>
    </row>
    <row r="934" spans="1:2" ht="12.5" hidden="1">
      <c r="A934" s="5">
        <f ca="1">IFERROR(__xludf.DUMMYFUNCTION("""COMPUTED_VALUE"""),2)</f>
        <v>2</v>
      </c>
      <c r="B934" s="69">
        <v>47320</v>
      </c>
    </row>
    <row r="935" spans="1:2" ht="12.5" hidden="1">
      <c r="A935" s="5">
        <f ca="1">IFERROR(__xludf.DUMMYFUNCTION("""COMPUTED_VALUE"""),13)</f>
        <v>13</v>
      </c>
      <c r="B935" s="69">
        <v>47321</v>
      </c>
    </row>
    <row r="936" spans="1:2" ht="12.5" hidden="1">
      <c r="A936" s="5">
        <f ca="1">IFERROR(__xludf.DUMMYFUNCTION("""COMPUTED_VALUE"""),33)</f>
        <v>33</v>
      </c>
      <c r="B936" s="69">
        <v>47322</v>
      </c>
    </row>
    <row r="937" spans="1:2" ht="12.5" hidden="1">
      <c r="A937" s="5">
        <f ca="1">IFERROR(__xludf.DUMMYFUNCTION("""COMPUTED_VALUE"""),44)</f>
        <v>44</v>
      </c>
      <c r="B937" s="69">
        <v>47323</v>
      </c>
    </row>
    <row r="938" spans="1:2" ht="12.5" hidden="1">
      <c r="A938" s="5">
        <f ca="1">IFERROR(__xludf.DUMMYFUNCTION("""COMPUTED_VALUE"""),31)</f>
        <v>31</v>
      </c>
      <c r="B938" s="69">
        <v>47324</v>
      </c>
    </row>
    <row r="939" spans="1:2" ht="12.5" hidden="1">
      <c r="A939" s="5">
        <f ca="1">IFERROR(__xludf.DUMMYFUNCTION("""COMPUTED_VALUE"""),12)</f>
        <v>12</v>
      </c>
      <c r="B939" s="69">
        <v>47325</v>
      </c>
    </row>
    <row r="940" spans="1:2" ht="12.5" hidden="1">
      <c r="A940" s="5">
        <f ca="1">IFERROR(__xludf.DUMMYFUNCTION("""COMPUTED_VALUE"""),21)</f>
        <v>21</v>
      </c>
      <c r="B940" s="69">
        <v>47326</v>
      </c>
    </row>
    <row r="941" spans="1:2" ht="12.5" hidden="1">
      <c r="A941" s="5">
        <f ca="1">IFERROR(__xludf.DUMMYFUNCTION("""COMPUTED_VALUE"""),29)</f>
        <v>29</v>
      </c>
      <c r="B941" s="69">
        <v>47327</v>
      </c>
    </row>
    <row r="942" spans="1:2" ht="12.5" hidden="1">
      <c r="A942" s="5">
        <f ca="1">IFERROR(__xludf.DUMMYFUNCTION("""COMPUTED_VALUE"""),95)</f>
        <v>95</v>
      </c>
      <c r="B942" s="69">
        <v>47328</v>
      </c>
    </row>
    <row r="943" spans="1:2" ht="12.5" hidden="1">
      <c r="A943" s="5">
        <f ca="1">IFERROR(__xludf.DUMMYFUNCTION("""COMPUTED_VALUE"""),95)</f>
        <v>95</v>
      </c>
      <c r="B943" s="69">
        <v>47329</v>
      </c>
    </row>
    <row r="944" spans="1:2" ht="12.5" hidden="1">
      <c r="A944" s="5">
        <f ca="1">IFERROR(__xludf.DUMMYFUNCTION("""COMPUTED_VALUE"""),95)</f>
        <v>95</v>
      </c>
      <c r="B944" s="69">
        <v>47330</v>
      </c>
    </row>
    <row r="945" spans="1:2" ht="12.5" hidden="1">
      <c r="A945" s="5">
        <f ca="1">IFERROR(__xludf.DUMMYFUNCTION("""COMPUTED_VALUE"""),29)</f>
        <v>29</v>
      </c>
      <c r="B945" s="69">
        <v>47331</v>
      </c>
    </row>
    <row r="946" spans="1:2" ht="12.5" hidden="1">
      <c r="A946" s="5">
        <f ca="1">IFERROR(__xludf.DUMMYFUNCTION("""COMPUTED_VALUE"""),47)</f>
        <v>47</v>
      </c>
      <c r="B946" s="69">
        <v>47332</v>
      </c>
    </row>
    <row r="947" spans="1:2" ht="12.5" hidden="1">
      <c r="A947" s="5">
        <f ca="1">IFERROR(__xludf.DUMMYFUNCTION("""COMPUTED_VALUE"""),58)</f>
        <v>58</v>
      </c>
      <c r="B947" s="69">
        <v>47333</v>
      </c>
    </row>
    <row r="948" spans="1:2" ht="12.5" hidden="1">
      <c r="A948" s="5">
        <f ca="1">IFERROR(__xludf.DUMMYFUNCTION("""COMPUTED_VALUE"""),31)</f>
        <v>31</v>
      </c>
      <c r="B948" s="69">
        <v>47334</v>
      </c>
    </row>
    <row r="949" spans="1:2" ht="12.5" hidden="1">
      <c r="A949" s="5">
        <f ca="1">IFERROR(__xludf.DUMMYFUNCTION("""COMPUTED_VALUE"""),52)</f>
        <v>52</v>
      </c>
      <c r="B949" s="69">
        <v>47335</v>
      </c>
    </row>
    <row r="950" spans="1:2" ht="12.5" hidden="1">
      <c r="A950" s="5">
        <f ca="1">IFERROR(__xludf.DUMMYFUNCTION("""COMPUTED_VALUE"""),5)</f>
        <v>5</v>
      </c>
      <c r="B950" s="69">
        <v>47336</v>
      </c>
    </row>
    <row r="951" spans="1:2" ht="12.5" hidden="1">
      <c r="A951" s="5">
        <f ca="1">IFERROR(__xludf.DUMMYFUNCTION("""COMPUTED_VALUE"""),95)</f>
        <v>95</v>
      </c>
      <c r="B951" s="69">
        <v>47337</v>
      </c>
    </row>
    <row r="952" spans="1:2" ht="12.5" hidden="1">
      <c r="A952" s="5">
        <f ca="1">IFERROR(__xludf.DUMMYFUNCTION("""COMPUTED_VALUE"""),5)</f>
        <v>5</v>
      </c>
      <c r="B952" s="69">
        <v>47338</v>
      </c>
    </row>
    <row r="953" spans="1:2" ht="12.5" hidden="1">
      <c r="A953" s="5">
        <f ca="1">IFERROR(__xludf.DUMMYFUNCTION("""COMPUTED_VALUE"""),78)</f>
        <v>78</v>
      </c>
      <c r="B953" s="69">
        <v>47339</v>
      </c>
    </row>
    <row r="954" spans="1:2" ht="12.5" hidden="1">
      <c r="A954" s="5">
        <f ca="1">IFERROR(__xludf.DUMMYFUNCTION("""COMPUTED_VALUE"""),50)</f>
        <v>50</v>
      </c>
      <c r="B954" s="69">
        <v>47340</v>
      </c>
    </row>
    <row r="955" spans="1:2" ht="12.5" hidden="1">
      <c r="A955" s="5">
        <f ca="1">IFERROR(__xludf.DUMMYFUNCTION("""COMPUTED_VALUE"""),49)</f>
        <v>49</v>
      </c>
      <c r="B955" s="69">
        <v>47341</v>
      </c>
    </row>
    <row r="956" spans="1:2" ht="12.5" hidden="1">
      <c r="A956" s="5">
        <f ca="1">IFERROR(__xludf.DUMMYFUNCTION("""COMPUTED_VALUE"""),31)</f>
        <v>31</v>
      </c>
      <c r="B956" s="69">
        <v>47342</v>
      </c>
    </row>
    <row r="957" spans="1:2" ht="12.5" hidden="1">
      <c r="A957" s="5">
        <f ca="1">IFERROR(__xludf.DUMMYFUNCTION("""COMPUTED_VALUE"""),23)</f>
        <v>23</v>
      </c>
      <c r="B957" s="69">
        <v>47343</v>
      </c>
    </row>
    <row r="958" spans="1:2" ht="12.5" hidden="1">
      <c r="A958" s="5">
        <f ca="1">IFERROR(__xludf.DUMMYFUNCTION("""COMPUTED_VALUE"""),45)</f>
        <v>45</v>
      </c>
      <c r="B958" s="69">
        <v>47344</v>
      </c>
    </row>
    <row r="959" spans="1:2" ht="12.5" hidden="1">
      <c r="A959" s="5">
        <f ca="1">IFERROR(__xludf.DUMMYFUNCTION("""COMPUTED_VALUE"""),23)</f>
        <v>23</v>
      </c>
      <c r="B959" s="69">
        <v>47345</v>
      </c>
    </row>
    <row r="960" spans="1:2" ht="12.5" hidden="1">
      <c r="A960" s="5">
        <f ca="1">IFERROR(__xludf.DUMMYFUNCTION("""COMPUTED_VALUE"""),21)</f>
        <v>21</v>
      </c>
      <c r="B960" s="69">
        <v>47346</v>
      </c>
    </row>
    <row r="961" spans="1:2" ht="12.5" hidden="1">
      <c r="A961" s="5">
        <f ca="1">IFERROR(__xludf.DUMMYFUNCTION("""COMPUTED_VALUE"""),90)</f>
        <v>90</v>
      </c>
      <c r="B961" s="69">
        <v>47347</v>
      </c>
    </row>
    <row r="962" spans="1:2" ht="12.5" hidden="1">
      <c r="A962" s="5">
        <f ca="1">IFERROR(__xludf.DUMMYFUNCTION("""COMPUTED_VALUE"""),32)</f>
        <v>32</v>
      </c>
      <c r="B962" s="69">
        <v>47348</v>
      </c>
    </row>
    <row r="963" spans="1:2" ht="12.5" hidden="1">
      <c r="A963" s="5">
        <f ca="1">IFERROR(__xludf.DUMMYFUNCTION("""COMPUTED_VALUE"""),95)</f>
        <v>95</v>
      </c>
      <c r="B963" s="69">
        <v>47349</v>
      </c>
    </row>
    <row r="964" spans="1:2" ht="12.5" hidden="1">
      <c r="A964" s="5">
        <f ca="1">IFERROR(__xludf.DUMMYFUNCTION("""COMPUTED_VALUE"""),53)</f>
        <v>53</v>
      </c>
      <c r="B964" s="69">
        <v>47350</v>
      </c>
    </row>
    <row r="965" spans="1:2" ht="12.5" hidden="1">
      <c r="A965" s="5">
        <f ca="1">IFERROR(__xludf.DUMMYFUNCTION("""COMPUTED_VALUE"""),42)</f>
        <v>42</v>
      </c>
      <c r="B965" s="69">
        <v>47351</v>
      </c>
    </row>
    <row r="966" spans="1:2" ht="12.5" hidden="1">
      <c r="A966" s="5">
        <f ca="1">IFERROR(__xludf.DUMMYFUNCTION("""COMPUTED_VALUE"""),95)</f>
        <v>95</v>
      </c>
      <c r="B966" s="69">
        <v>47352</v>
      </c>
    </row>
    <row r="967" spans="1:2" ht="12.5" hidden="1">
      <c r="A967" s="5">
        <f ca="1">IFERROR(__xludf.DUMMYFUNCTION("""COMPUTED_VALUE"""),53)</f>
        <v>53</v>
      </c>
      <c r="B967" s="69">
        <v>47353</v>
      </c>
    </row>
    <row r="968" spans="1:2" ht="12.5" hidden="1">
      <c r="A968" s="5">
        <f ca="1">IFERROR(__xludf.DUMMYFUNCTION("""COMPUTED_VALUE"""),64)</f>
        <v>64</v>
      </c>
      <c r="B968" s="69">
        <v>47354</v>
      </c>
    </row>
    <row r="969" spans="1:2" ht="12.5" hidden="1">
      <c r="A969" s="5">
        <f ca="1">IFERROR(__xludf.DUMMYFUNCTION("""COMPUTED_VALUE"""),95)</f>
        <v>95</v>
      </c>
      <c r="B969" s="69">
        <v>47355</v>
      </c>
    </row>
    <row r="970" spans="1:2" ht="12.5" hidden="1">
      <c r="A970" s="5">
        <f ca="1">IFERROR(__xludf.DUMMYFUNCTION("""COMPUTED_VALUE"""),1)</f>
        <v>1</v>
      </c>
      <c r="B970" s="69">
        <v>47356</v>
      </c>
    </row>
    <row r="971" spans="1:2" ht="12.5" hidden="1">
      <c r="A971" s="5">
        <f ca="1">IFERROR(__xludf.DUMMYFUNCTION("""COMPUTED_VALUE"""),58)</f>
        <v>58</v>
      </c>
      <c r="B971" s="69">
        <v>47357</v>
      </c>
    </row>
    <row r="972" spans="1:2" ht="12.5" hidden="1">
      <c r="A972" s="5">
        <f ca="1">IFERROR(__xludf.DUMMYFUNCTION("""COMPUTED_VALUE"""),95)</f>
        <v>95</v>
      </c>
      <c r="B972" s="69">
        <v>47358</v>
      </c>
    </row>
    <row r="973" spans="1:2" ht="12.5" hidden="1">
      <c r="A973" s="5">
        <f ca="1">IFERROR(__xludf.DUMMYFUNCTION("""COMPUTED_VALUE"""),95)</f>
        <v>95</v>
      </c>
      <c r="B973" s="69">
        <v>47359</v>
      </c>
    </row>
    <row r="974" spans="1:2" ht="12.5" hidden="1">
      <c r="A974" s="5">
        <f ca="1">IFERROR(__xludf.DUMMYFUNCTION("""COMPUTED_VALUE"""),31)</f>
        <v>31</v>
      </c>
      <c r="B974" s="69">
        <v>47360</v>
      </c>
    </row>
    <row r="975" spans="1:2" ht="12.5" hidden="1">
      <c r="A975" s="5">
        <f ca="1">IFERROR(__xludf.DUMMYFUNCTION("""COMPUTED_VALUE"""),52)</f>
        <v>52</v>
      </c>
      <c r="B975" s="69">
        <v>47361</v>
      </c>
    </row>
    <row r="976" spans="1:2" ht="12.5" hidden="1">
      <c r="A976" s="5">
        <f ca="1">IFERROR(__xludf.DUMMYFUNCTION("""COMPUTED_VALUE"""),29)</f>
        <v>29</v>
      </c>
      <c r="B976" s="69">
        <v>47362</v>
      </c>
    </row>
    <row r="977" spans="1:2" ht="12.5" hidden="1">
      <c r="A977" s="5">
        <f ca="1">IFERROR(__xludf.DUMMYFUNCTION("""COMPUTED_VALUE"""),52)</f>
        <v>52</v>
      </c>
      <c r="B977" s="69">
        <v>47363</v>
      </c>
    </row>
    <row r="978" spans="1:2" ht="12.5" hidden="1">
      <c r="A978" s="5">
        <f ca="1">IFERROR(__xludf.DUMMYFUNCTION("""COMPUTED_VALUE"""),53)</f>
        <v>53</v>
      </c>
      <c r="B978" s="69">
        <v>47364</v>
      </c>
    </row>
    <row r="979" spans="1:2" ht="12.5" hidden="1">
      <c r="A979" s="5">
        <f ca="1">IFERROR(__xludf.DUMMYFUNCTION("""COMPUTED_VALUE"""),78)</f>
        <v>78</v>
      </c>
      <c r="B979" s="69">
        <v>47365</v>
      </c>
    </row>
    <row r="980" spans="1:2" ht="12.5" hidden="1">
      <c r="A980" s="5">
        <f ca="1">IFERROR(__xludf.DUMMYFUNCTION("""COMPUTED_VALUE"""),1)</f>
        <v>1</v>
      </c>
      <c r="B980" s="69">
        <v>47366</v>
      </c>
    </row>
    <row r="981" spans="1:2" ht="12.5" hidden="1">
      <c r="A981" s="5">
        <f ca="1">IFERROR(__xludf.DUMMYFUNCTION("""COMPUTED_VALUE"""),64)</f>
        <v>64</v>
      </c>
      <c r="B981" s="69">
        <v>47367</v>
      </c>
    </row>
    <row r="982" spans="1:2" ht="12.5" hidden="1">
      <c r="A982" s="5">
        <f ca="1">IFERROR(__xludf.DUMMYFUNCTION("""COMPUTED_VALUE"""),30)</f>
        <v>30</v>
      </c>
      <c r="B982" s="69">
        <v>47368</v>
      </c>
    </row>
    <row r="983" spans="1:2" ht="12.5" hidden="1">
      <c r="A983" s="5">
        <f ca="1">IFERROR(__xludf.DUMMYFUNCTION("""COMPUTED_VALUE"""),29)</f>
        <v>29</v>
      </c>
      <c r="B983" s="69">
        <v>47369</v>
      </c>
    </row>
    <row r="984" spans="1:2" ht="12.5" hidden="1">
      <c r="A984" s="5">
        <f ca="1">IFERROR(__xludf.DUMMYFUNCTION("""COMPUTED_VALUE"""),53)</f>
        <v>53</v>
      </c>
      <c r="B984" s="69">
        <v>47370</v>
      </c>
    </row>
    <row r="985" spans="1:2" ht="12.5" hidden="1">
      <c r="A985" s="5">
        <f ca="1">IFERROR(__xludf.DUMMYFUNCTION("""COMPUTED_VALUE"""),20)</f>
        <v>20</v>
      </c>
      <c r="B985" s="69">
        <v>47371</v>
      </c>
    </row>
    <row r="986" spans="1:2" ht="12.5" hidden="1">
      <c r="A986" s="5">
        <f ca="1">IFERROR(__xludf.DUMMYFUNCTION("""COMPUTED_VALUE"""),31)</f>
        <v>31</v>
      </c>
      <c r="B986" s="69">
        <v>47372</v>
      </c>
    </row>
    <row r="987" spans="1:2" ht="12.5" hidden="1">
      <c r="A987" s="5">
        <f ca="1">IFERROR(__xludf.DUMMYFUNCTION("""COMPUTED_VALUE"""),95)</f>
        <v>95</v>
      </c>
      <c r="B987" s="69">
        <v>47373</v>
      </c>
    </row>
    <row r="988" spans="1:2" ht="12.5" hidden="1">
      <c r="A988" s="5">
        <f ca="1">IFERROR(__xludf.DUMMYFUNCTION("""COMPUTED_VALUE"""),69)</f>
        <v>69</v>
      </c>
      <c r="B988" s="69">
        <v>47374</v>
      </c>
    </row>
    <row r="989" spans="1:2" ht="12.5" hidden="1">
      <c r="A989" s="5">
        <f ca="1">IFERROR(__xludf.DUMMYFUNCTION("""COMPUTED_VALUE"""),21)</f>
        <v>21</v>
      </c>
      <c r="B989" s="69">
        <v>47375</v>
      </c>
    </row>
    <row r="990" spans="1:2" ht="12.5" hidden="1">
      <c r="A990" s="5">
        <f ca="1">IFERROR(__xludf.DUMMYFUNCTION("""COMPUTED_VALUE"""),58)</f>
        <v>58</v>
      </c>
      <c r="B990" s="69">
        <v>47376</v>
      </c>
    </row>
    <row r="991" spans="1:2" ht="12.5" hidden="1">
      <c r="A991" s="5">
        <f ca="1">IFERROR(__xludf.DUMMYFUNCTION("""COMPUTED_VALUE"""),38)</f>
        <v>38</v>
      </c>
      <c r="B991" s="69">
        <v>47377</v>
      </c>
    </row>
    <row r="992" spans="1:2" ht="12.5" hidden="1">
      <c r="A992" s="5">
        <f ca="1">IFERROR(__xludf.DUMMYFUNCTION("""COMPUTED_VALUE"""),45)</f>
        <v>45</v>
      </c>
      <c r="B992" s="69">
        <v>47378</v>
      </c>
    </row>
    <row r="993" spans="1:2" ht="12.5" hidden="1">
      <c r="A993" s="5">
        <f ca="1">IFERROR(__xludf.DUMMYFUNCTION("""COMPUTED_VALUE"""),62)</f>
        <v>62</v>
      </c>
      <c r="B993" s="69">
        <v>47379</v>
      </c>
    </row>
    <row r="994" spans="1:2" ht="12.5">
      <c r="A994" s="5">
        <f ca="1">IFERROR(__xludf.DUMMYFUNCTION("""COMPUTED_VALUE"""),51)</f>
        <v>51</v>
      </c>
      <c r="B994" s="69">
        <v>47380</v>
      </c>
    </row>
    <row r="995" spans="1:2" ht="12.5" hidden="1">
      <c r="A995" s="5">
        <f ca="1">IFERROR(__xludf.DUMMYFUNCTION("""COMPUTED_VALUE"""),58)</f>
        <v>58</v>
      </c>
      <c r="B995" s="69">
        <v>47381</v>
      </c>
    </row>
    <row r="996" spans="1:2" ht="12.5" hidden="1">
      <c r="A996" s="5">
        <f ca="1">IFERROR(__xludf.DUMMYFUNCTION("""COMPUTED_VALUE"""),9)</f>
        <v>9</v>
      </c>
      <c r="B996" s="69">
        <v>47382</v>
      </c>
    </row>
    <row r="997" spans="1:2" ht="12.5" hidden="1">
      <c r="A997" s="5">
        <f ca="1">IFERROR(__xludf.DUMMYFUNCTION("""COMPUTED_VALUE"""),52)</f>
        <v>52</v>
      </c>
      <c r="B997" s="69">
        <v>47383</v>
      </c>
    </row>
    <row r="998" spans="1:2" ht="12.5" hidden="1">
      <c r="A998" s="5">
        <f ca="1">IFERROR(__xludf.DUMMYFUNCTION("""COMPUTED_VALUE"""),8)</f>
        <v>8</v>
      </c>
      <c r="B998" s="69">
        <v>47384</v>
      </c>
    </row>
    <row r="999" spans="1:2" ht="12.5" hidden="1">
      <c r="A999" s="5">
        <f ca="1">IFERROR(__xludf.DUMMYFUNCTION("""COMPUTED_VALUE"""),30)</f>
        <v>30</v>
      </c>
      <c r="B999" s="69">
        <v>47385</v>
      </c>
    </row>
    <row r="1000" spans="1:2" ht="12.5" hidden="1">
      <c r="A1000" s="5">
        <f ca="1">IFERROR(__xludf.DUMMYFUNCTION("""COMPUTED_VALUE"""),95)</f>
        <v>95</v>
      </c>
      <c r="B1000" s="69">
        <v>47386</v>
      </c>
    </row>
    <row r="1001" spans="1:2" ht="12.5" hidden="1">
      <c r="A1001" s="5">
        <f ca="1">IFERROR(__xludf.DUMMYFUNCTION("""COMPUTED_VALUE"""),31)</f>
        <v>31</v>
      </c>
      <c r="B1001" s="69">
        <v>47387</v>
      </c>
    </row>
    <row r="1002" spans="1:2" ht="12.5" hidden="1">
      <c r="A1002" s="5">
        <f ca="1">IFERROR(__xludf.DUMMYFUNCTION("""COMPUTED_VALUE"""),95)</f>
        <v>95</v>
      </c>
      <c r="B1002" s="69">
        <v>47388</v>
      </c>
    </row>
    <row r="1003" spans="1:2" ht="12.5" hidden="1">
      <c r="A1003" s="5">
        <f ca="1">IFERROR(__xludf.DUMMYFUNCTION("""COMPUTED_VALUE"""),35)</f>
        <v>35</v>
      </c>
      <c r="B1003" s="69">
        <v>47389</v>
      </c>
    </row>
    <row r="1004" spans="1:2" ht="12.5" hidden="1">
      <c r="A1004" s="5">
        <f ca="1">IFERROR(__xludf.DUMMYFUNCTION("""COMPUTED_VALUE"""),95)</f>
        <v>95</v>
      </c>
      <c r="B1004" s="69">
        <v>47390</v>
      </c>
    </row>
    <row r="1005" spans="1:2" ht="12.5" hidden="1">
      <c r="A1005" s="5">
        <f ca="1">IFERROR(__xludf.DUMMYFUNCTION("""COMPUTED_VALUE"""),30)</f>
        <v>30</v>
      </c>
      <c r="B1005" s="69">
        <v>47391</v>
      </c>
    </row>
    <row r="1006" spans="1:2" ht="12.5" hidden="1">
      <c r="A1006" s="5">
        <f ca="1">IFERROR(__xludf.DUMMYFUNCTION("""COMPUTED_VALUE"""),95)</f>
        <v>95</v>
      </c>
      <c r="B1006" s="69">
        <v>47392</v>
      </c>
    </row>
    <row r="1007" spans="1:2" ht="12.5" hidden="1">
      <c r="A1007" s="5">
        <f ca="1">IFERROR(__xludf.DUMMYFUNCTION("""COMPUTED_VALUE"""),95)</f>
        <v>95</v>
      </c>
      <c r="B1007" s="69">
        <v>47393</v>
      </c>
    </row>
    <row r="1008" spans="1:2" ht="12.5" hidden="1">
      <c r="A1008" s="5">
        <f ca="1">IFERROR(__xludf.DUMMYFUNCTION("""COMPUTED_VALUE"""),9)</f>
        <v>9</v>
      </c>
      <c r="B1008" s="69">
        <v>47394</v>
      </c>
    </row>
    <row r="1009" spans="1:2" ht="12.5" hidden="1">
      <c r="A1009" s="5">
        <f ca="1">IFERROR(__xludf.DUMMYFUNCTION("""COMPUTED_VALUE"""),29)</f>
        <v>29</v>
      </c>
      <c r="B1009" s="69">
        <v>47395</v>
      </c>
    </row>
    <row r="1010" spans="1:2" ht="12.5" hidden="1">
      <c r="A1010" s="5">
        <f ca="1">IFERROR(__xludf.DUMMYFUNCTION("""COMPUTED_VALUE"""),31)</f>
        <v>31</v>
      </c>
      <c r="B1010" s="69">
        <v>47396</v>
      </c>
    </row>
    <row r="1011" spans="1:2" ht="12.5" hidden="1">
      <c r="A1011" s="5">
        <f ca="1">IFERROR(__xludf.DUMMYFUNCTION("""COMPUTED_VALUE"""),30)</f>
        <v>30</v>
      </c>
      <c r="B1011" s="69">
        <v>47397</v>
      </c>
    </row>
    <row r="1012" spans="1:2" ht="12.5" hidden="1">
      <c r="A1012" s="5">
        <f ca="1">IFERROR(__xludf.DUMMYFUNCTION("""COMPUTED_VALUE"""),10)</f>
        <v>10</v>
      </c>
      <c r="B1012" s="69">
        <v>47398</v>
      </c>
    </row>
    <row r="1013" spans="1:2" ht="12.5" hidden="1">
      <c r="A1013" s="5">
        <f ca="1">IFERROR(__xludf.DUMMYFUNCTION("""COMPUTED_VALUE"""),95)</f>
        <v>95</v>
      </c>
      <c r="B1013" s="69">
        <v>47399</v>
      </c>
    </row>
    <row r="1014" spans="1:2" ht="12.5" hidden="1">
      <c r="A1014" s="5">
        <f ca="1">IFERROR(__xludf.DUMMYFUNCTION("""COMPUTED_VALUE"""),52)</f>
        <v>52</v>
      </c>
      <c r="B1014" s="69">
        <v>47400</v>
      </c>
    </row>
    <row r="1015" spans="1:2" ht="12.5" hidden="1">
      <c r="A1015" s="5">
        <f ca="1">IFERROR(__xludf.DUMMYFUNCTION("""COMPUTED_VALUE"""),31)</f>
        <v>31</v>
      </c>
      <c r="B1015" s="69">
        <v>47401</v>
      </c>
    </row>
    <row r="1016" spans="1:2" ht="12.5" hidden="1">
      <c r="A1016" s="5">
        <f ca="1">IFERROR(__xludf.DUMMYFUNCTION("""COMPUTED_VALUE"""),69)</f>
        <v>69</v>
      </c>
      <c r="B1016" s="69">
        <v>47402</v>
      </c>
    </row>
    <row r="1017" spans="1:2" ht="12.5" hidden="1">
      <c r="A1017" s="5">
        <f ca="1">IFERROR(__xludf.DUMMYFUNCTION("""COMPUTED_VALUE"""),32)</f>
        <v>32</v>
      </c>
      <c r="B1017" s="69">
        <v>47403</v>
      </c>
    </row>
    <row r="1018" spans="1:2" ht="12.5" hidden="1">
      <c r="A1018" s="5">
        <f ca="1">IFERROR(__xludf.DUMMYFUNCTION("""COMPUTED_VALUE"""),95)</f>
        <v>95</v>
      </c>
      <c r="B1018" s="69">
        <v>47404</v>
      </c>
    </row>
    <row r="1019" spans="1:2" ht="12.5" hidden="1">
      <c r="A1019" s="5">
        <f ca="1">IFERROR(__xludf.DUMMYFUNCTION("""COMPUTED_VALUE"""),53)</f>
        <v>53</v>
      </c>
      <c r="B1019" s="69">
        <v>47405</v>
      </c>
    </row>
    <row r="1020" spans="1:2" ht="12.5" hidden="1">
      <c r="A1020" s="5">
        <f ca="1">IFERROR(__xludf.DUMMYFUNCTION("""COMPUTED_VALUE"""),46)</f>
        <v>46</v>
      </c>
      <c r="B1020" s="69">
        <v>47406</v>
      </c>
    </row>
    <row r="1021" spans="1:2" ht="12.5" hidden="1">
      <c r="A1021" s="5">
        <f ca="1">IFERROR(__xludf.DUMMYFUNCTION("""COMPUTED_VALUE"""),53)</f>
        <v>53</v>
      </c>
      <c r="B1021" s="69">
        <v>47407</v>
      </c>
    </row>
    <row r="1022" spans="1:2" ht="12.5" hidden="1">
      <c r="A1022" s="5">
        <f ca="1">IFERROR(__xludf.DUMMYFUNCTION("""COMPUTED_VALUE"""),30)</f>
        <v>30</v>
      </c>
      <c r="B1022" s="69">
        <v>47408</v>
      </c>
    </row>
    <row r="1023" spans="1:2" ht="12.5" hidden="1">
      <c r="A1023" s="5">
        <f ca="1">IFERROR(__xludf.DUMMYFUNCTION("""COMPUTED_VALUE"""),53)</f>
        <v>53</v>
      </c>
      <c r="B1023" s="69">
        <v>47409</v>
      </c>
    </row>
    <row r="1024" spans="1:2" ht="12.5" hidden="1">
      <c r="A1024" s="5">
        <f ca="1">IFERROR(__xludf.DUMMYFUNCTION("""COMPUTED_VALUE"""),53)</f>
        <v>53</v>
      </c>
      <c r="B1024" s="69">
        <v>47410</v>
      </c>
    </row>
    <row r="1025" spans="1:2" ht="12.5" hidden="1">
      <c r="A1025" s="5">
        <f ca="1">IFERROR(__xludf.DUMMYFUNCTION("""COMPUTED_VALUE"""),95)</f>
        <v>95</v>
      </c>
      <c r="B1025" s="69">
        <v>47411</v>
      </c>
    </row>
    <row r="1026" spans="1:2" ht="12.5" hidden="1">
      <c r="A1026" s="5">
        <f ca="1">IFERROR(__xludf.DUMMYFUNCTION("""COMPUTED_VALUE"""),95)</f>
        <v>95</v>
      </c>
      <c r="B1026" s="69">
        <v>47412</v>
      </c>
    </row>
    <row r="1027" spans="1:2" ht="12.5" hidden="1">
      <c r="A1027" s="5">
        <f ca="1">IFERROR(__xludf.DUMMYFUNCTION("""COMPUTED_VALUE"""),28)</f>
        <v>28</v>
      </c>
      <c r="B1027" s="69">
        <v>47413</v>
      </c>
    </row>
    <row r="1028" spans="1:2" ht="12.5" hidden="1">
      <c r="A1028" s="5">
        <f ca="1">IFERROR(__xludf.DUMMYFUNCTION("""COMPUTED_VALUE"""),95)</f>
        <v>95</v>
      </c>
      <c r="B1028" s="69">
        <v>47414</v>
      </c>
    </row>
    <row r="1029" spans="1:2" ht="12.5" hidden="1">
      <c r="A1029" s="5">
        <f ca="1">IFERROR(__xludf.DUMMYFUNCTION("""COMPUTED_VALUE"""),47)</f>
        <v>47</v>
      </c>
      <c r="B1029" s="69">
        <v>47415</v>
      </c>
    </row>
    <row r="1030" spans="1:2" ht="12.5" hidden="1">
      <c r="A1030" s="5">
        <f ca="1">IFERROR(__xludf.DUMMYFUNCTION("""COMPUTED_VALUE"""),5)</f>
        <v>5</v>
      </c>
      <c r="B1030" s="69">
        <v>47416</v>
      </c>
    </row>
    <row r="1031" spans="1:2" ht="12.5" hidden="1">
      <c r="A1031" s="5">
        <f ca="1">IFERROR(__xludf.DUMMYFUNCTION("""COMPUTED_VALUE"""),14)</f>
        <v>14</v>
      </c>
      <c r="B1031" s="69">
        <v>47417</v>
      </c>
    </row>
    <row r="1032" spans="1:2" ht="12.5" hidden="1">
      <c r="A1032" s="5">
        <f ca="1">IFERROR(__xludf.DUMMYFUNCTION("""COMPUTED_VALUE"""),64)</f>
        <v>64</v>
      </c>
      <c r="B1032" s="69">
        <v>47418</v>
      </c>
    </row>
    <row r="1033" spans="1:2" ht="12.5" hidden="1">
      <c r="A1033" s="5">
        <f ca="1">IFERROR(__xludf.DUMMYFUNCTION("""COMPUTED_VALUE"""),63)</f>
        <v>63</v>
      </c>
      <c r="B1033" s="69">
        <v>47419</v>
      </c>
    </row>
    <row r="1034" spans="1:2" ht="12.5" hidden="1">
      <c r="A1034" s="5">
        <f ca="1">IFERROR(__xludf.DUMMYFUNCTION("""COMPUTED_VALUE"""),45)</f>
        <v>45</v>
      </c>
      <c r="B1034" s="69">
        <v>47420</v>
      </c>
    </row>
    <row r="1035" spans="1:2" ht="12.5" hidden="1">
      <c r="A1035" s="5">
        <f ca="1">IFERROR(__xludf.DUMMYFUNCTION("""COMPUTED_VALUE"""),29)</f>
        <v>29</v>
      </c>
      <c r="B1035" s="69">
        <v>47421</v>
      </c>
    </row>
    <row r="1036" spans="1:2" ht="12.5" hidden="1">
      <c r="A1036" s="5">
        <f ca="1">IFERROR(__xludf.DUMMYFUNCTION("""COMPUTED_VALUE"""),95)</f>
        <v>95</v>
      </c>
      <c r="B1036" s="69">
        <v>47422</v>
      </c>
    </row>
    <row r="1037" spans="1:2" ht="12.5" hidden="1">
      <c r="A1037" s="5">
        <f ca="1">IFERROR(__xludf.DUMMYFUNCTION("""COMPUTED_VALUE"""),29)</f>
        <v>29</v>
      </c>
      <c r="B1037" s="69">
        <v>47423</v>
      </c>
    </row>
    <row r="1038" spans="1:2" ht="12.5" hidden="1">
      <c r="A1038" s="5">
        <f ca="1">IFERROR(__xludf.DUMMYFUNCTION("""COMPUTED_VALUE"""),58)</f>
        <v>58</v>
      </c>
      <c r="B1038" s="69">
        <v>47424</v>
      </c>
    </row>
    <row r="1039" spans="1:2" ht="12.5" hidden="1">
      <c r="A1039" s="5">
        <f ca="1">IFERROR(__xludf.DUMMYFUNCTION("""COMPUTED_VALUE"""),29)</f>
        <v>29</v>
      </c>
      <c r="B1039" s="69">
        <v>47425</v>
      </c>
    </row>
    <row r="1040" spans="1:2" ht="12.5" hidden="1">
      <c r="A1040" s="5">
        <f ca="1">IFERROR(__xludf.DUMMYFUNCTION("""COMPUTED_VALUE"""),41)</f>
        <v>41</v>
      </c>
      <c r="B1040" s="69">
        <v>47426</v>
      </c>
    </row>
    <row r="1041" spans="1:2" ht="12.5" hidden="1">
      <c r="A1041" s="5">
        <f ca="1">IFERROR(__xludf.DUMMYFUNCTION("""COMPUTED_VALUE"""),53)</f>
        <v>53</v>
      </c>
      <c r="B1041" s="69">
        <v>47427</v>
      </c>
    </row>
    <row r="1042" spans="1:2" ht="12.5" hidden="1">
      <c r="A1042" s="5">
        <f ca="1">IFERROR(__xludf.DUMMYFUNCTION("""COMPUTED_VALUE"""),5)</f>
        <v>5</v>
      </c>
      <c r="B1042" s="69">
        <v>47428</v>
      </c>
    </row>
    <row r="1043" spans="1:2" ht="12.5" hidden="1">
      <c r="A1043" s="5">
        <f ca="1">IFERROR(__xludf.DUMMYFUNCTION("""COMPUTED_VALUE"""),95)</f>
        <v>95</v>
      </c>
      <c r="B1043" s="69">
        <v>47429</v>
      </c>
    </row>
    <row r="1044" spans="1:2" ht="12.5" hidden="1">
      <c r="A1044" s="5">
        <f ca="1">IFERROR(__xludf.DUMMYFUNCTION("""COMPUTED_VALUE"""),95)</f>
        <v>95</v>
      </c>
      <c r="B1044" s="69">
        <v>47430</v>
      </c>
    </row>
    <row r="1045" spans="1:2" ht="12.5" hidden="1">
      <c r="A1045" s="5">
        <f ca="1">IFERROR(__xludf.DUMMYFUNCTION("""COMPUTED_VALUE"""),10)</f>
        <v>10</v>
      </c>
      <c r="B1045" s="69">
        <v>47431</v>
      </c>
    </row>
    <row r="1046" spans="1:2" ht="12.5" hidden="1">
      <c r="A1046" s="5">
        <f ca="1">IFERROR(__xludf.DUMMYFUNCTION("""COMPUTED_VALUE"""),49)</f>
        <v>49</v>
      </c>
      <c r="B1046" s="69">
        <v>47432</v>
      </c>
    </row>
    <row r="1047" spans="1:2" ht="12.5" hidden="1">
      <c r="A1047" s="5">
        <f ca="1">IFERROR(__xludf.DUMMYFUNCTION("""COMPUTED_VALUE"""),65)</f>
        <v>65</v>
      </c>
      <c r="B1047" s="69">
        <v>47433</v>
      </c>
    </row>
    <row r="1048" spans="1:2" ht="12.5" hidden="1">
      <c r="A1048" s="5">
        <f ca="1">IFERROR(__xludf.DUMMYFUNCTION("""COMPUTED_VALUE"""),31)</f>
        <v>31</v>
      </c>
      <c r="B1048" s="69">
        <v>47434</v>
      </c>
    </row>
    <row r="1049" spans="1:2" ht="12.5" hidden="1">
      <c r="A1049" s="5">
        <f ca="1">IFERROR(__xludf.DUMMYFUNCTION("""COMPUTED_VALUE"""),31)</f>
        <v>31</v>
      </c>
      <c r="B1049" s="69">
        <v>47435</v>
      </c>
    </row>
    <row r="1050" spans="1:2" ht="12.5" hidden="1">
      <c r="A1050" s="5">
        <f ca="1">IFERROR(__xludf.DUMMYFUNCTION("""COMPUTED_VALUE"""),52)</f>
        <v>52</v>
      </c>
      <c r="B1050" s="69">
        <v>47436</v>
      </c>
    </row>
    <row r="1051" spans="1:2" ht="12.5" hidden="1">
      <c r="A1051" s="5">
        <f ca="1">IFERROR(__xludf.DUMMYFUNCTION("""COMPUTED_VALUE"""),31)</f>
        <v>31</v>
      </c>
      <c r="B1051" s="69">
        <v>47437</v>
      </c>
    </row>
    <row r="1052" spans="1:2" ht="12.5" hidden="1">
      <c r="A1052" s="5">
        <f ca="1">IFERROR(__xludf.DUMMYFUNCTION("""COMPUTED_VALUE"""),53)</f>
        <v>53</v>
      </c>
      <c r="B1052" s="69">
        <v>47438</v>
      </c>
    </row>
    <row r="1053" spans="1:2" ht="12.5" hidden="1">
      <c r="A1053" s="5">
        <f ca="1">IFERROR(__xludf.DUMMYFUNCTION("""COMPUTED_VALUE"""),95)</f>
        <v>95</v>
      </c>
      <c r="B1053" s="69">
        <v>47439</v>
      </c>
    </row>
    <row r="1054" spans="1:2" ht="12.5" hidden="1">
      <c r="A1054" s="5">
        <f ca="1">IFERROR(__xludf.DUMMYFUNCTION("""COMPUTED_VALUE"""),57)</f>
        <v>57</v>
      </c>
      <c r="B1054" s="69">
        <v>47440</v>
      </c>
    </row>
    <row r="1055" spans="1:2" ht="12.5" hidden="1">
      <c r="A1055" s="5">
        <f ca="1">IFERROR(__xludf.DUMMYFUNCTION("""COMPUTED_VALUE"""),52)</f>
        <v>52</v>
      </c>
      <c r="B1055" s="69">
        <v>47441</v>
      </c>
    </row>
    <row r="1056" spans="1:2" ht="12.5" hidden="1">
      <c r="A1056" s="5">
        <f ca="1">IFERROR(__xludf.DUMMYFUNCTION("""COMPUTED_VALUE"""),16)</f>
        <v>16</v>
      </c>
      <c r="B1056" s="69">
        <v>47442</v>
      </c>
    </row>
    <row r="1057" spans="1:2" ht="12.5" hidden="1">
      <c r="A1057" s="5">
        <f ca="1">IFERROR(__xludf.DUMMYFUNCTION("""COMPUTED_VALUE"""),95)</f>
        <v>95</v>
      </c>
      <c r="B1057" s="69">
        <v>47443</v>
      </c>
    </row>
    <row r="1058" spans="1:2" ht="12.5" hidden="1">
      <c r="A1058" s="5">
        <f ca="1">IFERROR(__xludf.DUMMYFUNCTION("""COMPUTED_VALUE"""),95)</f>
        <v>95</v>
      </c>
      <c r="B1058" s="69">
        <v>47444</v>
      </c>
    </row>
    <row r="1059" spans="1:2" ht="12.5" hidden="1">
      <c r="A1059" s="5">
        <f ca="1">IFERROR(__xludf.DUMMYFUNCTION("""COMPUTED_VALUE"""),2)</f>
        <v>2</v>
      </c>
      <c r="B1059" s="69">
        <v>47445</v>
      </c>
    </row>
    <row r="1060" spans="1:2" ht="12.5" hidden="1">
      <c r="A1060" s="5">
        <f ca="1">IFERROR(__xludf.DUMMYFUNCTION("""COMPUTED_VALUE"""),95)</f>
        <v>95</v>
      </c>
      <c r="B1060" s="69">
        <v>47446</v>
      </c>
    </row>
    <row r="1061" spans="1:2" ht="12.5" hidden="1">
      <c r="A1061" s="5">
        <f ca="1">IFERROR(__xludf.DUMMYFUNCTION("""COMPUTED_VALUE"""),52)</f>
        <v>52</v>
      </c>
      <c r="B1061" s="69">
        <v>47447</v>
      </c>
    </row>
    <row r="1062" spans="1:2" ht="12.5" hidden="1">
      <c r="A1062" s="5">
        <f ca="1">IFERROR(__xludf.DUMMYFUNCTION("""COMPUTED_VALUE"""),19)</f>
        <v>19</v>
      </c>
      <c r="B1062" s="69">
        <v>47448</v>
      </c>
    </row>
    <row r="1063" spans="1:2" ht="12.5" hidden="1">
      <c r="A1063" s="5">
        <f ca="1">IFERROR(__xludf.DUMMYFUNCTION("""COMPUTED_VALUE"""),29)</f>
        <v>29</v>
      </c>
      <c r="B1063" s="69">
        <v>47449</v>
      </c>
    </row>
    <row r="1064" spans="1:2" ht="12.5" hidden="1">
      <c r="A1064" s="5">
        <f ca="1">IFERROR(__xludf.DUMMYFUNCTION("""COMPUTED_VALUE"""),39)</f>
        <v>39</v>
      </c>
      <c r="B1064" s="69">
        <v>47450</v>
      </c>
    </row>
    <row r="1065" spans="1:2" ht="12.5" hidden="1">
      <c r="A1065" s="5">
        <f ca="1">IFERROR(__xludf.DUMMYFUNCTION("""COMPUTED_VALUE"""),45)</f>
        <v>45</v>
      </c>
      <c r="B1065" s="69">
        <v>47451</v>
      </c>
    </row>
    <row r="1066" spans="1:2" ht="12.5" hidden="1">
      <c r="A1066" s="5">
        <f ca="1">IFERROR(__xludf.DUMMYFUNCTION("""COMPUTED_VALUE"""),53)</f>
        <v>53</v>
      </c>
      <c r="B1066" s="69">
        <v>47452</v>
      </c>
    </row>
    <row r="1067" spans="1:2" ht="12.5" hidden="1">
      <c r="A1067" s="5">
        <f ca="1">IFERROR(__xludf.DUMMYFUNCTION("""COMPUTED_VALUE"""),95)</f>
        <v>95</v>
      </c>
      <c r="B1067" s="69">
        <v>47453</v>
      </c>
    </row>
    <row r="1068" spans="1:2" ht="12.5" hidden="1">
      <c r="A1068" s="5">
        <f ca="1">IFERROR(__xludf.DUMMYFUNCTION("""COMPUTED_VALUE"""),31)</f>
        <v>31</v>
      </c>
      <c r="B1068" s="69">
        <v>47454</v>
      </c>
    </row>
    <row r="1069" spans="1:2" ht="12.5" hidden="1">
      <c r="A1069" s="5">
        <f ca="1">IFERROR(__xludf.DUMMYFUNCTION("""COMPUTED_VALUE"""),95)</f>
        <v>95</v>
      </c>
      <c r="B1069" s="69">
        <v>47455</v>
      </c>
    </row>
    <row r="1070" spans="1:2" ht="12.5" hidden="1">
      <c r="A1070" s="5">
        <f ca="1">IFERROR(__xludf.DUMMYFUNCTION("""COMPUTED_VALUE"""),20)</f>
        <v>20</v>
      </c>
      <c r="B1070" s="69">
        <v>47456</v>
      </c>
    </row>
    <row r="1071" spans="1:2" ht="12.5" hidden="1">
      <c r="A1071" s="5">
        <f ca="1">IFERROR(__xludf.DUMMYFUNCTION("""COMPUTED_VALUE"""),56)</f>
        <v>56</v>
      </c>
      <c r="B1071" s="69">
        <v>47457</v>
      </c>
    </row>
    <row r="1072" spans="1:2" ht="12.5" hidden="1">
      <c r="A1072" s="5">
        <f ca="1">IFERROR(__xludf.DUMMYFUNCTION("""COMPUTED_VALUE"""),1)</f>
        <v>1</v>
      </c>
      <c r="B1072" s="69">
        <v>47458</v>
      </c>
    </row>
    <row r="1073" spans="1:2" ht="12.5" hidden="1">
      <c r="A1073" s="5">
        <f ca="1">IFERROR(__xludf.DUMMYFUNCTION("""COMPUTED_VALUE"""),95)</f>
        <v>95</v>
      </c>
      <c r="B1073" s="69">
        <v>47459</v>
      </c>
    </row>
    <row r="1074" spans="1:2" ht="12.5" hidden="1">
      <c r="A1074" s="5">
        <f ca="1">IFERROR(__xludf.DUMMYFUNCTION("""COMPUTED_VALUE"""),95)</f>
        <v>95</v>
      </c>
      <c r="B1074" s="69">
        <v>47460</v>
      </c>
    </row>
    <row r="1075" spans="1:2" ht="12.5" hidden="1">
      <c r="A1075" s="5">
        <f ca="1">IFERROR(__xludf.DUMMYFUNCTION("""COMPUTED_VALUE"""),45)</f>
        <v>45</v>
      </c>
      <c r="B1075" s="69">
        <v>47461</v>
      </c>
    </row>
    <row r="1076" spans="1:2" ht="12.5" hidden="1">
      <c r="A1076" s="5">
        <f ca="1">IFERROR(__xludf.DUMMYFUNCTION("""COMPUTED_VALUE"""),95)</f>
        <v>95</v>
      </c>
      <c r="B1076" s="69">
        <v>47462</v>
      </c>
    </row>
    <row r="1077" spans="1:2" ht="12.5" hidden="1">
      <c r="A1077" s="5">
        <f ca="1">IFERROR(__xludf.DUMMYFUNCTION("""COMPUTED_VALUE"""),58)</f>
        <v>58</v>
      </c>
      <c r="B1077" s="69">
        <v>47463</v>
      </c>
    </row>
    <row r="1078" spans="1:2" ht="12.5" hidden="1">
      <c r="A1078" s="5">
        <f ca="1">IFERROR(__xludf.DUMMYFUNCTION("""COMPUTED_VALUE"""),5)</f>
        <v>5</v>
      </c>
      <c r="B1078" s="69">
        <v>47464</v>
      </c>
    </row>
    <row r="1079" spans="1:2" ht="12.5" hidden="1">
      <c r="A1079" s="5">
        <f ca="1">IFERROR(__xludf.DUMMYFUNCTION("""COMPUTED_VALUE"""),58)</f>
        <v>58</v>
      </c>
      <c r="B1079" s="69">
        <v>47465</v>
      </c>
    </row>
    <row r="1080" spans="1:2" ht="12.5" hidden="1">
      <c r="A1080" s="5">
        <f ca="1">IFERROR(__xludf.DUMMYFUNCTION("""COMPUTED_VALUE"""),67)</f>
        <v>67</v>
      </c>
      <c r="B1080" s="69">
        <v>47466</v>
      </c>
    </row>
    <row r="1081" spans="1:2" ht="12.5" hidden="1">
      <c r="A1081" s="5">
        <f ca="1">IFERROR(__xludf.DUMMYFUNCTION("""COMPUTED_VALUE"""),57)</f>
        <v>57</v>
      </c>
      <c r="B1081" s="69">
        <v>47467</v>
      </c>
    </row>
    <row r="1082" spans="1:2" ht="12.5" hidden="1">
      <c r="A1082" s="5">
        <f ca="1">IFERROR(__xludf.DUMMYFUNCTION("""COMPUTED_VALUE"""),20)</f>
        <v>20</v>
      </c>
      <c r="B1082" s="69">
        <v>47468</v>
      </c>
    </row>
    <row r="1083" spans="1:2" ht="12.5" hidden="1">
      <c r="A1083" s="5">
        <f ca="1">IFERROR(__xludf.DUMMYFUNCTION("""COMPUTED_VALUE"""),3)</f>
        <v>3</v>
      </c>
      <c r="B1083" s="69">
        <v>47469</v>
      </c>
    </row>
    <row r="1084" spans="1:2" ht="12.5" hidden="1">
      <c r="A1084" s="5">
        <f ca="1">IFERROR(__xludf.DUMMYFUNCTION("""COMPUTED_VALUE"""),7)</f>
        <v>7</v>
      </c>
      <c r="B1084" s="69">
        <v>47470</v>
      </c>
    </row>
    <row r="1085" spans="1:2" ht="12.5" hidden="1">
      <c r="A1085" s="5">
        <f ca="1">IFERROR(__xludf.DUMMYFUNCTION("""COMPUTED_VALUE"""),78)</f>
        <v>78</v>
      </c>
      <c r="B1085" s="69">
        <v>47471</v>
      </c>
    </row>
    <row r="1086" spans="1:2" ht="12.5" hidden="1">
      <c r="A1086" s="5">
        <f ca="1">IFERROR(__xludf.DUMMYFUNCTION("""COMPUTED_VALUE"""),32)</f>
        <v>32</v>
      </c>
      <c r="B1086" s="69">
        <v>47472</v>
      </c>
    </row>
    <row r="1087" spans="1:2" ht="12.5" hidden="1">
      <c r="A1087" s="5">
        <f ca="1">IFERROR(__xludf.DUMMYFUNCTION("""COMPUTED_VALUE"""),52)</f>
        <v>52</v>
      </c>
      <c r="B1087" s="69">
        <v>47473</v>
      </c>
    </row>
    <row r="1088" spans="1:2" ht="12.5" hidden="1">
      <c r="A1088" s="5">
        <f ca="1">IFERROR(__xludf.DUMMYFUNCTION("""COMPUTED_VALUE"""),95)</f>
        <v>95</v>
      </c>
      <c r="B1088" s="69">
        <v>47474</v>
      </c>
    </row>
    <row r="1089" spans="1:2" ht="12.5" hidden="1">
      <c r="A1089" s="5">
        <f ca="1">IFERROR(__xludf.DUMMYFUNCTION("""COMPUTED_VALUE"""),95)</f>
        <v>95</v>
      </c>
      <c r="B1089" s="69">
        <v>47475</v>
      </c>
    </row>
    <row r="1090" spans="1:2" ht="12.5" hidden="1">
      <c r="A1090" s="5">
        <f ca="1">IFERROR(__xludf.DUMMYFUNCTION("""COMPUTED_VALUE"""),29)</f>
        <v>29</v>
      </c>
      <c r="B1090" s="69">
        <v>47476</v>
      </c>
    </row>
    <row r="1091" spans="1:2" ht="12.5" hidden="1">
      <c r="A1091" s="5">
        <f ca="1">IFERROR(__xludf.DUMMYFUNCTION("""COMPUTED_VALUE"""),63)</f>
        <v>63</v>
      </c>
      <c r="B1091" s="69">
        <v>47477</v>
      </c>
    </row>
    <row r="1092" spans="1:2" ht="12.5" hidden="1">
      <c r="A1092" s="5">
        <f ca="1">IFERROR(__xludf.DUMMYFUNCTION("""COMPUTED_VALUE"""),95)</f>
        <v>95</v>
      </c>
      <c r="B1092" s="69">
        <v>47478</v>
      </c>
    </row>
    <row r="1093" spans="1:2" ht="12.5" hidden="1">
      <c r="A1093" s="5">
        <f ca="1">IFERROR(__xludf.DUMMYFUNCTION("""COMPUTED_VALUE"""),5)</f>
        <v>5</v>
      </c>
      <c r="B1093" s="69">
        <v>47479</v>
      </c>
    </row>
    <row r="1094" spans="1:2" ht="12.5" hidden="1">
      <c r="A1094" s="5">
        <f ca="1">IFERROR(__xludf.DUMMYFUNCTION("""COMPUTED_VALUE"""),20)</f>
        <v>20</v>
      </c>
      <c r="B1094" s="69">
        <v>47480</v>
      </c>
    </row>
    <row r="1095" spans="1:2" ht="12.5" hidden="1">
      <c r="A1095" s="5">
        <f ca="1">IFERROR(__xludf.DUMMYFUNCTION("""COMPUTED_VALUE"""),32)</f>
        <v>32</v>
      </c>
      <c r="B1095" s="69">
        <v>47481</v>
      </c>
    </row>
    <row r="1096" spans="1:2" ht="12.5" hidden="1">
      <c r="A1096" s="5">
        <f ca="1">IFERROR(__xludf.DUMMYFUNCTION("""COMPUTED_VALUE"""),42)</f>
        <v>42</v>
      </c>
      <c r="B1096" s="69">
        <v>47482</v>
      </c>
    </row>
    <row r="1097" spans="1:2" ht="12.5" hidden="1">
      <c r="A1097" s="5">
        <f ca="1">IFERROR(__xludf.DUMMYFUNCTION("""COMPUTED_VALUE"""),23)</f>
        <v>23</v>
      </c>
      <c r="B1097" s="69">
        <v>47483</v>
      </c>
    </row>
    <row r="1098" spans="1:2" ht="12.5" hidden="1">
      <c r="A1098" s="5">
        <f ca="1">IFERROR(__xludf.DUMMYFUNCTION("""COMPUTED_VALUE"""),26)</f>
        <v>26</v>
      </c>
      <c r="B1098" s="69">
        <v>47484</v>
      </c>
    </row>
    <row r="1099" spans="1:2" ht="12.5" hidden="1">
      <c r="A1099" s="5">
        <f ca="1">IFERROR(__xludf.DUMMYFUNCTION("""COMPUTED_VALUE"""),39)</f>
        <v>39</v>
      </c>
      <c r="B1099" s="69">
        <v>47485</v>
      </c>
    </row>
    <row r="1100" spans="1:2" ht="12.5" hidden="1">
      <c r="A1100" s="5">
        <f ca="1">IFERROR(__xludf.DUMMYFUNCTION("""COMPUTED_VALUE"""),56)</f>
        <v>56</v>
      </c>
      <c r="B1100" s="69">
        <v>47486</v>
      </c>
    </row>
    <row r="1101" spans="1:2" ht="12.5" hidden="1">
      <c r="A1101" s="5">
        <f ca="1">IFERROR(__xludf.DUMMYFUNCTION("""COMPUTED_VALUE"""),95)</f>
        <v>95</v>
      </c>
      <c r="B1101" s="69">
        <v>47487</v>
      </c>
    </row>
    <row r="1102" spans="1:2" ht="12.5" hidden="1">
      <c r="A1102" s="5">
        <f ca="1">IFERROR(__xludf.DUMMYFUNCTION("""COMPUTED_VALUE"""),95)</f>
        <v>95</v>
      </c>
      <c r="B1102" s="69">
        <v>47488</v>
      </c>
    </row>
    <row r="1103" spans="1:2" ht="12.5" hidden="1">
      <c r="A1103" s="5">
        <f ca="1">IFERROR(__xludf.DUMMYFUNCTION("""COMPUTED_VALUE"""),5)</f>
        <v>5</v>
      </c>
      <c r="B1103" s="69">
        <v>47489</v>
      </c>
    </row>
    <row r="1104" spans="1:2" ht="12.5" hidden="1">
      <c r="A1104" s="5">
        <f ca="1">IFERROR(__xludf.DUMMYFUNCTION("""COMPUTED_VALUE"""),66)</f>
        <v>66</v>
      </c>
      <c r="B1104" s="69">
        <v>47490</v>
      </c>
    </row>
    <row r="1105" spans="1:2" ht="12.5" hidden="1">
      <c r="A1105" s="5">
        <f ca="1">IFERROR(__xludf.DUMMYFUNCTION("""COMPUTED_VALUE"""),29)</f>
        <v>29</v>
      </c>
      <c r="B1105" s="69">
        <v>47491</v>
      </c>
    </row>
    <row r="1106" spans="1:2" ht="12.5" hidden="1">
      <c r="A1106" s="5">
        <f ca="1">IFERROR(__xludf.DUMMYFUNCTION("""COMPUTED_VALUE"""),52)</f>
        <v>52</v>
      </c>
      <c r="B1106" s="69">
        <v>47492</v>
      </c>
    </row>
    <row r="1107" spans="1:2" ht="12.5" hidden="1">
      <c r="A1107" s="5">
        <f ca="1">IFERROR(__xludf.DUMMYFUNCTION("""COMPUTED_VALUE"""),42)</f>
        <v>42</v>
      </c>
      <c r="B1107" s="69">
        <v>47493</v>
      </c>
    </row>
    <row r="1108" spans="1:2" ht="12.5">
      <c r="A1108" s="5">
        <f ca="1">IFERROR(__xludf.DUMMYFUNCTION("""COMPUTED_VALUE"""),51)</f>
        <v>51</v>
      </c>
      <c r="B1108" s="69">
        <v>47494</v>
      </c>
    </row>
    <row r="1109" spans="1:2" ht="12.5" hidden="1">
      <c r="A1109" s="5">
        <f ca="1">IFERROR(__xludf.DUMMYFUNCTION("""COMPUTED_VALUE"""),95)</f>
        <v>95</v>
      </c>
      <c r="B1109" s="69">
        <v>47495</v>
      </c>
    </row>
    <row r="1110" spans="1:2" ht="12.5" hidden="1">
      <c r="A1110" s="5">
        <f ca="1">IFERROR(__xludf.DUMMYFUNCTION("""COMPUTED_VALUE"""),37)</f>
        <v>37</v>
      </c>
      <c r="B1110" s="69">
        <v>47496</v>
      </c>
    </row>
    <row r="1111" spans="1:2" ht="12.5" hidden="1">
      <c r="A1111" s="5">
        <f ca="1">IFERROR(__xludf.DUMMYFUNCTION("""COMPUTED_VALUE"""),20)</f>
        <v>20</v>
      </c>
      <c r="B1111" s="69">
        <v>47497</v>
      </c>
    </row>
    <row r="1112" spans="1:2" ht="12.5" hidden="1">
      <c r="A1112" s="5">
        <f ca="1">IFERROR(__xludf.DUMMYFUNCTION("""COMPUTED_VALUE"""),95)</f>
        <v>95</v>
      </c>
      <c r="B1112" s="69">
        <v>47498</v>
      </c>
    </row>
    <row r="1113" spans="1:2" ht="12.5" hidden="1">
      <c r="A1113" s="5">
        <f ca="1">IFERROR(__xludf.DUMMYFUNCTION("""COMPUTED_VALUE"""),2)</f>
        <v>2</v>
      </c>
      <c r="B1113" s="69">
        <v>47499</v>
      </c>
    </row>
    <row r="1114" spans="1:2" ht="12.5">
      <c r="A1114" s="5">
        <f ca="1">IFERROR(__xludf.DUMMYFUNCTION("""COMPUTED_VALUE"""),51)</f>
        <v>51</v>
      </c>
      <c r="B1114" s="69">
        <v>47500</v>
      </c>
    </row>
    <row r="1115" spans="1:2" ht="12.5" hidden="1">
      <c r="A1115" s="5">
        <f ca="1">IFERROR(__xludf.DUMMYFUNCTION("""COMPUTED_VALUE"""),4)</f>
        <v>4</v>
      </c>
      <c r="B1115" s="69">
        <v>47501</v>
      </c>
    </row>
    <row r="1116" spans="1:2" ht="12.5" hidden="1">
      <c r="A1116" s="5">
        <f ca="1">IFERROR(__xludf.DUMMYFUNCTION("""COMPUTED_VALUE"""),95)</f>
        <v>95</v>
      </c>
      <c r="B1116" s="69">
        <v>47502</v>
      </c>
    </row>
    <row r="1117" spans="1:2" ht="12.5" hidden="1">
      <c r="A1117" s="5">
        <f ca="1">IFERROR(__xludf.DUMMYFUNCTION("""COMPUTED_VALUE"""),52)</f>
        <v>52</v>
      </c>
      <c r="B1117" s="69">
        <v>47503</v>
      </c>
    </row>
    <row r="1118" spans="1:2" ht="12.5" hidden="1">
      <c r="A1118" s="5">
        <f ca="1">IFERROR(__xludf.DUMMYFUNCTION("""COMPUTED_VALUE"""),55)</f>
        <v>55</v>
      </c>
      <c r="B1118" s="69">
        <v>47504</v>
      </c>
    </row>
    <row r="1119" spans="1:2" ht="12.5" hidden="1">
      <c r="A1119" s="5">
        <f ca="1">IFERROR(__xludf.DUMMYFUNCTION("""COMPUTED_VALUE"""),95)</f>
        <v>95</v>
      </c>
      <c r="B1119" s="69">
        <v>47505</v>
      </c>
    </row>
    <row r="1120" spans="1:2" ht="12.5" hidden="1">
      <c r="A1120" s="5">
        <f ca="1">IFERROR(__xludf.DUMMYFUNCTION("""COMPUTED_VALUE"""),31)</f>
        <v>31</v>
      </c>
      <c r="B1120" s="69">
        <v>47506</v>
      </c>
    </row>
    <row r="1121" spans="1:2" ht="12.5" hidden="1">
      <c r="A1121" s="5">
        <f ca="1">IFERROR(__xludf.DUMMYFUNCTION("""COMPUTED_VALUE"""),32)</f>
        <v>32</v>
      </c>
      <c r="B1121" s="69">
        <v>47507</v>
      </c>
    </row>
    <row r="1122" spans="1:2" ht="12.5" hidden="1">
      <c r="A1122" s="5">
        <f ca="1">IFERROR(__xludf.DUMMYFUNCTION("""COMPUTED_VALUE"""),31)</f>
        <v>31</v>
      </c>
      <c r="B1122" s="69">
        <v>47508</v>
      </c>
    </row>
    <row r="1123" spans="1:2" ht="12.5" hidden="1">
      <c r="A1123" s="5">
        <f ca="1">IFERROR(__xludf.DUMMYFUNCTION("""COMPUTED_VALUE"""),95)</f>
        <v>95</v>
      </c>
      <c r="B1123" s="69">
        <v>47509</v>
      </c>
    </row>
    <row r="1124" spans="1:2" ht="12.5" hidden="1">
      <c r="A1124" s="5">
        <f ca="1">IFERROR(__xludf.DUMMYFUNCTION("""COMPUTED_VALUE"""),95)</f>
        <v>95</v>
      </c>
      <c r="B1124" s="69">
        <v>47510</v>
      </c>
    </row>
    <row r="1125" spans="1:2" ht="12.5" hidden="1">
      <c r="A1125" s="5">
        <f ca="1">IFERROR(__xludf.DUMMYFUNCTION("""COMPUTED_VALUE"""),23)</f>
        <v>23</v>
      </c>
      <c r="B1125" s="69">
        <v>47511</v>
      </c>
    </row>
    <row r="1126" spans="1:2" ht="12.5" hidden="1">
      <c r="A1126" s="5">
        <f ca="1">IFERROR(__xludf.DUMMYFUNCTION("""COMPUTED_VALUE"""),45)</f>
        <v>45</v>
      </c>
      <c r="B1126" s="69">
        <v>47512</v>
      </c>
    </row>
    <row r="1127" spans="1:2" ht="12.5" hidden="1">
      <c r="A1127" s="5">
        <f ca="1">IFERROR(__xludf.DUMMYFUNCTION("""COMPUTED_VALUE"""),95)</f>
        <v>95</v>
      </c>
      <c r="B1127" s="69">
        <v>47513</v>
      </c>
    </row>
    <row r="1128" spans="1:2" ht="12.5" hidden="1">
      <c r="A1128" s="5">
        <f ca="1">IFERROR(__xludf.DUMMYFUNCTION("""COMPUTED_VALUE"""),42)</f>
        <v>42</v>
      </c>
      <c r="B1128" s="69">
        <v>47514</v>
      </c>
    </row>
    <row r="1129" spans="1:2" ht="12.5" hidden="1">
      <c r="A1129" s="5">
        <f ca="1">IFERROR(__xludf.DUMMYFUNCTION("""COMPUTED_VALUE"""),31)</f>
        <v>31</v>
      </c>
      <c r="B1129" s="69">
        <v>47515</v>
      </c>
    </row>
    <row r="1130" spans="1:2" ht="12.5" hidden="1">
      <c r="A1130" s="5">
        <f ca="1">IFERROR(__xludf.DUMMYFUNCTION("""COMPUTED_VALUE"""),30)</f>
        <v>30</v>
      </c>
      <c r="B1130" s="69">
        <v>47516</v>
      </c>
    </row>
    <row r="1131" spans="1:2" ht="12.5" hidden="1">
      <c r="A1131" s="5">
        <f ca="1">IFERROR(__xludf.DUMMYFUNCTION("""COMPUTED_VALUE"""),50)</f>
        <v>50</v>
      </c>
      <c r="B1131" s="69">
        <v>47517</v>
      </c>
    </row>
    <row r="1132" spans="1:2" ht="12.5" hidden="1">
      <c r="A1132" s="5">
        <f ca="1">IFERROR(__xludf.DUMMYFUNCTION("""COMPUTED_VALUE"""),68)</f>
        <v>68</v>
      </c>
      <c r="B1132" s="69">
        <v>47518</v>
      </c>
    </row>
    <row r="1133" spans="1:2" ht="12.5" hidden="1">
      <c r="A1133" s="5">
        <f ca="1">IFERROR(__xludf.DUMMYFUNCTION("""COMPUTED_VALUE"""),72)</f>
        <v>72</v>
      </c>
      <c r="B1133" s="69">
        <v>47519</v>
      </c>
    </row>
    <row r="1134" spans="1:2" ht="12.5" hidden="1">
      <c r="A1134" s="5">
        <f ca="1">IFERROR(__xludf.DUMMYFUNCTION("""COMPUTED_VALUE"""),64)</f>
        <v>64</v>
      </c>
      <c r="B1134" s="69">
        <v>47520</v>
      </c>
    </row>
    <row r="1135" spans="1:2" ht="12.5" hidden="1">
      <c r="A1135" s="5">
        <f ca="1">IFERROR(__xludf.DUMMYFUNCTION("""COMPUTED_VALUE"""),23)</f>
        <v>23</v>
      </c>
      <c r="B1135" s="69">
        <v>47521</v>
      </c>
    </row>
    <row r="1136" spans="1:2" ht="12.5" hidden="1">
      <c r="A1136" s="5">
        <f ca="1">IFERROR(__xludf.DUMMYFUNCTION("""COMPUTED_VALUE"""),56)</f>
        <v>56</v>
      </c>
      <c r="B1136" s="69">
        <v>47522</v>
      </c>
    </row>
    <row r="1137" spans="1:2" ht="12.5" hidden="1">
      <c r="A1137" s="5">
        <f ca="1">IFERROR(__xludf.DUMMYFUNCTION("""COMPUTED_VALUE"""),56)</f>
        <v>56</v>
      </c>
      <c r="B1137" s="69">
        <v>47523</v>
      </c>
    </row>
    <row r="1138" spans="1:2" ht="12.5" hidden="1">
      <c r="A1138" s="5">
        <f ca="1">IFERROR(__xludf.DUMMYFUNCTION("""COMPUTED_VALUE"""),95)</f>
        <v>95</v>
      </c>
      <c r="B1138" s="69">
        <v>47524</v>
      </c>
    </row>
    <row r="1139" spans="1:2" ht="12.5" hidden="1">
      <c r="A1139" s="5">
        <f ca="1">IFERROR(__xludf.DUMMYFUNCTION("""COMPUTED_VALUE"""),26)</f>
        <v>26</v>
      </c>
      <c r="B1139" s="69">
        <v>47525</v>
      </c>
    </row>
    <row r="1140" spans="1:2" ht="12.5" hidden="1">
      <c r="A1140" s="5">
        <f ca="1">IFERROR(__xludf.DUMMYFUNCTION("""COMPUTED_VALUE"""),1)</f>
        <v>1</v>
      </c>
      <c r="B1140" s="69">
        <v>47526</v>
      </c>
    </row>
    <row r="1141" spans="1:2" ht="12.5" hidden="1">
      <c r="A1141" s="5">
        <f ca="1">IFERROR(__xludf.DUMMYFUNCTION("""COMPUTED_VALUE"""),49)</f>
        <v>49</v>
      </c>
      <c r="B1141" s="69">
        <v>47527</v>
      </c>
    </row>
    <row r="1142" spans="1:2" ht="12.5" hidden="1">
      <c r="A1142" s="5">
        <f ca="1">IFERROR(__xludf.DUMMYFUNCTION("""COMPUTED_VALUE"""),52)</f>
        <v>52</v>
      </c>
      <c r="B1142" s="69">
        <v>47528</v>
      </c>
    </row>
    <row r="1143" spans="1:2" ht="12.5" hidden="1">
      <c r="A1143" s="5">
        <f ca="1">IFERROR(__xludf.DUMMYFUNCTION("""COMPUTED_VALUE"""),10)</f>
        <v>10</v>
      </c>
      <c r="B1143" s="69">
        <v>47529</v>
      </c>
    </row>
    <row r="1144" spans="1:2" ht="12.5" hidden="1">
      <c r="A1144" s="5">
        <f ca="1">IFERROR(__xludf.DUMMYFUNCTION("""COMPUTED_VALUE"""),20)</f>
        <v>20</v>
      </c>
      <c r="B1144" s="69">
        <v>47530</v>
      </c>
    </row>
    <row r="1145" spans="1:2" ht="12.5" hidden="1">
      <c r="A1145" s="5">
        <f ca="1">IFERROR(__xludf.DUMMYFUNCTION("""COMPUTED_VALUE"""),24)</f>
        <v>24</v>
      </c>
      <c r="B1145" s="69">
        <v>47531</v>
      </c>
    </row>
    <row r="1146" spans="1:2" ht="12.5" hidden="1">
      <c r="A1146" s="5">
        <f ca="1">IFERROR(__xludf.DUMMYFUNCTION("""COMPUTED_VALUE"""),52)</f>
        <v>52</v>
      </c>
      <c r="B1146" s="69">
        <v>47532</v>
      </c>
    </row>
    <row r="1147" spans="1:2" ht="12.5" hidden="1">
      <c r="A1147" s="5">
        <f ca="1">IFERROR(__xludf.DUMMYFUNCTION("""COMPUTED_VALUE"""),41)</f>
        <v>41</v>
      </c>
      <c r="B1147" s="69">
        <v>47533</v>
      </c>
    </row>
    <row r="1148" spans="1:2" ht="12.5" hidden="1">
      <c r="A1148" s="5">
        <f ca="1">IFERROR(__xludf.DUMMYFUNCTION("""COMPUTED_VALUE"""),95)</f>
        <v>95</v>
      </c>
      <c r="B1148" s="69">
        <v>47534</v>
      </c>
    </row>
    <row r="1149" spans="1:2" ht="12.5" hidden="1">
      <c r="A1149" s="5">
        <f ca="1">IFERROR(__xludf.DUMMYFUNCTION("""COMPUTED_VALUE"""),95)</f>
        <v>95</v>
      </c>
      <c r="B1149" s="69">
        <v>47535</v>
      </c>
    </row>
    <row r="1150" spans="1:2" ht="12.5" hidden="1">
      <c r="A1150" s="5">
        <f ca="1">IFERROR(__xludf.DUMMYFUNCTION("""COMPUTED_VALUE"""),29)</f>
        <v>29</v>
      </c>
      <c r="B1150" s="69">
        <v>47536</v>
      </c>
    </row>
    <row r="1151" spans="1:2" ht="12.5" hidden="1">
      <c r="A1151" s="5">
        <f ca="1">IFERROR(__xludf.DUMMYFUNCTION("""COMPUTED_VALUE"""),62)</f>
        <v>62</v>
      </c>
      <c r="B1151" s="69">
        <v>47537</v>
      </c>
    </row>
    <row r="1152" spans="1:2" ht="12.5" hidden="1">
      <c r="A1152" s="5">
        <f ca="1">IFERROR(__xludf.DUMMYFUNCTION("""COMPUTED_VALUE"""),52)</f>
        <v>52</v>
      </c>
      <c r="B1152" s="69">
        <v>47538</v>
      </c>
    </row>
    <row r="1153" spans="1:2" ht="12.5" hidden="1">
      <c r="A1153" s="5">
        <f ca="1">IFERROR(__xludf.DUMMYFUNCTION("""COMPUTED_VALUE"""),10)</f>
        <v>10</v>
      </c>
      <c r="B1153" s="69">
        <v>47539</v>
      </c>
    </row>
    <row r="1154" spans="1:2" ht="12.5" hidden="1">
      <c r="A1154" s="5">
        <f ca="1">IFERROR(__xludf.DUMMYFUNCTION("""COMPUTED_VALUE"""),53)</f>
        <v>53</v>
      </c>
      <c r="B1154" s="69">
        <v>47540</v>
      </c>
    </row>
    <row r="1155" spans="1:2" ht="12.5" hidden="1">
      <c r="A1155" s="5">
        <f ca="1">IFERROR(__xludf.DUMMYFUNCTION("""COMPUTED_VALUE"""),95)</f>
        <v>95</v>
      </c>
      <c r="B1155" s="69">
        <v>47541</v>
      </c>
    </row>
    <row r="1156" spans="1:2" ht="12.5" hidden="1">
      <c r="A1156" s="5">
        <f ca="1">IFERROR(__xludf.DUMMYFUNCTION("""COMPUTED_VALUE"""),52)</f>
        <v>52</v>
      </c>
      <c r="B1156" s="69">
        <v>47542</v>
      </c>
    </row>
    <row r="1157" spans="1:2" ht="12.5" hidden="1">
      <c r="A1157" s="5">
        <f ca="1">IFERROR(__xludf.DUMMYFUNCTION("""COMPUTED_VALUE"""),50)</f>
        <v>50</v>
      </c>
      <c r="B1157" s="69">
        <v>47543</v>
      </c>
    </row>
    <row r="1158" spans="1:2" ht="12.5" hidden="1">
      <c r="A1158" s="5">
        <f ca="1">IFERROR(__xludf.DUMMYFUNCTION("""COMPUTED_VALUE"""),58)</f>
        <v>58</v>
      </c>
      <c r="B1158" s="69">
        <v>47544</v>
      </c>
    </row>
    <row r="1159" spans="1:2" ht="12.5" hidden="1">
      <c r="A1159" s="5">
        <f ca="1">IFERROR(__xludf.DUMMYFUNCTION("""COMPUTED_VALUE"""),31)</f>
        <v>31</v>
      </c>
      <c r="B1159" s="69">
        <v>47545</v>
      </c>
    </row>
    <row r="1160" spans="1:2" ht="12.5" hidden="1">
      <c r="A1160" s="5">
        <f ca="1">IFERROR(__xludf.DUMMYFUNCTION("""COMPUTED_VALUE"""),18)</f>
        <v>18</v>
      </c>
      <c r="B1160" s="69">
        <v>47546</v>
      </c>
    </row>
    <row r="1161" spans="1:2" ht="12.5" hidden="1">
      <c r="A1161" s="5">
        <f ca="1">IFERROR(__xludf.DUMMYFUNCTION("""COMPUTED_VALUE"""),1)</f>
        <v>1</v>
      </c>
      <c r="B1161" s="69">
        <v>47547</v>
      </c>
    </row>
    <row r="1162" spans="1:2" ht="12.5" hidden="1">
      <c r="A1162" s="5">
        <f ca="1">IFERROR(__xludf.DUMMYFUNCTION("""COMPUTED_VALUE"""),29)</f>
        <v>29</v>
      </c>
      <c r="B1162" s="69">
        <v>47548</v>
      </c>
    </row>
    <row r="1163" spans="1:2" ht="12.5" hidden="1">
      <c r="A1163" s="5">
        <f ca="1">IFERROR(__xludf.DUMMYFUNCTION("""COMPUTED_VALUE"""),53)</f>
        <v>53</v>
      </c>
      <c r="B1163" s="69">
        <v>47549</v>
      </c>
    </row>
    <row r="1164" spans="1:2" ht="12.5" hidden="1">
      <c r="A1164" s="5">
        <f ca="1">IFERROR(__xludf.DUMMYFUNCTION("""COMPUTED_VALUE"""),31)</f>
        <v>31</v>
      </c>
      <c r="B1164" s="69">
        <v>47550</v>
      </c>
    </row>
    <row r="1165" spans="1:2" ht="12.5" hidden="1">
      <c r="A1165" s="5">
        <f ca="1">IFERROR(__xludf.DUMMYFUNCTION("""COMPUTED_VALUE"""),50)</f>
        <v>50</v>
      </c>
      <c r="B1165" s="69">
        <v>47551</v>
      </c>
    </row>
    <row r="1166" spans="1:2" ht="12.5" hidden="1">
      <c r="A1166" s="5">
        <f ca="1">IFERROR(__xludf.DUMMYFUNCTION("""COMPUTED_VALUE"""),31)</f>
        <v>31</v>
      </c>
      <c r="B1166" s="69">
        <v>47552</v>
      </c>
    </row>
    <row r="1167" spans="1:2" ht="12.5" hidden="1">
      <c r="A1167" s="5">
        <f ca="1">IFERROR(__xludf.DUMMYFUNCTION("""COMPUTED_VALUE"""),3)</f>
        <v>3</v>
      </c>
      <c r="B1167" s="69">
        <v>47553</v>
      </c>
    </row>
    <row r="1168" spans="1:2" ht="12.5" hidden="1">
      <c r="A1168" s="5">
        <f ca="1">IFERROR(__xludf.DUMMYFUNCTION("""COMPUTED_VALUE"""),45)</f>
        <v>45</v>
      </c>
      <c r="B1168" s="69">
        <v>47554</v>
      </c>
    </row>
    <row r="1169" spans="1:2" ht="12.5" hidden="1">
      <c r="A1169" s="5">
        <f ca="1">IFERROR(__xludf.DUMMYFUNCTION("""COMPUTED_VALUE"""),52)</f>
        <v>52</v>
      </c>
      <c r="B1169" s="69">
        <v>47555</v>
      </c>
    </row>
    <row r="1170" spans="1:2" ht="12.5" hidden="1">
      <c r="A1170" s="5">
        <f ca="1">IFERROR(__xludf.DUMMYFUNCTION("""COMPUTED_VALUE"""),1)</f>
        <v>1</v>
      </c>
      <c r="B1170" s="69">
        <v>47556</v>
      </c>
    </row>
    <row r="1171" spans="1:2" ht="12.5" hidden="1">
      <c r="A1171" s="5">
        <f ca="1">IFERROR(__xludf.DUMMYFUNCTION("""COMPUTED_VALUE"""),52)</f>
        <v>52</v>
      </c>
      <c r="B1171" s="69">
        <v>47557</v>
      </c>
    </row>
    <row r="1172" spans="1:2" ht="12.5" hidden="1">
      <c r="A1172" s="5">
        <f ca="1">IFERROR(__xludf.DUMMYFUNCTION("""COMPUTED_VALUE"""),37)</f>
        <v>37</v>
      </c>
      <c r="B1172" s="69">
        <v>47558</v>
      </c>
    </row>
    <row r="1173" spans="1:2" ht="12.5" hidden="1">
      <c r="A1173" s="5">
        <f ca="1">IFERROR(__xludf.DUMMYFUNCTION("""COMPUTED_VALUE"""),5)</f>
        <v>5</v>
      </c>
      <c r="B1173" s="69">
        <v>47559</v>
      </c>
    </row>
    <row r="1174" spans="1:2" ht="12.5" hidden="1">
      <c r="A1174" s="5">
        <f ca="1">IFERROR(__xludf.DUMMYFUNCTION("""COMPUTED_VALUE"""),31)</f>
        <v>31</v>
      </c>
      <c r="B1174" s="69">
        <v>47560</v>
      </c>
    </row>
    <row r="1175" spans="1:2" ht="12.5" hidden="1">
      <c r="A1175" s="5">
        <f ca="1">IFERROR(__xludf.DUMMYFUNCTION("""COMPUTED_VALUE"""),10)</f>
        <v>10</v>
      </c>
      <c r="B1175" s="69">
        <v>47561</v>
      </c>
    </row>
    <row r="1176" spans="1:2" ht="12.5" hidden="1">
      <c r="A1176" s="5">
        <f ca="1">IFERROR(__xludf.DUMMYFUNCTION("""COMPUTED_VALUE"""),25)</f>
        <v>25</v>
      </c>
      <c r="B1176" s="69">
        <v>47562</v>
      </c>
    </row>
    <row r="1177" spans="1:2" ht="12.5" hidden="1">
      <c r="A1177" s="5">
        <f ca="1">IFERROR(__xludf.DUMMYFUNCTION("""COMPUTED_VALUE"""),18)</f>
        <v>18</v>
      </c>
      <c r="B1177" s="69">
        <v>47563</v>
      </c>
    </row>
    <row r="1178" spans="1:2" ht="12.5" hidden="1">
      <c r="A1178" s="5">
        <f ca="1">IFERROR(__xludf.DUMMYFUNCTION("""COMPUTED_VALUE"""),10)</f>
        <v>10</v>
      </c>
      <c r="B1178" s="69">
        <v>47564</v>
      </c>
    </row>
    <row r="1179" spans="1:2" ht="12.5" hidden="1">
      <c r="A1179" s="5">
        <f ca="1">IFERROR(__xludf.DUMMYFUNCTION("""COMPUTED_VALUE"""),22)</f>
        <v>22</v>
      </c>
      <c r="B1179" s="69">
        <v>47565</v>
      </c>
    </row>
    <row r="1180" spans="1:2" ht="12.5" hidden="1">
      <c r="A1180" s="5">
        <f ca="1">IFERROR(__xludf.DUMMYFUNCTION("""COMPUTED_VALUE"""),3)</f>
        <v>3</v>
      </c>
      <c r="B1180" s="69">
        <v>47566</v>
      </c>
    </row>
    <row r="1181" spans="1:2" ht="12.5" hidden="1">
      <c r="A1181" s="5">
        <f ca="1">IFERROR(__xludf.DUMMYFUNCTION("""COMPUTED_VALUE"""),32)</f>
        <v>32</v>
      </c>
      <c r="B1181" s="69">
        <v>47567</v>
      </c>
    </row>
    <row r="1182" spans="1:2" ht="12.5" hidden="1">
      <c r="A1182" s="5">
        <f ca="1">IFERROR(__xludf.DUMMYFUNCTION("""COMPUTED_VALUE"""),95)</f>
        <v>95</v>
      </c>
      <c r="B1182" s="69">
        <v>47568</v>
      </c>
    </row>
    <row r="1183" spans="1:2" ht="12.5" hidden="1">
      <c r="A1183" s="5">
        <f ca="1">IFERROR(__xludf.DUMMYFUNCTION("""COMPUTED_VALUE"""),46)</f>
        <v>46</v>
      </c>
      <c r="B1183" s="69">
        <v>47569</v>
      </c>
    </row>
    <row r="1184" spans="1:2" ht="12.5" hidden="1">
      <c r="A1184" s="5">
        <f ca="1">IFERROR(__xludf.DUMMYFUNCTION("""COMPUTED_VALUE"""),31)</f>
        <v>31</v>
      </c>
      <c r="B1184" s="69">
        <v>47570</v>
      </c>
    </row>
    <row r="1185" spans="1:2" ht="12.5">
      <c r="A1185" s="5">
        <f ca="1">IFERROR(__xludf.DUMMYFUNCTION("""COMPUTED_VALUE"""),51)</f>
        <v>51</v>
      </c>
      <c r="B1185" s="69">
        <v>47571</v>
      </c>
    </row>
    <row r="1186" spans="1:2" ht="12.5" hidden="1">
      <c r="A1186" s="5">
        <f ca="1">IFERROR(__xludf.DUMMYFUNCTION("""COMPUTED_VALUE"""),10)</f>
        <v>10</v>
      </c>
      <c r="B1186" s="69">
        <v>47572</v>
      </c>
    </row>
    <row r="1187" spans="1:2" ht="12.5" hidden="1">
      <c r="A1187" s="5">
        <f ca="1">IFERROR(__xludf.DUMMYFUNCTION("""COMPUTED_VALUE"""),2)</f>
        <v>2</v>
      </c>
      <c r="B1187" s="69">
        <v>47573</v>
      </c>
    </row>
    <row r="1188" spans="1:2" ht="12.5" hidden="1">
      <c r="A1188" s="5">
        <f ca="1">IFERROR(__xludf.DUMMYFUNCTION("""COMPUTED_VALUE"""),2)</f>
        <v>2</v>
      </c>
      <c r="B1188" s="69">
        <v>47574</v>
      </c>
    </row>
    <row r="1189" spans="1:2" ht="12.5" hidden="1">
      <c r="A1189" s="5">
        <f ca="1">IFERROR(__xludf.DUMMYFUNCTION("""COMPUTED_VALUE"""),12)</f>
        <v>12</v>
      </c>
      <c r="B1189" s="69">
        <v>47575</v>
      </c>
    </row>
    <row r="1190" spans="1:2" ht="12.5" hidden="1">
      <c r="A1190" s="5">
        <f ca="1">IFERROR(__xludf.DUMMYFUNCTION("""COMPUTED_VALUE"""),31)</f>
        <v>31</v>
      </c>
      <c r="B1190" s="69">
        <v>47576</v>
      </c>
    </row>
    <row r="1191" spans="1:2" ht="12.5" hidden="1">
      <c r="A1191" s="5">
        <f ca="1">IFERROR(__xludf.DUMMYFUNCTION("""COMPUTED_VALUE"""),58)</f>
        <v>58</v>
      </c>
      <c r="B1191" s="69">
        <v>47577</v>
      </c>
    </row>
    <row r="1192" spans="1:2" ht="12.5" hidden="1">
      <c r="A1192" s="5">
        <f ca="1">IFERROR(__xludf.DUMMYFUNCTION("""COMPUTED_VALUE"""),95)</f>
        <v>95</v>
      </c>
      <c r="B1192" s="69">
        <v>47578</v>
      </c>
    </row>
    <row r="1193" spans="1:2" ht="12.5" hidden="1">
      <c r="A1193" s="5">
        <f ca="1">IFERROR(__xludf.DUMMYFUNCTION("""COMPUTED_VALUE"""),95)</f>
        <v>95</v>
      </c>
      <c r="B1193" s="69">
        <v>47579</v>
      </c>
    </row>
    <row r="1194" spans="1:2" ht="12.5" hidden="1">
      <c r="A1194" s="5">
        <f ca="1">IFERROR(__xludf.DUMMYFUNCTION("""COMPUTED_VALUE"""),4)</f>
        <v>4</v>
      </c>
      <c r="B1194" s="69">
        <v>47580</v>
      </c>
    </row>
    <row r="1195" spans="1:2" ht="12.5" hidden="1">
      <c r="A1195" s="5">
        <f ca="1">IFERROR(__xludf.DUMMYFUNCTION("""COMPUTED_VALUE"""),29)</f>
        <v>29</v>
      </c>
      <c r="B1195" s="69">
        <v>47581</v>
      </c>
    </row>
    <row r="1196" spans="1:2" ht="12.5" hidden="1">
      <c r="A1196" s="5">
        <f ca="1">IFERROR(__xludf.DUMMYFUNCTION("""COMPUTED_VALUE"""),23)</f>
        <v>23</v>
      </c>
      <c r="B1196" s="69">
        <v>47582</v>
      </c>
    </row>
    <row r="1197" spans="1:2" ht="12.5" hidden="1">
      <c r="A1197" s="5">
        <f ca="1">IFERROR(__xludf.DUMMYFUNCTION("""COMPUTED_VALUE"""),26)</f>
        <v>26</v>
      </c>
      <c r="B1197" s="69">
        <v>47583</v>
      </c>
    </row>
    <row r="1198" spans="1:2" ht="12.5" hidden="1">
      <c r="A1198" s="5">
        <f ca="1">IFERROR(__xludf.DUMMYFUNCTION("""COMPUTED_VALUE"""),30)</f>
        <v>30</v>
      </c>
      <c r="B1198" s="69">
        <v>47584</v>
      </c>
    </row>
    <row r="1199" spans="1:2" ht="12.5" hidden="1">
      <c r="A1199" s="5">
        <f ca="1">IFERROR(__xludf.DUMMYFUNCTION("""COMPUTED_VALUE"""),20)</f>
        <v>20</v>
      </c>
      <c r="B1199" s="69">
        <v>47585</v>
      </c>
    </row>
    <row r="1200" spans="1:2" ht="12.5" hidden="1">
      <c r="A1200" s="5">
        <f ca="1">IFERROR(__xludf.DUMMYFUNCTION("""COMPUTED_VALUE"""),22)</f>
        <v>22</v>
      </c>
      <c r="B1200" s="69">
        <v>47586</v>
      </c>
    </row>
    <row r="1201" spans="1:2" ht="12.5" hidden="1">
      <c r="A1201" s="5">
        <f ca="1">IFERROR(__xludf.DUMMYFUNCTION("""COMPUTED_VALUE"""),23)</f>
        <v>23</v>
      </c>
      <c r="B1201" s="69">
        <v>47587</v>
      </c>
    </row>
    <row r="1202" spans="1:2" ht="12.5" hidden="1">
      <c r="A1202" s="5">
        <f ca="1">IFERROR(__xludf.DUMMYFUNCTION("""COMPUTED_VALUE"""),29)</f>
        <v>29</v>
      </c>
      <c r="B1202" s="69">
        <v>47588</v>
      </c>
    </row>
    <row r="1203" spans="1:2" ht="12.5" hidden="1">
      <c r="A1203" s="5">
        <f ca="1">IFERROR(__xludf.DUMMYFUNCTION("""COMPUTED_VALUE"""),23)</f>
        <v>23</v>
      </c>
      <c r="B1203" s="69">
        <v>47589</v>
      </c>
    </row>
    <row r="1204" spans="1:2" ht="12.5" hidden="1">
      <c r="A1204" s="5">
        <f ca="1">IFERROR(__xludf.DUMMYFUNCTION("""COMPUTED_VALUE"""),45)</f>
        <v>45</v>
      </c>
      <c r="B1204" s="69">
        <v>47590</v>
      </c>
    </row>
    <row r="1205" spans="1:2" ht="12.5" hidden="1">
      <c r="A1205" s="5">
        <f ca="1">IFERROR(__xludf.DUMMYFUNCTION("""COMPUTED_VALUE"""),64)</f>
        <v>64</v>
      </c>
      <c r="B1205" s="69">
        <v>47591</v>
      </c>
    </row>
    <row r="1206" spans="1:2" ht="12.5" hidden="1">
      <c r="A1206" s="5">
        <f ca="1">IFERROR(__xludf.DUMMYFUNCTION("""COMPUTED_VALUE"""),10)</f>
        <v>10</v>
      </c>
      <c r="B1206" s="69">
        <v>47592</v>
      </c>
    </row>
    <row r="1207" spans="1:2" ht="12.5" hidden="1">
      <c r="A1207" s="5">
        <f ca="1">IFERROR(__xludf.DUMMYFUNCTION("""COMPUTED_VALUE"""),52)</f>
        <v>52</v>
      </c>
      <c r="B1207" s="69">
        <v>47593</v>
      </c>
    </row>
    <row r="1208" spans="1:2" ht="12.5" hidden="1">
      <c r="A1208" s="5">
        <f ca="1">IFERROR(__xludf.DUMMYFUNCTION("""COMPUTED_VALUE"""),31)</f>
        <v>31</v>
      </c>
      <c r="B1208" s="69">
        <v>47594</v>
      </c>
    </row>
    <row r="1209" spans="1:2" ht="12.5" hidden="1">
      <c r="A1209" s="5">
        <f ca="1">IFERROR(__xludf.DUMMYFUNCTION("""COMPUTED_VALUE"""),1)</f>
        <v>1</v>
      </c>
      <c r="B1209" s="69">
        <v>47595</v>
      </c>
    </row>
    <row r="1210" spans="1:2" ht="12.5" hidden="1">
      <c r="A1210" s="5">
        <f ca="1">IFERROR(__xludf.DUMMYFUNCTION("""COMPUTED_VALUE"""),25)</f>
        <v>25</v>
      </c>
      <c r="B1210" s="69">
        <v>47596</v>
      </c>
    </row>
    <row r="1211" spans="1:2" ht="12.5" hidden="1">
      <c r="A1211" s="5">
        <f ca="1">IFERROR(__xludf.DUMMYFUNCTION("""COMPUTED_VALUE"""),23)</f>
        <v>23</v>
      </c>
      <c r="B1211" s="69">
        <v>47597</v>
      </c>
    </row>
    <row r="1212" spans="1:2" ht="12.5" hidden="1">
      <c r="A1212" s="5">
        <f ca="1">IFERROR(__xludf.DUMMYFUNCTION("""COMPUTED_VALUE"""),15)</f>
        <v>15</v>
      </c>
      <c r="B1212" s="69">
        <v>47598</v>
      </c>
    </row>
    <row r="1213" spans="1:2" ht="12.5" hidden="1">
      <c r="A1213" s="5">
        <f ca="1">IFERROR(__xludf.DUMMYFUNCTION("""COMPUTED_VALUE"""),20)</f>
        <v>20</v>
      </c>
      <c r="B1213" s="69">
        <v>47599</v>
      </c>
    </row>
    <row r="1214" spans="1:2" ht="12.5" hidden="1">
      <c r="A1214" s="5">
        <f ca="1">IFERROR(__xludf.DUMMYFUNCTION("""COMPUTED_VALUE"""),23)</f>
        <v>23</v>
      </c>
      <c r="B1214" s="69">
        <v>47600</v>
      </c>
    </row>
    <row r="1215" spans="1:2" ht="12.5" hidden="1">
      <c r="A1215" s="5">
        <f ca="1">IFERROR(__xludf.DUMMYFUNCTION("""COMPUTED_VALUE"""),31)</f>
        <v>31</v>
      </c>
      <c r="B1215" s="69">
        <v>47601</v>
      </c>
    </row>
    <row r="1216" spans="1:2" ht="12.5" hidden="1">
      <c r="A1216" s="5">
        <f ca="1">IFERROR(__xludf.DUMMYFUNCTION("""COMPUTED_VALUE"""),95)</f>
        <v>95</v>
      </c>
      <c r="B1216" s="69">
        <v>47602</v>
      </c>
    </row>
    <row r="1217" spans="1:2" ht="12.5" hidden="1">
      <c r="A1217" s="5">
        <f ca="1">IFERROR(__xludf.DUMMYFUNCTION("""COMPUTED_VALUE"""),70)</f>
        <v>70</v>
      </c>
      <c r="B1217" s="69">
        <v>47603</v>
      </c>
    </row>
    <row r="1218" spans="1:2" ht="12.5" hidden="1">
      <c r="A1218" s="5">
        <f ca="1">IFERROR(__xludf.DUMMYFUNCTION("""COMPUTED_VALUE"""),95)</f>
        <v>95</v>
      </c>
      <c r="B1218" s="69">
        <v>47604</v>
      </c>
    </row>
    <row r="1219" spans="1:2" ht="12.5" hidden="1">
      <c r="A1219" s="5">
        <f ca="1">IFERROR(__xludf.DUMMYFUNCTION("""COMPUTED_VALUE"""),95)</f>
        <v>95</v>
      </c>
      <c r="B1219" s="69">
        <v>47605</v>
      </c>
    </row>
    <row r="1220" spans="1:2" ht="12.5" hidden="1">
      <c r="A1220" s="5">
        <f ca="1">IFERROR(__xludf.DUMMYFUNCTION("""COMPUTED_VALUE"""),95)</f>
        <v>95</v>
      </c>
      <c r="B1220" s="69">
        <v>47606</v>
      </c>
    </row>
    <row r="1221" spans="1:2" ht="12.5" hidden="1">
      <c r="A1221" s="5">
        <f ca="1">IFERROR(__xludf.DUMMYFUNCTION("""COMPUTED_VALUE"""),52)</f>
        <v>52</v>
      </c>
      <c r="B1221" s="69">
        <v>47607</v>
      </c>
    </row>
    <row r="1222" spans="1:2" ht="12.5" hidden="1">
      <c r="A1222" s="5">
        <f ca="1">IFERROR(__xludf.DUMMYFUNCTION("""COMPUTED_VALUE"""),70)</f>
        <v>70</v>
      </c>
      <c r="B1222" s="69">
        <v>47608</v>
      </c>
    </row>
    <row r="1223" spans="1:2" ht="12.5" hidden="1">
      <c r="A1223" s="5">
        <f ca="1">IFERROR(__xludf.DUMMYFUNCTION("""COMPUTED_VALUE"""),95)</f>
        <v>95</v>
      </c>
      <c r="B1223" s="69">
        <v>47609</v>
      </c>
    </row>
    <row r="1224" spans="1:2" ht="12.5" hidden="1">
      <c r="A1224" s="5">
        <f ca="1">IFERROR(__xludf.DUMMYFUNCTION("""COMPUTED_VALUE"""),20)</f>
        <v>20</v>
      </c>
      <c r="B1224" s="69">
        <v>47610</v>
      </c>
    </row>
    <row r="1225" spans="1:2" ht="12.5" hidden="1">
      <c r="A1225" s="5">
        <f ca="1">IFERROR(__xludf.DUMMYFUNCTION("""COMPUTED_VALUE"""),52)</f>
        <v>52</v>
      </c>
      <c r="B1225" s="69">
        <v>47611</v>
      </c>
    </row>
    <row r="1226" spans="1:2" ht="12.5" hidden="1">
      <c r="A1226" s="5">
        <f ca="1">IFERROR(__xludf.DUMMYFUNCTION("""COMPUTED_VALUE"""),9)</f>
        <v>9</v>
      </c>
      <c r="B1226" s="69">
        <v>47612</v>
      </c>
    </row>
    <row r="1227" spans="1:2" ht="12.5" hidden="1">
      <c r="A1227" s="5">
        <f ca="1">IFERROR(__xludf.DUMMYFUNCTION("""COMPUTED_VALUE"""),2)</f>
        <v>2</v>
      </c>
      <c r="B1227" s="69">
        <v>47613</v>
      </c>
    </row>
    <row r="1228" spans="1:2" ht="12.5" hidden="1">
      <c r="A1228" s="5">
        <f ca="1">IFERROR(__xludf.DUMMYFUNCTION("""COMPUTED_VALUE"""),95)</f>
        <v>95</v>
      </c>
      <c r="B1228" s="69">
        <v>47614</v>
      </c>
    </row>
    <row r="1229" spans="1:2" ht="12.5" hidden="1">
      <c r="A1229" s="5">
        <f ca="1">IFERROR(__xludf.DUMMYFUNCTION("""COMPUTED_VALUE"""),95)</f>
        <v>95</v>
      </c>
      <c r="B1229" s="69">
        <v>47615</v>
      </c>
    </row>
    <row r="1230" spans="1:2" ht="12.5" hidden="1">
      <c r="A1230" s="5">
        <f ca="1">IFERROR(__xludf.DUMMYFUNCTION("""COMPUTED_VALUE"""),1)</f>
        <v>1</v>
      </c>
      <c r="B1230" s="69">
        <v>47616</v>
      </c>
    </row>
    <row r="1231" spans="1:2" ht="12.5" hidden="1">
      <c r="A1231" s="5">
        <f ca="1">IFERROR(__xludf.DUMMYFUNCTION("""COMPUTED_VALUE"""),8)</f>
        <v>8</v>
      </c>
      <c r="B1231" s="69">
        <v>47617</v>
      </c>
    </row>
    <row r="1232" spans="1:2" ht="12.5" hidden="1">
      <c r="A1232" s="5">
        <f ca="1">IFERROR(__xludf.DUMMYFUNCTION("""COMPUTED_VALUE"""),95)</f>
        <v>95</v>
      </c>
      <c r="B1232" s="69">
        <v>47618</v>
      </c>
    </row>
    <row r="1233" spans="1:3" ht="12.5" hidden="1">
      <c r="A1233" s="5">
        <f ca="1">IFERROR(__xludf.DUMMYFUNCTION("""COMPUTED_VALUE"""),10)</f>
        <v>10</v>
      </c>
      <c r="B1233" s="69">
        <v>47619</v>
      </c>
    </row>
    <row r="1234" spans="1:3" ht="12.5" hidden="1">
      <c r="A1234" s="5">
        <f ca="1">IFERROR(__xludf.DUMMYFUNCTION("""COMPUTED_VALUE"""),55)</f>
        <v>55</v>
      </c>
      <c r="B1234" s="69">
        <v>47620</v>
      </c>
    </row>
    <row r="1235" spans="1:3" ht="12.5" hidden="1">
      <c r="A1235" s="5">
        <f ca="1">IFERROR(__xludf.DUMMYFUNCTION("""COMPUTED_VALUE"""),27)</f>
        <v>27</v>
      </c>
      <c r="B1235" s="69">
        <v>47621</v>
      </c>
    </row>
    <row r="1236" spans="1:3" ht="12.5" hidden="1">
      <c r="A1236" s="5">
        <f ca="1">IFERROR(__xludf.DUMMYFUNCTION("""COMPUTED_VALUE"""),52)</f>
        <v>52</v>
      </c>
      <c r="B1236" s="69">
        <v>47622</v>
      </c>
    </row>
    <row r="1237" spans="1:3" ht="12.5" hidden="1">
      <c r="A1237" s="5">
        <f ca="1">IFERROR(__xludf.DUMMYFUNCTION("""COMPUTED_VALUE"""),7)</f>
        <v>7</v>
      </c>
      <c r="B1237" s="69">
        <v>47623</v>
      </c>
    </row>
    <row r="1238" spans="1:3" ht="12.5" hidden="1">
      <c r="A1238" s="5">
        <f ca="1">IFERROR(__xludf.DUMMYFUNCTION("""COMPUTED_VALUE"""),16)</f>
        <v>16</v>
      </c>
      <c r="B1238" s="69">
        <v>47624</v>
      </c>
    </row>
    <row r="1239" spans="1:3" ht="12.5" hidden="1">
      <c r="A1239" s="5">
        <f ca="1">IFERROR(__xludf.DUMMYFUNCTION("""COMPUTED_VALUE"""),95)</f>
        <v>95</v>
      </c>
      <c r="B1239" s="69">
        <v>47625</v>
      </c>
    </row>
    <row r="1240" spans="1:3" ht="12.5" hidden="1">
      <c r="A1240" s="5">
        <f ca="1">IFERROR(__xludf.DUMMYFUNCTION("""COMPUTED_VALUE"""),52)</f>
        <v>52</v>
      </c>
      <c r="B1240" s="69" t="str">
        <f t="shared" ref="B1240:B1310" ca="1" si="0">TEXT(TODAY(),"dd/mm/yyyy")</f>
        <v>10/03/2026</v>
      </c>
      <c r="C1240" s="5" t="s">
        <v>25391</v>
      </c>
    </row>
    <row r="1241" spans="1:3" ht="12.5" hidden="1">
      <c r="A1241" s="5">
        <f ca="1">IFERROR(__xludf.DUMMYFUNCTION("""COMPUTED_VALUE"""),31)</f>
        <v>31</v>
      </c>
      <c r="B1241" s="69" t="str">
        <f t="shared" ca="1" si="0"/>
        <v>10/03/2026</v>
      </c>
      <c r="C1241" s="5" t="s">
        <v>25391</v>
      </c>
    </row>
    <row r="1242" spans="1:3" ht="12.5" hidden="1">
      <c r="A1242" s="5">
        <f ca="1">IFERROR(__xludf.DUMMYFUNCTION("""COMPUTED_VALUE"""),18)</f>
        <v>18</v>
      </c>
      <c r="B1242" s="69" t="str">
        <f t="shared" ca="1" si="0"/>
        <v>10/03/2026</v>
      </c>
      <c r="C1242" s="5" t="s">
        <v>25391</v>
      </c>
    </row>
    <row r="1243" spans="1:3" ht="12.5" hidden="1">
      <c r="A1243" s="5">
        <f ca="1">IFERROR(__xludf.DUMMYFUNCTION("""COMPUTED_VALUE"""),25)</f>
        <v>25</v>
      </c>
      <c r="B1243" s="69" t="str">
        <f t="shared" ca="1" si="0"/>
        <v>10/03/2026</v>
      </c>
      <c r="C1243" s="5" t="s">
        <v>25391</v>
      </c>
    </row>
    <row r="1244" spans="1:3" ht="12.5" hidden="1">
      <c r="A1244" s="5">
        <f ca="1">IFERROR(__xludf.DUMMYFUNCTION("""COMPUTED_VALUE"""),23)</f>
        <v>23</v>
      </c>
      <c r="B1244" s="69" t="str">
        <f t="shared" ca="1" si="0"/>
        <v>10/03/2026</v>
      </c>
      <c r="C1244" s="5" t="s">
        <v>25391</v>
      </c>
    </row>
    <row r="1245" spans="1:3" ht="12.5" hidden="1">
      <c r="A1245" s="5">
        <f ca="1">IFERROR(__xludf.DUMMYFUNCTION("""COMPUTED_VALUE"""),29)</f>
        <v>29</v>
      </c>
      <c r="B1245" s="69" t="str">
        <f t="shared" ca="1" si="0"/>
        <v>10/03/2026</v>
      </c>
      <c r="C1245" s="5" t="s">
        <v>25391</v>
      </c>
    </row>
    <row r="1246" spans="1:3" ht="12.5" hidden="1">
      <c r="A1246" s="5">
        <f ca="1">IFERROR(__xludf.DUMMYFUNCTION("""COMPUTED_VALUE"""),39)</f>
        <v>39</v>
      </c>
      <c r="B1246" s="69" t="str">
        <f t="shared" ca="1" si="0"/>
        <v>10/03/2026</v>
      </c>
      <c r="C1246" s="5" t="s">
        <v>25391</v>
      </c>
    </row>
    <row r="1247" spans="1:3" ht="12.5" hidden="1">
      <c r="A1247" s="5">
        <f ca="1">IFERROR(__xludf.DUMMYFUNCTION("""COMPUTED_VALUE"""),95)</f>
        <v>95</v>
      </c>
      <c r="B1247" s="69" t="str">
        <f t="shared" ca="1" si="0"/>
        <v>10/03/2026</v>
      </c>
      <c r="C1247" s="5" t="s">
        <v>25391</v>
      </c>
    </row>
    <row r="1248" spans="1:3" ht="12.5" hidden="1">
      <c r="A1248" s="5">
        <f ca="1">IFERROR(__xludf.DUMMYFUNCTION("""COMPUTED_VALUE"""),52)</f>
        <v>52</v>
      </c>
      <c r="B1248" s="69" t="str">
        <f t="shared" ca="1" si="0"/>
        <v>10/03/2026</v>
      </c>
      <c r="C1248" s="5" t="s">
        <v>25391</v>
      </c>
    </row>
    <row r="1249" spans="1:3" ht="12.5" hidden="1">
      <c r="A1249" s="5">
        <f ca="1">IFERROR(__xludf.DUMMYFUNCTION("""COMPUTED_VALUE"""),53)</f>
        <v>53</v>
      </c>
      <c r="B1249" s="69" t="str">
        <f t="shared" ca="1" si="0"/>
        <v>10/03/2026</v>
      </c>
      <c r="C1249" s="5" t="s">
        <v>25391</v>
      </c>
    </row>
    <row r="1250" spans="1:3" ht="12.5" hidden="1">
      <c r="A1250" s="5">
        <f ca="1">IFERROR(__xludf.DUMMYFUNCTION("""COMPUTED_VALUE"""),28)</f>
        <v>28</v>
      </c>
      <c r="B1250" s="69" t="str">
        <f t="shared" ca="1" si="0"/>
        <v>10/03/2026</v>
      </c>
      <c r="C1250" s="5" t="s">
        <v>25391</v>
      </c>
    </row>
    <row r="1251" spans="1:3" ht="12.5" hidden="1">
      <c r="A1251" s="5">
        <f ca="1">IFERROR(__xludf.DUMMYFUNCTION("""COMPUTED_VALUE"""),81)</f>
        <v>81</v>
      </c>
      <c r="B1251" s="69" t="str">
        <f t="shared" ca="1" si="0"/>
        <v>10/03/2026</v>
      </c>
      <c r="C1251" s="5" t="s">
        <v>25391</v>
      </c>
    </row>
    <row r="1252" spans="1:3" ht="12.5" hidden="1">
      <c r="A1252" s="5">
        <f ca="1">IFERROR(__xludf.DUMMYFUNCTION("""COMPUTED_VALUE"""),34)</f>
        <v>34</v>
      </c>
      <c r="B1252" s="69" t="str">
        <f t="shared" ca="1" si="0"/>
        <v>10/03/2026</v>
      </c>
      <c r="C1252" s="5" t="s">
        <v>25391</v>
      </c>
    </row>
    <row r="1253" spans="1:3" ht="12.5" hidden="1">
      <c r="A1253" s="5">
        <f ca="1">IFERROR(__xludf.DUMMYFUNCTION("""COMPUTED_VALUE"""),7)</f>
        <v>7</v>
      </c>
      <c r="B1253" s="69" t="str">
        <f t="shared" ca="1" si="0"/>
        <v>10/03/2026</v>
      </c>
      <c r="C1253" s="5" t="s">
        <v>25391</v>
      </c>
    </row>
    <row r="1254" spans="1:3" ht="12.5" hidden="1">
      <c r="A1254" s="5">
        <f ca="1">IFERROR(__xludf.DUMMYFUNCTION("""COMPUTED_VALUE"""),2)</f>
        <v>2</v>
      </c>
      <c r="B1254" s="69" t="str">
        <f t="shared" ca="1" si="0"/>
        <v>10/03/2026</v>
      </c>
      <c r="C1254" s="5" t="s">
        <v>25391</v>
      </c>
    </row>
    <row r="1255" spans="1:3" ht="12.5" hidden="1">
      <c r="A1255" s="5">
        <f ca="1">IFERROR(__xludf.DUMMYFUNCTION("""COMPUTED_VALUE"""),52)</f>
        <v>52</v>
      </c>
      <c r="B1255" s="69" t="str">
        <f t="shared" ca="1" si="0"/>
        <v>10/03/2026</v>
      </c>
      <c r="C1255" s="5" t="s">
        <v>25391</v>
      </c>
    </row>
    <row r="1256" spans="1:3" ht="12.5" hidden="1">
      <c r="A1256" s="5">
        <f ca="1">IFERROR(__xludf.DUMMYFUNCTION("""COMPUTED_VALUE"""),81)</f>
        <v>81</v>
      </c>
      <c r="B1256" s="69" t="str">
        <f t="shared" ca="1" si="0"/>
        <v>10/03/2026</v>
      </c>
      <c r="C1256" s="5" t="s">
        <v>25391</v>
      </c>
    </row>
    <row r="1257" spans="1:3" ht="12.5" hidden="1">
      <c r="A1257" s="5">
        <f ca="1">IFERROR(__xludf.DUMMYFUNCTION("""COMPUTED_VALUE"""),31)</f>
        <v>31</v>
      </c>
      <c r="B1257" s="69" t="str">
        <f t="shared" ca="1" si="0"/>
        <v>10/03/2026</v>
      </c>
      <c r="C1257" s="5" t="s">
        <v>25391</v>
      </c>
    </row>
    <row r="1258" spans="1:3" ht="12.5" hidden="1">
      <c r="A1258" s="5">
        <f ca="1">IFERROR(__xludf.DUMMYFUNCTION("""COMPUTED_VALUE"""),5)</f>
        <v>5</v>
      </c>
      <c r="B1258" s="69" t="str">
        <f t="shared" ca="1" si="0"/>
        <v>10/03/2026</v>
      </c>
      <c r="C1258" s="5" t="s">
        <v>25391</v>
      </c>
    </row>
    <row r="1259" spans="1:3" ht="12.5" hidden="1">
      <c r="A1259" s="5">
        <f ca="1">IFERROR(__xludf.DUMMYFUNCTION("""COMPUTED_VALUE"""),53)</f>
        <v>53</v>
      </c>
      <c r="B1259" s="69" t="str">
        <f t="shared" ca="1" si="0"/>
        <v>10/03/2026</v>
      </c>
      <c r="C1259" s="5" t="s">
        <v>25391</v>
      </c>
    </row>
    <row r="1260" spans="1:3" ht="12.5" hidden="1">
      <c r="A1260" s="5">
        <f ca="1">IFERROR(__xludf.DUMMYFUNCTION("""COMPUTED_VALUE"""),52)</f>
        <v>52</v>
      </c>
      <c r="B1260" s="69" t="str">
        <f t="shared" ca="1" si="0"/>
        <v>10/03/2026</v>
      </c>
      <c r="C1260" s="5" t="s">
        <v>25391</v>
      </c>
    </row>
    <row r="1261" spans="1:3" ht="12.5" hidden="1">
      <c r="A1261" s="5">
        <f ca="1">IFERROR(__xludf.DUMMYFUNCTION("""COMPUTED_VALUE"""),52)</f>
        <v>52</v>
      </c>
      <c r="B1261" s="69" t="str">
        <f t="shared" ca="1" si="0"/>
        <v>10/03/2026</v>
      </c>
      <c r="C1261" s="5" t="s">
        <v>25391</v>
      </c>
    </row>
    <row r="1262" spans="1:3" ht="12.5" hidden="1">
      <c r="A1262" s="5">
        <f ca="1">IFERROR(__xludf.DUMMYFUNCTION("""COMPUTED_VALUE"""),95)</f>
        <v>95</v>
      </c>
      <c r="B1262" s="69" t="str">
        <f t="shared" ca="1" si="0"/>
        <v>10/03/2026</v>
      </c>
      <c r="C1262" s="5" t="s">
        <v>25391</v>
      </c>
    </row>
    <row r="1263" spans="1:3" ht="12.5" hidden="1">
      <c r="A1263" s="5">
        <f ca="1">IFERROR(__xludf.DUMMYFUNCTION("""COMPUTED_VALUE"""),62)</f>
        <v>62</v>
      </c>
      <c r="B1263" s="69" t="str">
        <f t="shared" ca="1" si="0"/>
        <v>10/03/2026</v>
      </c>
      <c r="C1263" s="5" t="s">
        <v>25391</v>
      </c>
    </row>
    <row r="1264" spans="1:3" ht="12.5" hidden="1">
      <c r="A1264" s="5">
        <f ca="1">IFERROR(__xludf.DUMMYFUNCTION("""COMPUTED_VALUE"""),95)</f>
        <v>95</v>
      </c>
      <c r="B1264" s="69" t="str">
        <f t="shared" ca="1" si="0"/>
        <v>10/03/2026</v>
      </c>
      <c r="C1264" s="5" t="s">
        <v>25391</v>
      </c>
    </row>
    <row r="1265" spans="1:3" ht="12.5" hidden="1">
      <c r="A1265" s="5">
        <f ca="1">IFERROR(__xludf.DUMMYFUNCTION("""COMPUTED_VALUE"""),52)</f>
        <v>52</v>
      </c>
      <c r="B1265" s="69" t="str">
        <f t="shared" ca="1" si="0"/>
        <v>10/03/2026</v>
      </c>
      <c r="C1265" s="5" t="s">
        <v>25391</v>
      </c>
    </row>
    <row r="1266" spans="1:3" ht="12.5" hidden="1">
      <c r="A1266" s="5">
        <f ca="1">IFERROR(__xludf.DUMMYFUNCTION("""COMPUTED_VALUE"""),52)</f>
        <v>52</v>
      </c>
      <c r="B1266" s="69" t="str">
        <f t="shared" ca="1" si="0"/>
        <v>10/03/2026</v>
      </c>
      <c r="C1266" s="5" t="s">
        <v>25391</v>
      </c>
    </row>
    <row r="1267" spans="1:3" ht="12.5" hidden="1">
      <c r="A1267" s="5">
        <f ca="1">IFERROR(__xludf.DUMMYFUNCTION("""COMPUTED_VALUE"""),21)</f>
        <v>21</v>
      </c>
      <c r="B1267" s="69" t="str">
        <f t="shared" ca="1" si="0"/>
        <v>10/03/2026</v>
      </c>
      <c r="C1267" s="5" t="s">
        <v>25391</v>
      </c>
    </row>
    <row r="1268" spans="1:3" ht="12.5" hidden="1">
      <c r="A1268" s="5">
        <f ca="1">IFERROR(__xludf.DUMMYFUNCTION("""COMPUTED_VALUE"""),95)</f>
        <v>95</v>
      </c>
      <c r="B1268" s="69" t="str">
        <f t="shared" ca="1" si="0"/>
        <v>10/03/2026</v>
      </c>
      <c r="C1268" s="5" t="s">
        <v>25391</v>
      </c>
    </row>
    <row r="1269" spans="1:3" ht="12.5" hidden="1">
      <c r="A1269" s="5">
        <f ca="1">IFERROR(__xludf.DUMMYFUNCTION("""COMPUTED_VALUE"""),18)</f>
        <v>18</v>
      </c>
      <c r="B1269" s="69" t="str">
        <f t="shared" ca="1" si="0"/>
        <v>10/03/2026</v>
      </c>
      <c r="C1269" s="5" t="s">
        <v>25391</v>
      </c>
    </row>
    <row r="1270" spans="1:3" ht="12.5" hidden="1">
      <c r="A1270" s="5">
        <f ca="1">IFERROR(__xludf.DUMMYFUNCTION("""COMPUTED_VALUE"""),42)</f>
        <v>42</v>
      </c>
      <c r="B1270" s="69" t="str">
        <f t="shared" ca="1" si="0"/>
        <v>10/03/2026</v>
      </c>
      <c r="C1270" s="5" t="s">
        <v>25391</v>
      </c>
    </row>
    <row r="1271" spans="1:3" ht="12.5" hidden="1">
      <c r="A1271" s="5">
        <f ca="1">IFERROR(__xludf.DUMMYFUNCTION("""COMPUTED_VALUE"""),81)</f>
        <v>81</v>
      </c>
      <c r="B1271" s="69" t="str">
        <f t="shared" ca="1" si="0"/>
        <v>10/03/2026</v>
      </c>
      <c r="C1271" s="5" t="s">
        <v>25391</v>
      </c>
    </row>
    <row r="1272" spans="1:3" ht="12.5" hidden="1">
      <c r="A1272" s="5">
        <f ca="1">IFERROR(__xludf.DUMMYFUNCTION("""COMPUTED_VALUE"""),10)</f>
        <v>10</v>
      </c>
      <c r="B1272" s="69" t="str">
        <f t="shared" ca="1" si="0"/>
        <v>10/03/2026</v>
      </c>
      <c r="C1272" s="5" t="s">
        <v>25391</v>
      </c>
    </row>
    <row r="1273" spans="1:3" ht="12.5" hidden="1">
      <c r="A1273" s="5">
        <f ca="1">IFERROR(__xludf.DUMMYFUNCTION("""COMPUTED_VALUE"""),23)</f>
        <v>23</v>
      </c>
      <c r="B1273" s="69" t="str">
        <f t="shared" ca="1" si="0"/>
        <v>10/03/2026</v>
      </c>
      <c r="C1273" s="5" t="s">
        <v>25391</v>
      </c>
    </row>
    <row r="1274" spans="1:3" ht="12.5" hidden="1">
      <c r="A1274" s="5">
        <f ca="1">IFERROR(__xludf.DUMMYFUNCTION("""COMPUTED_VALUE"""),7)</f>
        <v>7</v>
      </c>
      <c r="B1274" s="69" t="str">
        <f t="shared" ca="1" si="0"/>
        <v>10/03/2026</v>
      </c>
      <c r="C1274" s="5" t="s">
        <v>25391</v>
      </c>
    </row>
    <row r="1275" spans="1:3" ht="12.5" hidden="1">
      <c r="A1275" s="5">
        <f ca="1">IFERROR(__xludf.DUMMYFUNCTION("""COMPUTED_VALUE"""),31)</f>
        <v>31</v>
      </c>
      <c r="B1275" s="69" t="str">
        <f t="shared" ca="1" si="0"/>
        <v>10/03/2026</v>
      </c>
      <c r="C1275" s="5" t="s">
        <v>25391</v>
      </c>
    </row>
    <row r="1276" spans="1:3" ht="12.5" hidden="1">
      <c r="A1276" s="5">
        <f ca="1">IFERROR(__xludf.DUMMYFUNCTION("""COMPUTED_VALUE"""),29)</f>
        <v>29</v>
      </c>
      <c r="B1276" s="69" t="str">
        <f t="shared" ca="1" si="0"/>
        <v>10/03/2026</v>
      </c>
      <c r="C1276" s="5" t="s">
        <v>25391</v>
      </c>
    </row>
    <row r="1277" spans="1:3" ht="12.5" hidden="1">
      <c r="A1277" s="5">
        <f ca="1">IFERROR(__xludf.DUMMYFUNCTION("""COMPUTED_VALUE"""),7)</f>
        <v>7</v>
      </c>
      <c r="B1277" s="69" t="str">
        <f t="shared" ca="1" si="0"/>
        <v>10/03/2026</v>
      </c>
      <c r="C1277" s="5" t="s">
        <v>25391</v>
      </c>
    </row>
    <row r="1278" spans="1:3" ht="12.5">
      <c r="A1278" s="5">
        <f ca="1">IFERROR(__xludf.DUMMYFUNCTION("""COMPUTED_VALUE"""),51)</f>
        <v>51</v>
      </c>
      <c r="B1278" s="69" t="str">
        <f t="shared" ca="1" si="0"/>
        <v>10/03/2026</v>
      </c>
      <c r="C1278" s="5" t="s">
        <v>25391</v>
      </c>
    </row>
    <row r="1279" spans="1:3" ht="12.5" hidden="1">
      <c r="A1279" s="5">
        <f ca="1">IFERROR(__xludf.DUMMYFUNCTION("""COMPUTED_VALUE"""),25)</f>
        <v>25</v>
      </c>
      <c r="B1279" s="69" t="str">
        <f t="shared" ca="1" si="0"/>
        <v>10/03/2026</v>
      </c>
      <c r="C1279" s="5" t="s">
        <v>25391</v>
      </c>
    </row>
    <row r="1280" spans="1:3" ht="12.5" hidden="1">
      <c r="A1280" s="5">
        <f ca="1">IFERROR(__xludf.DUMMYFUNCTION("""COMPUTED_VALUE"""),52)</f>
        <v>52</v>
      </c>
      <c r="B1280" s="69" t="str">
        <f t="shared" ca="1" si="0"/>
        <v>10/03/2026</v>
      </c>
      <c r="C1280" s="5" t="s">
        <v>25391</v>
      </c>
    </row>
    <row r="1281" spans="1:3" ht="12.5" hidden="1">
      <c r="A1281" s="5">
        <f ca="1">IFERROR(__xludf.DUMMYFUNCTION("""COMPUTED_VALUE"""),45)</f>
        <v>45</v>
      </c>
      <c r="B1281" s="69" t="str">
        <f t="shared" ca="1" si="0"/>
        <v>10/03/2026</v>
      </c>
      <c r="C1281" s="5" t="s">
        <v>25391</v>
      </c>
    </row>
    <row r="1282" spans="1:3" ht="12.5" hidden="1">
      <c r="A1282" s="5">
        <f ca="1">IFERROR(__xludf.DUMMYFUNCTION("""COMPUTED_VALUE"""),95)</f>
        <v>95</v>
      </c>
      <c r="B1282" s="69" t="str">
        <f t="shared" ca="1" si="0"/>
        <v>10/03/2026</v>
      </c>
      <c r="C1282" s="5" t="s">
        <v>25391</v>
      </c>
    </row>
    <row r="1283" spans="1:3" ht="12.5" hidden="1">
      <c r="A1283" s="5">
        <f ca="1">IFERROR(__xludf.DUMMYFUNCTION("""COMPUTED_VALUE"""),24)</f>
        <v>24</v>
      </c>
      <c r="B1283" s="69" t="str">
        <f t="shared" ca="1" si="0"/>
        <v>10/03/2026</v>
      </c>
      <c r="C1283" s="5" t="s">
        <v>25391</v>
      </c>
    </row>
    <row r="1284" spans="1:3" ht="12.5" hidden="1">
      <c r="A1284" s="5">
        <f ca="1">IFERROR(__xludf.DUMMYFUNCTION("""COMPUTED_VALUE"""),53)</f>
        <v>53</v>
      </c>
      <c r="B1284" s="69" t="str">
        <f t="shared" ca="1" si="0"/>
        <v>10/03/2026</v>
      </c>
      <c r="C1284" s="5" t="s">
        <v>25391</v>
      </c>
    </row>
    <row r="1285" spans="1:3" ht="12.5" hidden="1">
      <c r="A1285" s="5">
        <f ca="1">IFERROR(__xludf.DUMMYFUNCTION("""COMPUTED_VALUE"""),18)</f>
        <v>18</v>
      </c>
      <c r="B1285" s="69" t="str">
        <f t="shared" ca="1" si="0"/>
        <v>10/03/2026</v>
      </c>
      <c r="C1285" s="5" t="s">
        <v>25391</v>
      </c>
    </row>
    <row r="1286" spans="1:3" ht="12.5" hidden="1">
      <c r="A1286" s="5">
        <f ca="1">IFERROR(__xludf.DUMMYFUNCTION("""COMPUTED_VALUE"""),52)</f>
        <v>52</v>
      </c>
      <c r="B1286" s="69" t="str">
        <f t="shared" ca="1" si="0"/>
        <v>10/03/2026</v>
      </c>
      <c r="C1286" s="5" t="s">
        <v>25391</v>
      </c>
    </row>
    <row r="1287" spans="1:3" ht="12.5" hidden="1">
      <c r="A1287" s="5">
        <f ca="1">IFERROR(__xludf.DUMMYFUNCTION("""COMPUTED_VALUE"""),52)</f>
        <v>52</v>
      </c>
      <c r="B1287" s="69" t="str">
        <f t="shared" ca="1" si="0"/>
        <v>10/03/2026</v>
      </c>
      <c r="C1287" s="5" t="s">
        <v>25391</v>
      </c>
    </row>
    <row r="1288" spans="1:3" ht="12.5" hidden="1">
      <c r="A1288" s="5">
        <f ca="1">IFERROR(__xludf.DUMMYFUNCTION("""COMPUTED_VALUE"""),53)</f>
        <v>53</v>
      </c>
      <c r="B1288" s="69" t="str">
        <f t="shared" ca="1" si="0"/>
        <v>10/03/2026</v>
      </c>
      <c r="C1288" s="5" t="s">
        <v>25391</v>
      </c>
    </row>
    <row r="1289" spans="1:3" ht="12.5" hidden="1">
      <c r="A1289" s="5">
        <f ca="1">IFERROR(__xludf.DUMMYFUNCTION("""COMPUTED_VALUE"""),2)</f>
        <v>2</v>
      </c>
      <c r="B1289" s="69" t="str">
        <f t="shared" ca="1" si="0"/>
        <v>10/03/2026</v>
      </c>
      <c r="C1289" s="5" t="s">
        <v>25391</v>
      </c>
    </row>
    <row r="1290" spans="1:3" ht="12.5" hidden="1">
      <c r="A1290" s="5">
        <f ca="1">IFERROR(__xludf.DUMMYFUNCTION("""COMPUTED_VALUE"""),22)</f>
        <v>22</v>
      </c>
      <c r="B1290" s="69" t="str">
        <f t="shared" ca="1" si="0"/>
        <v>10/03/2026</v>
      </c>
      <c r="C1290" s="5" t="s">
        <v>25391</v>
      </c>
    </row>
    <row r="1291" spans="1:3" ht="12.5" hidden="1">
      <c r="A1291" s="5">
        <f ca="1">IFERROR(__xludf.DUMMYFUNCTION("""COMPUTED_VALUE"""),25)</f>
        <v>25</v>
      </c>
      <c r="B1291" s="69" t="str">
        <f t="shared" ca="1" si="0"/>
        <v>10/03/2026</v>
      </c>
      <c r="C1291" s="5" t="s">
        <v>25391</v>
      </c>
    </row>
    <row r="1292" spans="1:3" ht="12.5" hidden="1">
      <c r="A1292" s="5">
        <f ca="1">IFERROR(__xludf.DUMMYFUNCTION("""COMPUTED_VALUE"""),52)</f>
        <v>52</v>
      </c>
      <c r="B1292" s="69" t="str">
        <f t="shared" ca="1" si="0"/>
        <v>10/03/2026</v>
      </c>
      <c r="C1292" s="5" t="s">
        <v>25391</v>
      </c>
    </row>
    <row r="1293" spans="1:3" ht="12.5" hidden="1">
      <c r="A1293" s="5">
        <f ca="1">IFERROR(__xludf.DUMMYFUNCTION("""COMPUTED_VALUE"""),95)</f>
        <v>95</v>
      </c>
      <c r="B1293" s="69" t="str">
        <f t="shared" ca="1" si="0"/>
        <v>10/03/2026</v>
      </c>
      <c r="C1293" s="5" t="s">
        <v>25391</v>
      </c>
    </row>
    <row r="1294" spans="1:3" ht="12.5" hidden="1">
      <c r="A1294" s="5">
        <f ca="1">IFERROR(__xludf.DUMMYFUNCTION("""COMPUTED_VALUE"""),95)</f>
        <v>95</v>
      </c>
      <c r="B1294" s="69" t="str">
        <f t="shared" ca="1" si="0"/>
        <v>10/03/2026</v>
      </c>
      <c r="C1294" s="5" t="s">
        <v>25391</v>
      </c>
    </row>
    <row r="1295" spans="1:3" ht="12.5" hidden="1">
      <c r="A1295" s="5">
        <f ca="1">IFERROR(__xludf.DUMMYFUNCTION("""COMPUTED_VALUE"""),3)</f>
        <v>3</v>
      </c>
      <c r="B1295" s="69" t="str">
        <f t="shared" ca="1" si="0"/>
        <v>10/03/2026</v>
      </c>
      <c r="C1295" s="5" t="s">
        <v>25391</v>
      </c>
    </row>
    <row r="1296" spans="1:3" ht="12.5" hidden="1">
      <c r="A1296" s="5">
        <f ca="1">IFERROR(__xludf.DUMMYFUNCTION("""COMPUTED_VALUE"""),95)</f>
        <v>95</v>
      </c>
      <c r="B1296" s="69" t="str">
        <f t="shared" ca="1" si="0"/>
        <v>10/03/2026</v>
      </c>
      <c r="C1296" s="5" t="s">
        <v>25391</v>
      </c>
    </row>
    <row r="1297" spans="1:3" ht="12.5" hidden="1">
      <c r="A1297" s="5">
        <f ca="1">IFERROR(__xludf.DUMMYFUNCTION("""COMPUTED_VALUE"""),95)</f>
        <v>95</v>
      </c>
      <c r="B1297" s="69" t="str">
        <f t="shared" ca="1" si="0"/>
        <v>10/03/2026</v>
      </c>
      <c r="C1297" s="5" t="s">
        <v>25391</v>
      </c>
    </row>
    <row r="1298" spans="1:3" ht="12.5" hidden="1">
      <c r="A1298" s="5">
        <f ca="1">IFERROR(__xludf.DUMMYFUNCTION("""COMPUTED_VALUE"""),8)</f>
        <v>8</v>
      </c>
      <c r="B1298" s="69" t="str">
        <f t="shared" ca="1" si="0"/>
        <v>10/03/2026</v>
      </c>
      <c r="C1298" s="5" t="s">
        <v>25391</v>
      </c>
    </row>
    <row r="1299" spans="1:3" ht="12.5" hidden="1">
      <c r="A1299" s="5">
        <f ca="1">IFERROR(__xludf.DUMMYFUNCTION("""COMPUTED_VALUE"""),95)</f>
        <v>95</v>
      </c>
      <c r="B1299" s="69" t="str">
        <f t="shared" ca="1" si="0"/>
        <v>10/03/2026</v>
      </c>
      <c r="C1299" s="5" t="s">
        <v>25391</v>
      </c>
    </row>
    <row r="1300" spans="1:3" ht="12.5" hidden="1">
      <c r="A1300" s="5">
        <f ca="1">IFERROR(__xludf.DUMMYFUNCTION("""COMPUTED_VALUE"""),52)</f>
        <v>52</v>
      </c>
      <c r="B1300" s="69" t="str">
        <f t="shared" ca="1" si="0"/>
        <v>10/03/2026</v>
      </c>
      <c r="C1300" s="5" t="s">
        <v>25391</v>
      </c>
    </row>
    <row r="1301" spans="1:3" ht="12.5" hidden="1">
      <c r="A1301" s="5">
        <f ca="1">IFERROR(__xludf.DUMMYFUNCTION("""COMPUTED_VALUE"""),81)</f>
        <v>81</v>
      </c>
      <c r="B1301" s="69" t="str">
        <f t="shared" ca="1" si="0"/>
        <v>10/03/2026</v>
      </c>
      <c r="C1301" s="5" t="s">
        <v>25391</v>
      </c>
    </row>
    <row r="1302" spans="1:3" ht="12.5" hidden="1">
      <c r="A1302" s="5">
        <f ca="1">IFERROR(__xludf.DUMMYFUNCTION("""COMPUTED_VALUE"""),22)</f>
        <v>22</v>
      </c>
      <c r="B1302" s="69" t="str">
        <f t="shared" ca="1" si="0"/>
        <v>10/03/2026</v>
      </c>
      <c r="C1302" s="5" t="s">
        <v>25391</v>
      </c>
    </row>
    <row r="1303" spans="1:3" ht="12.5" hidden="1">
      <c r="A1303" s="5">
        <f ca="1">IFERROR(__xludf.DUMMYFUNCTION("""COMPUTED_VALUE"""),22)</f>
        <v>22</v>
      </c>
      <c r="B1303" s="69" t="str">
        <f t="shared" ca="1" si="0"/>
        <v>10/03/2026</v>
      </c>
      <c r="C1303" s="5" t="s">
        <v>25391</v>
      </c>
    </row>
    <row r="1304" spans="1:3" ht="12.5" hidden="1">
      <c r="A1304" s="5">
        <f ca="1">IFERROR(__xludf.DUMMYFUNCTION("""COMPUTED_VALUE"""),13)</f>
        <v>13</v>
      </c>
      <c r="B1304" s="69" t="str">
        <f t="shared" ca="1" si="0"/>
        <v>10/03/2026</v>
      </c>
      <c r="C1304" s="5" t="s">
        <v>25391</v>
      </c>
    </row>
    <row r="1305" spans="1:3" ht="12.5" hidden="1">
      <c r="A1305" s="5">
        <f ca="1">IFERROR(__xludf.DUMMYFUNCTION("""COMPUTED_VALUE"""),95)</f>
        <v>95</v>
      </c>
      <c r="B1305" s="69" t="str">
        <f t="shared" ca="1" si="0"/>
        <v>10/03/2026</v>
      </c>
      <c r="C1305" s="5" t="s">
        <v>25391</v>
      </c>
    </row>
    <row r="1306" spans="1:3" ht="12.5" hidden="1">
      <c r="A1306" s="5">
        <f ca="1">IFERROR(__xludf.DUMMYFUNCTION("""COMPUTED_VALUE"""),27)</f>
        <v>27</v>
      </c>
      <c r="B1306" s="69" t="str">
        <f t="shared" ca="1" si="0"/>
        <v>10/03/2026</v>
      </c>
      <c r="C1306" s="5" t="s">
        <v>25391</v>
      </c>
    </row>
    <row r="1307" spans="1:3" ht="12.5" hidden="1">
      <c r="A1307" s="5">
        <f ca="1">IFERROR(__xludf.DUMMYFUNCTION("""COMPUTED_VALUE"""),23)</f>
        <v>23</v>
      </c>
      <c r="B1307" s="69" t="str">
        <f t="shared" ca="1" si="0"/>
        <v>10/03/2026</v>
      </c>
      <c r="C1307" s="5" t="s">
        <v>25391</v>
      </c>
    </row>
    <row r="1308" spans="1:3" ht="12.5" hidden="1">
      <c r="A1308" s="5">
        <f ca="1">IFERROR(__xludf.DUMMYFUNCTION("""COMPUTED_VALUE"""),95)</f>
        <v>95</v>
      </c>
      <c r="B1308" s="69" t="str">
        <f t="shared" ca="1" si="0"/>
        <v>10/03/2026</v>
      </c>
      <c r="C1308" s="5" t="s">
        <v>25391</v>
      </c>
    </row>
    <row r="1309" spans="1:3" ht="12.5" hidden="1">
      <c r="A1309" s="5">
        <f ca="1">IFERROR(__xludf.DUMMYFUNCTION("""COMPUTED_VALUE"""),23)</f>
        <v>23</v>
      </c>
      <c r="B1309" s="69" t="str">
        <f t="shared" ca="1" si="0"/>
        <v>10/03/2026</v>
      </c>
      <c r="C1309" s="5" t="s">
        <v>25391</v>
      </c>
    </row>
    <row r="1310" spans="1:3" ht="12.5" hidden="1">
      <c r="A1310" s="5">
        <f ca="1">IFERROR(__xludf.DUMMYFUNCTION("""COMPUTED_VALUE"""),53)</f>
        <v>53</v>
      </c>
      <c r="B1310" s="69" t="str">
        <f t="shared" ca="1" si="0"/>
        <v>10/03/2026</v>
      </c>
      <c r="C1310" s="5" t="s">
        <v>25391</v>
      </c>
    </row>
    <row r="1311" spans="1:3" ht="12.5" hidden="1">
      <c r="A1311" s="5">
        <f ca="1">IFERROR(__xludf.DUMMYFUNCTION("""COMPUTED_VALUE"""),5)</f>
        <v>5</v>
      </c>
      <c r="B1311" s="69"/>
      <c r="C1311" s="5" t="s">
        <v>25391</v>
      </c>
    </row>
    <row r="1312" spans="1:3" ht="12.5" hidden="1">
      <c r="A1312" s="5">
        <f ca="1">IFERROR(__xludf.DUMMYFUNCTION("""COMPUTED_VALUE"""),52)</f>
        <v>52</v>
      </c>
      <c r="B1312" s="69"/>
      <c r="C1312" s="5" t="s">
        <v>25391</v>
      </c>
    </row>
    <row r="1313" spans="1:3" ht="12.5" hidden="1">
      <c r="A1313" s="5">
        <f ca="1">IFERROR(__xludf.DUMMYFUNCTION("""COMPUTED_VALUE"""),22)</f>
        <v>22</v>
      </c>
      <c r="B1313" s="69"/>
      <c r="C1313" s="5" t="s">
        <v>25391</v>
      </c>
    </row>
    <row r="1314" spans="1:3" ht="12.5" hidden="1">
      <c r="A1314" s="5">
        <f ca="1">IFERROR(__xludf.DUMMYFUNCTION("""COMPUTED_VALUE"""),22)</f>
        <v>22</v>
      </c>
      <c r="B1314" s="69"/>
      <c r="C1314" s="5" t="s">
        <v>25391</v>
      </c>
    </row>
    <row r="1315" spans="1:3" ht="12.5" hidden="1">
      <c r="A1315" s="5">
        <f ca="1">IFERROR(__xludf.DUMMYFUNCTION("""COMPUTED_VALUE"""),40)</f>
        <v>40</v>
      </c>
      <c r="B1315" s="69"/>
      <c r="C1315" s="5" t="s">
        <v>25391</v>
      </c>
    </row>
    <row r="1316" spans="1:3" ht="12.5" hidden="1">
      <c r="A1316" s="5">
        <f ca="1">IFERROR(__xludf.DUMMYFUNCTION("""COMPUTED_VALUE"""),16)</f>
        <v>16</v>
      </c>
      <c r="B1316" s="69"/>
      <c r="C1316" s="5" t="s">
        <v>25391</v>
      </c>
    </row>
    <row r="1317" spans="1:3" ht="12.5" hidden="1">
      <c r="A1317" s="5">
        <f ca="1">IFERROR(__xludf.DUMMYFUNCTION("""COMPUTED_VALUE"""),56)</f>
        <v>56</v>
      </c>
      <c r="B1317" s="69"/>
      <c r="C1317" s="5" t="s">
        <v>25391</v>
      </c>
    </row>
    <row r="1318" spans="1:3" ht="12.5" hidden="1">
      <c r="A1318" s="5">
        <f ca="1">IFERROR(__xludf.DUMMYFUNCTION("""COMPUTED_VALUE"""),52)</f>
        <v>52</v>
      </c>
      <c r="B1318" s="69"/>
      <c r="C1318" s="5" t="s">
        <v>25391</v>
      </c>
    </row>
    <row r="1319" spans="1:3" ht="12.5" hidden="1">
      <c r="A1319" s="5">
        <f ca="1">IFERROR(__xludf.DUMMYFUNCTION("""COMPUTED_VALUE"""),52)</f>
        <v>52</v>
      </c>
      <c r="B1319" s="69"/>
      <c r="C1319" s="5" t="s">
        <v>25391</v>
      </c>
    </row>
    <row r="1320" spans="1:3" ht="12.5" hidden="1">
      <c r="A1320" s="5">
        <f ca="1">IFERROR(__xludf.DUMMYFUNCTION("""COMPUTED_VALUE"""),49)</f>
        <v>49</v>
      </c>
      <c r="B1320" s="69"/>
      <c r="C1320" s="5" t="s">
        <v>25391</v>
      </c>
    </row>
    <row r="1321" spans="1:3" ht="12.5">
      <c r="A1321" s="5">
        <f ca="1">IFERROR(__xludf.DUMMYFUNCTION("""COMPUTED_VALUE"""),51)</f>
        <v>51</v>
      </c>
      <c r="B1321" s="69"/>
      <c r="C1321" s="5" t="s">
        <v>25391</v>
      </c>
    </row>
    <row r="1322" spans="1:3" ht="12.5" hidden="1">
      <c r="A1322" s="5">
        <f ca="1">IFERROR(__xludf.DUMMYFUNCTION("""COMPUTED_VALUE"""),55)</f>
        <v>55</v>
      </c>
      <c r="B1322" s="69"/>
      <c r="C1322" s="5" t="s">
        <v>25391</v>
      </c>
    </row>
    <row r="1323" spans="1:3" ht="12.5" hidden="1">
      <c r="A1323" s="5">
        <f ca="1">IFERROR(__xludf.DUMMYFUNCTION("""COMPUTED_VALUE"""),29)</f>
        <v>29</v>
      </c>
      <c r="B1323" s="69"/>
      <c r="C1323" s="5" t="s">
        <v>25391</v>
      </c>
    </row>
    <row r="1324" spans="1:3" ht="12.5" hidden="1">
      <c r="A1324" s="5">
        <f ca="1">IFERROR(__xludf.DUMMYFUNCTION("""COMPUTED_VALUE"""),39)</f>
        <v>39</v>
      </c>
      <c r="B1324" s="69"/>
      <c r="C1324" s="5" t="s">
        <v>25391</v>
      </c>
    </row>
    <row r="1325" spans="1:3" ht="12.5" hidden="1">
      <c r="A1325" s="5">
        <f ca="1">IFERROR(__xludf.DUMMYFUNCTION("""COMPUTED_VALUE"""),98)</f>
        <v>98</v>
      </c>
      <c r="B1325" s="69"/>
      <c r="C1325" s="5" t="s">
        <v>25391</v>
      </c>
    </row>
    <row r="1326" spans="1:3" ht="12.5" hidden="1">
      <c r="A1326" s="5">
        <f ca="1">IFERROR(__xludf.DUMMYFUNCTION("""COMPUTED_VALUE"""),52)</f>
        <v>52</v>
      </c>
      <c r="B1326" s="69"/>
      <c r="C1326" s="5" t="s">
        <v>25391</v>
      </c>
    </row>
    <row r="1327" spans="1:3" ht="12.5">
      <c r="A1327" s="5">
        <f ca="1">IFERROR(__xludf.DUMMYFUNCTION("""COMPUTED_VALUE"""),51)</f>
        <v>51</v>
      </c>
      <c r="B1327" s="69"/>
      <c r="C1327" s="5" t="s">
        <v>25391</v>
      </c>
    </row>
    <row r="1328" spans="1:3" ht="12.5">
      <c r="A1328" s="5">
        <f ca="1">IFERROR(__xludf.DUMMYFUNCTION("""COMPUTED_VALUE"""),51)</f>
        <v>51</v>
      </c>
      <c r="B1328" s="69"/>
      <c r="C1328" s="5" t="s">
        <v>25391</v>
      </c>
    </row>
    <row r="1329" spans="1:3" ht="12.5" hidden="1">
      <c r="A1329" s="5">
        <f ca="1">IFERROR(__xludf.DUMMYFUNCTION("""COMPUTED_VALUE"""),38)</f>
        <v>38</v>
      </c>
      <c r="B1329" s="69"/>
      <c r="C1329" s="5" t="s">
        <v>25391</v>
      </c>
    </row>
    <row r="1330" spans="1:3" ht="12.5" hidden="1">
      <c r="A1330" s="5">
        <f ca="1">IFERROR(__xludf.DUMMYFUNCTION("""COMPUTED_VALUE"""),45)</f>
        <v>45</v>
      </c>
      <c r="B1330" s="69"/>
      <c r="C1330" s="5" t="s">
        <v>25391</v>
      </c>
    </row>
    <row r="1331" spans="1:3" ht="12.5" hidden="1">
      <c r="A1331" s="5">
        <f ca="1">IFERROR(__xludf.DUMMYFUNCTION("""COMPUTED_VALUE"""),100)</f>
        <v>100</v>
      </c>
      <c r="B1331" s="69"/>
      <c r="C1331" s="5" t="s">
        <v>25391</v>
      </c>
    </row>
    <row r="1332" spans="1:3" ht="12.5" hidden="1">
      <c r="A1332" s="5">
        <f ca="1">IFERROR(__xludf.DUMMYFUNCTION("""COMPUTED_VALUE"""),58)</f>
        <v>58</v>
      </c>
      <c r="B1332" s="69"/>
      <c r="C1332" s="5" t="s">
        <v>25391</v>
      </c>
    </row>
    <row r="1333" spans="1:3" ht="12.5" hidden="1">
      <c r="A1333" s="5">
        <f ca="1">IFERROR(__xludf.DUMMYFUNCTION("""COMPUTED_VALUE"""),52)</f>
        <v>52</v>
      </c>
      <c r="B1333" s="69"/>
      <c r="C1333" s="5" t="s">
        <v>25391</v>
      </c>
    </row>
    <row r="1334" spans="1:3" ht="12.5" hidden="1">
      <c r="A1334" s="5">
        <f ca="1">IFERROR(__xludf.DUMMYFUNCTION("""COMPUTED_VALUE"""),50)</f>
        <v>50</v>
      </c>
      <c r="B1334" s="69"/>
      <c r="C1334" s="5" t="s">
        <v>25391</v>
      </c>
    </row>
    <row r="1335" spans="1:3" ht="12.5" hidden="1">
      <c r="A1335" s="5">
        <f ca="1">IFERROR(__xludf.DUMMYFUNCTION("""COMPUTED_VALUE"""),29)</f>
        <v>29</v>
      </c>
      <c r="B1335" s="69"/>
      <c r="C1335" s="5" t="s">
        <v>25391</v>
      </c>
    </row>
    <row r="1336" spans="1:3" ht="12.5" hidden="1">
      <c r="A1336" s="5">
        <f ca="1">IFERROR(__xludf.DUMMYFUNCTION("""COMPUTED_VALUE"""),14)</f>
        <v>14</v>
      </c>
      <c r="B1336" s="69"/>
      <c r="C1336" s="5" t="s">
        <v>25391</v>
      </c>
    </row>
    <row r="1337" spans="1:3" ht="12.5" hidden="1">
      <c r="A1337" s="5">
        <f ca="1">IFERROR(__xludf.DUMMYFUNCTION("""COMPUTED_VALUE"""),100)</f>
        <v>100</v>
      </c>
      <c r="B1337" s="69"/>
      <c r="C1337" s="5" t="s">
        <v>25391</v>
      </c>
    </row>
    <row r="1338" spans="1:3" ht="12.5" hidden="1">
      <c r="A1338" s="5">
        <f ca="1">IFERROR(__xludf.DUMMYFUNCTION("""COMPUTED_VALUE"""),95)</f>
        <v>95</v>
      </c>
      <c r="B1338" s="69"/>
      <c r="C1338" s="5" t="s">
        <v>25391</v>
      </c>
    </row>
    <row r="1339" spans="1:3" ht="12.5" hidden="1">
      <c r="A1339" s="5">
        <f ca="1">IFERROR(__xludf.DUMMYFUNCTION("""COMPUTED_VALUE"""),95)</f>
        <v>95</v>
      </c>
      <c r="B1339" s="69"/>
      <c r="C1339" s="5" t="s">
        <v>25391</v>
      </c>
    </row>
    <row r="1340" spans="1:3" ht="12.5" hidden="1">
      <c r="A1340" s="5">
        <f ca="1">IFERROR(__xludf.DUMMYFUNCTION("""COMPUTED_VALUE"""),29)</f>
        <v>29</v>
      </c>
      <c r="B1340" s="69"/>
      <c r="C1340" s="5" t="s">
        <v>25391</v>
      </c>
    </row>
    <row r="1341" spans="1:3" ht="12.5" hidden="1">
      <c r="A1341" s="5">
        <f ca="1">IFERROR(__xludf.DUMMYFUNCTION("""COMPUTED_VALUE"""),95)</f>
        <v>95</v>
      </c>
      <c r="B1341" s="69"/>
      <c r="C1341" s="5" t="s">
        <v>25391</v>
      </c>
    </row>
    <row r="1342" spans="1:3" ht="12.5" hidden="1">
      <c r="A1342" s="5">
        <f ca="1">IFERROR(__xludf.DUMMYFUNCTION("""COMPUTED_VALUE"""),31)</f>
        <v>31</v>
      </c>
      <c r="B1342" s="69"/>
      <c r="C1342" s="5" t="s">
        <v>25391</v>
      </c>
    </row>
    <row r="1343" spans="1:3" ht="12.5" hidden="1">
      <c r="A1343" s="5">
        <f ca="1">IFERROR(__xludf.DUMMYFUNCTION("""COMPUTED_VALUE"""),29)</f>
        <v>29</v>
      </c>
      <c r="B1343" s="69"/>
      <c r="C1343" s="5" t="s">
        <v>25391</v>
      </c>
    </row>
    <row r="1344" spans="1:3" ht="12.5" hidden="1">
      <c r="A1344" s="5">
        <f ca="1">IFERROR(__xludf.DUMMYFUNCTION("""COMPUTED_VALUE"""),20)</f>
        <v>20</v>
      </c>
      <c r="B1344" s="69"/>
      <c r="C1344" s="5" t="s">
        <v>25391</v>
      </c>
    </row>
    <row r="1345" spans="1:3" ht="12.5" hidden="1">
      <c r="A1345" s="5">
        <f ca="1">IFERROR(__xludf.DUMMYFUNCTION("""COMPUTED_VALUE"""),95)</f>
        <v>95</v>
      </c>
      <c r="B1345" s="69"/>
      <c r="C1345" s="5" t="s">
        <v>25391</v>
      </c>
    </row>
    <row r="1346" spans="1:3" ht="12.5" hidden="1">
      <c r="A1346" s="5">
        <f ca="1">IFERROR(__xludf.DUMMYFUNCTION("""COMPUTED_VALUE"""),95)</f>
        <v>95</v>
      </c>
      <c r="B1346" s="69"/>
      <c r="C1346" s="5" t="s">
        <v>25391</v>
      </c>
    </row>
    <row r="1347" spans="1:3" ht="12.5" hidden="1">
      <c r="A1347" s="5">
        <f ca="1">IFERROR(__xludf.DUMMYFUNCTION("""COMPUTED_VALUE"""),55)</f>
        <v>55</v>
      </c>
      <c r="B1347" s="69"/>
      <c r="C1347" s="5" t="s">
        <v>25391</v>
      </c>
    </row>
    <row r="1348" spans="1:3" ht="12.5" hidden="1">
      <c r="A1348" s="5">
        <f ca="1">IFERROR(__xludf.DUMMYFUNCTION("""COMPUTED_VALUE"""),52)</f>
        <v>52</v>
      </c>
      <c r="B1348" s="69"/>
      <c r="C1348" s="5" t="s">
        <v>25391</v>
      </c>
    </row>
    <row r="1349" spans="1:3" ht="12.5" hidden="1">
      <c r="A1349" s="5">
        <f ca="1">IFERROR(__xludf.DUMMYFUNCTION("""COMPUTED_VALUE"""),102)</f>
        <v>102</v>
      </c>
      <c r="B1349" s="69"/>
      <c r="C1349" s="5" t="s">
        <v>25391</v>
      </c>
    </row>
    <row r="1350" spans="1:3" ht="12.5" hidden="1">
      <c r="A1350" s="5">
        <f ca="1">IFERROR(__xludf.DUMMYFUNCTION("""COMPUTED_VALUE"""),81)</f>
        <v>81</v>
      </c>
      <c r="B1350" s="69"/>
      <c r="C1350" s="5" t="s">
        <v>25391</v>
      </c>
    </row>
    <row r="1351" spans="1:3" ht="12.5" hidden="1">
      <c r="A1351" s="5">
        <f ca="1">IFERROR(__xludf.DUMMYFUNCTION("""COMPUTED_VALUE"""),95)</f>
        <v>95</v>
      </c>
      <c r="B1351" s="69"/>
      <c r="C1351" s="5" t="s">
        <v>25391</v>
      </c>
    </row>
    <row r="1352" spans="1:3" ht="12.5" hidden="1">
      <c r="A1352" s="5">
        <f ca="1">IFERROR(__xludf.DUMMYFUNCTION("""COMPUTED_VALUE"""),39)</f>
        <v>39</v>
      </c>
      <c r="B1352" s="69"/>
      <c r="C1352" s="5" t="s">
        <v>25391</v>
      </c>
    </row>
    <row r="1353" spans="1:3" ht="12.5" hidden="1">
      <c r="A1353" s="5">
        <f ca="1">IFERROR(__xludf.DUMMYFUNCTION("""COMPUTED_VALUE"""),95)</f>
        <v>95</v>
      </c>
      <c r="B1353" s="69"/>
      <c r="C1353" s="5" t="s">
        <v>25391</v>
      </c>
    </row>
    <row r="1354" spans="1:3" ht="12.5" hidden="1">
      <c r="A1354" s="5">
        <f ca="1">IFERROR(__xludf.DUMMYFUNCTION("""COMPUTED_VALUE"""),29)</f>
        <v>29</v>
      </c>
      <c r="B1354" s="69"/>
      <c r="C1354" s="5" t="s">
        <v>25391</v>
      </c>
    </row>
    <row r="1355" spans="1:3" ht="12.5" hidden="1">
      <c r="A1355" s="5">
        <f ca="1">IFERROR(__xludf.DUMMYFUNCTION("""COMPUTED_VALUE"""),104)</f>
        <v>104</v>
      </c>
      <c r="B1355" s="69"/>
      <c r="C1355" s="5" t="s">
        <v>25391</v>
      </c>
    </row>
    <row r="1356" spans="1:3" ht="12.5" hidden="1">
      <c r="A1356" s="5">
        <f ca="1">IFERROR(__xludf.DUMMYFUNCTION("""COMPUTED_VALUE"""),80)</f>
        <v>80</v>
      </c>
      <c r="B1356" s="69"/>
      <c r="C1356" s="5" t="s">
        <v>25391</v>
      </c>
    </row>
    <row r="1357" spans="1:3" ht="12.5" hidden="1">
      <c r="A1357" s="5">
        <f ca="1">IFERROR(__xludf.DUMMYFUNCTION("""COMPUTED_VALUE"""),21)</f>
        <v>21</v>
      </c>
      <c r="B1357" s="69"/>
      <c r="C1357" s="5" t="s">
        <v>25391</v>
      </c>
    </row>
    <row r="1358" spans="1:3" ht="12.5" hidden="1">
      <c r="A1358" s="5">
        <f ca="1">IFERROR(__xludf.DUMMYFUNCTION("""COMPUTED_VALUE"""),65)</f>
        <v>65</v>
      </c>
      <c r="B1358" s="69"/>
      <c r="C1358" s="5" t="s">
        <v>25391</v>
      </c>
    </row>
    <row r="1359" spans="1:3" ht="12.5" hidden="1">
      <c r="A1359" s="5">
        <f ca="1">IFERROR(__xludf.DUMMYFUNCTION("""COMPUTED_VALUE"""),67)</f>
        <v>67</v>
      </c>
      <c r="B1359" s="69"/>
      <c r="C1359" s="5" t="s">
        <v>25391</v>
      </c>
    </row>
    <row r="1360" spans="1:3" ht="12.5" hidden="1">
      <c r="A1360" s="5">
        <f ca="1">IFERROR(__xludf.DUMMYFUNCTION("""COMPUTED_VALUE"""),95)</f>
        <v>95</v>
      </c>
      <c r="B1360" s="69"/>
      <c r="C1360" s="5" t="s">
        <v>25391</v>
      </c>
    </row>
    <row r="1361" spans="1:3" ht="12.5" hidden="1">
      <c r="A1361" s="5">
        <f ca="1">IFERROR(__xludf.DUMMYFUNCTION("""COMPUTED_VALUE"""),103)</f>
        <v>103</v>
      </c>
      <c r="B1361" s="69"/>
      <c r="C1361" s="5" t="s">
        <v>25391</v>
      </c>
    </row>
    <row r="1362" spans="1:3" ht="12.5" hidden="1">
      <c r="A1362" s="5">
        <f ca="1">IFERROR(__xludf.DUMMYFUNCTION("""COMPUTED_VALUE"""),52)</f>
        <v>52</v>
      </c>
      <c r="B1362" s="69"/>
      <c r="C1362" s="5" t="s">
        <v>25391</v>
      </c>
    </row>
    <row r="1363" spans="1:3" ht="12.5" hidden="1">
      <c r="A1363" s="5">
        <f ca="1">IFERROR(__xludf.DUMMYFUNCTION("""COMPUTED_VALUE"""),52)</f>
        <v>52</v>
      </c>
      <c r="B1363" s="69"/>
      <c r="C1363" s="5" t="s">
        <v>25391</v>
      </c>
    </row>
    <row r="1364" spans="1:3" ht="12.5" hidden="1">
      <c r="A1364" s="5">
        <f ca="1">IFERROR(__xludf.DUMMYFUNCTION("""COMPUTED_VALUE"""),28)</f>
        <v>28</v>
      </c>
      <c r="B1364" s="69"/>
      <c r="C1364" s="5" t="s">
        <v>25391</v>
      </c>
    </row>
    <row r="1365" spans="1:3" ht="12.5" hidden="1">
      <c r="A1365" s="5">
        <f ca="1">IFERROR(__xludf.DUMMYFUNCTION("""COMPUTED_VALUE"""),56)</f>
        <v>56</v>
      </c>
      <c r="B1365" s="69"/>
      <c r="C1365" s="5" t="s">
        <v>25391</v>
      </c>
    </row>
    <row r="1366" spans="1:3" ht="12.5" hidden="1">
      <c r="A1366" s="5">
        <f ca="1">IFERROR(__xludf.DUMMYFUNCTION("""COMPUTED_VALUE"""),50)</f>
        <v>50</v>
      </c>
      <c r="B1366" s="69"/>
      <c r="C1366" s="5" t="s">
        <v>25391</v>
      </c>
    </row>
    <row r="1367" spans="1:3" ht="12.5" hidden="1">
      <c r="A1367" s="5">
        <f ca="1">IFERROR(__xludf.DUMMYFUNCTION("""COMPUTED_VALUE"""),52)</f>
        <v>52</v>
      </c>
      <c r="B1367" s="69"/>
      <c r="C1367" s="5" t="s">
        <v>25391</v>
      </c>
    </row>
    <row r="1368" spans="1:3" ht="12.5" hidden="1">
      <c r="A1368" s="5">
        <f ca="1">IFERROR(__xludf.DUMMYFUNCTION("""COMPUTED_VALUE"""),64)</f>
        <v>64</v>
      </c>
      <c r="B1368" s="69"/>
      <c r="C1368" s="5" t="s">
        <v>25391</v>
      </c>
    </row>
    <row r="1369" spans="1:3" ht="12.5" hidden="1">
      <c r="A1369" s="5">
        <f ca="1">IFERROR(__xludf.DUMMYFUNCTION("""COMPUTED_VALUE"""),39)</f>
        <v>39</v>
      </c>
      <c r="B1369" s="69"/>
      <c r="C1369" s="5" t="s">
        <v>25391</v>
      </c>
    </row>
    <row r="1370" spans="1:3" ht="12.5" hidden="1">
      <c r="A1370" s="5">
        <f ca="1">IFERROR(__xludf.DUMMYFUNCTION("""COMPUTED_VALUE"""),7)</f>
        <v>7</v>
      </c>
      <c r="B1370" s="69"/>
      <c r="C1370" s="5" t="s">
        <v>25391</v>
      </c>
    </row>
    <row r="1371" spans="1:3" ht="12.5" hidden="1">
      <c r="A1371" s="5">
        <f ca="1">IFERROR(__xludf.DUMMYFUNCTION("""COMPUTED_VALUE"""),45)</f>
        <v>45</v>
      </c>
      <c r="B1371" s="69"/>
      <c r="C1371" s="5" t="s">
        <v>25391</v>
      </c>
    </row>
    <row r="1372" spans="1:3" ht="12.5" hidden="1">
      <c r="A1372" s="5">
        <f ca="1">IFERROR(__xludf.DUMMYFUNCTION("""COMPUTED_VALUE"""),42)</f>
        <v>42</v>
      </c>
      <c r="B1372" s="69"/>
      <c r="C1372" s="5" t="s">
        <v>25391</v>
      </c>
    </row>
    <row r="1373" spans="1:3" ht="12.5" hidden="1">
      <c r="A1373" s="5">
        <f ca="1">IFERROR(__xludf.DUMMYFUNCTION("""COMPUTED_VALUE"""),29)</f>
        <v>29</v>
      </c>
      <c r="B1373" s="69"/>
      <c r="C1373" s="5" t="s">
        <v>25391</v>
      </c>
    </row>
    <row r="1374" spans="1:3" ht="12.5" hidden="1">
      <c r="A1374" s="5">
        <f ca="1">IFERROR(__xludf.DUMMYFUNCTION("""COMPUTED_VALUE"""),53)</f>
        <v>53</v>
      </c>
      <c r="B1374" s="69"/>
      <c r="C1374" s="5" t="s">
        <v>25391</v>
      </c>
    </row>
    <row r="1375" spans="1:3" ht="12.5" hidden="1">
      <c r="A1375" s="5">
        <f ca="1">IFERROR(__xludf.DUMMYFUNCTION("""COMPUTED_VALUE"""),49)</f>
        <v>49</v>
      </c>
      <c r="B1375" s="69"/>
      <c r="C1375" s="5" t="s">
        <v>25391</v>
      </c>
    </row>
    <row r="1376" spans="1:3" ht="12.5" hidden="1">
      <c r="A1376" s="5">
        <f ca="1">IFERROR(__xludf.DUMMYFUNCTION("""COMPUTED_VALUE"""),95)</f>
        <v>95</v>
      </c>
      <c r="B1376" s="69"/>
      <c r="C1376" s="5" t="s">
        <v>25391</v>
      </c>
    </row>
    <row r="1377" spans="1:3" ht="12.5" hidden="1">
      <c r="A1377" s="5">
        <f ca="1">IFERROR(__xludf.DUMMYFUNCTION("""COMPUTED_VALUE"""),52)</f>
        <v>52</v>
      </c>
      <c r="B1377" s="69"/>
      <c r="C1377" s="5" t="s">
        <v>25391</v>
      </c>
    </row>
    <row r="1378" spans="1:3" ht="12.5" hidden="1">
      <c r="A1378" s="5">
        <f ca="1">IFERROR(__xludf.DUMMYFUNCTION("""COMPUTED_VALUE"""),20)</f>
        <v>20</v>
      </c>
      <c r="B1378" s="69"/>
      <c r="C1378" s="5" t="s">
        <v>25391</v>
      </c>
    </row>
    <row r="1379" spans="1:3" ht="12.5" hidden="1">
      <c r="A1379" s="5">
        <f ca="1">IFERROR(__xludf.DUMMYFUNCTION("""COMPUTED_VALUE"""),31)</f>
        <v>31</v>
      </c>
      <c r="B1379" s="69"/>
      <c r="C1379" s="5" t="s">
        <v>25391</v>
      </c>
    </row>
    <row r="1380" spans="1:3" ht="12.5" hidden="1">
      <c r="A1380" s="5">
        <f ca="1">IFERROR(__xludf.DUMMYFUNCTION("""COMPUTED_VALUE"""),42)</f>
        <v>42</v>
      </c>
      <c r="B1380" s="69"/>
      <c r="C1380" s="5" t="s">
        <v>25391</v>
      </c>
    </row>
    <row r="1381" spans="1:3" ht="12.5" hidden="1">
      <c r="A1381" s="5">
        <f ca="1">IFERROR(__xludf.DUMMYFUNCTION("""COMPUTED_VALUE"""),53)</f>
        <v>53</v>
      </c>
      <c r="B1381" s="69"/>
      <c r="C1381" s="5" t="s">
        <v>25391</v>
      </c>
    </row>
    <row r="1382" spans="1:3" ht="12.5" hidden="1">
      <c r="A1382" s="5">
        <f ca="1">IFERROR(__xludf.DUMMYFUNCTION("""COMPUTED_VALUE"""),46)</f>
        <v>46</v>
      </c>
      <c r="B1382" s="69"/>
      <c r="C1382" s="5" t="s">
        <v>25391</v>
      </c>
    </row>
    <row r="1383" spans="1:3" ht="12.5" hidden="1">
      <c r="A1383" s="5">
        <f ca="1">IFERROR(__xludf.DUMMYFUNCTION("""COMPUTED_VALUE"""),29)</f>
        <v>29</v>
      </c>
      <c r="B1383" s="69"/>
      <c r="C1383" s="5" t="s">
        <v>25391</v>
      </c>
    </row>
    <row r="1384" spans="1:3" ht="12.5" hidden="1">
      <c r="A1384" s="5">
        <f ca="1">IFERROR(__xludf.DUMMYFUNCTION("""COMPUTED_VALUE"""),52)</f>
        <v>52</v>
      </c>
      <c r="B1384" s="69"/>
      <c r="C1384" s="5" t="s">
        <v>25391</v>
      </c>
    </row>
    <row r="1385" spans="1:3" ht="12.5" hidden="1">
      <c r="A1385" s="5">
        <f ca="1">IFERROR(__xludf.DUMMYFUNCTION("""COMPUTED_VALUE"""),57)</f>
        <v>57</v>
      </c>
      <c r="B1385" s="69"/>
      <c r="C1385" s="5" t="s">
        <v>25391</v>
      </c>
    </row>
    <row r="1386" spans="1:3" ht="12.5" hidden="1">
      <c r="A1386" s="5">
        <f ca="1">IFERROR(__xludf.DUMMYFUNCTION("""COMPUTED_VALUE"""),95)</f>
        <v>95</v>
      </c>
      <c r="B1386" s="69"/>
      <c r="C1386" s="5" t="s">
        <v>25391</v>
      </c>
    </row>
    <row r="1387" spans="1:3" ht="12.5" hidden="1">
      <c r="A1387" s="5">
        <f ca="1">IFERROR(__xludf.DUMMYFUNCTION("""COMPUTED_VALUE"""),29)</f>
        <v>29</v>
      </c>
      <c r="B1387" s="69"/>
      <c r="C1387" s="5" t="s">
        <v>25391</v>
      </c>
    </row>
    <row r="1388" spans="1:3" ht="12.5" hidden="1">
      <c r="A1388" s="5">
        <f ca="1">IFERROR(__xludf.DUMMYFUNCTION("""COMPUTED_VALUE"""),29)</f>
        <v>29</v>
      </c>
      <c r="B1388" s="69"/>
      <c r="C1388" s="5" t="s">
        <v>25391</v>
      </c>
    </row>
    <row r="1389" spans="1:3" ht="12.5" hidden="1">
      <c r="A1389" s="5">
        <f ca="1">IFERROR(__xludf.DUMMYFUNCTION("""COMPUTED_VALUE"""),31)</f>
        <v>31</v>
      </c>
      <c r="B1389" s="69"/>
    </row>
    <row r="1390" spans="1:3" ht="12.5" hidden="1">
      <c r="A1390" s="5">
        <f ca="1">IFERROR(__xludf.DUMMYFUNCTION("""COMPUTED_VALUE"""),56)</f>
        <v>56</v>
      </c>
      <c r="B1390" s="69"/>
    </row>
    <row r="1391" spans="1:3" ht="12.5" hidden="1">
      <c r="A1391" s="5">
        <f ca="1">IFERROR(__xludf.DUMMYFUNCTION("""COMPUTED_VALUE"""),57)</f>
        <v>57</v>
      </c>
      <c r="B1391" s="69"/>
    </row>
    <row r="1392" spans="1:3" ht="12.5" hidden="1">
      <c r="A1392" s="5">
        <f ca="1">IFERROR(__xludf.DUMMYFUNCTION("""COMPUTED_VALUE"""),53)</f>
        <v>53</v>
      </c>
      <c r="B1392" s="69"/>
    </row>
    <row r="1393" spans="1:2" ht="12.5" hidden="1">
      <c r="A1393" s="5">
        <f ca="1">IFERROR(__xludf.DUMMYFUNCTION("""COMPUTED_VALUE"""),44)</f>
        <v>44</v>
      </c>
      <c r="B1393" s="69"/>
    </row>
    <row r="1394" spans="1:2" ht="12.5" hidden="1">
      <c r="A1394" s="5">
        <f ca="1">IFERROR(__xludf.DUMMYFUNCTION("""COMPUTED_VALUE"""),29)</f>
        <v>29</v>
      </c>
      <c r="B1394" s="69"/>
    </row>
    <row r="1395" spans="1:2" ht="12.5" hidden="1">
      <c r="A1395" s="5">
        <f ca="1">IFERROR(__xludf.DUMMYFUNCTION("""COMPUTED_VALUE"""),103)</f>
        <v>103</v>
      </c>
      <c r="B1395" s="69"/>
    </row>
    <row r="1396" spans="1:2" ht="12.5" hidden="1">
      <c r="A1396" s="5">
        <f ca="1">IFERROR(__xludf.DUMMYFUNCTION("""COMPUTED_VALUE"""),52)</f>
        <v>52</v>
      </c>
      <c r="B1396" s="69"/>
    </row>
    <row r="1397" spans="1:2" ht="12.5" hidden="1">
      <c r="A1397" s="5">
        <f ca="1">IFERROR(__xludf.DUMMYFUNCTION("""COMPUTED_VALUE"""),104)</f>
        <v>104</v>
      </c>
      <c r="B1397" s="69"/>
    </row>
    <row r="1398" spans="1:2" ht="12.5" hidden="1">
      <c r="A1398" s="5">
        <f ca="1">IFERROR(__xludf.DUMMYFUNCTION("""COMPUTED_VALUE"""),104)</f>
        <v>104</v>
      </c>
      <c r="B1398" s="69"/>
    </row>
    <row r="1399" spans="1:2" ht="12.5" hidden="1">
      <c r="A1399" s="5">
        <f ca="1">IFERROR(__xludf.DUMMYFUNCTION("""COMPUTED_VALUE"""),98)</f>
        <v>98</v>
      </c>
      <c r="B1399" s="69"/>
    </row>
    <row r="1400" spans="1:2" ht="12.5" hidden="1">
      <c r="A1400" s="5">
        <f ca="1">IFERROR(__xludf.DUMMYFUNCTION("""COMPUTED_VALUE"""),57)</f>
        <v>57</v>
      </c>
      <c r="B1400" s="69"/>
    </row>
    <row r="1401" spans="1:2" ht="12.5" hidden="1">
      <c r="A1401" s="5">
        <f ca="1">IFERROR(__xludf.DUMMYFUNCTION("""COMPUTED_VALUE"""),81)</f>
        <v>81</v>
      </c>
      <c r="B1401" s="69"/>
    </row>
    <row r="1402" spans="1:2" ht="12.5" hidden="1">
      <c r="A1402" s="5">
        <f ca="1">IFERROR(__xludf.DUMMYFUNCTION("""COMPUTED_VALUE"""),80)</f>
        <v>80</v>
      </c>
      <c r="B1402" s="69"/>
    </row>
    <row r="1403" spans="1:2" ht="12.5" hidden="1">
      <c r="A1403" s="5">
        <f ca="1">IFERROR(__xludf.DUMMYFUNCTION("""COMPUTED_VALUE"""),13)</f>
        <v>13</v>
      </c>
      <c r="B1403" s="69"/>
    </row>
    <row r="1404" spans="1:2" ht="12.5" hidden="1">
      <c r="A1404" s="5">
        <f ca="1">IFERROR(__xludf.DUMMYFUNCTION("""COMPUTED_VALUE"""),29)</f>
        <v>29</v>
      </c>
      <c r="B1404" s="69"/>
    </row>
    <row r="1405" spans="1:2" ht="12.5" hidden="1">
      <c r="A1405" s="5">
        <f ca="1">IFERROR(__xludf.DUMMYFUNCTION("""COMPUTED_VALUE"""),52)</f>
        <v>52</v>
      </c>
      <c r="B1405" s="69"/>
    </row>
    <row r="1406" spans="1:2" ht="12.5" hidden="1">
      <c r="A1406" s="5">
        <f ca="1">IFERROR(__xludf.DUMMYFUNCTION("""COMPUTED_VALUE"""),52)</f>
        <v>52</v>
      </c>
      <c r="B1406" s="69"/>
    </row>
    <row r="1407" spans="1:2" ht="12.5" hidden="1">
      <c r="A1407" s="5">
        <f ca="1">IFERROR(__xludf.DUMMYFUNCTION("""COMPUTED_VALUE"""),103)</f>
        <v>103</v>
      </c>
      <c r="B1407" s="69"/>
    </row>
    <row r="1408" spans="1:2" ht="12.5" hidden="1">
      <c r="A1408" s="5">
        <f ca="1">IFERROR(__xludf.DUMMYFUNCTION("""COMPUTED_VALUE"""),57)</f>
        <v>57</v>
      </c>
      <c r="B1408" s="69"/>
    </row>
    <row r="1409" spans="1:2" ht="12.5" hidden="1">
      <c r="A1409" s="5">
        <f ca="1">IFERROR(__xludf.DUMMYFUNCTION("""COMPUTED_VALUE"""),57)</f>
        <v>57</v>
      </c>
      <c r="B1409" s="69"/>
    </row>
    <row r="1410" spans="1:2" ht="12.5" hidden="1">
      <c r="A1410" s="5">
        <f ca="1">IFERROR(__xludf.DUMMYFUNCTION("""COMPUTED_VALUE"""),70)</f>
        <v>70</v>
      </c>
      <c r="B1410" s="69"/>
    </row>
    <row r="1411" spans="1:2" ht="12.5" hidden="1">
      <c r="A1411" s="5">
        <f ca="1">IFERROR(__xludf.DUMMYFUNCTION("""COMPUTED_VALUE"""),95)</f>
        <v>95</v>
      </c>
      <c r="B1411" s="69"/>
    </row>
    <row r="1412" spans="1:2" ht="12.5" hidden="1">
      <c r="A1412" s="5">
        <f ca="1">IFERROR(__xludf.DUMMYFUNCTION("""COMPUTED_VALUE"""),52)</f>
        <v>52</v>
      </c>
      <c r="B1412" s="69"/>
    </row>
    <row r="1413" spans="1:2" ht="12.5" hidden="1">
      <c r="A1413" s="5">
        <f ca="1">IFERROR(__xludf.DUMMYFUNCTION("""COMPUTED_VALUE"""),52)</f>
        <v>52</v>
      </c>
      <c r="B1413" s="69"/>
    </row>
    <row r="1414" spans="1:2" ht="12.5" hidden="1">
      <c r="A1414" s="5">
        <f ca="1">IFERROR(__xludf.DUMMYFUNCTION("""COMPUTED_VALUE"""),52)</f>
        <v>52</v>
      </c>
      <c r="B1414" s="69"/>
    </row>
    <row r="1415" spans="1:2" ht="12.5" hidden="1">
      <c r="A1415" s="5">
        <f ca="1">IFERROR(__xludf.DUMMYFUNCTION("""COMPUTED_VALUE"""),81)</f>
        <v>81</v>
      </c>
      <c r="B1415" s="69"/>
    </row>
    <row r="1416" spans="1:2" ht="12.5" hidden="1">
      <c r="A1416" s="5">
        <f ca="1">IFERROR(__xludf.DUMMYFUNCTION("""COMPUTED_VALUE"""),87)</f>
        <v>87</v>
      </c>
      <c r="B1416" s="69"/>
    </row>
    <row r="1417" spans="1:2" ht="12.5" hidden="1">
      <c r="A1417" s="5">
        <f ca="1">IFERROR(__xludf.DUMMYFUNCTION("""COMPUTED_VALUE"""),38)</f>
        <v>38</v>
      </c>
      <c r="B1417" s="69"/>
    </row>
    <row r="1418" spans="1:2" ht="12.5" hidden="1">
      <c r="A1418" s="5">
        <f ca="1">IFERROR(__xludf.DUMMYFUNCTION("""COMPUTED_VALUE"""),54)</f>
        <v>54</v>
      </c>
      <c r="B1418" s="69"/>
    </row>
    <row r="1419" spans="1:2" ht="12.5" hidden="1">
      <c r="A1419" s="5">
        <f ca="1">IFERROR(__xludf.DUMMYFUNCTION("""COMPUTED_VALUE"""),96)</f>
        <v>96</v>
      </c>
      <c r="B1419" s="69"/>
    </row>
    <row r="1420" spans="1:2" ht="12.5" hidden="1">
      <c r="A1420" s="5">
        <f ca="1">IFERROR(__xludf.DUMMYFUNCTION("""COMPUTED_VALUE"""),29)</f>
        <v>29</v>
      </c>
      <c r="B1420" s="69"/>
    </row>
    <row r="1421" spans="1:2" ht="12.5" hidden="1">
      <c r="A1421" s="5">
        <f ca="1">IFERROR(__xludf.DUMMYFUNCTION("""COMPUTED_VALUE"""),50)</f>
        <v>50</v>
      </c>
      <c r="B1421" s="69"/>
    </row>
    <row r="1422" spans="1:2" ht="12.5" hidden="1">
      <c r="A1422" s="5">
        <f ca="1">IFERROR(__xludf.DUMMYFUNCTION("""COMPUTED_VALUE"""),104)</f>
        <v>104</v>
      </c>
      <c r="B1422" s="69"/>
    </row>
    <row r="1423" spans="1:2" ht="12.5" hidden="1">
      <c r="A1423" s="5">
        <f ca="1">IFERROR(__xludf.DUMMYFUNCTION("""COMPUTED_VALUE"""),28)</f>
        <v>28</v>
      </c>
      <c r="B1423" s="69"/>
    </row>
    <row r="1424" spans="1:2" ht="12.5" hidden="1">
      <c r="A1424" s="5">
        <f ca="1">IFERROR(__xludf.DUMMYFUNCTION("""COMPUTED_VALUE"""),29)</f>
        <v>29</v>
      </c>
      <c r="B1424" s="69"/>
    </row>
    <row r="1425" spans="1:2" ht="12.5" hidden="1">
      <c r="A1425" s="5">
        <f ca="1">IFERROR(__xludf.DUMMYFUNCTION("""COMPUTED_VALUE"""),28)</f>
        <v>28</v>
      </c>
      <c r="B1425" s="69"/>
    </row>
    <row r="1426" spans="1:2" ht="12.5" hidden="1">
      <c r="A1426" s="5">
        <f ca="1">IFERROR(__xludf.DUMMYFUNCTION("""COMPUTED_VALUE"""),58)</f>
        <v>58</v>
      </c>
      <c r="B1426" s="69"/>
    </row>
    <row r="1427" spans="1:2" ht="12.5" hidden="1">
      <c r="A1427" s="5">
        <f ca="1">IFERROR(__xludf.DUMMYFUNCTION("""COMPUTED_VALUE"""),29)</f>
        <v>29</v>
      </c>
      <c r="B1427" s="69"/>
    </row>
    <row r="1428" spans="1:2" ht="12.5" hidden="1">
      <c r="A1428" s="5">
        <f ca="1">IFERROR(__xludf.DUMMYFUNCTION("""COMPUTED_VALUE"""),57)</f>
        <v>57</v>
      </c>
      <c r="B1428" s="69"/>
    </row>
    <row r="1429" spans="1:2" ht="12.5">
      <c r="A1429" s="5">
        <f ca="1">IFERROR(__xludf.DUMMYFUNCTION("""COMPUTED_VALUE"""),51)</f>
        <v>51</v>
      </c>
      <c r="B1429" s="69"/>
    </row>
    <row r="1430" spans="1:2" ht="12.5" hidden="1">
      <c r="A1430" s="5">
        <f ca="1">IFERROR(__xludf.DUMMYFUNCTION("""COMPUTED_VALUE"""),56)</f>
        <v>56</v>
      </c>
      <c r="B1430" s="69"/>
    </row>
    <row r="1431" spans="1:2" ht="12.5" hidden="1">
      <c r="A1431" s="5">
        <f ca="1">IFERROR(__xludf.DUMMYFUNCTION("""COMPUTED_VALUE"""),52)</f>
        <v>52</v>
      </c>
      <c r="B1431" s="69"/>
    </row>
    <row r="1432" spans="1:2" ht="12.5" hidden="1">
      <c r="A1432" s="5">
        <f ca="1">IFERROR(__xludf.DUMMYFUNCTION("""COMPUTED_VALUE"""),57)</f>
        <v>57</v>
      </c>
      <c r="B1432" s="69"/>
    </row>
    <row r="1433" spans="1:2" ht="12.5" hidden="1">
      <c r="A1433" s="5">
        <f ca="1">IFERROR(__xludf.DUMMYFUNCTION("""COMPUTED_VALUE"""),53)</f>
        <v>53</v>
      </c>
      <c r="B1433" s="69"/>
    </row>
    <row r="1434" spans="1:2" ht="12.5" hidden="1">
      <c r="A1434" s="5">
        <f ca="1">IFERROR(__xludf.DUMMYFUNCTION("""COMPUTED_VALUE"""),23)</f>
        <v>23</v>
      </c>
      <c r="B1434" s="69"/>
    </row>
    <row r="1435" spans="1:2" ht="12.5" hidden="1">
      <c r="A1435" s="5">
        <f ca="1">IFERROR(__xludf.DUMMYFUNCTION("""COMPUTED_VALUE"""),29)</f>
        <v>29</v>
      </c>
      <c r="B1435" s="69"/>
    </row>
    <row r="1436" spans="1:2" ht="12.5" hidden="1">
      <c r="A1436" s="5">
        <f ca="1">IFERROR(__xludf.DUMMYFUNCTION("""COMPUTED_VALUE"""),57)</f>
        <v>57</v>
      </c>
      <c r="B1436" s="69"/>
    </row>
    <row r="1437" spans="1:2" ht="12.5" hidden="1">
      <c r="A1437" s="5">
        <f ca="1">IFERROR(__xludf.DUMMYFUNCTION("""COMPUTED_VALUE"""),53)</f>
        <v>53</v>
      </c>
      <c r="B1437" s="69"/>
    </row>
    <row r="1438" spans="1:2" ht="12.5">
      <c r="A1438" s="5">
        <f ca="1">IFERROR(__xludf.DUMMYFUNCTION("""COMPUTED_VALUE"""),51)</f>
        <v>51</v>
      </c>
      <c r="B1438" s="69"/>
    </row>
    <row r="1439" spans="1:2" ht="12.5" hidden="1">
      <c r="A1439" s="5">
        <f ca="1">IFERROR(__xludf.DUMMYFUNCTION("""COMPUTED_VALUE"""),52)</f>
        <v>52</v>
      </c>
      <c r="B1439" s="69"/>
    </row>
    <row r="1440" spans="1:2" ht="12.5" hidden="1">
      <c r="A1440" s="5">
        <f ca="1">IFERROR(__xludf.DUMMYFUNCTION("""COMPUTED_VALUE"""),57)</f>
        <v>57</v>
      </c>
      <c r="B1440" s="69"/>
    </row>
    <row r="1441" spans="1:2" ht="12.5" hidden="1">
      <c r="A1441" s="5">
        <f ca="1">IFERROR(__xludf.DUMMYFUNCTION("""COMPUTED_VALUE"""),20)</f>
        <v>20</v>
      </c>
      <c r="B1441" s="69"/>
    </row>
    <row r="1442" spans="1:2" ht="12.5" hidden="1">
      <c r="A1442" s="5">
        <f ca="1">IFERROR(__xludf.DUMMYFUNCTION("""COMPUTED_VALUE"""),81)</f>
        <v>81</v>
      </c>
      <c r="B1442" s="69"/>
    </row>
    <row r="1443" spans="1:2" ht="12.5" hidden="1">
      <c r="A1443" s="5">
        <f ca="1">IFERROR(__xludf.DUMMYFUNCTION("""COMPUTED_VALUE"""),20)</f>
        <v>20</v>
      </c>
      <c r="B1443" s="69"/>
    </row>
    <row r="1444" spans="1:2" ht="12.5" hidden="1">
      <c r="A1444" s="5">
        <f ca="1">IFERROR(__xludf.DUMMYFUNCTION("""COMPUTED_VALUE"""),58)</f>
        <v>58</v>
      </c>
      <c r="B1444" s="69"/>
    </row>
    <row r="1445" spans="1:2" ht="12.5" hidden="1">
      <c r="A1445" s="5">
        <f ca="1">IFERROR(__xludf.DUMMYFUNCTION("""COMPUTED_VALUE"""),52)</f>
        <v>52</v>
      </c>
      <c r="B1445" s="69"/>
    </row>
    <row r="1446" spans="1:2" ht="12.5" hidden="1">
      <c r="A1446" s="5">
        <f ca="1">IFERROR(__xludf.DUMMYFUNCTION("""COMPUTED_VALUE"""),58)</f>
        <v>58</v>
      </c>
      <c r="B1446" s="69"/>
    </row>
    <row r="1447" spans="1:2" ht="12.5" hidden="1">
      <c r="A1447" s="5">
        <f ca="1">IFERROR(__xludf.DUMMYFUNCTION("""COMPUTED_VALUE"""),29)</f>
        <v>29</v>
      </c>
      <c r="B1447" s="69"/>
    </row>
    <row r="1448" spans="1:2" ht="12.5" hidden="1">
      <c r="A1448" s="5">
        <f ca="1">IFERROR(__xludf.DUMMYFUNCTION("""COMPUTED_VALUE"""),53)</f>
        <v>53</v>
      </c>
      <c r="B1448" s="69"/>
    </row>
    <row r="1449" spans="1:2" ht="12.5" hidden="1">
      <c r="A1449" s="5">
        <f ca="1">IFERROR(__xludf.DUMMYFUNCTION("""COMPUTED_VALUE"""),28)</f>
        <v>28</v>
      </c>
      <c r="B1449" s="69"/>
    </row>
    <row r="1450" spans="1:2" ht="12.5" hidden="1">
      <c r="A1450" s="5">
        <f ca="1">IFERROR(__xludf.DUMMYFUNCTION("""COMPUTED_VALUE"""),29)</f>
        <v>29</v>
      </c>
      <c r="B1450" s="69"/>
    </row>
    <row r="1451" spans="1:2" ht="12.5" hidden="1">
      <c r="A1451" s="5">
        <f ca="1">IFERROR(__xludf.DUMMYFUNCTION("""COMPUTED_VALUE"""),58)</f>
        <v>58</v>
      </c>
      <c r="B1451" s="69"/>
    </row>
    <row r="1452" spans="1:2" ht="12.5" hidden="1">
      <c r="A1452" s="5">
        <f ca="1">IFERROR(__xludf.DUMMYFUNCTION("""COMPUTED_VALUE"""),29)</f>
        <v>29</v>
      </c>
      <c r="B1452" s="69"/>
    </row>
    <row r="1453" spans="1:2" ht="12.5" hidden="1">
      <c r="A1453" s="5">
        <f ca="1">IFERROR(__xludf.DUMMYFUNCTION("""COMPUTED_VALUE"""),57)</f>
        <v>57</v>
      </c>
      <c r="B1453" s="69"/>
    </row>
    <row r="1454" spans="1:2" ht="12.5" hidden="1">
      <c r="A1454" s="5">
        <f ca="1">IFERROR(__xludf.DUMMYFUNCTION("""COMPUTED_VALUE"""),104)</f>
        <v>104</v>
      </c>
      <c r="B1454" s="69"/>
    </row>
    <row r="1455" spans="1:2" ht="12.5" hidden="1">
      <c r="A1455" s="5">
        <f ca="1">IFERROR(__xludf.DUMMYFUNCTION("""COMPUTED_VALUE"""),53)</f>
        <v>53</v>
      </c>
      <c r="B1455" s="69"/>
    </row>
    <row r="1456" spans="1:2" ht="12.5" hidden="1">
      <c r="A1456" s="5">
        <f ca="1">IFERROR(__xludf.DUMMYFUNCTION("""COMPUTED_VALUE"""),104)</f>
        <v>104</v>
      </c>
      <c r="B1456" s="69"/>
    </row>
    <row r="1457" spans="1:2" ht="12.5" hidden="1">
      <c r="A1457" s="5">
        <f ca="1">IFERROR(__xludf.DUMMYFUNCTION("""COMPUTED_VALUE"""),52)</f>
        <v>52</v>
      </c>
      <c r="B1457" s="69"/>
    </row>
    <row r="1458" spans="1:2" ht="12.5" hidden="1">
      <c r="A1458" s="5">
        <f ca="1">IFERROR(__xludf.DUMMYFUNCTION("""COMPUTED_VALUE"""),31)</f>
        <v>31</v>
      </c>
      <c r="B1458" s="69"/>
    </row>
    <row r="1459" spans="1:2" ht="12.5" hidden="1">
      <c r="A1459" s="5">
        <f ca="1">IFERROR(__xludf.DUMMYFUNCTION("""COMPUTED_VALUE"""),95)</f>
        <v>95</v>
      </c>
      <c r="B1459" s="69"/>
    </row>
    <row r="1460" spans="1:2" ht="12.5" hidden="1">
      <c r="A1460" s="5">
        <f ca="1">IFERROR(__xludf.DUMMYFUNCTION("""COMPUTED_VALUE"""),52)</f>
        <v>52</v>
      </c>
      <c r="B1460" s="69"/>
    </row>
    <row r="1461" spans="1:2" ht="12.5" hidden="1">
      <c r="A1461" s="5">
        <f ca="1">IFERROR(__xludf.DUMMYFUNCTION("""COMPUTED_VALUE"""),52)</f>
        <v>52</v>
      </c>
      <c r="B1461" s="69"/>
    </row>
    <row r="1462" spans="1:2" ht="12.5">
      <c r="A1462" s="5">
        <f ca="1">IFERROR(__xludf.DUMMYFUNCTION("""COMPUTED_VALUE"""),51)</f>
        <v>51</v>
      </c>
      <c r="B1462" s="69"/>
    </row>
    <row r="1463" spans="1:2" ht="12.5" hidden="1">
      <c r="A1463" s="5">
        <f ca="1">IFERROR(__xludf.DUMMYFUNCTION("""COMPUTED_VALUE"""),95)</f>
        <v>95</v>
      </c>
      <c r="B1463" s="69"/>
    </row>
    <row r="1464" spans="1:2" ht="12.5" hidden="1">
      <c r="A1464" s="5">
        <f ca="1">IFERROR(__xludf.DUMMYFUNCTION("""COMPUTED_VALUE"""),57)</f>
        <v>57</v>
      </c>
      <c r="B1464" s="69"/>
    </row>
    <row r="1465" spans="1:2" ht="12.5" hidden="1">
      <c r="A1465" s="5">
        <f ca="1">IFERROR(__xludf.DUMMYFUNCTION("""COMPUTED_VALUE"""),52)</f>
        <v>52</v>
      </c>
      <c r="B1465" s="69"/>
    </row>
    <row r="1466" spans="1:2" ht="12.5">
      <c r="A1466" s="5">
        <f ca="1">IFERROR(__xludf.DUMMYFUNCTION("""COMPUTED_VALUE"""),51)</f>
        <v>51</v>
      </c>
      <c r="B1466" s="69"/>
    </row>
    <row r="1467" spans="1:2" ht="12.5" hidden="1">
      <c r="A1467" s="5">
        <f ca="1">IFERROR(__xludf.DUMMYFUNCTION("""COMPUTED_VALUE"""),84)</f>
        <v>84</v>
      </c>
      <c r="B1467" s="69"/>
    </row>
    <row r="1468" spans="1:2" ht="12.5" hidden="1">
      <c r="A1468" s="5">
        <f ca="1">IFERROR(__xludf.DUMMYFUNCTION("""COMPUTED_VALUE"""),52)</f>
        <v>52</v>
      </c>
      <c r="B1468" s="69"/>
    </row>
    <row r="1469" spans="1:2" ht="12.5" hidden="1">
      <c r="A1469" s="5">
        <f ca="1">IFERROR(__xludf.DUMMYFUNCTION("""COMPUTED_VALUE"""),58)</f>
        <v>58</v>
      </c>
      <c r="B1469" s="69"/>
    </row>
    <row r="1470" spans="1:2" ht="12.5" hidden="1">
      <c r="A1470" s="5">
        <f ca="1">IFERROR(__xludf.DUMMYFUNCTION("""COMPUTED_VALUE"""),56)</f>
        <v>56</v>
      </c>
      <c r="B1470" s="69"/>
    </row>
    <row r="1471" spans="1:2" ht="12.5" hidden="1">
      <c r="A1471" s="5">
        <f ca="1">IFERROR(__xludf.DUMMYFUNCTION("""COMPUTED_VALUE"""),103)</f>
        <v>103</v>
      </c>
      <c r="B1471" s="69"/>
    </row>
    <row r="1472" spans="1:2" ht="12.5" hidden="1">
      <c r="A1472" s="5">
        <f ca="1">IFERROR(__xludf.DUMMYFUNCTION("""COMPUTED_VALUE"""),67)</f>
        <v>67</v>
      </c>
      <c r="B1472" s="69"/>
    </row>
    <row r="1473" spans="1:2" ht="12.5" hidden="1">
      <c r="A1473" s="5">
        <f ca="1">IFERROR(__xludf.DUMMYFUNCTION("""COMPUTED_VALUE"""),95)</f>
        <v>95</v>
      </c>
      <c r="B1473" s="69"/>
    </row>
    <row r="1474" spans="1:2" ht="12.5" hidden="1">
      <c r="A1474" s="5">
        <f ca="1">IFERROR(__xludf.DUMMYFUNCTION("""COMPUTED_VALUE"""),58)</f>
        <v>58</v>
      </c>
      <c r="B1474" s="69"/>
    </row>
    <row r="1475" spans="1:2" ht="12.5" hidden="1">
      <c r="A1475" s="5">
        <f ca="1">IFERROR(__xludf.DUMMYFUNCTION("""COMPUTED_VALUE"""),104)</f>
        <v>104</v>
      </c>
      <c r="B1475" s="69"/>
    </row>
    <row r="1476" spans="1:2" ht="12.5" hidden="1">
      <c r="A1476" s="5">
        <f ca="1">IFERROR(__xludf.DUMMYFUNCTION("""COMPUTED_VALUE"""),28)</f>
        <v>28</v>
      </c>
      <c r="B1476" s="69"/>
    </row>
    <row r="1477" spans="1:2" ht="12.5" hidden="1">
      <c r="A1477" s="5">
        <f ca="1">IFERROR(__xludf.DUMMYFUNCTION("""COMPUTED_VALUE"""),95)</f>
        <v>95</v>
      </c>
      <c r="B1477" s="69"/>
    </row>
    <row r="1478" spans="1:2" ht="12.5" hidden="1">
      <c r="A1478" s="5">
        <f ca="1">IFERROR(__xludf.DUMMYFUNCTION("""COMPUTED_VALUE"""),29)</f>
        <v>29</v>
      </c>
      <c r="B1478" s="69"/>
    </row>
    <row r="1479" spans="1:2" ht="12.5" hidden="1">
      <c r="A1479" s="5">
        <f ca="1">IFERROR(__xludf.DUMMYFUNCTION("""COMPUTED_VALUE"""),44)</f>
        <v>44</v>
      </c>
      <c r="B1479" s="69"/>
    </row>
    <row r="1480" spans="1:2" ht="12.5" hidden="1">
      <c r="A1480" s="5">
        <f ca="1">IFERROR(__xludf.DUMMYFUNCTION("""COMPUTED_VALUE"""),29)</f>
        <v>29</v>
      </c>
      <c r="B1480" s="69"/>
    </row>
    <row r="1481" spans="1:2" ht="12.5" hidden="1">
      <c r="A1481" s="5">
        <f ca="1">IFERROR(__xludf.DUMMYFUNCTION("""COMPUTED_VALUE"""),29)</f>
        <v>29</v>
      </c>
      <c r="B1481" s="69"/>
    </row>
    <row r="1482" spans="1:2" ht="12.5">
      <c r="A1482" s="5">
        <f ca="1">IFERROR(__xludf.DUMMYFUNCTION("""COMPUTED_VALUE"""),51)</f>
        <v>51</v>
      </c>
      <c r="B1482" s="69"/>
    </row>
    <row r="1483" spans="1:2" ht="12.5" hidden="1">
      <c r="A1483" s="5">
        <f ca="1">IFERROR(__xludf.DUMMYFUNCTION("""COMPUTED_VALUE"""),56)</f>
        <v>56</v>
      </c>
      <c r="B1483" s="69"/>
    </row>
    <row r="1484" spans="1:2" ht="12.5" hidden="1">
      <c r="A1484" s="5">
        <f ca="1">IFERROR(__xludf.DUMMYFUNCTION("""COMPUTED_VALUE"""),95)</f>
        <v>95</v>
      </c>
      <c r="B1484" s="69"/>
    </row>
    <row r="1485" spans="1:2" ht="12.5" hidden="1">
      <c r="A1485" s="5">
        <f ca="1">IFERROR(__xludf.DUMMYFUNCTION("""COMPUTED_VALUE"""),28)</f>
        <v>28</v>
      </c>
      <c r="B1485" s="69"/>
    </row>
    <row r="1486" spans="1:2" ht="12.5" hidden="1">
      <c r="A1486" s="5">
        <f ca="1">IFERROR(__xludf.DUMMYFUNCTION("""COMPUTED_VALUE"""),52)</f>
        <v>52</v>
      </c>
      <c r="B1486" s="69"/>
    </row>
    <row r="1487" spans="1:2" ht="12.5" hidden="1">
      <c r="A1487" s="5">
        <f ca="1">IFERROR(__xludf.DUMMYFUNCTION("""COMPUTED_VALUE"""),52)</f>
        <v>52</v>
      </c>
      <c r="B1487" s="69"/>
    </row>
    <row r="1488" spans="1:2" ht="12.5" hidden="1">
      <c r="A1488" s="5">
        <f ca="1">IFERROR(__xludf.DUMMYFUNCTION("""COMPUTED_VALUE"""),52)</f>
        <v>52</v>
      </c>
      <c r="B1488" s="69"/>
    </row>
    <row r="1489" spans="1:2" ht="12.5" hidden="1">
      <c r="A1489" s="5">
        <f ca="1">IFERROR(__xludf.DUMMYFUNCTION("""COMPUTED_VALUE"""),38)</f>
        <v>38</v>
      </c>
      <c r="B1489" s="69"/>
    </row>
    <row r="1490" spans="1:2" ht="12.5" hidden="1">
      <c r="A1490" s="5">
        <f ca="1">IFERROR(__xludf.DUMMYFUNCTION("""COMPUTED_VALUE"""),95)</f>
        <v>95</v>
      </c>
      <c r="B1490" s="69"/>
    </row>
    <row r="1491" spans="1:2" ht="12.5" hidden="1">
      <c r="A1491" s="5">
        <f ca="1">IFERROR(__xludf.DUMMYFUNCTION("""COMPUTED_VALUE"""),49)</f>
        <v>49</v>
      </c>
      <c r="B1491" s="69"/>
    </row>
    <row r="1492" spans="1:2" ht="12.5" hidden="1">
      <c r="A1492" s="5">
        <f ca="1">IFERROR(__xludf.DUMMYFUNCTION("""COMPUTED_VALUE"""),56)</f>
        <v>56</v>
      </c>
      <c r="B1492" s="69"/>
    </row>
    <row r="1493" spans="1:2" ht="12.5" hidden="1">
      <c r="A1493" s="5">
        <f ca="1">IFERROR(__xludf.DUMMYFUNCTION("""COMPUTED_VALUE"""),43)</f>
        <v>43</v>
      </c>
      <c r="B1493" s="69"/>
    </row>
    <row r="1494" spans="1:2" ht="12.5" hidden="1">
      <c r="A1494" s="5">
        <f ca="1">IFERROR(__xludf.DUMMYFUNCTION("""COMPUTED_VALUE"""),58)</f>
        <v>58</v>
      </c>
      <c r="B1494" s="69"/>
    </row>
    <row r="1495" spans="1:2" ht="12.5" hidden="1">
      <c r="A1495" s="5">
        <f ca="1">IFERROR(__xludf.DUMMYFUNCTION("""COMPUTED_VALUE"""),49)</f>
        <v>49</v>
      </c>
      <c r="B1495" s="69"/>
    </row>
    <row r="1496" spans="1:2" ht="12.5" hidden="1">
      <c r="A1496" s="5">
        <f ca="1">IFERROR(__xludf.DUMMYFUNCTION("""COMPUTED_VALUE"""),57)</f>
        <v>57</v>
      </c>
      <c r="B1496" s="69"/>
    </row>
    <row r="1497" spans="1:2" ht="12.5" hidden="1">
      <c r="A1497" s="5">
        <f ca="1">IFERROR(__xludf.DUMMYFUNCTION("""COMPUTED_VALUE"""),55)</f>
        <v>55</v>
      </c>
      <c r="B1497" s="69"/>
    </row>
    <row r="1498" spans="1:2" ht="12.5" hidden="1">
      <c r="A1498" s="5">
        <f ca="1">IFERROR(__xludf.DUMMYFUNCTION("""COMPUTED_VALUE"""),57)</f>
        <v>57</v>
      </c>
      <c r="B1498" s="69"/>
    </row>
    <row r="1499" spans="1:2" ht="12.5" hidden="1">
      <c r="A1499" s="5">
        <f ca="1">IFERROR(__xludf.DUMMYFUNCTION("""COMPUTED_VALUE"""),57)</f>
        <v>57</v>
      </c>
      <c r="B1499" s="69"/>
    </row>
    <row r="1500" spans="1:2" ht="12.5" hidden="1">
      <c r="A1500" s="5">
        <f ca="1">IFERROR(__xludf.DUMMYFUNCTION("""COMPUTED_VALUE"""),52)</f>
        <v>52</v>
      </c>
      <c r="B1500" s="69"/>
    </row>
    <row r="1501" spans="1:2" ht="12.5" hidden="1">
      <c r="A1501" s="5">
        <f ca="1">IFERROR(__xludf.DUMMYFUNCTION("""COMPUTED_VALUE"""),53)</f>
        <v>53</v>
      </c>
      <c r="B1501" s="69"/>
    </row>
    <row r="1502" spans="1:2" ht="12.5" hidden="1">
      <c r="A1502" s="5">
        <f ca="1">IFERROR(__xludf.DUMMYFUNCTION("""COMPUTED_VALUE"""),53)</f>
        <v>53</v>
      </c>
      <c r="B1502" s="69"/>
    </row>
    <row r="1503" spans="1:2" ht="12.5" hidden="1">
      <c r="A1503" s="5">
        <f ca="1">IFERROR(__xludf.DUMMYFUNCTION("""COMPUTED_VALUE"""),38)</f>
        <v>38</v>
      </c>
      <c r="B1503" s="69"/>
    </row>
    <row r="1504" spans="1:2" ht="12.5" hidden="1">
      <c r="A1504" s="5">
        <f ca="1">IFERROR(__xludf.DUMMYFUNCTION("""COMPUTED_VALUE"""),103)</f>
        <v>103</v>
      </c>
      <c r="B1504" s="69"/>
    </row>
    <row r="1505" spans="1:2" ht="12.5" hidden="1">
      <c r="A1505" s="5">
        <f ca="1">IFERROR(__xludf.DUMMYFUNCTION("""COMPUTED_VALUE"""),50)</f>
        <v>50</v>
      </c>
      <c r="B1505" s="69"/>
    </row>
    <row r="1506" spans="1:2" ht="12.5" hidden="1">
      <c r="A1506" s="5">
        <f ca="1">IFERROR(__xludf.DUMMYFUNCTION("""COMPUTED_VALUE"""),52)</f>
        <v>52</v>
      </c>
      <c r="B1506" s="69"/>
    </row>
    <row r="1507" spans="1:2" ht="12.5" hidden="1">
      <c r="A1507" s="5">
        <f ca="1">IFERROR(__xludf.DUMMYFUNCTION("""COMPUTED_VALUE"""),29)</f>
        <v>29</v>
      </c>
      <c r="B1507" s="69"/>
    </row>
    <row r="1508" spans="1:2" ht="12.5" hidden="1">
      <c r="A1508" s="5">
        <f ca="1">IFERROR(__xludf.DUMMYFUNCTION("""COMPUTED_VALUE"""),48)</f>
        <v>48</v>
      </c>
      <c r="B1508" s="69"/>
    </row>
    <row r="1509" spans="1:2" ht="12.5" hidden="1">
      <c r="A1509" s="5">
        <f ca="1">IFERROR(__xludf.DUMMYFUNCTION("""COMPUTED_VALUE"""),81)</f>
        <v>81</v>
      </c>
      <c r="B1509" s="69"/>
    </row>
    <row r="1510" spans="1:2" ht="12.5" hidden="1">
      <c r="A1510" s="5">
        <f ca="1">IFERROR(__xludf.DUMMYFUNCTION("""COMPUTED_VALUE"""),81)</f>
        <v>81</v>
      </c>
      <c r="B1510" s="69"/>
    </row>
    <row r="1511" spans="1:2" ht="12.5" hidden="1">
      <c r="A1511" s="5">
        <f ca="1">IFERROR(__xludf.DUMMYFUNCTION("""COMPUTED_VALUE"""),28)</f>
        <v>28</v>
      </c>
      <c r="B1511" s="69"/>
    </row>
    <row r="1512" spans="1:2" ht="12.5" hidden="1">
      <c r="A1512" s="5">
        <f ca="1">IFERROR(__xludf.DUMMYFUNCTION("""COMPUTED_VALUE"""),52)</f>
        <v>52</v>
      </c>
      <c r="B1512" s="69"/>
    </row>
    <row r="1513" spans="1:2" ht="12.5" hidden="1">
      <c r="A1513" s="5">
        <f ca="1">IFERROR(__xludf.DUMMYFUNCTION("""COMPUTED_VALUE"""),52)</f>
        <v>52</v>
      </c>
      <c r="B1513" s="69"/>
    </row>
    <row r="1514" spans="1:2" ht="12.5" hidden="1">
      <c r="A1514" s="5">
        <f ca="1">IFERROR(__xludf.DUMMYFUNCTION("""COMPUTED_VALUE"""),8)</f>
        <v>8</v>
      </c>
      <c r="B1514" s="69"/>
    </row>
    <row r="1515" spans="1:2" ht="12.5" hidden="1">
      <c r="A1515" s="5">
        <f ca="1">IFERROR(__xludf.DUMMYFUNCTION("""COMPUTED_VALUE"""),31)</f>
        <v>31</v>
      </c>
      <c r="B1515" s="69"/>
    </row>
    <row r="1516" spans="1:2" ht="12.5" hidden="1">
      <c r="A1516" s="5">
        <f ca="1">IFERROR(__xludf.DUMMYFUNCTION("""COMPUTED_VALUE"""),95)</f>
        <v>95</v>
      </c>
      <c r="B1516" s="69"/>
    </row>
    <row r="1517" spans="1:2" ht="12.5" hidden="1">
      <c r="A1517" s="5">
        <f ca="1">IFERROR(__xludf.DUMMYFUNCTION("""COMPUTED_VALUE"""),53)</f>
        <v>53</v>
      </c>
      <c r="B1517" s="69"/>
    </row>
    <row r="1518" spans="1:2" ht="12.5">
      <c r="A1518" s="5">
        <f ca="1">IFERROR(__xludf.DUMMYFUNCTION("""COMPUTED_VALUE"""),51)</f>
        <v>51</v>
      </c>
      <c r="B1518" s="69"/>
    </row>
    <row r="1519" spans="1:2" ht="12.5" hidden="1">
      <c r="A1519" s="5">
        <f ca="1">IFERROR(__xludf.DUMMYFUNCTION("""COMPUTED_VALUE"""),43)</f>
        <v>43</v>
      </c>
      <c r="B1519" s="69"/>
    </row>
    <row r="1520" spans="1:2" ht="12.5" hidden="1">
      <c r="A1520" s="5">
        <f ca="1">IFERROR(__xludf.DUMMYFUNCTION("""COMPUTED_VALUE"""),52)</f>
        <v>52</v>
      </c>
      <c r="B1520" s="69"/>
    </row>
    <row r="1521" spans="1:2" ht="12.5" hidden="1">
      <c r="A1521" s="5">
        <f ca="1">IFERROR(__xludf.DUMMYFUNCTION("""COMPUTED_VALUE"""),29)</f>
        <v>29</v>
      </c>
      <c r="B1521" s="69"/>
    </row>
    <row r="1522" spans="1:2" ht="12.5" hidden="1">
      <c r="A1522" s="5">
        <f ca="1">IFERROR(__xludf.DUMMYFUNCTION("""COMPUTED_VALUE"""),67)</f>
        <v>67</v>
      </c>
      <c r="B1522" s="69"/>
    </row>
    <row r="1523" spans="1:2" ht="12.5" hidden="1">
      <c r="A1523" s="5">
        <f ca="1">IFERROR(__xludf.DUMMYFUNCTION("""COMPUTED_VALUE"""),29)</f>
        <v>29</v>
      </c>
      <c r="B1523" s="69"/>
    </row>
    <row r="1524" spans="1:2" ht="12.5" hidden="1">
      <c r="A1524" s="5">
        <f ca="1">IFERROR(__xludf.DUMMYFUNCTION("""COMPUTED_VALUE"""),95)</f>
        <v>95</v>
      </c>
      <c r="B1524" s="69"/>
    </row>
    <row r="1525" spans="1:2" ht="12.5" hidden="1">
      <c r="A1525" s="5">
        <f ca="1">IFERROR(__xludf.DUMMYFUNCTION("""COMPUTED_VALUE"""),52)</f>
        <v>52</v>
      </c>
      <c r="B1525" s="69"/>
    </row>
    <row r="1526" spans="1:2" ht="12.5" hidden="1">
      <c r="A1526" s="5">
        <f ca="1">IFERROR(__xludf.DUMMYFUNCTION("""COMPUTED_VALUE"""),95)</f>
        <v>95</v>
      </c>
      <c r="B1526" s="69"/>
    </row>
    <row r="1527" spans="1:2" ht="12.5" hidden="1">
      <c r="A1527" s="5">
        <f ca="1">IFERROR(__xludf.DUMMYFUNCTION("""COMPUTED_VALUE"""),95)</f>
        <v>95</v>
      </c>
      <c r="B1527" s="69"/>
    </row>
    <row r="1528" spans="1:2" ht="12.5" hidden="1">
      <c r="A1528" s="5">
        <f ca="1">IFERROR(__xludf.DUMMYFUNCTION("""COMPUTED_VALUE"""),95)</f>
        <v>95</v>
      </c>
      <c r="B1528" s="69"/>
    </row>
    <row r="1529" spans="1:2" ht="12.5" hidden="1">
      <c r="A1529" s="5">
        <f ca="1">IFERROR(__xludf.DUMMYFUNCTION("""COMPUTED_VALUE"""),95)</f>
        <v>95</v>
      </c>
      <c r="B1529" s="69"/>
    </row>
    <row r="1530" spans="1:2" ht="12.5" hidden="1">
      <c r="A1530" s="5">
        <f ca="1">IFERROR(__xludf.DUMMYFUNCTION("""COMPUTED_VALUE"""),29)</f>
        <v>29</v>
      </c>
      <c r="B1530" s="69"/>
    </row>
    <row r="1531" spans="1:2" ht="12.5" hidden="1">
      <c r="A1531" s="5">
        <f ca="1">IFERROR(__xludf.DUMMYFUNCTION("""COMPUTED_VALUE"""),29)</f>
        <v>29</v>
      </c>
      <c r="B1531" s="69"/>
    </row>
    <row r="1532" spans="1:2" ht="12.5" hidden="1">
      <c r="A1532" s="5">
        <f ca="1">IFERROR(__xludf.DUMMYFUNCTION("""COMPUTED_VALUE"""),29)</f>
        <v>29</v>
      </c>
      <c r="B1532" s="69"/>
    </row>
    <row r="1533" spans="1:2" ht="12.5" hidden="1">
      <c r="A1533" s="5">
        <f ca="1">IFERROR(__xludf.DUMMYFUNCTION("""COMPUTED_VALUE"""),65)</f>
        <v>65</v>
      </c>
      <c r="B1533" s="69"/>
    </row>
    <row r="1534" spans="1:2" ht="12.5" hidden="1">
      <c r="A1534" s="5">
        <f ca="1">IFERROR(__xludf.DUMMYFUNCTION("""COMPUTED_VALUE"""),53)</f>
        <v>53</v>
      </c>
      <c r="B1534" s="69"/>
    </row>
    <row r="1535" spans="1:2" ht="12.5" hidden="1">
      <c r="A1535" s="5">
        <f ca="1">IFERROR(__xludf.DUMMYFUNCTION("""COMPUTED_VALUE"""),29)</f>
        <v>29</v>
      </c>
      <c r="B1535" s="69"/>
    </row>
    <row r="1536" spans="1:2" ht="12.5" hidden="1">
      <c r="A1536" s="5">
        <f ca="1">IFERROR(__xludf.DUMMYFUNCTION("""COMPUTED_VALUE"""),8)</f>
        <v>8</v>
      </c>
      <c r="B1536" s="69"/>
    </row>
    <row r="1537" spans="1:2" ht="12.5" hidden="1">
      <c r="A1537" s="5">
        <f ca="1">IFERROR(__xludf.DUMMYFUNCTION("""COMPUTED_VALUE"""),8)</f>
        <v>8</v>
      </c>
      <c r="B1537" s="69"/>
    </row>
    <row r="1538" spans="1:2" ht="12.5" hidden="1">
      <c r="A1538" s="5">
        <f ca="1">IFERROR(__xludf.DUMMYFUNCTION("""COMPUTED_VALUE"""),73)</f>
        <v>73</v>
      </c>
      <c r="B1538" s="69"/>
    </row>
    <row r="1539" spans="1:2" ht="12.5" hidden="1">
      <c r="A1539" s="5">
        <f ca="1">IFERROR(__xludf.DUMMYFUNCTION("""COMPUTED_VALUE"""),95)</f>
        <v>95</v>
      </c>
      <c r="B1539" s="69"/>
    </row>
    <row r="1540" spans="1:2" ht="12.5" hidden="1">
      <c r="A1540" s="5">
        <f ca="1">IFERROR(__xludf.DUMMYFUNCTION("""COMPUTED_VALUE"""),5)</f>
        <v>5</v>
      </c>
      <c r="B1540" s="69"/>
    </row>
    <row r="1541" spans="1:2" ht="12.5" hidden="1">
      <c r="A1541" s="5">
        <f ca="1">IFERROR(__xludf.DUMMYFUNCTION("""COMPUTED_VALUE"""),6)</f>
        <v>6</v>
      </c>
      <c r="B1541" s="69"/>
    </row>
    <row r="1542" spans="1:2" ht="12.5" hidden="1">
      <c r="A1542" s="5">
        <f ca="1">IFERROR(__xludf.DUMMYFUNCTION("""COMPUTED_VALUE"""),32)</f>
        <v>32</v>
      </c>
      <c r="B1542" s="69"/>
    </row>
    <row r="1543" spans="1:2" ht="12.5" hidden="1">
      <c r="A1543" s="5">
        <f ca="1">IFERROR(__xludf.DUMMYFUNCTION("""COMPUTED_VALUE"""),28)</f>
        <v>28</v>
      </c>
      <c r="B1543" s="69"/>
    </row>
    <row r="1544" spans="1:2" ht="12.5" hidden="1">
      <c r="A1544" s="5">
        <f ca="1">IFERROR(__xludf.DUMMYFUNCTION("""COMPUTED_VALUE"""),45)</f>
        <v>45</v>
      </c>
      <c r="B1544" s="69"/>
    </row>
    <row r="1545" spans="1:2" ht="12.5" hidden="1">
      <c r="A1545" s="5">
        <f ca="1">IFERROR(__xludf.DUMMYFUNCTION("""COMPUTED_VALUE"""),52)</f>
        <v>52</v>
      </c>
      <c r="B1545" s="69"/>
    </row>
    <row r="1546" spans="1:2" ht="12.5" hidden="1">
      <c r="A1546" s="5">
        <f ca="1">IFERROR(__xludf.DUMMYFUNCTION("""COMPUTED_VALUE"""),95)</f>
        <v>95</v>
      </c>
      <c r="B1546" s="69"/>
    </row>
    <row r="1547" spans="1:2" ht="12.5" hidden="1">
      <c r="A1547" s="5">
        <f ca="1">IFERROR(__xludf.DUMMYFUNCTION("""COMPUTED_VALUE"""),95)</f>
        <v>95</v>
      </c>
      <c r="B1547" s="69"/>
    </row>
    <row r="1548" spans="1:2" ht="12.5" hidden="1">
      <c r="A1548" s="5">
        <f ca="1">IFERROR(__xludf.DUMMYFUNCTION("""COMPUTED_VALUE"""),95)</f>
        <v>95</v>
      </c>
      <c r="B1548" s="69"/>
    </row>
    <row r="1549" spans="1:2" ht="12.5" hidden="1">
      <c r="A1549" s="5">
        <f ca="1">IFERROR(__xludf.DUMMYFUNCTION("""COMPUTED_VALUE"""),95)</f>
        <v>95</v>
      </c>
      <c r="B1549" s="69"/>
    </row>
    <row r="1550" spans="1:2" ht="12.5" hidden="1">
      <c r="A1550" s="5">
        <f ca="1">IFERROR(__xludf.DUMMYFUNCTION("""COMPUTED_VALUE"""),95)</f>
        <v>95</v>
      </c>
      <c r="B1550" s="69"/>
    </row>
    <row r="1551" spans="1:2" ht="12.5" hidden="1">
      <c r="A1551" s="5">
        <f ca="1">IFERROR(__xludf.DUMMYFUNCTION("""COMPUTED_VALUE"""),21)</f>
        <v>21</v>
      </c>
      <c r="B1551" s="69"/>
    </row>
    <row r="1552" spans="1:2" ht="12.5" hidden="1">
      <c r="A1552" s="5">
        <f ca="1">IFERROR(__xludf.DUMMYFUNCTION("""COMPUTED_VALUE"""),29)</f>
        <v>29</v>
      </c>
      <c r="B1552" s="69"/>
    </row>
    <row r="1553" spans="1:2" ht="12.5" hidden="1">
      <c r="A1553" s="5">
        <f ca="1">IFERROR(__xludf.DUMMYFUNCTION("""COMPUTED_VALUE"""),69)</f>
        <v>69</v>
      </c>
      <c r="B1553" s="69"/>
    </row>
    <row r="1554" spans="1:2" ht="12.5" hidden="1">
      <c r="A1554" s="5">
        <f ca="1">IFERROR(__xludf.DUMMYFUNCTION("""COMPUTED_VALUE"""),72)</f>
        <v>72</v>
      </c>
      <c r="B1554" s="69"/>
    </row>
    <row r="1555" spans="1:2" ht="12.5" hidden="1">
      <c r="A1555" s="5">
        <f ca="1">IFERROR(__xludf.DUMMYFUNCTION("""COMPUTED_VALUE"""),92)</f>
        <v>92</v>
      </c>
      <c r="B1555" s="69"/>
    </row>
    <row r="1556" spans="1:2" ht="12.5">
      <c r="A1556" s="5">
        <f ca="1">IFERROR(__xludf.DUMMYFUNCTION("""COMPUTED_VALUE"""),51)</f>
        <v>51</v>
      </c>
      <c r="B1556" s="69"/>
    </row>
    <row r="1557" spans="1:2" ht="12.5">
      <c r="A1557" s="5">
        <f ca="1">IFERROR(__xludf.DUMMYFUNCTION("""COMPUTED_VALUE"""),51)</f>
        <v>51</v>
      </c>
      <c r="B1557" s="69"/>
    </row>
    <row r="1558" spans="1:2" ht="12.5" hidden="1">
      <c r="A1558" s="5">
        <f ca="1">IFERROR(__xludf.DUMMYFUNCTION("""COMPUTED_VALUE"""),62)</f>
        <v>62</v>
      </c>
      <c r="B1558" s="69"/>
    </row>
    <row r="1559" spans="1:2" ht="12.5" hidden="1">
      <c r="A1559" s="5">
        <f ca="1">IFERROR(__xludf.DUMMYFUNCTION("""COMPUTED_VALUE"""),64)</f>
        <v>64</v>
      </c>
      <c r="B1559" s="69"/>
    </row>
    <row r="1560" spans="1:2" ht="12.5" hidden="1">
      <c r="A1560" s="5">
        <f ca="1">IFERROR(__xludf.DUMMYFUNCTION("""COMPUTED_VALUE"""),30)</f>
        <v>30</v>
      </c>
      <c r="B1560" s="69"/>
    </row>
    <row r="1561" spans="1:2" ht="12.5" hidden="1">
      <c r="A1561" s="5">
        <f ca="1">IFERROR(__xludf.DUMMYFUNCTION("""COMPUTED_VALUE"""),42)</f>
        <v>42</v>
      </c>
      <c r="B1561" s="69"/>
    </row>
    <row r="1562" spans="1:2" ht="12.5" hidden="1">
      <c r="A1562" s="5">
        <f ca="1">IFERROR(__xludf.DUMMYFUNCTION("""COMPUTED_VALUE"""),29)</f>
        <v>29</v>
      </c>
      <c r="B1562" s="69"/>
    </row>
    <row r="1563" spans="1:2" ht="12.5" hidden="1">
      <c r="A1563" s="5">
        <f ca="1">IFERROR(__xludf.DUMMYFUNCTION("""COMPUTED_VALUE"""),29)</f>
        <v>29</v>
      </c>
      <c r="B1563" s="69"/>
    </row>
    <row r="1564" spans="1:2" ht="12.5" hidden="1">
      <c r="A1564" s="5">
        <f ca="1">IFERROR(__xludf.DUMMYFUNCTION("""COMPUTED_VALUE"""),95)</f>
        <v>95</v>
      </c>
      <c r="B1564" s="69"/>
    </row>
    <row r="1565" spans="1:2" ht="12.5" hidden="1">
      <c r="A1565" s="5">
        <f ca="1">IFERROR(__xludf.DUMMYFUNCTION("""COMPUTED_VALUE"""),95)</f>
        <v>95</v>
      </c>
      <c r="B1565" s="69"/>
    </row>
    <row r="1566" spans="1:2" ht="12.5" hidden="1">
      <c r="A1566" s="5">
        <f ca="1">IFERROR(__xludf.DUMMYFUNCTION("""COMPUTED_VALUE"""),71)</f>
        <v>71</v>
      </c>
      <c r="B1566" s="69"/>
    </row>
    <row r="1567" spans="1:2" ht="12.5">
      <c r="A1567" s="5">
        <f ca="1">IFERROR(__xludf.DUMMYFUNCTION("""COMPUTED_VALUE"""),51)</f>
        <v>51</v>
      </c>
      <c r="B1567" s="69"/>
    </row>
    <row r="1568" spans="1:2" ht="12.5" hidden="1">
      <c r="A1568" s="5">
        <f ca="1">IFERROR(__xludf.DUMMYFUNCTION("""COMPUTED_VALUE"""),90)</f>
        <v>90</v>
      </c>
      <c r="B1568" s="69"/>
    </row>
    <row r="1569" spans="1:2" ht="12.5" hidden="1">
      <c r="A1569" s="5">
        <f ca="1">IFERROR(__xludf.DUMMYFUNCTION("""COMPUTED_VALUE"""),29)</f>
        <v>29</v>
      </c>
      <c r="B1569" s="69"/>
    </row>
    <row r="1570" spans="1:2" ht="12.5" hidden="1">
      <c r="A1570" s="5">
        <f ca="1">IFERROR(__xludf.DUMMYFUNCTION("""COMPUTED_VALUE"""),95)</f>
        <v>95</v>
      </c>
      <c r="B1570" s="69"/>
    </row>
    <row r="1571" spans="1:2" ht="12.5" hidden="1">
      <c r="A1571" s="5">
        <f ca="1">IFERROR(__xludf.DUMMYFUNCTION("""COMPUTED_VALUE"""),95)</f>
        <v>95</v>
      </c>
      <c r="B1571" s="69"/>
    </row>
    <row r="1572" spans="1:2" ht="12.5" hidden="1">
      <c r="A1572" s="5">
        <f ca="1">IFERROR(__xludf.DUMMYFUNCTION("""COMPUTED_VALUE"""),40)</f>
        <v>40</v>
      </c>
      <c r="B1572" s="69"/>
    </row>
    <row r="1573" spans="1:2" ht="12.5">
      <c r="A1573" s="5">
        <f ca="1">IFERROR(__xludf.DUMMYFUNCTION("""COMPUTED_VALUE"""),51)</f>
        <v>51</v>
      </c>
      <c r="B1573" s="69"/>
    </row>
    <row r="1574" spans="1:2" ht="12.5" hidden="1">
      <c r="A1574" s="5">
        <f ca="1">IFERROR(__xludf.DUMMYFUNCTION("""COMPUTED_VALUE"""),31)</f>
        <v>31</v>
      </c>
      <c r="B1574" s="69"/>
    </row>
    <row r="1575" spans="1:2" ht="12.5" hidden="1">
      <c r="A1575" s="5">
        <f ca="1">IFERROR(__xludf.DUMMYFUNCTION("""COMPUTED_VALUE"""),29)</f>
        <v>29</v>
      </c>
      <c r="B1575" s="69"/>
    </row>
    <row r="1576" spans="1:2" ht="12.5" hidden="1">
      <c r="A1576" s="5">
        <f ca="1">IFERROR(__xludf.DUMMYFUNCTION("""COMPUTED_VALUE"""),57)</f>
        <v>57</v>
      </c>
      <c r="B1576" s="69"/>
    </row>
    <row r="1577" spans="1:2" ht="12.5" hidden="1">
      <c r="A1577" s="5">
        <f ca="1">IFERROR(__xludf.DUMMYFUNCTION("""COMPUTED_VALUE"""),53)</f>
        <v>53</v>
      </c>
      <c r="B1577" s="69"/>
    </row>
    <row r="1578" spans="1:2" ht="12.5" hidden="1">
      <c r="A1578" s="5">
        <f ca="1">IFERROR(__xludf.DUMMYFUNCTION("""COMPUTED_VALUE"""),95)</f>
        <v>95</v>
      </c>
      <c r="B1578" s="69"/>
    </row>
    <row r="1579" spans="1:2" ht="12.5" hidden="1">
      <c r="A1579" s="5">
        <f ca="1">IFERROR(__xludf.DUMMYFUNCTION("""COMPUTED_VALUE"""),32)</f>
        <v>32</v>
      </c>
      <c r="B1579" s="69"/>
    </row>
    <row r="1580" spans="1:2" ht="12.5" hidden="1">
      <c r="A1580" s="5">
        <f ca="1">IFERROR(__xludf.DUMMYFUNCTION("""COMPUTED_VALUE"""),64)</f>
        <v>64</v>
      </c>
      <c r="B1580" s="69"/>
    </row>
    <row r="1581" spans="1:2" ht="12.5" hidden="1">
      <c r="A1581" s="5">
        <f ca="1">IFERROR(__xludf.DUMMYFUNCTION("""COMPUTED_VALUE"""),54)</f>
        <v>54</v>
      </c>
      <c r="B1581" s="69"/>
    </row>
    <row r="1582" spans="1:2" ht="12.5" hidden="1">
      <c r="A1582" s="5">
        <f ca="1">IFERROR(__xludf.DUMMYFUNCTION("""COMPUTED_VALUE"""),29)</f>
        <v>29</v>
      </c>
      <c r="B1582" s="69"/>
    </row>
    <row r="1583" spans="1:2" ht="12.5" hidden="1">
      <c r="A1583" s="5">
        <f ca="1">IFERROR(__xludf.DUMMYFUNCTION("""COMPUTED_VALUE"""),31)</f>
        <v>31</v>
      </c>
      <c r="B1583" s="69"/>
    </row>
    <row r="1584" spans="1:2" ht="12.5" hidden="1">
      <c r="A1584" s="5">
        <f ca="1">IFERROR(__xludf.DUMMYFUNCTION("""COMPUTED_VALUE"""),53)</f>
        <v>53</v>
      </c>
      <c r="B1584" s="69"/>
    </row>
    <row r="1585" spans="1:2" ht="12.5" hidden="1">
      <c r="A1585" s="5">
        <f ca="1">IFERROR(__xludf.DUMMYFUNCTION("""COMPUTED_VALUE"""),50)</f>
        <v>50</v>
      </c>
      <c r="B1585" s="69"/>
    </row>
    <row r="1586" spans="1:2" ht="12.5" hidden="1">
      <c r="A1586" s="5">
        <f ca="1">IFERROR(__xludf.DUMMYFUNCTION("""COMPUTED_VALUE"""),52)</f>
        <v>52</v>
      </c>
      <c r="B1586" s="69"/>
    </row>
    <row r="1587" spans="1:2" ht="12.5" hidden="1">
      <c r="A1587" s="5">
        <f ca="1">IFERROR(__xludf.DUMMYFUNCTION("""COMPUTED_VALUE"""),95)</f>
        <v>95</v>
      </c>
      <c r="B1587" s="69"/>
    </row>
    <row r="1588" spans="1:2" ht="12.5" hidden="1">
      <c r="A1588" s="5">
        <f ca="1">IFERROR(__xludf.DUMMYFUNCTION("""COMPUTED_VALUE"""),95)</f>
        <v>95</v>
      </c>
      <c r="B1588" s="69"/>
    </row>
    <row r="1589" spans="1:2" ht="12.5" hidden="1">
      <c r="A1589" s="5">
        <f ca="1">IFERROR(__xludf.DUMMYFUNCTION("""COMPUTED_VALUE"""),49)</f>
        <v>49</v>
      </c>
      <c r="B1589" s="69"/>
    </row>
    <row r="1590" spans="1:2" ht="12.5" hidden="1">
      <c r="A1590" s="5">
        <f ca="1">IFERROR(__xludf.DUMMYFUNCTION("""COMPUTED_VALUE"""),29)</f>
        <v>29</v>
      </c>
      <c r="B1590" s="69"/>
    </row>
    <row r="1591" spans="1:2" ht="12.5" hidden="1">
      <c r="A1591" s="5">
        <f ca="1">IFERROR(__xludf.DUMMYFUNCTION("""COMPUTED_VALUE"""),68)</f>
        <v>68</v>
      </c>
      <c r="B1591" s="69"/>
    </row>
    <row r="1592" spans="1:2" ht="12.5" hidden="1">
      <c r="A1592" s="5">
        <f ca="1">IFERROR(__xludf.DUMMYFUNCTION("""COMPUTED_VALUE"""),95)</f>
        <v>95</v>
      </c>
      <c r="B1592" s="69"/>
    </row>
    <row r="1593" spans="1:2" ht="12.5" hidden="1">
      <c r="A1593" s="5">
        <f ca="1">IFERROR(__xludf.DUMMYFUNCTION("""COMPUTED_VALUE"""),95)</f>
        <v>95</v>
      </c>
      <c r="B1593" s="69"/>
    </row>
    <row r="1594" spans="1:2" ht="12.5" hidden="1">
      <c r="A1594" s="5">
        <f ca="1">IFERROR(__xludf.DUMMYFUNCTION("""COMPUTED_VALUE"""),43)</f>
        <v>43</v>
      </c>
      <c r="B1594" s="69"/>
    </row>
    <row r="1595" spans="1:2" ht="12.5" hidden="1">
      <c r="A1595" s="5">
        <f ca="1">IFERROR(__xludf.DUMMYFUNCTION("""COMPUTED_VALUE"""),52)</f>
        <v>52</v>
      </c>
      <c r="B1595" s="69"/>
    </row>
    <row r="1596" spans="1:2" ht="12.5" hidden="1">
      <c r="A1596" s="5">
        <f ca="1">IFERROR(__xludf.DUMMYFUNCTION("""COMPUTED_VALUE"""),52)</f>
        <v>52</v>
      </c>
      <c r="B1596" s="69"/>
    </row>
    <row r="1597" spans="1:2" ht="12.5" hidden="1">
      <c r="A1597" s="5">
        <f ca="1">IFERROR(__xludf.DUMMYFUNCTION("""COMPUTED_VALUE"""),25)</f>
        <v>25</v>
      </c>
      <c r="B1597" s="69"/>
    </row>
    <row r="1598" spans="1:2" ht="12.5" hidden="1">
      <c r="A1598" s="5">
        <f ca="1">IFERROR(__xludf.DUMMYFUNCTION("""COMPUTED_VALUE"""),70)</f>
        <v>70</v>
      </c>
      <c r="B1598" s="69"/>
    </row>
    <row r="1599" spans="1:2" ht="12.5" hidden="1">
      <c r="A1599" s="5">
        <f ca="1">IFERROR(__xludf.DUMMYFUNCTION("""COMPUTED_VALUE"""),29)</f>
        <v>29</v>
      </c>
      <c r="B1599" s="69"/>
    </row>
    <row r="1600" spans="1:2" ht="12.5" hidden="1">
      <c r="A1600" s="5">
        <f ca="1">IFERROR(__xludf.DUMMYFUNCTION("""COMPUTED_VALUE"""),78)</f>
        <v>78</v>
      </c>
      <c r="B1600" s="69"/>
    </row>
    <row r="1601" spans="1:2" ht="12.5">
      <c r="A1601" s="5">
        <f ca="1">IFERROR(__xludf.DUMMYFUNCTION("""COMPUTED_VALUE"""),51)</f>
        <v>51</v>
      </c>
      <c r="B1601" s="69"/>
    </row>
    <row r="1602" spans="1:2" ht="12.5" hidden="1">
      <c r="A1602" s="5">
        <f ca="1">IFERROR(__xludf.DUMMYFUNCTION("""COMPUTED_VALUE"""),70)</f>
        <v>70</v>
      </c>
      <c r="B1602" s="69"/>
    </row>
    <row r="1603" spans="1:2" ht="12.5" hidden="1">
      <c r="A1603" s="5">
        <f ca="1">IFERROR(__xludf.DUMMYFUNCTION("""COMPUTED_VALUE"""),53)</f>
        <v>53</v>
      </c>
      <c r="B1603" s="69"/>
    </row>
    <row r="1604" spans="1:2" ht="12.5" hidden="1">
      <c r="A1604" s="5">
        <f ca="1">IFERROR(__xludf.DUMMYFUNCTION("""COMPUTED_VALUE"""),95)</f>
        <v>95</v>
      </c>
      <c r="B1604" s="69"/>
    </row>
    <row r="1605" spans="1:2" ht="12.5" hidden="1">
      <c r="A1605" s="5">
        <f ca="1">IFERROR(__xludf.DUMMYFUNCTION("""COMPUTED_VALUE"""),95)</f>
        <v>95</v>
      </c>
      <c r="B1605" s="69"/>
    </row>
    <row r="1606" spans="1:2" ht="12.5" hidden="1">
      <c r="A1606" s="5">
        <f ca="1">IFERROR(__xludf.DUMMYFUNCTION("""COMPUTED_VALUE"""),29)</f>
        <v>29</v>
      </c>
      <c r="B1606" s="69"/>
    </row>
    <row r="1607" spans="1:2" ht="12.5" hidden="1">
      <c r="A1607" s="5">
        <f ca="1">IFERROR(__xludf.DUMMYFUNCTION("""COMPUTED_VALUE"""),57)</f>
        <v>57</v>
      </c>
      <c r="B1607" s="69"/>
    </row>
    <row r="1608" spans="1:2" ht="12.5" hidden="1">
      <c r="A1608" s="5">
        <f ca="1">IFERROR(__xludf.DUMMYFUNCTION("""COMPUTED_VALUE"""),95)</f>
        <v>95</v>
      </c>
      <c r="B1608" s="69"/>
    </row>
    <row r="1609" spans="1:2" ht="12.5" hidden="1">
      <c r="A1609" s="5">
        <f ca="1">IFERROR(__xludf.DUMMYFUNCTION("""COMPUTED_VALUE"""),63)</f>
        <v>63</v>
      </c>
      <c r="B1609" s="69"/>
    </row>
    <row r="1610" spans="1:2" ht="12.5" hidden="1">
      <c r="A1610" s="5">
        <f ca="1">IFERROR(__xludf.DUMMYFUNCTION("""COMPUTED_VALUE"""),95)</f>
        <v>95</v>
      </c>
      <c r="B1610" s="69"/>
    </row>
    <row r="1611" spans="1:2" ht="12.5" hidden="1">
      <c r="A1611" s="5">
        <f ca="1">IFERROR(__xludf.DUMMYFUNCTION("""COMPUTED_VALUE"""),52)</f>
        <v>52</v>
      </c>
      <c r="B1611" s="69"/>
    </row>
    <row r="1612" spans="1:2" ht="12.5" hidden="1">
      <c r="A1612" s="5">
        <f ca="1">IFERROR(__xludf.DUMMYFUNCTION("""COMPUTED_VALUE"""),95)</f>
        <v>95</v>
      </c>
      <c r="B1612" s="69"/>
    </row>
    <row r="1613" spans="1:2" ht="12.5" hidden="1">
      <c r="A1613" s="5">
        <f ca="1">IFERROR(__xludf.DUMMYFUNCTION("""COMPUTED_VALUE"""),95)</f>
        <v>95</v>
      </c>
      <c r="B1613" s="69"/>
    </row>
    <row r="1614" spans="1:2" ht="12.5" hidden="1">
      <c r="A1614" s="5">
        <f ca="1">IFERROR(__xludf.DUMMYFUNCTION("""COMPUTED_VALUE"""),95)</f>
        <v>95</v>
      </c>
      <c r="B1614" s="69"/>
    </row>
    <row r="1615" spans="1:2" ht="12.5" hidden="1">
      <c r="A1615" s="5">
        <f ca="1">IFERROR(__xludf.DUMMYFUNCTION("""COMPUTED_VALUE"""),57)</f>
        <v>57</v>
      </c>
      <c r="B1615" s="69"/>
    </row>
    <row r="1616" spans="1:2" ht="12.5" hidden="1">
      <c r="A1616" s="5">
        <f ca="1">IFERROR(__xludf.DUMMYFUNCTION("""COMPUTED_VALUE"""),5)</f>
        <v>5</v>
      </c>
      <c r="B1616" s="69"/>
    </row>
    <row r="1617" spans="1:2" ht="12.5" hidden="1">
      <c r="A1617" s="5">
        <f ca="1">IFERROR(__xludf.DUMMYFUNCTION("""COMPUTED_VALUE"""),45)</f>
        <v>45</v>
      </c>
      <c r="B1617" s="69"/>
    </row>
    <row r="1618" spans="1:2" ht="12.5" hidden="1">
      <c r="A1618" s="5">
        <f ca="1">IFERROR(__xludf.DUMMYFUNCTION("""COMPUTED_VALUE"""),29)</f>
        <v>29</v>
      </c>
      <c r="B1618" s="69"/>
    </row>
    <row r="1619" spans="1:2" ht="12.5" hidden="1">
      <c r="A1619" s="5">
        <f ca="1">IFERROR(__xludf.DUMMYFUNCTION("""COMPUTED_VALUE"""),15)</f>
        <v>15</v>
      </c>
      <c r="B1619" s="69"/>
    </row>
    <row r="1620" spans="1:2" ht="12.5" hidden="1">
      <c r="A1620" s="5">
        <f ca="1">IFERROR(__xludf.DUMMYFUNCTION("""COMPUTED_VALUE"""),95)</f>
        <v>95</v>
      </c>
      <c r="B1620" s="69"/>
    </row>
    <row r="1621" spans="1:2" ht="12.5" hidden="1">
      <c r="A1621" s="5">
        <f ca="1">IFERROR(__xludf.DUMMYFUNCTION("""COMPUTED_VALUE"""),29)</f>
        <v>29</v>
      </c>
      <c r="B1621" s="69"/>
    </row>
    <row r="1622" spans="1:2" ht="12.5" hidden="1">
      <c r="A1622" s="5">
        <f ca="1">IFERROR(__xludf.DUMMYFUNCTION("""COMPUTED_VALUE"""),45)</f>
        <v>45</v>
      </c>
      <c r="B1622" s="69"/>
    </row>
    <row r="1623" spans="1:2" ht="12.5" hidden="1">
      <c r="A1623" s="5">
        <f ca="1">IFERROR(__xludf.DUMMYFUNCTION("""COMPUTED_VALUE"""),21)</f>
        <v>21</v>
      </c>
      <c r="B1623" s="69"/>
    </row>
    <row r="1624" spans="1:2" ht="12.5" hidden="1">
      <c r="A1624" s="5">
        <f ca="1">IFERROR(__xludf.DUMMYFUNCTION("""COMPUTED_VALUE"""),59)</f>
        <v>59</v>
      </c>
      <c r="B1624" s="69"/>
    </row>
    <row r="1625" spans="1:2" ht="12.5" hidden="1">
      <c r="A1625" s="5">
        <f ca="1">IFERROR(__xludf.DUMMYFUNCTION("""COMPUTED_VALUE"""),67)</f>
        <v>67</v>
      </c>
      <c r="B1625" s="69"/>
    </row>
    <row r="1626" spans="1:2" ht="12.5" hidden="1">
      <c r="A1626" s="5">
        <f ca="1">IFERROR(__xludf.DUMMYFUNCTION("""COMPUTED_VALUE"""),19)</f>
        <v>19</v>
      </c>
      <c r="B1626" s="69"/>
    </row>
    <row r="1627" spans="1:2" ht="12.5" hidden="1">
      <c r="A1627" s="5">
        <f ca="1">IFERROR(__xludf.DUMMYFUNCTION("""COMPUTED_VALUE"""),45)</f>
        <v>45</v>
      </c>
      <c r="B1627" s="69"/>
    </row>
    <row r="1628" spans="1:2" ht="12.5" hidden="1">
      <c r="A1628" s="5">
        <f ca="1">IFERROR(__xludf.DUMMYFUNCTION("""COMPUTED_VALUE"""),95)</f>
        <v>95</v>
      </c>
      <c r="B1628" s="69"/>
    </row>
    <row r="1629" spans="1:2" ht="12.5" hidden="1">
      <c r="A1629" s="5">
        <f ca="1">IFERROR(__xludf.DUMMYFUNCTION("""COMPUTED_VALUE"""),95)</f>
        <v>95</v>
      </c>
      <c r="B1629" s="69"/>
    </row>
    <row r="1630" spans="1:2" ht="12.5" hidden="1">
      <c r="A1630" s="5">
        <f ca="1">IFERROR(__xludf.DUMMYFUNCTION("""COMPUTED_VALUE"""),20)</f>
        <v>20</v>
      </c>
      <c r="B1630" s="69"/>
    </row>
    <row r="1631" spans="1:2" ht="12.5" hidden="1">
      <c r="A1631" s="5">
        <f ca="1">IFERROR(__xludf.DUMMYFUNCTION("""COMPUTED_VALUE"""),62)</f>
        <v>62</v>
      </c>
      <c r="B1631" s="69"/>
    </row>
    <row r="1632" spans="1:2" ht="12.5" hidden="1">
      <c r="A1632" s="5">
        <f ca="1">IFERROR(__xludf.DUMMYFUNCTION("""COMPUTED_VALUE"""),53)</f>
        <v>53</v>
      </c>
      <c r="B1632" s="69"/>
    </row>
    <row r="1633" spans="1:2" ht="12.5" hidden="1">
      <c r="A1633" s="5">
        <f ca="1">IFERROR(__xludf.DUMMYFUNCTION("""COMPUTED_VALUE"""),79)</f>
        <v>79</v>
      </c>
      <c r="B1633" s="69"/>
    </row>
    <row r="1634" spans="1:2" ht="12.5" hidden="1">
      <c r="A1634" s="5">
        <f ca="1">IFERROR(__xludf.DUMMYFUNCTION("""COMPUTED_VALUE"""),81)</f>
        <v>81</v>
      </c>
      <c r="B1634" s="69"/>
    </row>
    <row r="1635" spans="1:2" ht="12.5" hidden="1">
      <c r="A1635" s="5">
        <f ca="1">IFERROR(__xludf.DUMMYFUNCTION("""COMPUTED_VALUE"""),95)</f>
        <v>95</v>
      </c>
      <c r="B1635" s="69"/>
    </row>
    <row r="1636" spans="1:2" ht="12.5" hidden="1">
      <c r="A1636" s="5">
        <f ca="1">IFERROR(__xludf.DUMMYFUNCTION("""COMPUTED_VALUE"""),31)</f>
        <v>31</v>
      </c>
      <c r="B1636" s="69"/>
    </row>
    <row r="1637" spans="1:2" ht="12.5" hidden="1">
      <c r="A1637" s="5">
        <f ca="1">IFERROR(__xludf.DUMMYFUNCTION("""COMPUTED_VALUE"""),52)</f>
        <v>52</v>
      </c>
      <c r="B1637" s="69"/>
    </row>
    <row r="1638" spans="1:2" ht="12.5" hidden="1">
      <c r="A1638" s="5">
        <f ca="1">IFERROR(__xludf.DUMMYFUNCTION("""COMPUTED_VALUE"""),64)</f>
        <v>64</v>
      </c>
      <c r="B1638" s="69"/>
    </row>
    <row r="1639" spans="1:2" ht="12.5" hidden="1">
      <c r="A1639" s="5">
        <f ca="1">IFERROR(__xludf.DUMMYFUNCTION("""COMPUTED_VALUE"""),70)</f>
        <v>70</v>
      </c>
      <c r="B1639" s="69"/>
    </row>
    <row r="1640" spans="1:2" ht="12.5" hidden="1">
      <c r="A1640" s="5">
        <f ca="1">IFERROR(__xludf.DUMMYFUNCTION("""COMPUTED_VALUE"""),53)</f>
        <v>53</v>
      </c>
      <c r="B1640" s="69"/>
    </row>
    <row r="1641" spans="1:2" ht="12.5" hidden="1">
      <c r="A1641" s="5">
        <f ca="1">IFERROR(__xludf.DUMMYFUNCTION("""COMPUTED_VALUE"""),95)</f>
        <v>95</v>
      </c>
      <c r="B1641" s="69"/>
    </row>
    <row r="1642" spans="1:2" ht="12.5" hidden="1">
      <c r="A1642" s="5">
        <f ca="1">IFERROR(__xludf.DUMMYFUNCTION("""COMPUTED_VALUE"""),52)</f>
        <v>52</v>
      </c>
      <c r="B1642" s="69"/>
    </row>
    <row r="1643" spans="1:2" ht="12.5" hidden="1">
      <c r="A1643" s="5">
        <f ca="1">IFERROR(__xludf.DUMMYFUNCTION("""COMPUTED_VALUE"""),31)</f>
        <v>31</v>
      </c>
      <c r="B1643" s="69"/>
    </row>
    <row r="1644" spans="1:2" ht="12.5" hidden="1">
      <c r="A1644" s="5">
        <f ca="1">IFERROR(__xludf.DUMMYFUNCTION("""COMPUTED_VALUE"""),7)</f>
        <v>7</v>
      </c>
      <c r="B1644" s="69"/>
    </row>
    <row r="1645" spans="1:2" ht="12.5" hidden="1">
      <c r="A1645" s="5">
        <f ca="1">IFERROR(__xludf.DUMMYFUNCTION("""COMPUTED_VALUE"""),90)</f>
        <v>90</v>
      </c>
      <c r="B1645" s="69"/>
    </row>
    <row r="1646" spans="1:2" ht="12.5" hidden="1">
      <c r="A1646" s="5">
        <f ca="1">IFERROR(__xludf.DUMMYFUNCTION("""COMPUTED_VALUE"""),95)</f>
        <v>95</v>
      </c>
      <c r="B1646" s="69"/>
    </row>
    <row r="1647" spans="1:2" ht="12.5" hidden="1">
      <c r="A1647" s="5">
        <f ca="1">IFERROR(__xludf.DUMMYFUNCTION("""COMPUTED_VALUE"""),37)</f>
        <v>37</v>
      </c>
      <c r="B1647" s="69"/>
    </row>
    <row r="1648" spans="1:2" ht="12.5" hidden="1">
      <c r="A1648" s="5">
        <f ca="1">IFERROR(__xludf.DUMMYFUNCTION("""COMPUTED_VALUE"""),46)</f>
        <v>46</v>
      </c>
      <c r="B1648" s="69"/>
    </row>
    <row r="1649" spans="1:2" ht="12.5" hidden="1">
      <c r="A1649" s="5">
        <f ca="1">IFERROR(__xludf.DUMMYFUNCTION("""COMPUTED_VALUE"""),52)</f>
        <v>52</v>
      </c>
      <c r="B1649" s="69"/>
    </row>
    <row r="1650" spans="1:2" ht="12.5" hidden="1">
      <c r="A1650" s="5">
        <f ca="1">IFERROR(__xludf.DUMMYFUNCTION("""COMPUTED_VALUE"""),89)</f>
        <v>89</v>
      </c>
      <c r="B1650" s="69"/>
    </row>
    <row r="1651" spans="1:2" ht="12.5" hidden="1">
      <c r="A1651" s="5">
        <f ca="1">IFERROR(__xludf.DUMMYFUNCTION("""COMPUTED_VALUE"""),11)</f>
        <v>11</v>
      </c>
      <c r="B1651" s="69"/>
    </row>
    <row r="1652" spans="1:2" ht="12.5" hidden="1">
      <c r="A1652" s="5">
        <f ca="1">IFERROR(__xludf.DUMMYFUNCTION("""COMPUTED_VALUE"""),31)</f>
        <v>31</v>
      </c>
      <c r="B1652" s="69"/>
    </row>
    <row r="1653" spans="1:2" ht="12.5" hidden="1">
      <c r="A1653" s="5">
        <f ca="1">IFERROR(__xludf.DUMMYFUNCTION("""COMPUTED_VALUE"""),11)</f>
        <v>11</v>
      </c>
      <c r="B1653" s="69"/>
    </row>
    <row r="1654" spans="1:2" ht="12.5" hidden="1">
      <c r="A1654" s="5">
        <f ca="1">IFERROR(__xludf.DUMMYFUNCTION("""COMPUTED_VALUE"""),76)</f>
        <v>76</v>
      </c>
      <c r="B1654" s="69"/>
    </row>
    <row r="1655" spans="1:2" ht="12.5" hidden="1">
      <c r="A1655" s="5">
        <f ca="1">IFERROR(__xludf.DUMMYFUNCTION("""COMPUTED_VALUE"""),78)</f>
        <v>78</v>
      </c>
      <c r="B1655" s="69"/>
    </row>
    <row r="1656" spans="1:2" ht="12.5" hidden="1">
      <c r="A1656" s="5">
        <f ca="1">IFERROR(__xludf.DUMMYFUNCTION("""COMPUTED_VALUE"""),31)</f>
        <v>31</v>
      </c>
      <c r="B1656" s="69"/>
    </row>
    <row r="1657" spans="1:2" ht="12.5" hidden="1">
      <c r="A1657" s="5">
        <f ca="1">IFERROR(__xludf.DUMMYFUNCTION("""COMPUTED_VALUE"""),95)</f>
        <v>95</v>
      </c>
      <c r="B1657" s="69"/>
    </row>
    <row r="1658" spans="1:2" ht="12.5" hidden="1">
      <c r="A1658" s="5">
        <f ca="1">IFERROR(__xludf.DUMMYFUNCTION("""COMPUTED_VALUE"""),95)</f>
        <v>95</v>
      </c>
      <c r="B1658" s="69"/>
    </row>
    <row r="1659" spans="1:2" ht="12.5" hidden="1">
      <c r="A1659" s="5">
        <f ca="1">IFERROR(__xludf.DUMMYFUNCTION("""COMPUTED_VALUE"""),95)</f>
        <v>95</v>
      </c>
      <c r="B1659" s="69"/>
    </row>
    <row r="1660" spans="1:2" ht="12.5" hidden="1">
      <c r="A1660" s="5">
        <f ca="1">IFERROR(__xludf.DUMMYFUNCTION("""COMPUTED_VALUE"""),95)</f>
        <v>95</v>
      </c>
      <c r="B1660" s="69"/>
    </row>
    <row r="1661" spans="1:2" ht="12.5" hidden="1">
      <c r="A1661" s="5">
        <f ca="1">IFERROR(__xludf.DUMMYFUNCTION("""COMPUTED_VALUE"""),32)</f>
        <v>32</v>
      </c>
      <c r="B1661" s="69"/>
    </row>
    <row r="1662" spans="1:2" ht="12.5" hidden="1">
      <c r="A1662" s="5">
        <f ca="1">IFERROR(__xludf.DUMMYFUNCTION("""COMPUTED_VALUE"""),95)</f>
        <v>95</v>
      </c>
      <c r="B1662" s="69"/>
    </row>
    <row r="1663" spans="1:2" ht="12.5" hidden="1">
      <c r="A1663" s="5">
        <f ca="1">IFERROR(__xludf.DUMMYFUNCTION("""COMPUTED_VALUE"""),31)</f>
        <v>31</v>
      </c>
      <c r="B1663" s="69"/>
    </row>
    <row r="1664" spans="1:2" ht="12.5" hidden="1">
      <c r="A1664" s="5">
        <f ca="1">IFERROR(__xludf.DUMMYFUNCTION("""COMPUTED_VALUE"""),95)</f>
        <v>95</v>
      </c>
      <c r="B1664" s="69"/>
    </row>
    <row r="1665" spans="1:2" ht="12.5" hidden="1">
      <c r="A1665" s="5">
        <f ca="1">IFERROR(__xludf.DUMMYFUNCTION("""COMPUTED_VALUE"""),49)</f>
        <v>49</v>
      </c>
      <c r="B1665" s="69"/>
    </row>
    <row r="1666" spans="1:2" ht="12.5" hidden="1">
      <c r="A1666" s="5">
        <f ca="1">IFERROR(__xludf.DUMMYFUNCTION("""COMPUTED_VALUE"""),95)</f>
        <v>95</v>
      </c>
      <c r="B1666" s="69"/>
    </row>
    <row r="1667" spans="1:2" ht="12.5" hidden="1">
      <c r="A1667" s="5">
        <f ca="1">IFERROR(__xludf.DUMMYFUNCTION("""COMPUTED_VALUE"""),29)</f>
        <v>29</v>
      </c>
      <c r="B1667" s="69"/>
    </row>
    <row r="1668" spans="1:2" ht="12.5" hidden="1">
      <c r="A1668" s="5">
        <f ca="1">IFERROR(__xludf.DUMMYFUNCTION("""COMPUTED_VALUE"""),95)</f>
        <v>95</v>
      </c>
      <c r="B1668" s="69"/>
    </row>
    <row r="1669" spans="1:2" ht="12.5" hidden="1">
      <c r="A1669" s="5">
        <f ca="1">IFERROR(__xludf.DUMMYFUNCTION("""COMPUTED_VALUE"""),34)</f>
        <v>34</v>
      </c>
      <c r="B1669" s="69"/>
    </row>
    <row r="1670" spans="1:2" ht="12.5" hidden="1">
      <c r="A1670" s="5">
        <f ca="1">IFERROR(__xludf.DUMMYFUNCTION("""COMPUTED_VALUE"""),29)</f>
        <v>29</v>
      </c>
      <c r="B1670" s="69"/>
    </row>
    <row r="1671" spans="1:2" ht="12.5" hidden="1">
      <c r="A1671" s="5">
        <f ca="1">IFERROR(__xludf.DUMMYFUNCTION("""COMPUTED_VALUE"""),55)</f>
        <v>55</v>
      </c>
      <c r="B1671" s="69"/>
    </row>
    <row r="1672" spans="1:2" ht="12.5" hidden="1">
      <c r="A1672" s="5">
        <f ca="1">IFERROR(__xludf.DUMMYFUNCTION("""COMPUTED_VALUE"""),38)</f>
        <v>38</v>
      </c>
      <c r="B1672" s="69"/>
    </row>
    <row r="1673" spans="1:2" ht="12.5" hidden="1">
      <c r="A1673" s="5">
        <f ca="1">IFERROR(__xludf.DUMMYFUNCTION("""COMPUTED_VALUE"""),31)</f>
        <v>31</v>
      </c>
      <c r="B1673" s="69"/>
    </row>
    <row r="1674" spans="1:2" ht="12.5" hidden="1">
      <c r="A1674" s="5">
        <f ca="1">IFERROR(__xludf.DUMMYFUNCTION("""COMPUTED_VALUE"""),29)</f>
        <v>29</v>
      </c>
      <c r="B1674" s="69"/>
    </row>
    <row r="1675" spans="1:2" ht="12.5" hidden="1">
      <c r="A1675" s="5">
        <f ca="1">IFERROR(__xludf.DUMMYFUNCTION("""COMPUTED_VALUE"""),53)</f>
        <v>53</v>
      </c>
      <c r="B1675" s="69"/>
    </row>
    <row r="1676" spans="1:2" ht="12.5" hidden="1">
      <c r="A1676" s="5">
        <f ca="1">IFERROR(__xludf.DUMMYFUNCTION("""COMPUTED_VALUE"""),21)</f>
        <v>21</v>
      </c>
      <c r="B1676" s="69"/>
    </row>
    <row r="1677" spans="1:2" ht="12.5" hidden="1">
      <c r="A1677" s="5">
        <f ca="1">IFERROR(__xludf.DUMMYFUNCTION("""COMPUTED_VALUE"""),31)</f>
        <v>31</v>
      </c>
      <c r="B1677" s="69"/>
    </row>
    <row r="1678" spans="1:2" ht="12.5" hidden="1">
      <c r="A1678" s="5">
        <f ca="1">IFERROR(__xludf.DUMMYFUNCTION("""COMPUTED_VALUE"""),95)</f>
        <v>95</v>
      </c>
      <c r="B1678" s="69"/>
    </row>
    <row r="1679" spans="1:2" ht="12.5" hidden="1">
      <c r="A1679" s="5">
        <f ca="1">IFERROR(__xludf.DUMMYFUNCTION("""COMPUTED_VALUE"""),29)</f>
        <v>29</v>
      </c>
      <c r="B1679" s="69"/>
    </row>
    <row r="1680" spans="1:2" ht="12.5" hidden="1">
      <c r="A1680" s="5">
        <f ca="1">IFERROR(__xludf.DUMMYFUNCTION("""COMPUTED_VALUE"""),95)</f>
        <v>95</v>
      </c>
      <c r="B1680" s="69"/>
    </row>
    <row r="1681" spans="1:2" ht="12.5" hidden="1">
      <c r="A1681" s="5">
        <f ca="1">IFERROR(__xludf.DUMMYFUNCTION("""COMPUTED_VALUE"""),71)</f>
        <v>71</v>
      </c>
      <c r="B1681" s="69"/>
    </row>
    <row r="1682" spans="1:2" ht="12.5" hidden="1">
      <c r="A1682" s="5">
        <f ca="1">IFERROR(__xludf.DUMMYFUNCTION("""COMPUTED_VALUE"""),24)</f>
        <v>24</v>
      </c>
      <c r="B1682" s="69"/>
    </row>
    <row r="1683" spans="1:2" ht="12.5" hidden="1">
      <c r="A1683" s="5">
        <f ca="1">IFERROR(__xludf.DUMMYFUNCTION("""COMPUTED_VALUE"""),52)</f>
        <v>52</v>
      </c>
      <c r="B1683" s="69"/>
    </row>
    <row r="1684" spans="1:2" ht="12.5" hidden="1">
      <c r="A1684" s="5">
        <f ca="1">IFERROR(__xludf.DUMMYFUNCTION("""COMPUTED_VALUE"""),32)</f>
        <v>32</v>
      </c>
      <c r="B1684" s="69"/>
    </row>
    <row r="1685" spans="1:2" ht="12.5" hidden="1">
      <c r="A1685" s="5">
        <f ca="1">IFERROR(__xludf.DUMMYFUNCTION("""COMPUTED_VALUE"""),31)</f>
        <v>31</v>
      </c>
      <c r="B1685" s="69"/>
    </row>
    <row r="1686" spans="1:2" ht="12.5" hidden="1">
      <c r="A1686" s="5">
        <f ca="1">IFERROR(__xludf.DUMMYFUNCTION("""COMPUTED_VALUE"""),69)</f>
        <v>69</v>
      </c>
      <c r="B1686" s="69"/>
    </row>
    <row r="1687" spans="1:2" ht="12.5" hidden="1">
      <c r="A1687" s="5">
        <f ca="1">IFERROR(__xludf.DUMMYFUNCTION("""COMPUTED_VALUE"""),19)</f>
        <v>19</v>
      </c>
      <c r="B1687" s="69"/>
    </row>
    <row r="1688" spans="1:2" ht="12.5" hidden="1">
      <c r="A1688" s="5">
        <f ca="1">IFERROR(__xludf.DUMMYFUNCTION("""COMPUTED_VALUE"""),5)</f>
        <v>5</v>
      </c>
      <c r="B1688" s="69"/>
    </row>
    <row r="1689" spans="1:2" ht="12.5" hidden="1">
      <c r="A1689" s="5">
        <f ca="1">IFERROR(__xludf.DUMMYFUNCTION("""COMPUTED_VALUE"""),20)</f>
        <v>20</v>
      </c>
      <c r="B1689" s="69"/>
    </row>
    <row r="1690" spans="1:2" ht="12.5" hidden="1">
      <c r="A1690" s="5">
        <f ca="1">IFERROR(__xludf.DUMMYFUNCTION("""COMPUTED_VALUE"""),90)</f>
        <v>90</v>
      </c>
      <c r="B1690" s="69"/>
    </row>
    <row r="1691" spans="1:2" ht="12.5" hidden="1">
      <c r="A1691" s="5">
        <f ca="1">IFERROR(__xludf.DUMMYFUNCTION("""COMPUTED_VALUE"""),31)</f>
        <v>31</v>
      </c>
      <c r="B1691" s="69"/>
    </row>
    <row r="1692" spans="1:2" ht="12.5" hidden="1">
      <c r="A1692" s="5">
        <f ca="1">IFERROR(__xludf.DUMMYFUNCTION("""COMPUTED_VALUE"""),29)</f>
        <v>29</v>
      </c>
      <c r="B1692" s="69"/>
    </row>
    <row r="1693" spans="1:2" ht="12.5" hidden="1">
      <c r="A1693" s="5">
        <f ca="1">IFERROR(__xludf.DUMMYFUNCTION("""COMPUTED_VALUE"""),31)</f>
        <v>31</v>
      </c>
      <c r="B1693" s="69"/>
    </row>
    <row r="1694" spans="1:2" ht="12.5" hidden="1">
      <c r="A1694" s="5">
        <f ca="1">IFERROR(__xludf.DUMMYFUNCTION("""COMPUTED_VALUE"""),52)</f>
        <v>52</v>
      </c>
      <c r="B1694" s="69"/>
    </row>
    <row r="1695" spans="1:2" ht="12.5" hidden="1">
      <c r="A1695" s="5">
        <f ca="1">IFERROR(__xludf.DUMMYFUNCTION("""COMPUTED_VALUE"""),56)</f>
        <v>56</v>
      </c>
      <c r="B1695" s="69"/>
    </row>
    <row r="1696" spans="1:2" ht="12.5" hidden="1">
      <c r="A1696" s="5">
        <f ca="1">IFERROR(__xludf.DUMMYFUNCTION("""COMPUTED_VALUE"""),44)</f>
        <v>44</v>
      </c>
      <c r="B1696" s="69"/>
    </row>
    <row r="1697" spans="1:2" ht="12.5" hidden="1">
      <c r="A1697" s="5">
        <f ca="1">IFERROR(__xludf.DUMMYFUNCTION("""COMPUTED_VALUE"""),95)</f>
        <v>95</v>
      </c>
      <c r="B1697" s="69"/>
    </row>
    <row r="1698" spans="1:2" ht="12.5" hidden="1">
      <c r="A1698" s="5">
        <f ca="1">IFERROR(__xludf.DUMMYFUNCTION("""COMPUTED_VALUE"""),50)</f>
        <v>50</v>
      </c>
      <c r="B1698" s="69"/>
    </row>
    <row r="1699" spans="1:2" ht="12.5" hidden="1">
      <c r="A1699" s="5">
        <f ca="1">IFERROR(__xludf.DUMMYFUNCTION("""COMPUTED_VALUE"""),95)</f>
        <v>95</v>
      </c>
      <c r="B1699" s="69"/>
    </row>
    <row r="1700" spans="1:2" ht="12.5" hidden="1">
      <c r="A1700" s="5">
        <f ca="1">IFERROR(__xludf.DUMMYFUNCTION("""COMPUTED_VALUE"""),32)</f>
        <v>32</v>
      </c>
      <c r="B1700" s="69"/>
    </row>
    <row r="1701" spans="1:2" ht="12.5" hidden="1">
      <c r="A1701" s="5">
        <f ca="1">IFERROR(__xludf.DUMMYFUNCTION("""COMPUTED_VALUE"""),95)</f>
        <v>95</v>
      </c>
      <c r="B1701" s="69"/>
    </row>
    <row r="1702" spans="1:2" ht="12.5" hidden="1">
      <c r="A1702" s="5">
        <f ca="1">IFERROR(__xludf.DUMMYFUNCTION("""COMPUTED_VALUE"""),29)</f>
        <v>29</v>
      </c>
      <c r="B1702" s="69"/>
    </row>
    <row r="1703" spans="1:2" ht="12.5" hidden="1">
      <c r="A1703" s="5">
        <f ca="1">IFERROR(__xludf.DUMMYFUNCTION("""COMPUTED_VALUE"""),95)</f>
        <v>95</v>
      </c>
      <c r="B1703" s="69"/>
    </row>
    <row r="1704" spans="1:2" ht="12.5" hidden="1">
      <c r="A1704" s="5">
        <f ca="1">IFERROR(__xludf.DUMMYFUNCTION("""COMPUTED_VALUE"""),52)</f>
        <v>52</v>
      </c>
      <c r="B1704" s="69"/>
    </row>
    <row r="1705" spans="1:2" ht="12.5" hidden="1">
      <c r="A1705" s="5">
        <f ca="1">IFERROR(__xludf.DUMMYFUNCTION("""COMPUTED_VALUE"""),31)</f>
        <v>31</v>
      </c>
      <c r="B1705" s="69"/>
    </row>
    <row r="1706" spans="1:2" ht="12.5" hidden="1">
      <c r="A1706" s="5">
        <f ca="1">IFERROR(__xludf.DUMMYFUNCTION("""COMPUTED_VALUE"""),95)</f>
        <v>95</v>
      </c>
      <c r="B1706" s="69"/>
    </row>
    <row r="1707" spans="1:2" ht="12.5" hidden="1">
      <c r="A1707" s="5">
        <f ca="1">IFERROR(__xludf.DUMMYFUNCTION("""COMPUTED_VALUE"""),52)</f>
        <v>52</v>
      </c>
      <c r="B1707" s="69"/>
    </row>
    <row r="1708" spans="1:2" ht="12.5" hidden="1">
      <c r="A1708" s="5">
        <f ca="1">IFERROR(__xludf.DUMMYFUNCTION("""COMPUTED_VALUE"""),20)</f>
        <v>20</v>
      </c>
      <c r="B1708" s="69"/>
    </row>
    <row r="1709" spans="1:2" ht="12.5" hidden="1">
      <c r="A1709" s="5">
        <f ca="1">IFERROR(__xludf.DUMMYFUNCTION("""COMPUTED_VALUE"""),52)</f>
        <v>52</v>
      </c>
      <c r="B1709" s="69"/>
    </row>
    <row r="1710" spans="1:2" ht="12.5" hidden="1">
      <c r="A1710" s="5">
        <f ca="1">IFERROR(__xludf.DUMMYFUNCTION("""COMPUTED_VALUE"""),52)</f>
        <v>52</v>
      </c>
      <c r="B1710" s="69"/>
    </row>
    <row r="1711" spans="1:2" ht="12.5" hidden="1">
      <c r="A1711" s="5">
        <f ca="1">IFERROR(__xludf.DUMMYFUNCTION("""COMPUTED_VALUE"""),52)</f>
        <v>52</v>
      </c>
      <c r="B1711" s="69"/>
    </row>
    <row r="1712" spans="1:2" ht="12.5" hidden="1">
      <c r="A1712" s="5">
        <f ca="1">IFERROR(__xludf.DUMMYFUNCTION("""COMPUTED_VALUE"""),95)</f>
        <v>95</v>
      </c>
      <c r="B1712" s="69"/>
    </row>
    <row r="1713" spans="1:2" ht="12.5" hidden="1">
      <c r="A1713" s="5">
        <f ca="1">IFERROR(__xludf.DUMMYFUNCTION("""COMPUTED_VALUE"""),95)</f>
        <v>95</v>
      </c>
      <c r="B1713" s="69"/>
    </row>
    <row r="1714" spans="1:2" ht="12.5" hidden="1">
      <c r="A1714" s="5">
        <f ca="1">IFERROR(__xludf.DUMMYFUNCTION("""COMPUTED_VALUE"""),64)</f>
        <v>64</v>
      </c>
      <c r="B1714" s="69"/>
    </row>
    <row r="1715" spans="1:2" ht="12.5" hidden="1">
      <c r="A1715" s="5">
        <f ca="1">IFERROR(__xludf.DUMMYFUNCTION("""COMPUTED_VALUE"""),31)</f>
        <v>31</v>
      </c>
      <c r="B1715" s="69"/>
    </row>
    <row r="1716" spans="1:2" ht="12.5" hidden="1">
      <c r="A1716" s="5">
        <f ca="1">IFERROR(__xludf.DUMMYFUNCTION("""COMPUTED_VALUE"""),52)</f>
        <v>52</v>
      </c>
      <c r="B1716" s="69"/>
    </row>
    <row r="1717" spans="1:2" ht="12.5" hidden="1">
      <c r="A1717" s="5">
        <f ca="1">IFERROR(__xludf.DUMMYFUNCTION("""COMPUTED_VALUE"""),7)</f>
        <v>7</v>
      </c>
      <c r="B1717" s="69"/>
    </row>
    <row r="1718" spans="1:2" ht="12.5" hidden="1">
      <c r="A1718" s="5">
        <f ca="1">IFERROR(__xludf.DUMMYFUNCTION("""COMPUTED_VALUE"""),21)</f>
        <v>21</v>
      </c>
      <c r="B1718" s="69"/>
    </row>
    <row r="1719" spans="1:2" ht="12.5" hidden="1">
      <c r="A1719" s="5">
        <f ca="1">IFERROR(__xludf.DUMMYFUNCTION("""COMPUTED_VALUE"""),52)</f>
        <v>52</v>
      </c>
      <c r="B1719" s="69"/>
    </row>
    <row r="1720" spans="1:2" ht="12.5" hidden="1">
      <c r="A1720" s="5">
        <f ca="1">IFERROR(__xludf.DUMMYFUNCTION("""COMPUTED_VALUE"""),31)</f>
        <v>31</v>
      </c>
      <c r="B1720" s="69"/>
    </row>
    <row r="1721" spans="1:2" ht="12.5" hidden="1">
      <c r="A1721" s="5">
        <f ca="1">IFERROR(__xludf.DUMMYFUNCTION("""COMPUTED_VALUE"""),5)</f>
        <v>5</v>
      </c>
      <c r="B1721" s="69"/>
    </row>
    <row r="1722" spans="1:2" ht="12.5" hidden="1">
      <c r="A1722" s="5">
        <f ca="1">IFERROR(__xludf.DUMMYFUNCTION("""COMPUTED_VALUE"""),44)</f>
        <v>44</v>
      </c>
      <c r="B1722" s="69"/>
    </row>
    <row r="1723" spans="1:2" ht="12.5" hidden="1">
      <c r="A1723" s="5">
        <f ca="1">IFERROR(__xludf.DUMMYFUNCTION("""COMPUTED_VALUE"""),31)</f>
        <v>31</v>
      </c>
      <c r="B1723" s="69"/>
    </row>
    <row r="1724" spans="1:2" ht="12.5" hidden="1">
      <c r="A1724" s="5">
        <f ca="1">IFERROR(__xludf.DUMMYFUNCTION("""COMPUTED_VALUE"""),61)</f>
        <v>61</v>
      </c>
      <c r="B1724" s="69"/>
    </row>
    <row r="1725" spans="1:2" ht="12.5" hidden="1">
      <c r="A1725" s="5">
        <f ca="1">IFERROR(__xludf.DUMMYFUNCTION("""COMPUTED_VALUE"""),52)</f>
        <v>52</v>
      </c>
      <c r="B1725" s="69"/>
    </row>
    <row r="1726" spans="1:2" ht="12.5" hidden="1">
      <c r="A1726" s="5">
        <f ca="1">IFERROR(__xludf.DUMMYFUNCTION("""COMPUTED_VALUE"""),69)</f>
        <v>69</v>
      </c>
      <c r="B1726" s="69"/>
    </row>
    <row r="1727" spans="1:2" ht="12.5" hidden="1">
      <c r="A1727" s="5">
        <f ca="1">IFERROR(__xludf.DUMMYFUNCTION("""COMPUTED_VALUE"""),70)</f>
        <v>70</v>
      </c>
      <c r="B1727" s="69"/>
    </row>
    <row r="1728" spans="1:2" ht="12.5" hidden="1">
      <c r="A1728" s="5">
        <f ca="1">IFERROR(__xludf.DUMMYFUNCTION("""COMPUTED_VALUE"""),95)</f>
        <v>95</v>
      </c>
      <c r="B1728" s="69"/>
    </row>
    <row r="1729" spans="1:2" ht="12.5" hidden="1">
      <c r="A1729" s="5">
        <f ca="1">IFERROR(__xludf.DUMMYFUNCTION("""COMPUTED_VALUE"""),32)</f>
        <v>32</v>
      </c>
      <c r="B1729" s="69"/>
    </row>
    <row r="1730" spans="1:2" ht="12.5" hidden="1">
      <c r="A1730" s="5">
        <f ca="1">IFERROR(__xludf.DUMMYFUNCTION("""COMPUTED_VALUE"""),95)</f>
        <v>95</v>
      </c>
      <c r="B1730" s="69"/>
    </row>
    <row r="1731" spans="1:2" ht="12.5" hidden="1">
      <c r="A1731" s="5">
        <f ca="1">IFERROR(__xludf.DUMMYFUNCTION("""COMPUTED_VALUE"""),95)</f>
        <v>95</v>
      </c>
      <c r="B1731" s="69"/>
    </row>
    <row r="1732" spans="1:2" ht="12.5" hidden="1">
      <c r="A1732" s="5">
        <f ca="1">IFERROR(__xludf.DUMMYFUNCTION("""COMPUTED_VALUE"""),42)</f>
        <v>42</v>
      </c>
      <c r="B1732" s="69"/>
    </row>
    <row r="1733" spans="1:2" ht="12.5" hidden="1">
      <c r="A1733" s="5">
        <f ca="1">IFERROR(__xludf.DUMMYFUNCTION("""COMPUTED_VALUE"""),52)</f>
        <v>52</v>
      </c>
      <c r="B1733" s="69"/>
    </row>
    <row r="1734" spans="1:2" ht="12.5" hidden="1">
      <c r="A1734" s="5">
        <f ca="1">IFERROR(__xludf.DUMMYFUNCTION("""COMPUTED_VALUE"""),52)</f>
        <v>52</v>
      </c>
      <c r="B1734" s="69"/>
    </row>
    <row r="1735" spans="1:2" ht="12.5" hidden="1">
      <c r="A1735" s="5">
        <f ca="1">IFERROR(__xludf.DUMMYFUNCTION("""COMPUTED_VALUE"""),26)</f>
        <v>26</v>
      </c>
      <c r="B1735" s="69"/>
    </row>
    <row r="1736" spans="1:2" ht="12.5" hidden="1">
      <c r="A1736" s="5">
        <f ca="1">IFERROR(__xludf.DUMMYFUNCTION("""COMPUTED_VALUE"""),31)</f>
        <v>31</v>
      </c>
      <c r="B1736" s="69"/>
    </row>
    <row r="1737" spans="1:2" ht="12.5" hidden="1">
      <c r="A1737" s="5">
        <f ca="1">IFERROR(__xludf.DUMMYFUNCTION("""COMPUTED_VALUE"""),15)</f>
        <v>15</v>
      </c>
      <c r="B1737" s="69"/>
    </row>
    <row r="1738" spans="1:2" ht="12.5" hidden="1">
      <c r="A1738" s="5">
        <f ca="1">IFERROR(__xludf.DUMMYFUNCTION("""COMPUTED_VALUE"""),95)</f>
        <v>95</v>
      </c>
      <c r="B1738" s="69"/>
    </row>
    <row r="1739" spans="1:2" ht="12.5" hidden="1">
      <c r="A1739" s="5">
        <f ca="1">IFERROR(__xludf.DUMMYFUNCTION("""COMPUTED_VALUE"""),95)</f>
        <v>95</v>
      </c>
      <c r="B1739" s="69"/>
    </row>
    <row r="1740" spans="1:2" ht="12.5" hidden="1">
      <c r="A1740" s="5">
        <f ca="1">IFERROR(__xludf.DUMMYFUNCTION("""COMPUTED_VALUE"""),52)</f>
        <v>52</v>
      </c>
      <c r="B1740" s="69"/>
    </row>
    <row r="1741" spans="1:2" ht="12.5" hidden="1">
      <c r="A1741" s="5">
        <f ca="1">IFERROR(__xludf.DUMMYFUNCTION("""COMPUTED_VALUE"""),7)</f>
        <v>7</v>
      </c>
      <c r="B1741" s="69"/>
    </row>
    <row r="1742" spans="1:2" ht="12.5" hidden="1">
      <c r="A1742" s="5">
        <f ca="1">IFERROR(__xludf.DUMMYFUNCTION("""COMPUTED_VALUE"""),29)</f>
        <v>29</v>
      </c>
      <c r="B1742" s="69"/>
    </row>
    <row r="1743" spans="1:2" ht="12.5" hidden="1">
      <c r="A1743" s="5">
        <f ca="1">IFERROR(__xludf.DUMMYFUNCTION("""COMPUTED_VALUE"""),11)</f>
        <v>11</v>
      </c>
      <c r="B1743" s="69"/>
    </row>
    <row r="1744" spans="1:2" ht="12.5" hidden="1">
      <c r="A1744" s="5">
        <f ca="1">IFERROR(__xludf.DUMMYFUNCTION("""COMPUTED_VALUE"""),95)</f>
        <v>95</v>
      </c>
      <c r="B1744" s="69"/>
    </row>
    <row r="1745" spans="1:2" ht="12.5" hidden="1">
      <c r="A1745" s="5">
        <f ca="1">IFERROR(__xludf.DUMMYFUNCTION("""COMPUTED_VALUE"""),95)</f>
        <v>95</v>
      </c>
      <c r="B1745" s="69"/>
    </row>
    <row r="1746" spans="1:2" ht="12.5" hidden="1">
      <c r="A1746" s="5">
        <f ca="1">IFERROR(__xludf.DUMMYFUNCTION("""COMPUTED_VALUE"""),16)</f>
        <v>16</v>
      </c>
      <c r="B1746" s="69"/>
    </row>
    <row r="1747" spans="1:2" ht="12.5">
      <c r="A1747" s="5">
        <f ca="1">IFERROR(__xludf.DUMMYFUNCTION("""COMPUTED_VALUE"""),51)</f>
        <v>51</v>
      </c>
      <c r="B1747" s="69"/>
    </row>
    <row r="1748" spans="1:2" ht="12.5" hidden="1">
      <c r="A1748" s="5">
        <f ca="1">IFERROR(__xludf.DUMMYFUNCTION("""COMPUTED_VALUE"""),42)</f>
        <v>42</v>
      </c>
      <c r="B1748" s="69"/>
    </row>
    <row r="1749" spans="1:2" ht="12.5" hidden="1">
      <c r="A1749" s="5">
        <f ca="1">IFERROR(__xludf.DUMMYFUNCTION("""COMPUTED_VALUE"""),71)</f>
        <v>71</v>
      </c>
      <c r="B1749" s="69"/>
    </row>
    <row r="1750" spans="1:2" ht="12.5" hidden="1">
      <c r="A1750" s="5">
        <f ca="1">IFERROR(__xludf.DUMMYFUNCTION("""COMPUTED_VALUE"""),53)</f>
        <v>53</v>
      </c>
      <c r="B1750" s="69"/>
    </row>
    <row r="1751" spans="1:2" ht="12.5" hidden="1">
      <c r="A1751" s="5">
        <f ca="1">IFERROR(__xludf.DUMMYFUNCTION("""COMPUTED_VALUE"""),95)</f>
        <v>95</v>
      </c>
      <c r="B1751" s="69"/>
    </row>
    <row r="1752" spans="1:2" ht="12.5" hidden="1">
      <c r="A1752" s="5">
        <f ca="1">IFERROR(__xludf.DUMMYFUNCTION("""COMPUTED_VALUE"""),67)</f>
        <v>67</v>
      </c>
      <c r="B1752" s="69"/>
    </row>
    <row r="1753" spans="1:2" ht="12.5" hidden="1">
      <c r="A1753" s="5">
        <f ca="1">IFERROR(__xludf.DUMMYFUNCTION("""COMPUTED_VALUE"""),23)</f>
        <v>23</v>
      </c>
      <c r="B1753" s="69"/>
    </row>
    <row r="1754" spans="1:2" ht="12.5" hidden="1">
      <c r="A1754" s="5">
        <f ca="1">IFERROR(__xludf.DUMMYFUNCTION("""COMPUTED_VALUE"""),29)</f>
        <v>29</v>
      </c>
      <c r="B1754" s="69"/>
    </row>
    <row r="1755" spans="1:2" ht="12.5" hidden="1">
      <c r="A1755" s="5">
        <f ca="1">IFERROR(__xludf.DUMMYFUNCTION("""COMPUTED_VALUE"""),53)</f>
        <v>53</v>
      </c>
      <c r="B1755" s="69"/>
    </row>
    <row r="1756" spans="1:2" ht="12.5" hidden="1">
      <c r="A1756" s="5">
        <f ca="1">IFERROR(__xludf.DUMMYFUNCTION("""COMPUTED_VALUE"""),23)</f>
        <v>23</v>
      </c>
      <c r="B1756" s="69"/>
    </row>
    <row r="1757" spans="1:2" ht="12.5" hidden="1">
      <c r="A1757" s="5">
        <f ca="1">IFERROR(__xludf.DUMMYFUNCTION("""COMPUTED_VALUE"""),90)</f>
        <v>90</v>
      </c>
      <c r="B1757" s="69"/>
    </row>
    <row r="1758" spans="1:2" ht="12.5" hidden="1">
      <c r="A1758" s="5">
        <f ca="1">IFERROR(__xludf.DUMMYFUNCTION("""COMPUTED_VALUE"""),29)</f>
        <v>29</v>
      </c>
      <c r="B1758" s="69"/>
    </row>
    <row r="1759" spans="1:2" ht="12.5" hidden="1">
      <c r="A1759" s="5">
        <f ca="1">IFERROR(__xludf.DUMMYFUNCTION("""COMPUTED_VALUE"""),31)</f>
        <v>31</v>
      </c>
      <c r="B1759" s="69"/>
    </row>
    <row r="1760" spans="1:2" ht="12.5" hidden="1">
      <c r="A1760" s="5">
        <f ca="1">IFERROR(__xludf.DUMMYFUNCTION("""COMPUTED_VALUE"""),56)</f>
        <v>56</v>
      </c>
      <c r="B1760" s="69"/>
    </row>
    <row r="1761" spans="1:2" ht="12.5" hidden="1">
      <c r="A1761" s="5">
        <f ca="1">IFERROR(__xludf.DUMMYFUNCTION("""COMPUTED_VALUE"""),92)</f>
        <v>92</v>
      </c>
      <c r="B1761" s="69"/>
    </row>
    <row r="1762" spans="1:2" ht="12.5" hidden="1">
      <c r="A1762" s="5">
        <f ca="1">IFERROR(__xludf.DUMMYFUNCTION("""COMPUTED_VALUE"""),45)</f>
        <v>45</v>
      </c>
      <c r="B1762" s="69"/>
    </row>
    <row r="1763" spans="1:2" ht="12.5" hidden="1">
      <c r="A1763" s="5">
        <f ca="1">IFERROR(__xludf.DUMMYFUNCTION("""COMPUTED_VALUE"""),95)</f>
        <v>95</v>
      </c>
      <c r="B1763" s="69"/>
    </row>
    <row r="1764" spans="1:2" ht="12.5" hidden="1">
      <c r="A1764" s="5">
        <f ca="1">IFERROR(__xludf.DUMMYFUNCTION("""COMPUTED_VALUE"""),26)</f>
        <v>26</v>
      </c>
      <c r="B1764" s="69"/>
    </row>
    <row r="1765" spans="1:2" ht="12.5" hidden="1">
      <c r="A1765" s="5">
        <f ca="1">IFERROR(__xludf.DUMMYFUNCTION("""COMPUTED_VALUE"""),32)</f>
        <v>32</v>
      </c>
      <c r="B1765" s="69"/>
    </row>
    <row r="1766" spans="1:2" ht="12.5" hidden="1">
      <c r="A1766" s="5">
        <f ca="1">IFERROR(__xludf.DUMMYFUNCTION("""COMPUTED_VALUE"""),2)</f>
        <v>2</v>
      </c>
      <c r="B1766" s="69"/>
    </row>
    <row r="1767" spans="1:2" ht="12.5" hidden="1">
      <c r="A1767" s="5">
        <f ca="1">IFERROR(__xludf.DUMMYFUNCTION("""COMPUTED_VALUE"""),39)</f>
        <v>39</v>
      </c>
      <c r="B1767" s="69"/>
    </row>
    <row r="1768" spans="1:2" ht="12.5" hidden="1">
      <c r="A1768" s="5">
        <f ca="1">IFERROR(__xludf.DUMMYFUNCTION("""COMPUTED_VALUE"""),52)</f>
        <v>52</v>
      </c>
      <c r="B1768" s="69"/>
    </row>
    <row r="1769" spans="1:2" ht="12.5" hidden="1">
      <c r="A1769" s="5">
        <f ca="1">IFERROR(__xludf.DUMMYFUNCTION("""COMPUTED_VALUE"""),95)</f>
        <v>95</v>
      </c>
      <c r="B1769" s="69"/>
    </row>
    <row r="1770" spans="1:2" ht="12.5" hidden="1">
      <c r="A1770" s="5">
        <f ca="1">IFERROR(__xludf.DUMMYFUNCTION("""COMPUTED_VALUE"""),42)</f>
        <v>42</v>
      </c>
      <c r="B1770" s="69"/>
    </row>
    <row r="1771" spans="1:2" ht="12.5" hidden="1">
      <c r="A1771" s="5">
        <f ca="1">IFERROR(__xludf.DUMMYFUNCTION("""COMPUTED_VALUE"""),95)</f>
        <v>95</v>
      </c>
      <c r="B1771" s="69"/>
    </row>
    <row r="1772" spans="1:2" ht="12.5" hidden="1">
      <c r="A1772" s="5">
        <f ca="1">IFERROR(__xludf.DUMMYFUNCTION("""COMPUTED_VALUE"""),95)</f>
        <v>95</v>
      </c>
      <c r="B1772" s="69"/>
    </row>
    <row r="1773" spans="1:2" ht="12.5">
      <c r="A1773" s="5">
        <f ca="1">IFERROR(__xludf.DUMMYFUNCTION("""COMPUTED_VALUE"""),51)</f>
        <v>51</v>
      </c>
      <c r="B1773" s="69"/>
    </row>
    <row r="1774" spans="1:2" ht="12.5" hidden="1">
      <c r="A1774" s="5">
        <f ca="1">IFERROR(__xludf.DUMMYFUNCTION("""COMPUTED_VALUE"""),42)</f>
        <v>42</v>
      </c>
      <c r="B1774" s="69"/>
    </row>
    <row r="1775" spans="1:2" ht="12.5" hidden="1">
      <c r="A1775" s="5">
        <f ca="1">IFERROR(__xludf.DUMMYFUNCTION("""COMPUTED_VALUE"""),95)</f>
        <v>95</v>
      </c>
      <c r="B1775" s="69"/>
    </row>
    <row r="1776" spans="1:2" ht="12.5" hidden="1">
      <c r="A1776" s="5">
        <f ca="1">IFERROR(__xludf.DUMMYFUNCTION("""COMPUTED_VALUE"""),41)</f>
        <v>41</v>
      </c>
      <c r="B1776" s="69"/>
    </row>
    <row r="1777" spans="1:2" ht="12.5" hidden="1">
      <c r="A1777" s="5">
        <f ca="1">IFERROR(__xludf.DUMMYFUNCTION("""COMPUTED_VALUE"""),26)</f>
        <v>26</v>
      </c>
      <c r="B1777" s="69"/>
    </row>
    <row r="1778" spans="1:2" ht="12.5" hidden="1">
      <c r="A1778" s="5">
        <f ca="1">IFERROR(__xludf.DUMMYFUNCTION("""COMPUTED_VALUE"""),68)</f>
        <v>68</v>
      </c>
      <c r="B1778" s="69"/>
    </row>
    <row r="1779" spans="1:2" ht="12.5" hidden="1">
      <c r="A1779" s="5">
        <f ca="1">IFERROR(__xludf.DUMMYFUNCTION("""COMPUTED_VALUE"""),29)</f>
        <v>29</v>
      </c>
      <c r="B1779" s="69"/>
    </row>
    <row r="1780" spans="1:2" ht="12.5" hidden="1">
      <c r="A1780" s="5">
        <f ca="1">IFERROR(__xludf.DUMMYFUNCTION("""COMPUTED_VALUE"""),20)</f>
        <v>20</v>
      </c>
      <c r="B1780" s="69"/>
    </row>
    <row r="1781" spans="1:2" ht="12.5" hidden="1">
      <c r="A1781" s="5">
        <f ca="1">IFERROR(__xludf.DUMMYFUNCTION("""COMPUTED_VALUE"""),20)</f>
        <v>20</v>
      </c>
      <c r="B1781" s="69"/>
    </row>
    <row r="1782" spans="1:2" ht="12.5" hidden="1">
      <c r="A1782" s="5">
        <f ca="1">IFERROR(__xludf.DUMMYFUNCTION("""COMPUTED_VALUE"""),30)</f>
        <v>30</v>
      </c>
      <c r="B1782" s="69"/>
    </row>
    <row r="1783" spans="1:2" ht="12.5" hidden="1">
      <c r="A1783" s="5">
        <f ca="1">IFERROR(__xludf.DUMMYFUNCTION("""COMPUTED_VALUE"""),29)</f>
        <v>29</v>
      </c>
      <c r="B1783" s="69"/>
    </row>
    <row r="1784" spans="1:2" ht="12.5" hidden="1">
      <c r="A1784" s="5">
        <f ca="1">IFERROR(__xludf.DUMMYFUNCTION("""COMPUTED_VALUE"""),62)</f>
        <v>62</v>
      </c>
      <c r="B1784" s="69"/>
    </row>
    <row r="1785" spans="1:2" ht="12.5" hidden="1">
      <c r="A1785" s="5">
        <f ca="1">IFERROR(__xludf.DUMMYFUNCTION("""COMPUTED_VALUE"""),42)</f>
        <v>42</v>
      </c>
      <c r="B1785" s="69"/>
    </row>
    <row r="1786" spans="1:2" ht="12.5" hidden="1">
      <c r="A1786" s="5">
        <f ca="1">IFERROR(__xludf.DUMMYFUNCTION("""COMPUTED_VALUE"""),20)</f>
        <v>20</v>
      </c>
      <c r="B1786" s="69"/>
    </row>
    <row r="1787" spans="1:2" ht="12.5" hidden="1">
      <c r="A1787" s="5">
        <f ca="1">IFERROR(__xludf.DUMMYFUNCTION("""COMPUTED_VALUE"""),52)</f>
        <v>52</v>
      </c>
      <c r="B1787" s="69"/>
    </row>
    <row r="1788" spans="1:2" ht="12.5" hidden="1">
      <c r="A1788" s="5">
        <f ca="1">IFERROR(__xludf.DUMMYFUNCTION("""COMPUTED_VALUE"""),95)</f>
        <v>95</v>
      </c>
      <c r="B1788" s="69"/>
    </row>
    <row r="1789" spans="1:2" ht="12.5" hidden="1">
      <c r="A1789" s="5">
        <f ca="1">IFERROR(__xludf.DUMMYFUNCTION("""COMPUTED_VALUE"""),67)</f>
        <v>67</v>
      </c>
      <c r="B1789" s="69"/>
    </row>
    <row r="1790" spans="1:2" ht="12.5" hidden="1">
      <c r="A1790" s="5">
        <f ca="1">IFERROR(__xludf.DUMMYFUNCTION("""COMPUTED_VALUE"""),45)</f>
        <v>45</v>
      </c>
      <c r="B1790" s="69"/>
    </row>
    <row r="1791" spans="1:2" ht="12.5">
      <c r="A1791" s="5">
        <f ca="1">IFERROR(__xludf.DUMMYFUNCTION("""COMPUTED_VALUE"""),51)</f>
        <v>51</v>
      </c>
      <c r="B1791" s="69"/>
    </row>
    <row r="1792" spans="1:2" ht="12.5" hidden="1">
      <c r="A1792" s="5">
        <f ca="1">IFERROR(__xludf.DUMMYFUNCTION("""COMPUTED_VALUE"""),20)</f>
        <v>20</v>
      </c>
      <c r="B1792" s="69"/>
    </row>
    <row r="1793" spans="1:2" ht="12.5" hidden="1">
      <c r="A1793" s="5">
        <f ca="1">IFERROR(__xludf.DUMMYFUNCTION("""COMPUTED_VALUE"""),82)</f>
        <v>82</v>
      </c>
      <c r="B1793" s="69"/>
    </row>
    <row r="1794" spans="1:2" ht="12.5" hidden="1">
      <c r="A1794" s="5">
        <f ca="1">IFERROR(__xludf.DUMMYFUNCTION("""COMPUTED_VALUE"""),81)</f>
        <v>81</v>
      </c>
      <c r="B1794" s="69"/>
    </row>
    <row r="1795" spans="1:2" ht="12.5" hidden="1">
      <c r="A1795" s="5">
        <f ca="1">IFERROR(__xludf.DUMMYFUNCTION("""COMPUTED_VALUE"""),31)</f>
        <v>31</v>
      </c>
      <c r="B1795" s="69"/>
    </row>
    <row r="1796" spans="1:2" ht="12.5" hidden="1">
      <c r="A1796" s="5">
        <f ca="1">IFERROR(__xludf.DUMMYFUNCTION("""COMPUTED_VALUE"""),24)</f>
        <v>24</v>
      </c>
      <c r="B1796" s="69"/>
    </row>
    <row r="1797" spans="1:2" ht="12.5" hidden="1">
      <c r="A1797" s="5">
        <f ca="1">IFERROR(__xludf.DUMMYFUNCTION("""COMPUTED_VALUE"""),1)</f>
        <v>1</v>
      </c>
      <c r="B1797" s="69"/>
    </row>
    <row r="1798" spans="1:2" ht="12.5" hidden="1">
      <c r="A1798" s="5">
        <f ca="1">IFERROR(__xludf.DUMMYFUNCTION("""COMPUTED_VALUE"""),16)</f>
        <v>16</v>
      </c>
      <c r="B1798" s="69"/>
    </row>
    <row r="1799" spans="1:2" ht="12.5" hidden="1">
      <c r="A1799" s="5">
        <f ca="1">IFERROR(__xludf.DUMMYFUNCTION("""COMPUTED_VALUE"""),48)</f>
        <v>48</v>
      </c>
      <c r="B1799" s="69"/>
    </row>
    <row r="1800" spans="1:2" ht="12.5" hidden="1">
      <c r="A1800" s="5">
        <f ca="1">IFERROR(__xludf.DUMMYFUNCTION("""COMPUTED_VALUE"""),68)</f>
        <v>68</v>
      </c>
      <c r="B1800" s="69"/>
    </row>
    <row r="1801" spans="1:2" ht="12.5" hidden="1">
      <c r="A1801" s="5">
        <f ca="1">IFERROR(__xludf.DUMMYFUNCTION("""COMPUTED_VALUE"""),32)</f>
        <v>32</v>
      </c>
      <c r="B1801" s="69"/>
    </row>
    <row r="1802" spans="1:2" ht="12.5" hidden="1">
      <c r="A1802" s="5">
        <f ca="1">IFERROR(__xludf.DUMMYFUNCTION("""COMPUTED_VALUE"""),34)</f>
        <v>34</v>
      </c>
      <c r="B1802" s="69"/>
    </row>
    <row r="1803" spans="1:2" ht="12.5" hidden="1">
      <c r="A1803" s="5">
        <f ca="1">IFERROR(__xludf.DUMMYFUNCTION("""COMPUTED_VALUE"""),78)</f>
        <v>78</v>
      </c>
      <c r="B1803" s="69"/>
    </row>
    <row r="1804" spans="1:2" ht="12.5" hidden="1">
      <c r="A1804" s="5">
        <f ca="1">IFERROR(__xludf.DUMMYFUNCTION("""COMPUTED_VALUE"""),95)</f>
        <v>95</v>
      </c>
      <c r="B1804" s="69"/>
    </row>
    <row r="1805" spans="1:2" ht="12.5" hidden="1">
      <c r="A1805" s="5">
        <f ca="1">IFERROR(__xludf.DUMMYFUNCTION("""COMPUTED_VALUE"""),19)</f>
        <v>19</v>
      </c>
      <c r="B1805" s="69"/>
    </row>
    <row r="1806" spans="1:2" ht="12.5" hidden="1">
      <c r="A1806" s="5">
        <f ca="1">IFERROR(__xludf.DUMMYFUNCTION("""COMPUTED_VALUE"""),68)</f>
        <v>68</v>
      </c>
      <c r="B1806" s="69"/>
    </row>
    <row r="1807" spans="1:2" ht="12.5" hidden="1">
      <c r="A1807" s="5">
        <f ca="1">IFERROR(__xludf.DUMMYFUNCTION("""COMPUTED_VALUE"""),95)</f>
        <v>95</v>
      </c>
      <c r="B1807" s="69"/>
    </row>
    <row r="1808" spans="1:2" ht="12.5" hidden="1">
      <c r="A1808" s="5">
        <f ca="1">IFERROR(__xludf.DUMMYFUNCTION("""COMPUTED_VALUE"""),95)</f>
        <v>95</v>
      </c>
      <c r="B1808" s="69"/>
    </row>
    <row r="1809" spans="1:2" ht="12.5" hidden="1">
      <c r="A1809" s="5">
        <f ca="1">IFERROR(__xludf.DUMMYFUNCTION("""COMPUTED_VALUE"""),69)</f>
        <v>69</v>
      </c>
      <c r="B1809" s="69"/>
    </row>
    <row r="1810" spans="1:2" ht="12.5" hidden="1">
      <c r="A1810" s="5">
        <f ca="1">IFERROR(__xludf.DUMMYFUNCTION("""COMPUTED_VALUE"""),50)</f>
        <v>50</v>
      </c>
      <c r="B1810" s="69"/>
    </row>
    <row r="1811" spans="1:2" ht="12.5" hidden="1">
      <c r="A1811" s="5">
        <f ca="1">IFERROR(__xludf.DUMMYFUNCTION("""COMPUTED_VALUE"""),29)</f>
        <v>29</v>
      </c>
      <c r="B1811" s="69"/>
    </row>
    <row r="1812" spans="1:2" ht="12.5" hidden="1">
      <c r="A1812" s="5">
        <f ca="1">IFERROR(__xludf.DUMMYFUNCTION("""COMPUTED_VALUE"""),28)</f>
        <v>28</v>
      </c>
      <c r="B1812" s="69"/>
    </row>
    <row r="1813" spans="1:2" ht="12.5" hidden="1">
      <c r="A1813" s="5">
        <f ca="1">IFERROR(__xludf.DUMMYFUNCTION("""COMPUTED_VALUE"""),25)</f>
        <v>25</v>
      </c>
      <c r="B1813" s="69"/>
    </row>
    <row r="1814" spans="1:2" ht="12.5" hidden="1">
      <c r="A1814" s="5">
        <f ca="1">IFERROR(__xludf.DUMMYFUNCTION("""COMPUTED_VALUE"""),31)</f>
        <v>31</v>
      </c>
      <c r="B1814" s="69"/>
    </row>
    <row r="1815" spans="1:2" ht="12.5" hidden="1">
      <c r="A1815" s="5">
        <f ca="1">IFERROR(__xludf.DUMMYFUNCTION("""COMPUTED_VALUE"""),53)</f>
        <v>53</v>
      </c>
      <c r="B1815" s="69"/>
    </row>
    <row r="1816" spans="1:2" ht="12.5" hidden="1">
      <c r="A1816" s="5">
        <f ca="1">IFERROR(__xludf.DUMMYFUNCTION("""COMPUTED_VALUE"""),95)</f>
        <v>95</v>
      </c>
      <c r="B1816" s="69"/>
    </row>
    <row r="1817" spans="1:2" ht="12.5" hidden="1">
      <c r="A1817" s="5">
        <f ca="1">IFERROR(__xludf.DUMMYFUNCTION("""COMPUTED_VALUE"""),32)</f>
        <v>32</v>
      </c>
      <c r="B1817" s="69"/>
    </row>
    <row r="1818" spans="1:2" ht="12.5" hidden="1">
      <c r="A1818" s="5">
        <f ca="1">IFERROR(__xludf.DUMMYFUNCTION("""COMPUTED_VALUE"""),52)</f>
        <v>52</v>
      </c>
      <c r="B1818" s="69"/>
    </row>
    <row r="1819" spans="1:2" ht="12.5" hidden="1">
      <c r="A1819" s="5">
        <f ca="1">IFERROR(__xludf.DUMMYFUNCTION("""COMPUTED_VALUE"""),4)</f>
        <v>4</v>
      </c>
      <c r="B1819" s="69"/>
    </row>
    <row r="1820" spans="1:2" ht="12.5" hidden="1">
      <c r="A1820" s="5">
        <f ca="1">IFERROR(__xludf.DUMMYFUNCTION("""COMPUTED_VALUE"""),25)</f>
        <v>25</v>
      </c>
      <c r="B1820" s="69"/>
    </row>
    <row r="1821" spans="1:2" ht="12.5" hidden="1">
      <c r="A1821" s="5">
        <f ca="1">IFERROR(__xludf.DUMMYFUNCTION("""COMPUTED_VALUE"""),95)</f>
        <v>95</v>
      </c>
      <c r="B1821" s="69"/>
    </row>
    <row r="1822" spans="1:2" ht="12.5" hidden="1">
      <c r="A1822" s="5">
        <f ca="1">IFERROR(__xludf.DUMMYFUNCTION("""COMPUTED_VALUE"""),95)</f>
        <v>95</v>
      </c>
      <c r="B1822" s="69"/>
    </row>
    <row r="1823" spans="1:2" ht="12.5" hidden="1">
      <c r="A1823" s="5">
        <f ca="1">IFERROR(__xludf.DUMMYFUNCTION("""COMPUTED_VALUE"""),95)</f>
        <v>95</v>
      </c>
      <c r="B1823" s="69"/>
    </row>
    <row r="1824" spans="1:2" ht="12.5" hidden="1">
      <c r="A1824" s="5">
        <f ca="1">IFERROR(__xludf.DUMMYFUNCTION("""COMPUTED_VALUE"""),95)</f>
        <v>95</v>
      </c>
      <c r="B1824" s="69"/>
    </row>
    <row r="1825" spans="1:2" ht="12.5" hidden="1">
      <c r="A1825" s="5">
        <f ca="1">IFERROR(__xludf.DUMMYFUNCTION("""COMPUTED_VALUE"""),31)</f>
        <v>31</v>
      </c>
      <c r="B1825" s="69"/>
    </row>
    <row r="1826" spans="1:2" ht="12.5">
      <c r="A1826" s="5">
        <f ca="1">IFERROR(__xludf.DUMMYFUNCTION("""COMPUTED_VALUE"""),51)</f>
        <v>51</v>
      </c>
      <c r="B1826" s="69"/>
    </row>
    <row r="1827" spans="1:2" ht="12.5" hidden="1">
      <c r="A1827" s="5">
        <f ca="1">IFERROR(__xludf.DUMMYFUNCTION("""COMPUTED_VALUE"""),26)</f>
        <v>26</v>
      </c>
      <c r="B1827" s="69"/>
    </row>
    <row r="1828" spans="1:2" ht="12.5" hidden="1">
      <c r="A1828" s="5">
        <f ca="1">IFERROR(__xludf.DUMMYFUNCTION("""COMPUTED_VALUE"""),29)</f>
        <v>29</v>
      </c>
      <c r="B1828" s="69"/>
    </row>
    <row r="1829" spans="1:2" ht="12.5" hidden="1">
      <c r="A1829" s="5">
        <f ca="1">IFERROR(__xludf.DUMMYFUNCTION("""COMPUTED_VALUE"""),52)</f>
        <v>52</v>
      </c>
      <c r="B1829" s="69"/>
    </row>
    <row r="1830" spans="1:2" ht="12.5" hidden="1">
      <c r="A1830" s="5">
        <f ca="1">IFERROR(__xludf.DUMMYFUNCTION("""COMPUTED_VALUE"""),52)</f>
        <v>52</v>
      </c>
      <c r="B1830" s="69"/>
    </row>
    <row r="1831" spans="1:2" ht="12.5" hidden="1">
      <c r="A1831" s="5">
        <f ca="1">IFERROR(__xludf.DUMMYFUNCTION("""COMPUTED_VALUE"""),69)</f>
        <v>69</v>
      </c>
      <c r="B1831" s="69"/>
    </row>
    <row r="1832" spans="1:2" ht="12.5" hidden="1">
      <c r="A1832" s="5">
        <f ca="1">IFERROR(__xludf.DUMMYFUNCTION("""COMPUTED_VALUE"""),31)</f>
        <v>31</v>
      </c>
      <c r="B1832" s="69"/>
    </row>
    <row r="1833" spans="1:2" ht="12.5" hidden="1">
      <c r="A1833" s="5">
        <f ca="1">IFERROR(__xludf.DUMMYFUNCTION("""COMPUTED_VALUE"""),95)</f>
        <v>95</v>
      </c>
      <c r="B1833" s="69"/>
    </row>
    <row r="1834" spans="1:2" ht="12.5" hidden="1">
      <c r="A1834" s="5">
        <f ca="1">IFERROR(__xludf.DUMMYFUNCTION("""COMPUTED_VALUE"""),45)</f>
        <v>45</v>
      </c>
      <c r="B1834" s="69"/>
    </row>
    <row r="1835" spans="1:2" ht="12.5" hidden="1">
      <c r="A1835" s="5">
        <f ca="1">IFERROR(__xludf.DUMMYFUNCTION("""COMPUTED_VALUE"""),31)</f>
        <v>31</v>
      </c>
      <c r="B1835" s="69"/>
    </row>
    <row r="1836" spans="1:2" ht="12.5" hidden="1">
      <c r="A1836" s="5">
        <f ca="1">IFERROR(__xludf.DUMMYFUNCTION("""COMPUTED_VALUE"""),42)</f>
        <v>42</v>
      </c>
      <c r="B1836" s="69"/>
    </row>
    <row r="1837" spans="1:2" ht="12.5" hidden="1">
      <c r="A1837" s="5">
        <f ca="1">IFERROR(__xludf.DUMMYFUNCTION("""COMPUTED_VALUE"""),95)</f>
        <v>95</v>
      </c>
      <c r="B1837" s="69"/>
    </row>
    <row r="1838" spans="1:2" ht="12.5" hidden="1">
      <c r="A1838" s="5">
        <f ca="1">IFERROR(__xludf.DUMMYFUNCTION("""COMPUTED_VALUE"""),95)</f>
        <v>95</v>
      </c>
      <c r="B1838" s="69"/>
    </row>
    <row r="1839" spans="1:2" ht="12.5" hidden="1">
      <c r="A1839" s="5">
        <f ca="1">IFERROR(__xludf.DUMMYFUNCTION("""COMPUTED_VALUE"""),69)</f>
        <v>69</v>
      </c>
      <c r="B1839" s="69"/>
    </row>
    <row r="1840" spans="1:2" ht="12.5" hidden="1">
      <c r="A1840" s="5">
        <f ca="1">IFERROR(__xludf.DUMMYFUNCTION("""COMPUTED_VALUE"""),52)</f>
        <v>52</v>
      </c>
      <c r="B1840" s="69"/>
    </row>
    <row r="1841" spans="1:2" ht="12.5" hidden="1">
      <c r="A1841" s="5">
        <f ca="1">IFERROR(__xludf.DUMMYFUNCTION("""COMPUTED_VALUE"""),26)</f>
        <v>26</v>
      </c>
      <c r="B1841" s="69"/>
    </row>
    <row r="1842" spans="1:2" ht="12.5" hidden="1">
      <c r="A1842" s="5">
        <f ca="1">IFERROR(__xludf.DUMMYFUNCTION("""COMPUTED_VALUE"""),29)</f>
        <v>29</v>
      </c>
      <c r="B1842" s="69"/>
    </row>
    <row r="1843" spans="1:2" ht="12.5" hidden="1">
      <c r="A1843" s="5">
        <f ca="1">IFERROR(__xludf.DUMMYFUNCTION("""COMPUTED_VALUE"""),15)</f>
        <v>15</v>
      </c>
      <c r="B1843" s="69"/>
    </row>
    <row r="1844" spans="1:2" ht="12.5" hidden="1">
      <c r="A1844" s="5">
        <f ca="1">IFERROR(__xludf.DUMMYFUNCTION("""COMPUTED_VALUE"""),35)</f>
        <v>35</v>
      </c>
      <c r="B1844" s="69"/>
    </row>
    <row r="1845" spans="1:2" ht="12.5" hidden="1">
      <c r="A1845" s="5">
        <f ca="1">IFERROR(__xludf.DUMMYFUNCTION("""COMPUTED_VALUE"""),50)</f>
        <v>50</v>
      </c>
      <c r="B1845" s="69"/>
    </row>
    <row r="1846" spans="1:2" ht="12.5" hidden="1">
      <c r="A1846" s="5">
        <f ca="1">IFERROR(__xludf.DUMMYFUNCTION("""COMPUTED_VALUE"""),20)</f>
        <v>20</v>
      </c>
      <c r="B1846" s="69"/>
    </row>
    <row r="1847" spans="1:2" ht="12.5" hidden="1">
      <c r="A1847" s="5">
        <f ca="1">IFERROR(__xludf.DUMMYFUNCTION("""COMPUTED_VALUE"""),52)</f>
        <v>52</v>
      </c>
      <c r="B1847" s="69"/>
    </row>
    <row r="1848" spans="1:2" ht="12.5" hidden="1">
      <c r="A1848" s="5">
        <f ca="1">IFERROR(__xludf.DUMMYFUNCTION("""COMPUTED_VALUE"""),95)</f>
        <v>95</v>
      </c>
      <c r="B1848" s="69"/>
    </row>
    <row r="1849" spans="1:2" ht="12.5" hidden="1">
      <c r="A1849" s="5">
        <f ca="1">IFERROR(__xludf.DUMMYFUNCTION("""COMPUTED_VALUE"""),41)</f>
        <v>41</v>
      </c>
      <c r="B1849" s="69"/>
    </row>
    <row r="1850" spans="1:2" ht="12.5" hidden="1">
      <c r="A1850" s="5">
        <f ca="1">IFERROR(__xludf.DUMMYFUNCTION("""COMPUTED_VALUE"""),24)</f>
        <v>24</v>
      </c>
      <c r="B1850" s="69"/>
    </row>
    <row r="1851" spans="1:2" ht="12.5" hidden="1">
      <c r="A1851" s="5">
        <f ca="1">IFERROR(__xludf.DUMMYFUNCTION("""COMPUTED_VALUE"""),41)</f>
        <v>41</v>
      </c>
      <c r="B1851" s="69"/>
    </row>
    <row r="1852" spans="1:2" ht="12.5" hidden="1">
      <c r="A1852" s="5">
        <f ca="1">IFERROR(__xludf.DUMMYFUNCTION("""COMPUTED_VALUE"""),68)</f>
        <v>68</v>
      </c>
      <c r="B1852" s="69"/>
    </row>
    <row r="1853" spans="1:2" ht="12.5" hidden="1">
      <c r="A1853" s="5">
        <f ca="1">IFERROR(__xludf.DUMMYFUNCTION("""COMPUTED_VALUE"""),68)</f>
        <v>68</v>
      </c>
      <c r="B1853" s="69"/>
    </row>
    <row r="1854" spans="1:2" ht="12.5" hidden="1">
      <c r="A1854" s="5">
        <f ca="1">IFERROR(__xludf.DUMMYFUNCTION("""COMPUTED_VALUE"""),5)</f>
        <v>5</v>
      </c>
      <c r="B1854" s="69"/>
    </row>
    <row r="1855" spans="1:2" ht="12.5" hidden="1">
      <c r="A1855" s="5">
        <f ca="1">IFERROR(__xludf.DUMMYFUNCTION("""COMPUTED_VALUE"""),95)</f>
        <v>95</v>
      </c>
      <c r="B1855" s="69"/>
    </row>
    <row r="1856" spans="1:2" ht="12.5" hidden="1">
      <c r="A1856" s="5">
        <f ca="1">IFERROR(__xludf.DUMMYFUNCTION("""COMPUTED_VALUE"""),23)</f>
        <v>23</v>
      </c>
      <c r="B1856" s="69"/>
    </row>
    <row r="1857" spans="1:2" ht="12.5" hidden="1">
      <c r="A1857" s="5">
        <f ca="1">IFERROR(__xludf.DUMMYFUNCTION("""COMPUTED_VALUE"""),46)</f>
        <v>46</v>
      </c>
      <c r="B1857" s="69"/>
    </row>
    <row r="1858" spans="1:2" ht="12.5" hidden="1">
      <c r="A1858" s="5">
        <f ca="1">IFERROR(__xludf.DUMMYFUNCTION("""COMPUTED_VALUE"""),66)</f>
        <v>66</v>
      </c>
      <c r="B1858" s="69"/>
    </row>
    <row r="1859" spans="1:2" ht="12.5" hidden="1">
      <c r="A1859" s="5">
        <f ca="1">IFERROR(__xludf.DUMMYFUNCTION("""COMPUTED_VALUE"""),95)</f>
        <v>95</v>
      </c>
      <c r="B1859" s="69"/>
    </row>
    <row r="1860" spans="1:2" ht="12.5" hidden="1">
      <c r="A1860" s="5">
        <f ca="1">IFERROR(__xludf.DUMMYFUNCTION("""COMPUTED_VALUE"""),95)</f>
        <v>95</v>
      </c>
      <c r="B1860" s="69"/>
    </row>
    <row r="1861" spans="1:2" ht="12.5" hidden="1">
      <c r="A1861" s="5">
        <f ca="1">IFERROR(__xludf.DUMMYFUNCTION("""COMPUTED_VALUE"""),98)</f>
        <v>98</v>
      </c>
      <c r="B1861" s="69"/>
    </row>
    <row r="1862" spans="1:2" ht="12.5" hidden="1">
      <c r="A1862" s="5">
        <f ca="1">IFERROR(__xludf.DUMMYFUNCTION("""COMPUTED_VALUE"""),20)</f>
        <v>20</v>
      </c>
      <c r="B1862" s="69"/>
    </row>
    <row r="1863" spans="1:2" ht="12.5" hidden="1">
      <c r="A1863" s="5">
        <f ca="1">IFERROR(__xludf.DUMMYFUNCTION("""COMPUTED_VALUE"""),95)</f>
        <v>95</v>
      </c>
      <c r="B1863" s="69"/>
    </row>
    <row r="1864" spans="1:2" ht="12.5" hidden="1">
      <c r="A1864" s="5">
        <f ca="1">IFERROR(__xludf.DUMMYFUNCTION("""COMPUTED_VALUE"""),50)</f>
        <v>50</v>
      </c>
      <c r="B1864" s="69"/>
    </row>
    <row r="1865" spans="1:2" ht="12.5" hidden="1">
      <c r="A1865" s="5">
        <f ca="1">IFERROR(__xludf.DUMMYFUNCTION("""COMPUTED_VALUE"""),25)</f>
        <v>25</v>
      </c>
      <c r="B1865" s="69"/>
    </row>
    <row r="1866" spans="1:2" ht="12.5" hidden="1">
      <c r="A1866" s="5">
        <f ca="1">IFERROR(__xludf.DUMMYFUNCTION("""COMPUTED_VALUE"""),95)</f>
        <v>95</v>
      </c>
      <c r="B1866" s="69"/>
    </row>
    <row r="1867" spans="1:2" ht="12.5" hidden="1">
      <c r="A1867" s="5">
        <f ca="1">IFERROR(__xludf.DUMMYFUNCTION("""COMPUTED_VALUE"""),52)</f>
        <v>52</v>
      </c>
      <c r="B1867" s="69"/>
    </row>
    <row r="1868" spans="1:2" ht="12.5" hidden="1">
      <c r="A1868" s="5">
        <f ca="1">IFERROR(__xludf.DUMMYFUNCTION("""COMPUTED_VALUE"""),95)</f>
        <v>95</v>
      </c>
      <c r="B1868" s="69"/>
    </row>
    <row r="1869" spans="1:2" ht="12.5" hidden="1">
      <c r="A1869" s="5">
        <f ca="1">IFERROR(__xludf.DUMMYFUNCTION("""COMPUTED_VALUE"""),95)</f>
        <v>95</v>
      </c>
      <c r="B1869" s="69"/>
    </row>
    <row r="1870" spans="1:2" ht="12.5" hidden="1">
      <c r="A1870" s="5">
        <f ca="1">IFERROR(__xludf.DUMMYFUNCTION("""COMPUTED_VALUE"""),52)</f>
        <v>52</v>
      </c>
      <c r="B1870" s="69"/>
    </row>
    <row r="1871" spans="1:2" ht="12.5" hidden="1">
      <c r="A1871" s="5">
        <f ca="1">IFERROR(__xludf.DUMMYFUNCTION("""COMPUTED_VALUE"""),52)</f>
        <v>52</v>
      </c>
      <c r="B1871" s="69"/>
    </row>
    <row r="1872" spans="1:2" ht="12.5" hidden="1">
      <c r="A1872" s="5">
        <f ca="1">IFERROR(__xludf.DUMMYFUNCTION("""COMPUTED_VALUE"""),44)</f>
        <v>44</v>
      </c>
      <c r="B1872" s="69"/>
    </row>
    <row r="1873" spans="1:2" ht="12.5" hidden="1">
      <c r="A1873" s="5">
        <f ca="1">IFERROR(__xludf.DUMMYFUNCTION("""COMPUTED_VALUE"""),39)</f>
        <v>39</v>
      </c>
      <c r="B1873" s="69"/>
    </row>
    <row r="1874" spans="1:2" ht="12.5" hidden="1">
      <c r="A1874" s="5">
        <f ca="1">IFERROR(__xludf.DUMMYFUNCTION("""COMPUTED_VALUE"""),27)</f>
        <v>27</v>
      </c>
      <c r="B1874" s="69"/>
    </row>
    <row r="1875" spans="1:2" ht="12.5" hidden="1">
      <c r="A1875" s="5">
        <f ca="1">IFERROR(__xludf.DUMMYFUNCTION("""COMPUTED_VALUE"""),28)</f>
        <v>28</v>
      </c>
      <c r="B1875" s="69"/>
    </row>
    <row r="1876" spans="1:2" ht="12.5" hidden="1">
      <c r="A1876" s="5">
        <f ca="1">IFERROR(__xludf.DUMMYFUNCTION("""COMPUTED_VALUE"""),61)</f>
        <v>61</v>
      </c>
      <c r="B1876" s="69"/>
    </row>
    <row r="1877" spans="1:2" ht="12.5" hidden="1">
      <c r="A1877" s="5">
        <f ca="1">IFERROR(__xludf.DUMMYFUNCTION("""COMPUTED_VALUE"""),52)</f>
        <v>52</v>
      </c>
      <c r="B1877" s="69"/>
    </row>
    <row r="1878" spans="1:2" ht="12.5" hidden="1">
      <c r="A1878" s="5">
        <f ca="1">IFERROR(__xludf.DUMMYFUNCTION("""COMPUTED_VALUE"""),69)</f>
        <v>69</v>
      </c>
      <c r="B1878" s="69"/>
    </row>
    <row r="1879" spans="1:2" ht="12.5" hidden="1">
      <c r="A1879" s="5">
        <f ca="1">IFERROR(__xludf.DUMMYFUNCTION("""COMPUTED_VALUE"""),52)</f>
        <v>52</v>
      </c>
      <c r="B1879" s="69"/>
    </row>
    <row r="1880" spans="1:2" ht="12.5" hidden="1">
      <c r="A1880" s="5">
        <f ca="1">IFERROR(__xludf.DUMMYFUNCTION("""COMPUTED_VALUE"""),95)</f>
        <v>95</v>
      </c>
      <c r="B1880" s="69"/>
    </row>
    <row r="1881" spans="1:2" ht="12.5" hidden="1">
      <c r="A1881" s="5">
        <f ca="1">IFERROR(__xludf.DUMMYFUNCTION("""COMPUTED_VALUE"""),36)</f>
        <v>36</v>
      </c>
      <c r="B1881" s="69"/>
    </row>
    <row r="1882" spans="1:2" ht="12.5" hidden="1">
      <c r="A1882" s="5">
        <f ca="1">IFERROR(__xludf.DUMMYFUNCTION("""COMPUTED_VALUE"""),49)</f>
        <v>49</v>
      </c>
      <c r="B1882" s="69"/>
    </row>
    <row r="1883" spans="1:2" ht="12.5" hidden="1">
      <c r="A1883" s="5">
        <f ca="1">IFERROR(__xludf.DUMMYFUNCTION("""COMPUTED_VALUE"""),95)</f>
        <v>95</v>
      </c>
      <c r="B1883" s="69"/>
    </row>
    <row r="1884" spans="1:2" ht="12.5" hidden="1">
      <c r="A1884" s="5">
        <f ca="1">IFERROR(__xludf.DUMMYFUNCTION("""COMPUTED_VALUE"""),95)</f>
        <v>95</v>
      </c>
      <c r="B1884" s="69"/>
    </row>
    <row r="1885" spans="1:2" ht="12.5">
      <c r="A1885" s="5">
        <f ca="1">IFERROR(__xludf.DUMMYFUNCTION("""COMPUTED_VALUE"""),51)</f>
        <v>51</v>
      </c>
      <c r="B1885" s="69"/>
    </row>
    <row r="1886" spans="1:2" ht="12.5" hidden="1">
      <c r="A1886" s="5">
        <f ca="1">IFERROR(__xludf.DUMMYFUNCTION("""COMPUTED_VALUE"""),31)</f>
        <v>31</v>
      </c>
      <c r="B1886" s="69"/>
    </row>
    <row r="1887" spans="1:2" ht="12.5" hidden="1">
      <c r="A1887" s="5">
        <f ca="1">IFERROR(__xludf.DUMMYFUNCTION("""COMPUTED_VALUE"""),95)</f>
        <v>95</v>
      </c>
      <c r="B1887" s="69"/>
    </row>
    <row r="1888" spans="1:2" ht="12.5" hidden="1">
      <c r="A1888" s="5">
        <f ca="1">IFERROR(__xludf.DUMMYFUNCTION("""COMPUTED_VALUE"""),28)</f>
        <v>28</v>
      </c>
      <c r="B1888" s="69"/>
    </row>
    <row r="1889" spans="1:2" ht="12.5" hidden="1">
      <c r="A1889" s="5">
        <f ca="1">IFERROR(__xludf.DUMMYFUNCTION("""COMPUTED_VALUE"""),31)</f>
        <v>31</v>
      </c>
      <c r="B1889" s="69"/>
    </row>
    <row r="1890" spans="1:2" ht="12.5" hidden="1">
      <c r="A1890" s="5">
        <f ca="1">IFERROR(__xludf.DUMMYFUNCTION("""COMPUTED_VALUE"""),15)</f>
        <v>15</v>
      </c>
      <c r="B1890" s="69"/>
    </row>
    <row r="1891" spans="1:2" ht="12.5" hidden="1">
      <c r="A1891" s="5">
        <f ca="1">IFERROR(__xludf.DUMMYFUNCTION("""COMPUTED_VALUE"""),95)</f>
        <v>95</v>
      </c>
      <c r="B1891" s="69"/>
    </row>
    <row r="1892" spans="1:2" ht="12.5" hidden="1">
      <c r="A1892" s="5">
        <f ca="1">IFERROR(__xludf.DUMMYFUNCTION("""COMPUTED_VALUE"""),95)</f>
        <v>95</v>
      </c>
      <c r="B1892" s="69"/>
    </row>
    <row r="1893" spans="1:2" ht="12.5" hidden="1">
      <c r="A1893" s="5">
        <f ca="1">IFERROR(__xludf.DUMMYFUNCTION("""COMPUTED_VALUE"""),28)</f>
        <v>28</v>
      </c>
      <c r="B1893" s="69"/>
    </row>
    <row r="1894" spans="1:2" ht="12.5" hidden="1">
      <c r="A1894" s="5">
        <f ca="1">IFERROR(__xludf.DUMMYFUNCTION("""COMPUTED_VALUE"""),53)</f>
        <v>53</v>
      </c>
      <c r="B1894" s="69"/>
    </row>
    <row r="1895" spans="1:2" ht="12.5" hidden="1">
      <c r="A1895" s="5">
        <f ca="1">IFERROR(__xludf.DUMMYFUNCTION("""COMPUTED_VALUE"""),29)</f>
        <v>29</v>
      </c>
      <c r="B1895" s="69"/>
    </row>
    <row r="1896" spans="1:2" ht="12.5" hidden="1">
      <c r="A1896" s="5">
        <f ca="1">IFERROR(__xludf.DUMMYFUNCTION("""COMPUTED_VALUE"""),72)</f>
        <v>72</v>
      </c>
      <c r="B1896" s="69"/>
    </row>
    <row r="1897" spans="1:2" ht="12.5" hidden="1">
      <c r="A1897" s="5">
        <f ca="1">IFERROR(__xludf.DUMMYFUNCTION("""COMPUTED_VALUE"""),41)</f>
        <v>41</v>
      </c>
      <c r="B1897" s="69"/>
    </row>
    <row r="1898" spans="1:2" ht="12.5" hidden="1">
      <c r="A1898" s="5">
        <f ca="1">IFERROR(__xludf.DUMMYFUNCTION("""COMPUTED_VALUE"""),29)</f>
        <v>29</v>
      </c>
      <c r="B1898" s="69"/>
    </row>
    <row r="1899" spans="1:2" ht="12.5" hidden="1">
      <c r="A1899" s="5">
        <f ca="1">IFERROR(__xludf.DUMMYFUNCTION("""COMPUTED_VALUE"""),29)</f>
        <v>29</v>
      </c>
      <c r="B1899" s="69"/>
    </row>
    <row r="1900" spans="1:2" ht="12.5" hidden="1">
      <c r="A1900" s="5">
        <f ca="1">IFERROR(__xludf.DUMMYFUNCTION("""COMPUTED_VALUE"""),53)</f>
        <v>53</v>
      </c>
      <c r="B1900" s="69"/>
    </row>
    <row r="1901" spans="1:2" ht="12.5" hidden="1">
      <c r="A1901" s="5">
        <f ca="1">IFERROR(__xludf.DUMMYFUNCTION("""COMPUTED_VALUE"""),95)</f>
        <v>95</v>
      </c>
      <c r="B1901" s="69"/>
    </row>
    <row r="1902" spans="1:2" ht="12.5" hidden="1">
      <c r="A1902" s="5">
        <f ca="1">IFERROR(__xludf.DUMMYFUNCTION("""COMPUTED_VALUE"""),41)</f>
        <v>41</v>
      </c>
      <c r="B1902" s="69"/>
    </row>
    <row r="1903" spans="1:2" ht="12.5" hidden="1">
      <c r="A1903" s="5">
        <f ca="1">IFERROR(__xludf.DUMMYFUNCTION("""COMPUTED_VALUE"""),63)</f>
        <v>63</v>
      </c>
      <c r="B1903" s="69"/>
    </row>
    <row r="1904" spans="1:2" ht="12.5" hidden="1">
      <c r="A1904" s="5">
        <f ca="1">IFERROR(__xludf.DUMMYFUNCTION("""COMPUTED_VALUE"""),90)</f>
        <v>90</v>
      </c>
      <c r="B1904" s="69"/>
    </row>
    <row r="1905" spans="1:2" ht="12.5" hidden="1">
      <c r="A1905" s="5">
        <f ca="1">IFERROR(__xludf.DUMMYFUNCTION("""COMPUTED_VALUE"""),52)</f>
        <v>52</v>
      </c>
      <c r="B1905" s="69"/>
    </row>
    <row r="1906" spans="1:2" ht="12.5" hidden="1">
      <c r="A1906" s="5">
        <f ca="1">IFERROR(__xludf.DUMMYFUNCTION("""COMPUTED_VALUE"""),100)</f>
        <v>100</v>
      </c>
      <c r="B1906" s="69"/>
    </row>
    <row r="1907" spans="1:2" ht="12.5" hidden="1">
      <c r="A1907" s="5">
        <f ca="1">IFERROR(__xludf.DUMMYFUNCTION("""COMPUTED_VALUE"""),29)</f>
        <v>29</v>
      </c>
      <c r="B1907" s="69"/>
    </row>
    <row r="1908" spans="1:2" ht="12.5" hidden="1">
      <c r="A1908" s="5">
        <f ca="1">IFERROR(__xludf.DUMMYFUNCTION("""COMPUTED_VALUE"""),42)</f>
        <v>42</v>
      </c>
      <c r="B1908" s="69"/>
    </row>
    <row r="1909" spans="1:2" ht="12.5" hidden="1">
      <c r="A1909" s="5">
        <f ca="1">IFERROR(__xludf.DUMMYFUNCTION("""COMPUTED_VALUE"""),16)</f>
        <v>16</v>
      </c>
      <c r="B1909" s="69"/>
    </row>
    <row r="1910" spans="1:2" ht="12.5" hidden="1">
      <c r="A1910" s="5">
        <f ca="1">IFERROR(__xludf.DUMMYFUNCTION("""COMPUTED_VALUE"""),7)</f>
        <v>7</v>
      </c>
      <c r="B1910" s="69"/>
    </row>
    <row r="1911" spans="1:2" ht="12.5" hidden="1">
      <c r="A1911" s="5">
        <f ca="1">IFERROR(__xludf.DUMMYFUNCTION("""COMPUTED_VALUE"""),49)</f>
        <v>49</v>
      </c>
      <c r="B1911" s="69"/>
    </row>
    <row r="1912" spans="1:2" ht="12.5" hidden="1">
      <c r="A1912" s="5">
        <f ca="1">IFERROR(__xludf.DUMMYFUNCTION("""COMPUTED_VALUE"""),63)</f>
        <v>63</v>
      </c>
      <c r="B1912" s="69"/>
    </row>
    <row r="1913" spans="1:2" ht="12.5" hidden="1">
      <c r="A1913" s="5">
        <f ca="1">IFERROR(__xludf.DUMMYFUNCTION("""COMPUTED_VALUE"""),29)</f>
        <v>29</v>
      </c>
      <c r="B1913" s="69"/>
    </row>
    <row r="1914" spans="1:2" ht="12.5" hidden="1">
      <c r="A1914" s="5">
        <f ca="1">IFERROR(__xludf.DUMMYFUNCTION("""COMPUTED_VALUE"""),70)</f>
        <v>70</v>
      </c>
      <c r="B1914" s="69"/>
    </row>
    <row r="1915" spans="1:2" ht="12.5" hidden="1">
      <c r="A1915" s="5">
        <f ca="1">IFERROR(__xludf.DUMMYFUNCTION("""COMPUTED_VALUE"""),29)</f>
        <v>29</v>
      </c>
      <c r="B1915" s="69"/>
    </row>
    <row r="1916" spans="1:2" ht="12.5" hidden="1">
      <c r="A1916" s="5">
        <f ca="1">IFERROR(__xludf.DUMMYFUNCTION("""COMPUTED_VALUE"""),52)</f>
        <v>52</v>
      </c>
      <c r="B1916" s="69"/>
    </row>
    <row r="1917" spans="1:2" ht="12.5" hidden="1">
      <c r="A1917" s="5">
        <f ca="1">IFERROR(__xludf.DUMMYFUNCTION("""COMPUTED_VALUE"""),52)</f>
        <v>52</v>
      </c>
      <c r="B1917" s="69"/>
    </row>
    <row r="1918" spans="1:2" ht="12.5" hidden="1">
      <c r="A1918" s="5">
        <f ca="1">IFERROR(__xludf.DUMMYFUNCTION("""COMPUTED_VALUE"""),42)</f>
        <v>42</v>
      </c>
      <c r="B1918" s="69"/>
    </row>
    <row r="1919" spans="1:2" ht="12.5" hidden="1">
      <c r="A1919" s="5">
        <f ca="1">IFERROR(__xludf.DUMMYFUNCTION("""COMPUTED_VALUE"""),29)</f>
        <v>29</v>
      </c>
      <c r="B1919" s="69"/>
    </row>
    <row r="1920" spans="1:2" ht="12.5" hidden="1">
      <c r="A1920" s="5">
        <f ca="1">IFERROR(__xludf.DUMMYFUNCTION("""COMPUTED_VALUE"""),1)</f>
        <v>1</v>
      </c>
      <c r="B1920" s="69"/>
    </row>
    <row r="1921" spans="1:2" ht="12.5" hidden="1">
      <c r="A1921" s="5">
        <f ca="1">IFERROR(__xludf.DUMMYFUNCTION("""COMPUTED_VALUE"""),95)</f>
        <v>95</v>
      </c>
      <c r="B1921" s="69"/>
    </row>
    <row r="1922" spans="1:2" ht="12.5" hidden="1">
      <c r="A1922" s="5">
        <f ca="1">IFERROR(__xludf.DUMMYFUNCTION("""COMPUTED_VALUE"""),95)</f>
        <v>95</v>
      </c>
      <c r="B1922" s="69"/>
    </row>
    <row r="1923" spans="1:2" ht="12.5" hidden="1">
      <c r="A1923" s="5">
        <f ca="1">IFERROR(__xludf.DUMMYFUNCTION("""COMPUTED_VALUE"""),41)</f>
        <v>41</v>
      </c>
      <c r="B1923" s="69"/>
    </row>
    <row r="1924" spans="1:2" ht="12.5" hidden="1">
      <c r="A1924" s="5">
        <f ca="1">IFERROR(__xludf.DUMMYFUNCTION("""COMPUTED_VALUE"""),45)</f>
        <v>45</v>
      </c>
      <c r="B1924" s="69"/>
    </row>
    <row r="1925" spans="1:2" ht="12.5" hidden="1">
      <c r="A1925" s="5">
        <f ca="1">IFERROR(__xludf.DUMMYFUNCTION("""COMPUTED_VALUE"""),56)</f>
        <v>56</v>
      </c>
      <c r="B1925" s="69"/>
    </row>
    <row r="1926" spans="1:2" ht="12.5" hidden="1">
      <c r="A1926" s="5">
        <f ca="1">IFERROR(__xludf.DUMMYFUNCTION("""COMPUTED_VALUE"""),31)</f>
        <v>31</v>
      </c>
      <c r="B1926" s="69"/>
    </row>
    <row r="1927" spans="1:2" ht="12.5" hidden="1">
      <c r="A1927" s="5">
        <f ca="1">IFERROR(__xludf.DUMMYFUNCTION("""COMPUTED_VALUE"""),57)</f>
        <v>57</v>
      </c>
      <c r="B1927" s="69"/>
    </row>
    <row r="1928" spans="1:2" ht="12.5" hidden="1">
      <c r="A1928" s="5">
        <f ca="1">IFERROR(__xludf.DUMMYFUNCTION("""COMPUTED_VALUE"""),29)</f>
        <v>29</v>
      </c>
      <c r="B1928" s="69"/>
    </row>
    <row r="1929" spans="1:2" ht="12.5" hidden="1">
      <c r="A1929" s="5">
        <f ca="1">IFERROR(__xludf.DUMMYFUNCTION("""COMPUTED_VALUE"""),95)</f>
        <v>95</v>
      </c>
      <c r="B1929" s="69"/>
    </row>
    <row r="1930" spans="1:2" ht="12.5" hidden="1">
      <c r="A1930" s="5">
        <f ca="1">IFERROR(__xludf.DUMMYFUNCTION("""COMPUTED_VALUE"""),21)</f>
        <v>21</v>
      </c>
      <c r="B1930" s="69"/>
    </row>
    <row r="1931" spans="1:2" ht="12.5" hidden="1">
      <c r="A1931" s="5">
        <f ca="1">IFERROR(__xludf.DUMMYFUNCTION("""COMPUTED_VALUE"""),95)</f>
        <v>95</v>
      </c>
      <c r="B1931" s="69"/>
    </row>
    <row r="1932" spans="1:2" ht="12.5" hidden="1">
      <c r="A1932" s="5">
        <f ca="1">IFERROR(__xludf.DUMMYFUNCTION("""COMPUTED_VALUE"""),100)</f>
        <v>100</v>
      </c>
      <c r="B1932" s="69"/>
    </row>
    <row r="1933" spans="1:2" ht="12.5" hidden="1">
      <c r="A1933" s="5">
        <f ca="1">IFERROR(__xludf.DUMMYFUNCTION("""COMPUTED_VALUE"""),95)</f>
        <v>95</v>
      </c>
      <c r="B1933" s="69"/>
    </row>
    <row r="1934" spans="1:2" ht="12.5" hidden="1">
      <c r="A1934" s="5">
        <f ca="1">IFERROR(__xludf.DUMMYFUNCTION("""COMPUTED_VALUE"""),95)</f>
        <v>95</v>
      </c>
      <c r="B1934" s="69"/>
    </row>
    <row r="1935" spans="1:2" ht="12.5" hidden="1">
      <c r="A1935" s="5">
        <f ca="1">IFERROR(__xludf.DUMMYFUNCTION("""COMPUTED_VALUE"""),95)</f>
        <v>95</v>
      </c>
      <c r="B1935" s="69"/>
    </row>
    <row r="1936" spans="1:2" ht="12.5" hidden="1">
      <c r="A1936" s="5">
        <f ca="1">IFERROR(__xludf.DUMMYFUNCTION("""COMPUTED_VALUE"""),95)</f>
        <v>95</v>
      </c>
      <c r="B1936" s="69"/>
    </row>
    <row r="1937" spans="1:2" ht="12.5" hidden="1">
      <c r="A1937" s="5">
        <f ca="1">IFERROR(__xludf.DUMMYFUNCTION("""COMPUTED_VALUE"""),74)</f>
        <v>74</v>
      </c>
      <c r="B1937" s="69"/>
    </row>
    <row r="1938" spans="1:2" ht="12.5" hidden="1">
      <c r="A1938" s="5">
        <f ca="1">IFERROR(__xludf.DUMMYFUNCTION("""COMPUTED_VALUE"""),17)</f>
        <v>17</v>
      </c>
      <c r="B1938" s="69"/>
    </row>
    <row r="1939" spans="1:2" ht="12.5" hidden="1">
      <c r="A1939" s="5">
        <f ca="1">IFERROR(__xludf.DUMMYFUNCTION("""COMPUTED_VALUE"""),95)</f>
        <v>95</v>
      </c>
      <c r="B1939" s="69"/>
    </row>
    <row r="1940" spans="1:2" ht="12.5" hidden="1">
      <c r="A1940" s="5">
        <f ca="1">IFERROR(__xludf.DUMMYFUNCTION("""COMPUTED_VALUE"""),20)</f>
        <v>20</v>
      </c>
      <c r="B1940" s="69"/>
    </row>
    <row r="1941" spans="1:2" ht="12.5" hidden="1">
      <c r="A1941" s="5">
        <f ca="1">IFERROR(__xludf.DUMMYFUNCTION("""COMPUTED_VALUE"""),29)</f>
        <v>29</v>
      </c>
      <c r="B1941" s="69"/>
    </row>
    <row r="1942" spans="1:2" ht="12.5" hidden="1">
      <c r="A1942" s="5">
        <f ca="1">IFERROR(__xludf.DUMMYFUNCTION("""COMPUTED_VALUE"""),24)</f>
        <v>24</v>
      </c>
      <c r="B1942" s="69"/>
    </row>
    <row r="1943" spans="1:2" ht="12.5" hidden="1">
      <c r="A1943" s="5">
        <f ca="1">IFERROR(__xludf.DUMMYFUNCTION("""COMPUTED_VALUE"""),78)</f>
        <v>78</v>
      </c>
      <c r="B1943" s="69"/>
    </row>
    <row r="1944" spans="1:2" ht="12.5" hidden="1">
      <c r="A1944" s="5">
        <f ca="1">IFERROR(__xludf.DUMMYFUNCTION("""COMPUTED_VALUE"""),95)</f>
        <v>95</v>
      </c>
      <c r="B1944" s="69"/>
    </row>
    <row r="1945" spans="1:2" ht="12.5" hidden="1">
      <c r="A1945" s="5">
        <f ca="1">IFERROR(__xludf.DUMMYFUNCTION("""COMPUTED_VALUE"""),37)</f>
        <v>37</v>
      </c>
      <c r="B1945" s="69"/>
    </row>
    <row r="1946" spans="1:2" ht="12.5" hidden="1">
      <c r="A1946" s="5">
        <f ca="1">IFERROR(__xludf.DUMMYFUNCTION("""COMPUTED_VALUE"""),20)</f>
        <v>20</v>
      </c>
      <c r="B1946" s="69"/>
    </row>
    <row r="1947" spans="1:2" ht="12.5" hidden="1">
      <c r="A1947" s="5">
        <f ca="1">IFERROR(__xludf.DUMMYFUNCTION("""COMPUTED_VALUE"""),71)</f>
        <v>71</v>
      </c>
      <c r="B1947" s="69"/>
    </row>
    <row r="1948" spans="1:2" ht="12.5" hidden="1">
      <c r="A1948" s="5">
        <f ca="1">IFERROR(__xludf.DUMMYFUNCTION("""COMPUTED_VALUE"""),29)</f>
        <v>29</v>
      </c>
      <c r="B1948" s="69"/>
    </row>
    <row r="1949" spans="1:2" ht="12.5" hidden="1">
      <c r="A1949" s="5">
        <f ca="1">IFERROR(__xludf.DUMMYFUNCTION("""COMPUTED_VALUE"""),31)</f>
        <v>31</v>
      </c>
      <c r="B1949" s="69"/>
    </row>
    <row r="1950" spans="1:2" ht="12.5" hidden="1">
      <c r="A1950" s="5">
        <f ca="1">IFERROR(__xludf.DUMMYFUNCTION("""COMPUTED_VALUE"""),31)</f>
        <v>31</v>
      </c>
      <c r="B1950" s="69"/>
    </row>
    <row r="1951" spans="1:2" ht="12.5" hidden="1">
      <c r="A1951" s="5">
        <f ca="1">IFERROR(__xludf.DUMMYFUNCTION("""COMPUTED_VALUE"""),31)</f>
        <v>31</v>
      </c>
      <c r="B1951" s="69"/>
    </row>
    <row r="1952" spans="1:2" ht="12.5" hidden="1">
      <c r="A1952" s="5">
        <f ca="1">IFERROR(__xludf.DUMMYFUNCTION("""COMPUTED_VALUE"""),53)</f>
        <v>53</v>
      </c>
      <c r="B1952" s="69"/>
    </row>
    <row r="1953" spans="1:2" ht="12.5" hidden="1">
      <c r="A1953" s="5">
        <f ca="1">IFERROR(__xludf.DUMMYFUNCTION("""COMPUTED_VALUE"""),29)</f>
        <v>29</v>
      </c>
      <c r="B1953" s="69"/>
    </row>
    <row r="1954" spans="1:2" ht="12.5" hidden="1">
      <c r="A1954" s="5">
        <f ca="1">IFERROR(__xludf.DUMMYFUNCTION("""COMPUTED_VALUE"""),63)</f>
        <v>63</v>
      </c>
      <c r="B1954" s="69"/>
    </row>
    <row r="1955" spans="1:2" ht="12.5" hidden="1">
      <c r="A1955" s="5">
        <f ca="1">IFERROR(__xludf.DUMMYFUNCTION("""COMPUTED_VALUE"""),95)</f>
        <v>95</v>
      </c>
      <c r="B1955" s="69"/>
    </row>
    <row r="1956" spans="1:2" ht="12.5" hidden="1">
      <c r="A1956" s="5">
        <f ca="1">IFERROR(__xludf.DUMMYFUNCTION("""COMPUTED_VALUE"""),39)</f>
        <v>39</v>
      </c>
      <c r="B1956" s="69"/>
    </row>
    <row r="1957" spans="1:2" ht="12.5" hidden="1">
      <c r="A1957" s="5">
        <f ca="1">IFERROR(__xludf.DUMMYFUNCTION("""COMPUTED_VALUE"""),53)</f>
        <v>53</v>
      </c>
      <c r="B1957" s="69"/>
    </row>
    <row r="1958" spans="1:2" ht="12.5" hidden="1">
      <c r="A1958" s="5">
        <f ca="1">IFERROR(__xludf.DUMMYFUNCTION("""COMPUTED_VALUE"""),95)</f>
        <v>95</v>
      </c>
      <c r="B1958" s="69"/>
    </row>
    <row r="1959" spans="1:2" ht="12.5" hidden="1">
      <c r="A1959" s="5">
        <f ca="1">IFERROR(__xludf.DUMMYFUNCTION("""COMPUTED_VALUE"""),41)</f>
        <v>41</v>
      </c>
      <c r="B1959" s="69"/>
    </row>
    <row r="1960" spans="1:2" ht="12.5" hidden="1">
      <c r="A1960" s="5">
        <f ca="1">IFERROR(__xludf.DUMMYFUNCTION("""COMPUTED_VALUE"""),89)</f>
        <v>89</v>
      </c>
      <c r="B1960" s="69"/>
    </row>
    <row r="1961" spans="1:2" ht="12.5" hidden="1">
      <c r="A1961" s="5">
        <f ca="1">IFERROR(__xludf.DUMMYFUNCTION("""COMPUTED_VALUE"""),18)</f>
        <v>18</v>
      </c>
      <c r="B1961" s="69"/>
    </row>
    <row r="1962" spans="1:2" ht="12.5" hidden="1">
      <c r="A1962" s="5">
        <f ca="1">IFERROR(__xludf.DUMMYFUNCTION("""COMPUTED_VALUE"""),36)</f>
        <v>36</v>
      </c>
      <c r="B1962" s="69"/>
    </row>
    <row r="1963" spans="1:2" ht="12.5" hidden="1">
      <c r="A1963" s="5">
        <f ca="1">IFERROR(__xludf.DUMMYFUNCTION("""COMPUTED_VALUE"""),29)</f>
        <v>29</v>
      </c>
      <c r="B1963" s="69"/>
    </row>
    <row r="1964" spans="1:2" ht="12.5" hidden="1">
      <c r="A1964" s="5">
        <f ca="1">IFERROR(__xludf.DUMMYFUNCTION("""COMPUTED_VALUE"""),5)</f>
        <v>5</v>
      </c>
      <c r="B1964" s="69"/>
    </row>
    <row r="1965" spans="1:2" ht="12.5" hidden="1">
      <c r="A1965" s="5">
        <f ca="1">IFERROR(__xludf.DUMMYFUNCTION("""COMPUTED_VALUE"""),81)</f>
        <v>81</v>
      </c>
      <c r="B1965" s="69"/>
    </row>
    <row r="1966" spans="1:2" ht="12.5" hidden="1">
      <c r="A1966" s="5">
        <f ca="1">IFERROR(__xludf.DUMMYFUNCTION("""COMPUTED_VALUE"""),42)</f>
        <v>42</v>
      </c>
      <c r="B1966" s="69"/>
    </row>
    <row r="1967" spans="1:2" ht="12.5" hidden="1">
      <c r="A1967" s="5">
        <f ca="1">IFERROR(__xludf.DUMMYFUNCTION("""COMPUTED_VALUE"""),71)</f>
        <v>71</v>
      </c>
      <c r="B1967" s="69"/>
    </row>
    <row r="1968" spans="1:2" ht="12.5" hidden="1">
      <c r="A1968" s="5">
        <f ca="1">IFERROR(__xludf.DUMMYFUNCTION("""COMPUTED_VALUE"""),52)</f>
        <v>52</v>
      </c>
      <c r="B1968" s="69"/>
    </row>
    <row r="1969" spans="1:2" ht="12.5" hidden="1">
      <c r="A1969" s="5">
        <f ca="1">IFERROR(__xludf.DUMMYFUNCTION("""COMPUTED_VALUE"""),17)</f>
        <v>17</v>
      </c>
      <c r="B1969" s="69"/>
    </row>
    <row r="1970" spans="1:2" ht="12.5" hidden="1">
      <c r="A1970" s="5">
        <f ca="1">IFERROR(__xludf.DUMMYFUNCTION("""COMPUTED_VALUE"""),62)</f>
        <v>62</v>
      </c>
      <c r="B1970" s="69"/>
    </row>
    <row r="1971" spans="1:2" ht="12.5" hidden="1">
      <c r="A1971" s="5">
        <f ca="1">IFERROR(__xludf.DUMMYFUNCTION("""COMPUTED_VALUE"""),31)</f>
        <v>31</v>
      </c>
      <c r="B1971" s="69"/>
    </row>
    <row r="1972" spans="1:2" ht="12.5" hidden="1">
      <c r="A1972" s="5">
        <f ca="1">IFERROR(__xludf.DUMMYFUNCTION("""COMPUTED_VALUE"""),5)</f>
        <v>5</v>
      </c>
      <c r="B1972" s="69"/>
    </row>
    <row r="1973" spans="1:2" ht="12.5" hidden="1">
      <c r="A1973" s="5">
        <f ca="1">IFERROR(__xludf.DUMMYFUNCTION("""COMPUTED_VALUE"""),37)</f>
        <v>37</v>
      </c>
      <c r="B1973" s="69"/>
    </row>
    <row r="1974" spans="1:2" ht="12.5" hidden="1">
      <c r="A1974" s="5">
        <f ca="1">IFERROR(__xludf.DUMMYFUNCTION("""COMPUTED_VALUE"""),29)</f>
        <v>29</v>
      </c>
      <c r="B1974" s="69"/>
    </row>
    <row r="1975" spans="1:2" ht="12.5" hidden="1">
      <c r="A1975" s="5">
        <f ca="1">IFERROR(__xludf.DUMMYFUNCTION("""COMPUTED_VALUE"""),95)</f>
        <v>95</v>
      </c>
      <c r="B1975" s="69"/>
    </row>
    <row r="1976" spans="1:2" ht="12.5" hidden="1">
      <c r="A1976" s="5">
        <f ca="1">IFERROR(__xludf.DUMMYFUNCTION("""COMPUTED_VALUE"""),70)</f>
        <v>70</v>
      </c>
      <c r="B1976" s="69"/>
    </row>
    <row r="1977" spans="1:2" ht="12.5" hidden="1">
      <c r="A1977" s="5">
        <f ca="1">IFERROR(__xludf.DUMMYFUNCTION("""COMPUTED_VALUE"""),53)</f>
        <v>53</v>
      </c>
      <c r="B1977" s="69"/>
    </row>
    <row r="1978" spans="1:2" ht="12.5" hidden="1">
      <c r="A1978" s="5">
        <f ca="1">IFERROR(__xludf.DUMMYFUNCTION("""COMPUTED_VALUE"""),66)</f>
        <v>66</v>
      </c>
      <c r="B1978" s="69"/>
    </row>
    <row r="1979" spans="1:2" ht="12.5" hidden="1">
      <c r="A1979" s="5">
        <f ca="1">IFERROR(__xludf.DUMMYFUNCTION("""COMPUTED_VALUE"""),62)</f>
        <v>62</v>
      </c>
      <c r="B1979" s="69"/>
    </row>
    <row r="1980" spans="1:2" ht="12.5" hidden="1">
      <c r="A1980" s="5">
        <f ca="1">IFERROR(__xludf.DUMMYFUNCTION("""COMPUTED_VALUE"""),53)</f>
        <v>53</v>
      </c>
      <c r="B1980" s="69"/>
    </row>
    <row r="1981" spans="1:2" ht="12.5" hidden="1">
      <c r="A1981" s="5">
        <f ca="1">IFERROR(__xludf.DUMMYFUNCTION("""COMPUTED_VALUE"""),53)</f>
        <v>53</v>
      </c>
      <c r="B1981" s="69"/>
    </row>
    <row r="1982" spans="1:2" ht="12.5" hidden="1">
      <c r="A1982" s="5">
        <f ca="1">IFERROR(__xludf.DUMMYFUNCTION("""COMPUTED_VALUE"""),31)</f>
        <v>31</v>
      </c>
      <c r="B1982" s="69"/>
    </row>
    <row r="1983" spans="1:2" ht="12.5" hidden="1">
      <c r="A1983" s="5">
        <f ca="1">IFERROR(__xludf.DUMMYFUNCTION("""COMPUTED_VALUE"""),27)</f>
        <v>27</v>
      </c>
      <c r="B1983" s="69"/>
    </row>
    <row r="1984" spans="1:2" ht="12.5" hidden="1">
      <c r="A1984" s="5">
        <f ca="1">IFERROR(__xludf.DUMMYFUNCTION("""COMPUTED_VALUE"""),52)</f>
        <v>52</v>
      </c>
      <c r="B1984" s="69"/>
    </row>
    <row r="1985" spans="1:2" ht="12.5" hidden="1">
      <c r="A1985" s="5">
        <f ca="1">IFERROR(__xludf.DUMMYFUNCTION("""COMPUTED_VALUE"""),71)</f>
        <v>71</v>
      </c>
      <c r="B1985" s="69"/>
    </row>
    <row r="1986" spans="1:2" ht="12.5" hidden="1">
      <c r="A1986" s="5">
        <f ca="1">IFERROR(__xludf.DUMMYFUNCTION("""COMPUTED_VALUE"""),27)</f>
        <v>27</v>
      </c>
      <c r="B1986" s="69"/>
    </row>
    <row r="1987" spans="1:2" ht="12.5" hidden="1">
      <c r="A1987" s="5">
        <f ca="1">IFERROR(__xludf.DUMMYFUNCTION("""COMPUTED_VALUE"""),23)</f>
        <v>23</v>
      </c>
      <c r="B1987" s="69"/>
    </row>
    <row r="1988" spans="1:2" ht="12.5" hidden="1">
      <c r="A1988" s="5">
        <f ca="1">IFERROR(__xludf.DUMMYFUNCTION("""COMPUTED_VALUE"""),28)</f>
        <v>28</v>
      </c>
      <c r="B1988" s="69"/>
    </row>
    <row r="1989" spans="1:2" ht="12.5" hidden="1">
      <c r="A1989" s="5">
        <f ca="1">IFERROR(__xludf.DUMMYFUNCTION("""COMPUTED_VALUE"""),31)</f>
        <v>31</v>
      </c>
      <c r="B1989" s="69"/>
    </row>
    <row r="1990" spans="1:2" ht="12.5" hidden="1">
      <c r="A1990" s="5">
        <f ca="1">IFERROR(__xludf.DUMMYFUNCTION("""COMPUTED_VALUE"""),48)</f>
        <v>48</v>
      </c>
      <c r="B1990" s="69"/>
    </row>
    <row r="1991" spans="1:2" ht="12.5" hidden="1">
      <c r="A1991" s="5">
        <f ca="1">IFERROR(__xludf.DUMMYFUNCTION("""COMPUTED_VALUE"""),95)</f>
        <v>95</v>
      </c>
      <c r="B1991" s="69"/>
    </row>
    <row r="1992" spans="1:2" ht="12.5" hidden="1">
      <c r="A1992" s="5">
        <f ca="1">IFERROR(__xludf.DUMMYFUNCTION("""COMPUTED_VALUE"""),18)</f>
        <v>18</v>
      </c>
      <c r="B1992" s="69"/>
    </row>
    <row r="1993" spans="1:2" ht="12.5" hidden="1">
      <c r="A1993" s="5">
        <f ca="1">IFERROR(__xludf.DUMMYFUNCTION("""COMPUTED_VALUE"""),95)</f>
        <v>95</v>
      </c>
      <c r="B1993" s="69"/>
    </row>
    <row r="1994" spans="1:2" ht="12.5" hidden="1">
      <c r="A1994" s="5">
        <f ca="1">IFERROR(__xludf.DUMMYFUNCTION("""COMPUTED_VALUE"""),52)</f>
        <v>52</v>
      </c>
      <c r="B1994" s="69"/>
    </row>
    <row r="1995" spans="1:2" ht="12.5" hidden="1">
      <c r="A1995" s="5">
        <f ca="1">IFERROR(__xludf.DUMMYFUNCTION("""COMPUTED_VALUE"""),70)</f>
        <v>70</v>
      </c>
      <c r="B1995" s="69"/>
    </row>
    <row r="1996" spans="1:2" ht="12.5" hidden="1">
      <c r="A1996" s="5">
        <f ca="1">IFERROR(__xludf.DUMMYFUNCTION("""COMPUTED_VALUE"""),29)</f>
        <v>29</v>
      </c>
      <c r="B1996" s="69"/>
    </row>
    <row r="1997" spans="1:2" ht="12.5" hidden="1">
      <c r="A1997" s="5">
        <f ca="1">IFERROR(__xludf.DUMMYFUNCTION("""COMPUTED_VALUE"""),12)</f>
        <v>12</v>
      </c>
      <c r="B1997" s="69"/>
    </row>
    <row r="1998" spans="1:2" ht="12.5" hidden="1">
      <c r="A1998" s="5">
        <f ca="1">IFERROR(__xludf.DUMMYFUNCTION("""COMPUTED_VALUE"""),31)</f>
        <v>31</v>
      </c>
      <c r="B1998" s="69"/>
    </row>
    <row r="1999" spans="1:2" ht="12.5" hidden="1">
      <c r="A1999" s="5">
        <f ca="1">IFERROR(__xludf.DUMMYFUNCTION("""COMPUTED_VALUE"""),96)</f>
        <v>96</v>
      </c>
      <c r="B1999" s="69"/>
    </row>
    <row r="2000" spans="1:2" ht="12.5" hidden="1">
      <c r="A2000" s="5">
        <f ca="1">IFERROR(__xludf.DUMMYFUNCTION("""COMPUTED_VALUE"""),28)</f>
        <v>28</v>
      </c>
      <c r="B2000" s="69"/>
    </row>
    <row r="2001" spans="1:2" ht="12.5" hidden="1">
      <c r="A2001" s="5">
        <f ca="1">IFERROR(__xludf.DUMMYFUNCTION("""COMPUTED_VALUE"""),95)</f>
        <v>95</v>
      </c>
      <c r="B2001" s="69"/>
    </row>
    <row r="2002" spans="1:2" ht="12.5" hidden="1">
      <c r="A2002" s="5">
        <f ca="1">IFERROR(__xludf.DUMMYFUNCTION("""COMPUTED_VALUE"""),95)</f>
        <v>95</v>
      </c>
      <c r="B2002" s="69"/>
    </row>
    <row r="2003" spans="1:2" ht="12.5" hidden="1">
      <c r="A2003" s="5">
        <f ca="1">IFERROR(__xludf.DUMMYFUNCTION("""COMPUTED_VALUE"""),95)</f>
        <v>95</v>
      </c>
      <c r="B2003" s="69"/>
    </row>
    <row r="2004" spans="1:2" ht="12.5" hidden="1">
      <c r="A2004" s="5">
        <f ca="1">IFERROR(__xludf.DUMMYFUNCTION("""COMPUTED_VALUE"""),19)</f>
        <v>19</v>
      </c>
      <c r="B2004" s="69"/>
    </row>
    <row r="2005" spans="1:2" ht="12.5" hidden="1">
      <c r="A2005" s="5">
        <f ca="1">IFERROR(__xludf.DUMMYFUNCTION("""COMPUTED_VALUE"""),29)</f>
        <v>29</v>
      </c>
      <c r="B2005" s="69"/>
    </row>
    <row r="2006" spans="1:2" ht="12.5" hidden="1">
      <c r="A2006" s="5">
        <f ca="1">IFERROR(__xludf.DUMMYFUNCTION("""COMPUTED_VALUE"""),45)</f>
        <v>45</v>
      </c>
      <c r="B2006" s="69"/>
    </row>
    <row r="2007" spans="1:2" ht="12.5" hidden="1">
      <c r="A2007" s="5">
        <f ca="1">IFERROR(__xludf.DUMMYFUNCTION("""COMPUTED_VALUE"""),29)</f>
        <v>29</v>
      </c>
      <c r="B2007" s="69"/>
    </row>
    <row r="2008" spans="1:2" ht="12.5" hidden="1">
      <c r="A2008" s="5">
        <f ca="1">IFERROR(__xludf.DUMMYFUNCTION("""COMPUTED_VALUE"""),53)</f>
        <v>53</v>
      </c>
      <c r="B2008" s="69"/>
    </row>
    <row r="2009" spans="1:2" ht="12.5" hidden="1">
      <c r="A2009" s="5">
        <f ca="1">IFERROR(__xludf.DUMMYFUNCTION("""COMPUTED_VALUE"""),101)</f>
        <v>101</v>
      </c>
      <c r="B2009" s="69"/>
    </row>
    <row r="2010" spans="1:2" ht="12.5" hidden="1">
      <c r="A2010" s="5">
        <f ca="1">IFERROR(__xludf.DUMMYFUNCTION("""COMPUTED_VALUE"""),5)</f>
        <v>5</v>
      </c>
      <c r="B2010" s="69"/>
    </row>
    <row r="2011" spans="1:2" ht="12.5" hidden="1">
      <c r="A2011" s="5">
        <f ca="1">IFERROR(__xludf.DUMMYFUNCTION("""COMPUTED_VALUE"""),71)</f>
        <v>71</v>
      </c>
      <c r="B2011" s="69"/>
    </row>
    <row r="2012" spans="1:2" ht="12.5" hidden="1">
      <c r="A2012" s="5">
        <f ca="1">IFERROR(__xludf.DUMMYFUNCTION("""COMPUTED_VALUE"""),16)</f>
        <v>16</v>
      </c>
      <c r="B2012" s="69"/>
    </row>
    <row r="2013" spans="1:2" ht="12.5" hidden="1">
      <c r="A2013" s="5">
        <f ca="1">IFERROR(__xludf.DUMMYFUNCTION("""COMPUTED_VALUE"""),53)</f>
        <v>53</v>
      </c>
      <c r="B2013" s="69"/>
    </row>
    <row r="2014" spans="1:2" ht="12.5" hidden="1">
      <c r="A2014" s="5">
        <f ca="1">IFERROR(__xludf.DUMMYFUNCTION("""COMPUTED_VALUE"""),22)</f>
        <v>22</v>
      </c>
      <c r="B2014" s="69"/>
    </row>
    <row r="2015" spans="1:2" ht="12.5" hidden="1">
      <c r="A2015" s="5">
        <f ca="1">IFERROR(__xludf.DUMMYFUNCTION("""COMPUTED_VALUE"""),26)</f>
        <v>26</v>
      </c>
      <c r="B2015" s="69"/>
    </row>
    <row r="2016" spans="1:2" ht="12.5" hidden="1">
      <c r="A2016" s="5">
        <f ca="1">IFERROR(__xludf.DUMMYFUNCTION("""COMPUTED_VALUE"""),95)</f>
        <v>95</v>
      </c>
      <c r="B2016" s="69"/>
    </row>
    <row r="2017" spans="1:2" ht="12.5" hidden="1">
      <c r="A2017" s="5">
        <f ca="1">IFERROR(__xludf.DUMMYFUNCTION("""COMPUTED_VALUE"""),95)</f>
        <v>95</v>
      </c>
      <c r="B2017" s="69"/>
    </row>
    <row r="2018" spans="1:2" ht="12.5" hidden="1">
      <c r="A2018" s="5">
        <f ca="1">IFERROR(__xludf.DUMMYFUNCTION("""COMPUTED_VALUE"""),9)</f>
        <v>9</v>
      </c>
      <c r="B2018" s="69"/>
    </row>
    <row r="2019" spans="1:2" ht="12.5" hidden="1">
      <c r="A2019" s="5">
        <f ca="1">IFERROR(__xludf.DUMMYFUNCTION("""COMPUTED_VALUE"""),31)</f>
        <v>31</v>
      </c>
      <c r="B2019" s="69"/>
    </row>
    <row r="2020" spans="1:2" ht="12.5" hidden="1">
      <c r="A2020" s="5">
        <f ca="1">IFERROR(__xludf.DUMMYFUNCTION("""COMPUTED_VALUE"""),66)</f>
        <v>66</v>
      </c>
      <c r="B2020" s="69"/>
    </row>
    <row r="2021" spans="1:2" ht="12.5" hidden="1">
      <c r="A2021" s="5">
        <f ca="1">IFERROR(__xludf.DUMMYFUNCTION("""COMPUTED_VALUE"""),58)</f>
        <v>58</v>
      </c>
      <c r="B2021" s="69"/>
    </row>
    <row r="2022" spans="1:2" ht="12.5" hidden="1">
      <c r="A2022" s="5">
        <f ca="1">IFERROR(__xludf.DUMMYFUNCTION("""COMPUTED_VALUE"""),53)</f>
        <v>53</v>
      </c>
      <c r="B2022" s="69"/>
    </row>
    <row r="2023" spans="1:2" ht="12.5" hidden="1">
      <c r="A2023" s="5">
        <f ca="1">IFERROR(__xludf.DUMMYFUNCTION("""COMPUTED_VALUE"""),101)</f>
        <v>101</v>
      </c>
      <c r="B2023" s="69"/>
    </row>
    <row r="2024" spans="1:2" ht="12.5" hidden="1">
      <c r="A2024" s="5">
        <f ca="1">IFERROR(__xludf.DUMMYFUNCTION("""COMPUTED_VALUE"""),68)</f>
        <v>68</v>
      </c>
      <c r="B2024" s="69"/>
    </row>
    <row r="2025" spans="1:2" ht="12.5" hidden="1">
      <c r="A2025" s="5">
        <f ca="1">IFERROR(__xludf.DUMMYFUNCTION("""COMPUTED_VALUE"""),57)</f>
        <v>57</v>
      </c>
      <c r="B2025" s="69"/>
    </row>
    <row r="2026" spans="1:2" ht="12.5" hidden="1">
      <c r="A2026" s="5">
        <f ca="1">IFERROR(__xludf.DUMMYFUNCTION("""COMPUTED_VALUE"""),42)</f>
        <v>42</v>
      </c>
      <c r="B2026" s="69"/>
    </row>
    <row r="2027" spans="1:2" ht="12.5" hidden="1">
      <c r="A2027" s="5">
        <f ca="1">IFERROR(__xludf.DUMMYFUNCTION("""COMPUTED_VALUE"""),39)</f>
        <v>39</v>
      </c>
      <c r="B2027" s="69"/>
    </row>
    <row r="2028" spans="1:2" ht="12.5" hidden="1">
      <c r="A2028" s="5">
        <f ca="1">IFERROR(__xludf.DUMMYFUNCTION("""COMPUTED_VALUE"""),31)</f>
        <v>31</v>
      </c>
      <c r="B2028" s="69"/>
    </row>
    <row r="2029" spans="1:2" ht="12.5" hidden="1">
      <c r="A2029" s="5">
        <f ca="1">IFERROR(__xludf.DUMMYFUNCTION("""COMPUTED_VALUE"""),62)</f>
        <v>62</v>
      </c>
      <c r="B2029" s="69"/>
    </row>
    <row r="2030" spans="1:2" ht="12.5" hidden="1">
      <c r="A2030" s="5">
        <f ca="1">IFERROR(__xludf.DUMMYFUNCTION("""COMPUTED_VALUE"""),53)</f>
        <v>53</v>
      </c>
      <c r="B2030" s="69"/>
    </row>
    <row r="2031" spans="1:2" ht="12.5" hidden="1">
      <c r="A2031" s="5">
        <f ca="1">IFERROR(__xludf.DUMMYFUNCTION("""COMPUTED_VALUE"""),59)</f>
        <v>59</v>
      </c>
      <c r="B2031" s="69"/>
    </row>
    <row r="2032" spans="1:2" ht="12.5" hidden="1">
      <c r="A2032" s="5">
        <f ca="1">IFERROR(__xludf.DUMMYFUNCTION("""COMPUTED_VALUE"""),53)</f>
        <v>53</v>
      </c>
      <c r="B2032" s="69"/>
    </row>
    <row r="2033" spans="1:2" ht="12.5" hidden="1">
      <c r="A2033" s="5">
        <f ca="1">IFERROR(__xludf.DUMMYFUNCTION("""COMPUTED_VALUE"""),70)</f>
        <v>70</v>
      </c>
      <c r="B2033" s="69"/>
    </row>
    <row r="2034" spans="1:2" ht="12.5" hidden="1">
      <c r="A2034" s="5">
        <f ca="1">IFERROR(__xludf.DUMMYFUNCTION("""COMPUTED_VALUE"""),31)</f>
        <v>31</v>
      </c>
      <c r="B2034" s="69"/>
    </row>
    <row r="2035" spans="1:2" ht="12.5" hidden="1">
      <c r="A2035" s="5">
        <f ca="1">IFERROR(__xludf.DUMMYFUNCTION("""COMPUTED_VALUE"""),73)</f>
        <v>73</v>
      </c>
      <c r="B2035" s="69"/>
    </row>
    <row r="2036" spans="1:2" ht="12.5" hidden="1">
      <c r="A2036" s="5">
        <f ca="1">IFERROR(__xludf.DUMMYFUNCTION("""COMPUTED_VALUE"""),95)</f>
        <v>95</v>
      </c>
      <c r="B2036" s="69"/>
    </row>
    <row r="2037" spans="1:2" ht="12.5" hidden="1">
      <c r="A2037" s="5">
        <f ca="1">IFERROR(__xludf.DUMMYFUNCTION("""COMPUTED_VALUE"""),95)</f>
        <v>95</v>
      </c>
      <c r="B2037" s="69"/>
    </row>
    <row r="2038" spans="1:2" ht="12.5" hidden="1">
      <c r="A2038" s="5">
        <f ca="1">IFERROR(__xludf.DUMMYFUNCTION("""COMPUTED_VALUE"""),70)</f>
        <v>70</v>
      </c>
      <c r="B2038" s="69"/>
    </row>
    <row r="2039" spans="1:2" ht="12.5" hidden="1">
      <c r="A2039" s="5">
        <f ca="1">IFERROR(__xludf.DUMMYFUNCTION("""COMPUTED_VALUE"""),95)</f>
        <v>95</v>
      </c>
      <c r="B2039" s="69"/>
    </row>
    <row r="2040" spans="1:2" ht="12.5" hidden="1">
      <c r="A2040" s="5">
        <f ca="1">IFERROR(__xludf.DUMMYFUNCTION("""COMPUTED_VALUE"""),101)</f>
        <v>101</v>
      </c>
      <c r="B2040" s="69"/>
    </row>
    <row r="2041" spans="1:2" ht="12.5" hidden="1">
      <c r="A2041" s="5">
        <f ca="1">IFERROR(__xludf.DUMMYFUNCTION("""COMPUTED_VALUE"""),29)</f>
        <v>29</v>
      </c>
      <c r="B2041" s="69"/>
    </row>
    <row r="2042" spans="1:2" ht="12.5" hidden="1">
      <c r="A2042" s="5">
        <f ca="1">IFERROR(__xludf.DUMMYFUNCTION("""COMPUTED_VALUE"""),27)</f>
        <v>27</v>
      </c>
      <c r="B2042" s="69"/>
    </row>
    <row r="2043" spans="1:2" ht="12.5" hidden="1">
      <c r="A2043" s="5">
        <f ca="1">IFERROR(__xludf.DUMMYFUNCTION("""COMPUTED_VALUE"""),46)</f>
        <v>46</v>
      </c>
      <c r="B2043" s="69"/>
    </row>
    <row r="2044" spans="1:2" ht="12.5" hidden="1">
      <c r="A2044" s="5">
        <f ca="1">IFERROR(__xludf.DUMMYFUNCTION("""COMPUTED_VALUE"""),95)</f>
        <v>95</v>
      </c>
      <c r="B2044" s="69"/>
    </row>
    <row r="2045" spans="1:2" ht="12.5" hidden="1">
      <c r="A2045" s="5">
        <f ca="1">IFERROR(__xludf.DUMMYFUNCTION("""COMPUTED_VALUE"""),95)</f>
        <v>95</v>
      </c>
      <c r="B2045" s="69"/>
    </row>
    <row r="2046" spans="1:2" ht="12.5" hidden="1">
      <c r="A2046" s="5">
        <f ca="1">IFERROR(__xludf.DUMMYFUNCTION("""COMPUTED_VALUE"""),38)</f>
        <v>38</v>
      </c>
      <c r="B2046" s="69"/>
    </row>
    <row r="2047" spans="1:2" ht="12.5" hidden="1">
      <c r="A2047" s="5">
        <f ca="1">IFERROR(__xludf.DUMMYFUNCTION("""COMPUTED_VALUE"""),1)</f>
        <v>1</v>
      </c>
      <c r="B2047" s="69"/>
    </row>
    <row r="2048" spans="1:2" ht="12.5" hidden="1">
      <c r="A2048" s="5">
        <f ca="1">IFERROR(__xludf.DUMMYFUNCTION("""COMPUTED_VALUE"""),41)</f>
        <v>41</v>
      </c>
      <c r="B2048" s="69"/>
    </row>
    <row r="2049" spans="1:2" ht="12.5" hidden="1">
      <c r="A2049" s="5">
        <f ca="1">IFERROR(__xludf.DUMMYFUNCTION("""COMPUTED_VALUE"""),82)</f>
        <v>82</v>
      </c>
      <c r="B2049" s="69"/>
    </row>
    <row r="2050" spans="1:2" ht="12.5" hidden="1">
      <c r="A2050" s="5">
        <f ca="1">IFERROR(__xludf.DUMMYFUNCTION("""COMPUTED_VALUE"""),95)</f>
        <v>95</v>
      </c>
      <c r="B2050" s="69"/>
    </row>
    <row r="2051" spans="1:2" ht="12.5" hidden="1">
      <c r="A2051" s="5">
        <f ca="1">IFERROR(__xludf.DUMMYFUNCTION("""COMPUTED_VALUE"""),65)</f>
        <v>65</v>
      </c>
      <c r="B2051" s="69"/>
    </row>
    <row r="2052" spans="1:2" ht="12.5" hidden="1">
      <c r="A2052" s="5">
        <f ca="1">IFERROR(__xludf.DUMMYFUNCTION("""COMPUTED_VALUE"""),95)</f>
        <v>95</v>
      </c>
      <c r="B2052" s="69"/>
    </row>
    <row r="2053" spans="1:2" ht="12.5" hidden="1">
      <c r="A2053" s="5">
        <f ca="1">IFERROR(__xludf.DUMMYFUNCTION("""COMPUTED_VALUE"""),52)</f>
        <v>52</v>
      </c>
      <c r="B2053" s="69"/>
    </row>
    <row r="2054" spans="1:2" ht="12.5" hidden="1">
      <c r="A2054" s="5">
        <f ca="1">IFERROR(__xludf.DUMMYFUNCTION("""COMPUTED_VALUE"""),27)</f>
        <v>27</v>
      </c>
      <c r="B2054" s="69"/>
    </row>
    <row r="2055" spans="1:2" ht="12.5" hidden="1">
      <c r="A2055" s="5">
        <f ca="1">IFERROR(__xludf.DUMMYFUNCTION("""COMPUTED_VALUE"""),95)</f>
        <v>95</v>
      </c>
      <c r="B2055" s="69"/>
    </row>
    <row r="2056" spans="1:2" ht="12.5" hidden="1">
      <c r="A2056" s="5">
        <f ca="1">IFERROR(__xludf.DUMMYFUNCTION("""COMPUTED_VALUE"""),96)</f>
        <v>96</v>
      </c>
      <c r="B2056" s="69"/>
    </row>
    <row r="2057" spans="1:2" ht="12.5" hidden="1">
      <c r="A2057" s="5">
        <f ca="1">IFERROR(__xludf.DUMMYFUNCTION("""COMPUTED_VALUE"""),29)</f>
        <v>29</v>
      </c>
      <c r="B2057" s="69"/>
    </row>
    <row r="2058" spans="1:2" ht="12.5" hidden="1">
      <c r="A2058" s="5">
        <f ca="1">IFERROR(__xludf.DUMMYFUNCTION("""COMPUTED_VALUE"""),30)</f>
        <v>30</v>
      </c>
      <c r="B2058" s="69"/>
    </row>
    <row r="2059" spans="1:2" ht="12.5" hidden="1">
      <c r="A2059" s="5">
        <f ca="1">IFERROR(__xludf.DUMMYFUNCTION("""COMPUTED_VALUE"""),81)</f>
        <v>81</v>
      </c>
      <c r="B2059" s="69"/>
    </row>
    <row r="2060" spans="1:2" ht="12.5" hidden="1">
      <c r="A2060" s="5">
        <f ca="1">IFERROR(__xludf.DUMMYFUNCTION("""COMPUTED_VALUE"""),95)</f>
        <v>95</v>
      </c>
      <c r="B2060" s="69"/>
    </row>
    <row r="2061" spans="1:2" ht="12.5" hidden="1">
      <c r="A2061" s="5">
        <f ca="1">IFERROR(__xludf.DUMMYFUNCTION("""COMPUTED_VALUE"""),95)</f>
        <v>95</v>
      </c>
      <c r="B2061" s="69"/>
    </row>
    <row r="2062" spans="1:2" ht="12.5" hidden="1">
      <c r="A2062" s="5">
        <f ca="1">IFERROR(__xludf.DUMMYFUNCTION("""COMPUTED_VALUE"""),29)</f>
        <v>29</v>
      </c>
      <c r="B2062" s="69"/>
    </row>
    <row r="2063" spans="1:2" ht="12.5" hidden="1">
      <c r="A2063" s="5">
        <f ca="1">IFERROR(__xludf.DUMMYFUNCTION("""COMPUTED_VALUE"""),30)</f>
        <v>30</v>
      </c>
      <c r="B2063" s="69"/>
    </row>
    <row r="2064" spans="1:2" ht="12.5" hidden="1">
      <c r="A2064" s="5">
        <f ca="1">IFERROR(__xludf.DUMMYFUNCTION("""COMPUTED_VALUE"""),53)</f>
        <v>53</v>
      </c>
      <c r="B2064" s="69"/>
    </row>
    <row r="2065" spans="1:2" ht="12.5" hidden="1">
      <c r="A2065" s="5">
        <f ca="1">IFERROR(__xludf.DUMMYFUNCTION("""COMPUTED_VALUE"""),29)</f>
        <v>29</v>
      </c>
      <c r="B2065" s="69"/>
    </row>
    <row r="2066" spans="1:2" ht="12.5" hidden="1">
      <c r="A2066" s="5">
        <f ca="1">IFERROR(__xludf.DUMMYFUNCTION("""COMPUTED_VALUE"""),69)</f>
        <v>69</v>
      </c>
      <c r="B2066" s="69"/>
    </row>
    <row r="2067" spans="1:2" ht="12.5" hidden="1">
      <c r="A2067" s="5">
        <f ca="1">IFERROR(__xludf.DUMMYFUNCTION("""COMPUTED_VALUE"""),39)</f>
        <v>39</v>
      </c>
      <c r="B2067" s="69"/>
    </row>
    <row r="2068" spans="1:2" ht="12.5" hidden="1">
      <c r="A2068" s="5">
        <f ca="1">IFERROR(__xludf.DUMMYFUNCTION("""COMPUTED_VALUE"""),52)</f>
        <v>52</v>
      </c>
      <c r="B2068" s="69"/>
    </row>
    <row r="2069" spans="1:2" ht="12.5" hidden="1">
      <c r="A2069" s="5">
        <f ca="1">IFERROR(__xludf.DUMMYFUNCTION("""COMPUTED_VALUE"""),52)</f>
        <v>52</v>
      </c>
      <c r="B2069" s="69"/>
    </row>
    <row r="2070" spans="1:2" ht="12.5" hidden="1">
      <c r="A2070" s="5">
        <f ca="1">IFERROR(__xludf.DUMMYFUNCTION("""COMPUTED_VALUE"""),95)</f>
        <v>95</v>
      </c>
      <c r="B2070" s="69"/>
    </row>
    <row r="2071" spans="1:2" ht="12.5" hidden="1">
      <c r="A2071" s="5">
        <f ca="1">IFERROR(__xludf.DUMMYFUNCTION("""COMPUTED_VALUE"""),95)</f>
        <v>95</v>
      </c>
      <c r="B2071" s="69"/>
    </row>
    <row r="2072" spans="1:2" ht="12.5" hidden="1">
      <c r="A2072" s="5">
        <f ca="1">IFERROR(__xludf.DUMMYFUNCTION("""COMPUTED_VALUE"""),95)</f>
        <v>95</v>
      </c>
      <c r="B2072" s="69"/>
    </row>
    <row r="2073" spans="1:2" ht="12.5" hidden="1">
      <c r="A2073" s="5">
        <f ca="1">IFERROR(__xludf.DUMMYFUNCTION("""COMPUTED_VALUE"""),39)</f>
        <v>39</v>
      </c>
      <c r="B2073" s="69"/>
    </row>
    <row r="2074" spans="1:2" ht="12.5" hidden="1">
      <c r="A2074" s="5">
        <f ca="1">IFERROR(__xludf.DUMMYFUNCTION("""COMPUTED_VALUE"""),64)</f>
        <v>64</v>
      </c>
      <c r="B2074" s="69"/>
    </row>
    <row r="2075" spans="1:2" ht="12.5" hidden="1">
      <c r="A2075" s="5">
        <f ca="1">IFERROR(__xludf.DUMMYFUNCTION("""COMPUTED_VALUE"""),29)</f>
        <v>29</v>
      </c>
      <c r="B2075" s="69"/>
    </row>
    <row r="2076" spans="1:2" ht="12.5" hidden="1">
      <c r="A2076" s="5">
        <f ca="1">IFERROR(__xludf.DUMMYFUNCTION("""COMPUTED_VALUE"""),45)</f>
        <v>45</v>
      </c>
      <c r="B2076" s="69"/>
    </row>
    <row r="2077" spans="1:2" ht="12.5" hidden="1">
      <c r="A2077" s="5">
        <f ca="1">IFERROR(__xludf.DUMMYFUNCTION("""COMPUTED_VALUE"""),52)</f>
        <v>52</v>
      </c>
      <c r="B2077" s="69"/>
    </row>
    <row r="2078" spans="1:2" ht="12.5" hidden="1">
      <c r="A2078" s="5">
        <f ca="1">IFERROR(__xludf.DUMMYFUNCTION("""COMPUTED_VALUE"""),21)</f>
        <v>21</v>
      </c>
      <c r="B2078" s="69"/>
    </row>
    <row r="2079" spans="1:2" ht="12.5" hidden="1">
      <c r="A2079" s="5">
        <f ca="1">IFERROR(__xludf.DUMMYFUNCTION("""COMPUTED_VALUE"""),39)</f>
        <v>39</v>
      </c>
      <c r="B2079" s="69"/>
    </row>
    <row r="2080" spans="1:2" ht="12.5" hidden="1">
      <c r="A2080" s="5">
        <f ca="1">IFERROR(__xludf.DUMMYFUNCTION("""COMPUTED_VALUE"""),95)</f>
        <v>95</v>
      </c>
      <c r="B2080" s="69"/>
    </row>
    <row r="2081" spans="1:2" ht="12.5" hidden="1">
      <c r="A2081" s="5">
        <f ca="1">IFERROR(__xludf.DUMMYFUNCTION("""COMPUTED_VALUE"""),52)</f>
        <v>52</v>
      </c>
      <c r="B2081" s="69"/>
    </row>
    <row r="2082" spans="1:2" ht="12.5" hidden="1">
      <c r="A2082" s="5">
        <f ca="1">IFERROR(__xludf.DUMMYFUNCTION("""COMPUTED_VALUE"""),101)</f>
        <v>101</v>
      </c>
      <c r="B2082" s="69"/>
    </row>
    <row r="2083" spans="1:2" ht="12.5" hidden="1">
      <c r="A2083" s="5">
        <f ca="1">IFERROR(__xludf.DUMMYFUNCTION("""COMPUTED_VALUE"""),85)</f>
        <v>85</v>
      </c>
      <c r="B2083" s="69"/>
    </row>
    <row r="2084" spans="1:2" ht="12.5" hidden="1">
      <c r="A2084" s="5">
        <f ca="1">IFERROR(__xludf.DUMMYFUNCTION("""COMPUTED_VALUE"""),87)</f>
        <v>87</v>
      </c>
      <c r="B2084" s="69"/>
    </row>
    <row r="2085" spans="1:2" ht="12.5" hidden="1">
      <c r="A2085" s="5">
        <f ca="1">IFERROR(__xludf.DUMMYFUNCTION("""COMPUTED_VALUE"""),95)</f>
        <v>95</v>
      </c>
      <c r="B2085" s="69"/>
    </row>
    <row r="2086" spans="1:2" ht="12.5" hidden="1">
      <c r="A2086" s="5">
        <f ca="1">IFERROR(__xludf.DUMMYFUNCTION("""COMPUTED_VALUE"""),14)</f>
        <v>14</v>
      </c>
      <c r="B2086" s="69"/>
    </row>
    <row r="2087" spans="1:2" ht="12.5" hidden="1">
      <c r="A2087" s="5">
        <f ca="1">IFERROR(__xludf.DUMMYFUNCTION("""COMPUTED_VALUE"""),52)</f>
        <v>52</v>
      </c>
      <c r="B2087" s="69"/>
    </row>
    <row r="2088" spans="1:2" ht="12.5" hidden="1">
      <c r="A2088" s="5">
        <f ca="1">IFERROR(__xludf.DUMMYFUNCTION("""COMPUTED_VALUE"""),31)</f>
        <v>31</v>
      </c>
      <c r="B2088" s="69"/>
    </row>
    <row r="2089" spans="1:2" ht="12.5" hidden="1">
      <c r="A2089" s="5">
        <f ca="1">IFERROR(__xludf.DUMMYFUNCTION("""COMPUTED_VALUE"""),31)</f>
        <v>31</v>
      </c>
      <c r="B2089" s="69"/>
    </row>
    <row r="2090" spans="1:2" ht="12.5" hidden="1">
      <c r="A2090" s="5">
        <f ca="1">IFERROR(__xludf.DUMMYFUNCTION("""COMPUTED_VALUE"""),26)</f>
        <v>26</v>
      </c>
      <c r="B2090" s="69"/>
    </row>
    <row r="2091" spans="1:2" ht="12.5" hidden="1">
      <c r="A2091" s="5">
        <f ca="1">IFERROR(__xludf.DUMMYFUNCTION("""COMPUTED_VALUE"""),23)</f>
        <v>23</v>
      </c>
      <c r="B2091" s="69"/>
    </row>
    <row r="2092" spans="1:2" ht="12.5" hidden="1">
      <c r="A2092" s="5">
        <f ca="1">IFERROR(__xludf.DUMMYFUNCTION("""COMPUTED_VALUE"""),29)</f>
        <v>29</v>
      </c>
      <c r="B2092" s="69"/>
    </row>
    <row r="2093" spans="1:2" ht="12.5" hidden="1">
      <c r="A2093" s="5">
        <f ca="1">IFERROR(__xludf.DUMMYFUNCTION("""COMPUTED_VALUE"""),80)</f>
        <v>80</v>
      </c>
      <c r="B2093" s="69"/>
    </row>
    <row r="2094" spans="1:2" ht="12.5" hidden="1">
      <c r="A2094" s="5">
        <f ca="1">IFERROR(__xludf.DUMMYFUNCTION("""COMPUTED_VALUE"""),29)</f>
        <v>29</v>
      </c>
      <c r="B2094" s="69"/>
    </row>
    <row r="2095" spans="1:2" ht="12.5" hidden="1">
      <c r="A2095" s="5">
        <f ca="1">IFERROR(__xludf.DUMMYFUNCTION("""COMPUTED_VALUE"""),30)</f>
        <v>30</v>
      </c>
      <c r="B2095" s="69"/>
    </row>
    <row r="2096" spans="1:2" ht="12.5" hidden="1">
      <c r="A2096" s="5">
        <f ca="1">IFERROR(__xludf.DUMMYFUNCTION("""COMPUTED_VALUE"""),38)</f>
        <v>38</v>
      </c>
      <c r="B2096" s="69"/>
    </row>
    <row r="2097" spans="1:2" ht="12.5" hidden="1">
      <c r="A2097" s="5">
        <f ca="1">IFERROR(__xludf.DUMMYFUNCTION("""COMPUTED_VALUE"""),70)</f>
        <v>70</v>
      </c>
      <c r="B2097" s="69"/>
    </row>
    <row r="2098" spans="1:2" ht="12.5" hidden="1">
      <c r="A2098" s="5">
        <f ca="1">IFERROR(__xludf.DUMMYFUNCTION("""COMPUTED_VALUE"""),95)</f>
        <v>95</v>
      </c>
      <c r="B2098" s="69"/>
    </row>
    <row r="2099" spans="1:2" ht="12.5" hidden="1">
      <c r="A2099" s="5">
        <f ca="1">IFERROR(__xludf.DUMMYFUNCTION("""COMPUTED_VALUE"""),95)</f>
        <v>95</v>
      </c>
      <c r="B2099" s="69"/>
    </row>
    <row r="2100" spans="1:2" ht="12.5" hidden="1">
      <c r="A2100" s="5">
        <f ca="1">IFERROR(__xludf.DUMMYFUNCTION("""COMPUTED_VALUE"""),95)</f>
        <v>95</v>
      </c>
      <c r="B2100" s="69"/>
    </row>
    <row r="2101" spans="1:2" ht="12.5" hidden="1">
      <c r="A2101" s="5">
        <f ca="1">IFERROR(__xludf.DUMMYFUNCTION("""COMPUTED_VALUE"""),56)</f>
        <v>56</v>
      </c>
      <c r="B2101" s="69"/>
    </row>
    <row r="2102" spans="1:2" ht="12.5" hidden="1">
      <c r="A2102" s="5">
        <f ca="1">IFERROR(__xludf.DUMMYFUNCTION("""COMPUTED_VALUE"""),101)</f>
        <v>101</v>
      </c>
      <c r="B2102" s="69"/>
    </row>
    <row r="2103" spans="1:2" ht="12.5" hidden="1">
      <c r="A2103" s="5">
        <f ca="1">IFERROR(__xludf.DUMMYFUNCTION("""COMPUTED_VALUE"""),57)</f>
        <v>57</v>
      </c>
      <c r="B2103" s="69"/>
    </row>
    <row r="2104" spans="1:2" ht="12.5" hidden="1">
      <c r="A2104" s="5">
        <f ca="1">IFERROR(__xludf.DUMMYFUNCTION("""COMPUTED_VALUE"""),30)</f>
        <v>30</v>
      </c>
      <c r="B2104" s="69"/>
    </row>
    <row r="2105" spans="1:2" ht="12.5" hidden="1">
      <c r="A2105" s="5">
        <f ca="1">IFERROR(__xludf.DUMMYFUNCTION("""COMPUTED_VALUE"""),29)</f>
        <v>29</v>
      </c>
      <c r="B2105" s="69"/>
    </row>
    <row r="2106" spans="1:2" ht="12.5" hidden="1">
      <c r="A2106" s="5">
        <f ca="1">IFERROR(__xludf.DUMMYFUNCTION("""COMPUTED_VALUE"""),52)</f>
        <v>52</v>
      </c>
      <c r="B2106" s="69"/>
    </row>
    <row r="2107" spans="1:2" ht="12.5" hidden="1">
      <c r="A2107" s="5">
        <f ca="1">IFERROR(__xludf.DUMMYFUNCTION("""COMPUTED_VALUE"""),41)</f>
        <v>41</v>
      </c>
      <c r="B2107" s="69"/>
    </row>
    <row r="2108" spans="1:2" ht="12.5" hidden="1">
      <c r="A2108" s="5">
        <f ca="1">IFERROR(__xludf.DUMMYFUNCTION("""COMPUTED_VALUE"""),1)</f>
        <v>1</v>
      </c>
      <c r="B2108" s="69"/>
    </row>
    <row r="2109" spans="1:2" ht="12.5" hidden="1">
      <c r="A2109" s="5">
        <f ca="1">IFERROR(__xludf.DUMMYFUNCTION("""COMPUTED_VALUE"""),52)</f>
        <v>52</v>
      </c>
      <c r="B2109" s="69"/>
    </row>
    <row r="2110" spans="1:2" ht="12.5" hidden="1">
      <c r="A2110" s="5">
        <f ca="1">IFERROR(__xludf.DUMMYFUNCTION("""COMPUTED_VALUE"""),71)</f>
        <v>71</v>
      </c>
      <c r="B2110" s="69"/>
    </row>
    <row r="2111" spans="1:2" ht="12.5" hidden="1">
      <c r="A2111" s="5">
        <f ca="1">IFERROR(__xludf.DUMMYFUNCTION("""COMPUTED_VALUE"""),52)</f>
        <v>52</v>
      </c>
      <c r="B2111" s="69"/>
    </row>
    <row r="2112" spans="1:2" ht="12.5" hidden="1">
      <c r="A2112" s="5">
        <f ca="1">IFERROR(__xludf.DUMMYFUNCTION("""COMPUTED_VALUE"""),52)</f>
        <v>52</v>
      </c>
      <c r="B2112" s="69"/>
    </row>
    <row r="2113" spans="1:2" ht="12.5" hidden="1">
      <c r="A2113" s="5">
        <f ca="1">IFERROR(__xludf.DUMMYFUNCTION("""COMPUTED_VALUE"""),95)</f>
        <v>95</v>
      </c>
      <c r="B2113" s="69"/>
    </row>
    <row r="2114" spans="1:2" ht="12.5" hidden="1">
      <c r="A2114" s="5">
        <f ca="1">IFERROR(__xludf.DUMMYFUNCTION("""COMPUTED_VALUE"""),95)</f>
        <v>95</v>
      </c>
      <c r="B2114" s="69"/>
    </row>
    <row r="2115" spans="1:2" ht="12.5" hidden="1">
      <c r="A2115" s="5">
        <f ca="1">IFERROR(__xludf.DUMMYFUNCTION("""COMPUTED_VALUE"""),26)</f>
        <v>26</v>
      </c>
      <c r="B2115" s="69"/>
    </row>
    <row r="2116" spans="1:2" ht="12.5" hidden="1">
      <c r="A2116" s="5">
        <f ca="1">IFERROR(__xludf.DUMMYFUNCTION("""COMPUTED_VALUE"""),29)</f>
        <v>29</v>
      </c>
      <c r="B2116" s="69"/>
    </row>
    <row r="2117" spans="1:2" ht="12.5" hidden="1">
      <c r="A2117" s="5">
        <f ca="1">IFERROR(__xludf.DUMMYFUNCTION("""COMPUTED_VALUE"""),26)</f>
        <v>26</v>
      </c>
      <c r="B2117" s="69"/>
    </row>
    <row r="2118" spans="1:2" ht="12.5" hidden="1">
      <c r="A2118" s="5">
        <f ca="1">IFERROR(__xludf.DUMMYFUNCTION("""COMPUTED_VALUE"""),29)</f>
        <v>29</v>
      </c>
      <c r="B2118" s="69"/>
    </row>
    <row r="2119" spans="1:2" ht="12.5" hidden="1">
      <c r="A2119" s="5">
        <f ca="1">IFERROR(__xludf.DUMMYFUNCTION("""COMPUTED_VALUE"""),29)</f>
        <v>29</v>
      </c>
      <c r="B2119" s="69"/>
    </row>
    <row r="2120" spans="1:2" ht="12.5" hidden="1">
      <c r="A2120" s="5">
        <f ca="1">IFERROR(__xludf.DUMMYFUNCTION("""COMPUTED_VALUE"""),95)</f>
        <v>95</v>
      </c>
      <c r="B2120" s="69"/>
    </row>
    <row r="2121" spans="1:2" ht="12.5" hidden="1">
      <c r="A2121" s="5">
        <f ca="1">IFERROR(__xludf.DUMMYFUNCTION("""COMPUTED_VALUE"""),104)</f>
        <v>104</v>
      </c>
      <c r="B2121" s="69"/>
    </row>
    <row r="2122" spans="1:2" ht="12.5" hidden="1">
      <c r="A2122" s="5">
        <f ca="1">IFERROR(__xludf.DUMMYFUNCTION("""COMPUTED_VALUE"""),62)</f>
        <v>62</v>
      </c>
      <c r="B2122" s="69"/>
    </row>
    <row r="2123" spans="1:2" ht="12.5" hidden="1">
      <c r="A2123" s="5">
        <f ca="1">IFERROR(__xludf.DUMMYFUNCTION("""COMPUTED_VALUE"""),47)</f>
        <v>47</v>
      </c>
      <c r="B2123" s="69"/>
    </row>
    <row r="2124" spans="1:2" ht="12.5" hidden="1">
      <c r="A2124" s="5">
        <f ca="1">IFERROR(__xludf.DUMMYFUNCTION("""COMPUTED_VALUE"""),51)</f>
        <v>51</v>
      </c>
      <c r="B2124" s="69"/>
    </row>
    <row r="2125" spans="1:2" ht="12.5" hidden="1">
      <c r="A2125" s="5">
        <f ca="1">IFERROR(__xludf.DUMMYFUNCTION("""COMPUTED_VALUE"""),50)</f>
        <v>50</v>
      </c>
      <c r="B2125" s="69"/>
    </row>
    <row r="2126" spans="1:2" ht="12.5" hidden="1">
      <c r="A2126" s="5">
        <f ca="1">IFERROR(__xludf.DUMMYFUNCTION("""COMPUTED_VALUE"""),41)</f>
        <v>41</v>
      </c>
      <c r="B2126" s="69"/>
    </row>
    <row r="2127" spans="1:2" ht="12.5" hidden="1">
      <c r="A2127" s="5">
        <f ca="1">IFERROR(__xludf.DUMMYFUNCTION("""COMPUTED_VALUE"""),95)</f>
        <v>95</v>
      </c>
      <c r="B2127" s="69"/>
    </row>
    <row r="2128" spans="1:2" ht="12.5" hidden="1">
      <c r="A2128" s="5">
        <f ca="1">IFERROR(__xludf.DUMMYFUNCTION("""COMPUTED_VALUE"""),26)</f>
        <v>26</v>
      </c>
      <c r="B2128" s="69"/>
    </row>
    <row r="2129" spans="1:2" ht="12.5" hidden="1">
      <c r="A2129" s="5">
        <f ca="1">IFERROR(__xludf.DUMMYFUNCTION("""COMPUTED_VALUE"""),39)</f>
        <v>39</v>
      </c>
      <c r="B2129" s="69"/>
    </row>
    <row r="2130" spans="1:2" ht="12.5" hidden="1">
      <c r="A2130" s="5">
        <f ca="1">IFERROR(__xludf.DUMMYFUNCTION("""COMPUTED_VALUE"""),95)</f>
        <v>95</v>
      </c>
      <c r="B2130" s="69"/>
    </row>
    <row r="2131" spans="1:2" ht="12.5" hidden="1">
      <c r="A2131" s="5">
        <f ca="1">IFERROR(__xludf.DUMMYFUNCTION("""COMPUTED_VALUE"""),30)</f>
        <v>30</v>
      </c>
      <c r="B2131" s="69"/>
    </row>
    <row r="2132" spans="1:2" ht="12.5" hidden="1">
      <c r="A2132" s="5">
        <f ca="1">IFERROR(__xludf.DUMMYFUNCTION("""COMPUTED_VALUE"""),58)</f>
        <v>58</v>
      </c>
      <c r="B2132" s="69"/>
    </row>
    <row r="2133" spans="1:2" ht="12.5" hidden="1">
      <c r="A2133" s="5">
        <f ca="1">IFERROR(__xludf.DUMMYFUNCTION("""COMPUTED_VALUE"""),95)</f>
        <v>95</v>
      </c>
      <c r="B2133" s="69"/>
    </row>
    <row r="2134" spans="1:2" ht="12.5" hidden="1">
      <c r="A2134" s="5">
        <f ca="1">IFERROR(__xludf.DUMMYFUNCTION("""COMPUTED_VALUE"""),53)</f>
        <v>53</v>
      </c>
      <c r="B2134" s="69"/>
    </row>
    <row r="2135" spans="1:2" ht="12.5" hidden="1">
      <c r="A2135" s="5">
        <f ca="1">IFERROR(__xludf.DUMMYFUNCTION("""COMPUTED_VALUE"""),30)</f>
        <v>30</v>
      </c>
      <c r="B2135" s="69"/>
    </row>
    <row r="2136" spans="1:2" ht="12.5" hidden="1">
      <c r="A2136" s="5">
        <f ca="1">IFERROR(__xludf.DUMMYFUNCTION("""COMPUTED_VALUE"""),70)</f>
        <v>70</v>
      </c>
      <c r="B2136" s="69"/>
    </row>
    <row r="2137" spans="1:2" ht="12.5" hidden="1">
      <c r="A2137" s="5">
        <f ca="1">IFERROR(__xludf.DUMMYFUNCTION("""COMPUTED_VALUE"""),29)</f>
        <v>29</v>
      </c>
      <c r="B2137" s="69"/>
    </row>
    <row r="2138" spans="1:2" ht="12.5" hidden="1">
      <c r="A2138" s="5">
        <f ca="1">IFERROR(__xludf.DUMMYFUNCTION("""COMPUTED_VALUE"""),95)</f>
        <v>95</v>
      </c>
      <c r="B2138" s="69"/>
    </row>
    <row r="2139" spans="1:2" ht="12.5" hidden="1">
      <c r="A2139" s="5">
        <f ca="1">IFERROR(__xludf.DUMMYFUNCTION("""COMPUTED_VALUE"""),30)</f>
        <v>30</v>
      </c>
      <c r="B2139" s="69"/>
    </row>
    <row r="2140" spans="1:2" ht="12.5" hidden="1">
      <c r="A2140" s="5">
        <f ca="1">IFERROR(__xludf.DUMMYFUNCTION("""COMPUTED_VALUE"""),53)</f>
        <v>53</v>
      </c>
      <c r="B2140" s="69"/>
    </row>
    <row r="2141" spans="1:2" ht="12.5" hidden="1">
      <c r="A2141" s="5">
        <f ca="1">IFERROR(__xludf.DUMMYFUNCTION("""COMPUTED_VALUE"""),52)</f>
        <v>52</v>
      </c>
      <c r="B2141" s="69"/>
    </row>
    <row r="2142" spans="1:2" ht="12.5" hidden="1">
      <c r="A2142" s="5">
        <f ca="1">IFERROR(__xludf.DUMMYFUNCTION("""COMPUTED_VALUE"""),101)</f>
        <v>101</v>
      </c>
      <c r="B2142" s="69"/>
    </row>
    <row r="2143" spans="1:2" ht="12.5" hidden="1">
      <c r="A2143" s="5">
        <f ca="1">IFERROR(__xludf.DUMMYFUNCTION("""COMPUTED_VALUE"""),29)</f>
        <v>29</v>
      </c>
      <c r="B2143" s="69"/>
    </row>
    <row r="2144" spans="1:2" ht="12.5" hidden="1">
      <c r="A2144" s="5">
        <f ca="1">IFERROR(__xludf.DUMMYFUNCTION("""COMPUTED_VALUE"""),53)</f>
        <v>53</v>
      </c>
      <c r="B2144" s="69"/>
    </row>
    <row r="2145" spans="1:2" ht="12.5" hidden="1">
      <c r="A2145" s="5">
        <f ca="1">IFERROR(__xludf.DUMMYFUNCTION("""COMPUTED_VALUE"""),46)</f>
        <v>46</v>
      </c>
      <c r="B2145" s="69"/>
    </row>
    <row r="2146" spans="1:2" ht="12.5" hidden="1">
      <c r="A2146" s="5">
        <f ca="1">IFERROR(__xludf.DUMMYFUNCTION("""COMPUTED_VALUE"""),30)</f>
        <v>30</v>
      </c>
      <c r="B2146" s="69"/>
    </row>
    <row r="2147" spans="1:2" ht="12.5" hidden="1">
      <c r="A2147" s="5">
        <f ca="1">IFERROR(__xludf.DUMMYFUNCTION("""COMPUTED_VALUE"""),95)</f>
        <v>95</v>
      </c>
      <c r="B2147" s="69"/>
    </row>
    <row r="2148" spans="1:2" ht="12.5" hidden="1">
      <c r="A2148" s="5">
        <f ca="1">IFERROR(__xludf.DUMMYFUNCTION("""COMPUTED_VALUE"""),95)</f>
        <v>95</v>
      </c>
      <c r="B2148" s="69"/>
    </row>
    <row r="2149" spans="1:2" ht="12.5" hidden="1">
      <c r="A2149" s="5">
        <f ca="1">IFERROR(__xludf.DUMMYFUNCTION("""COMPUTED_VALUE"""),46)</f>
        <v>46</v>
      </c>
      <c r="B2149" s="69"/>
    </row>
    <row r="2150" spans="1:2" ht="12.5" hidden="1">
      <c r="A2150" s="5">
        <f ca="1">IFERROR(__xludf.DUMMYFUNCTION("""COMPUTED_VALUE"""),29)</f>
        <v>29</v>
      </c>
      <c r="B2150" s="69"/>
    </row>
    <row r="2151" spans="1:2" ht="12.5" hidden="1">
      <c r="A2151" s="5">
        <f ca="1">IFERROR(__xludf.DUMMYFUNCTION("""COMPUTED_VALUE"""),53)</f>
        <v>53</v>
      </c>
      <c r="B2151" s="69"/>
    </row>
    <row r="2152" spans="1:2" ht="12.5" hidden="1">
      <c r="A2152" s="5">
        <f ca="1">IFERROR(__xludf.DUMMYFUNCTION("""COMPUTED_VALUE"""),1)</f>
        <v>1</v>
      </c>
      <c r="B2152" s="69"/>
    </row>
    <row r="2153" spans="1:2" ht="12.5" hidden="1">
      <c r="A2153" s="5">
        <f ca="1">IFERROR(__xludf.DUMMYFUNCTION("""COMPUTED_VALUE"""),46)</f>
        <v>46</v>
      </c>
      <c r="B2153" s="69"/>
    </row>
    <row r="2154" spans="1:2" ht="12.5" hidden="1">
      <c r="A2154" s="5">
        <f ca="1">IFERROR(__xludf.DUMMYFUNCTION("""COMPUTED_VALUE"""),101)</f>
        <v>101</v>
      </c>
      <c r="B2154" s="69"/>
    </row>
    <row r="2155" spans="1:2" ht="12.5" hidden="1">
      <c r="A2155" s="5">
        <f ca="1">IFERROR(__xludf.DUMMYFUNCTION("""COMPUTED_VALUE"""),30)</f>
        <v>30</v>
      </c>
      <c r="B2155" s="69"/>
    </row>
    <row r="2156" spans="1:2" ht="12.5" hidden="1">
      <c r="A2156" s="5">
        <f ca="1">IFERROR(__xludf.DUMMYFUNCTION("""COMPUTED_VALUE"""),52)</f>
        <v>52</v>
      </c>
      <c r="B2156" s="69"/>
    </row>
    <row r="2157" spans="1:2" ht="12.5" hidden="1">
      <c r="A2157" s="5">
        <f ca="1">IFERROR(__xludf.DUMMYFUNCTION("""COMPUTED_VALUE"""),39)</f>
        <v>39</v>
      </c>
      <c r="B2157" s="69"/>
    </row>
    <row r="2158" spans="1:2" ht="12.5" hidden="1">
      <c r="A2158" s="5">
        <f ca="1">IFERROR(__xludf.DUMMYFUNCTION("""COMPUTED_VALUE"""),101)</f>
        <v>101</v>
      </c>
      <c r="B2158" s="69"/>
    </row>
    <row r="2159" spans="1:2" ht="12.5" hidden="1">
      <c r="A2159" s="5">
        <f ca="1">IFERROR(__xludf.DUMMYFUNCTION("""COMPUTED_VALUE"""),101)</f>
        <v>101</v>
      </c>
      <c r="B2159" s="69"/>
    </row>
    <row r="2160" spans="1:2" ht="12.5" hidden="1">
      <c r="A2160" s="5">
        <f ca="1">IFERROR(__xludf.DUMMYFUNCTION("""COMPUTED_VALUE"""),53)</f>
        <v>53</v>
      </c>
      <c r="B2160" s="69"/>
    </row>
    <row r="2161" spans="1:2" ht="12.5" hidden="1">
      <c r="A2161" s="5">
        <f ca="1">IFERROR(__xludf.DUMMYFUNCTION("""COMPUTED_VALUE"""),29)</f>
        <v>29</v>
      </c>
      <c r="B2161" s="69"/>
    </row>
    <row r="2162" spans="1:2" ht="12.5" hidden="1">
      <c r="A2162" s="5">
        <f ca="1">IFERROR(__xludf.DUMMYFUNCTION("""COMPUTED_VALUE"""),105)</f>
        <v>105</v>
      </c>
      <c r="B2162" s="69"/>
    </row>
    <row r="2163" spans="1:2" ht="12.5" hidden="1">
      <c r="A2163" s="5">
        <f ca="1">IFERROR(__xludf.DUMMYFUNCTION("""COMPUTED_VALUE"""),46)</f>
        <v>46</v>
      </c>
      <c r="B2163" s="69"/>
    </row>
    <row r="2164" spans="1:2" ht="12.5" hidden="1">
      <c r="A2164" s="5">
        <f ca="1">IFERROR(__xludf.DUMMYFUNCTION("""COMPUTED_VALUE"""),29)</f>
        <v>29</v>
      </c>
      <c r="B2164" s="69"/>
    </row>
    <row r="2165" spans="1:2" ht="12.5" hidden="1">
      <c r="A2165" s="5">
        <f ca="1">IFERROR(__xludf.DUMMYFUNCTION("""COMPUTED_VALUE"""),95)</f>
        <v>95</v>
      </c>
      <c r="B2165" s="69"/>
    </row>
    <row r="2166" spans="1:2" ht="12.5" hidden="1">
      <c r="A2166" s="5">
        <f ca="1">IFERROR(__xludf.DUMMYFUNCTION("""COMPUTED_VALUE"""),59)</f>
        <v>59</v>
      </c>
      <c r="B2166" s="69"/>
    </row>
    <row r="2167" spans="1:2" ht="12.5" hidden="1">
      <c r="A2167" s="5">
        <f ca="1">IFERROR(__xludf.DUMMYFUNCTION("""COMPUTED_VALUE"""),95)</f>
        <v>95</v>
      </c>
      <c r="B2167" s="69"/>
    </row>
    <row r="2168" spans="1:2" ht="12.5" hidden="1">
      <c r="A2168" s="5">
        <f ca="1">IFERROR(__xludf.DUMMYFUNCTION("""COMPUTED_VALUE"""),29)</f>
        <v>29</v>
      </c>
      <c r="B2168" s="69"/>
    </row>
    <row r="2169" spans="1:2" ht="12.5" hidden="1">
      <c r="A2169" s="5">
        <f ca="1">IFERROR(__xludf.DUMMYFUNCTION("""COMPUTED_VALUE"""),52)</f>
        <v>52</v>
      </c>
      <c r="B2169" s="69"/>
    </row>
    <row r="2170" spans="1:2" ht="12.5" hidden="1">
      <c r="A2170" s="5">
        <f ca="1">IFERROR(__xludf.DUMMYFUNCTION("""COMPUTED_VALUE"""),52)</f>
        <v>52</v>
      </c>
      <c r="B2170" s="69"/>
    </row>
    <row r="2171" spans="1:2" ht="12.5" hidden="1">
      <c r="A2171" s="5">
        <f ca="1">IFERROR(__xludf.DUMMYFUNCTION("""COMPUTED_VALUE"""),29)</f>
        <v>29</v>
      </c>
      <c r="B2171" s="69"/>
    </row>
    <row r="2172" spans="1:2" ht="12.5" hidden="1">
      <c r="A2172" s="5">
        <f ca="1">IFERROR(__xludf.DUMMYFUNCTION("""COMPUTED_VALUE"""),53)</f>
        <v>53</v>
      </c>
      <c r="B2172" s="69"/>
    </row>
    <row r="2173" spans="1:2" ht="12.5" hidden="1">
      <c r="A2173" s="5">
        <f ca="1">IFERROR(__xludf.DUMMYFUNCTION("""COMPUTED_VALUE"""),29)</f>
        <v>29</v>
      </c>
      <c r="B2173" s="69"/>
    </row>
    <row r="2174" spans="1:2" ht="12.5" hidden="1">
      <c r="A2174" s="5">
        <f ca="1">IFERROR(__xludf.DUMMYFUNCTION("""COMPUTED_VALUE"""),101)</f>
        <v>101</v>
      </c>
      <c r="B2174" s="69"/>
    </row>
    <row r="2175" spans="1:2" ht="12.5" hidden="1">
      <c r="A2175" s="5">
        <f ca="1">IFERROR(__xludf.DUMMYFUNCTION("""COMPUTED_VALUE"""),29)</f>
        <v>29</v>
      </c>
      <c r="B2175" s="69"/>
    </row>
    <row r="2176" spans="1:2" ht="12.5" hidden="1">
      <c r="A2176" s="5">
        <f ca="1">IFERROR(__xludf.DUMMYFUNCTION("""COMPUTED_VALUE"""),53)</f>
        <v>53</v>
      </c>
      <c r="B2176" s="69"/>
    </row>
    <row r="2177" spans="1:2" ht="12.5" hidden="1">
      <c r="A2177" s="5">
        <f ca="1">IFERROR(__xludf.DUMMYFUNCTION("""COMPUTED_VALUE"""),29)</f>
        <v>29</v>
      </c>
      <c r="B2177" s="69"/>
    </row>
    <row r="2178" spans="1:2" ht="12.5" hidden="1">
      <c r="A2178" s="5">
        <f ca="1">IFERROR(__xludf.DUMMYFUNCTION("""COMPUTED_VALUE"""),101)</f>
        <v>101</v>
      </c>
      <c r="B2178" s="69"/>
    </row>
    <row r="2179" spans="1:2" ht="12.5" hidden="1">
      <c r="A2179" s="5">
        <f ca="1">IFERROR(__xludf.DUMMYFUNCTION("""COMPUTED_VALUE"""),53)</f>
        <v>53</v>
      </c>
      <c r="B2179" s="69"/>
    </row>
    <row r="2180" spans="1:2" ht="12.5" hidden="1">
      <c r="A2180" s="5">
        <f ca="1">IFERROR(__xludf.DUMMYFUNCTION("""COMPUTED_VALUE"""),52)</f>
        <v>52</v>
      </c>
      <c r="B2180" s="69"/>
    </row>
    <row r="2181" spans="1:2" ht="12.5" hidden="1">
      <c r="A2181" s="5">
        <f ca="1">IFERROR(__xludf.DUMMYFUNCTION("""COMPUTED_VALUE"""),53)</f>
        <v>53</v>
      </c>
      <c r="B2181" s="69"/>
    </row>
    <row r="2182" spans="1:2" ht="12.5" hidden="1">
      <c r="A2182" s="5">
        <f ca="1">IFERROR(__xludf.DUMMYFUNCTION("""COMPUTED_VALUE"""),29)</f>
        <v>29</v>
      </c>
      <c r="B2182" s="69"/>
    </row>
    <row r="2183" spans="1:2" ht="12.5" hidden="1">
      <c r="A2183" s="5">
        <f ca="1">IFERROR(__xludf.DUMMYFUNCTION("""COMPUTED_VALUE"""),70)</f>
        <v>70</v>
      </c>
      <c r="B2183" s="69"/>
    </row>
    <row r="2184" spans="1:2" ht="12.5" hidden="1">
      <c r="A2184" s="5">
        <f ca="1">IFERROR(__xludf.DUMMYFUNCTION("""COMPUTED_VALUE"""),30)</f>
        <v>30</v>
      </c>
      <c r="B2184" s="69"/>
    </row>
    <row r="2185" spans="1:2" ht="12.5" hidden="1">
      <c r="A2185" s="5">
        <f ca="1">IFERROR(__xludf.DUMMYFUNCTION("""COMPUTED_VALUE"""),29)</f>
        <v>29</v>
      </c>
      <c r="B2185" s="69"/>
    </row>
    <row r="2186" spans="1:2" ht="12.5" hidden="1">
      <c r="A2186" s="5">
        <f ca="1">IFERROR(__xludf.DUMMYFUNCTION("""COMPUTED_VALUE"""),53)</f>
        <v>53</v>
      </c>
      <c r="B2186" s="69"/>
    </row>
    <row r="2187" spans="1:2" ht="12.5" hidden="1">
      <c r="A2187" s="5">
        <f ca="1">IFERROR(__xludf.DUMMYFUNCTION("""COMPUTED_VALUE"""),58)</f>
        <v>58</v>
      </c>
      <c r="B2187" s="69"/>
    </row>
    <row r="2188" spans="1:2" ht="12.5" hidden="1">
      <c r="A2188" s="5">
        <f ca="1">IFERROR(__xludf.DUMMYFUNCTION("""COMPUTED_VALUE"""),29)</f>
        <v>29</v>
      </c>
      <c r="B2188" s="69"/>
    </row>
    <row r="2189" spans="1:2" ht="12.5" hidden="1">
      <c r="A2189" s="5">
        <f ca="1">IFERROR(__xludf.DUMMYFUNCTION("""COMPUTED_VALUE"""),52)</f>
        <v>52</v>
      </c>
      <c r="B2189" s="69"/>
    </row>
    <row r="2190" spans="1:2" ht="12.5" hidden="1">
      <c r="A2190" s="5">
        <f ca="1">IFERROR(__xludf.DUMMYFUNCTION("""COMPUTED_VALUE"""),95)</f>
        <v>95</v>
      </c>
      <c r="B2190" s="69"/>
    </row>
    <row r="2191" spans="1:2" ht="12.5" hidden="1">
      <c r="A2191" s="5">
        <f ca="1">IFERROR(__xludf.DUMMYFUNCTION("""COMPUTED_VALUE"""),43)</f>
        <v>43</v>
      </c>
      <c r="B2191" s="69"/>
    </row>
    <row r="2192" spans="1:2" ht="12.5" hidden="1">
      <c r="A2192" s="5">
        <f ca="1">IFERROR(__xludf.DUMMYFUNCTION("""COMPUTED_VALUE"""),39)</f>
        <v>39</v>
      </c>
      <c r="B2192" s="69"/>
    </row>
    <row r="2193" spans="1:2" ht="12.5" hidden="1">
      <c r="A2193" s="5">
        <f ca="1">IFERROR(__xludf.DUMMYFUNCTION("""COMPUTED_VALUE"""),96)</f>
        <v>96</v>
      </c>
      <c r="B2193" s="69"/>
    </row>
    <row r="2194" spans="1:2" ht="12.5" hidden="1">
      <c r="A2194" s="5">
        <f ca="1">IFERROR(__xludf.DUMMYFUNCTION("""COMPUTED_VALUE"""),62)</f>
        <v>62</v>
      </c>
      <c r="B2194" s="69"/>
    </row>
    <row r="2195" spans="1:2" ht="12.5" hidden="1">
      <c r="A2195" s="5">
        <f ca="1">IFERROR(__xludf.DUMMYFUNCTION("""COMPUTED_VALUE"""),101)</f>
        <v>101</v>
      </c>
      <c r="B2195" s="69"/>
    </row>
    <row r="2196" spans="1:2" ht="12.5" hidden="1">
      <c r="A2196" s="5">
        <f ca="1">IFERROR(__xludf.DUMMYFUNCTION("""COMPUTED_VALUE"""),95)</f>
        <v>95</v>
      </c>
      <c r="B2196" s="69"/>
    </row>
    <row r="2197" spans="1:2" ht="12.5" hidden="1">
      <c r="A2197" s="5">
        <f ca="1">IFERROR(__xludf.DUMMYFUNCTION("""COMPUTED_VALUE"""),59)</f>
        <v>59</v>
      </c>
      <c r="B2197" s="69"/>
    </row>
    <row r="2198" spans="1:2" ht="12.5" hidden="1">
      <c r="A2198" s="5">
        <f ca="1">IFERROR(__xludf.DUMMYFUNCTION("""COMPUTED_VALUE"""),104)</f>
        <v>104</v>
      </c>
      <c r="B2198" s="69"/>
    </row>
    <row r="2199" spans="1:2" ht="12.5" hidden="1">
      <c r="A2199" s="5">
        <f ca="1">IFERROR(__xludf.DUMMYFUNCTION("""COMPUTED_VALUE"""),70)</f>
        <v>70</v>
      </c>
      <c r="B2199" s="69"/>
    </row>
    <row r="2200" spans="1:2" ht="12.5" hidden="1">
      <c r="A2200" s="5">
        <f ca="1">IFERROR(__xludf.DUMMYFUNCTION("""COMPUTED_VALUE"""),30)</f>
        <v>30</v>
      </c>
      <c r="B2200" s="69"/>
    </row>
    <row r="2201" spans="1:2" ht="12.5" hidden="1">
      <c r="A2201" s="5">
        <f ca="1">IFERROR(__xludf.DUMMYFUNCTION("""COMPUTED_VALUE"""),59)</f>
        <v>59</v>
      </c>
      <c r="B2201" s="69"/>
    </row>
    <row r="2202" spans="1:2" ht="12.5" hidden="1">
      <c r="A2202" s="5">
        <f ca="1">IFERROR(__xludf.DUMMYFUNCTION("""COMPUTED_VALUE"""),105)</f>
        <v>105</v>
      </c>
      <c r="B2202" s="69"/>
    </row>
    <row r="2203" spans="1:2" ht="12.5" hidden="1">
      <c r="A2203" s="5">
        <f ca="1">IFERROR(__xludf.DUMMYFUNCTION("""COMPUTED_VALUE"""),51)</f>
        <v>51</v>
      </c>
      <c r="B2203" s="69"/>
    </row>
    <row r="2204" spans="1:2" ht="12.5" hidden="1">
      <c r="A2204" s="5">
        <f ca="1">IFERROR(__xludf.DUMMYFUNCTION("""COMPUTED_VALUE"""),100)</f>
        <v>100</v>
      </c>
      <c r="B2204" s="69"/>
    </row>
    <row r="2205" spans="1:2" ht="12.5" hidden="1">
      <c r="A2205" s="5">
        <f ca="1">IFERROR(__xludf.DUMMYFUNCTION("""COMPUTED_VALUE"""),52)</f>
        <v>52</v>
      </c>
      <c r="B2205" s="69"/>
    </row>
    <row r="2206" spans="1:2" ht="12.5" hidden="1">
      <c r="A2206" s="5">
        <f ca="1">IFERROR(__xludf.DUMMYFUNCTION("""COMPUTED_VALUE"""),30)</f>
        <v>30</v>
      </c>
      <c r="B2206" s="69"/>
    </row>
    <row r="2207" spans="1:2" ht="12.5" hidden="1">
      <c r="A2207" s="5">
        <f ca="1">IFERROR(__xludf.DUMMYFUNCTION("""COMPUTED_VALUE"""),52)</f>
        <v>52</v>
      </c>
      <c r="B2207" s="69"/>
    </row>
    <row r="2208" spans="1:2" ht="12.5" hidden="1">
      <c r="A2208" s="5">
        <f ca="1">IFERROR(__xludf.DUMMYFUNCTION("""COMPUTED_VALUE"""),58)</f>
        <v>58</v>
      </c>
      <c r="B2208" s="69"/>
    </row>
    <row r="2209" spans="1:2" ht="12.5" hidden="1">
      <c r="A2209" s="5">
        <f ca="1">IFERROR(__xludf.DUMMYFUNCTION("""COMPUTED_VALUE"""),52)</f>
        <v>52</v>
      </c>
      <c r="B2209" s="69"/>
    </row>
    <row r="2210" spans="1:2" ht="12.5" hidden="1">
      <c r="A2210" s="5">
        <f ca="1">IFERROR(__xludf.DUMMYFUNCTION("""COMPUTED_VALUE"""),44)</f>
        <v>44</v>
      </c>
      <c r="B2210" s="69"/>
    </row>
    <row r="2211" spans="1:2" ht="12.5" hidden="1">
      <c r="A2211" s="5">
        <f ca="1">IFERROR(__xludf.DUMMYFUNCTION("""COMPUTED_VALUE"""),53)</f>
        <v>53</v>
      </c>
      <c r="B2211" s="69"/>
    </row>
    <row r="2212" spans="1:2" ht="12.5" hidden="1">
      <c r="A2212" s="5">
        <f ca="1">IFERROR(__xludf.DUMMYFUNCTION("""COMPUTED_VALUE"""),70)</f>
        <v>70</v>
      </c>
      <c r="B2212" s="69"/>
    </row>
    <row r="2213" spans="1:2" ht="12.5" hidden="1">
      <c r="A2213" s="5">
        <f ca="1">IFERROR(__xludf.DUMMYFUNCTION("""COMPUTED_VALUE"""),39)</f>
        <v>39</v>
      </c>
      <c r="B2213" s="69"/>
    </row>
    <row r="2214" spans="1:2" ht="12.5" hidden="1">
      <c r="A2214" s="5">
        <f ca="1">IFERROR(__xludf.DUMMYFUNCTION("""COMPUTED_VALUE"""),53)</f>
        <v>53</v>
      </c>
      <c r="B2214" s="69"/>
    </row>
    <row r="2215" spans="1:2" ht="12.5" hidden="1">
      <c r="A2215" s="5">
        <f ca="1">IFERROR(__xludf.DUMMYFUNCTION("""COMPUTED_VALUE"""),29)</f>
        <v>29</v>
      </c>
      <c r="B2215" s="69"/>
    </row>
    <row r="2216" spans="1:2" ht="12.5" hidden="1">
      <c r="A2216" s="5">
        <f ca="1">IFERROR(__xludf.DUMMYFUNCTION("""COMPUTED_VALUE"""),104)</f>
        <v>104</v>
      </c>
      <c r="B2216" s="69"/>
    </row>
    <row r="2217" spans="1:2" ht="12.5" hidden="1">
      <c r="A2217" s="5">
        <f ca="1">IFERROR(__xludf.DUMMYFUNCTION("""COMPUTED_VALUE"""),1)</f>
        <v>1</v>
      </c>
      <c r="B2217" s="69"/>
    </row>
    <row r="2218" spans="1:2" ht="12.5" hidden="1">
      <c r="A2218" s="5">
        <f ca="1">IFERROR(__xludf.DUMMYFUNCTION("""COMPUTED_VALUE"""),105)</f>
        <v>105</v>
      </c>
      <c r="B2218" s="69"/>
    </row>
    <row r="2219" spans="1:2" ht="12.5" hidden="1">
      <c r="A2219" s="5">
        <f ca="1">IFERROR(__xludf.DUMMYFUNCTION("""COMPUTED_VALUE"""),21)</f>
        <v>21</v>
      </c>
      <c r="B2219" s="69"/>
    </row>
    <row r="2220" spans="1:2" ht="12.5" hidden="1">
      <c r="A2220" s="5">
        <f ca="1">IFERROR(__xludf.DUMMYFUNCTION("""COMPUTED_VALUE"""),29)</f>
        <v>29</v>
      </c>
      <c r="B2220" s="69"/>
    </row>
    <row r="2221" spans="1:2" ht="12.5" hidden="1">
      <c r="A2221" s="5">
        <f ca="1">IFERROR(__xludf.DUMMYFUNCTION("""COMPUTED_VALUE"""),101)</f>
        <v>101</v>
      </c>
      <c r="B2221" s="69"/>
    </row>
    <row r="2222" spans="1:2" ht="12.5" hidden="1">
      <c r="A2222" s="5">
        <f ca="1">IFERROR(__xludf.DUMMYFUNCTION("""COMPUTED_VALUE"""),30)</f>
        <v>30</v>
      </c>
      <c r="B2222" s="69"/>
    </row>
    <row r="2223" spans="1:2" ht="12.5" hidden="1">
      <c r="A2223" s="5">
        <f ca="1">IFERROR(__xludf.DUMMYFUNCTION("""COMPUTED_VALUE"""),53)</f>
        <v>53</v>
      </c>
      <c r="B2223" s="69"/>
    </row>
    <row r="2224" spans="1:2" ht="12.5" hidden="1">
      <c r="A2224" s="5">
        <f ca="1">IFERROR(__xludf.DUMMYFUNCTION("""COMPUTED_VALUE"""),52)</f>
        <v>52</v>
      </c>
      <c r="B2224" s="69"/>
    </row>
    <row r="2225" spans="1:2" ht="12.5" hidden="1">
      <c r="A2225" s="5">
        <f ca="1">IFERROR(__xludf.DUMMYFUNCTION("""COMPUTED_VALUE"""),29)</f>
        <v>29</v>
      </c>
      <c r="B2225" s="69"/>
    </row>
    <row r="2226" spans="1:2" ht="12.5" hidden="1">
      <c r="A2226" s="5">
        <f ca="1">IFERROR(__xludf.DUMMYFUNCTION("""COMPUTED_VALUE"""),30)</f>
        <v>30</v>
      </c>
      <c r="B2226" s="69"/>
    </row>
    <row r="2227" spans="1:2" ht="12.5" hidden="1">
      <c r="A2227" s="5">
        <f ca="1">IFERROR(__xludf.DUMMYFUNCTION("""COMPUTED_VALUE"""),53)</f>
        <v>53</v>
      </c>
      <c r="B2227" s="69"/>
    </row>
    <row r="2228" spans="1:2" ht="12.5" hidden="1">
      <c r="A2228" s="5">
        <f ca="1">IFERROR(__xludf.DUMMYFUNCTION("""COMPUTED_VALUE"""),1)</f>
        <v>1</v>
      </c>
      <c r="B2228" s="69"/>
    </row>
    <row r="2229" spans="1:2" ht="12.5" hidden="1">
      <c r="A2229" s="5">
        <f ca="1">IFERROR(__xludf.DUMMYFUNCTION("""COMPUTED_VALUE"""),39)</f>
        <v>39</v>
      </c>
      <c r="B2229" s="69"/>
    </row>
    <row r="2230" spans="1:2" ht="12.5" hidden="1">
      <c r="A2230" s="5">
        <f ca="1">IFERROR(__xludf.DUMMYFUNCTION("""COMPUTED_VALUE"""),44)</f>
        <v>44</v>
      </c>
      <c r="B2230" s="69"/>
    </row>
    <row r="2231" spans="1:2" ht="12.5" hidden="1">
      <c r="A2231" s="5">
        <f ca="1">IFERROR(__xludf.DUMMYFUNCTION("""COMPUTED_VALUE"""),39)</f>
        <v>39</v>
      </c>
      <c r="B2231" s="69"/>
    </row>
    <row r="2232" spans="1:2" ht="12.5" hidden="1">
      <c r="A2232" s="5">
        <f ca="1">IFERROR(__xludf.DUMMYFUNCTION("""COMPUTED_VALUE"""),105)</f>
        <v>105</v>
      </c>
      <c r="B2232" s="69"/>
    </row>
    <row r="2233" spans="1:2" ht="12.5" hidden="1">
      <c r="A2233" s="5">
        <f ca="1">IFERROR(__xludf.DUMMYFUNCTION("""COMPUTED_VALUE"""),95)</f>
        <v>95</v>
      </c>
      <c r="B2233" s="69"/>
    </row>
    <row r="2234" spans="1:2" ht="12.5" hidden="1">
      <c r="A2234" s="5">
        <f ca="1">IFERROR(__xludf.DUMMYFUNCTION("""COMPUTED_VALUE"""),95)</f>
        <v>95</v>
      </c>
      <c r="B2234" s="69"/>
    </row>
    <row r="2235" spans="1:2" ht="12.5" hidden="1">
      <c r="A2235" s="5">
        <f ca="1">IFERROR(__xludf.DUMMYFUNCTION("""COMPUTED_VALUE"""),95)</f>
        <v>95</v>
      </c>
      <c r="B2235" s="69"/>
    </row>
    <row r="2236" spans="1:2" ht="12.5" hidden="1">
      <c r="A2236" s="5">
        <f ca="1">IFERROR(__xludf.DUMMYFUNCTION("""COMPUTED_VALUE"""),101)</f>
        <v>101</v>
      </c>
      <c r="B2236" s="69"/>
    </row>
    <row r="2237" spans="1:2" ht="12.5" hidden="1">
      <c r="A2237" s="5">
        <f ca="1">IFERROR(__xludf.DUMMYFUNCTION("""COMPUTED_VALUE"""),29)</f>
        <v>29</v>
      </c>
      <c r="B2237" s="69"/>
    </row>
    <row r="2238" spans="1:2" ht="12.5" hidden="1">
      <c r="A2238" s="5">
        <f ca="1">IFERROR(__xludf.DUMMYFUNCTION("""COMPUTED_VALUE"""),95)</f>
        <v>95</v>
      </c>
      <c r="B2238" s="69"/>
    </row>
    <row r="2239" spans="1:2" ht="12.5" hidden="1">
      <c r="A2239" s="5">
        <f ca="1">IFERROR(__xludf.DUMMYFUNCTION("""COMPUTED_VALUE"""),21)</f>
        <v>21</v>
      </c>
      <c r="B2239" s="69"/>
    </row>
    <row r="2240" spans="1:2" ht="12.5" hidden="1">
      <c r="A2240" s="5">
        <f ca="1">IFERROR(__xludf.DUMMYFUNCTION("""COMPUTED_VALUE"""),85)</f>
        <v>85</v>
      </c>
      <c r="B2240" s="69"/>
    </row>
    <row r="2241" spans="1:2" ht="12.5" hidden="1">
      <c r="A2241" s="5">
        <f ca="1">IFERROR(__xludf.DUMMYFUNCTION("""COMPUTED_VALUE"""),39)</f>
        <v>39</v>
      </c>
      <c r="B2241" s="69"/>
    </row>
    <row r="2242" spans="1:2" ht="12.5" hidden="1">
      <c r="A2242" s="5">
        <f ca="1">IFERROR(__xludf.DUMMYFUNCTION("""COMPUTED_VALUE"""),52)</f>
        <v>52</v>
      </c>
      <c r="B2242" s="69"/>
    </row>
    <row r="2243" spans="1:2" ht="12.5" hidden="1">
      <c r="A2243" s="5">
        <f ca="1">IFERROR(__xludf.DUMMYFUNCTION("""COMPUTED_VALUE"""),82)</f>
        <v>82</v>
      </c>
      <c r="B2243" s="69"/>
    </row>
    <row r="2244" spans="1:2" ht="12.5" hidden="1">
      <c r="A2244" s="5">
        <f ca="1">IFERROR(__xludf.DUMMYFUNCTION("""COMPUTED_VALUE"""),29)</f>
        <v>29</v>
      </c>
      <c r="B2244" s="69"/>
    </row>
    <row r="2245" spans="1:2" ht="12.5" hidden="1">
      <c r="A2245" s="5">
        <f ca="1">IFERROR(__xludf.DUMMYFUNCTION("""COMPUTED_VALUE"""),21)</f>
        <v>21</v>
      </c>
      <c r="B2245" s="69"/>
    </row>
    <row r="2246" spans="1:2" ht="12.5" hidden="1">
      <c r="A2246" s="5">
        <f ca="1">IFERROR(__xludf.DUMMYFUNCTION("""COMPUTED_VALUE"""),101)</f>
        <v>101</v>
      </c>
      <c r="B2246" s="69"/>
    </row>
    <row r="2247" spans="1:2" ht="12.5" hidden="1">
      <c r="A2247" s="5">
        <f ca="1">IFERROR(__xludf.DUMMYFUNCTION("""COMPUTED_VALUE"""),51)</f>
        <v>51</v>
      </c>
      <c r="B2247" s="69"/>
    </row>
    <row r="2248" spans="1:2" ht="12.5" hidden="1">
      <c r="A2248" s="5">
        <f ca="1">IFERROR(__xludf.DUMMYFUNCTION("""COMPUTED_VALUE"""),95)</f>
        <v>95</v>
      </c>
      <c r="B2248" s="69"/>
    </row>
    <row r="2249" spans="1:2" ht="12.5" hidden="1">
      <c r="A2249" s="5">
        <f ca="1">IFERROR(__xludf.DUMMYFUNCTION("""COMPUTED_VALUE"""),29)</f>
        <v>29</v>
      </c>
      <c r="B2249" s="69"/>
    </row>
    <row r="2250" spans="1:2" ht="12.5" hidden="1">
      <c r="A2250" s="5">
        <f ca="1">IFERROR(__xludf.DUMMYFUNCTION("""COMPUTED_VALUE"""),29)</f>
        <v>29</v>
      </c>
      <c r="B2250" s="69"/>
    </row>
    <row r="2251" spans="1:2" ht="12.5" hidden="1">
      <c r="A2251" s="5">
        <f ca="1">IFERROR(__xludf.DUMMYFUNCTION("""COMPUTED_VALUE"""),95)</f>
        <v>95</v>
      </c>
      <c r="B2251" s="69"/>
    </row>
    <row r="2252" spans="1:2" ht="12.5" hidden="1">
      <c r="A2252" s="5">
        <f ca="1">IFERROR(__xludf.DUMMYFUNCTION("""COMPUTED_VALUE"""),29)</f>
        <v>29</v>
      </c>
      <c r="B2252" s="69"/>
    </row>
    <row r="2253" spans="1:2" ht="12.5" hidden="1">
      <c r="A2253" s="5">
        <f ca="1">IFERROR(__xludf.DUMMYFUNCTION("""COMPUTED_VALUE"""),52)</f>
        <v>52</v>
      </c>
      <c r="B2253" s="69"/>
    </row>
    <row r="2254" spans="1:2" ht="12.5" hidden="1">
      <c r="A2254" s="5">
        <f ca="1">IFERROR(__xludf.DUMMYFUNCTION("""COMPUTED_VALUE"""),29)</f>
        <v>29</v>
      </c>
      <c r="B2254" s="69"/>
    </row>
    <row r="2255" spans="1:2" ht="12.5" hidden="1">
      <c r="A2255" s="5">
        <f ca="1">IFERROR(__xludf.DUMMYFUNCTION("""COMPUTED_VALUE"""),21)</f>
        <v>21</v>
      </c>
      <c r="B2255" s="69"/>
    </row>
    <row r="2256" spans="1:2" ht="12.5" hidden="1">
      <c r="A2256" s="5">
        <f ca="1">IFERROR(__xludf.DUMMYFUNCTION("""COMPUTED_VALUE"""),41)</f>
        <v>41</v>
      </c>
      <c r="B2256" s="69"/>
    </row>
    <row r="2257" spans="1:2" ht="12.5" hidden="1">
      <c r="A2257" s="5">
        <f ca="1">IFERROR(__xludf.DUMMYFUNCTION("""COMPUTED_VALUE"""),95)</f>
        <v>95</v>
      </c>
      <c r="B2257" s="69"/>
    </row>
    <row r="2258" spans="1:2" ht="12.5" hidden="1">
      <c r="A2258" s="5">
        <f ca="1">IFERROR(__xludf.DUMMYFUNCTION("""COMPUTED_VALUE"""),29)</f>
        <v>29</v>
      </c>
      <c r="B2258" s="69"/>
    </row>
    <row r="2259" spans="1:2" ht="12.5" hidden="1">
      <c r="A2259" s="5">
        <f ca="1">IFERROR(__xludf.DUMMYFUNCTION("""COMPUTED_VALUE"""),39)</f>
        <v>39</v>
      </c>
      <c r="B2259" s="69"/>
    </row>
    <row r="2260" spans="1:2" ht="12.5" hidden="1">
      <c r="A2260" s="5">
        <f ca="1">IFERROR(__xludf.DUMMYFUNCTION("""COMPUTED_VALUE"""),95)</f>
        <v>95</v>
      </c>
      <c r="B2260" s="69"/>
    </row>
    <row r="2261" spans="1:2" ht="12.5" hidden="1">
      <c r="A2261" s="5">
        <f ca="1">IFERROR(__xludf.DUMMYFUNCTION("""COMPUTED_VALUE"""),105)</f>
        <v>105</v>
      </c>
      <c r="B2261" s="69"/>
    </row>
    <row r="2262" spans="1:2" ht="12.5" hidden="1">
      <c r="A2262" s="5">
        <f ca="1">IFERROR(__xludf.DUMMYFUNCTION("""COMPUTED_VALUE"""),53)</f>
        <v>53</v>
      </c>
      <c r="B2262" s="69"/>
    </row>
    <row r="2263" spans="1:2" ht="12.5" hidden="1">
      <c r="A2263" s="5">
        <f ca="1">IFERROR(__xludf.DUMMYFUNCTION("""COMPUTED_VALUE"""),53)</f>
        <v>53</v>
      </c>
      <c r="B2263" s="69"/>
    </row>
    <row r="2264" spans="1:2" ht="12.5" hidden="1">
      <c r="A2264" s="5">
        <f ca="1">IFERROR(__xludf.DUMMYFUNCTION("""COMPUTED_VALUE"""),52)</f>
        <v>52</v>
      </c>
      <c r="B2264" s="69"/>
    </row>
    <row r="2265" spans="1:2" ht="12.5" hidden="1">
      <c r="A2265" s="5">
        <f ca="1">IFERROR(__xludf.DUMMYFUNCTION("""COMPUTED_VALUE"""),29)</f>
        <v>29</v>
      </c>
      <c r="B2265" s="69"/>
    </row>
    <row r="2266" spans="1:2" ht="12.5" hidden="1">
      <c r="A2266" s="5">
        <f ca="1">IFERROR(__xludf.DUMMYFUNCTION("""COMPUTED_VALUE"""),44)</f>
        <v>44</v>
      </c>
      <c r="B2266" s="69"/>
    </row>
    <row r="2267" spans="1:2" ht="12.5" hidden="1">
      <c r="A2267" s="5">
        <f ca="1">IFERROR(__xludf.DUMMYFUNCTION("""COMPUTED_VALUE"""),53)</f>
        <v>53</v>
      </c>
      <c r="B2267" s="69"/>
    </row>
    <row r="2268" spans="1:2" ht="12.5" hidden="1">
      <c r="A2268" s="5">
        <f ca="1">IFERROR(__xludf.DUMMYFUNCTION("""COMPUTED_VALUE"""),53)</f>
        <v>53</v>
      </c>
      <c r="B2268" s="69"/>
    </row>
    <row r="2269" spans="1:2" ht="12.5" hidden="1">
      <c r="A2269" s="5">
        <f ca="1">IFERROR(__xludf.DUMMYFUNCTION("""COMPUTED_VALUE"""),95)</f>
        <v>95</v>
      </c>
      <c r="B2269" s="69"/>
    </row>
    <row r="2270" spans="1:2" ht="12.5" hidden="1">
      <c r="A2270" s="5">
        <f ca="1">IFERROR(__xludf.DUMMYFUNCTION("""COMPUTED_VALUE"""),52)</f>
        <v>52</v>
      </c>
      <c r="B2270" s="69"/>
    </row>
    <row r="2271" spans="1:2" ht="12.5" hidden="1">
      <c r="A2271" s="5">
        <f ca="1">IFERROR(__xludf.DUMMYFUNCTION("""COMPUTED_VALUE"""),81)</f>
        <v>81</v>
      </c>
      <c r="B2271" s="69"/>
    </row>
    <row r="2272" spans="1:2" ht="12.5" hidden="1">
      <c r="A2272" s="5">
        <f ca="1">IFERROR(__xludf.DUMMYFUNCTION("""COMPUTED_VALUE"""),52)</f>
        <v>52</v>
      </c>
      <c r="B2272" s="69"/>
    </row>
    <row r="2273" spans="1:2" ht="12.5" hidden="1">
      <c r="A2273" s="5">
        <f ca="1">IFERROR(__xludf.DUMMYFUNCTION("""COMPUTED_VALUE"""),52)</f>
        <v>52</v>
      </c>
      <c r="B2273" s="69"/>
    </row>
    <row r="2274" spans="1:2" ht="12.5" hidden="1">
      <c r="A2274" s="5">
        <f ca="1">IFERROR(__xludf.DUMMYFUNCTION("""COMPUTED_VALUE"""),58)</f>
        <v>58</v>
      </c>
      <c r="B2274" s="69"/>
    </row>
    <row r="2275" spans="1:2" ht="12.5" hidden="1">
      <c r="A2275" s="5">
        <f ca="1">IFERROR(__xludf.DUMMYFUNCTION("""COMPUTED_VALUE"""),30)</f>
        <v>30</v>
      </c>
      <c r="B2275" s="69"/>
    </row>
    <row r="2276" spans="1:2" ht="12.5" hidden="1">
      <c r="A2276" s="5">
        <f ca="1">IFERROR(__xludf.DUMMYFUNCTION("""COMPUTED_VALUE"""),1)</f>
        <v>1</v>
      </c>
      <c r="B2276" s="69"/>
    </row>
    <row r="2277" spans="1:2" ht="12.5" hidden="1">
      <c r="A2277" s="5">
        <f ca="1">IFERROR(__xludf.DUMMYFUNCTION("""COMPUTED_VALUE"""),29)</f>
        <v>29</v>
      </c>
      <c r="B2277" s="69"/>
    </row>
    <row r="2278" spans="1:2" ht="12.5" hidden="1">
      <c r="A2278" s="5">
        <f ca="1">IFERROR(__xludf.DUMMYFUNCTION("""COMPUTED_VALUE"""),53)</f>
        <v>53</v>
      </c>
      <c r="B2278" s="69"/>
    </row>
    <row r="2279" spans="1:2" ht="12.5" hidden="1">
      <c r="A2279" s="5">
        <f ca="1">IFERROR(__xludf.DUMMYFUNCTION("""COMPUTED_VALUE"""),29)</f>
        <v>29</v>
      </c>
      <c r="B2279" s="69"/>
    </row>
    <row r="2280" spans="1:2" ht="12.5" hidden="1">
      <c r="A2280" s="5">
        <f ca="1">IFERROR(__xludf.DUMMYFUNCTION("""COMPUTED_VALUE"""),95)</f>
        <v>95</v>
      </c>
      <c r="B2280" s="69"/>
    </row>
    <row r="2281" spans="1:2" ht="12.5" hidden="1">
      <c r="A2281" s="5">
        <f ca="1">IFERROR(__xludf.DUMMYFUNCTION("""COMPUTED_VALUE"""),52)</f>
        <v>52</v>
      </c>
      <c r="B2281" s="69"/>
    </row>
    <row r="2282" spans="1:2" ht="12.5" hidden="1">
      <c r="A2282" s="5">
        <f ca="1">IFERROR(__xludf.DUMMYFUNCTION("""COMPUTED_VALUE"""),58)</f>
        <v>58</v>
      </c>
      <c r="B2282" s="69"/>
    </row>
    <row r="2283" spans="1:2" ht="12.5" hidden="1">
      <c r="A2283" s="5">
        <f ca="1">IFERROR(__xludf.DUMMYFUNCTION("""COMPUTED_VALUE"""),30)</f>
        <v>30</v>
      </c>
      <c r="B2283" s="69"/>
    </row>
    <row r="2284" spans="1:2" ht="12.5" hidden="1">
      <c r="A2284" s="5">
        <f ca="1">IFERROR(__xludf.DUMMYFUNCTION("""COMPUTED_VALUE"""),29)</f>
        <v>29</v>
      </c>
      <c r="B2284" s="69"/>
    </row>
    <row r="2285" spans="1:2" ht="12.5" hidden="1">
      <c r="A2285" s="5">
        <f ca="1">IFERROR(__xludf.DUMMYFUNCTION("""COMPUTED_VALUE"""),52)</f>
        <v>52</v>
      </c>
      <c r="B2285" s="69"/>
    </row>
    <row r="2286" spans="1:2" ht="12.5" hidden="1">
      <c r="A2286" s="5">
        <f ca="1">IFERROR(__xludf.DUMMYFUNCTION("""COMPUTED_VALUE"""),53)</f>
        <v>53</v>
      </c>
      <c r="B2286" s="69"/>
    </row>
    <row r="2287" spans="1:2" ht="12.5" hidden="1">
      <c r="A2287" s="5">
        <f ca="1">IFERROR(__xludf.DUMMYFUNCTION("""COMPUTED_VALUE"""),44)</f>
        <v>44</v>
      </c>
      <c r="B2287" s="69"/>
    </row>
    <row r="2288" spans="1:2" ht="12.5" hidden="1">
      <c r="A2288" s="5">
        <f ca="1">IFERROR(__xludf.DUMMYFUNCTION("""COMPUTED_VALUE"""),30)</f>
        <v>30</v>
      </c>
      <c r="B2288" s="69"/>
    </row>
    <row r="2289" spans="1:2" ht="12.5" hidden="1">
      <c r="A2289" s="5">
        <f ca="1">IFERROR(__xludf.DUMMYFUNCTION("""COMPUTED_VALUE"""),41)</f>
        <v>41</v>
      </c>
      <c r="B2289" s="69"/>
    </row>
    <row r="2290" spans="1:2" ht="12.5" hidden="1">
      <c r="A2290" s="5">
        <f ca="1">IFERROR(__xludf.DUMMYFUNCTION("""COMPUTED_VALUE"""),100)</f>
        <v>100</v>
      </c>
      <c r="B2290" s="69"/>
    </row>
    <row r="2291" spans="1:2" ht="12.5" hidden="1">
      <c r="A2291" s="5">
        <f ca="1">IFERROR(__xludf.DUMMYFUNCTION("""COMPUTED_VALUE"""),1)</f>
        <v>1</v>
      </c>
      <c r="B2291" s="69"/>
    </row>
    <row r="2292" spans="1:2" ht="12.5" hidden="1">
      <c r="A2292" s="5">
        <f ca="1">IFERROR(__xludf.DUMMYFUNCTION("""COMPUTED_VALUE"""),62)</f>
        <v>62</v>
      </c>
      <c r="B2292" s="69"/>
    </row>
    <row r="2293" spans="1:2" ht="12.5" hidden="1">
      <c r="A2293" s="5">
        <f ca="1">IFERROR(__xludf.DUMMYFUNCTION("""COMPUTED_VALUE"""),106)</f>
        <v>106</v>
      </c>
      <c r="B2293" s="69"/>
    </row>
    <row r="2294" spans="1:2" ht="12.5" hidden="1">
      <c r="A2294" s="5">
        <f ca="1">IFERROR(__xludf.DUMMYFUNCTION("""COMPUTED_VALUE"""),51)</f>
        <v>51</v>
      </c>
      <c r="B2294" s="69"/>
    </row>
    <row r="2295" spans="1:2" ht="12.5" hidden="1">
      <c r="A2295" s="5">
        <f ca="1">IFERROR(__xludf.DUMMYFUNCTION("""COMPUTED_VALUE"""),52)</f>
        <v>52</v>
      </c>
      <c r="B2295" s="69"/>
    </row>
    <row r="2296" spans="1:2" ht="12.5" hidden="1">
      <c r="A2296" s="5">
        <f ca="1">IFERROR(__xludf.DUMMYFUNCTION("""COMPUTED_VALUE"""),29)</f>
        <v>29</v>
      </c>
      <c r="B2296" s="69"/>
    </row>
    <row r="2297" spans="1:2" ht="12.5" hidden="1">
      <c r="A2297" s="5">
        <f ca="1">IFERROR(__xludf.DUMMYFUNCTION("""COMPUTED_VALUE"""),29)</f>
        <v>29</v>
      </c>
      <c r="B2297" s="69"/>
    </row>
    <row r="2298" spans="1:2" ht="12.5" hidden="1">
      <c r="A2298" s="5">
        <f ca="1">IFERROR(__xludf.DUMMYFUNCTION("""COMPUTED_VALUE"""),104)</f>
        <v>104</v>
      </c>
      <c r="B2298" s="69"/>
    </row>
    <row r="2299" spans="1:2" ht="12.5" hidden="1">
      <c r="A2299" s="5">
        <f ca="1">IFERROR(__xludf.DUMMYFUNCTION("""COMPUTED_VALUE"""),39)</f>
        <v>39</v>
      </c>
      <c r="B2299" s="69"/>
    </row>
    <row r="2300" spans="1:2" ht="12.5" hidden="1">
      <c r="A2300" s="5">
        <f ca="1">IFERROR(__xludf.DUMMYFUNCTION("""COMPUTED_VALUE"""),29)</f>
        <v>29</v>
      </c>
      <c r="B2300" s="69"/>
    </row>
    <row r="2301" spans="1:2" ht="12.5" hidden="1">
      <c r="A2301" s="5">
        <f ca="1">IFERROR(__xludf.DUMMYFUNCTION("""COMPUTED_VALUE"""),29)</f>
        <v>29</v>
      </c>
      <c r="B2301" s="69"/>
    </row>
    <row r="2302" spans="1:2" ht="12.5" hidden="1">
      <c r="A2302" s="5">
        <f ca="1">IFERROR(__xludf.DUMMYFUNCTION("""COMPUTED_VALUE"""),29)</f>
        <v>29</v>
      </c>
      <c r="B2302" s="69"/>
    </row>
    <row r="2303" spans="1:2" ht="12.5" hidden="1">
      <c r="A2303" s="5">
        <f ca="1">IFERROR(__xludf.DUMMYFUNCTION("""COMPUTED_VALUE"""),41)</f>
        <v>41</v>
      </c>
      <c r="B2303" s="69"/>
    </row>
    <row r="2304" spans="1:2" ht="12.5" hidden="1">
      <c r="A2304" s="5">
        <f ca="1">IFERROR(__xludf.DUMMYFUNCTION("""COMPUTED_VALUE"""),53)</f>
        <v>53</v>
      </c>
      <c r="B2304" s="69"/>
    </row>
    <row r="2305" spans="1:2" ht="12.5" hidden="1">
      <c r="A2305" s="5">
        <f ca="1">IFERROR(__xludf.DUMMYFUNCTION("""COMPUTED_VALUE"""),102)</f>
        <v>102</v>
      </c>
      <c r="B2305" s="69"/>
    </row>
    <row r="2306" spans="1:2" ht="12.5" hidden="1">
      <c r="A2306" s="5">
        <f ca="1">IFERROR(__xludf.DUMMYFUNCTION("""COMPUTED_VALUE"""),21)</f>
        <v>21</v>
      </c>
      <c r="B2306" s="69"/>
    </row>
    <row r="2307" spans="1:2" ht="12.5" hidden="1">
      <c r="A2307" s="5">
        <f ca="1">IFERROR(__xludf.DUMMYFUNCTION("""COMPUTED_VALUE"""),103)</f>
        <v>103</v>
      </c>
      <c r="B2307" s="69"/>
    </row>
    <row r="2308" spans="1:2" ht="12.5" hidden="1">
      <c r="A2308" s="5">
        <f ca="1">IFERROR(__xludf.DUMMYFUNCTION("""COMPUTED_VALUE"""),29)</f>
        <v>29</v>
      </c>
      <c r="B2308" s="69"/>
    </row>
    <row r="2309" spans="1:2" ht="12.5" hidden="1">
      <c r="A2309" s="5">
        <f ca="1">IFERROR(__xludf.DUMMYFUNCTION("""COMPUTED_VALUE"""),29)</f>
        <v>29</v>
      </c>
      <c r="B2309" s="69"/>
    </row>
    <row r="2310" spans="1:2" ht="12.5" hidden="1">
      <c r="A2310" s="5">
        <f ca="1">IFERROR(__xludf.DUMMYFUNCTION("""COMPUTED_VALUE"""),53)</f>
        <v>53</v>
      </c>
      <c r="B2310" s="69"/>
    </row>
    <row r="2311" spans="1:2" ht="12.5" hidden="1">
      <c r="A2311" s="5">
        <f ca="1">IFERROR(__xludf.DUMMYFUNCTION("""COMPUTED_VALUE"""),95)</f>
        <v>95</v>
      </c>
      <c r="B2311" s="69"/>
    </row>
    <row r="2312" spans="1:2" ht="12.5" hidden="1">
      <c r="A2312" s="5">
        <f ca="1">IFERROR(__xludf.DUMMYFUNCTION("""COMPUTED_VALUE"""),29)</f>
        <v>29</v>
      </c>
      <c r="B2312" s="69"/>
    </row>
    <row r="2313" spans="1:2" ht="12.5" hidden="1">
      <c r="A2313" s="5">
        <f ca="1">IFERROR(__xludf.DUMMYFUNCTION("""COMPUTED_VALUE"""),106)</f>
        <v>106</v>
      </c>
      <c r="B2313" s="69"/>
    </row>
    <row r="2314" spans="1:2" ht="12.5" hidden="1">
      <c r="A2314" s="5">
        <f ca="1">IFERROR(__xludf.DUMMYFUNCTION("""COMPUTED_VALUE"""),58)</f>
        <v>58</v>
      </c>
      <c r="B2314" s="69"/>
    </row>
    <row r="2315" spans="1:2" ht="12.5" hidden="1">
      <c r="A2315" s="5">
        <f ca="1">IFERROR(__xludf.DUMMYFUNCTION("""COMPUTED_VALUE"""),29)</f>
        <v>29</v>
      </c>
      <c r="B2315" s="69"/>
    </row>
    <row r="2316" spans="1:2" ht="12.5" hidden="1">
      <c r="A2316" s="5">
        <f ca="1">IFERROR(__xludf.DUMMYFUNCTION("""COMPUTED_VALUE"""),52)</f>
        <v>52</v>
      </c>
      <c r="B2316" s="69"/>
    </row>
    <row r="2317" spans="1:2" ht="12.5" hidden="1">
      <c r="A2317" s="5">
        <f ca="1">IFERROR(__xludf.DUMMYFUNCTION("""COMPUTED_VALUE"""),95)</f>
        <v>95</v>
      </c>
      <c r="B2317" s="69"/>
    </row>
    <row r="2318" spans="1:2" ht="12.5" hidden="1">
      <c r="A2318" s="5">
        <f ca="1">IFERROR(__xludf.DUMMYFUNCTION("""COMPUTED_VALUE"""),103)</f>
        <v>103</v>
      </c>
      <c r="B2318" s="69"/>
    </row>
    <row r="2319" spans="1:2" ht="12.5" hidden="1">
      <c r="A2319" s="5">
        <f ca="1">IFERROR(__xludf.DUMMYFUNCTION("""COMPUTED_VALUE"""),52)</f>
        <v>52</v>
      </c>
      <c r="B2319" s="69"/>
    </row>
    <row r="2320" spans="1:2" ht="12.5" hidden="1">
      <c r="A2320" s="5">
        <f ca="1">IFERROR(__xludf.DUMMYFUNCTION("""COMPUTED_VALUE"""),95)</f>
        <v>95</v>
      </c>
      <c r="B2320" s="69"/>
    </row>
    <row r="2321" spans="1:2" ht="12.5" hidden="1">
      <c r="A2321" s="5">
        <f ca="1">IFERROR(__xludf.DUMMYFUNCTION("""COMPUTED_VALUE"""),21)</f>
        <v>21</v>
      </c>
      <c r="B2321" s="69"/>
    </row>
    <row r="2322" spans="1:2" ht="12.5" hidden="1">
      <c r="A2322" s="5">
        <f ca="1">IFERROR(__xludf.DUMMYFUNCTION("""COMPUTED_VALUE"""),29)</f>
        <v>29</v>
      </c>
      <c r="B2322" s="69"/>
    </row>
    <row r="2323" spans="1:2" ht="12.5" hidden="1">
      <c r="A2323" s="5">
        <f ca="1">IFERROR(__xludf.DUMMYFUNCTION("""COMPUTED_VALUE"""),53)</f>
        <v>53</v>
      </c>
      <c r="B2323" s="69"/>
    </row>
    <row r="2324" spans="1:2" ht="12.5" hidden="1">
      <c r="A2324" s="5">
        <f ca="1">IFERROR(__xludf.DUMMYFUNCTION("""COMPUTED_VALUE"""),29)</f>
        <v>29</v>
      </c>
      <c r="B2324" s="69"/>
    </row>
    <row r="2325" spans="1:2" ht="12.5" hidden="1">
      <c r="A2325" s="5">
        <f ca="1">IFERROR(__xludf.DUMMYFUNCTION("""COMPUTED_VALUE"""),21)</f>
        <v>21</v>
      </c>
      <c r="B2325" s="69"/>
    </row>
    <row r="2326" spans="1:2" ht="12.5" hidden="1">
      <c r="A2326" s="5">
        <f ca="1">IFERROR(__xludf.DUMMYFUNCTION("""COMPUTED_VALUE"""),53)</f>
        <v>53</v>
      </c>
      <c r="B2326" s="69"/>
    </row>
    <row r="2327" spans="1:2" ht="12.5" hidden="1">
      <c r="A2327" s="5">
        <f ca="1">IFERROR(__xludf.DUMMYFUNCTION("""COMPUTED_VALUE"""),81)</f>
        <v>81</v>
      </c>
      <c r="B2327" s="69"/>
    </row>
    <row r="2328" spans="1:2" ht="12.5" hidden="1">
      <c r="A2328" s="5">
        <f ca="1">IFERROR(__xludf.DUMMYFUNCTION("""COMPUTED_VALUE"""),53)</f>
        <v>53</v>
      </c>
      <c r="B2328" s="69"/>
    </row>
    <row r="2329" spans="1:2" ht="12.5" hidden="1">
      <c r="A2329" s="5">
        <f ca="1">IFERROR(__xludf.DUMMYFUNCTION("""COMPUTED_VALUE"""),104)</f>
        <v>104</v>
      </c>
      <c r="B2329" s="69"/>
    </row>
    <row r="2330" spans="1:2" ht="12.5" hidden="1">
      <c r="A2330" s="5">
        <f ca="1">IFERROR(__xludf.DUMMYFUNCTION("""COMPUTED_VALUE"""),82)</f>
        <v>82</v>
      </c>
      <c r="B2330" s="69"/>
    </row>
    <row r="2331" spans="1:2" ht="12.5" hidden="1">
      <c r="A2331" s="5">
        <f ca="1">IFERROR(__xludf.DUMMYFUNCTION("""COMPUTED_VALUE"""),53)</f>
        <v>53</v>
      </c>
      <c r="B2331" s="69"/>
    </row>
    <row r="2332" spans="1:2" ht="12.5" hidden="1">
      <c r="A2332" s="5">
        <f ca="1">IFERROR(__xludf.DUMMYFUNCTION("""COMPUTED_VALUE"""),52)</f>
        <v>52</v>
      </c>
      <c r="B2332" s="69"/>
    </row>
    <row r="2333" spans="1:2" ht="12.5" hidden="1">
      <c r="A2333" s="5">
        <f ca="1">IFERROR(__xludf.DUMMYFUNCTION("""COMPUTED_VALUE"""),103)</f>
        <v>103</v>
      </c>
      <c r="B2333" s="69"/>
    </row>
    <row r="2334" spans="1:2" ht="12.5" hidden="1">
      <c r="A2334" s="5">
        <f ca="1">IFERROR(__xludf.DUMMYFUNCTION("""COMPUTED_VALUE"""),70)</f>
        <v>70</v>
      </c>
      <c r="B2334" s="69"/>
    </row>
    <row r="2335" spans="1:2" ht="12.5" hidden="1">
      <c r="A2335" s="5">
        <f ca="1">IFERROR(__xludf.DUMMYFUNCTION("""COMPUTED_VALUE"""),29)</f>
        <v>29</v>
      </c>
      <c r="B2335" s="69"/>
    </row>
    <row r="2336" spans="1:2" ht="12.5" hidden="1">
      <c r="A2336" s="5">
        <f ca="1">IFERROR(__xludf.DUMMYFUNCTION("""COMPUTED_VALUE"""),62)</f>
        <v>62</v>
      </c>
      <c r="B2336" s="69"/>
    </row>
    <row r="2337" spans="1:2" ht="12.5" hidden="1">
      <c r="A2337" s="5">
        <f ca="1">IFERROR(__xludf.DUMMYFUNCTION("""COMPUTED_VALUE"""),51)</f>
        <v>51</v>
      </c>
      <c r="B2337" s="69"/>
    </row>
    <row r="2338" spans="1:2" ht="12.5" hidden="1">
      <c r="A2338" s="5">
        <f ca="1">IFERROR(__xludf.DUMMYFUNCTION("""COMPUTED_VALUE"""),106)</f>
        <v>106</v>
      </c>
      <c r="B2338" s="69"/>
    </row>
    <row r="2339" spans="1:2" ht="12.5" hidden="1">
      <c r="A2339" s="5">
        <f ca="1">IFERROR(__xludf.DUMMYFUNCTION("""COMPUTED_VALUE"""),95)</f>
        <v>95</v>
      </c>
      <c r="B2339" s="69"/>
    </row>
    <row r="2340" spans="1:2" ht="12.5" hidden="1">
      <c r="A2340" s="5">
        <f ca="1">IFERROR(__xludf.DUMMYFUNCTION("""COMPUTED_VALUE"""),106)</f>
        <v>106</v>
      </c>
      <c r="B2340" s="69"/>
    </row>
    <row r="2341" spans="1:2" ht="12.5" hidden="1">
      <c r="A2341" s="5">
        <f ca="1">IFERROR(__xludf.DUMMYFUNCTION("""COMPUTED_VALUE"""),103)</f>
        <v>103</v>
      </c>
      <c r="B2341" s="69"/>
    </row>
    <row r="2342" spans="1:2" ht="12.5" hidden="1">
      <c r="A2342" s="5">
        <f ca="1">IFERROR(__xludf.DUMMYFUNCTION("""COMPUTED_VALUE"""),103)</f>
        <v>103</v>
      </c>
      <c r="B2342" s="69"/>
    </row>
    <row r="2343" spans="1:2" ht="12.5" hidden="1">
      <c r="A2343" s="5">
        <f ca="1">IFERROR(__xludf.DUMMYFUNCTION("""COMPUTED_VALUE"""),1)</f>
        <v>1</v>
      </c>
      <c r="B2343" s="69"/>
    </row>
    <row r="2344" spans="1:2" ht="12.5" hidden="1">
      <c r="A2344" s="5">
        <f ca="1">IFERROR(__xludf.DUMMYFUNCTION("""COMPUTED_VALUE"""),53)</f>
        <v>53</v>
      </c>
      <c r="B2344" s="69"/>
    </row>
    <row r="2345" spans="1:2" ht="12.5" hidden="1">
      <c r="A2345" s="5">
        <f ca="1">IFERROR(__xludf.DUMMYFUNCTION("""COMPUTED_VALUE"""),53)</f>
        <v>53</v>
      </c>
      <c r="B2345" s="69"/>
    </row>
    <row r="2346" spans="1:2" ht="12.5" hidden="1">
      <c r="A2346" s="5">
        <f ca="1">IFERROR(__xludf.DUMMYFUNCTION("""COMPUTED_VALUE"""),58)</f>
        <v>58</v>
      </c>
      <c r="B2346" s="69"/>
    </row>
    <row r="2347" spans="1:2" ht="12.5" hidden="1">
      <c r="A2347" s="5">
        <f ca="1">IFERROR(__xludf.DUMMYFUNCTION("""COMPUTED_VALUE"""),95)</f>
        <v>95</v>
      </c>
      <c r="B2347" s="69"/>
    </row>
    <row r="2348" spans="1:2" ht="12.5" hidden="1">
      <c r="A2348" s="5">
        <f ca="1">IFERROR(__xludf.DUMMYFUNCTION("""COMPUTED_VALUE"""),52)</f>
        <v>52</v>
      </c>
      <c r="B2348" s="69"/>
    </row>
    <row r="2349" spans="1:2" ht="12.5" hidden="1">
      <c r="A2349" s="5">
        <f ca="1">IFERROR(__xludf.DUMMYFUNCTION("""COMPUTED_VALUE"""),29)</f>
        <v>29</v>
      </c>
      <c r="B2349" s="69"/>
    </row>
    <row r="2350" spans="1:2" ht="12.5" hidden="1">
      <c r="A2350" s="5">
        <f ca="1">IFERROR(__xludf.DUMMYFUNCTION("""COMPUTED_VALUE"""),95)</f>
        <v>95</v>
      </c>
      <c r="B2350" s="69"/>
    </row>
    <row r="2351" spans="1:2" ht="12.5" hidden="1">
      <c r="A2351" s="5">
        <f ca="1">IFERROR(__xludf.DUMMYFUNCTION("""COMPUTED_VALUE"""),106)</f>
        <v>106</v>
      </c>
      <c r="B2351" s="69"/>
    </row>
    <row r="2352" spans="1:2" ht="12.5" hidden="1">
      <c r="A2352" s="5">
        <f ca="1">IFERROR(__xludf.DUMMYFUNCTION("""COMPUTED_VALUE"""),59)</f>
        <v>59</v>
      </c>
      <c r="B2352" s="69"/>
    </row>
    <row r="2353" spans="1:2" ht="12.5" hidden="1">
      <c r="A2353" s="5">
        <f ca="1">IFERROR(__xludf.DUMMYFUNCTION("""COMPUTED_VALUE"""),44)</f>
        <v>44</v>
      </c>
      <c r="B2353" s="69"/>
    </row>
    <row r="2354" spans="1:2" ht="12.5" hidden="1">
      <c r="A2354" s="5">
        <f ca="1">IFERROR(__xludf.DUMMYFUNCTION("""COMPUTED_VALUE"""),81)</f>
        <v>81</v>
      </c>
      <c r="B2354" s="69"/>
    </row>
    <row r="2355" spans="1:2" ht="12.5" hidden="1">
      <c r="A2355" s="5">
        <f ca="1">IFERROR(__xludf.DUMMYFUNCTION("""COMPUTED_VALUE"""),58)</f>
        <v>58</v>
      </c>
      <c r="B2355" s="69"/>
    </row>
    <row r="2356" spans="1:2" ht="12.5" hidden="1">
      <c r="A2356" s="5">
        <f ca="1">IFERROR(__xludf.DUMMYFUNCTION("""COMPUTED_VALUE"""),29)</f>
        <v>29</v>
      </c>
      <c r="B2356" s="69"/>
    </row>
    <row r="2357" spans="1:2" ht="12.5" hidden="1">
      <c r="A2357" s="5">
        <f ca="1">IFERROR(__xludf.DUMMYFUNCTION("""COMPUTED_VALUE"""),70)</f>
        <v>70</v>
      </c>
      <c r="B2357" s="69"/>
    </row>
    <row r="2358" spans="1:2" ht="12.5" hidden="1">
      <c r="A2358" s="5">
        <f ca="1">IFERROR(__xludf.DUMMYFUNCTION("""COMPUTED_VALUE"""),53)</f>
        <v>53</v>
      </c>
      <c r="B2358" s="69"/>
    </row>
    <row r="2359" spans="1:2" ht="12.5" hidden="1">
      <c r="A2359" s="5">
        <f ca="1">IFERROR(__xludf.DUMMYFUNCTION("""COMPUTED_VALUE"""),104)</f>
        <v>104</v>
      </c>
      <c r="B2359" s="69"/>
    </row>
    <row r="2360" spans="1:2" ht="12.5" hidden="1">
      <c r="A2360" s="5">
        <f ca="1">IFERROR(__xludf.DUMMYFUNCTION("""COMPUTED_VALUE"""),95)</f>
        <v>95</v>
      </c>
      <c r="B2360" s="69"/>
    </row>
    <row r="2361" spans="1:2" ht="12.5" hidden="1">
      <c r="A2361" s="5">
        <f ca="1">IFERROR(__xludf.DUMMYFUNCTION("""COMPUTED_VALUE"""),104)</f>
        <v>104</v>
      </c>
      <c r="B2361" s="69"/>
    </row>
    <row r="2362" spans="1:2" ht="12.5" hidden="1">
      <c r="A2362" s="5">
        <f ca="1">IFERROR(__xludf.DUMMYFUNCTION("""COMPUTED_VALUE"""),51)</f>
        <v>51</v>
      </c>
      <c r="B2362" s="69"/>
    </row>
    <row r="2363" spans="1:2" ht="12.5" hidden="1">
      <c r="A2363" s="5">
        <f ca="1">IFERROR(__xludf.DUMMYFUNCTION("""COMPUTED_VALUE"""),62)</f>
        <v>62</v>
      </c>
      <c r="B2363" s="69"/>
    </row>
    <row r="2364" spans="1:2" ht="12.5" hidden="1">
      <c r="A2364" s="5">
        <f ca="1">IFERROR(__xludf.DUMMYFUNCTION("""COMPUTED_VALUE"""),53)</f>
        <v>53</v>
      </c>
      <c r="B2364" s="69"/>
    </row>
    <row r="2365" spans="1:2" ht="12.5" hidden="1">
      <c r="A2365" s="5">
        <f ca="1">IFERROR(__xludf.DUMMYFUNCTION("""COMPUTED_VALUE"""),81)</f>
        <v>81</v>
      </c>
      <c r="B2365" s="69"/>
    </row>
    <row r="2366" spans="1:2" ht="12.5" hidden="1">
      <c r="A2366" s="5">
        <f ca="1">IFERROR(__xludf.DUMMYFUNCTION("""COMPUTED_VALUE"""),62)</f>
        <v>62</v>
      </c>
      <c r="B2366" s="69"/>
    </row>
    <row r="2367" spans="1:2" ht="12.5" hidden="1">
      <c r="A2367" s="5">
        <f ca="1">IFERROR(__xludf.DUMMYFUNCTION("""COMPUTED_VALUE"""),41)</f>
        <v>41</v>
      </c>
      <c r="B2367" s="69"/>
    </row>
    <row r="2368" spans="1:2" ht="12.5" hidden="1">
      <c r="A2368" s="5">
        <f ca="1">IFERROR(__xludf.DUMMYFUNCTION("""COMPUTED_VALUE"""),95)</f>
        <v>95</v>
      </c>
      <c r="B2368" s="69"/>
    </row>
    <row r="2369" spans="1:2" ht="12.5" hidden="1">
      <c r="A2369" s="5">
        <f ca="1">IFERROR(__xludf.DUMMYFUNCTION("""COMPUTED_VALUE"""),95)</f>
        <v>95</v>
      </c>
      <c r="B2369" s="69"/>
    </row>
    <row r="2370" spans="1:2" ht="12.5" hidden="1">
      <c r="A2370" s="5">
        <f ca="1">IFERROR(__xludf.DUMMYFUNCTION("""COMPUTED_VALUE"""),58)</f>
        <v>58</v>
      </c>
      <c r="B2370" s="69"/>
    </row>
    <row r="2371" spans="1:2" ht="12.5" hidden="1">
      <c r="A2371" s="5">
        <f ca="1">IFERROR(__xludf.DUMMYFUNCTION("""COMPUTED_VALUE"""),29)</f>
        <v>29</v>
      </c>
      <c r="B2371" s="69"/>
    </row>
    <row r="2372" spans="1:2" ht="12.5" hidden="1">
      <c r="A2372" s="5">
        <f ca="1">IFERROR(__xludf.DUMMYFUNCTION("""COMPUTED_VALUE"""),53)</f>
        <v>53</v>
      </c>
      <c r="B2372" s="69"/>
    </row>
    <row r="2373" spans="1:2" ht="12.5" hidden="1">
      <c r="A2373" s="5">
        <f ca="1">IFERROR(__xludf.DUMMYFUNCTION("""COMPUTED_VALUE"""),70)</f>
        <v>70</v>
      </c>
      <c r="B2373" s="69"/>
    </row>
    <row r="2374" spans="1:2" ht="12.5" hidden="1">
      <c r="A2374" s="5">
        <f ca="1">IFERROR(__xludf.DUMMYFUNCTION("""COMPUTED_VALUE"""),29)</f>
        <v>29</v>
      </c>
      <c r="B2374" s="69"/>
    </row>
    <row r="2375" spans="1:2" ht="12.5" hidden="1">
      <c r="A2375" s="5">
        <f ca="1">IFERROR(__xludf.DUMMYFUNCTION("""COMPUTED_VALUE"""),70)</f>
        <v>70</v>
      </c>
      <c r="B2375" s="69"/>
    </row>
    <row r="2376" spans="1:2" ht="12.5" hidden="1">
      <c r="A2376" s="5">
        <f ca="1">IFERROR(__xludf.DUMMYFUNCTION("""COMPUTED_VALUE"""),53)</f>
        <v>53</v>
      </c>
      <c r="B2376" s="69"/>
    </row>
    <row r="2377" spans="1:2" ht="12.5" hidden="1">
      <c r="A2377" s="5">
        <f ca="1">IFERROR(__xludf.DUMMYFUNCTION("""COMPUTED_VALUE"""),52)</f>
        <v>52</v>
      </c>
      <c r="B2377" s="69"/>
    </row>
    <row r="2378" spans="1:2" ht="12.5" hidden="1">
      <c r="A2378" s="5">
        <f ca="1">IFERROR(__xludf.DUMMYFUNCTION("""COMPUTED_VALUE"""),102)</f>
        <v>102</v>
      </c>
      <c r="B2378" s="69"/>
    </row>
    <row r="2379" spans="1:2" ht="12.5" hidden="1">
      <c r="A2379" s="5">
        <f ca="1">IFERROR(__xludf.DUMMYFUNCTION("""COMPUTED_VALUE"""),58)</f>
        <v>58</v>
      </c>
      <c r="B2379" s="69"/>
    </row>
    <row r="2380" spans="1:2" ht="12.5" hidden="1">
      <c r="A2380" s="5">
        <f ca="1">IFERROR(__xludf.DUMMYFUNCTION("""COMPUTED_VALUE"""),52)</f>
        <v>52</v>
      </c>
      <c r="B2380" s="69"/>
    </row>
    <row r="2381" spans="1:2" ht="12.5" hidden="1">
      <c r="A2381" s="5">
        <f ca="1">IFERROR(__xludf.DUMMYFUNCTION("""COMPUTED_VALUE"""),84)</f>
        <v>84</v>
      </c>
      <c r="B2381" s="69"/>
    </row>
    <row r="2382" spans="1:2" ht="12.5" hidden="1">
      <c r="A2382" s="5">
        <f ca="1">IFERROR(__xludf.DUMMYFUNCTION("""COMPUTED_VALUE"""),29)</f>
        <v>29</v>
      </c>
      <c r="B2382" s="69"/>
    </row>
    <row r="2383" spans="1:2" ht="12.5" hidden="1">
      <c r="A2383" s="5">
        <f ca="1">IFERROR(__xludf.DUMMYFUNCTION("""COMPUTED_VALUE"""),58)</f>
        <v>58</v>
      </c>
      <c r="B2383" s="69"/>
    </row>
    <row r="2384" spans="1:2" ht="12.5" hidden="1">
      <c r="A2384" s="5">
        <f ca="1">IFERROR(__xludf.DUMMYFUNCTION("""COMPUTED_VALUE"""),81)</f>
        <v>81</v>
      </c>
      <c r="B2384" s="69"/>
    </row>
    <row r="2385" spans="1:2" ht="12.5" hidden="1">
      <c r="A2385" s="5">
        <f ca="1">IFERROR(__xludf.DUMMYFUNCTION("""COMPUTED_VALUE"""),103)</f>
        <v>103</v>
      </c>
      <c r="B2385" s="69"/>
    </row>
    <row r="2386" spans="1:2" ht="12.5" hidden="1">
      <c r="A2386" s="5">
        <f ca="1">IFERROR(__xludf.DUMMYFUNCTION("""COMPUTED_VALUE"""),29)</f>
        <v>29</v>
      </c>
      <c r="B2386" s="69"/>
    </row>
    <row r="2387" spans="1:2" ht="12.5" hidden="1">
      <c r="A2387" s="5">
        <f ca="1">IFERROR(__xludf.DUMMYFUNCTION("""COMPUTED_VALUE"""),105)</f>
        <v>105</v>
      </c>
      <c r="B2387" s="69"/>
    </row>
    <row r="2388" spans="1:2" ht="12.5" hidden="1">
      <c r="A2388" s="5">
        <f ca="1">IFERROR(__xludf.DUMMYFUNCTION("""COMPUTED_VALUE"""),58)</f>
        <v>58</v>
      </c>
      <c r="B2388" s="69"/>
    </row>
    <row r="2389" spans="1:2" ht="12.5" hidden="1">
      <c r="A2389" s="5">
        <f ca="1">IFERROR(__xludf.DUMMYFUNCTION("""COMPUTED_VALUE"""),29)</f>
        <v>29</v>
      </c>
      <c r="B2389" s="69"/>
    </row>
    <row r="2390" spans="1:2" ht="12.5" hidden="1">
      <c r="A2390" s="5">
        <f ca="1">IFERROR(__xludf.DUMMYFUNCTION("""COMPUTED_VALUE"""),29)</f>
        <v>29</v>
      </c>
      <c r="B2390" s="69"/>
    </row>
    <row r="2391" spans="1:2" ht="12.5" hidden="1">
      <c r="A2391" s="5">
        <f ca="1">IFERROR(__xludf.DUMMYFUNCTION("""COMPUTED_VALUE"""),106)</f>
        <v>106</v>
      </c>
      <c r="B2391" s="69"/>
    </row>
    <row r="2392" spans="1:2" ht="12.5" hidden="1">
      <c r="A2392" s="5">
        <f ca="1">IFERROR(__xludf.DUMMYFUNCTION("""COMPUTED_VALUE"""),51)</f>
        <v>51</v>
      </c>
      <c r="B2392" s="69"/>
    </row>
    <row r="2393" spans="1:2" ht="12.5" hidden="1">
      <c r="A2393" s="5">
        <f ca="1">IFERROR(__xludf.DUMMYFUNCTION("""COMPUTED_VALUE"""),52)</f>
        <v>52</v>
      </c>
      <c r="B2393" s="69"/>
    </row>
    <row r="2394" spans="1:2" ht="12.5" hidden="1">
      <c r="A2394" s="5">
        <f ca="1">IFERROR(__xludf.DUMMYFUNCTION("""COMPUTED_VALUE"""),51)</f>
        <v>51</v>
      </c>
      <c r="B2394" s="69"/>
    </row>
    <row r="2395" spans="1:2" ht="12.5" hidden="1">
      <c r="A2395" s="5">
        <f ca="1">IFERROR(__xludf.DUMMYFUNCTION("""COMPUTED_VALUE"""),29)</f>
        <v>29</v>
      </c>
      <c r="B2395" s="69"/>
    </row>
    <row r="2396" spans="1:2" ht="12.5" hidden="1">
      <c r="A2396" s="5">
        <f ca="1">IFERROR(__xludf.DUMMYFUNCTION("""COMPUTED_VALUE"""),104)</f>
        <v>104</v>
      </c>
      <c r="B2396" s="69"/>
    </row>
    <row r="2397" spans="1:2" ht="12.5" hidden="1">
      <c r="A2397" s="5">
        <f ca="1">IFERROR(__xludf.DUMMYFUNCTION("""COMPUTED_VALUE"""),58)</f>
        <v>58</v>
      </c>
      <c r="B2397" s="69"/>
    </row>
    <row r="2398" spans="1:2" ht="12.5" hidden="1">
      <c r="A2398" s="5">
        <f ca="1">IFERROR(__xludf.DUMMYFUNCTION("""COMPUTED_VALUE"""),29)</f>
        <v>29</v>
      </c>
      <c r="B2398" s="69"/>
    </row>
    <row r="2399" spans="1:2" ht="12.5" hidden="1">
      <c r="A2399" s="5">
        <f ca="1">IFERROR(__xludf.DUMMYFUNCTION("""COMPUTED_VALUE"""),53)</f>
        <v>53</v>
      </c>
      <c r="B2399" s="69"/>
    </row>
    <row r="2400" spans="1:2" ht="12.5" hidden="1">
      <c r="A2400" s="5">
        <f ca="1">IFERROR(__xludf.DUMMYFUNCTION("""COMPUTED_VALUE"""),95)</f>
        <v>95</v>
      </c>
      <c r="B2400" s="69"/>
    </row>
    <row r="2401" spans="1:2" ht="12.5" hidden="1">
      <c r="A2401" s="5">
        <f ca="1">IFERROR(__xludf.DUMMYFUNCTION("""COMPUTED_VALUE"""),62)</f>
        <v>62</v>
      </c>
      <c r="B2401" s="69"/>
    </row>
    <row r="2402" spans="1:2" ht="12.5" hidden="1">
      <c r="A2402" s="5">
        <f ca="1">IFERROR(__xludf.DUMMYFUNCTION("""COMPUTED_VALUE"""),29)</f>
        <v>29</v>
      </c>
      <c r="B2402" s="69"/>
    </row>
    <row r="2403" spans="1:2" ht="12.5" hidden="1">
      <c r="A2403" s="5">
        <f ca="1">IFERROR(__xludf.DUMMYFUNCTION("""COMPUTED_VALUE"""),95)</f>
        <v>95</v>
      </c>
      <c r="B2403" s="69"/>
    </row>
    <row r="2404" spans="1:2" ht="12.5" hidden="1">
      <c r="A2404" s="5">
        <f ca="1">IFERROR(__xludf.DUMMYFUNCTION("""COMPUTED_VALUE"""),58)</f>
        <v>58</v>
      </c>
      <c r="B2404" s="69"/>
    </row>
    <row r="2405" spans="1:2" ht="12.5" hidden="1">
      <c r="A2405" s="5">
        <f ca="1">IFERROR(__xludf.DUMMYFUNCTION("""COMPUTED_VALUE"""),29)</f>
        <v>29</v>
      </c>
      <c r="B2405" s="69"/>
    </row>
    <row r="2406" spans="1:2" ht="12.5" hidden="1">
      <c r="A2406" s="5">
        <f ca="1">IFERROR(__xludf.DUMMYFUNCTION("""COMPUTED_VALUE"""),106)</f>
        <v>106</v>
      </c>
      <c r="B2406" s="69"/>
    </row>
    <row r="2407" spans="1:2" ht="12.5" hidden="1">
      <c r="A2407" s="5">
        <f ca="1">IFERROR(__xludf.DUMMYFUNCTION("""COMPUTED_VALUE"""),96)</f>
        <v>96</v>
      </c>
      <c r="B2407" s="69"/>
    </row>
    <row r="2408" spans="1:2" ht="12.5" hidden="1">
      <c r="A2408" s="5">
        <f ca="1">IFERROR(__xludf.DUMMYFUNCTION("""COMPUTED_VALUE"""),29)</f>
        <v>29</v>
      </c>
      <c r="B2408" s="69"/>
    </row>
    <row r="2409" spans="1:2" ht="12.5" hidden="1">
      <c r="A2409" s="5">
        <f ca="1">IFERROR(__xludf.DUMMYFUNCTION("""COMPUTED_VALUE"""),58)</f>
        <v>58</v>
      </c>
      <c r="B2409" s="69"/>
    </row>
    <row r="2410" spans="1:2" ht="12.5" hidden="1">
      <c r="A2410" s="5">
        <f ca="1">IFERROR(__xludf.DUMMYFUNCTION("""COMPUTED_VALUE"""),82)</f>
        <v>82</v>
      </c>
      <c r="B2410" s="69"/>
    </row>
    <row r="2411" spans="1:2" ht="12.5" hidden="1">
      <c r="A2411" s="5">
        <f ca="1">IFERROR(__xludf.DUMMYFUNCTION("""COMPUTED_VALUE"""),29)</f>
        <v>29</v>
      </c>
      <c r="B2411" s="69"/>
    </row>
    <row r="2412" spans="1:2" ht="12.5" hidden="1">
      <c r="A2412" s="5">
        <f ca="1">IFERROR(__xludf.DUMMYFUNCTION("""COMPUTED_VALUE"""),81)</f>
        <v>81</v>
      </c>
      <c r="B2412" s="69"/>
    </row>
    <row r="2413" spans="1:2" ht="12.5" hidden="1">
      <c r="A2413" s="5">
        <f ca="1">IFERROR(__xludf.DUMMYFUNCTION("""COMPUTED_VALUE"""),105)</f>
        <v>105</v>
      </c>
      <c r="B2413" s="69"/>
    </row>
    <row r="2414" spans="1:2" ht="12.5" hidden="1">
      <c r="A2414" s="5">
        <f ca="1">IFERROR(__xludf.DUMMYFUNCTION("""COMPUTED_VALUE"""),95)</f>
        <v>95</v>
      </c>
      <c r="B2414" s="69"/>
    </row>
    <row r="2415" spans="1:2" ht="12.5" hidden="1">
      <c r="A2415" s="5">
        <f ca="1">IFERROR(__xludf.DUMMYFUNCTION("""COMPUTED_VALUE"""),95)</f>
        <v>95</v>
      </c>
      <c r="B2415" s="69"/>
    </row>
    <row r="2416" spans="1:2" ht="12.5" hidden="1">
      <c r="A2416" s="5">
        <f ca="1">IFERROR(__xludf.DUMMYFUNCTION("""COMPUTED_VALUE"""),44)</f>
        <v>44</v>
      </c>
      <c r="B2416" s="69"/>
    </row>
    <row r="2417" spans="1:2" ht="12.5" hidden="1">
      <c r="A2417" s="5">
        <f ca="1">IFERROR(__xludf.DUMMYFUNCTION("""COMPUTED_VALUE"""),44)</f>
        <v>44</v>
      </c>
      <c r="B2417" s="69"/>
    </row>
    <row r="2418" spans="1:2" ht="12.5" hidden="1">
      <c r="A2418" s="5">
        <f ca="1">IFERROR(__xludf.DUMMYFUNCTION("""COMPUTED_VALUE"""),58)</f>
        <v>58</v>
      </c>
      <c r="B2418" s="69"/>
    </row>
    <row r="2419" spans="1:2" ht="12.5" hidden="1">
      <c r="A2419" s="5">
        <f ca="1">IFERROR(__xludf.DUMMYFUNCTION("""COMPUTED_VALUE"""),29)</f>
        <v>29</v>
      </c>
      <c r="B2419" s="69"/>
    </row>
    <row r="2420" spans="1:2" ht="12.5" hidden="1">
      <c r="A2420" s="5">
        <f ca="1">IFERROR(__xludf.DUMMYFUNCTION("""COMPUTED_VALUE"""),95)</f>
        <v>95</v>
      </c>
      <c r="B2420" s="69"/>
    </row>
    <row r="2421" spans="1:2" ht="12.5" hidden="1">
      <c r="A2421" s="5">
        <f ca="1">IFERROR(__xludf.DUMMYFUNCTION("""COMPUTED_VALUE"""),41)</f>
        <v>41</v>
      </c>
      <c r="B2421" s="69"/>
    </row>
    <row r="2422" spans="1:2" ht="12.5" hidden="1">
      <c r="A2422" s="5">
        <f ca="1">IFERROR(__xludf.DUMMYFUNCTION("""COMPUTED_VALUE"""),95)</f>
        <v>95</v>
      </c>
      <c r="B2422" s="69"/>
    </row>
    <row r="2423" spans="1:2" ht="12.5" hidden="1">
      <c r="A2423" s="5">
        <f ca="1">IFERROR(__xludf.DUMMYFUNCTION("""COMPUTED_VALUE"""),95)</f>
        <v>95</v>
      </c>
      <c r="B2423" s="69"/>
    </row>
    <row r="2424" spans="1:2" ht="12.5" hidden="1">
      <c r="A2424" s="5">
        <f ca="1">IFERROR(__xludf.DUMMYFUNCTION("""COMPUTED_VALUE"""),70)</f>
        <v>70</v>
      </c>
      <c r="B2424" s="69"/>
    </row>
    <row r="2425" spans="1:2" ht="12.5" hidden="1">
      <c r="A2425" s="5">
        <f ca="1">IFERROR(__xludf.DUMMYFUNCTION("""COMPUTED_VALUE"""),58)</f>
        <v>58</v>
      </c>
      <c r="B2425" s="69"/>
    </row>
    <row r="2426" spans="1:2" ht="12.5" hidden="1">
      <c r="A2426" s="5">
        <f ca="1">IFERROR(__xludf.DUMMYFUNCTION("""COMPUTED_VALUE"""),58)</f>
        <v>58</v>
      </c>
      <c r="B2426" s="69"/>
    </row>
    <row r="2427" spans="1:2" ht="12.5" hidden="1">
      <c r="A2427" s="5">
        <f ca="1">IFERROR(__xludf.DUMMYFUNCTION("""COMPUTED_VALUE"""),70)</f>
        <v>70</v>
      </c>
      <c r="B2427" s="69"/>
    </row>
    <row r="2428" spans="1:2" ht="12.5" hidden="1">
      <c r="A2428" s="5">
        <f ca="1">IFERROR(__xludf.DUMMYFUNCTION("""COMPUTED_VALUE"""),58)</f>
        <v>58</v>
      </c>
      <c r="B2428" s="69"/>
    </row>
    <row r="2429" spans="1:2" ht="12.5" hidden="1">
      <c r="A2429" s="5">
        <f ca="1">IFERROR(__xludf.DUMMYFUNCTION("""COMPUTED_VALUE"""),95)</f>
        <v>95</v>
      </c>
      <c r="B2429" s="69"/>
    </row>
    <row r="2430" spans="1:2" ht="12.5" hidden="1">
      <c r="A2430" s="5">
        <f ca="1">IFERROR(__xludf.DUMMYFUNCTION("""COMPUTED_VALUE"""),95)</f>
        <v>95</v>
      </c>
      <c r="B2430" s="69"/>
    </row>
    <row r="2431" spans="1:2" ht="12.5" hidden="1">
      <c r="A2431" s="5">
        <f ca="1">IFERROR(__xludf.DUMMYFUNCTION("""COMPUTED_VALUE"""),95)</f>
        <v>95</v>
      </c>
      <c r="B2431" s="69"/>
    </row>
    <row r="2432" spans="1:2" ht="12.5" hidden="1">
      <c r="A2432" s="5">
        <f ca="1">IFERROR(__xludf.DUMMYFUNCTION("""COMPUTED_VALUE"""),70)</f>
        <v>70</v>
      </c>
      <c r="B2432" s="69"/>
    </row>
    <row r="2433" spans="1:2" ht="12.5" hidden="1">
      <c r="A2433" s="5">
        <f ca="1">IFERROR(__xludf.DUMMYFUNCTION("""COMPUTED_VALUE"""),95)</f>
        <v>95</v>
      </c>
      <c r="B2433" s="69"/>
    </row>
    <row r="2434" spans="1:2" ht="12.5" hidden="1">
      <c r="A2434" s="5">
        <f ca="1">IFERROR(__xludf.DUMMYFUNCTION("""COMPUTED_VALUE"""),95)</f>
        <v>95</v>
      </c>
      <c r="B2434" s="69"/>
    </row>
    <row r="2435" spans="1:2" ht="12.5" hidden="1">
      <c r="A2435" s="5">
        <f ca="1">IFERROR(__xludf.DUMMYFUNCTION("""COMPUTED_VALUE"""),43)</f>
        <v>43</v>
      </c>
      <c r="B2435" s="69"/>
    </row>
    <row r="2436" spans="1:2" ht="12.5" hidden="1">
      <c r="A2436" s="5">
        <f ca="1">IFERROR(__xludf.DUMMYFUNCTION("""COMPUTED_VALUE"""),100)</f>
        <v>100</v>
      </c>
      <c r="B2436" s="69"/>
    </row>
    <row r="2437" spans="1:2" ht="12.5" hidden="1">
      <c r="A2437" s="5">
        <f ca="1">IFERROR(__xludf.DUMMYFUNCTION("""COMPUTED_VALUE"""),53)</f>
        <v>53</v>
      </c>
      <c r="B2437" s="69"/>
    </row>
    <row r="2438" spans="1:2" ht="12.5" hidden="1">
      <c r="A2438" s="5">
        <f ca="1">IFERROR(__xludf.DUMMYFUNCTION("""COMPUTED_VALUE"""),52)</f>
        <v>52</v>
      </c>
      <c r="B2438" s="69"/>
    </row>
    <row r="2439" spans="1:2" ht="12.5" hidden="1">
      <c r="A2439" s="5">
        <f ca="1">IFERROR(__xludf.DUMMYFUNCTION("""COMPUTED_VALUE"""),45)</f>
        <v>45</v>
      </c>
      <c r="B2439" s="69"/>
    </row>
    <row r="2440" spans="1:2" ht="12.5" hidden="1">
      <c r="A2440" s="5">
        <f ca="1">IFERROR(__xludf.DUMMYFUNCTION("""COMPUTED_VALUE"""),95)</f>
        <v>95</v>
      </c>
      <c r="B2440" s="69"/>
    </row>
    <row r="2441" spans="1:2" ht="12.5" hidden="1">
      <c r="A2441" s="5">
        <f ca="1">IFERROR(__xludf.DUMMYFUNCTION("""COMPUTED_VALUE"""),66)</f>
        <v>66</v>
      </c>
      <c r="B2441" s="69"/>
    </row>
    <row r="2442" spans="1:2" ht="12.5" hidden="1">
      <c r="A2442" s="5">
        <f ca="1">IFERROR(__xludf.DUMMYFUNCTION("""COMPUTED_VALUE"""),53)</f>
        <v>53</v>
      </c>
      <c r="B2442" s="69"/>
    </row>
    <row r="2443" spans="1:2" ht="12.5" hidden="1">
      <c r="A2443" s="5">
        <f ca="1">IFERROR(__xludf.DUMMYFUNCTION("""COMPUTED_VALUE"""),86)</f>
        <v>86</v>
      </c>
      <c r="B2443" s="69"/>
    </row>
    <row r="2444" spans="1:2" ht="12.5" hidden="1">
      <c r="A2444" s="5">
        <f ca="1">IFERROR(__xludf.DUMMYFUNCTION("""COMPUTED_VALUE"""),95)</f>
        <v>95</v>
      </c>
      <c r="B2444" s="69"/>
    </row>
    <row r="2445" spans="1:2" ht="12.5" hidden="1">
      <c r="A2445" s="5">
        <f ca="1">IFERROR(__xludf.DUMMYFUNCTION("""COMPUTED_VALUE"""),21)</f>
        <v>21</v>
      </c>
      <c r="B2445" s="69"/>
    </row>
    <row r="2446" spans="1:2" ht="12.5" hidden="1">
      <c r="A2446" s="5">
        <f ca="1">IFERROR(__xludf.DUMMYFUNCTION("""COMPUTED_VALUE"""),64)</f>
        <v>64</v>
      </c>
      <c r="B2446" s="69"/>
    </row>
    <row r="2447" spans="1:2" ht="12.5" hidden="1">
      <c r="A2447" s="5">
        <f ca="1">IFERROR(__xludf.DUMMYFUNCTION("""COMPUTED_VALUE"""),53)</f>
        <v>53</v>
      </c>
      <c r="B2447" s="69"/>
    </row>
    <row r="2448" spans="1:2" ht="12.5" hidden="1">
      <c r="A2448" s="5">
        <f ca="1">IFERROR(__xludf.DUMMYFUNCTION("""COMPUTED_VALUE"""),104)</f>
        <v>104</v>
      </c>
      <c r="B2448" s="69"/>
    </row>
    <row r="2449" spans="1:2" ht="12.5" hidden="1">
      <c r="A2449" s="5">
        <f ca="1">IFERROR(__xludf.DUMMYFUNCTION("""COMPUTED_VALUE"""),53)</f>
        <v>53</v>
      </c>
      <c r="B2449" s="69"/>
    </row>
    <row r="2450" spans="1:2" ht="12.5" hidden="1">
      <c r="A2450" s="5">
        <f ca="1">IFERROR(__xludf.DUMMYFUNCTION("""COMPUTED_VALUE"""),52)</f>
        <v>52</v>
      </c>
      <c r="B2450" s="69"/>
    </row>
    <row r="2451" spans="1:2" ht="12.5" hidden="1">
      <c r="A2451" s="5">
        <f ca="1">IFERROR(__xludf.DUMMYFUNCTION("""COMPUTED_VALUE"""),95)</f>
        <v>95</v>
      </c>
      <c r="B2451" s="69"/>
    </row>
    <row r="2452" spans="1:2" ht="12.5" hidden="1">
      <c r="A2452" s="5">
        <f ca="1">IFERROR(__xludf.DUMMYFUNCTION("""COMPUTED_VALUE"""),52)</f>
        <v>52</v>
      </c>
      <c r="B2452" s="69"/>
    </row>
    <row r="2453" spans="1:2" ht="12.5" hidden="1">
      <c r="A2453" s="5">
        <f ca="1">IFERROR(__xludf.DUMMYFUNCTION("""COMPUTED_VALUE"""),56)</f>
        <v>56</v>
      </c>
      <c r="B2453" s="69"/>
    </row>
    <row r="2454" spans="1:2" ht="12.5" hidden="1">
      <c r="A2454" s="5">
        <f ca="1">IFERROR(__xludf.DUMMYFUNCTION("""COMPUTED_VALUE"""),70)</f>
        <v>70</v>
      </c>
      <c r="B2454" s="69"/>
    </row>
    <row r="2455" spans="1:2" ht="12.5" hidden="1">
      <c r="A2455" s="5">
        <f ca="1">IFERROR(__xludf.DUMMYFUNCTION("""COMPUTED_VALUE"""),95)</f>
        <v>95</v>
      </c>
      <c r="B2455" s="69"/>
    </row>
    <row r="2456" spans="1:2" ht="12.5" hidden="1">
      <c r="A2456" s="5">
        <f ca="1">IFERROR(__xludf.DUMMYFUNCTION("""COMPUTED_VALUE"""),95)</f>
        <v>95</v>
      </c>
      <c r="B2456" s="69"/>
    </row>
    <row r="2457" spans="1:2" ht="12.5" hidden="1">
      <c r="A2457" s="5">
        <f ca="1">IFERROR(__xludf.DUMMYFUNCTION("""COMPUTED_VALUE"""),31)</f>
        <v>31</v>
      </c>
      <c r="B2457" s="69"/>
    </row>
    <row r="2458" spans="1:2" ht="12.5" hidden="1">
      <c r="A2458" s="5">
        <f ca="1">IFERROR(__xludf.DUMMYFUNCTION("""COMPUTED_VALUE"""),68)</f>
        <v>68</v>
      </c>
      <c r="B2458" s="69"/>
    </row>
    <row r="2459" spans="1:2" ht="12.5" hidden="1">
      <c r="A2459" s="5">
        <f ca="1">IFERROR(__xludf.DUMMYFUNCTION("""COMPUTED_VALUE"""),95)</f>
        <v>95</v>
      </c>
      <c r="B2459" s="69"/>
    </row>
    <row r="2460" spans="1:2" ht="12.5" hidden="1">
      <c r="A2460" s="5">
        <f ca="1">IFERROR(__xludf.DUMMYFUNCTION("""COMPUTED_VALUE"""),25)</f>
        <v>25</v>
      </c>
      <c r="B2460" s="69"/>
    </row>
    <row r="2461" spans="1:2" ht="12.5" hidden="1">
      <c r="A2461" s="5">
        <f ca="1">IFERROR(__xludf.DUMMYFUNCTION("""COMPUTED_VALUE"""),95)</f>
        <v>95</v>
      </c>
      <c r="B2461" s="69"/>
    </row>
    <row r="2462" spans="1:2" ht="12.5" hidden="1">
      <c r="A2462" s="5">
        <f ca="1">IFERROR(__xludf.DUMMYFUNCTION("""COMPUTED_VALUE"""),58)</f>
        <v>58</v>
      </c>
      <c r="B2462" s="69"/>
    </row>
    <row r="2463" spans="1:2" ht="12.5" hidden="1">
      <c r="A2463" s="5">
        <f ca="1">IFERROR(__xludf.DUMMYFUNCTION("""COMPUTED_VALUE"""),52)</f>
        <v>52</v>
      </c>
      <c r="B2463" s="69"/>
    </row>
    <row r="2464" spans="1:2" ht="12.5" hidden="1">
      <c r="A2464" s="5">
        <f ca="1">IFERROR(__xludf.DUMMYFUNCTION("""COMPUTED_VALUE"""),53)</f>
        <v>53</v>
      </c>
      <c r="B2464" s="69"/>
    </row>
    <row r="2465" spans="1:2" ht="12.5" hidden="1">
      <c r="A2465" s="5">
        <f ca="1">IFERROR(__xludf.DUMMYFUNCTION("""COMPUTED_VALUE"""),58)</f>
        <v>58</v>
      </c>
      <c r="B2465" s="69"/>
    </row>
    <row r="2466" spans="1:2" ht="12.5" hidden="1">
      <c r="A2466" s="5">
        <f ca="1">IFERROR(__xludf.DUMMYFUNCTION("""COMPUTED_VALUE"""),53)</f>
        <v>53</v>
      </c>
      <c r="B2466" s="69"/>
    </row>
    <row r="2467" spans="1:2" ht="12.5" hidden="1">
      <c r="A2467" s="5">
        <f ca="1">IFERROR(__xludf.DUMMYFUNCTION("""COMPUTED_VALUE"""),41)</f>
        <v>41</v>
      </c>
      <c r="B2467" s="69"/>
    </row>
    <row r="2468" spans="1:2" ht="12.5" hidden="1">
      <c r="A2468" s="5">
        <f ca="1">IFERROR(__xludf.DUMMYFUNCTION("""COMPUTED_VALUE"""),95)</f>
        <v>95</v>
      </c>
      <c r="B2468" s="69"/>
    </row>
    <row r="2469" spans="1:2" ht="12.5" hidden="1">
      <c r="A2469" s="5">
        <f ca="1">IFERROR(__xludf.DUMMYFUNCTION("""COMPUTED_VALUE"""),58)</f>
        <v>58</v>
      </c>
      <c r="B2469" s="69"/>
    </row>
    <row r="2470" spans="1:2" ht="12.5" hidden="1">
      <c r="A2470" s="5">
        <f ca="1">IFERROR(__xludf.DUMMYFUNCTION("""COMPUTED_VALUE"""),95)</f>
        <v>95</v>
      </c>
      <c r="B2470" s="69"/>
    </row>
    <row r="2471" spans="1:2" ht="12.5" hidden="1">
      <c r="A2471" s="5">
        <f ca="1">IFERROR(__xludf.DUMMYFUNCTION("""COMPUTED_VALUE"""),53)</f>
        <v>53</v>
      </c>
      <c r="B2471" s="69"/>
    </row>
    <row r="2472" spans="1:2" ht="12.5" hidden="1">
      <c r="A2472" s="5">
        <f ca="1">IFERROR(__xludf.DUMMYFUNCTION("""COMPUTED_VALUE"""),73)</f>
        <v>73</v>
      </c>
      <c r="B2472" s="69"/>
    </row>
    <row r="2473" spans="1:2" ht="12.5" hidden="1">
      <c r="A2473" s="5">
        <f ca="1">IFERROR(__xludf.DUMMYFUNCTION("""COMPUTED_VALUE"""),31)</f>
        <v>31</v>
      </c>
      <c r="B2473" s="69"/>
    </row>
    <row r="2474" spans="1:2" ht="12.5" hidden="1">
      <c r="A2474" s="5">
        <f ca="1">IFERROR(__xludf.DUMMYFUNCTION("""COMPUTED_VALUE"""),70)</f>
        <v>70</v>
      </c>
      <c r="B2474" s="69"/>
    </row>
    <row r="2475" spans="1:2" ht="12.5" hidden="1">
      <c r="A2475" s="5">
        <f ca="1">IFERROR(__xludf.DUMMYFUNCTION("""COMPUTED_VALUE"""),29)</f>
        <v>29</v>
      </c>
      <c r="B2475" s="69"/>
    </row>
    <row r="2476" spans="1:2" ht="12.5" hidden="1">
      <c r="A2476" s="5">
        <f ca="1">IFERROR(__xludf.DUMMYFUNCTION("""COMPUTED_VALUE"""),53)</f>
        <v>53</v>
      </c>
      <c r="B2476" s="69"/>
    </row>
    <row r="2477" spans="1:2" ht="12.5" hidden="1">
      <c r="A2477" s="5">
        <f ca="1">IFERROR(__xludf.DUMMYFUNCTION("""COMPUTED_VALUE"""),95)</f>
        <v>95</v>
      </c>
      <c r="B2477" s="69"/>
    </row>
    <row r="2478" spans="1:2" ht="12.5" hidden="1">
      <c r="A2478" s="5">
        <f ca="1">IFERROR(__xludf.DUMMYFUNCTION("""COMPUTED_VALUE"""),31)</f>
        <v>31</v>
      </c>
      <c r="B2478" s="69"/>
    </row>
    <row r="2479" spans="1:2" ht="12.5" hidden="1">
      <c r="A2479" s="5">
        <f ca="1">IFERROR(__xludf.DUMMYFUNCTION("""COMPUTED_VALUE"""),53)</f>
        <v>53</v>
      </c>
      <c r="B2479" s="69"/>
    </row>
    <row r="2480" spans="1:2" ht="12.5" hidden="1">
      <c r="A2480" s="5">
        <f ca="1">IFERROR(__xludf.DUMMYFUNCTION("""COMPUTED_VALUE"""),95)</f>
        <v>95</v>
      </c>
      <c r="B2480" s="69"/>
    </row>
    <row r="2481" spans="1:2" ht="12.5" hidden="1">
      <c r="A2481" s="5">
        <f ca="1">IFERROR(__xludf.DUMMYFUNCTION("""COMPUTED_VALUE"""),95)</f>
        <v>95</v>
      </c>
      <c r="B2481" s="69"/>
    </row>
    <row r="2482" spans="1:2" ht="12.5" hidden="1">
      <c r="A2482" s="5">
        <f ca="1">IFERROR(__xludf.DUMMYFUNCTION("""COMPUTED_VALUE"""),64)</f>
        <v>64</v>
      </c>
      <c r="B2482" s="69"/>
    </row>
    <row r="2483" spans="1:2" ht="12.5" hidden="1">
      <c r="A2483" s="5">
        <f ca="1">IFERROR(__xludf.DUMMYFUNCTION("""COMPUTED_VALUE"""),64)</f>
        <v>64</v>
      </c>
      <c r="B2483" s="69"/>
    </row>
    <row r="2484" spans="1:2" ht="12.5" hidden="1">
      <c r="A2484" s="5">
        <f ca="1">IFERROR(__xludf.DUMMYFUNCTION("""COMPUTED_VALUE"""),95)</f>
        <v>95</v>
      </c>
      <c r="B2484" s="69"/>
    </row>
    <row r="2485" spans="1:2" ht="12.5" hidden="1">
      <c r="A2485" s="5">
        <f ca="1">IFERROR(__xludf.DUMMYFUNCTION("""COMPUTED_VALUE"""),51)</f>
        <v>51</v>
      </c>
      <c r="B2485" s="69"/>
    </row>
    <row r="2486" spans="1:2" ht="12.5" hidden="1">
      <c r="A2486" s="5">
        <f ca="1">IFERROR(__xludf.DUMMYFUNCTION("""COMPUTED_VALUE"""),82)</f>
        <v>82</v>
      </c>
      <c r="B2486" s="69"/>
    </row>
    <row r="2487" spans="1:2" ht="12.5" hidden="1">
      <c r="A2487" s="5">
        <f ca="1">IFERROR(__xludf.DUMMYFUNCTION("""COMPUTED_VALUE"""),21)</f>
        <v>21</v>
      </c>
      <c r="B2487" s="69"/>
    </row>
    <row r="2488" spans="1:2" ht="12.5" hidden="1">
      <c r="A2488" s="5">
        <f ca="1">IFERROR(__xludf.DUMMYFUNCTION("""COMPUTED_VALUE"""),95)</f>
        <v>95</v>
      </c>
      <c r="B2488" s="69"/>
    </row>
    <row r="2489" spans="1:2" ht="12.5" hidden="1">
      <c r="A2489" s="5">
        <f ca="1">IFERROR(__xludf.DUMMYFUNCTION("""COMPUTED_VALUE"""),62)</f>
        <v>62</v>
      </c>
      <c r="B2489" s="69"/>
    </row>
    <row r="2490" spans="1:2" ht="12.5" hidden="1">
      <c r="A2490" s="5">
        <f ca="1">IFERROR(__xludf.DUMMYFUNCTION("""COMPUTED_VALUE"""),62)</f>
        <v>62</v>
      </c>
      <c r="B2490" s="69"/>
    </row>
    <row r="2491" spans="1:2" ht="12.5" hidden="1">
      <c r="A2491" s="5">
        <f ca="1">IFERROR(__xludf.DUMMYFUNCTION("""COMPUTED_VALUE"""),31)</f>
        <v>31</v>
      </c>
      <c r="B2491" s="69"/>
    </row>
    <row r="2492" spans="1:2" ht="12.5" hidden="1">
      <c r="A2492" s="5">
        <f ca="1">IFERROR(__xludf.DUMMYFUNCTION("""COMPUTED_VALUE"""),53)</f>
        <v>53</v>
      </c>
      <c r="B2492" s="69"/>
    </row>
    <row r="2493" spans="1:2" ht="12.5" hidden="1">
      <c r="A2493" s="5">
        <f ca="1">IFERROR(__xludf.DUMMYFUNCTION("""COMPUTED_VALUE"""),31)</f>
        <v>31</v>
      </c>
      <c r="B2493" s="69"/>
    </row>
    <row r="2494" spans="1:2" ht="12.5" hidden="1">
      <c r="A2494" s="5">
        <f ca="1">IFERROR(__xludf.DUMMYFUNCTION("""COMPUTED_VALUE"""),69)</f>
        <v>69</v>
      </c>
      <c r="B2494" s="69"/>
    </row>
    <row r="2495" spans="1:2" ht="12.5" hidden="1">
      <c r="A2495" s="5">
        <f ca="1">IFERROR(__xludf.DUMMYFUNCTION("""COMPUTED_VALUE"""),104)</f>
        <v>104</v>
      </c>
      <c r="B2495" s="69"/>
    </row>
    <row r="2496" spans="1:2" ht="12.5" hidden="1">
      <c r="A2496" s="5">
        <f ca="1">IFERROR(__xludf.DUMMYFUNCTION("""COMPUTED_VALUE"""),45)</f>
        <v>45</v>
      </c>
      <c r="B2496" s="69"/>
    </row>
    <row r="2497" spans="1:2" ht="12.5" hidden="1">
      <c r="A2497" s="5">
        <f ca="1">IFERROR(__xludf.DUMMYFUNCTION("""COMPUTED_VALUE"""),21)</f>
        <v>21</v>
      </c>
      <c r="B2497" s="69"/>
    </row>
    <row r="2498" spans="1:2" ht="12.5" hidden="1">
      <c r="A2498" s="5">
        <f ca="1">IFERROR(__xludf.DUMMYFUNCTION("""COMPUTED_VALUE"""),83)</f>
        <v>83</v>
      </c>
      <c r="B2498" s="69"/>
    </row>
    <row r="2499" spans="1:2" ht="12.5" hidden="1">
      <c r="A2499" s="5">
        <f ca="1">IFERROR(__xludf.DUMMYFUNCTION("""COMPUTED_VALUE"""),95)</f>
        <v>95</v>
      </c>
      <c r="B2499" s="69"/>
    </row>
    <row r="2500" spans="1:2" ht="12.5" hidden="1">
      <c r="A2500" s="5">
        <f ca="1">IFERROR(__xludf.DUMMYFUNCTION("""COMPUTED_VALUE"""),29)</f>
        <v>29</v>
      </c>
      <c r="B2500" s="69"/>
    </row>
    <row r="2501" spans="1:2" ht="12.5" hidden="1">
      <c r="A2501" s="5">
        <f ca="1">IFERROR(__xludf.DUMMYFUNCTION("""COMPUTED_VALUE"""),30)</f>
        <v>30</v>
      </c>
      <c r="B2501" s="69"/>
    </row>
    <row r="2502" spans="1:2" ht="12.5" hidden="1">
      <c r="A2502" s="5">
        <f ca="1">IFERROR(__xludf.DUMMYFUNCTION("""COMPUTED_VALUE"""),39)</f>
        <v>39</v>
      </c>
      <c r="B2502" s="69"/>
    </row>
    <row r="2503" spans="1:2" ht="12.5" hidden="1">
      <c r="A2503" s="5">
        <f ca="1">IFERROR(__xludf.DUMMYFUNCTION("""COMPUTED_VALUE"""),52)</f>
        <v>52</v>
      </c>
      <c r="B2503" s="69"/>
    </row>
    <row r="2504" spans="1:2" ht="12.5" hidden="1">
      <c r="B2504" s="69"/>
    </row>
    <row r="2505" spans="1:2" ht="12.5" hidden="1">
      <c r="B2505" s="69"/>
    </row>
    <row r="2506" spans="1:2" ht="12.5" hidden="1">
      <c r="B2506" s="69"/>
    </row>
    <row r="2507" spans="1:2" ht="12.5" hidden="1">
      <c r="B2507" s="69"/>
    </row>
    <row r="2508" spans="1:2" ht="12.5" hidden="1">
      <c r="B2508" s="69"/>
    </row>
    <row r="2509" spans="1:2" ht="12.5" hidden="1">
      <c r="B2509" s="69"/>
    </row>
    <row r="2510" spans="1:2" ht="12.5" hidden="1">
      <c r="B2510" s="69"/>
    </row>
    <row r="2511" spans="1:2" ht="12.5" hidden="1">
      <c r="B2511" s="69"/>
    </row>
    <row r="2512" spans="1:2" ht="12.5" hidden="1">
      <c r="B2512" s="69"/>
    </row>
    <row r="2513" spans="2:2" ht="12.5" hidden="1">
      <c r="B2513" s="69"/>
    </row>
    <row r="2514" spans="2:2" ht="12.5" hidden="1">
      <c r="B2514" s="69"/>
    </row>
    <row r="2515" spans="2:2" ht="12.5" hidden="1">
      <c r="B2515" s="69"/>
    </row>
    <row r="2516" spans="2:2" ht="12.5" hidden="1">
      <c r="B2516" s="69"/>
    </row>
    <row r="2517" spans="2:2" ht="12.5" hidden="1">
      <c r="B2517" s="69"/>
    </row>
    <row r="2518" spans="2:2" ht="12.5" hidden="1">
      <c r="B2518" s="69"/>
    </row>
    <row r="2519" spans="2:2" ht="12.5" hidden="1">
      <c r="B2519" s="69"/>
    </row>
    <row r="2520" spans="2:2" ht="12.5" hidden="1">
      <c r="B2520" s="69"/>
    </row>
    <row r="2521" spans="2:2" ht="12.5" hidden="1">
      <c r="B2521" s="69"/>
    </row>
    <row r="2522" spans="2:2" ht="12.5" hidden="1">
      <c r="B2522" s="69"/>
    </row>
    <row r="2523" spans="2:2" ht="12.5" hidden="1">
      <c r="B2523" s="69"/>
    </row>
    <row r="2524" spans="2:2" ht="12.5" hidden="1">
      <c r="B2524" s="69"/>
    </row>
    <row r="2525" spans="2:2" ht="12.5" hidden="1">
      <c r="B2525" s="69"/>
    </row>
    <row r="2526" spans="2:2" ht="12.5" hidden="1">
      <c r="B2526" s="69"/>
    </row>
    <row r="2527" spans="2:2" ht="12.5" hidden="1">
      <c r="B2527" s="69"/>
    </row>
    <row r="2528" spans="2:2" ht="12.5" hidden="1">
      <c r="B2528" s="69"/>
    </row>
    <row r="2529" spans="2:2" ht="12.5" hidden="1">
      <c r="B2529" s="69"/>
    </row>
    <row r="2530" spans="2:2" ht="12.5" hidden="1">
      <c r="B2530" s="69"/>
    </row>
    <row r="2531" spans="2:2" ht="12.5" hidden="1">
      <c r="B2531" s="69"/>
    </row>
    <row r="2532" spans="2:2" ht="12.5" hidden="1">
      <c r="B2532" s="69"/>
    </row>
    <row r="2533" spans="2:2" ht="12.5" hidden="1">
      <c r="B2533" s="69"/>
    </row>
    <row r="2534" spans="2:2" ht="12.5" hidden="1">
      <c r="B2534" s="69"/>
    </row>
    <row r="2535" spans="2:2" ht="12.5" hidden="1">
      <c r="B2535" s="69"/>
    </row>
    <row r="2536" spans="2:2" ht="12.5" hidden="1">
      <c r="B2536" s="69"/>
    </row>
    <row r="2537" spans="2:2" ht="12.5" hidden="1">
      <c r="B2537" s="69"/>
    </row>
    <row r="2538" spans="2:2" ht="12.5" hidden="1">
      <c r="B2538" s="69"/>
    </row>
    <row r="2539" spans="2:2" ht="12.5" hidden="1">
      <c r="B2539" s="69"/>
    </row>
    <row r="2540" spans="2:2" ht="12.5" hidden="1">
      <c r="B2540" s="69"/>
    </row>
    <row r="2541" spans="2:2" ht="12.5" hidden="1">
      <c r="B2541" s="69"/>
    </row>
    <row r="2542" spans="2:2" ht="12.5" hidden="1">
      <c r="B2542" s="69"/>
    </row>
    <row r="2543" spans="2:2" ht="12.5" hidden="1">
      <c r="B2543" s="69"/>
    </row>
    <row r="2544" spans="2:2" ht="12.5" hidden="1">
      <c r="B2544" s="69"/>
    </row>
    <row r="2545" spans="2:2" ht="12.5" hidden="1">
      <c r="B2545" s="69"/>
    </row>
    <row r="2546" spans="2:2" ht="12.5" hidden="1">
      <c r="B2546" s="69"/>
    </row>
    <row r="2547" spans="2:2" ht="12.5" hidden="1">
      <c r="B2547" s="69"/>
    </row>
    <row r="2548" spans="2:2" ht="12.5" hidden="1">
      <c r="B2548" s="69"/>
    </row>
    <row r="2549" spans="2:2" ht="12.5" hidden="1">
      <c r="B2549" s="69"/>
    </row>
    <row r="2550" spans="2:2" ht="12.5" hidden="1">
      <c r="B2550" s="69"/>
    </row>
    <row r="2551" spans="2:2" ht="12.5" hidden="1">
      <c r="B2551" s="69"/>
    </row>
    <row r="2552" spans="2:2" ht="12.5" hidden="1">
      <c r="B2552" s="69"/>
    </row>
    <row r="2553" spans="2:2" ht="12.5" hidden="1">
      <c r="B2553" s="69"/>
    </row>
    <row r="2554" spans="2:2" ht="12.5" hidden="1">
      <c r="B2554" s="69"/>
    </row>
    <row r="2555" spans="2:2" ht="12.5" hidden="1">
      <c r="B2555" s="69"/>
    </row>
    <row r="2556" spans="2:2" ht="12.5" hidden="1">
      <c r="B2556" s="69"/>
    </row>
    <row r="2557" spans="2:2" ht="12.5" hidden="1">
      <c r="B2557" s="69"/>
    </row>
    <row r="2558" spans="2:2" ht="12.5" hidden="1">
      <c r="B2558" s="69"/>
    </row>
    <row r="2559" spans="2:2" ht="12.5" hidden="1">
      <c r="B2559" s="69"/>
    </row>
    <row r="2560" spans="2:2" ht="12.5" hidden="1">
      <c r="B2560" s="69"/>
    </row>
    <row r="2561" spans="2:2" ht="12.5" hidden="1">
      <c r="B2561" s="69"/>
    </row>
    <row r="2562" spans="2:2" ht="12.5" hidden="1">
      <c r="B2562" s="69"/>
    </row>
    <row r="2563" spans="2:2" ht="12.5" hidden="1">
      <c r="B2563" s="69"/>
    </row>
    <row r="2564" spans="2:2" ht="12.5" hidden="1">
      <c r="B2564" s="69"/>
    </row>
    <row r="2565" spans="2:2" ht="12.5" hidden="1">
      <c r="B2565" s="69"/>
    </row>
    <row r="2566" spans="2:2" ht="12.5" hidden="1">
      <c r="B2566" s="69"/>
    </row>
    <row r="2567" spans="2:2" ht="12.5" hidden="1">
      <c r="B2567" s="69"/>
    </row>
    <row r="2568" spans="2:2" ht="12.5" hidden="1">
      <c r="B2568" s="69"/>
    </row>
    <row r="2569" spans="2:2" ht="12.5" hidden="1">
      <c r="B2569" s="69"/>
    </row>
    <row r="2570" spans="2:2" ht="12.5" hidden="1">
      <c r="B2570" s="69"/>
    </row>
    <row r="2571" spans="2:2" ht="12.5" hidden="1">
      <c r="B2571" s="69"/>
    </row>
    <row r="2572" spans="2:2" ht="12.5" hidden="1">
      <c r="B2572" s="69"/>
    </row>
    <row r="2573" spans="2:2" ht="12.5" hidden="1">
      <c r="B2573" s="69"/>
    </row>
    <row r="2574" spans="2:2" ht="12.5" hidden="1">
      <c r="B2574" s="69"/>
    </row>
    <row r="2575" spans="2:2" ht="12.5" hidden="1">
      <c r="B2575" s="69"/>
    </row>
    <row r="2576" spans="2:2" ht="12.5" hidden="1">
      <c r="B2576" s="69"/>
    </row>
    <row r="2577" spans="2:2" ht="12.5" hidden="1">
      <c r="B2577" s="69"/>
    </row>
    <row r="2578" spans="2:2" ht="12.5" hidden="1">
      <c r="B2578" s="69"/>
    </row>
    <row r="2579" spans="2:2" ht="12.5" hidden="1">
      <c r="B2579" s="69"/>
    </row>
    <row r="2580" spans="2:2" ht="12.5" hidden="1">
      <c r="B2580" s="69"/>
    </row>
    <row r="2581" spans="2:2" ht="12.5" hidden="1">
      <c r="B2581" s="69"/>
    </row>
    <row r="2582" spans="2:2" ht="12.5" hidden="1">
      <c r="B2582" s="69"/>
    </row>
    <row r="2583" spans="2:2" ht="12.5" hidden="1">
      <c r="B2583" s="69"/>
    </row>
    <row r="2584" spans="2:2" ht="12.5" hidden="1">
      <c r="B2584" s="69"/>
    </row>
    <row r="2585" spans="2:2" ht="12.5" hidden="1">
      <c r="B2585" s="69"/>
    </row>
    <row r="2586" spans="2:2" ht="12.5" hidden="1">
      <c r="B2586" s="69"/>
    </row>
    <row r="2587" spans="2:2" ht="12.5" hidden="1">
      <c r="B2587" s="69"/>
    </row>
    <row r="2588" spans="2:2" ht="12.5" hidden="1">
      <c r="B2588" s="69"/>
    </row>
    <row r="2589" spans="2:2" ht="12.5" hidden="1">
      <c r="B2589" s="69"/>
    </row>
    <row r="2590" spans="2:2" ht="12.5" hidden="1">
      <c r="B2590" s="69"/>
    </row>
    <row r="2591" spans="2:2" ht="12.5" hidden="1">
      <c r="B2591" s="69"/>
    </row>
    <row r="2592" spans="2:2" ht="12.5" hidden="1">
      <c r="B2592" s="69"/>
    </row>
    <row r="2593" spans="2:2" ht="12.5" hidden="1">
      <c r="B2593" s="69"/>
    </row>
    <row r="2594" spans="2:2" ht="12.5" hidden="1">
      <c r="B2594" s="69"/>
    </row>
    <row r="2595" spans="2:2" ht="12.5" hidden="1">
      <c r="B2595" s="69"/>
    </row>
    <row r="2596" spans="2:2" ht="12.5" hidden="1">
      <c r="B2596" s="69"/>
    </row>
    <row r="2597" spans="2:2" ht="12.5" hidden="1">
      <c r="B2597" s="69"/>
    </row>
    <row r="2598" spans="2:2" ht="12.5" hidden="1">
      <c r="B2598" s="69"/>
    </row>
    <row r="2599" spans="2:2" ht="12.5" hidden="1">
      <c r="B2599" s="69"/>
    </row>
    <row r="2600" spans="2:2" ht="12.5" hidden="1">
      <c r="B2600" s="69"/>
    </row>
    <row r="2601" spans="2:2" ht="12.5" hidden="1">
      <c r="B2601" s="69"/>
    </row>
    <row r="2602" spans="2:2" ht="12.5" hidden="1">
      <c r="B2602" s="69"/>
    </row>
    <row r="2603" spans="2:2" ht="12.5" hidden="1">
      <c r="B2603" s="69"/>
    </row>
    <row r="2604" spans="2:2" ht="12.5" hidden="1">
      <c r="B2604" s="69"/>
    </row>
    <row r="2605" spans="2:2" ht="12.5" hidden="1">
      <c r="B2605" s="69"/>
    </row>
    <row r="2606" spans="2:2" ht="12.5" hidden="1">
      <c r="B2606" s="69"/>
    </row>
    <row r="2607" spans="2:2" ht="12.5" hidden="1">
      <c r="B2607" s="69"/>
    </row>
    <row r="2608" spans="2:2" ht="12.5" hidden="1">
      <c r="B2608" s="69"/>
    </row>
    <row r="2609" spans="2:2" ht="12.5" hidden="1">
      <c r="B2609" s="69"/>
    </row>
    <row r="2610" spans="2:2" ht="12.5" hidden="1">
      <c r="B2610" s="69"/>
    </row>
    <row r="2611" spans="2:2" ht="12.5" hidden="1">
      <c r="B2611" s="69"/>
    </row>
    <row r="2612" spans="2:2" ht="12.5" hidden="1">
      <c r="B2612" s="69"/>
    </row>
    <row r="2613" spans="2:2" ht="12.5" hidden="1">
      <c r="B2613" s="69"/>
    </row>
    <row r="2614" spans="2:2" ht="12.5" hidden="1">
      <c r="B2614" s="69"/>
    </row>
    <row r="2615" spans="2:2" ht="12.5" hidden="1">
      <c r="B2615" s="69"/>
    </row>
    <row r="2616" spans="2:2" ht="12.5" hidden="1">
      <c r="B2616" s="69"/>
    </row>
    <row r="2617" spans="2:2" ht="12.5" hidden="1">
      <c r="B2617" s="69"/>
    </row>
    <row r="2618" spans="2:2" ht="12.5" hidden="1">
      <c r="B2618" s="69"/>
    </row>
    <row r="2619" spans="2:2" ht="12.5" hidden="1">
      <c r="B2619" s="69"/>
    </row>
    <row r="2620" spans="2:2" ht="12.5" hidden="1">
      <c r="B2620" s="69"/>
    </row>
    <row r="2621" spans="2:2" ht="12.5" hidden="1">
      <c r="B2621" s="69"/>
    </row>
    <row r="2622" spans="2:2" ht="12.5" hidden="1">
      <c r="B2622" s="69"/>
    </row>
    <row r="2623" spans="2:2" ht="12.5" hidden="1">
      <c r="B2623" s="69"/>
    </row>
    <row r="2624" spans="2:2" ht="12.5" hidden="1">
      <c r="B2624" s="69"/>
    </row>
    <row r="2625" spans="2:2" ht="12.5" hidden="1">
      <c r="B2625" s="69"/>
    </row>
    <row r="2626" spans="2:2" ht="12.5" hidden="1">
      <c r="B2626" s="69"/>
    </row>
    <row r="2627" spans="2:2" ht="12.5" hidden="1">
      <c r="B2627" s="69"/>
    </row>
    <row r="2628" spans="2:2" ht="12.5" hidden="1">
      <c r="B2628" s="69"/>
    </row>
    <row r="2629" spans="2:2" ht="12.5" hidden="1">
      <c r="B2629" s="69"/>
    </row>
    <row r="2630" spans="2:2" ht="12.5" hidden="1">
      <c r="B2630" s="69"/>
    </row>
    <row r="2631" spans="2:2" ht="12.5" hidden="1">
      <c r="B2631" s="69"/>
    </row>
    <row r="2632" spans="2:2" ht="12.5" hidden="1">
      <c r="B2632" s="69"/>
    </row>
    <row r="2633" spans="2:2" ht="12.5" hidden="1">
      <c r="B2633" s="69"/>
    </row>
    <row r="2634" spans="2:2" ht="12.5" hidden="1">
      <c r="B2634" s="69"/>
    </row>
    <row r="2635" spans="2:2" ht="12.5" hidden="1">
      <c r="B2635" s="69"/>
    </row>
    <row r="2636" spans="2:2" ht="12.5" hidden="1">
      <c r="B2636" s="69"/>
    </row>
    <row r="2637" spans="2:2" ht="12.5" hidden="1">
      <c r="B2637" s="69"/>
    </row>
    <row r="2638" spans="2:2" ht="12.5" hidden="1">
      <c r="B2638" s="69"/>
    </row>
    <row r="2639" spans="2:2" ht="12.5" hidden="1">
      <c r="B2639" s="69"/>
    </row>
    <row r="2640" spans="2:2" ht="12.5" hidden="1">
      <c r="B2640" s="69"/>
    </row>
    <row r="2641" spans="2:2" ht="12.5" hidden="1">
      <c r="B2641" s="69"/>
    </row>
    <row r="2642" spans="2:2" ht="12.5" hidden="1">
      <c r="B2642" s="69"/>
    </row>
    <row r="2643" spans="2:2" ht="12.5" hidden="1">
      <c r="B2643" s="69"/>
    </row>
    <row r="2644" spans="2:2" ht="12.5" hidden="1">
      <c r="B2644" s="69"/>
    </row>
    <row r="2645" spans="2:2" ht="12.5" hidden="1">
      <c r="B2645" s="69"/>
    </row>
    <row r="2646" spans="2:2" ht="12.5" hidden="1">
      <c r="B2646" s="69"/>
    </row>
    <row r="2647" spans="2:2" ht="12.5" hidden="1">
      <c r="B2647" s="69"/>
    </row>
    <row r="2648" spans="2:2" ht="12.5" hidden="1">
      <c r="B2648" s="69"/>
    </row>
    <row r="2649" spans="2:2" ht="12.5" hidden="1">
      <c r="B2649" s="69"/>
    </row>
    <row r="2650" spans="2:2" ht="12.5" hidden="1">
      <c r="B2650" s="69"/>
    </row>
    <row r="2651" spans="2:2" ht="12.5" hidden="1">
      <c r="B2651" s="69"/>
    </row>
    <row r="2652" spans="2:2" ht="12.5" hidden="1">
      <c r="B2652" s="69"/>
    </row>
    <row r="2653" spans="2:2" ht="12.5" hidden="1">
      <c r="B2653" s="69"/>
    </row>
    <row r="2654" spans="2:2" ht="12.5" hidden="1">
      <c r="B2654" s="69"/>
    </row>
    <row r="2655" spans="2:2" ht="12.5" hidden="1">
      <c r="B2655" s="69"/>
    </row>
    <row r="2656" spans="2:2" ht="12.5" hidden="1">
      <c r="B2656" s="69"/>
    </row>
    <row r="2657" spans="2:2" ht="12.5" hidden="1">
      <c r="B2657" s="69"/>
    </row>
    <row r="2658" spans="2:2" ht="12.5" hidden="1">
      <c r="B2658" s="69"/>
    </row>
    <row r="2659" spans="2:2" ht="12.5" hidden="1">
      <c r="B2659" s="69"/>
    </row>
    <row r="2660" spans="2:2" ht="12.5" hidden="1">
      <c r="B2660" s="69"/>
    </row>
    <row r="2661" spans="2:2" ht="12.5" hidden="1">
      <c r="B2661" s="69"/>
    </row>
    <row r="2662" spans="2:2" ht="12.5" hidden="1">
      <c r="B2662" s="69"/>
    </row>
    <row r="2663" spans="2:2" ht="12.5" hidden="1">
      <c r="B2663" s="69"/>
    </row>
    <row r="2664" spans="2:2" ht="12.5" hidden="1">
      <c r="B2664" s="69"/>
    </row>
    <row r="2665" spans="2:2" ht="12.5" hidden="1">
      <c r="B2665" s="69"/>
    </row>
    <row r="2666" spans="2:2" ht="12.5" hidden="1">
      <c r="B2666" s="69"/>
    </row>
    <row r="2667" spans="2:2" ht="12.5" hidden="1">
      <c r="B2667" s="69"/>
    </row>
    <row r="2668" spans="2:2" ht="12.5" hidden="1">
      <c r="B2668" s="69"/>
    </row>
    <row r="2669" spans="2:2" ht="12.5" hidden="1">
      <c r="B2669" s="69"/>
    </row>
    <row r="2670" spans="2:2" ht="12.5" hidden="1">
      <c r="B2670" s="69"/>
    </row>
    <row r="2671" spans="2:2" ht="12.5" hidden="1">
      <c r="B2671" s="69"/>
    </row>
    <row r="2672" spans="2:2" ht="12.5" hidden="1">
      <c r="B2672" s="69"/>
    </row>
    <row r="2673" spans="2:2" ht="12.5" hidden="1">
      <c r="B2673" s="69"/>
    </row>
    <row r="2674" spans="2:2" ht="12.5" hidden="1">
      <c r="B2674" s="69"/>
    </row>
    <row r="2675" spans="2:2" ht="12.5" hidden="1">
      <c r="B2675" s="69"/>
    </row>
    <row r="2676" spans="2:2" ht="12.5" hidden="1">
      <c r="B2676" s="69"/>
    </row>
    <row r="2677" spans="2:2" ht="12.5" hidden="1">
      <c r="B2677" s="69"/>
    </row>
    <row r="2678" spans="2:2" ht="12.5" hidden="1">
      <c r="B2678" s="69"/>
    </row>
    <row r="2679" spans="2:2" ht="12.5" hidden="1">
      <c r="B2679" s="69"/>
    </row>
    <row r="2680" spans="2:2" ht="12.5" hidden="1">
      <c r="B2680" s="69"/>
    </row>
    <row r="2681" spans="2:2" ht="12.5" hidden="1">
      <c r="B2681" s="69"/>
    </row>
    <row r="2682" spans="2:2" ht="12.5" hidden="1">
      <c r="B2682" s="69"/>
    </row>
    <row r="2683" spans="2:2" ht="12.5" hidden="1">
      <c r="B2683" s="69"/>
    </row>
    <row r="2684" spans="2:2" ht="12.5" hidden="1">
      <c r="B2684" s="69"/>
    </row>
    <row r="2685" spans="2:2" ht="12.5" hidden="1">
      <c r="B2685" s="69"/>
    </row>
    <row r="2686" spans="2:2" ht="12.5" hidden="1">
      <c r="B2686" s="69"/>
    </row>
    <row r="2687" spans="2:2" ht="12.5" hidden="1">
      <c r="B2687" s="69"/>
    </row>
    <row r="2688" spans="2:2" ht="12.5" hidden="1">
      <c r="B2688" s="69"/>
    </row>
    <row r="2689" spans="2:2" ht="12.5" hidden="1">
      <c r="B2689" s="69"/>
    </row>
    <row r="2690" spans="2:2" ht="12.5" hidden="1">
      <c r="B2690" s="69"/>
    </row>
    <row r="2691" spans="2:2" ht="12.5" hidden="1">
      <c r="B2691" s="69"/>
    </row>
    <row r="2692" spans="2:2" ht="12.5" hidden="1">
      <c r="B2692" s="69"/>
    </row>
    <row r="2693" spans="2:2" ht="12.5" hidden="1">
      <c r="B2693" s="69"/>
    </row>
    <row r="2694" spans="2:2" ht="12.5" hidden="1">
      <c r="B2694" s="69"/>
    </row>
    <row r="2695" spans="2:2" ht="12.5" hidden="1">
      <c r="B2695" s="69"/>
    </row>
    <row r="2696" spans="2:2" ht="12.5" hidden="1">
      <c r="B2696" s="69"/>
    </row>
    <row r="2697" spans="2:2" ht="12.5" hidden="1">
      <c r="B2697" s="69"/>
    </row>
    <row r="2698" spans="2:2" ht="12.5" hidden="1">
      <c r="B2698" s="69"/>
    </row>
    <row r="2699" spans="2:2" ht="12.5" hidden="1">
      <c r="B2699" s="69"/>
    </row>
    <row r="2700" spans="2:2" ht="12.5" hidden="1">
      <c r="B2700" s="69"/>
    </row>
    <row r="2701" spans="2:2" ht="12.5" hidden="1">
      <c r="B2701" s="69"/>
    </row>
    <row r="2702" spans="2:2" ht="12.5" hidden="1">
      <c r="B2702" s="69"/>
    </row>
    <row r="2703" spans="2:2" ht="12.5" hidden="1">
      <c r="B2703" s="69"/>
    </row>
    <row r="2704" spans="2:2" ht="12.5" hidden="1">
      <c r="B2704" s="69"/>
    </row>
    <row r="2705" spans="2:2" ht="12.5" hidden="1">
      <c r="B2705" s="69"/>
    </row>
    <row r="2706" spans="2:2" ht="12.5" hidden="1">
      <c r="B2706" s="69"/>
    </row>
    <row r="2707" spans="2:2" ht="12.5" hidden="1">
      <c r="B2707" s="69"/>
    </row>
    <row r="2708" spans="2:2" ht="12.5" hidden="1">
      <c r="B2708" s="69"/>
    </row>
    <row r="2709" spans="2:2" ht="12.5" hidden="1">
      <c r="B2709" s="69"/>
    </row>
    <row r="2710" spans="2:2" ht="12.5" hidden="1">
      <c r="B2710" s="69"/>
    </row>
    <row r="2711" spans="2:2" ht="12.5" hidden="1">
      <c r="B2711" s="69"/>
    </row>
    <row r="2712" spans="2:2" ht="12.5" hidden="1">
      <c r="B2712" s="69"/>
    </row>
    <row r="2713" spans="2:2" ht="12.5" hidden="1">
      <c r="B2713" s="69"/>
    </row>
    <row r="2714" spans="2:2" ht="12.5" hidden="1">
      <c r="B2714" s="69"/>
    </row>
    <row r="2715" spans="2:2" ht="12.5" hidden="1">
      <c r="B2715" s="69"/>
    </row>
    <row r="2716" spans="2:2" ht="12.5" hidden="1">
      <c r="B2716" s="69"/>
    </row>
    <row r="2717" spans="2:2" ht="12.5" hidden="1">
      <c r="B2717" s="69"/>
    </row>
    <row r="2718" spans="2:2" ht="12.5" hidden="1">
      <c r="B2718" s="69"/>
    </row>
    <row r="2719" spans="2:2" ht="12.5" hidden="1">
      <c r="B2719" s="69"/>
    </row>
    <row r="2720" spans="2:2" ht="12.5" hidden="1">
      <c r="B2720" s="69"/>
    </row>
    <row r="2721" spans="2:2" ht="12.5" hidden="1">
      <c r="B2721" s="69"/>
    </row>
    <row r="2722" spans="2:2" ht="12.5" hidden="1">
      <c r="B2722" s="69"/>
    </row>
    <row r="2723" spans="2:2" ht="12.5" hidden="1">
      <c r="B2723" s="69"/>
    </row>
    <row r="2724" spans="2:2" ht="12.5" hidden="1">
      <c r="B2724" s="69"/>
    </row>
    <row r="2725" spans="2:2" ht="12.5" hidden="1">
      <c r="B2725" s="69"/>
    </row>
    <row r="2726" spans="2:2" ht="12.5" hidden="1">
      <c r="B2726" s="69"/>
    </row>
    <row r="2727" spans="2:2" ht="12.5" hidden="1">
      <c r="B2727" s="69"/>
    </row>
    <row r="2728" spans="2:2" ht="12.5" hidden="1">
      <c r="B2728" s="69"/>
    </row>
    <row r="2729" spans="2:2" ht="12.5" hidden="1">
      <c r="B2729" s="69"/>
    </row>
    <row r="2730" spans="2:2" ht="12.5" hidden="1">
      <c r="B2730" s="69"/>
    </row>
    <row r="2731" spans="2:2" ht="12.5" hidden="1">
      <c r="B2731" s="69"/>
    </row>
    <row r="2732" spans="2:2" ht="12.5" hidden="1">
      <c r="B2732" s="69"/>
    </row>
    <row r="2733" spans="2:2" ht="12.5" hidden="1">
      <c r="B2733" s="69"/>
    </row>
    <row r="2734" spans="2:2" ht="12.5" hidden="1">
      <c r="B2734" s="69"/>
    </row>
    <row r="2735" spans="2:2" ht="12.5" hidden="1">
      <c r="B2735" s="69"/>
    </row>
    <row r="2736" spans="2:2" ht="12.5" hidden="1">
      <c r="B2736" s="69"/>
    </row>
    <row r="2737" spans="2:2" ht="12.5" hidden="1">
      <c r="B2737" s="69"/>
    </row>
    <row r="2738" spans="2:2" ht="12.5" hidden="1">
      <c r="B2738" s="69"/>
    </row>
    <row r="2739" spans="2:2" ht="12.5" hidden="1">
      <c r="B2739" s="69"/>
    </row>
    <row r="2740" spans="2:2" ht="12.5" hidden="1">
      <c r="B2740" s="69"/>
    </row>
    <row r="2741" spans="2:2" ht="12.5" hidden="1">
      <c r="B2741" s="69"/>
    </row>
    <row r="2742" spans="2:2" ht="12.5" hidden="1">
      <c r="B2742" s="69"/>
    </row>
    <row r="2743" spans="2:2" ht="12.5" hidden="1">
      <c r="B2743" s="69"/>
    </row>
    <row r="2744" spans="2:2" ht="12.5" hidden="1">
      <c r="B2744" s="69"/>
    </row>
    <row r="2745" spans="2:2" ht="12.5" hidden="1">
      <c r="B2745" s="69"/>
    </row>
    <row r="2746" spans="2:2" ht="12.5" hidden="1">
      <c r="B2746" s="69"/>
    </row>
    <row r="2747" spans="2:2" ht="12.5" hidden="1">
      <c r="B2747" s="69"/>
    </row>
    <row r="2748" spans="2:2" ht="12.5" hidden="1">
      <c r="B2748" s="69"/>
    </row>
    <row r="2749" spans="2:2" ht="12.5" hidden="1">
      <c r="B2749" s="69"/>
    </row>
    <row r="2750" spans="2:2" ht="12.5" hidden="1">
      <c r="B2750" s="69"/>
    </row>
    <row r="2751" spans="2:2" ht="12.5" hidden="1">
      <c r="B2751" s="69"/>
    </row>
    <row r="2752" spans="2:2" ht="12.5" hidden="1">
      <c r="B2752" s="69"/>
    </row>
    <row r="2753" spans="2:2" ht="12.5" hidden="1">
      <c r="B2753" s="69"/>
    </row>
    <row r="2754" spans="2:2" ht="12.5" hidden="1">
      <c r="B2754" s="69"/>
    </row>
    <row r="2755" spans="2:2" ht="12.5" hidden="1">
      <c r="B2755" s="69"/>
    </row>
    <row r="2756" spans="2:2" ht="12.5" hidden="1">
      <c r="B2756" s="69"/>
    </row>
    <row r="2757" spans="2:2" ht="12.5" hidden="1">
      <c r="B2757" s="69"/>
    </row>
    <row r="2758" spans="2:2" ht="12.5" hidden="1">
      <c r="B2758" s="69"/>
    </row>
    <row r="2759" spans="2:2" ht="12.5" hidden="1">
      <c r="B2759" s="69"/>
    </row>
    <row r="2760" spans="2:2" ht="12.5" hidden="1">
      <c r="B2760" s="69"/>
    </row>
    <row r="2761" spans="2:2" ht="12.5" hidden="1">
      <c r="B2761" s="69"/>
    </row>
    <row r="2762" spans="2:2" ht="12.5" hidden="1">
      <c r="B2762" s="69"/>
    </row>
    <row r="2763" spans="2:2" ht="12.5" hidden="1">
      <c r="B2763" s="69"/>
    </row>
    <row r="2764" spans="2:2" ht="12.5" hidden="1">
      <c r="B2764" s="69"/>
    </row>
    <row r="2765" spans="2:2" ht="12.5" hidden="1">
      <c r="B2765" s="69"/>
    </row>
    <row r="2766" spans="2:2" ht="12.5" hidden="1">
      <c r="B2766" s="69"/>
    </row>
    <row r="2767" spans="2:2" ht="12.5" hidden="1">
      <c r="B2767" s="69"/>
    </row>
    <row r="2768" spans="2:2" ht="12.5" hidden="1">
      <c r="B2768" s="69"/>
    </row>
    <row r="2769" spans="2:2" ht="12.5" hidden="1">
      <c r="B2769" s="69"/>
    </row>
    <row r="2770" spans="2:2" ht="12.5" hidden="1">
      <c r="B2770" s="69"/>
    </row>
    <row r="2771" spans="2:2" ht="12.5" hidden="1">
      <c r="B2771" s="69"/>
    </row>
    <row r="2772" spans="2:2" ht="12.5" hidden="1">
      <c r="B2772" s="69"/>
    </row>
    <row r="2773" spans="2:2" ht="12.5" hidden="1">
      <c r="B2773" s="69"/>
    </row>
    <row r="2774" spans="2:2" ht="12.5" hidden="1">
      <c r="B2774" s="69"/>
    </row>
    <row r="2775" spans="2:2" ht="12.5" hidden="1">
      <c r="B2775" s="69"/>
    </row>
    <row r="2776" spans="2:2" ht="12.5" hidden="1">
      <c r="B2776" s="69"/>
    </row>
    <row r="2777" spans="2:2" ht="12.5" hidden="1">
      <c r="B2777" s="69"/>
    </row>
    <row r="2778" spans="2:2" ht="12.5" hidden="1">
      <c r="B2778" s="69"/>
    </row>
    <row r="2779" spans="2:2" ht="12.5" hidden="1">
      <c r="B2779" s="69"/>
    </row>
    <row r="2780" spans="2:2" ht="12.5" hidden="1">
      <c r="B2780" s="69"/>
    </row>
    <row r="2781" spans="2:2" ht="12.5" hidden="1">
      <c r="B2781" s="69"/>
    </row>
    <row r="2782" spans="2:2" ht="12.5" hidden="1">
      <c r="B2782" s="69"/>
    </row>
    <row r="2783" spans="2:2" ht="12.5" hidden="1">
      <c r="B2783" s="69"/>
    </row>
    <row r="2784" spans="2:2" ht="12.5" hidden="1">
      <c r="B2784" s="69"/>
    </row>
    <row r="2785" spans="2:2" ht="12.5" hidden="1">
      <c r="B2785" s="69"/>
    </row>
    <row r="2786" spans="2:2" ht="12.5" hidden="1">
      <c r="B2786" s="69"/>
    </row>
    <row r="2787" spans="2:2" ht="12.5" hidden="1">
      <c r="B2787" s="69"/>
    </row>
    <row r="2788" spans="2:2" ht="12.5" hidden="1">
      <c r="B2788" s="69"/>
    </row>
    <row r="2789" spans="2:2" ht="12.5" hidden="1">
      <c r="B2789" s="69"/>
    </row>
    <row r="2790" spans="2:2" ht="12.5" hidden="1">
      <c r="B2790" s="69"/>
    </row>
    <row r="2791" spans="2:2" ht="12.5" hidden="1">
      <c r="B2791" s="69"/>
    </row>
    <row r="2792" spans="2:2" ht="12.5" hidden="1">
      <c r="B2792" s="69"/>
    </row>
    <row r="2793" spans="2:2" ht="12.5" hidden="1">
      <c r="B2793" s="69"/>
    </row>
    <row r="2794" spans="2:2" ht="12.5" hidden="1">
      <c r="B2794" s="69"/>
    </row>
    <row r="2795" spans="2:2" ht="12.5" hidden="1">
      <c r="B2795" s="69"/>
    </row>
    <row r="2796" spans="2:2" ht="12.5" hidden="1">
      <c r="B2796" s="69"/>
    </row>
    <row r="2797" spans="2:2" ht="12.5" hidden="1">
      <c r="B2797" s="69"/>
    </row>
    <row r="2798" spans="2:2" ht="12.5" hidden="1">
      <c r="B2798" s="69"/>
    </row>
    <row r="2799" spans="2:2" ht="12.5" hidden="1">
      <c r="B2799" s="69"/>
    </row>
    <row r="2800" spans="2:2" ht="12.5" hidden="1">
      <c r="B2800" s="69"/>
    </row>
    <row r="2801" spans="2:2" ht="12.5" hidden="1">
      <c r="B2801" s="69"/>
    </row>
    <row r="2802" spans="2:2" ht="12.5" hidden="1">
      <c r="B2802" s="69"/>
    </row>
    <row r="2803" spans="2:2" ht="12.5" hidden="1">
      <c r="B2803" s="69"/>
    </row>
    <row r="2804" spans="2:2" ht="12.5" hidden="1">
      <c r="B2804" s="69"/>
    </row>
    <row r="2805" spans="2:2" ht="12.5" hidden="1">
      <c r="B2805" s="69"/>
    </row>
    <row r="2806" spans="2:2" ht="12.5" hidden="1">
      <c r="B2806" s="69"/>
    </row>
    <row r="2807" spans="2:2" ht="12.5" hidden="1">
      <c r="B2807" s="69"/>
    </row>
    <row r="2808" spans="2:2" ht="12.5" hidden="1">
      <c r="B2808" s="69"/>
    </row>
    <row r="2809" spans="2:2" ht="12.5" hidden="1">
      <c r="B2809" s="69"/>
    </row>
    <row r="2810" spans="2:2" ht="12.5" hidden="1">
      <c r="B2810" s="69"/>
    </row>
    <row r="2811" spans="2:2" ht="12.5" hidden="1">
      <c r="B2811" s="69"/>
    </row>
    <row r="2812" spans="2:2" ht="12.5" hidden="1">
      <c r="B2812" s="69"/>
    </row>
    <row r="2813" spans="2:2" ht="12.5" hidden="1">
      <c r="B2813" s="69"/>
    </row>
    <row r="2814" spans="2:2" ht="12.5" hidden="1">
      <c r="B2814" s="69"/>
    </row>
    <row r="2815" spans="2:2" ht="12.5" hidden="1">
      <c r="B2815" s="69"/>
    </row>
    <row r="2816" spans="2:2" ht="12.5" hidden="1">
      <c r="B2816" s="69"/>
    </row>
    <row r="2817" spans="2:2" ht="12.5" hidden="1">
      <c r="B2817" s="69"/>
    </row>
    <row r="2818" spans="2:2" ht="12.5" hidden="1">
      <c r="B2818" s="69"/>
    </row>
    <row r="2819" spans="2:2" ht="12.5" hidden="1">
      <c r="B2819" s="69"/>
    </row>
    <row r="2820" spans="2:2" ht="12.5" hidden="1">
      <c r="B2820" s="69"/>
    </row>
    <row r="2821" spans="2:2" ht="12.5" hidden="1">
      <c r="B2821" s="69"/>
    </row>
    <row r="2822" spans="2:2" ht="12.5" hidden="1">
      <c r="B2822" s="69"/>
    </row>
    <row r="2823" spans="2:2" ht="12.5" hidden="1">
      <c r="B2823" s="69"/>
    </row>
    <row r="2824" spans="2:2" ht="12.5" hidden="1">
      <c r="B2824" s="69"/>
    </row>
    <row r="2825" spans="2:2" ht="12.5" hidden="1">
      <c r="B2825" s="69"/>
    </row>
    <row r="2826" spans="2:2" ht="12.5" hidden="1">
      <c r="B2826" s="69"/>
    </row>
    <row r="2827" spans="2:2" ht="12.5" hidden="1">
      <c r="B2827" s="69"/>
    </row>
    <row r="2828" spans="2:2" ht="12.5" hidden="1">
      <c r="B2828" s="69"/>
    </row>
    <row r="2829" spans="2:2" ht="12.5" hidden="1">
      <c r="B2829" s="69"/>
    </row>
    <row r="2830" spans="2:2" ht="12.5" hidden="1">
      <c r="B2830" s="69"/>
    </row>
    <row r="2831" spans="2:2" ht="12.5" hidden="1">
      <c r="B2831" s="69"/>
    </row>
    <row r="2832" spans="2:2" ht="12.5" hidden="1">
      <c r="B2832" s="69"/>
    </row>
    <row r="2833" spans="2:2" ht="12.5" hidden="1">
      <c r="B2833" s="69"/>
    </row>
    <row r="2834" spans="2:2" ht="12.5" hidden="1">
      <c r="B2834" s="69"/>
    </row>
    <row r="2835" spans="2:2" ht="12.5" hidden="1">
      <c r="B2835" s="69"/>
    </row>
    <row r="2836" spans="2:2" ht="12.5" hidden="1">
      <c r="B2836" s="69"/>
    </row>
    <row r="2837" spans="2:2" ht="12.5" hidden="1">
      <c r="B2837" s="69"/>
    </row>
    <row r="2838" spans="2:2" ht="12.5" hidden="1">
      <c r="B2838" s="69"/>
    </row>
    <row r="2839" spans="2:2" ht="12.5" hidden="1">
      <c r="B2839" s="69"/>
    </row>
    <row r="2840" spans="2:2" ht="12.5" hidden="1">
      <c r="B2840" s="69"/>
    </row>
    <row r="2841" spans="2:2" ht="12.5" hidden="1">
      <c r="B2841" s="69"/>
    </row>
    <row r="2842" spans="2:2" ht="12.5" hidden="1">
      <c r="B2842" s="69"/>
    </row>
    <row r="2843" spans="2:2" ht="12.5" hidden="1">
      <c r="B2843" s="69"/>
    </row>
    <row r="2844" spans="2:2" ht="12.5" hidden="1">
      <c r="B2844" s="69"/>
    </row>
    <row r="2845" spans="2:2" ht="12.5" hidden="1">
      <c r="B2845" s="69"/>
    </row>
    <row r="2846" spans="2:2" ht="12.5" hidden="1">
      <c r="B2846" s="69"/>
    </row>
    <row r="2847" spans="2:2" ht="12.5" hidden="1">
      <c r="B2847" s="69"/>
    </row>
    <row r="2848" spans="2:2" ht="12.5" hidden="1">
      <c r="B2848" s="69"/>
    </row>
    <row r="2849" spans="2:2" ht="12.5" hidden="1">
      <c r="B2849" s="69"/>
    </row>
    <row r="2850" spans="2:2" ht="12.5" hidden="1">
      <c r="B2850" s="69"/>
    </row>
    <row r="2851" spans="2:2" ht="12.5" hidden="1">
      <c r="B2851" s="69"/>
    </row>
    <row r="2852" spans="2:2" ht="12.5" hidden="1">
      <c r="B2852" s="69"/>
    </row>
    <row r="2853" spans="2:2" ht="12.5" hidden="1">
      <c r="B2853" s="69"/>
    </row>
    <row r="2854" spans="2:2" ht="12.5" hidden="1">
      <c r="B2854" s="69"/>
    </row>
    <row r="2855" spans="2:2" ht="12.5" hidden="1">
      <c r="B2855" s="69"/>
    </row>
    <row r="2856" spans="2:2" ht="12.5" hidden="1">
      <c r="B2856" s="69"/>
    </row>
    <row r="2857" spans="2:2" ht="12.5" hidden="1">
      <c r="B2857" s="69"/>
    </row>
    <row r="2858" spans="2:2" ht="12.5" hidden="1">
      <c r="B2858" s="69"/>
    </row>
    <row r="2859" spans="2:2" ht="12.5" hidden="1">
      <c r="B2859" s="69"/>
    </row>
    <row r="2860" spans="2:2" ht="12.5" hidden="1">
      <c r="B2860" s="69"/>
    </row>
    <row r="2861" spans="2:2" ht="12.5" hidden="1">
      <c r="B2861" s="69"/>
    </row>
    <row r="2862" spans="2:2" ht="12.5" hidden="1">
      <c r="B2862" s="69"/>
    </row>
    <row r="2863" spans="2:2" ht="12.5" hidden="1">
      <c r="B2863" s="69"/>
    </row>
    <row r="2864" spans="2:2" ht="12.5" hidden="1">
      <c r="B2864" s="69"/>
    </row>
    <row r="2865" spans="2:2" ht="12.5" hidden="1">
      <c r="B2865" s="69"/>
    </row>
    <row r="2866" spans="2:2" ht="12.5" hidden="1">
      <c r="B2866" s="69"/>
    </row>
    <row r="2867" spans="2:2" ht="12.5" hidden="1">
      <c r="B2867" s="69"/>
    </row>
    <row r="2868" spans="2:2" ht="12.5" hidden="1">
      <c r="B2868" s="69"/>
    </row>
    <row r="2869" spans="2:2" ht="12.5" hidden="1">
      <c r="B2869" s="69"/>
    </row>
    <row r="2870" spans="2:2" ht="12.5" hidden="1">
      <c r="B2870" s="69"/>
    </row>
    <row r="2871" spans="2:2" ht="12.5" hidden="1">
      <c r="B2871" s="69"/>
    </row>
    <row r="2872" spans="2:2" ht="12.5" hidden="1">
      <c r="B2872" s="69"/>
    </row>
    <row r="2873" spans="2:2" ht="12.5" hidden="1">
      <c r="B2873" s="69"/>
    </row>
    <row r="2874" spans="2:2" ht="12.5" hidden="1">
      <c r="B2874" s="69"/>
    </row>
    <row r="2875" spans="2:2" ht="12.5" hidden="1">
      <c r="B2875" s="69"/>
    </row>
    <row r="2876" spans="2:2" ht="12.5" hidden="1">
      <c r="B2876" s="69"/>
    </row>
    <row r="2877" spans="2:2" ht="12.5" hidden="1">
      <c r="B2877" s="69"/>
    </row>
    <row r="2878" spans="2:2" ht="12.5" hidden="1">
      <c r="B2878" s="69"/>
    </row>
    <row r="2879" spans="2:2" ht="12.5" hidden="1">
      <c r="B2879" s="69"/>
    </row>
    <row r="2880" spans="2:2" ht="12.5" hidden="1">
      <c r="B2880" s="69"/>
    </row>
    <row r="2881" spans="2:2" ht="12.5" hidden="1">
      <c r="B2881" s="69"/>
    </row>
    <row r="2882" spans="2:2" ht="12.5" hidden="1">
      <c r="B2882" s="69"/>
    </row>
    <row r="2883" spans="2:2" ht="12.5" hidden="1">
      <c r="B2883" s="69"/>
    </row>
    <row r="2884" spans="2:2" ht="12.5" hidden="1">
      <c r="B2884" s="69"/>
    </row>
    <row r="2885" spans="2:2" ht="12.5" hidden="1">
      <c r="B2885" s="69"/>
    </row>
    <row r="2886" spans="2:2" ht="12.5" hidden="1">
      <c r="B2886" s="69"/>
    </row>
    <row r="2887" spans="2:2" ht="12.5" hidden="1">
      <c r="B2887" s="69"/>
    </row>
    <row r="2888" spans="2:2" ht="12.5" hidden="1">
      <c r="B2888" s="69"/>
    </row>
    <row r="2889" spans="2:2" ht="12.5" hidden="1">
      <c r="B2889" s="69"/>
    </row>
    <row r="2890" spans="2:2" ht="12.5" hidden="1">
      <c r="B2890" s="69"/>
    </row>
    <row r="2891" spans="2:2" ht="12.5" hidden="1">
      <c r="B2891" s="69"/>
    </row>
    <row r="2892" spans="2:2" ht="12.5" hidden="1">
      <c r="B2892" s="69"/>
    </row>
    <row r="2893" spans="2:2" ht="12.5" hidden="1">
      <c r="B2893" s="69"/>
    </row>
    <row r="2894" spans="2:2" ht="12.5" hidden="1">
      <c r="B2894" s="69"/>
    </row>
    <row r="2895" spans="2:2" ht="12.5" hidden="1">
      <c r="B2895" s="69"/>
    </row>
    <row r="2896" spans="2:2" ht="12.5" hidden="1">
      <c r="B2896" s="69"/>
    </row>
    <row r="2897" spans="2:2" ht="12.5" hidden="1">
      <c r="B2897" s="69"/>
    </row>
    <row r="2898" spans="2:2" ht="12.5" hidden="1">
      <c r="B2898" s="69"/>
    </row>
    <row r="2899" spans="2:2" ht="12.5" hidden="1">
      <c r="B2899" s="69"/>
    </row>
    <row r="2900" spans="2:2" ht="12.5" hidden="1">
      <c r="B2900" s="69"/>
    </row>
    <row r="2901" spans="2:2" ht="12.5" hidden="1">
      <c r="B2901" s="69"/>
    </row>
    <row r="2902" spans="2:2" ht="12.5" hidden="1">
      <c r="B2902" s="69"/>
    </row>
    <row r="2903" spans="2:2" ht="12.5" hidden="1">
      <c r="B2903" s="69"/>
    </row>
    <row r="2904" spans="2:2" ht="12.5" hidden="1">
      <c r="B2904" s="69"/>
    </row>
    <row r="2905" spans="2:2" ht="12.5" hidden="1">
      <c r="B2905" s="69"/>
    </row>
    <row r="2906" spans="2:2" ht="12.5" hidden="1">
      <c r="B2906" s="69"/>
    </row>
    <row r="2907" spans="2:2" ht="12.5" hidden="1">
      <c r="B2907" s="69"/>
    </row>
    <row r="2908" spans="2:2" ht="12.5" hidden="1">
      <c r="B2908" s="69"/>
    </row>
    <row r="2909" spans="2:2" ht="12.5" hidden="1">
      <c r="B2909" s="69"/>
    </row>
    <row r="2910" spans="2:2" ht="12.5" hidden="1">
      <c r="B2910" s="69"/>
    </row>
    <row r="2911" spans="2:2" ht="12.5" hidden="1">
      <c r="B2911" s="69"/>
    </row>
    <row r="2912" spans="2:2" ht="12.5" hidden="1">
      <c r="B2912" s="69"/>
    </row>
    <row r="2913" spans="2:2" ht="12.5" hidden="1">
      <c r="B2913" s="69"/>
    </row>
    <row r="2914" spans="2:2" ht="12.5" hidden="1">
      <c r="B2914" s="69"/>
    </row>
    <row r="2915" spans="2:2" ht="12.5" hidden="1">
      <c r="B2915" s="69"/>
    </row>
    <row r="2916" spans="2:2" ht="12.5" hidden="1">
      <c r="B2916" s="69"/>
    </row>
    <row r="2917" spans="2:2" ht="12.5" hidden="1">
      <c r="B2917" s="69"/>
    </row>
    <row r="2918" spans="2:2" ht="12.5" hidden="1">
      <c r="B2918" s="69"/>
    </row>
    <row r="2919" spans="2:2" ht="12.5" hidden="1">
      <c r="B2919" s="69"/>
    </row>
    <row r="2920" spans="2:2" ht="12.5" hidden="1">
      <c r="B2920" s="69"/>
    </row>
    <row r="2921" spans="2:2" ht="12.5" hidden="1">
      <c r="B2921" s="69"/>
    </row>
    <row r="2922" spans="2:2" ht="12.5" hidden="1">
      <c r="B2922" s="69"/>
    </row>
    <row r="2923" spans="2:2" ht="12.5" hidden="1">
      <c r="B2923" s="69"/>
    </row>
    <row r="2924" spans="2:2" ht="12.5" hidden="1">
      <c r="B2924" s="69"/>
    </row>
    <row r="2925" spans="2:2" ht="12.5" hidden="1">
      <c r="B2925" s="69"/>
    </row>
    <row r="2926" spans="2:2" ht="12.5" hidden="1">
      <c r="B2926" s="69"/>
    </row>
    <row r="2927" spans="2:2" ht="12.5" hidden="1">
      <c r="B2927" s="69"/>
    </row>
    <row r="2928" spans="2:2" ht="12.5" hidden="1">
      <c r="B2928" s="69"/>
    </row>
    <row r="2929" spans="2:2" ht="12.5" hidden="1">
      <c r="B2929" s="69"/>
    </row>
    <row r="2930" spans="2:2" ht="12.5" hidden="1">
      <c r="B2930" s="69"/>
    </row>
    <row r="2931" spans="2:2" ht="12.5" hidden="1">
      <c r="B2931" s="69"/>
    </row>
    <row r="2932" spans="2:2" ht="12.5" hidden="1">
      <c r="B2932" s="69"/>
    </row>
    <row r="2933" spans="2:2" ht="12.5" hidden="1">
      <c r="B2933" s="69"/>
    </row>
    <row r="2934" spans="2:2" ht="12.5" hidden="1">
      <c r="B2934" s="69"/>
    </row>
    <row r="2935" spans="2:2" ht="12.5" hidden="1">
      <c r="B2935" s="69"/>
    </row>
    <row r="2936" spans="2:2" ht="12.5" hidden="1">
      <c r="B2936" s="69"/>
    </row>
    <row r="2937" spans="2:2" ht="12.5" hidden="1">
      <c r="B2937" s="69"/>
    </row>
    <row r="2938" spans="2:2" ht="12.5" hidden="1">
      <c r="B2938" s="69"/>
    </row>
    <row r="2939" spans="2:2" ht="12.5" hidden="1">
      <c r="B2939" s="69"/>
    </row>
    <row r="2940" spans="2:2" ht="12.5" hidden="1">
      <c r="B2940" s="69"/>
    </row>
    <row r="2941" spans="2:2" ht="12.5" hidden="1">
      <c r="B2941" s="69"/>
    </row>
    <row r="2942" spans="2:2" ht="12.5" hidden="1">
      <c r="B2942" s="69"/>
    </row>
    <row r="2943" spans="2:2" ht="12.5" hidden="1">
      <c r="B2943" s="69"/>
    </row>
    <row r="2944" spans="2:2" ht="12.5" hidden="1">
      <c r="B2944" s="69"/>
    </row>
    <row r="2945" spans="2:2" ht="12.5" hidden="1">
      <c r="B2945" s="69"/>
    </row>
    <row r="2946" spans="2:2" ht="12.5" hidden="1">
      <c r="B2946" s="69"/>
    </row>
    <row r="2947" spans="2:2" ht="12.5" hidden="1">
      <c r="B2947" s="69"/>
    </row>
    <row r="2948" spans="2:2" ht="12.5" hidden="1">
      <c r="B2948" s="69"/>
    </row>
    <row r="2949" spans="2:2" ht="12.5" hidden="1">
      <c r="B2949" s="69"/>
    </row>
    <row r="2950" spans="2:2" ht="12.5" hidden="1">
      <c r="B2950" s="69"/>
    </row>
    <row r="2951" spans="2:2" ht="12.5" hidden="1">
      <c r="B2951" s="69"/>
    </row>
    <row r="2952" spans="2:2" ht="12.5" hidden="1">
      <c r="B2952" s="69"/>
    </row>
    <row r="2953" spans="2:2" ht="12.5" hidden="1">
      <c r="B2953" s="69"/>
    </row>
    <row r="2954" spans="2:2" ht="12.5" hidden="1">
      <c r="B2954" s="69"/>
    </row>
    <row r="2955" spans="2:2" ht="12.5" hidden="1">
      <c r="B2955" s="69"/>
    </row>
    <row r="2956" spans="2:2" ht="12.5" hidden="1">
      <c r="B2956" s="69"/>
    </row>
    <row r="2957" spans="2:2" ht="12.5" hidden="1">
      <c r="B2957" s="69"/>
    </row>
    <row r="2958" spans="2:2" ht="12.5" hidden="1">
      <c r="B2958" s="69"/>
    </row>
    <row r="2959" spans="2:2" ht="12.5" hidden="1">
      <c r="B2959" s="69"/>
    </row>
    <row r="2960" spans="2:2" ht="12.5" hidden="1">
      <c r="B2960" s="69"/>
    </row>
    <row r="2961" spans="2:2" ht="12.5" hidden="1">
      <c r="B2961" s="69"/>
    </row>
    <row r="2962" spans="2:2" ht="12.5" hidden="1">
      <c r="B2962" s="69"/>
    </row>
    <row r="2963" spans="2:2" ht="12.5" hidden="1">
      <c r="B2963" s="69"/>
    </row>
    <row r="2964" spans="2:2" ht="12.5" hidden="1">
      <c r="B2964" s="69"/>
    </row>
    <row r="2965" spans="2:2" ht="12.5" hidden="1">
      <c r="B2965" s="69"/>
    </row>
    <row r="2966" spans="2:2" ht="12.5" hidden="1">
      <c r="B2966" s="69"/>
    </row>
    <row r="2967" spans="2:2" ht="12.5" hidden="1">
      <c r="B2967" s="69"/>
    </row>
    <row r="2968" spans="2:2" ht="12.5" hidden="1">
      <c r="B2968" s="69"/>
    </row>
    <row r="2969" spans="2:2" ht="12.5" hidden="1">
      <c r="B2969" s="69"/>
    </row>
    <row r="2970" spans="2:2" ht="12.5" hidden="1">
      <c r="B2970" s="69"/>
    </row>
    <row r="2971" spans="2:2" ht="12.5" hidden="1">
      <c r="B2971" s="69"/>
    </row>
    <row r="2972" spans="2:2" ht="12.5" hidden="1">
      <c r="B2972" s="69"/>
    </row>
    <row r="2973" spans="2:2" ht="12.5" hidden="1">
      <c r="B2973" s="69"/>
    </row>
    <row r="2974" spans="2:2" ht="12.5" hidden="1">
      <c r="B2974" s="69"/>
    </row>
    <row r="2975" spans="2:2" ht="12.5" hidden="1">
      <c r="B2975" s="69"/>
    </row>
    <row r="2976" spans="2:2" ht="12.5" hidden="1">
      <c r="B2976" s="69"/>
    </row>
    <row r="2977" spans="2:2" ht="12.5" hidden="1">
      <c r="B2977" s="69"/>
    </row>
    <row r="2978" spans="2:2" ht="12.5" hidden="1">
      <c r="B2978" s="69"/>
    </row>
    <row r="2979" spans="2:2" ht="12.5" hidden="1">
      <c r="B2979" s="69"/>
    </row>
    <row r="2980" spans="2:2" ht="12.5" hidden="1">
      <c r="B2980" s="69"/>
    </row>
    <row r="2981" spans="2:2" ht="12.5" hidden="1">
      <c r="B2981" s="69"/>
    </row>
    <row r="2982" spans="2:2" ht="12.5" hidden="1">
      <c r="B2982" s="69"/>
    </row>
    <row r="2983" spans="2:2" ht="12.5" hidden="1">
      <c r="B2983" s="69"/>
    </row>
    <row r="2984" spans="2:2" ht="12.5" hidden="1">
      <c r="B2984" s="69"/>
    </row>
    <row r="2985" spans="2:2" ht="12.5" hidden="1">
      <c r="B2985" s="69"/>
    </row>
    <row r="2986" spans="2:2" ht="12.5" hidden="1">
      <c r="B2986" s="69"/>
    </row>
    <row r="2987" spans="2:2" ht="12.5" hidden="1">
      <c r="B2987" s="69"/>
    </row>
    <row r="2988" spans="2:2" ht="12.5" hidden="1">
      <c r="B2988" s="69"/>
    </row>
    <row r="2989" spans="2:2" ht="12.5" hidden="1">
      <c r="B2989" s="69"/>
    </row>
    <row r="2990" spans="2:2" ht="12.5" hidden="1">
      <c r="B2990" s="69"/>
    </row>
    <row r="2991" spans="2:2" ht="12.5" hidden="1">
      <c r="B2991" s="69"/>
    </row>
    <row r="2992" spans="2:2" ht="12.5" hidden="1">
      <c r="B2992" s="69"/>
    </row>
    <row r="2993" spans="2:2" ht="12.5" hidden="1">
      <c r="B2993" s="69"/>
    </row>
    <row r="2994" spans="2:2" ht="12.5" hidden="1">
      <c r="B2994" s="69"/>
    </row>
    <row r="2995" spans="2:2" ht="12.5" hidden="1">
      <c r="B2995" s="69"/>
    </row>
    <row r="2996" spans="2:2" ht="12.5" hidden="1">
      <c r="B2996" s="69"/>
    </row>
    <row r="2997" spans="2:2" ht="12.5" hidden="1">
      <c r="B2997" s="69"/>
    </row>
    <row r="2998" spans="2:2" ht="12.5" hidden="1">
      <c r="B2998" s="69"/>
    </row>
    <row r="2999" spans="2:2" ht="12.5" hidden="1">
      <c r="B2999" s="69"/>
    </row>
    <row r="3000" spans="2:2" ht="12.5" hidden="1">
      <c r="B3000" s="69"/>
    </row>
    <row r="3001" spans="2:2" ht="12.5" hidden="1">
      <c r="B3001" s="69"/>
    </row>
    <row r="3002" spans="2:2" ht="12.5" hidden="1">
      <c r="B3002" s="69"/>
    </row>
    <row r="3003" spans="2:2" ht="12.5" hidden="1">
      <c r="B3003" s="69"/>
    </row>
    <row r="3004" spans="2:2" ht="12.5" hidden="1">
      <c r="B3004" s="69"/>
    </row>
    <row r="3005" spans="2:2" ht="12.5" hidden="1">
      <c r="B3005" s="69"/>
    </row>
    <row r="3006" spans="2:2" ht="12.5" hidden="1">
      <c r="B3006" s="69"/>
    </row>
    <row r="3007" spans="2:2" ht="12.5" hidden="1">
      <c r="B3007" s="69"/>
    </row>
    <row r="3008" spans="2:2" ht="12.5" hidden="1">
      <c r="B3008" s="69"/>
    </row>
    <row r="3009" spans="2:2" ht="12.5" hidden="1">
      <c r="B3009" s="69"/>
    </row>
    <row r="3010" spans="2:2" ht="12.5" hidden="1">
      <c r="B3010" s="69"/>
    </row>
    <row r="3011" spans="2:2" ht="12.5" hidden="1">
      <c r="B3011" s="69"/>
    </row>
    <row r="3012" spans="2:2" ht="12.5" hidden="1">
      <c r="B3012" s="69"/>
    </row>
    <row r="3013" spans="2:2" ht="12.5" hidden="1">
      <c r="B3013" s="69"/>
    </row>
    <row r="3014" spans="2:2" ht="12.5" hidden="1">
      <c r="B3014" s="69"/>
    </row>
    <row r="3015" spans="2:2" ht="12.5" hidden="1">
      <c r="B3015" s="69"/>
    </row>
    <row r="3016" spans="2:2" ht="12.5" hidden="1">
      <c r="B3016" s="69"/>
    </row>
    <row r="3017" spans="2:2" ht="12.5" hidden="1">
      <c r="B3017" s="69"/>
    </row>
    <row r="3018" spans="2:2" ht="12.5" hidden="1">
      <c r="B3018" s="69"/>
    </row>
    <row r="3019" spans="2:2" ht="12.5" hidden="1">
      <c r="B3019" s="69"/>
    </row>
    <row r="3020" spans="2:2" ht="12.5" hidden="1">
      <c r="B3020" s="69"/>
    </row>
    <row r="3021" spans="2:2" ht="12.5" hidden="1">
      <c r="B3021" s="69"/>
    </row>
    <row r="3022" spans="2:2" ht="12.5" hidden="1">
      <c r="B3022" s="69"/>
    </row>
    <row r="3023" spans="2:2" ht="12.5" hidden="1">
      <c r="B3023" s="69"/>
    </row>
    <row r="3024" spans="2:2" ht="12.5" hidden="1">
      <c r="B3024" s="69"/>
    </row>
    <row r="3025" spans="2:2" ht="12.5" hidden="1">
      <c r="B3025" s="69"/>
    </row>
    <row r="3026" spans="2:2" ht="12.5" hidden="1">
      <c r="B3026" s="69"/>
    </row>
    <row r="3027" spans="2:2" ht="12.5" hidden="1">
      <c r="B3027" s="69"/>
    </row>
    <row r="3028" spans="2:2" ht="12.5" hidden="1">
      <c r="B3028" s="69"/>
    </row>
    <row r="3029" spans="2:2" ht="12.5" hidden="1">
      <c r="B3029" s="69"/>
    </row>
    <row r="3030" spans="2:2" ht="12.5" hidden="1">
      <c r="B3030" s="69"/>
    </row>
    <row r="3031" spans="2:2" ht="12.5" hidden="1">
      <c r="B3031" s="69"/>
    </row>
    <row r="3032" spans="2:2" ht="12.5" hidden="1">
      <c r="B3032" s="69"/>
    </row>
    <row r="3033" spans="2:2" ht="12.5" hidden="1">
      <c r="B3033" s="69"/>
    </row>
    <row r="3034" spans="2:2" ht="12.5" hidden="1">
      <c r="B3034" s="69"/>
    </row>
    <row r="3035" spans="2:2" ht="12.5" hidden="1">
      <c r="B3035" s="69"/>
    </row>
    <row r="3036" spans="2:2" ht="12.5" hidden="1">
      <c r="B3036" s="69"/>
    </row>
    <row r="3037" spans="2:2" ht="12.5" hidden="1">
      <c r="B3037" s="69"/>
    </row>
    <row r="3038" spans="2:2" ht="12.5" hidden="1">
      <c r="B3038" s="69"/>
    </row>
    <row r="3039" spans="2:2" ht="12.5" hidden="1">
      <c r="B3039" s="69"/>
    </row>
    <row r="3040" spans="2:2" ht="12.5" hidden="1">
      <c r="B3040" s="69"/>
    </row>
    <row r="3041" spans="2:2" ht="12.5" hidden="1">
      <c r="B3041" s="69"/>
    </row>
    <row r="3042" spans="2:2" ht="12.5" hidden="1">
      <c r="B3042" s="69"/>
    </row>
    <row r="3043" spans="2:2" ht="12.5" hidden="1">
      <c r="B3043" s="69"/>
    </row>
    <row r="3044" spans="2:2" ht="12.5" hidden="1">
      <c r="B3044" s="69"/>
    </row>
    <row r="3045" spans="2:2" ht="12.5" hidden="1">
      <c r="B3045" s="69"/>
    </row>
    <row r="3046" spans="2:2" ht="12.5" hidden="1">
      <c r="B3046" s="69"/>
    </row>
    <row r="3047" spans="2:2" ht="12.5" hidden="1">
      <c r="B3047" s="69"/>
    </row>
    <row r="3048" spans="2:2" ht="12.5" hidden="1">
      <c r="B3048" s="69"/>
    </row>
    <row r="3049" spans="2:2" ht="12.5" hidden="1">
      <c r="B3049" s="69"/>
    </row>
    <row r="3050" spans="2:2" ht="12.5" hidden="1">
      <c r="B3050" s="69"/>
    </row>
    <row r="3051" spans="2:2" ht="12.5" hidden="1">
      <c r="B3051" s="69"/>
    </row>
    <row r="3052" spans="2:2" ht="12.5" hidden="1">
      <c r="B3052" s="69"/>
    </row>
    <row r="3053" spans="2:2" ht="12.5" hidden="1">
      <c r="B3053" s="69"/>
    </row>
    <row r="3054" spans="2:2" ht="12.5" hidden="1">
      <c r="B3054" s="69"/>
    </row>
    <row r="3055" spans="2:2" ht="12.5" hidden="1">
      <c r="B3055" s="69"/>
    </row>
    <row r="3056" spans="2:2" ht="12.5" hidden="1">
      <c r="B3056" s="69"/>
    </row>
    <row r="3057" spans="2:2" ht="12.5" hidden="1">
      <c r="B3057" s="69"/>
    </row>
    <row r="3058" spans="2:2" ht="12.5" hidden="1">
      <c r="B3058" s="69"/>
    </row>
    <row r="3059" spans="2:2" ht="12.5" hidden="1">
      <c r="B3059" s="69"/>
    </row>
    <row r="3060" spans="2:2" ht="12.5" hidden="1">
      <c r="B3060" s="69"/>
    </row>
    <row r="3061" spans="2:2" ht="12.5" hidden="1">
      <c r="B3061" s="69"/>
    </row>
    <row r="3062" spans="2:2" ht="12.5" hidden="1">
      <c r="B3062" s="69"/>
    </row>
    <row r="3063" spans="2:2" ht="12.5" hidden="1">
      <c r="B3063" s="69"/>
    </row>
    <row r="3064" spans="2:2" ht="12.5" hidden="1">
      <c r="B3064" s="69"/>
    </row>
    <row r="3065" spans="2:2" ht="12.5" hidden="1">
      <c r="B3065" s="69"/>
    </row>
    <row r="3066" spans="2:2" ht="12.5" hidden="1">
      <c r="B3066" s="69"/>
    </row>
    <row r="3067" spans="2:2" ht="12.5" hidden="1">
      <c r="B3067" s="69"/>
    </row>
    <row r="3068" spans="2:2" ht="12.5" hidden="1">
      <c r="B3068" s="69"/>
    </row>
    <row r="3069" spans="2:2" ht="12.5" hidden="1">
      <c r="B3069" s="69"/>
    </row>
    <row r="3070" spans="2:2" ht="12.5" hidden="1">
      <c r="B3070" s="69"/>
    </row>
    <row r="3071" spans="2:2" ht="12.5" hidden="1">
      <c r="B3071" s="69"/>
    </row>
    <row r="3072" spans="2:2" ht="12.5" hidden="1">
      <c r="B3072" s="69"/>
    </row>
    <row r="3073" spans="2:2" ht="12.5" hidden="1">
      <c r="B3073" s="69"/>
    </row>
    <row r="3074" spans="2:2" ht="12.5" hidden="1">
      <c r="B3074" s="69"/>
    </row>
    <row r="3075" spans="2:2" ht="12.5" hidden="1">
      <c r="B3075" s="69"/>
    </row>
    <row r="3076" spans="2:2" ht="12.5" hidden="1">
      <c r="B3076" s="69"/>
    </row>
    <row r="3077" spans="2:2" ht="12.5" hidden="1">
      <c r="B3077" s="69"/>
    </row>
    <row r="3078" spans="2:2" ht="12.5" hidden="1">
      <c r="B3078" s="69"/>
    </row>
    <row r="3079" spans="2:2" ht="12.5" hidden="1">
      <c r="B3079" s="69"/>
    </row>
    <row r="3080" spans="2:2" ht="12.5" hidden="1">
      <c r="B3080" s="69"/>
    </row>
    <row r="3081" spans="2:2" ht="12.5" hidden="1">
      <c r="B3081" s="69"/>
    </row>
    <row r="3082" spans="2:2" ht="12.5" hidden="1">
      <c r="B3082" s="69"/>
    </row>
    <row r="3083" spans="2:2" ht="12.5" hidden="1">
      <c r="B3083" s="69"/>
    </row>
    <row r="3084" spans="2:2" ht="12.5" hidden="1">
      <c r="B3084" s="69"/>
    </row>
    <row r="3085" spans="2:2" ht="12.5" hidden="1">
      <c r="B3085" s="69"/>
    </row>
    <row r="3086" spans="2:2" ht="12.5" hidden="1">
      <c r="B3086" s="69"/>
    </row>
    <row r="3087" spans="2:2" ht="12.5" hidden="1">
      <c r="B3087" s="69"/>
    </row>
    <row r="3088" spans="2:2" ht="12.5" hidden="1">
      <c r="B3088" s="69"/>
    </row>
    <row r="3089" spans="2:2" ht="12.5" hidden="1">
      <c r="B3089" s="69"/>
    </row>
    <row r="3090" spans="2:2" ht="12.5" hidden="1">
      <c r="B3090" s="69"/>
    </row>
    <row r="3091" spans="2:2" ht="12.5" hidden="1">
      <c r="B3091" s="69"/>
    </row>
    <row r="3092" spans="2:2" ht="12.5" hidden="1">
      <c r="B3092" s="69"/>
    </row>
    <row r="3093" spans="2:2" ht="12.5" hidden="1">
      <c r="B3093" s="69"/>
    </row>
    <row r="3094" spans="2:2" ht="12.5" hidden="1">
      <c r="B3094" s="69"/>
    </row>
    <row r="3095" spans="2:2" ht="12.5" hidden="1">
      <c r="B3095" s="69"/>
    </row>
    <row r="3096" spans="2:2" ht="12.5" hidden="1">
      <c r="B3096" s="69"/>
    </row>
    <row r="3097" spans="2:2" ht="12.5" hidden="1">
      <c r="B3097" s="69"/>
    </row>
    <row r="3098" spans="2:2" ht="12.5" hidden="1">
      <c r="B3098" s="69"/>
    </row>
    <row r="3099" spans="2:2" ht="12.5" hidden="1">
      <c r="B3099" s="69"/>
    </row>
    <row r="3100" spans="2:2" ht="12.5" hidden="1">
      <c r="B3100" s="69"/>
    </row>
    <row r="3101" spans="2:2" ht="12.5" hidden="1">
      <c r="B3101" s="69"/>
    </row>
    <row r="3102" spans="2:2" ht="12.5" hidden="1">
      <c r="B3102" s="69"/>
    </row>
    <row r="3103" spans="2:2" ht="12.5" hidden="1">
      <c r="B3103" s="69"/>
    </row>
    <row r="3104" spans="2:2" ht="12.5" hidden="1">
      <c r="B3104" s="69"/>
    </row>
    <row r="3105" spans="2:2" ht="12.5" hidden="1">
      <c r="B3105" s="69"/>
    </row>
    <row r="3106" spans="2:2" ht="12.5" hidden="1">
      <c r="B3106" s="69"/>
    </row>
    <row r="3107" spans="2:2" ht="12.5" hidden="1">
      <c r="B3107" s="69"/>
    </row>
    <row r="3108" spans="2:2" ht="12.5" hidden="1">
      <c r="B3108" s="69"/>
    </row>
    <row r="3109" spans="2:2" ht="12.5" hidden="1">
      <c r="B3109" s="69"/>
    </row>
    <row r="3110" spans="2:2" ht="12.5" hidden="1">
      <c r="B3110" s="69"/>
    </row>
    <row r="3111" spans="2:2" ht="12.5" hidden="1">
      <c r="B3111" s="69"/>
    </row>
    <row r="3112" spans="2:2" ht="12.5" hidden="1">
      <c r="B3112" s="69"/>
    </row>
    <row r="3113" spans="2:2" ht="12.5" hidden="1">
      <c r="B3113" s="69"/>
    </row>
    <row r="3114" spans="2:2" ht="12.5" hidden="1">
      <c r="B3114" s="69"/>
    </row>
    <row r="3115" spans="2:2" ht="12.5" hidden="1">
      <c r="B3115" s="69"/>
    </row>
    <row r="3116" spans="2:2" ht="12.5" hidden="1">
      <c r="B3116" s="69"/>
    </row>
    <row r="3117" spans="2:2" ht="12.5" hidden="1">
      <c r="B3117" s="69"/>
    </row>
    <row r="3118" spans="2:2" ht="12.5" hidden="1">
      <c r="B3118" s="69"/>
    </row>
    <row r="3119" spans="2:2" ht="12.5" hidden="1">
      <c r="B3119" s="69"/>
    </row>
    <row r="3120" spans="2:2" ht="12.5" hidden="1">
      <c r="B3120" s="69"/>
    </row>
    <row r="3121" spans="2:2" ht="12.5" hidden="1">
      <c r="B3121" s="69"/>
    </row>
    <row r="3122" spans="2:2" ht="12.5" hidden="1">
      <c r="B3122" s="69"/>
    </row>
    <row r="3123" spans="2:2" ht="12.5" hidden="1">
      <c r="B3123" s="69"/>
    </row>
    <row r="3124" spans="2:2" ht="12.5" hidden="1">
      <c r="B3124" s="69"/>
    </row>
    <row r="3125" spans="2:2" ht="12.5" hidden="1">
      <c r="B3125" s="69"/>
    </row>
    <row r="3126" spans="2:2" ht="12.5" hidden="1">
      <c r="B3126" s="69"/>
    </row>
    <row r="3127" spans="2:2" ht="12.5" hidden="1">
      <c r="B3127" s="69"/>
    </row>
    <row r="3128" spans="2:2" ht="12.5" hidden="1">
      <c r="B3128" s="69"/>
    </row>
    <row r="3129" spans="2:2" ht="12.5" hidden="1">
      <c r="B3129" s="69"/>
    </row>
    <row r="3130" spans="2:2" ht="12.5" hidden="1">
      <c r="B3130" s="69"/>
    </row>
    <row r="3131" spans="2:2" ht="12.5" hidden="1">
      <c r="B3131" s="69"/>
    </row>
    <row r="3132" spans="2:2" ht="12.5" hidden="1">
      <c r="B3132" s="69"/>
    </row>
    <row r="3133" spans="2:2" ht="12.5" hidden="1">
      <c r="B3133" s="69"/>
    </row>
    <row r="3134" spans="2:2" ht="12.5" hidden="1">
      <c r="B3134" s="69"/>
    </row>
    <row r="3135" spans="2:2" ht="12.5" hidden="1">
      <c r="B3135" s="69"/>
    </row>
    <row r="3136" spans="2:2" ht="12.5" hidden="1">
      <c r="B3136" s="69"/>
    </row>
    <row r="3137" spans="2:2" ht="12.5" hidden="1">
      <c r="B3137" s="69"/>
    </row>
    <row r="3138" spans="2:2" ht="12.5" hidden="1">
      <c r="B3138" s="69"/>
    </row>
    <row r="3139" spans="2:2" ht="12.5" hidden="1">
      <c r="B3139" s="69"/>
    </row>
    <row r="3140" spans="2:2" ht="12.5" hidden="1">
      <c r="B3140" s="69"/>
    </row>
    <row r="3141" spans="2:2" ht="12.5" hidden="1">
      <c r="B3141" s="69"/>
    </row>
    <row r="3142" spans="2:2" ht="12.5" hidden="1">
      <c r="B3142" s="69"/>
    </row>
    <row r="3143" spans="2:2" ht="12.5" hidden="1">
      <c r="B3143" s="69"/>
    </row>
    <row r="3144" spans="2:2" ht="12.5" hidden="1">
      <c r="B3144" s="69"/>
    </row>
    <row r="3145" spans="2:2" ht="12.5" hidden="1">
      <c r="B3145" s="69"/>
    </row>
    <row r="3146" spans="2:2" ht="12.5" hidden="1">
      <c r="B3146" s="69"/>
    </row>
    <row r="3147" spans="2:2" ht="12.5" hidden="1">
      <c r="B3147" s="69"/>
    </row>
    <row r="3148" spans="2:2" ht="12.5" hidden="1">
      <c r="B3148" s="69"/>
    </row>
    <row r="3149" spans="2:2" ht="12.5" hidden="1">
      <c r="B3149" s="69"/>
    </row>
    <row r="3150" spans="2:2" ht="12.5" hidden="1">
      <c r="B3150" s="69"/>
    </row>
    <row r="3151" spans="2:2" ht="12.5" hidden="1">
      <c r="B3151" s="69"/>
    </row>
    <row r="3152" spans="2:2" ht="12.5" hidden="1">
      <c r="B3152" s="69"/>
    </row>
    <row r="3153" spans="2:2" ht="12.5" hidden="1">
      <c r="B3153" s="69"/>
    </row>
    <row r="3154" spans="2:2" ht="12.5" hidden="1">
      <c r="B3154" s="69"/>
    </row>
    <row r="3155" spans="2:2" ht="12.5" hidden="1">
      <c r="B3155" s="69"/>
    </row>
    <row r="3156" spans="2:2" ht="12.5" hidden="1">
      <c r="B3156" s="69"/>
    </row>
    <row r="3157" spans="2:2" ht="12.5" hidden="1">
      <c r="B3157" s="69"/>
    </row>
    <row r="3158" spans="2:2" ht="12.5" hidden="1">
      <c r="B3158" s="69"/>
    </row>
    <row r="3159" spans="2:2" ht="12.5" hidden="1">
      <c r="B3159" s="69"/>
    </row>
    <row r="3160" spans="2:2" ht="12.5" hidden="1">
      <c r="B3160" s="69"/>
    </row>
    <row r="3161" spans="2:2" ht="12.5" hidden="1">
      <c r="B3161" s="69"/>
    </row>
    <row r="3162" spans="2:2" ht="12.5" hidden="1">
      <c r="B3162" s="69"/>
    </row>
    <row r="3163" spans="2:2" ht="12.5" hidden="1">
      <c r="B3163" s="69"/>
    </row>
    <row r="3164" spans="2:2" ht="12.5" hidden="1">
      <c r="B3164" s="69"/>
    </row>
    <row r="3165" spans="2:2" ht="12.5" hidden="1">
      <c r="B3165" s="69"/>
    </row>
    <row r="3166" spans="2:2" ht="12.5" hidden="1">
      <c r="B3166" s="69"/>
    </row>
    <row r="3167" spans="2:2" ht="12.5" hidden="1">
      <c r="B3167" s="69"/>
    </row>
    <row r="3168" spans="2:2" ht="12.5" hidden="1">
      <c r="B3168" s="69"/>
    </row>
    <row r="3169" spans="2:2" ht="12.5" hidden="1">
      <c r="B3169" s="69"/>
    </row>
    <row r="3170" spans="2:2" ht="12.5" hidden="1">
      <c r="B3170" s="69"/>
    </row>
    <row r="3171" spans="2:2" ht="12.5" hidden="1">
      <c r="B3171" s="69"/>
    </row>
    <row r="3172" spans="2:2" ht="12.5" hidden="1">
      <c r="B3172" s="69"/>
    </row>
    <row r="3173" spans="2:2" ht="12.5" hidden="1">
      <c r="B3173" s="69"/>
    </row>
    <row r="3174" spans="2:2" ht="12.5" hidden="1">
      <c r="B3174" s="69"/>
    </row>
    <row r="3175" spans="2:2" ht="12.5" hidden="1">
      <c r="B3175" s="69"/>
    </row>
    <row r="3176" spans="2:2" ht="12.5" hidden="1">
      <c r="B3176" s="69"/>
    </row>
    <row r="3177" spans="2:2" ht="12.5" hidden="1">
      <c r="B3177" s="69"/>
    </row>
    <row r="3178" spans="2:2" ht="12.5" hidden="1">
      <c r="B3178" s="69"/>
    </row>
    <row r="3179" spans="2:2" ht="12.5" hidden="1">
      <c r="B3179" s="69"/>
    </row>
    <row r="3180" spans="2:2" ht="12.5" hidden="1">
      <c r="B3180" s="69"/>
    </row>
    <row r="3181" spans="2:2" ht="12.5" hidden="1">
      <c r="B3181" s="69"/>
    </row>
    <row r="3182" spans="2:2" ht="12.5" hidden="1">
      <c r="B3182" s="69"/>
    </row>
    <row r="3183" spans="2:2" ht="12.5" hidden="1">
      <c r="B3183" s="69"/>
    </row>
    <row r="3184" spans="2:2" ht="12.5" hidden="1">
      <c r="B3184" s="69"/>
    </row>
    <row r="3185" spans="2:2" ht="12.5" hidden="1">
      <c r="B3185" s="69"/>
    </row>
    <row r="3186" spans="2:2" ht="12.5" hidden="1">
      <c r="B3186" s="69"/>
    </row>
    <row r="3187" spans="2:2" ht="12.5" hidden="1">
      <c r="B3187" s="69"/>
    </row>
    <row r="3188" spans="2:2" ht="12.5" hidden="1">
      <c r="B3188" s="69"/>
    </row>
    <row r="3189" spans="2:2" ht="12.5" hidden="1">
      <c r="B3189" s="69"/>
    </row>
    <row r="3190" spans="2:2" ht="12.5" hidden="1">
      <c r="B3190" s="69"/>
    </row>
    <row r="3191" spans="2:2" ht="12.5" hidden="1">
      <c r="B3191" s="69"/>
    </row>
    <row r="3192" spans="2:2" ht="12.5" hidden="1">
      <c r="B3192" s="69"/>
    </row>
    <row r="3193" spans="2:2" ht="12.5" hidden="1">
      <c r="B3193" s="69"/>
    </row>
    <row r="3194" spans="2:2" ht="12.5" hidden="1">
      <c r="B3194" s="69"/>
    </row>
    <row r="3195" spans="2:2" ht="12.5" hidden="1">
      <c r="B3195" s="69"/>
    </row>
    <row r="3196" spans="2:2" ht="12.5" hidden="1">
      <c r="B3196" s="69"/>
    </row>
    <row r="3197" spans="2:2" ht="12.5" hidden="1">
      <c r="B3197" s="69"/>
    </row>
    <row r="3198" spans="2:2" ht="12.5" hidden="1">
      <c r="B3198" s="69"/>
    </row>
    <row r="3199" spans="2:2" ht="12.5" hidden="1">
      <c r="B3199" s="69"/>
    </row>
    <row r="3200" spans="2:2" ht="12.5" hidden="1">
      <c r="B3200" s="69"/>
    </row>
    <row r="3201" spans="2:2" ht="12.5" hidden="1">
      <c r="B3201" s="69"/>
    </row>
    <row r="3202" spans="2:2" ht="12.5" hidden="1">
      <c r="B3202" s="69"/>
    </row>
    <row r="3203" spans="2:2" ht="12.5" hidden="1">
      <c r="B3203" s="69"/>
    </row>
    <row r="3204" spans="2:2" ht="12.5" hidden="1">
      <c r="B3204" s="69"/>
    </row>
    <row r="3205" spans="2:2" ht="12.5" hidden="1">
      <c r="B3205" s="69"/>
    </row>
    <row r="3206" spans="2:2" ht="12.5" hidden="1">
      <c r="B3206" s="69"/>
    </row>
    <row r="3207" spans="2:2" ht="12.5" hidden="1">
      <c r="B3207" s="69"/>
    </row>
    <row r="3208" spans="2:2" ht="12.5" hidden="1">
      <c r="B3208" s="69"/>
    </row>
    <row r="3209" spans="2:2" ht="12.5" hidden="1">
      <c r="B3209" s="69"/>
    </row>
    <row r="3210" spans="2:2" ht="12.5" hidden="1">
      <c r="B3210" s="69"/>
    </row>
    <row r="3211" spans="2:2" ht="12.5" hidden="1">
      <c r="B3211" s="69"/>
    </row>
    <row r="3212" spans="2:2" ht="12.5" hidden="1">
      <c r="B3212" s="69"/>
    </row>
    <row r="3213" spans="2:2" ht="12.5" hidden="1">
      <c r="B3213" s="69"/>
    </row>
    <row r="3214" spans="2:2" ht="12.5" hidden="1">
      <c r="B3214" s="69"/>
    </row>
    <row r="3215" spans="2:2" ht="12.5" hidden="1">
      <c r="B3215" s="69"/>
    </row>
    <row r="3216" spans="2:2" ht="12.5" hidden="1">
      <c r="B3216" s="69"/>
    </row>
    <row r="3217" spans="2:2" ht="12.5" hidden="1">
      <c r="B3217" s="69"/>
    </row>
    <row r="3218" spans="2:2" ht="12.5" hidden="1">
      <c r="B3218" s="69"/>
    </row>
    <row r="3219" spans="2:2" ht="12.5" hidden="1">
      <c r="B3219" s="69"/>
    </row>
    <row r="3220" spans="2:2" ht="12.5" hidden="1">
      <c r="B3220" s="69"/>
    </row>
    <row r="3221" spans="2:2" ht="12.5" hidden="1">
      <c r="B3221" s="69"/>
    </row>
    <row r="3222" spans="2:2" ht="12.5" hidden="1">
      <c r="B3222" s="69"/>
    </row>
    <row r="3223" spans="2:2" ht="12.5" hidden="1">
      <c r="B3223" s="69"/>
    </row>
    <row r="3224" spans="2:2" ht="12.5" hidden="1">
      <c r="B3224" s="69"/>
    </row>
    <row r="3225" spans="2:2" ht="12.5" hidden="1">
      <c r="B3225" s="69"/>
    </row>
    <row r="3226" spans="2:2" ht="12.5" hidden="1">
      <c r="B3226" s="69"/>
    </row>
    <row r="3227" spans="2:2" ht="12.5" hidden="1">
      <c r="B3227" s="69"/>
    </row>
    <row r="3228" spans="2:2" ht="12.5" hidden="1">
      <c r="B3228" s="69"/>
    </row>
    <row r="3229" spans="2:2" ht="12.5" hidden="1">
      <c r="B3229" s="69"/>
    </row>
    <row r="3230" spans="2:2" ht="12.5" hidden="1">
      <c r="B3230" s="69"/>
    </row>
    <row r="3231" spans="2:2" ht="12.5" hidden="1">
      <c r="B3231" s="69"/>
    </row>
    <row r="3232" spans="2:2" ht="12.5" hidden="1">
      <c r="B3232" s="69"/>
    </row>
    <row r="3233" spans="2:2" ht="12.5" hidden="1">
      <c r="B3233" s="69"/>
    </row>
    <row r="3234" spans="2:2" ht="12.5" hidden="1">
      <c r="B3234" s="69"/>
    </row>
    <row r="3235" spans="2:2" ht="12.5" hidden="1">
      <c r="B3235" s="69"/>
    </row>
    <row r="3236" spans="2:2" ht="12.5" hidden="1">
      <c r="B3236" s="69"/>
    </row>
    <row r="3237" spans="2:2" ht="12.5" hidden="1">
      <c r="B3237" s="69"/>
    </row>
    <row r="3238" spans="2:2" ht="12.5" hidden="1">
      <c r="B3238" s="69"/>
    </row>
    <row r="3239" spans="2:2" ht="12.5" hidden="1">
      <c r="B3239" s="69"/>
    </row>
    <row r="3240" spans="2:2" ht="12.5" hidden="1">
      <c r="B3240" s="69"/>
    </row>
    <row r="3241" spans="2:2" ht="12.5" hidden="1">
      <c r="B3241" s="69"/>
    </row>
    <row r="3242" spans="2:2" ht="12.5" hidden="1">
      <c r="B3242" s="69"/>
    </row>
    <row r="3243" spans="2:2" ht="12.5" hidden="1">
      <c r="B3243" s="69"/>
    </row>
    <row r="3244" spans="2:2" ht="12.5" hidden="1">
      <c r="B3244" s="69"/>
    </row>
    <row r="3245" spans="2:2" ht="12.5" hidden="1">
      <c r="B3245" s="69"/>
    </row>
    <row r="3246" spans="2:2" ht="12.5" hidden="1">
      <c r="B3246" s="69"/>
    </row>
    <row r="3247" spans="2:2" ht="12.5" hidden="1">
      <c r="B3247" s="69"/>
    </row>
    <row r="3248" spans="2:2" ht="12.5" hidden="1">
      <c r="B3248" s="69"/>
    </row>
    <row r="3249" spans="2:2" ht="12.5" hidden="1">
      <c r="B3249" s="69"/>
    </row>
    <row r="3250" spans="2:2" ht="12.5" hidden="1">
      <c r="B3250" s="69"/>
    </row>
    <row r="3251" spans="2:2" ht="12.5" hidden="1">
      <c r="B3251" s="69"/>
    </row>
    <row r="3252" spans="2:2" ht="12.5" hidden="1">
      <c r="B3252" s="69"/>
    </row>
    <row r="3253" spans="2:2" ht="12.5" hidden="1">
      <c r="B3253" s="69"/>
    </row>
    <row r="3254" spans="2:2" ht="12.5" hidden="1">
      <c r="B3254" s="69"/>
    </row>
    <row r="3255" spans="2:2" ht="12.5" hidden="1">
      <c r="B3255" s="69"/>
    </row>
    <row r="3256" spans="2:2" ht="12.5" hidden="1">
      <c r="B3256" s="69"/>
    </row>
    <row r="3257" spans="2:2" ht="12.5" hidden="1">
      <c r="B3257" s="69"/>
    </row>
    <row r="3258" spans="2:2" ht="12.5" hidden="1">
      <c r="B3258" s="69"/>
    </row>
    <row r="3259" spans="2:2" ht="12.5" hidden="1">
      <c r="B3259" s="69"/>
    </row>
    <row r="3260" spans="2:2" ht="12.5" hidden="1">
      <c r="B3260" s="69"/>
    </row>
    <row r="3261" spans="2:2" ht="12.5" hidden="1">
      <c r="B3261" s="69"/>
    </row>
    <row r="3262" spans="2:2" ht="12.5" hidden="1">
      <c r="B3262" s="69"/>
    </row>
    <row r="3263" spans="2:2" ht="12.5" hidden="1">
      <c r="B3263" s="69"/>
    </row>
    <row r="3264" spans="2:2" ht="12.5" hidden="1">
      <c r="B3264" s="69"/>
    </row>
    <row r="3265" spans="2:2" ht="12.5" hidden="1">
      <c r="B3265" s="69"/>
    </row>
    <row r="3266" spans="2:2" ht="12.5" hidden="1">
      <c r="B3266" s="69"/>
    </row>
    <row r="3267" spans="2:2" ht="12.5" hidden="1">
      <c r="B3267" s="69"/>
    </row>
    <row r="3268" spans="2:2" ht="12.5" hidden="1">
      <c r="B3268" s="69"/>
    </row>
    <row r="3269" spans="2:2" ht="12.5" hidden="1">
      <c r="B3269" s="69"/>
    </row>
    <row r="3270" spans="2:2" ht="12.5" hidden="1">
      <c r="B3270" s="69"/>
    </row>
    <row r="3271" spans="2:2" ht="12.5" hidden="1">
      <c r="B3271" s="69"/>
    </row>
    <row r="3272" spans="2:2" ht="12.5" hidden="1">
      <c r="B3272" s="69"/>
    </row>
    <row r="3273" spans="2:2" ht="12.5" hidden="1">
      <c r="B3273" s="69"/>
    </row>
    <row r="3274" spans="2:2" ht="12.5" hidden="1">
      <c r="B3274" s="69"/>
    </row>
    <row r="3275" spans="2:2" ht="12.5" hidden="1">
      <c r="B3275" s="69"/>
    </row>
    <row r="3276" spans="2:2" ht="12.5" hidden="1">
      <c r="B3276" s="69"/>
    </row>
    <row r="3277" spans="2:2" ht="12.5" hidden="1">
      <c r="B3277" s="69"/>
    </row>
    <row r="3278" spans="2:2" ht="12.5" hidden="1">
      <c r="B3278" s="69"/>
    </row>
    <row r="3279" spans="2:2" ht="12.5" hidden="1">
      <c r="B3279" s="69"/>
    </row>
    <row r="3280" spans="2:2" ht="12.5" hidden="1">
      <c r="B3280" s="69"/>
    </row>
    <row r="3281" spans="2:2" ht="12.5" hidden="1">
      <c r="B3281" s="69"/>
    </row>
    <row r="3282" spans="2:2" ht="12.5" hidden="1">
      <c r="B3282" s="69"/>
    </row>
    <row r="3283" spans="2:2" ht="12.5" hidden="1">
      <c r="B3283" s="69"/>
    </row>
    <row r="3284" spans="2:2" ht="12.5" hidden="1">
      <c r="B3284" s="69"/>
    </row>
    <row r="3285" spans="2:2" ht="12.5" hidden="1">
      <c r="B3285" s="69"/>
    </row>
    <row r="3286" spans="2:2" ht="12.5" hidden="1">
      <c r="B3286" s="69"/>
    </row>
    <row r="3287" spans="2:2" ht="12.5" hidden="1">
      <c r="B3287" s="69"/>
    </row>
    <row r="3288" spans="2:2" ht="12.5" hidden="1">
      <c r="B3288" s="69"/>
    </row>
    <row r="3289" spans="2:2" ht="12.5" hidden="1">
      <c r="B3289" s="69"/>
    </row>
    <row r="3290" spans="2:2" ht="12.5" hidden="1">
      <c r="B3290" s="69"/>
    </row>
    <row r="3291" spans="2:2" ht="12.5" hidden="1">
      <c r="B3291" s="69"/>
    </row>
    <row r="3292" spans="2:2" ht="12.5" hidden="1">
      <c r="B3292" s="69"/>
    </row>
    <row r="3293" spans="2:2" ht="12.5" hidden="1">
      <c r="B3293" s="69"/>
    </row>
    <row r="3294" spans="2:2" ht="12.5" hidden="1">
      <c r="B3294" s="69"/>
    </row>
    <row r="3295" spans="2:2" ht="12.5" hidden="1">
      <c r="B3295" s="69"/>
    </row>
    <row r="3296" spans="2:2" ht="12.5" hidden="1">
      <c r="B3296" s="69"/>
    </row>
    <row r="3297" spans="2:2" ht="12.5" hidden="1">
      <c r="B3297" s="69"/>
    </row>
    <row r="3298" spans="2:2" ht="12.5" hidden="1">
      <c r="B3298" s="69"/>
    </row>
    <row r="3299" spans="2:2" ht="12.5" hidden="1">
      <c r="B3299" s="69"/>
    </row>
    <row r="3300" spans="2:2" ht="12.5" hidden="1">
      <c r="B3300" s="69"/>
    </row>
    <row r="3301" spans="2:2" ht="12.5" hidden="1">
      <c r="B3301" s="69"/>
    </row>
    <row r="3302" spans="2:2" ht="12.5" hidden="1">
      <c r="B3302" s="69"/>
    </row>
    <row r="3303" spans="2:2" ht="12.5" hidden="1">
      <c r="B3303" s="69"/>
    </row>
    <row r="3304" spans="2:2" ht="12.5" hidden="1">
      <c r="B3304" s="69"/>
    </row>
    <row r="3305" spans="2:2" ht="12.5" hidden="1">
      <c r="B3305" s="69"/>
    </row>
    <row r="3306" spans="2:2" ht="12.5" hidden="1">
      <c r="B3306" s="69"/>
    </row>
    <row r="3307" spans="2:2" ht="12.5" hidden="1">
      <c r="B3307" s="69"/>
    </row>
    <row r="3308" spans="2:2" ht="12.5" hidden="1">
      <c r="B3308" s="69"/>
    </row>
    <row r="3309" spans="2:2" ht="12.5" hidden="1">
      <c r="B3309" s="69"/>
    </row>
    <row r="3310" spans="2:2" ht="12.5" hidden="1">
      <c r="B3310" s="69"/>
    </row>
    <row r="3311" spans="2:2" ht="12.5" hidden="1">
      <c r="B3311" s="69"/>
    </row>
    <row r="3312" spans="2:2" ht="12.5" hidden="1">
      <c r="B3312" s="69"/>
    </row>
    <row r="3313" spans="2:2" ht="12.5" hidden="1">
      <c r="B3313" s="69"/>
    </row>
    <row r="3314" spans="2:2" ht="12.5" hidden="1">
      <c r="B3314" s="69"/>
    </row>
    <row r="3315" spans="2:2" ht="12.5" hidden="1">
      <c r="B3315" s="69"/>
    </row>
    <row r="3316" spans="2:2" ht="12.5" hidden="1">
      <c r="B3316" s="69"/>
    </row>
    <row r="3317" spans="2:2" ht="12.5" hidden="1">
      <c r="B3317" s="69"/>
    </row>
    <row r="3318" spans="2:2" ht="12.5" hidden="1">
      <c r="B3318" s="69"/>
    </row>
    <row r="3319" spans="2:2" ht="12.5" hidden="1">
      <c r="B3319" s="69"/>
    </row>
    <row r="3320" spans="2:2" ht="12.5" hidden="1">
      <c r="B3320" s="69"/>
    </row>
    <row r="3321" spans="2:2" ht="12.5" hidden="1">
      <c r="B3321" s="69"/>
    </row>
    <row r="3322" spans="2:2" ht="12.5" hidden="1">
      <c r="B3322" s="69"/>
    </row>
    <row r="3323" spans="2:2" ht="12.5" hidden="1">
      <c r="B3323" s="69"/>
    </row>
    <row r="3324" spans="2:2" ht="12.5" hidden="1">
      <c r="B3324" s="69"/>
    </row>
    <row r="3325" spans="2:2" ht="12.5" hidden="1">
      <c r="B3325" s="69"/>
    </row>
    <row r="3326" spans="2:2" ht="12.5" hidden="1">
      <c r="B3326" s="69"/>
    </row>
    <row r="3327" spans="2:2" ht="12.5" hidden="1">
      <c r="B3327" s="69"/>
    </row>
    <row r="3328" spans="2:2" ht="12.5" hidden="1">
      <c r="B3328" s="69"/>
    </row>
    <row r="3329" spans="2:2" ht="12.5" hidden="1">
      <c r="B3329" s="69"/>
    </row>
    <row r="3330" spans="2:2" ht="12.5" hidden="1">
      <c r="B3330" s="69"/>
    </row>
    <row r="3331" spans="2:2" ht="12.5" hidden="1">
      <c r="B3331" s="69"/>
    </row>
    <row r="3332" spans="2:2" ht="12.5" hidden="1">
      <c r="B3332" s="69"/>
    </row>
    <row r="3333" spans="2:2" ht="12.5" hidden="1">
      <c r="B3333" s="69"/>
    </row>
    <row r="3334" spans="2:2" ht="12.5" hidden="1">
      <c r="B3334" s="69"/>
    </row>
    <row r="3335" spans="2:2" ht="12.5" hidden="1">
      <c r="B3335" s="69"/>
    </row>
    <row r="3336" spans="2:2" ht="12.5" hidden="1">
      <c r="B3336" s="69"/>
    </row>
    <row r="3337" spans="2:2" ht="12.5" hidden="1">
      <c r="B3337" s="69"/>
    </row>
    <row r="3338" spans="2:2" ht="12.5" hidden="1">
      <c r="B3338" s="69"/>
    </row>
    <row r="3339" spans="2:2" ht="12.5" hidden="1">
      <c r="B3339" s="69"/>
    </row>
    <row r="3340" spans="2:2" ht="12.5" hidden="1">
      <c r="B3340" s="69"/>
    </row>
    <row r="3341" spans="2:2" ht="12.5" hidden="1">
      <c r="B3341" s="69"/>
    </row>
    <row r="3342" spans="2:2" ht="12.5" hidden="1">
      <c r="B3342" s="69"/>
    </row>
    <row r="3343" spans="2:2" ht="12.5" hidden="1">
      <c r="B3343" s="69"/>
    </row>
    <row r="3344" spans="2:2" ht="12.5" hidden="1">
      <c r="B3344" s="69"/>
    </row>
    <row r="3345" spans="2:2" ht="12.5" hidden="1">
      <c r="B3345" s="69"/>
    </row>
    <row r="3346" spans="2:2" ht="12.5" hidden="1">
      <c r="B3346" s="69"/>
    </row>
    <row r="3347" spans="2:2" ht="12.5" hidden="1">
      <c r="B3347" s="69"/>
    </row>
    <row r="3348" spans="2:2" ht="12.5" hidden="1">
      <c r="B3348" s="69"/>
    </row>
    <row r="3349" spans="2:2" ht="12.5" hidden="1">
      <c r="B3349" s="69"/>
    </row>
    <row r="3350" spans="2:2" ht="12.5" hidden="1">
      <c r="B3350" s="69"/>
    </row>
    <row r="3351" spans="2:2" ht="12.5" hidden="1">
      <c r="B3351" s="69"/>
    </row>
    <row r="3352" spans="2:2" ht="12.5" hidden="1">
      <c r="B3352" s="69"/>
    </row>
    <row r="3353" spans="2:2" ht="12.5" hidden="1">
      <c r="B3353" s="69"/>
    </row>
    <row r="3354" spans="2:2" ht="12.5" hidden="1">
      <c r="B3354" s="69"/>
    </row>
    <row r="3355" spans="2:2" ht="12.5" hidden="1">
      <c r="B3355" s="69"/>
    </row>
    <row r="3356" spans="2:2" ht="12.5" hidden="1">
      <c r="B3356" s="69"/>
    </row>
    <row r="3357" spans="2:2" ht="12.5" hidden="1">
      <c r="B3357" s="69"/>
    </row>
    <row r="3358" spans="2:2" ht="12.5" hidden="1">
      <c r="B3358" s="69"/>
    </row>
    <row r="3359" spans="2:2" ht="12.5" hidden="1">
      <c r="B3359" s="69"/>
    </row>
    <row r="3360" spans="2:2" ht="12.5" hidden="1">
      <c r="B3360" s="69"/>
    </row>
    <row r="3361" spans="2:2" ht="12.5" hidden="1">
      <c r="B3361" s="69"/>
    </row>
    <row r="3362" spans="2:2" ht="12.5" hidden="1">
      <c r="B3362" s="69"/>
    </row>
    <row r="3363" spans="2:2" ht="12.5" hidden="1">
      <c r="B3363" s="69"/>
    </row>
    <row r="3364" spans="2:2" ht="12.5" hidden="1">
      <c r="B3364" s="69"/>
    </row>
    <row r="3365" spans="2:2" ht="12.5" hidden="1">
      <c r="B3365" s="69"/>
    </row>
    <row r="3366" spans="2:2" ht="12.5" hidden="1">
      <c r="B3366" s="69"/>
    </row>
    <row r="3367" spans="2:2" ht="12.5" hidden="1">
      <c r="B3367" s="69"/>
    </row>
    <row r="3368" spans="2:2" ht="12.5" hidden="1">
      <c r="B3368" s="69"/>
    </row>
    <row r="3369" spans="2:2" ht="12.5" hidden="1">
      <c r="B3369" s="69"/>
    </row>
    <row r="3370" spans="2:2" ht="12.5" hidden="1">
      <c r="B3370" s="69"/>
    </row>
    <row r="3371" spans="2:2" ht="12.5" hidden="1">
      <c r="B3371" s="69"/>
    </row>
    <row r="3372" spans="2:2" ht="12.5" hidden="1">
      <c r="B3372" s="69"/>
    </row>
    <row r="3373" spans="2:2" ht="12.5" hidden="1">
      <c r="B3373" s="69"/>
    </row>
    <row r="3374" spans="2:2" ht="12.5" hidden="1">
      <c r="B3374" s="69"/>
    </row>
    <row r="3375" spans="2:2" ht="12.5" hidden="1">
      <c r="B3375" s="69"/>
    </row>
    <row r="3376" spans="2:2" ht="12.5" hidden="1">
      <c r="B3376" s="69"/>
    </row>
    <row r="3377" spans="2:2" ht="12.5" hidden="1">
      <c r="B3377" s="69"/>
    </row>
    <row r="3378" spans="2:2" ht="12.5" hidden="1">
      <c r="B3378" s="69"/>
    </row>
    <row r="3379" spans="2:2" ht="12.5" hidden="1">
      <c r="B3379" s="69"/>
    </row>
    <row r="3380" spans="2:2" ht="12.5" hidden="1">
      <c r="B3380" s="69"/>
    </row>
    <row r="3381" spans="2:2" ht="12.5" hidden="1">
      <c r="B3381" s="69"/>
    </row>
    <row r="3382" spans="2:2" ht="12.5" hidden="1">
      <c r="B3382" s="69"/>
    </row>
    <row r="3383" spans="2:2" ht="12.5" hidden="1">
      <c r="B3383" s="69"/>
    </row>
    <row r="3384" spans="2:2" ht="12.5" hidden="1">
      <c r="B3384" s="69"/>
    </row>
    <row r="3385" spans="2:2" ht="12.5" hidden="1">
      <c r="B3385" s="69"/>
    </row>
    <row r="3386" spans="2:2" ht="12.5" hidden="1">
      <c r="B3386" s="69"/>
    </row>
    <row r="3387" spans="2:2" ht="12.5" hidden="1">
      <c r="B3387" s="69"/>
    </row>
    <row r="3388" spans="2:2" ht="12.5" hidden="1">
      <c r="B3388" s="69"/>
    </row>
    <row r="3389" spans="2:2" ht="12.5" hidden="1">
      <c r="B3389" s="69"/>
    </row>
    <row r="3390" spans="2:2" ht="12.5" hidden="1">
      <c r="B3390" s="69"/>
    </row>
    <row r="3391" spans="2:2" ht="12.5" hidden="1">
      <c r="B3391" s="69"/>
    </row>
    <row r="3392" spans="2:2" ht="12.5" hidden="1">
      <c r="B3392" s="69"/>
    </row>
    <row r="3393" spans="2:2" ht="12.5" hidden="1">
      <c r="B3393" s="69"/>
    </row>
    <row r="3394" spans="2:2" ht="12.5" hidden="1">
      <c r="B3394" s="69"/>
    </row>
    <row r="3395" spans="2:2" ht="12.5" hidden="1">
      <c r="B3395" s="69"/>
    </row>
    <row r="3396" spans="2:2" ht="12.5" hidden="1">
      <c r="B3396" s="69"/>
    </row>
    <row r="3397" spans="2:2" ht="12.5" hidden="1">
      <c r="B3397" s="69"/>
    </row>
    <row r="3398" spans="2:2" ht="12.5" hidden="1">
      <c r="B3398" s="69"/>
    </row>
    <row r="3399" spans="2:2" ht="12.5" hidden="1">
      <c r="B3399" s="69"/>
    </row>
    <row r="3400" spans="2:2" ht="12.5" hidden="1">
      <c r="B3400" s="69"/>
    </row>
    <row r="3401" spans="2:2" ht="12.5" hidden="1">
      <c r="B3401" s="69"/>
    </row>
    <row r="3402" spans="2:2" ht="12.5" hidden="1">
      <c r="B3402" s="69"/>
    </row>
    <row r="3403" spans="2:2" ht="12.5" hidden="1">
      <c r="B3403" s="69"/>
    </row>
    <row r="3404" spans="2:2" ht="12.5" hidden="1">
      <c r="B3404" s="69"/>
    </row>
    <row r="3405" spans="2:2" ht="12.5" hidden="1">
      <c r="B3405" s="69"/>
    </row>
    <row r="3406" spans="2:2" ht="12.5" hidden="1">
      <c r="B3406" s="69"/>
    </row>
    <row r="3407" spans="2:2" ht="12.5" hidden="1">
      <c r="B3407" s="69"/>
    </row>
    <row r="3408" spans="2:2" ht="12.5" hidden="1">
      <c r="B3408" s="69"/>
    </row>
    <row r="3409" spans="2:2" ht="12.5" hidden="1">
      <c r="B3409" s="69"/>
    </row>
    <row r="3410" spans="2:2" ht="12.5" hidden="1">
      <c r="B3410" s="69"/>
    </row>
    <row r="3411" spans="2:2" ht="12.5" hidden="1">
      <c r="B3411" s="69"/>
    </row>
    <row r="3412" spans="2:2" ht="12.5" hidden="1">
      <c r="B3412" s="69"/>
    </row>
    <row r="3413" spans="2:2" ht="12.5" hidden="1">
      <c r="B3413" s="69"/>
    </row>
    <row r="3414" spans="2:2" ht="12.5" hidden="1">
      <c r="B3414" s="69"/>
    </row>
    <row r="3415" spans="2:2" ht="12.5" hidden="1">
      <c r="B3415" s="69"/>
    </row>
    <row r="3416" spans="2:2" ht="12.5" hidden="1">
      <c r="B3416" s="69"/>
    </row>
    <row r="3417" spans="2:2" ht="12.5" hidden="1">
      <c r="B3417" s="69"/>
    </row>
    <row r="3418" spans="2:2" ht="12.5" hidden="1">
      <c r="B3418" s="69"/>
    </row>
    <row r="3419" spans="2:2" ht="12.5" hidden="1">
      <c r="B3419" s="69"/>
    </row>
    <row r="3420" spans="2:2" ht="12.5" hidden="1">
      <c r="B3420" s="69"/>
    </row>
    <row r="3421" spans="2:2" ht="12.5" hidden="1">
      <c r="B3421" s="69"/>
    </row>
    <row r="3422" spans="2:2" ht="12.5" hidden="1">
      <c r="B3422" s="69"/>
    </row>
    <row r="3423" spans="2:2" ht="12.5" hidden="1">
      <c r="B3423" s="69"/>
    </row>
    <row r="3424" spans="2:2" ht="12.5" hidden="1">
      <c r="B3424" s="69"/>
    </row>
    <row r="3425" spans="2:2" ht="12.5" hidden="1">
      <c r="B3425" s="69"/>
    </row>
    <row r="3426" spans="2:2" ht="12.5" hidden="1">
      <c r="B3426" s="69"/>
    </row>
    <row r="3427" spans="2:2" ht="12.5" hidden="1">
      <c r="B3427" s="69"/>
    </row>
    <row r="3428" spans="2:2" ht="12.5" hidden="1">
      <c r="B3428" s="69"/>
    </row>
    <row r="3429" spans="2:2" ht="12.5" hidden="1">
      <c r="B3429" s="69"/>
    </row>
    <row r="3430" spans="2:2" ht="12.5" hidden="1">
      <c r="B3430" s="69"/>
    </row>
    <row r="3431" spans="2:2" ht="12.5" hidden="1">
      <c r="B3431" s="69"/>
    </row>
    <row r="3432" spans="2:2" ht="12.5" hidden="1">
      <c r="B3432" s="69"/>
    </row>
    <row r="3433" spans="2:2" ht="12.5" hidden="1">
      <c r="B3433" s="69"/>
    </row>
    <row r="3434" spans="2:2" ht="12.5" hidden="1">
      <c r="B3434" s="69"/>
    </row>
    <row r="3435" spans="2:2" ht="12.5" hidden="1">
      <c r="B3435" s="69"/>
    </row>
    <row r="3436" spans="2:2" ht="12.5" hidden="1">
      <c r="B3436" s="69"/>
    </row>
    <row r="3437" spans="2:2" ht="12.5" hidden="1">
      <c r="B3437" s="69"/>
    </row>
    <row r="3438" spans="2:2" ht="12.5" hidden="1">
      <c r="B3438" s="69"/>
    </row>
    <row r="3439" spans="2:2" ht="12.5" hidden="1">
      <c r="B3439" s="69"/>
    </row>
    <row r="3440" spans="2:2" ht="12.5" hidden="1">
      <c r="B3440" s="69"/>
    </row>
    <row r="3441" spans="2:2" ht="12.5" hidden="1">
      <c r="B3441" s="69"/>
    </row>
    <row r="3442" spans="2:2" ht="12.5" hidden="1">
      <c r="B3442" s="69"/>
    </row>
    <row r="3443" spans="2:2" ht="12.5" hidden="1">
      <c r="B3443" s="69"/>
    </row>
    <row r="3444" spans="2:2" ht="12.5" hidden="1">
      <c r="B3444" s="69"/>
    </row>
    <row r="3445" spans="2:2" ht="12.5" hidden="1">
      <c r="B3445" s="69"/>
    </row>
    <row r="3446" spans="2:2" ht="12.5" hidden="1">
      <c r="B3446" s="69"/>
    </row>
    <row r="3447" spans="2:2" ht="12.5" hidden="1">
      <c r="B3447" s="69"/>
    </row>
    <row r="3448" spans="2:2" ht="12.5" hidden="1">
      <c r="B3448" s="69"/>
    </row>
    <row r="3449" spans="2:2" ht="12.5" hidden="1">
      <c r="B3449" s="69"/>
    </row>
    <row r="3450" spans="2:2" ht="12.5" hidden="1">
      <c r="B3450" s="69"/>
    </row>
    <row r="3451" spans="2:2" ht="12.5" hidden="1">
      <c r="B3451" s="69"/>
    </row>
    <row r="3452" spans="2:2" ht="12.5" hidden="1">
      <c r="B3452" s="69"/>
    </row>
    <row r="3453" spans="2:2" ht="12.5" hidden="1">
      <c r="B3453" s="69"/>
    </row>
    <row r="3454" spans="2:2" ht="12.5" hidden="1">
      <c r="B3454" s="69"/>
    </row>
    <row r="3455" spans="2:2" ht="12.5" hidden="1">
      <c r="B3455" s="69"/>
    </row>
    <row r="3456" spans="2:2" ht="12.5" hidden="1">
      <c r="B3456" s="69"/>
    </row>
    <row r="3457" spans="2:2" ht="12.5" hidden="1">
      <c r="B3457" s="69"/>
    </row>
    <row r="3458" spans="2:2" ht="12.5" hidden="1">
      <c r="B3458" s="69"/>
    </row>
    <row r="3459" spans="2:2" ht="12.5" hidden="1">
      <c r="B3459" s="69"/>
    </row>
    <row r="3460" spans="2:2" ht="12.5" hidden="1">
      <c r="B3460" s="69"/>
    </row>
    <row r="3461" spans="2:2" ht="12.5" hidden="1">
      <c r="B3461" s="69"/>
    </row>
    <row r="3462" spans="2:2" ht="12.5" hidden="1">
      <c r="B3462" s="69"/>
    </row>
    <row r="3463" spans="2:2" ht="12.5" hidden="1">
      <c r="B3463" s="69"/>
    </row>
    <row r="3464" spans="2:2" ht="12.5" hidden="1">
      <c r="B3464" s="69"/>
    </row>
    <row r="3465" spans="2:2" ht="12.5" hidden="1">
      <c r="B3465" s="69"/>
    </row>
    <row r="3466" spans="2:2" ht="12.5" hidden="1">
      <c r="B3466" s="69"/>
    </row>
    <row r="3467" spans="2:2" ht="12.5" hidden="1">
      <c r="B3467" s="69"/>
    </row>
    <row r="3468" spans="2:2" ht="12.5" hidden="1">
      <c r="B3468" s="69"/>
    </row>
    <row r="3469" spans="2:2" ht="12.5" hidden="1">
      <c r="B3469" s="69"/>
    </row>
    <row r="3470" spans="2:2" ht="12.5" hidden="1">
      <c r="B3470" s="69"/>
    </row>
    <row r="3471" spans="2:2" ht="12.5" hidden="1">
      <c r="B3471" s="69"/>
    </row>
    <row r="3472" spans="2:2" ht="12.5" hidden="1">
      <c r="B3472" s="69"/>
    </row>
    <row r="3473" spans="2:2" ht="12.5" hidden="1">
      <c r="B3473" s="69"/>
    </row>
    <row r="3474" spans="2:2" ht="12.5" hidden="1">
      <c r="B3474" s="69"/>
    </row>
    <row r="3475" spans="2:2" ht="12.5" hidden="1">
      <c r="B3475" s="69"/>
    </row>
    <row r="3476" spans="2:2" ht="12.5" hidden="1">
      <c r="B3476" s="69"/>
    </row>
    <row r="3477" spans="2:2" ht="12.5" hidden="1">
      <c r="B3477" s="69"/>
    </row>
    <row r="3478" spans="2:2" ht="12.5" hidden="1">
      <c r="B3478" s="69"/>
    </row>
    <row r="3479" spans="2:2" ht="12.5" hidden="1">
      <c r="B3479" s="69"/>
    </row>
    <row r="3480" spans="2:2" ht="12.5" hidden="1">
      <c r="B3480" s="69"/>
    </row>
    <row r="3481" spans="2:2" ht="12.5" hidden="1">
      <c r="B3481" s="69"/>
    </row>
    <row r="3482" spans="2:2" ht="12.5" hidden="1">
      <c r="B3482" s="69"/>
    </row>
    <row r="3483" spans="2:2" ht="12.5" hidden="1">
      <c r="B3483" s="69"/>
    </row>
    <row r="3484" spans="2:2" ht="12.5" hidden="1">
      <c r="B3484" s="69"/>
    </row>
    <row r="3485" spans="2:2" ht="12.5" hidden="1">
      <c r="B3485" s="69"/>
    </row>
    <row r="3486" spans="2:2" ht="12.5" hidden="1">
      <c r="B3486" s="69"/>
    </row>
    <row r="3487" spans="2:2" ht="12.5" hidden="1">
      <c r="B3487" s="69"/>
    </row>
    <row r="3488" spans="2:2" ht="12.5" hidden="1">
      <c r="B3488" s="69"/>
    </row>
    <row r="3489" spans="2:2" ht="12.5" hidden="1">
      <c r="B3489" s="69"/>
    </row>
    <row r="3490" spans="2:2" ht="12.5" hidden="1">
      <c r="B3490" s="69"/>
    </row>
    <row r="3491" spans="2:2" ht="12.5" hidden="1">
      <c r="B3491" s="69"/>
    </row>
    <row r="3492" spans="2:2" ht="12.5" hidden="1">
      <c r="B3492" s="69"/>
    </row>
    <row r="3493" spans="2:2" ht="12.5" hidden="1">
      <c r="B3493" s="69"/>
    </row>
    <row r="3494" spans="2:2" ht="12.5" hidden="1">
      <c r="B3494" s="69"/>
    </row>
    <row r="3495" spans="2:2" ht="12.5" hidden="1">
      <c r="B3495" s="69"/>
    </row>
    <row r="3496" spans="2:2" ht="12.5" hidden="1">
      <c r="B3496" s="69"/>
    </row>
    <row r="3497" spans="2:2" ht="12.5" hidden="1">
      <c r="B3497" s="69"/>
    </row>
    <row r="3498" spans="2:2" ht="12.5" hidden="1">
      <c r="B3498" s="69"/>
    </row>
    <row r="3499" spans="2:2" ht="12.5" hidden="1">
      <c r="B3499" s="69"/>
    </row>
    <row r="3500" spans="2:2" ht="12.5" hidden="1">
      <c r="B3500" s="69"/>
    </row>
    <row r="3501" spans="2:2" ht="12.5" hidden="1">
      <c r="B3501" s="69"/>
    </row>
    <row r="3502" spans="2:2" ht="12.5" hidden="1">
      <c r="B3502" s="69"/>
    </row>
    <row r="3503" spans="2:2" ht="12.5" hidden="1">
      <c r="B3503" s="69"/>
    </row>
    <row r="3504" spans="2:2" ht="12.5" hidden="1">
      <c r="B3504" s="69"/>
    </row>
    <row r="3505" spans="2:2" ht="12.5" hidden="1">
      <c r="B3505" s="69"/>
    </row>
    <row r="3506" spans="2:2" ht="12.5" hidden="1">
      <c r="B3506" s="69"/>
    </row>
    <row r="3507" spans="2:2" ht="12.5" hidden="1">
      <c r="B3507" s="69"/>
    </row>
    <row r="3508" spans="2:2" ht="12.5" hidden="1">
      <c r="B3508" s="69"/>
    </row>
    <row r="3509" spans="2:2" ht="12.5" hidden="1">
      <c r="B3509" s="69"/>
    </row>
    <row r="3510" spans="2:2" ht="12.5" hidden="1">
      <c r="B3510" s="69"/>
    </row>
    <row r="3511" spans="2:2" ht="12.5" hidden="1">
      <c r="B3511" s="69"/>
    </row>
    <row r="3512" spans="2:2" ht="12.5" hidden="1">
      <c r="B3512" s="69"/>
    </row>
    <row r="3513" spans="2:2" ht="12.5" hidden="1">
      <c r="B3513" s="69"/>
    </row>
    <row r="3514" spans="2:2" ht="12.5" hidden="1">
      <c r="B3514" s="69"/>
    </row>
    <row r="3515" spans="2:2" ht="12.5" hidden="1">
      <c r="B3515" s="69"/>
    </row>
    <row r="3516" spans="2:2" ht="12.5" hidden="1">
      <c r="B3516" s="69"/>
    </row>
    <row r="3517" spans="2:2" ht="12.5" hidden="1">
      <c r="B3517" s="69"/>
    </row>
    <row r="3518" spans="2:2" ht="12.5" hidden="1">
      <c r="B3518" s="69"/>
    </row>
    <row r="3519" spans="2:2" ht="12.5" hidden="1">
      <c r="B3519" s="69"/>
    </row>
    <row r="3520" spans="2:2" ht="12.5" hidden="1">
      <c r="B3520" s="69"/>
    </row>
    <row r="3521" spans="2:2" ht="12.5" hidden="1">
      <c r="B3521" s="69"/>
    </row>
    <row r="3522" spans="2:2" ht="12.5" hidden="1">
      <c r="B3522" s="69"/>
    </row>
    <row r="3523" spans="2:2" ht="12.5" hidden="1">
      <c r="B3523" s="69"/>
    </row>
    <row r="3524" spans="2:2" ht="12.5" hidden="1">
      <c r="B3524" s="69"/>
    </row>
    <row r="3525" spans="2:2" ht="12.5" hidden="1">
      <c r="B3525" s="69"/>
    </row>
    <row r="3526" spans="2:2" ht="12.5" hidden="1">
      <c r="B3526" s="69"/>
    </row>
    <row r="3527" spans="2:2" ht="12.5" hidden="1">
      <c r="B3527" s="69"/>
    </row>
    <row r="3528" spans="2:2" ht="12.5" hidden="1">
      <c r="B3528" s="69"/>
    </row>
    <row r="3529" spans="2:2" ht="12.5" hidden="1">
      <c r="B3529" s="69"/>
    </row>
    <row r="3530" spans="2:2" ht="12.5" hidden="1">
      <c r="B3530" s="69"/>
    </row>
    <row r="3531" spans="2:2" ht="12.5" hidden="1">
      <c r="B3531" s="69"/>
    </row>
    <row r="3532" spans="2:2" ht="12.5" hidden="1">
      <c r="B3532" s="69"/>
    </row>
    <row r="3533" spans="2:2" ht="12.5" hidden="1">
      <c r="B3533" s="69"/>
    </row>
    <row r="3534" spans="2:2" ht="12.5" hidden="1">
      <c r="B3534" s="69"/>
    </row>
    <row r="3535" spans="2:2" ht="12.5" hidden="1">
      <c r="B3535" s="69"/>
    </row>
    <row r="3536" spans="2:2" ht="12.5" hidden="1">
      <c r="B3536" s="69"/>
    </row>
    <row r="3537" spans="2:2" ht="12.5" hidden="1">
      <c r="B3537" s="69"/>
    </row>
    <row r="3538" spans="2:2" ht="12.5" hidden="1">
      <c r="B3538" s="69"/>
    </row>
    <row r="3539" spans="2:2" ht="12.5" hidden="1">
      <c r="B3539" s="69"/>
    </row>
    <row r="3540" spans="2:2" ht="12.5" hidden="1">
      <c r="B3540" s="69"/>
    </row>
    <row r="3541" spans="2:2" ht="12.5" hidden="1">
      <c r="B3541" s="69"/>
    </row>
    <row r="3542" spans="2:2" ht="12.5" hidden="1">
      <c r="B3542" s="69"/>
    </row>
    <row r="3543" spans="2:2" ht="12.5" hidden="1">
      <c r="B3543" s="69"/>
    </row>
    <row r="3544" spans="2:2" ht="12.5" hidden="1">
      <c r="B3544" s="69"/>
    </row>
    <row r="3545" spans="2:2" ht="12.5" hidden="1">
      <c r="B3545" s="69"/>
    </row>
    <row r="3546" spans="2:2" ht="12.5" hidden="1">
      <c r="B3546" s="69"/>
    </row>
    <row r="3547" spans="2:2" ht="12.5" hidden="1">
      <c r="B3547" s="69"/>
    </row>
    <row r="3548" spans="2:2" ht="12.5" hidden="1">
      <c r="B3548" s="69"/>
    </row>
    <row r="3549" spans="2:2" ht="12.5" hidden="1">
      <c r="B3549" s="69"/>
    </row>
    <row r="3550" spans="2:2" ht="12.5" hidden="1">
      <c r="B3550" s="69"/>
    </row>
    <row r="3551" spans="2:2" ht="12.5" hidden="1">
      <c r="B3551" s="69"/>
    </row>
    <row r="3552" spans="2:2" ht="12.5" hidden="1">
      <c r="B3552" s="69"/>
    </row>
    <row r="3553" spans="2:2" ht="12.5" hidden="1">
      <c r="B3553" s="69"/>
    </row>
    <row r="3554" spans="2:2" ht="12.5" hidden="1">
      <c r="B3554" s="69"/>
    </row>
    <row r="3555" spans="2:2" ht="12.5" hidden="1">
      <c r="B3555" s="69"/>
    </row>
    <row r="3556" spans="2:2" ht="12.5" hidden="1">
      <c r="B3556" s="69"/>
    </row>
    <row r="3557" spans="2:2" ht="12.5" hidden="1">
      <c r="B3557" s="69"/>
    </row>
    <row r="3558" spans="2:2" ht="12.5" hidden="1">
      <c r="B3558" s="69"/>
    </row>
    <row r="3559" spans="2:2" ht="12.5" hidden="1">
      <c r="B3559" s="69"/>
    </row>
    <row r="3560" spans="2:2" ht="12.5" hidden="1">
      <c r="B3560" s="69"/>
    </row>
    <row r="3561" spans="2:2" ht="12.5" hidden="1">
      <c r="B3561" s="69"/>
    </row>
    <row r="3562" spans="2:2" ht="12.5" hidden="1">
      <c r="B3562" s="69"/>
    </row>
    <row r="3563" spans="2:2" ht="12.5" hidden="1">
      <c r="B3563" s="69"/>
    </row>
    <row r="3564" spans="2:2" ht="12.5" hidden="1">
      <c r="B3564" s="69"/>
    </row>
    <row r="3565" spans="2:2" ht="12.5" hidden="1">
      <c r="B3565" s="69"/>
    </row>
    <row r="3566" spans="2:2" ht="12.5" hidden="1">
      <c r="B3566" s="69"/>
    </row>
    <row r="3567" spans="2:2" ht="12.5" hidden="1">
      <c r="B3567" s="69"/>
    </row>
    <row r="3568" spans="2:2" ht="12.5" hidden="1">
      <c r="B3568" s="69"/>
    </row>
    <row r="3569" spans="2:2" ht="12.5" hidden="1">
      <c r="B3569" s="69"/>
    </row>
    <row r="3570" spans="2:2" ht="12.5" hidden="1">
      <c r="B3570" s="69"/>
    </row>
    <row r="3571" spans="2:2" ht="12.5" hidden="1">
      <c r="B3571" s="69"/>
    </row>
    <row r="3572" spans="2:2" ht="12.5" hidden="1">
      <c r="B3572" s="69"/>
    </row>
    <row r="3573" spans="2:2" ht="12.5" hidden="1">
      <c r="B3573" s="69"/>
    </row>
    <row r="3574" spans="2:2" ht="12.5" hidden="1">
      <c r="B3574" s="69"/>
    </row>
    <row r="3575" spans="2:2" ht="12.5" hidden="1">
      <c r="B3575" s="69"/>
    </row>
    <row r="3576" spans="2:2" ht="12.5" hidden="1">
      <c r="B3576" s="69"/>
    </row>
    <row r="3577" spans="2:2" ht="12.5" hidden="1">
      <c r="B3577" s="69"/>
    </row>
    <row r="3578" spans="2:2" ht="12.5" hidden="1">
      <c r="B3578" s="69"/>
    </row>
    <row r="3579" spans="2:2" ht="12.5" hidden="1">
      <c r="B3579" s="69"/>
    </row>
    <row r="3580" spans="2:2" ht="12.5" hidden="1">
      <c r="B3580" s="69"/>
    </row>
    <row r="3581" spans="2:2" ht="12.5" hidden="1">
      <c r="B3581" s="69"/>
    </row>
    <row r="3582" spans="2:2" ht="12.5" hidden="1">
      <c r="B3582" s="69"/>
    </row>
    <row r="3583" spans="2:2" ht="12.5" hidden="1">
      <c r="B3583" s="69"/>
    </row>
    <row r="3584" spans="2:2" ht="12.5" hidden="1">
      <c r="B3584" s="69"/>
    </row>
    <row r="3585" spans="2:2" ht="12.5" hidden="1">
      <c r="B3585" s="69"/>
    </row>
    <row r="3586" spans="2:2" ht="12.5" hidden="1">
      <c r="B3586" s="69"/>
    </row>
    <row r="3587" spans="2:2" ht="12.5" hidden="1">
      <c r="B3587" s="69"/>
    </row>
    <row r="3588" spans="2:2" ht="12.5" hidden="1">
      <c r="B3588" s="69"/>
    </row>
    <row r="3589" spans="2:2" ht="12.5" hidden="1">
      <c r="B3589" s="69"/>
    </row>
    <row r="3590" spans="2:2" ht="12.5" hidden="1">
      <c r="B3590" s="69"/>
    </row>
    <row r="3591" spans="2:2" ht="12.5" hidden="1">
      <c r="B3591" s="69"/>
    </row>
    <row r="3592" spans="2:2" ht="12.5" hidden="1">
      <c r="B3592" s="69"/>
    </row>
    <row r="3593" spans="2:2" ht="12.5" hidden="1">
      <c r="B3593" s="69"/>
    </row>
    <row r="3594" spans="2:2" ht="12.5" hidden="1">
      <c r="B3594" s="69"/>
    </row>
    <row r="3595" spans="2:2" ht="12.5" hidden="1">
      <c r="B3595" s="69"/>
    </row>
    <row r="3596" spans="2:2" ht="12.5" hidden="1">
      <c r="B3596" s="69"/>
    </row>
    <row r="3597" spans="2:2" ht="12.5" hidden="1">
      <c r="B3597" s="69"/>
    </row>
    <row r="3598" spans="2:2" ht="12.5" hidden="1">
      <c r="B3598" s="69"/>
    </row>
    <row r="3599" spans="2:2" ht="12.5" hidden="1">
      <c r="B3599" s="69"/>
    </row>
    <row r="3600" spans="2:2" ht="12.5" hidden="1">
      <c r="B3600" s="69"/>
    </row>
    <row r="3601" spans="2:2" ht="12.5" hidden="1">
      <c r="B3601" s="69"/>
    </row>
    <row r="3602" spans="2:2" ht="12.5" hidden="1">
      <c r="B3602" s="69"/>
    </row>
    <row r="3603" spans="2:2" ht="12.5" hidden="1">
      <c r="B3603" s="69"/>
    </row>
    <row r="3604" spans="2:2" ht="12.5" hidden="1">
      <c r="B3604" s="69"/>
    </row>
    <row r="3605" spans="2:2" ht="12.5" hidden="1">
      <c r="B3605" s="69"/>
    </row>
    <row r="3606" spans="2:2" ht="12.5" hidden="1">
      <c r="B3606" s="69"/>
    </row>
    <row r="3607" spans="2:2" ht="12.5" hidden="1">
      <c r="B3607" s="69"/>
    </row>
    <row r="3608" spans="2:2" ht="12.5" hidden="1">
      <c r="B3608" s="69"/>
    </row>
    <row r="3609" spans="2:2" ht="12.5" hidden="1">
      <c r="B3609" s="69"/>
    </row>
    <row r="3610" spans="2:2" ht="12.5" hidden="1">
      <c r="B3610" s="69"/>
    </row>
    <row r="3611" spans="2:2" ht="12.5" hidden="1">
      <c r="B3611" s="69"/>
    </row>
    <row r="3612" spans="2:2" ht="12.5" hidden="1">
      <c r="B3612" s="69"/>
    </row>
    <row r="3613" spans="2:2" ht="12.5" hidden="1">
      <c r="B3613" s="69"/>
    </row>
    <row r="3614" spans="2:2" ht="12.5" hidden="1">
      <c r="B3614" s="69"/>
    </row>
    <row r="3615" spans="2:2" ht="12.5" hidden="1">
      <c r="B3615" s="69"/>
    </row>
    <row r="3616" spans="2:2" ht="12.5" hidden="1">
      <c r="B3616" s="69"/>
    </row>
    <row r="3617" spans="2:2" ht="12.5" hidden="1">
      <c r="B3617" s="69"/>
    </row>
    <row r="3618" spans="2:2" ht="12.5" hidden="1">
      <c r="B3618" s="69"/>
    </row>
    <row r="3619" spans="2:2" ht="12.5" hidden="1">
      <c r="B3619" s="69"/>
    </row>
    <row r="3620" spans="2:2" ht="12.5" hidden="1">
      <c r="B3620" s="69"/>
    </row>
    <row r="3621" spans="2:2" ht="12.5" hidden="1">
      <c r="B3621" s="69"/>
    </row>
    <row r="3622" spans="2:2" ht="12.5" hidden="1">
      <c r="B3622" s="69"/>
    </row>
    <row r="3623" spans="2:2" ht="12.5" hidden="1">
      <c r="B3623" s="69"/>
    </row>
    <row r="3624" spans="2:2" ht="12.5" hidden="1">
      <c r="B3624" s="69"/>
    </row>
    <row r="3625" spans="2:2" ht="12.5" hidden="1">
      <c r="B3625" s="69"/>
    </row>
    <row r="3626" spans="2:2" ht="12.5" hidden="1">
      <c r="B3626" s="69"/>
    </row>
    <row r="3627" spans="2:2" ht="12.5" hidden="1">
      <c r="B3627" s="69"/>
    </row>
    <row r="3628" spans="2:2" ht="12.5" hidden="1">
      <c r="B3628" s="69"/>
    </row>
    <row r="3629" spans="2:2" ht="12.5" hidden="1">
      <c r="B3629" s="69"/>
    </row>
    <row r="3630" spans="2:2" ht="12.5" hidden="1">
      <c r="B3630" s="69"/>
    </row>
    <row r="3631" spans="2:2" ht="12.5" hidden="1">
      <c r="B3631" s="69"/>
    </row>
    <row r="3632" spans="2:2" ht="12.5" hidden="1">
      <c r="B3632" s="69"/>
    </row>
    <row r="3633" spans="2:2" ht="12.5" hidden="1">
      <c r="B3633" s="69"/>
    </row>
    <row r="3634" spans="2:2" ht="12.5" hidden="1">
      <c r="B3634" s="69"/>
    </row>
    <row r="3635" spans="2:2" ht="12.5" hidden="1">
      <c r="B3635" s="69"/>
    </row>
    <row r="3636" spans="2:2" ht="12.5" hidden="1">
      <c r="B3636" s="69"/>
    </row>
    <row r="3637" spans="2:2" ht="12.5" hidden="1">
      <c r="B3637" s="69"/>
    </row>
    <row r="3638" spans="2:2" ht="12.5" hidden="1">
      <c r="B3638" s="69"/>
    </row>
    <row r="3639" spans="2:2" ht="12.5" hidden="1">
      <c r="B3639" s="69"/>
    </row>
    <row r="3640" spans="2:2" ht="12.5" hidden="1">
      <c r="B3640" s="69"/>
    </row>
    <row r="3641" spans="2:2" ht="12.5" hidden="1">
      <c r="B3641" s="69"/>
    </row>
    <row r="3642" spans="2:2" ht="12.5" hidden="1">
      <c r="B3642" s="69"/>
    </row>
    <row r="3643" spans="2:2" ht="12.5" hidden="1">
      <c r="B3643" s="69"/>
    </row>
    <row r="3644" spans="2:2" ht="12.5" hidden="1">
      <c r="B3644" s="69"/>
    </row>
    <row r="3645" spans="2:2" ht="12.5" hidden="1">
      <c r="B3645" s="69"/>
    </row>
    <row r="3646" spans="2:2" ht="12.5" hidden="1">
      <c r="B3646" s="69"/>
    </row>
    <row r="3647" spans="2:2" ht="12.5" hidden="1">
      <c r="B3647" s="69"/>
    </row>
    <row r="3648" spans="2:2" ht="12.5" hidden="1">
      <c r="B3648" s="69"/>
    </row>
    <row r="3649" spans="2:2" ht="12.5" hidden="1">
      <c r="B3649" s="69"/>
    </row>
    <row r="3650" spans="2:2" ht="12.5" hidden="1">
      <c r="B3650" s="69"/>
    </row>
    <row r="3651" spans="2:2" ht="12.5" hidden="1">
      <c r="B3651" s="69"/>
    </row>
    <row r="3652" spans="2:2" ht="12.5" hidden="1">
      <c r="B3652" s="69"/>
    </row>
    <row r="3653" spans="2:2" ht="12.5" hidden="1">
      <c r="B3653" s="69"/>
    </row>
    <row r="3654" spans="2:2" ht="12.5" hidden="1">
      <c r="B3654" s="69"/>
    </row>
    <row r="3655" spans="2:2" ht="12.5" hidden="1">
      <c r="B3655" s="69"/>
    </row>
    <row r="3656" spans="2:2" ht="12.5" hidden="1">
      <c r="B3656" s="69"/>
    </row>
    <row r="3657" spans="2:2" ht="12.5" hidden="1">
      <c r="B3657" s="69"/>
    </row>
    <row r="3658" spans="2:2" ht="12.5" hidden="1">
      <c r="B3658" s="69"/>
    </row>
    <row r="3659" spans="2:2" ht="12.5" hidden="1">
      <c r="B3659" s="69"/>
    </row>
    <row r="3660" spans="2:2" ht="12.5" hidden="1">
      <c r="B3660" s="69"/>
    </row>
    <row r="3661" spans="2:2" ht="12.5" hidden="1">
      <c r="B3661" s="69"/>
    </row>
    <row r="3662" spans="2:2" ht="12.5" hidden="1">
      <c r="B3662" s="69"/>
    </row>
    <row r="3663" spans="2:2" ht="12.5" hidden="1">
      <c r="B3663" s="69"/>
    </row>
    <row r="3664" spans="2:2" ht="12.5" hidden="1">
      <c r="B3664" s="69"/>
    </row>
    <row r="3665" spans="2:2" ht="12.5" hidden="1">
      <c r="B3665" s="69"/>
    </row>
    <row r="3666" spans="2:2" ht="12.5" hidden="1">
      <c r="B3666" s="69"/>
    </row>
    <row r="3667" spans="2:2" ht="12.5" hidden="1">
      <c r="B3667" s="69"/>
    </row>
    <row r="3668" spans="2:2" ht="12.5" hidden="1">
      <c r="B3668" s="69"/>
    </row>
    <row r="3669" spans="2:2" ht="12.5" hidden="1">
      <c r="B3669" s="69"/>
    </row>
    <row r="3670" spans="2:2" ht="12.5" hidden="1">
      <c r="B3670" s="69"/>
    </row>
    <row r="3671" spans="2:2" ht="12.5" hidden="1">
      <c r="B3671" s="69"/>
    </row>
    <row r="3672" spans="2:2" ht="12.5" hidden="1">
      <c r="B3672" s="69"/>
    </row>
    <row r="3673" spans="2:2" ht="12.5" hidden="1">
      <c r="B3673" s="69"/>
    </row>
    <row r="3674" spans="2:2" ht="12.5" hidden="1">
      <c r="B3674" s="69"/>
    </row>
    <row r="3675" spans="2:2" ht="12.5" hidden="1">
      <c r="B3675" s="69"/>
    </row>
    <row r="3676" spans="2:2" ht="12.5" hidden="1">
      <c r="B3676" s="69"/>
    </row>
    <row r="3677" spans="2:2" ht="12.5" hidden="1">
      <c r="B3677" s="69"/>
    </row>
    <row r="3678" spans="2:2" ht="12.5" hidden="1">
      <c r="B3678" s="69"/>
    </row>
    <row r="3679" spans="2:2" ht="12.5" hidden="1">
      <c r="B3679" s="69"/>
    </row>
    <row r="3680" spans="2:2" ht="12.5" hidden="1">
      <c r="B3680" s="69"/>
    </row>
    <row r="3681" spans="2:2" ht="12.5" hidden="1">
      <c r="B3681" s="69"/>
    </row>
    <row r="3682" spans="2:2" ht="12.5" hidden="1">
      <c r="B3682" s="69"/>
    </row>
    <row r="3683" spans="2:2" ht="12.5" hidden="1">
      <c r="B3683" s="69"/>
    </row>
    <row r="3684" spans="2:2" ht="12.5" hidden="1">
      <c r="B3684" s="69"/>
    </row>
    <row r="3685" spans="2:2" ht="12.5" hidden="1">
      <c r="B3685" s="69"/>
    </row>
    <row r="3686" spans="2:2" ht="12.5" hidden="1">
      <c r="B3686" s="69"/>
    </row>
    <row r="3687" spans="2:2" ht="12.5" hidden="1">
      <c r="B3687" s="69"/>
    </row>
    <row r="3688" spans="2:2" ht="12.5" hidden="1">
      <c r="B3688" s="69"/>
    </row>
    <row r="3689" spans="2:2" ht="12.5" hidden="1">
      <c r="B3689" s="69"/>
    </row>
    <row r="3690" spans="2:2" ht="12.5" hidden="1">
      <c r="B3690" s="69"/>
    </row>
    <row r="3691" spans="2:2" ht="12.5" hidden="1">
      <c r="B3691" s="69"/>
    </row>
    <row r="3692" spans="2:2" ht="12.5" hidden="1">
      <c r="B3692" s="69"/>
    </row>
    <row r="3693" spans="2:2" ht="12.5" hidden="1">
      <c r="B3693" s="69"/>
    </row>
    <row r="3694" spans="2:2" ht="12.5" hidden="1">
      <c r="B3694" s="69"/>
    </row>
    <row r="3695" spans="2:2" ht="12.5" hidden="1">
      <c r="B3695" s="69"/>
    </row>
    <row r="3696" spans="2:2" ht="12.5" hidden="1">
      <c r="B3696" s="69"/>
    </row>
    <row r="3697" spans="2:2" ht="12.5" hidden="1">
      <c r="B3697" s="69"/>
    </row>
    <row r="3698" spans="2:2" ht="12.5" hidden="1">
      <c r="B3698" s="69"/>
    </row>
    <row r="3699" spans="2:2" ht="12.5" hidden="1">
      <c r="B3699" s="69"/>
    </row>
    <row r="3700" spans="2:2" ht="12.5" hidden="1">
      <c r="B3700" s="69"/>
    </row>
    <row r="3701" spans="2:2" ht="12.5" hidden="1">
      <c r="B3701" s="69"/>
    </row>
    <row r="3702" spans="2:2" ht="12.5" hidden="1">
      <c r="B3702" s="69"/>
    </row>
    <row r="3703" spans="2:2" ht="12.5" hidden="1">
      <c r="B3703" s="69"/>
    </row>
    <row r="3704" spans="2:2" ht="12.5" hidden="1">
      <c r="B3704" s="69"/>
    </row>
    <row r="3705" spans="2:2" ht="12.5" hidden="1">
      <c r="B3705" s="69"/>
    </row>
    <row r="3706" spans="2:2" ht="12.5" hidden="1">
      <c r="B3706" s="69"/>
    </row>
    <row r="3707" spans="2:2" ht="12.5" hidden="1">
      <c r="B3707" s="69"/>
    </row>
    <row r="3708" spans="2:2" ht="12.5" hidden="1">
      <c r="B3708" s="69"/>
    </row>
    <row r="3709" spans="2:2" ht="12.5" hidden="1">
      <c r="B3709" s="69"/>
    </row>
    <row r="3710" spans="2:2" ht="12.5" hidden="1">
      <c r="B3710" s="69"/>
    </row>
    <row r="3711" spans="2:2" ht="12.5" hidden="1">
      <c r="B3711" s="69"/>
    </row>
    <row r="3712" spans="2:2" ht="12.5" hidden="1">
      <c r="B3712" s="69"/>
    </row>
    <row r="3713" spans="2:2" ht="12.5" hidden="1">
      <c r="B3713" s="69"/>
    </row>
    <row r="3714" spans="2:2" ht="12.5" hidden="1">
      <c r="B3714" s="69"/>
    </row>
    <row r="3715" spans="2:2" ht="12.5" hidden="1">
      <c r="B3715" s="69"/>
    </row>
    <row r="3716" spans="2:2" ht="12.5" hidden="1">
      <c r="B3716" s="69"/>
    </row>
    <row r="3717" spans="2:2" ht="12.5" hidden="1">
      <c r="B3717" s="69"/>
    </row>
    <row r="3718" spans="2:2" ht="12.5" hidden="1">
      <c r="B3718" s="69"/>
    </row>
    <row r="3719" spans="2:2" ht="12.5" hidden="1">
      <c r="B3719" s="69"/>
    </row>
    <row r="3720" spans="2:2" ht="12.5" hidden="1">
      <c r="B3720" s="69"/>
    </row>
    <row r="3721" spans="2:2" ht="12.5" hidden="1">
      <c r="B3721" s="69"/>
    </row>
    <row r="3722" spans="2:2" ht="12.5" hidden="1">
      <c r="B3722" s="69"/>
    </row>
    <row r="3723" spans="2:2" ht="12.5" hidden="1">
      <c r="B3723" s="69"/>
    </row>
    <row r="3724" spans="2:2" ht="12.5" hidden="1">
      <c r="B3724" s="69"/>
    </row>
    <row r="3725" spans="2:2" ht="12.5" hidden="1">
      <c r="B3725" s="69"/>
    </row>
    <row r="3726" spans="2:2" ht="12.5" hidden="1">
      <c r="B3726" s="69"/>
    </row>
    <row r="3727" spans="2:2" ht="12.5" hidden="1">
      <c r="B3727" s="69"/>
    </row>
    <row r="3728" spans="2:2" ht="12.5" hidden="1">
      <c r="B3728" s="69"/>
    </row>
    <row r="3729" spans="2:2" ht="12.5" hidden="1">
      <c r="B3729" s="69"/>
    </row>
    <row r="3730" spans="2:2" ht="12.5" hidden="1">
      <c r="B3730" s="69"/>
    </row>
    <row r="3731" spans="2:2" ht="12.5" hidden="1">
      <c r="B3731" s="69"/>
    </row>
    <row r="3732" spans="2:2" ht="12.5" hidden="1">
      <c r="B3732" s="69"/>
    </row>
    <row r="3733" spans="2:2" ht="12.5" hidden="1">
      <c r="B3733" s="69"/>
    </row>
    <row r="3734" spans="2:2" ht="12.5" hidden="1">
      <c r="B3734" s="69"/>
    </row>
    <row r="3735" spans="2:2" ht="12.5" hidden="1">
      <c r="B3735" s="69"/>
    </row>
    <row r="3736" spans="2:2" ht="12.5" hidden="1">
      <c r="B3736" s="69"/>
    </row>
    <row r="3737" spans="2:2" ht="12.5" hidden="1">
      <c r="B3737" s="69"/>
    </row>
    <row r="3738" spans="2:2" ht="12.5" hidden="1">
      <c r="B3738" s="69"/>
    </row>
    <row r="3739" spans="2:2" ht="12.5" hidden="1">
      <c r="B3739" s="69"/>
    </row>
    <row r="3740" spans="2:2" ht="12.5" hidden="1">
      <c r="B3740" s="69"/>
    </row>
    <row r="3741" spans="2:2" ht="12.5" hidden="1">
      <c r="B3741" s="69"/>
    </row>
    <row r="3742" spans="2:2" ht="12.5" hidden="1">
      <c r="B3742" s="69"/>
    </row>
    <row r="3743" spans="2:2" ht="12.5" hidden="1">
      <c r="B3743" s="69"/>
    </row>
    <row r="3744" spans="2:2" ht="12.5" hidden="1">
      <c r="B3744" s="69"/>
    </row>
    <row r="3745" spans="2:2" ht="12.5" hidden="1">
      <c r="B3745" s="69"/>
    </row>
    <row r="3746" spans="2:2" ht="12.5" hidden="1">
      <c r="B3746" s="69"/>
    </row>
    <row r="3747" spans="2:2" ht="12.5" hidden="1">
      <c r="B3747" s="69"/>
    </row>
    <row r="3748" spans="2:2" ht="12.5" hidden="1">
      <c r="B3748" s="69"/>
    </row>
    <row r="3749" spans="2:2" ht="12.5" hidden="1">
      <c r="B3749" s="69"/>
    </row>
    <row r="3750" spans="2:2" ht="12.5" hidden="1">
      <c r="B3750" s="69"/>
    </row>
    <row r="3751" spans="2:2" ht="12.5" hidden="1">
      <c r="B3751" s="69"/>
    </row>
    <row r="3752" spans="2:2" ht="12.5" hidden="1">
      <c r="B3752" s="69"/>
    </row>
    <row r="3753" spans="2:2" ht="12.5" hidden="1">
      <c r="B3753" s="69"/>
    </row>
    <row r="3754" spans="2:2" ht="12.5" hidden="1">
      <c r="B3754" s="69"/>
    </row>
    <row r="3755" spans="2:2" ht="12.5" hidden="1">
      <c r="B3755" s="69"/>
    </row>
    <row r="3756" spans="2:2" ht="12.5" hidden="1">
      <c r="B3756" s="69"/>
    </row>
    <row r="3757" spans="2:2" ht="12.5" hidden="1">
      <c r="B3757" s="69"/>
    </row>
    <row r="3758" spans="2:2" ht="12.5" hidden="1">
      <c r="B3758" s="69"/>
    </row>
    <row r="3759" spans="2:2" ht="12.5" hidden="1">
      <c r="B3759" s="69"/>
    </row>
    <row r="3760" spans="2:2" ht="12.5" hidden="1">
      <c r="B3760" s="69"/>
    </row>
    <row r="3761" spans="2:2" ht="12.5" hidden="1">
      <c r="B3761" s="69"/>
    </row>
    <row r="3762" spans="2:2" ht="12.5" hidden="1">
      <c r="B3762" s="69"/>
    </row>
    <row r="3763" spans="2:2" ht="12.5" hidden="1">
      <c r="B3763" s="69"/>
    </row>
    <row r="3764" spans="2:2" ht="12.5" hidden="1">
      <c r="B3764" s="69"/>
    </row>
    <row r="3765" spans="2:2" ht="12.5" hidden="1">
      <c r="B3765" s="69"/>
    </row>
    <row r="3766" spans="2:2" ht="12.5" hidden="1">
      <c r="B3766" s="69"/>
    </row>
    <row r="3767" spans="2:2" ht="12.5" hidden="1">
      <c r="B3767" s="69"/>
    </row>
    <row r="3768" spans="2:2" ht="12.5" hidden="1">
      <c r="B3768" s="69"/>
    </row>
    <row r="3769" spans="2:2" ht="12.5" hidden="1">
      <c r="B3769" s="69"/>
    </row>
    <row r="3770" spans="2:2" ht="12.5" hidden="1">
      <c r="B3770" s="69"/>
    </row>
    <row r="3771" spans="2:2" ht="12.5" hidden="1">
      <c r="B3771" s="69"/>
    </row>
    <row r="3772" spans="2:2" ht="12.5" hidden="1">
      <c r="B3772" s="69"/>
    </row>
    <row r="3773" spans="2:2" ht="12.5" hidden="1">
      <c r="B3773" s="69"/>
    </row>
    <row r="3774" spans="2:2" ht="12.5" hidden="1">
      <c r="B3774" s="69"/>
    </row>
    <row r="3775" spans="2:2" ht="12.5" hidden="1">
      <c r="B3775" s="69"/>
    </row>
    <row r="3776" spans="2:2" ht="12.5" hidden="1">
      <c r="B3776" s="69"/>
    </row>
    <row r="3777" spans="2:2" ht="12.5" hidden="1">
      <c r="B3777" s="69"/>
    </row>
    <row r="3778" spans="2:2" ht="12.5" hidden="1">
      <c r="B3778" s="69"/>
    </row>
    <row r="3779" spans="2:2" ht="12.5" hidden="1">
      <c r="B3779" s="69"/>
    </row>
    <row r="3780" spans="2:2" ht="12.5" hidden="1">
      <c r="B3780" s="69"/>
    </row>
    <row r="3781" spans="2:2" ht="12.5" hidden="1">
      <c r="B3781" s="69"/>
    </row>
    <row r="3782" spans="2:2" ht="12.5" hidden="1">
      <c r="B3782" s="69"/>
    </row>
    <row r="3783" spans="2:2" ht="12.5" hidden="1">
      <c r="B3783" s="69"/>
    </row>
    <row r="3784" spans="2:2" ht="12.5" hidden="1">
      <c r="B3784" s="69"/>
    </row>
    <row r="3785" spans="2:2" ht="12.5" hidden="1">
      <c r="B3785" s="69"/>
    </row>
    <row r="3786" spans="2:2" ht="12.5" hidden="1">
      <c r="B3786" s="69"/>
    </row>
    <row r="3787" spans="2:2" ht="12.5" hidden="1">
      <c r="B3787" s="69"/>
    </row>
    <row r="3788" spans="2:2" ht="12.5" hidden="1">
      <c r="B3788" s="69"/>
    </row>
    <row r="3789" spans="2:2" ht="12.5" hidden="1">
      <c r="B3789" s="69"/>
    </row>
    <row r="3790" spans="2:2" ht="12.5" hidden="1">
      <c r="B3790" s="69"/>
    </row>
    <row r="3791" spans="2:2" ht="12.5" hidden="1">
      <c r="B3791" s="69"/>
    </row>
    <row r="3792" spans="2:2" ht="12.5" hidden="1">
      <c r="B3792" s="69"/>
    </row>
    <row r="3793" spans="2:2" ht="12.5" hidden="1">
      <c r="B3793" s="69"/>
    </row>
    <row r="3794" spans="2:2" ht="12.5" hidden="1">
      <c r="B3794" s="69"/>
    </row>
    <row r="3795" spans="2:2" ht="12.5" hidden="1">
      <c r="B3795" s="69"/>
    </row>
    <row r="3796" spans="2:2" ht="12.5" hidden="1">
      <c r="B3796" s="69"/>
    </row>
    <row r="3797" spans="2:2" ht="12.5" hidden="1">
      <c r="B3797" s="69"/>
    </row>
    <row r="3798" spans="2:2" ht="12.5" hidden="1">
      <c r="B3798" s="69"/>
    </row>
    <row r="3799" spans="2:2" ht="12.5" hidden="1">
      <c r="B3799" s="69"/>
    </row>
    <row r="3800" spans="2:2" ht="12.5" hidden="1">
      <c r="B3800" s="69"/>
    </row>
    <row r="3801" spans="2:2" ht="12.5" hidden="1">
      <c r="B3801" s="69"/>
    </row>
    <row r="3802" spans="2:2" ht="12.5" hidden="1">
      <c r="B3802" s="69"/>
    </row>
    <row r="3803" spans="2:2" ht="12.5" hidden="1">
      <c r="B3803" s="69"/>
    </row>
    <row r="3804" spans="2:2" ht="12.5" hidden="1">
      <c r="B3804" s="69"/>
    </row>
    <row r="3805" spans="2:2" ht="12.5" hidden="1">
      <c r="B3805" s="69"/>
    </row>
    <row r="3806" spans="2:2" ht="12.5" hidden="1">
      <c r="B3806" s="69"/>
    </row>
    <row r="3807" spans="2:2" ht="12.5" hidden="1">
      <c r="B3807" s="69"/>
    </row>
    <row r="3808" spans="2:2" ht="12.5" hidden="1">
      <c r="B3808" s="69"/>
    </row>
    <row r="3809" spans="2:2" ht="12.5" hidden="1">
      <c r="B3809" s="69"/>
    </row>
    <row r="3810" spans="2:2" ht="12.5" hidden="1">
      <c r="B3810" s="69"/>
    </row>
    <row r="3811" spans="2:2" ht="12.5" hidden="1">
      <c r="B3811" s="69"/>
    </row>
    <row r="3812" spans="2:2" ht="12.5" hidden="1">
      <c r="B3812" s="69"/>
    </row>
    <row r="3813" spans="2:2" ht="12.5" hidden="1">
      <c r="B3813" s="69"/>
    </row>
    <row r="3814" spans="2:2" ht="12.5" hidden="1">
      <c r="B3814" s="69"/>
    </row>
    <row r="3815" spans="2:2" ht="12.5" hidden="1">
      <c r="B3815" s="69"/>
    </row>
    <row r="3816" spans="2:2" ht="12.5" hidden="1">
      <c r="B3816" s="69"/>
    </row>
    <row r="3817" spans="2:2" ht="12.5" hidden="1">
      <c r="B3817" s="69"/>
    </row>
    <row r="3818" spans="2:2" ht="12.5" hidden="1">
      <c r="B3818" s="69"/>
    </row>
    <row r="3819" spans="2:2" ht="12.5" hidden="1">
      <c r="B3819" s="69"/>
    </row>
    <row r="3820" spans="2:2" ht="12.5" hidden="1">
      <c r="B3820" s="69"/>
    </row>
    <row r="3821" spans="2:2" ht="12.5" hidden="1">
      <c r="B3821" s="69"/>
    </row>
    <row r="3822" spans="2:2" ht="12.5" hidden="1">
      <c r="B3822" s="69"/>
    </row>
    <row r="3823" spans="2:2" ht="12.5" hidden="1">
      <c r="B3823" s="69"/>
    </row>
    <row r="3824" spans="2:2" ht="12.5" hidden="1">
      <c r="B3824" s="69"/>
    </row>
    <row r="3825" spans="2:2" ht="12.5" hidden="1">
      <c r="B3825" s="69"/>
    </row>
    <row r="3826" spans="2:2" ht="12.5" hidden="1">
      <c r="B3826" s="69"/>
    </row>
    <row r="3827" spans="2:2" ht="12.5" hidden="1">
      <c r="B3827" s="69"/>
    </row>
    <row r="3828" spans="2:2" ht="12.5" hidden="1">
      <c r="B3828" s="69"/>
    </row>
    <row r="3829" spans="2:2" ht="12.5" hidden="1">
      <c r="B3829" s="69"/>
    </row>
    <row r="3830" spans="2:2" ht="12.5" hidden="1">
      <c r="B3830" s="69"/>
    </row>
    <row r="3831" spans="2:2" ht="12.5" hidden="1">
      <c r="B3831" s="69"/>
    </row>
    <row r="3832" spans="2:2" ht="12.5" hidden="1">
      <c r="B3832" s="69"/>
    </row>
    <row r="3833" spans="2:2" ht="12.5" hidden="1">
      <c r="B3833" s="69"/>
    </row>
    <row r="3834" spans="2:2" ht="12.5" hidden="1">
      <c r="B3834" s="69"/>
    </row>
    <row r="3835" spans="2:2" ht="12.5" hidden="1">
      <c r="B3835" s="69"/>
    </row>
    <row r="3836" spans="2:2" ht="12.5" hidden="1">
      <c r="B3836" s="69"/>
    </row>
    <row r="3837" spans="2:2" ht="12.5" hidden="1">
      <c r="B3837" s="69"/>
    </row>
    <row r="3838" spans="2:2" ht="12.5" hidden="1">
      <c r="B3838" s="69"/>
    </row>
    <row r="3839" spans="2:2" ht="12.5" hidden="1">
      <c r="B3839" s="69"/>
    </row>
    <row r="3840" spans="2:2" ht="12.5" hidden="1">
      <c r="B3840" s="69"/>
    </row>
    <row r="3841" spans="2:2" ht="12.5" hidden="1">
      <c r="B3841" s="69"/>
    </row>
    <row r="3842" spans="2:2" ht="12.5" hidden="1">
      <c r="B3842" s="69"/>
    </row>
    <row r="3843" spans="2:2" ht="12.5" hidden="1">
      <c r="B3843" s="69"/>
    </row>
    <row r="3844" spans="2:2" ht="12.5" hidden="1">
      <c r="B3844" s="69"/>
    </row>
    <row r="3845" spans="2:2" ht="12.5" hidden="1">
      <c r="B3845" s="69"/>
    </row>
    <row r="3846" spans="2:2" ht="12.5" hidden="1">
      <c r="B3846" s="69"/>
    </row>
    <row r="3847" spans="2:2" ht="12.5" hidden="1">
      <c r="B3847" s="69"/>
    </row>
    <row r="3848" spans="2:2" ht="12.5" hidden="1">
      <c r="B3848" s="69"/>
    </row>
    <row r="3849" spans="2:2" ht="12.5" hidden="1">
      <c r="B3849" s="69"/>
    </row>
    <row r="3850" spans="2:2" ht="12.5" hidden="1">
      <c r="B3850" s="69"/>
    </row>
    <row r="3851" spans="2:2" ht="12.5" hidden="1">
      <c r="B3851" s="69"/>
    </row>
    <row r="3852" spans="2:2" ht="12.5" hidden="1">
      <c r="B3852" s="69"/>
    </row>
    <row r="3853" spans="2:2" ht="12.5" hidden="1">
      <c r="B3853" s="69"/>
    </row>
    <row r="3854" spans="2:2" ht="12.5" hidden="1">
      <c r="B3854" s="69"/>
    </row>
    <row r="3855" spans="2:2" ht="12.5" hidden="1">
      <c r="B3855" s="69"/>
    </row>
    <row r="3856" spans="2:2" ht="12.5" hidden="1">
      <c r="B3856" s="69"/>
    </row>
    <row r="3857" spans="2:2" ht="12.5" hidden="1">
      <c r="B3857" s="69"/>
    </row>
    <row r="3858" spans="2:2" ht="12.5" hidden="1">
      <c r="B3858" s="69"/>
    </row>
    <row r="3859" spans="2:2" ht="12.5" hidden="1">
      <c r="B3859" s="69"/>
    </row>
    <row r="3860" spans="2:2" ht="12.5" hidden="1">
      <c r="B3860" s="69"/>
    </row>
    <row r="3861" spans="2:2" ht="12.5" hidden="1">
      <c r="B3861" s="69"/>
    </row>
    <row r="3862" spans="2:2" ht="12.5" hidden="1">
      <c r="B3862" s="69"/>
    </row>
    <row r="3863" spans="2:2" ht="12.5" hidden="1">
      <c r="B3863" s="69"/>
    </row>
    <row r="3864" spans="2:2" ht="12.5" hidden="1">
      <c r="B3864" s="69"/>
    </row>
    <row r="3865" spans="2:2" ht="12.5" hidden="1">
      <c r="B3865" s="69"/>
    </row>
    <row r="3866" spans="2:2" ht="12.5" hidden="1">
      <c r="B3866" s="69"/>
    </row>
    <row r="3867" spans="2:2" ht="12.5" hidden="1">
      <c r="B3867" s="69"/>
    </row>
    <row r="3868" spans="2:2" ht="12.5" hidden="1">
      <c r="B3868" s="69"/>
    </row>
    <row r="3869" spans="2:2" ht="12.5" hidden="1">
      <c r="B3869" s="69"/>
    </row>
    <row r="3870" spans="2:2" ht="12.5" hidden="1">
      <c r="B3870" s="69"/>
    </row>
    <row r="3871" spans="2:2" ht="12.5" hidden="1">
      <c r="B3871" s="69"/>
    </row>
    <row r="3872" spans="2:2" ht="12.5" hidden="1">
      <c r="B3872" s="69"/>
    </row>
    <row r="3873" spans="2:2" ht="12.5" hidden="1">
      <c r="B3873" s="69"/>
    </row>
    <row r="3874" spans="2:2" ht="12.5" hidden="1">
      <c r="B3874" s="69"/>
    </row>
    <row r="3875" spans="2:2" ht="12.5" hidden="1">
      <c r="B3875" s="69"/>
    </row>
    <row r="3876" spans="2:2" ht="12.5" hidden="1">
      <c r="B3876" s="69"/>
    </row>
    <row r="3877" spans="2:2" ht="12.5" hidden="1">
      <c r="B3877" s="69"/>
    </row>
    <row r="3878" spans="2:2" ht="12.5" hidden="1">
      <c r="B3878" s="69"/>
    </row>
    <row r="3879" spans="2:2" ht="12.5" hidden="1">
      <c r="B3879" s="69"/>
    </row>
    <row r="3880" spans="2:2" ht="12.5" hidden="1">
      <c r="B3880" s="69"/>
    </row>
    <row r="3881" spans="2:2" ht="12.5" hidden="1">
      <c r="B3881" s="69"/>
    </row>
    <row r="3882" spans="2:2" ht="12.5" hidden="1">
      <c r="B3882" s="69"/>
    </row>
    <row r="3883" spans="2:2" ht="12.5" hidden="1">
      <c r="B3883" s="69"/>
    </row>
    <row r="3884" spans="2:2" ht="12.5" hidden="1">
      <c r="B3884" s="69"/>
    </row>
    <row r="3885" spans="2:2" ht="12.5" hidden="1">
      <c r="B3885" s="69"/>
    </row>
    <row r="3886" spans="2:2" ht="12.5" hidden="1">
      <c r="B3886" s="69"/>
    </row>
    <row r="3887" spans="2:2" ht="12.5" hidden="1">
      <c r="B3887" s="69"/>
    </row>
    <row r="3888" spans="2:2" ht="12.5" hidden="1">
      <c r="B3888" s="69"/>
    </row>
    <row r="3889" spans="2:2" ht="12.5" hidden="1">
      <c r="B3889" s="69"/>
    </row>
    <row r="3890" spans="2:2" ht="12.5" hidden="1">
      <c r="B3890" s="69"/>
    </row>
    <row r="3891" spans="2:2" ht="12.5" hidden="1">
      <c r="B3891" s="69"/>
    </row>
    <row r="3892" spans="2:2" ht="12.5" hidden="1">
      <c r="B3892" s="69"/>
    </row>
    <row r="3893" spans="2:2" ht="12.5" hidden="1">
      <c r="B3893" s="69"/>
    </row>
    <row r="3894" spans="2:2" ht="12.5" hidden="1">
      <c r="B3894" s="69"/>
    </row>
    <row r="3895" spans="2:2" ht="12.5" hidden="1">
      <c r="B3895" s="69"/>
    </row>
    <row r="3896" spans="2:2" ht="12.5" hidden="1">
      <c r="B3896" s="69"/>
    </row>
    <row r="3897" spans="2:2" ht="12.5" hidden="1">
      <c r="B3897" s="69"/>
    </row>
    <row r="3898" spans="2:2" ht="12.5" hidden="1">
      <c r="B3898" s="69"/>
    </row>
    <row r="3899" spans="2:2" ht="12.5" hidden="1">
      <c r="B3899" s="69"/>
    </row>
    <row r="3900" spans="2:2" ht="12.5" hidden="1">
      <c r="B3900" s="69"/>
    </row>
    <row r="3901" spans="2:2" ht="12.5" hidden="1">
      <c r="B3901" s="69"/>
    </row>
    <row r="3902" spans="2:2" ht="12.5" hidden="1">
      <c r="B3902" s="69"/>
    </row>
    <row r="3903" spans="2:2" ht="12.5" hidden="1">
      <c r="B3903" s="69"/>
    </row>
    <row r="3904" spans="2:2" ht="12.5" hidden="1">
      <c r="B3904" s="69"/>
    </row>
    <row r="3905" spans="2:2" ht="12.5" hidden="1">
      <c r="B3905" s="69"/>
    </row>
    <row r="3906" spans="2:2" ht="12.5" hidden="1">
      <c r="B3906" s="69"/>
    </row>
    <row r="3907" spans="2:2" ht="12.5" hidden="1">
      <c r="B3907" s="69"/>
    </row>
    <row r="3908" spans="2:2" ht="12.5" hidden="1">
      <c r="B3908" s="69"/>
    </row>
    <row r="3909" spans="2:2" ht="12.5" hidden="1">
      <c r="B3909" s="69"/>
    </row>
    <row r="3910" spans="2:2" ht="12.5" hidden="1">
      <c r="B3910" s="69"/>
    </row>
    <row r="3911" spans="2:2" ht="12.5" hidden="1">
      <c r="B3911" s="69"/>
    </row>
    <row r="3912" spans="2:2" ht="12.5" hidden="1">
      <c r="B3912" s="69"/>
    </row>
    <row r="3913" spans="2:2" ht="12.5" hidden="1">
      <c r="B3913" s="69"/>
    </row>
    <row r="3914" spans="2:2" ht="12.5" hidden="1">
      <c r="B3914" s="69"/>
    </row>
    <row r="3915" spans="2:2" ht="12.5" hidden="1">
      <c r="B3915" s="69"/>
    </row>
    <row r="3916" spans="2:2" ht="12.5" hidden="1">
      <c r="B3916" s="69"/>
    </row>
    <row r="3917" spans="2:2" ht="12.5" hidden="1">
      <c r="B3917" s="69"/>
    </row>
    <row r="3918" spans="2:2" ht="12.5" hidden="1">
      <c r="B3918" s="69"/>
    </row>
    <row r="3919" spans="2:2" ht="12.5" hidden="1">
      <c r="B3919" s="69"/>
    </row>
    <row r="3920" spans="2:2" ht="12.5" hidden="1">
      <c r="B3920" s="69"/>
    </row>
    <row r="3921" spans="2:2" ht="12.5" hidden="1">
      <c r="B3921" s="69"/>
    </row>
    <row r="3922" spans="2:2" ht="12.5" hidden="1">
      <c r="B3922" s="69"/>
    </row>
    <row r="3923" spans="2:2" ht="12.5" hidden="1">
      <c r="B3923" s="69"/>
    </row>
    <row r="3924" spans="2:2" ht="12.5" hidden="1">
      <c r="B3924" s="69"/>
    </row>
    <row r="3925" spans="2:2" ht="12.5" hidden="1">
      <c r="B3925" s="69"/>
    </row>
    <row r="3926" spans="2:2" ht="12.5" hidden="1">
      <c r="B3926" s="69"/>
    </row>
    <row r="3927" spans="2:2" ht="12.5" hidden="1">
      <c r="B3927" s="69"/>
    </row>
    <row r="3928" spans="2:2" ht="12.5" hidden="1">
      <c r="B3928" s="69"/>
    </row>
    <row r="3929" spans="2:2" ht="12.5" hidden="1">
      <c r="B3929" s="69"/>
    </row>
    <row r="3930" spans="2:2" ht="12.5" hidden="1">
      <c r="B3930" s="69"/>
    </row>
    <row r="3931" spans="2:2" ht="12.5" hidden="1">
      <c r="B3931" s="69"/>
    </row>
    <row r="3932" spans="2:2" ht="12.5" hidden="1">
      <c r="B3932" s="69"/>
    </row>
    <row r="3933" spans="2:2" ht="12.5" hidden="1">
      <c r="B3933" s="69"/>
    </row>
    <row r="3934" spans="2:2" ht="12.5" hidden="1">
      <c r="B3934" s="69"/>
    </row>
    <row r="3935" spans="2:2" ht="12.5" hidden="1">
      <c r="B3935" s="69"/>
    </row>
    <row r="3936" spans="2:2" ht="12.5" hidden="1">
      <c r="B3936" s="69"/>
    </row>
    <row r="3937" spans="2:2" ht="12.5" hidden="1">
      <c r="B3937" s="69"/>
    </row>
    <row r="3938" spans="2:2" ht="12.5" hidden="1">
      <c r="B3938" s="69"/>
    </row>
    <row r="3939" spans="2:2" ht="12.5" hidden="1">
      <c r="B3939" s="69"/>
    </row>
    <row r="3940" spans="2:2" ht="12.5" hidden="1">
      <c r="B3940" s="69"/>
    </row>
    <row r="3941" spans="2:2" ht="12.5" hidden="1">
      <c r="B3941" s="69"/>
    </row>
    <row r="3942" spans="2:2" ht="12.5" hidden="1">
      <c r="B3942" s="69"/>
    </row>
    <row r="3943" spans="2:2" ht="12.5" hidden="1">
      <c r="B3943" s="69"/>
    </row>
    <row r="3944" spans="2:2" ht="12.5" hidden="1">
      <c r="B3944" s="69"/>
    </row>
    <row r="3945" spans="2:2" ht="12.5" hidden="1">
      <c r="B3945" s="69"/>
    </row>
    <row r="3946" spans="2:2" ht="12.5" hidden="1">
      <c r="B3946" s="69"/>
    </row>
    <row r="3947" spans="2:2" ht="12.5" hidden="1">
      <c r="B3947" s="69"/>
    </row>
    <row r="3948" spans="2:2" ht="12.5" hidden="1">
      <c r="B3948" s="69"/>
    </row>
    <row r="3949" spans="2:2" ht="12.5" hidden="1">
      <c r="B3949" s="69"/>
    </row>
    <row r="3950" spans="2:2" ht="12.5" hidden="1">
      <c r="B3950" s="69"/>
    </row>
    <row r="3951" spans="2:2" ht="12.5" hidden="1">
      <c r="B3951" s="69"/>
    </row>
    <row r="3952" spans="2:2" ht="12.5" hidden="1">
      <c r="B3952" s="69"/>
    </row>
    <row r="3953" spans="2:2" ht="12.5" hidden="1">
      <c r="B3953" s="69"/>
    </row>
    <row r="3954" spans="2:2" ht="12.5" hidden="1">
      <c r="B3954" s="69"/>
    </row>
    <row r="3955" spans="2:2" ht="12.5" hidden="1">
      <c r="B3955" s="69"/>
    </row>
    <row r="3956" spans="2:2" ht="12.5" hidden="1">
      <c r="B3956" s="69"/>
    </row>
    <row r="3957" spans="2:2" ht="12.5" hidden="1">
      <c r="B3957" s="69"/>
    </row>
    <row r="3958" spans="2:2" ht="12.5" hidden="1">
      <c r="B3958" s="69"/>
    </row>
    <row r="3959" spans="2:2" ht="12.5" hidden="1">
      <c r="B3959" s="69"/>
    </row>
    <row r="3960" spans="2:2" ht="12.5" hidden="1">
      <c r="B3960" s="69"/>
    </row>
    <row r="3961" spans="2:2" ht="12.5" hidden="1">
      <c r="B3961" s="69"/>
    </row>
    <row r="3962" spans="2:2" ht="12.5" hidden="1">
      <c r="B3962" s="69"/>
    </row>
    <row r="3963" spans="2:2" ht="12.5" hidden="1">
      <c r="B3963" s="69"/>
    </row>
    <row r="3964" spans="2:2" ht="12.5" hidden="1">
      <c r="B3964" s="69"/>
    </row>
    <row r="3965" spans="2:2" ht="12.5" hidden="1">
      <c r="B3965" s="69"/>
    </row>
    <row r="3966" spans="2:2" ht="12.5" hidden="1">
      <c r="B3966" s="69"/>
    </row>
    <row r="3967" spans="2:2" ht="12.5" hidden="1">
      <c r="B3967" s="69"/>
    </row>
    <row r="3968" spans="2:2" ht="12.5" hidden="1">
      <c r="B3968" s="69"/>
    </row>
    <row r="3969" spans="2:2" ht="12.5" hidden="1">
      <c r="B3969" s="69"/>
    </row>
    <row r="3970" spans="2:2" ht="12.5" hidden="1">
      <c r="B3970" s="69"/>
    </row>
    <row r="3971" spans="2:2" ht="12.5" hidden="1">
      <c r="B3971" s="69"/>
    </row>
    <row r="3972" spans="2:2" ht="12.5" hidden="1">
      <c r="B3972" s="69"/>
    </row>
    <row r="3973" spans="2:2" ht="12.5" hidden="1">
      <c r="B3973" s="69"/>
    </row>
    <row r="3974" spans="2:2" ht="12.5" hidden="1">
      <c r="B3974" s="69"/>
    </row>
    <row r="3975" spans="2:2" ht="12.5" hidden="1">
      <c r="B3975" s="69"/>
    </row>
    <row r="3976" spans="2:2" ht="12.5" hidden="1">
      <c r="B3976" s="69"/>
    </row>
    <row r="3977" spans="2:2" ht="12.5" hidden="1">
      <c r="B3977" s="69"/>
    </row>
    <row r="3978" spans="2:2" ht="12.5" hidden="1">
      <c r="B3978" s="69"/>
    </row>
    <row r="3979" spans="2:2" ht="12.5" hidden="1">
      <c r="B3979" s="69"/>
    </row>
    <row r="3980" spans="2:2" ht="12.5" hidden="1">
      <c r="B3980" s="69"/>
    </row>
    <row r="3981" spans="2:2" ht="12.5" hidden="1">
      <c r="B3981" s="69"/>
    </row>
    <row r="3982" spans="2:2" ht="12.5" hidden="1">
      <c r="B3982" s="69"/>
    </row>
    <row r="3983" spans="2:2" ht="12.5" hidden="1">
      <c r="B3983" s="69"/>
    </row>
    <row r="3984" spans="2:2" ht="12.5" hidden="1">
      <c r="B3984" s="69"/>
    </row>
    <row r="3985" spans="2:2" ht="12.5" hidden="1">
      <c r="B3985" s="69"/>
    </row>
    <row r="3986" spans="2:2" ht="12.5" hidden="1">
      <c r="B3986" s="69"/>
    </row>
    <row r="3987" spans="2:2" ht="12.5" hidden="1">
      <c r="B3987" s="69"/>
    </row>
    <row r="3988" spans="2:2" ht="12.5" hidden="1">
      <c r="B3988" s="69"/>
    </row>
    <row r="3989" spans="2:2" ht="12.5" hidden="1">
      <c r="B3989" s="69"/>
    </row>
    <row r="3990" spans="2:2" ht="12.5" hidden="1">
      <c r="B3990" s="69"/>
    </row>
    <row r="3991" spans="2:2" ht="12.5" hidden="1">
      <c r="B3991" s="69"/>
    </row>
    <row r="3992" spans="2:2" ht="12.5" hidden="1">
      <c r="B3992" s="69"/>
    </row>
    <row r="3993" spans="2:2" ht="12.5" hidden="1">
      <c r="B3993" s="69"/>
    </row>
    <row r="3994" spans="2:2" ht="12.5" hidden="1">
      <c r="B3994" s="69"/>
    </row>
    <row r="3995" spans="2:2" ht="12.5" hidden="1">
      <c r="B3995" s="69"/>
    </row>
    <row r="3996" spans="2:2" ht="12.5" hidden="1">
      <c r="B3996" s="69"/>
    </row>
    <row r="3997" spans="2:2" ht="12.5" hidden="1">
      <c r="B3997" s="69"/>
    </row>
    <row r="3998" spans="2:2" ht="12.5" hidden="1">
      <c r="B3998" s="69"/>
    </row>
    <row r="3999" spans="2:2" ht="12.5" hidden="1">
      <c r="B3999" s="69"/>
    </row>
    <row r="4000" spans="2:2" ht="12.5" hidden="1">
      <c r="B4000" s="69"/>
    </row>
    <row r="4001" spans="2:2" ht="12.5" hidden="1">
      <c r="B4001" s="69"/>
    </row>
    <row r="4002" spans="2:2" ht="12.5" hidden="1">
      <c r="B4002" s="69"/>
    </row>
    <row r="4003" spans="2:2" ht="12.5" hidden="1">
      <c r="B4003" s="69"/>
    </row>
    <row r="4004" spans="2:2" ht="12.5" hidden="1">
      <c r="B4004" s="69"/>
    </row>
    <row r="4005" spans="2:2" ht="12.5" hidden="1">
      <c r="B4005" s="69"/>
    </row>
    <row r="4006" spans="2:2" ht="12.5" hidden="1">
      <c r="B4006" s="69"/>
    </row>
    <row r="4007" spans="2:2" ht="12.5" hidden="1">
      <c r="B4007" s="69"/>
    </row>
    <row r="4008" spans="2:2" ht="12.5" hidden="1">
      <c r="B4008" s="69"/>
    </row>
    <row r="4009" spans="2:2" ht="12.5" hidden="1">
      <c r="B4009" s="69"/>
    </row>
    <row r="4010" spans="2:2" ht="12.5" hidden="1">
      <c r="B4010" s="69"/>
    </row>
    <row r="4011" spans="2:2" ht="12.5" hidden="1">
      <c r="B4011" s="69"/>
    </row>
    <row r="4012" spans="2:2" ht="12.5" hidden="1">
      <c r="B4012" s="69"/>
    </row>
    <row r="4013" spans="2:2" ht="12.5" hidden="1">
      <c r="B4013" s="69"/>
    </row>
    <row r="4014" spans="2:2" ht="12.5" hidden="1">
      <c r="B4014" s="69"/>
    </row>
    <row r="4015" spans="2:2" ht="12.5" hidden="1">
      <c r="B4015" s="69"/>
    </row>
    <row r="4016" spans="2:2" ht="12.5" hidden="1">
      <c r="B4016" s="69"/>
    </row>
    <row r="4017" spans="2:2" ht="12.5" hidden="1">
      <c r="B4017" s="69"/>
    </row>
    <row r="4018" spans="2:2" ht="12.5" hidden="1">
      <c r="B4018" s="69"/>
    </row>
    <row r="4019" spans="2:2" ht="12.5" hidden="1">
      <c r="B4019" s="69"/>
    </row>
    <row r="4020" spans="2:2" ht="12.5" hidden="1">
      <c r="B4020" s="69"/>
    </row>
    <row r="4021" spans="2:2" ht="12.5" hidden="1">
      <c r="B4021" s="69"/>
    </row>
    <row r="4022" spans="2:2" ht="12.5" hidden="1">
      <c r="B4022" s="69"/>
    </row>
    <row r="4023" spans="2:2" ht="12.5" hidden="1">
      <c r="B4023" s="69"/>
    </row>
    <row r="4024" spans="2:2" ht="12.5" hidden="1">
      <c r="B4024" s="69"/>
    </row>
    <row r="4025" spans="2:2" ht="12.5" hidden="1">
      <c r="B4025" s="69"/>
    </row>
    <row r="4026" spans="2:2" ht="12.5" hidden="1">
      <c r="B4026" s="69"/>
    </row>
    <row r="4027" spans="2:2" ht="12.5" hidden="1">
      <c r="B4027" s="69"/>
    </row>
    <row r="4028" spans="2:2" ht="12.5" hidden="1">
      <c r="B4028" s="69"/>
    </row>
    <row r="4029" spans="2:2" ht="12.5" hidden="1">
      <c r="B4029" s="69"/>
    </row>
    <row r="4030" spans="2:2" ht="12.5" hidden="1">
      <c r="B4030" s="69"/>
    </row>
    <row r="4031" spans="2:2" ht="12.5" hidden="1">
      <c r="B4031" s="69"/>
    </row>
    <row r="4032" spans="2:2" ht="12.5" hidden="1">
      <c r="B4032" s="69"/>
    </row>
    <row r="4033" spans="2:2" ht="12.5" hidden="1">
      <c r="B4033" s="69"/>
    </row>
    <row r="4034" spans="2:2" ht="12.5" hidden="1">
      <c r="B4034" s="69"/>
    </row>
    <row r="4035" spans="2:2" ht="12.5" hidden="1">
      <c r="B4035" s="69"/>
    </row>
    <row r="4036" spans="2:2" ht="12.5" hidden="1">
      <c r="B4036" s="69"/>
    </row>
    <row r="4037" spans="2:2" ht="12.5" hidden="1">
      <c r="B4037" s="69"/>
    </row>
    <row r="4038" spans="2:2" ht="12.5" hidden="1">
      <c r="B4038" s="69"/>
    </row>
    <row r="4039" spans="2:2" ht="12.5" hidden="1">
      <c r="B4039" s="69"/>
    </row>
    <row r="4040" spans="2:2" ht="12.5" hidden="1">
      <c r="B4040" s="69"/>
    </row>
    <row r="4041" spans="2:2" ht="12.5" hidden="1">
      <c r="B4041" s="69"/>
    </row>
    <row r="4042" spans="2:2" ht="12.5" hidden="1">
      <c r="B4042" s="69"/>
    </row>
    <row r="4043" spans="2:2" ht="12.5" hidden="1">
      <c r="B4043" s="69"/>
    </row>
    <row r="4044" spans="2:2" ht="12.5" hidden="1">
      <c r="B4044" s="69"/>
    </row>
    <row r="4045" spans="2:2" ht="12.5" hidden="1">
      <c r="B4045" s="69"/>
    </row>
    <row r="4046" spans="2:2" ht="12.5" hidden="1">
      <c r="B4046" s="69"/>
    </row>
    <row r="4047" spans="2:2" ht="12.5" hidden="1">
      <c r="B4047" s="69"/>
    </row>
    <row r="4048" spans="2:2" ht="12.5" hidden="1">
      <c r="B4048" s="69"/>
    </row>
    <row r="4049" spans="2:2" ht="12.5" hidden="1">
      <c r="B4049" s="69"/>
    </row>
    <row r="4050" spans="2:2" ht="12.5" hidden="1">
      <c r="B4050" s="69"/>
    </row>
    <row r="4051" spans="2:2" ht="12.5" hidden="1">
      <c r="B4051" s="69"/>
    </row>
    <row r="4052" spans="2:2" ht="12.5" hidden="1">
      <c r="B4052" s="69"/>
    </row>
    <row r="4053" spans="2:2" ht="12.5" hidden="1">
      <c r="B4053" s="69"/>
    </row>
    <row r="4054" spans="2:2" ht="12.5" hidden="1">
      <c r="B4054" s="69"/>
    </row>
    <row r="4055" spans="2:2" ht="12.5" hidden="1">
      <c r="B4055" s="69"/>
    </row>
    <row r="4056" spans="2:2" ht="12.5" hidden="1">
      <c r="B4056" s="69"/>
    </row>
    <row r="4057" spans="2:2" ht="12.5" hidden="1">
      <c r="B4057" s="69"/>
    </row>
    <row r="4058" spans="2:2" ht="12.5" hidden="1">
      <c r="B4058" s="69"/>
    </row>
    <row r="4059" spans="2:2" ht="12.5" hidden="1">
      <c r="B4059" s="69"/>
    </row>
    <row r="4060" spans="2:2" ht="12.5" hidden="1">
      <c r="B4060" s="69"/>
    </row>
    <row r="4061" spans="2:2" ht="12.5" hidden="1">
      <c r="B4061" s="69"/>
    </row>
    <row r="4062" spans="2:2" ht="12.5" hidden="1">
      <c r="B4062" s="69"/>
    </row>
    <row r="4063" spans="2:2" ht="12.5" hidden="1">
      <c r="B4063" s="69"/>
    </row>
    <row r="4064" spans="2:2" ht="12.5" hidden="1">
      <c r="B4064" s="69"/>
    </row>
    <row r="4065" spans="2:2" ht="12.5" hidden="1">
      <c r="B4065" s="69"/>
    </row>
    <row r="4066" spans="2:2" ht="12.5" hidden="1">
      <c r="B4066" s="69"/>
    </row>
    <row r="4067" spans="2:2" ht="12.5" hidden="1">
      <c r="B4067" s="69"/>
    </row>
    <row r="4068" spans="2:2" ht="12.5" hidden="1">
      <c r="B4068" s="69"/>
    </row>
    <row r="4069" spans="2:2" ht="12.5" hidden="1">
      <c r="B4069" s="69"/>
    </row>
    <row r="4070" spans="2:2" ht="12.5" hidden="1">
      <c r="B4070" s="69"/>
    </row>
    <row r="4071" spans="2:2" ht="12.5" hidden="1">
      <c r="B4071" s="69"/>
    </row>
    <row r="4072" spans="2:2" ht="12.5" hidden="1">
      <c r="B4072" s="69"/>
    </row>
    <row r="4073" spans="2:2" ht="12.5" hidden="1">
      <c r="B4073" s="69"/>
    </row>
    <row r="4074" spans="2:2" ht="12.5" hidden="1">
      <c r="B4074" s="69"/>
    </row>
    <row r="4075" spans="2:2" ht="12.5" hidden="1">
      <c r="B4075" s="69"/>
    </row>
    <row r="4076" spans="2:2" ht="12.5" hidden="1">
      <c r="B4076" s="69"/>
    </row>
    <row r="4077" spans="2:2" ht="12.5" hidden="1">
      <c r="B4077" s="69"/>
    </row>
    <row r="4078" spans="2:2" ht="12.5" hidden="1">
      <c r="B4078" s="69"/>
    </row>
    <row r="4079" spans="2:2" ht="12.5" hidden="1">
      <c r="B4079" s="69"/>
    </row>
    <row r="4080" spans="2:2" ht="12.5" hidden="1">
      <c r="B4080" s="69"/>
    </row>
    <row r="4081" spans="2:2" ht="12.5" hidden="1">
      <c r="B4081" s="69"/>
    </row>
    <row r="4082" spans="2:2" ht="12.5" hidden="1">
      <c r="B4082" s="69"/>
    </row>
    <row r="4083" spans="2:2" ht="12.5" hidden="1">
      <c r="B4083" s="69"/>
    </row>
    <row r="4084" spans="2:2" ht="12.5" hidden="1">
      <c r="B4084" s="69"/>
    </row>
    <row r="4085" spans="2:2" ht="12.5" hidden="1">
      <c r="B4085" s="69"/>
    </row>
    <row r="4086" spans="2:2" ht="12.5" hidden="1">
      <c r="B4086" s="69"/>
    </row>
    <row r="4087" spans="2:2" ht="12.5" hidden="1">
      <c r="B4087" s="69"/>
    </row>
    <row r="4088" spans="2:2" ht="12.5" hidden="1">
      <c r="B4088" s="69"/>
    </row>
    <row r="4089" spans="2:2" ht="12.5" hidden="1">
      <c r="B4089" s="69"/>
    </row>
    <row r="4090" spans="2:2" ht="12.5" hidden="1">
      <c r="B4090" s="69"/>
    </row>
    <row r="4091" spans="2:2" ht="12.5" hidden="1">
      <c r="B4091" s="69"/>
    </row>
    <row r="4092" spans="2:2" ht="12.5" hidden="1">
      <c r="B4092" s="69"/>
    </row>
    <row r="4093" spans="2:2" ht="12.5" hidden="1">
      <c r="B4093" s="69"/>
    </row>
    <row r="4094" spans="2:2" ht="12.5" hidden="1">
      <c r="B4094" s="69"/>
    </row>
    <row r="4095" spans="2:2" ht="12.5" hidden="1">
      <c r="B4095" s="69"/>
    </row>
    <row r="4096" spans="2:2" ht="12.5" hidden="1">
      <c r="B4096" s="69"/>
    </row>
    <row r="4097" spans="2:2" ht="12.5" hidden="1">
      <c r="B4097" s="69"/>
    </row>
    <row r="4098" spans="2:2" ht="12.5" hidden="1">
      <c r="B4098" s="69"/>
    </row>
    <row r="4099" spans="2:2" ht="12.5" hidden="1">
      <c r="B4099" s="69"/>
    </row>
    <row r="4100" spans="2:2" ht="12.5" hidden="1">
      <c r="B4100" s="69"/>
    </row>
    <row r="4101" spans="2:2" ht="12.5" hidden="1">
      <c r="B4101" s="69"/>
    </row>
    <row r="4102" spans="2:2" ht="12.5" hidden="1">
      <c r="B4102" s="69"/>
    </row>
    <row r="4103" spans="2:2" ht="12.5" hidden="1">
      <c r="B4103" s="69"/>
    </row>
    <row r="4104" spans="2:2" ht="12.5" hidden="1">
      <c r="B4104" s="69"/>
    </row>
    <row r="4105" spans="2:2" ht="12.5" hidden="1">
      <c r="B4105" s="69"/>
    </row>
    <row r="4106" spans="2:2" ht="12.5" hidden="1">
      <c r="B4106" s="69"/>
    </row>
    <row r="4107" spans="2:2" ht="12.5" hidden="1">
      <c r="B4107" s="69"/>
    </row>
    <row r="4108" spans="2:2" ht="12.5" hidden="1">
      <c r="B4108" s="69"/>
    </row>
    <row r="4109" spans="2:2" ht="12.5" hidden="1">
      <c r="B4109" s="69"/>
    </row>
    <row r="4110" spans="2:2" ht="12.5" hidden="1">
      <c r="B4110" s="69"/>
    </row>
    <row r="4111" spans="2:2" ht="12.5" hidden="1">
      <c r="B4111" s="69"/>
    </row>
    <row r="4112" spans="2:2" ht="12.5" hidden="1">
      <c r="B4112" s="69"/>
    </row>
    <row r="4113" spans="2:2" ht="12.5" hidden="1">
      <c r="B4113" s="69"/>
    </row>
    <row r="4114" spans="2:2" ht="12.5" hidden="1">
      <c r="B4114" s="69"/>
    </row>
    <row r="4115" spans="2:2" ht="12.5" hidden="1">
      <c r="B4115" s="69"/>
    </row>
    <row r="4116" spans="2:2" ht="12.5" hidden="1">
      <c r="B4116" s="69"/>
    </row>
    <row r="4117" spans="2:2" ht="12.5" hidden="1">
      <c r="B4117" s="69"/>
    </row>
    <row r="4118" spans="2:2" ht="12.5" hidden="1">
      <c r="B4118" s="69"/>
    </row>
    <row r="4119" spans="2:2" ht="12.5" hidden="1">
      <c r="B4119" s="69"/>
    </row>
    <row r="4120" spans="2:2" ht="12.5" hidden="1">
      <c r="B4120" s="69"/>
    </row>
    <row r="4121" spans="2:2" ht="12.5" hidden="1">
      <c r="B4121" s="69"/>
    </row>
    <row r="4122" spans="2:2" ht="12.5" hidden="1">
      <c r="B4122" s="69"/>
    </row>
    <row r="4123" spans="2:2" ht="12.5" hidden="1">
      <c r="B4123" s="69"/>
    </row>
    <row r="4124" spans="2:2" ht="12.5" hidden="1">
      <c r="B4124" s="69"/>
    </row>
    <row r="4125" spans="2:2" ht="12.5" hidden="1">
      <c r="B4125" s="69"/>
    </row>
    <row r="4126" spans="2:2" ht="12.5" hidden="1">
      <c r="B4126" s="69"/>
    </row>
    <row r="4127" spans="2:2" ht="12.5" hidden="1">
      <c r="B4127" s="69"/>
    </row>
    <row r="4128" spans="2:2" ht="12.5" hidden="1">
      <c r="B4128" s="69"/>
    </row>
    <row r="4129" spans="2:2" ht="12.5" hidden="1">
      <c r="B4129" s="69"/>
    </row>
    <row r="4130" spans="2:2" ht="12.5" hidden="1">
      <c r="B4130" s="69"/>
    </row>
    <row r="4131" spans="2:2" ht="12.5" hidden="1">
      <c r="B4131" s="69"/>
    </row>
    <row r="4132" spans="2:2" ht="12.5" hidden="1">
      <c r="B4132" s="69"/>
    </row>
    <row r="4133" spans="2:2" ht="12.5" hidden="1">
      <c r="B4133" s="69"/>
    </row>
    <row r="4134" spans="2:2" ht="12.5" hidden="1">
      <c r="B4134" s="69"/>
    </row>
    <row r="4135" spans="2:2" ht="12.5" hidden="1">
      <c r="B4135" s="69"/>
    </row>
    <row r="4136" spans="2:2" ht="12.5" hidden="1">
      <c r="B4136" s="69"/>
    </row>
    <row r="4137" spans="2:2" ht="12.5" hidden="1">
      <c r="B4137" s="69"/>
    </row>
    <row r="4138" spans="2:2" ht="12.5" hidden="1">
      <c r="B4138" s="69"/>
    </row>
    <row r="4139" spans="2:2" ht="12.5" hidden="1">
      <c r="B4139" s="69"/>
    </row>
    <row r="4140" spans="2:2" ht="12.5" hidden="1">
      <c r="B4140" s="69"/>
    </row>
    <row r="4141" spans="2:2" ht="12.5" hidden="1">
      <c r="B4141" s="69"/>
    </row>
    <row r="4142" spans="2:2" ht="12.5" hidden="1">
      <c r="B4142" s="69"/>
    </row>
    <row r="4143" spans="2:2" ht="12.5" hidden="1">
      <c r="B4143" s="69"/>
    </row>
    <row r="4144" spans="2:2" ht="12.5" hidden="1">
      <c r="B4144" s="69"/>
    </row>
    <row r="4145" spans="2:2" ht="12.5" hidden="1">
      <c r="B4145" s="69"/>
    </row>
    <row r="4146" spans="2:2" ht="12.5" hidden="1">
      <c r="B4146" s="69"/>
    </row>
    <row r="4147" spans="2:2" ht="12.5" hidden="1">
      <c r="B4147" s="69"/>
    </row>
    <row r="4148" spans="2:2" ht="12.5" hidden="1">
      <c r="B4148" s="69"/>
    </row>
    <row r="4149" spans="2:2" ht="12.5" hidden="1">
      <c r="B4149" s="69"/>
    </row>
    <row r="4150" spans="2:2" ht="12.5" hidden="1">
      <c r="B4150" s="69"/>
    </row>
    <row r="4151" spans="2:2" ht="12.5" hidden="1">
      <c r="B4151" s="69"/>
    </row>
    <row r="4152" spans="2:2" ht="12.5" hidden="1">
      <c r="B4152" s="69"/>
    </row>
    <row r="4153" spans="2:2" ht="12.5" hidden="1">
      <c r="B4153" s="69"/>
    </row>
    <row r="4154" spans="2:2" ht="12.5" hidden="1">
      <c r="B4154" s="69"/>
    </row>
    <row r="4155" spans="2:2" ht="12.5" hidden="1">
      <c r="B4155" s="69"/>
    </row>
    <row r="4156" spans="2:2" ht="12.5" hidden="1">
      <c r="B4156" s="69"/>
    </row>
    <row r="4157" spans="2:2" ht="12.5" hidden="1">
      <c r="B4157" s="69"/>
    </row>
    <row r="4158" spans="2:2" ht="12.5" hidden="1">
      <c r="B4158" s="69"/>
    </row>
    <row r="4159" spans="2:2" ht="12.5" hidden="1">
      <c r="B4159" s="69"/>
    </row>
    <row r="4160" spans="2:2" ht="12.5" hidden="1">
      <c r="B4160" s="69"/>
    </row>
    <row r="4161" spans="2:2" ht="12.5" hidden="1">
      <c r="B4161" s="69"/>
    </row>
    <row r="4162" spans="2:2" ht="12.5" hidden="1">
      <c r="B4162" s="69"/>
    </row>
    <row r="4163" spans="2:2" ht="12.5" hidden="1">
      <c r="B4163" s="69"/>
    </row>
    <row r="4164" spans="2:2" ht="12.5" hidden="1">
      <c r="B4164" s="69"/>
    </row>
    <row r="4165" spans="2:2" ht="12.5" hidden="1">
      <c r="B4165" s="69"/>
    </row>
    <row r="4166" spans="2:2" ht="12.5" hidden="1">
      <c r="B4166" s="69"/>
    </row>
    <row r="4167" spans="2:2" ht="12.5" hidden="1">
      <c r="B4167" s="69"/>
    </row>
    <row r="4168" spans="2:2" ht="12.5" hidden="1">
      <c r="B4168" s="69"/>
    </row>
    <row r="4169" spans="2:2" ht="12.5" hidden="1">
      <c r="B4169" s="69"/>
    </row>
    <row r="4170" spans="2:2" ht="12.5" hidden="1">
      <c r="B4170" s="69"/>
    </row>
    <row r="4171" spans="2:2" ht="12.5" hidden="1">
      <c r="B4171" s="69"/>
    </row>
    <row r="4172" spans="2:2" ht="12.5" hidden="1">
      <c r="B4172" s="69"/>
    </row>
    <row r="4173" spans="2:2" ht="12.5" hidden="1">
      <c r="B4173" s="69"/>
    </row>
    <row r="4174" spans="2:2" ht="12.5" hidden="1">
      <c r="B4174" s="69"/>
    </row>
    <row r="4175" spans="2:2" ht="12.5" hidden="1">
      <c r="B4175" s="69"/>
    </row>
    <row r="4176" spans="2:2" ht="12.5" hidden="1">
      <c r="B4176" s="69"/>
    </row>
    <row r="4177" spans="2:2" ht="12.5" hidden="1">
      <c r="B4177" s="69"/>
    </row>
    <row r="4178" spans="2:2" ht="12.5" hidden="1">
      <c r="B4178" s="69"/>
    </row>
    <row r="4179" spans="2:2" ht="12.5" hidden="1">
      <c r="B4179" s="69"/>
    </row>
    <row r="4180" spans="2:2" ht="12.5" hidden="1">
      <c r="B4180" s="69"/>
    </row>
    <row r="4181" spans="2:2" ht="12.5" hidden="1">
      <c r="B4181" s="69"/>
    </row>
    <row r="4182" spans="2:2" ht="12.5" hidden="1">
      <c r="B4182" s="69"/>
    </row>
    <row r="4183" spans="2:2" ht="12.5" hidden="1">
      <c r="B4183" s="69"/>
    </row>
    <row r="4184" spans="2:2" ht="12.5" hidden="1">
      <c r="B4184" s="69"/>
    </row>
    <row r="4185" spans="2:2" ht="12.5" hidden="1">
      <c r="B4185" s="69"/>
    </row>
    <row r="4186" spans="2:2" ht="12.5" hidden="1">
      <c r="B4186" s="69"/>
    </row>
    <row r="4187" spans="2:2" ht="12.5" hidden="1">
      <c r="B4187" s="69"/>
    </row>
    <row r="4188" spans="2:2" ht="12.5" hidden="1">
      <c r="B4188" s="69"/>
    </row>
    <row r="4189" spans="2:2" ht="12.5" hidden="1">
      <c r="B4189" s="69"/>
    </row>
    <row r="4190" spans="2:2" ht="12.5" hidden="1">
      <c r="B4190" s="69"/>
    </row>
    <row r="4191" spans="2:2" ht="12.5" hidden="1">
      <c r="B4191" s="69"/>
    </row>
    <row r="4192" spans="2:2" ht="12.5" hidden="1">
      <c r="B4192" s="69"/>
    </row>
    <row r="4193" spans="2:2" ht="12.5" hidden="1">
      <c r="B4193" s="69"/>
    </row>
    <row r="4194" spans="2:2" ht="12.5" hidden="1">
      <c r="B4194" s="69"/>
    </row>
    <row r="4195" spans="2:2" ht="12.5" hidden="1">
      <c r="B4195" s="69"/>
    </row>
    <row r="4196" spans="2:2" ht="12.5" hidden="1">
      <c r="B4196" s="69"/>
    </row>
    <row r="4197" spans="2:2" ht="12.5" hidden="1">
      <c r="B4197" s="69"/>
    </row>
    <row r="4198" spans="2:2" ht="12.5" hidden="1">
      <c r="B4198" s="69"/>
    </row>
    <row r="4199" spans="2:2" ht="12.5" hidden="1">
      <c r="B4199" s="69"/>
    </row>
    <row r="4200" spans="2:2" ht="12.5" hidden="1">
      <c r="B4200" s="69"/>
    </row>
    <row r="4201" spans="2:2" ht="12.5" hidden="1">
      <c r="B4201" s="69"/>
    </row>
    <row r="4202" spans="2:2" ht="12.5" hidden="1">
      <c r="B4202" s="69"/>
    </row>
    <row r="4203" spans="2:2" ht="12.5" hidden="1">
      <c r="B4203" s="69"/>
    </row>
    <row r="4204" spans="2:2" ht="12.5" hidden="1">
      <c r="B4204" s="69"/>
    </row>
    <row r="4205" spans="2:2" ht="12.5" hidden="1">
      <c r="B4205" s="69"/>
    </row>
    <row r="4206" spans="2:2" ht="12.5" hidden="1">
      <c r="B4206" s="69"/>
    </row>
    <row r="4207" spans="2:2" ht="12.5" hidden="1">
      <c r="B4207" s="69"/>
    </row>
    <row r="4208" spans="2:2" ht="12.5" hidden="1">
      <c r="B4208" s="69"/>
    </row>
    <row r="4209" spans="2:2" ht="12.5" hidden="1">
      <c r="B4209" s="69"/>
    </row>
    <row r="4210" spans="2:2" ht="12.5" hidden="1">
      <c r="B4210" s="69"/>
    </row>
    <row r="4211" spans="2:2" ht="12.5" hidden="1">
      <c r="B4211" s="69"/>
    </row>
    <row r="4212" spans="2:2" ht="12.5" hidden="1">
      <c r="B4212" s="69"/>
    </row>
    <row r="4213" spans="2:2" ht="12.5" hidden="1">
      <c r="B4213" s="69"/>
    </row>
    <row r="4214" spans="2:2" ht="12.5" hidden="1">
      <c r="B4214" s="69"/>
    </row>
    <row r="4215" spans="2:2" ht="12.5" hidden="1">
      <c r="B4215" s="69"/>
    </row>
    <row r="4216" spans="2:2" ht="12.5" hidden="1">
      <c r="B4216" s="69"/>
    </row>
    <row r="4217" spans="2:2" ht="12.5" hidden="1">
      <c r="B4217" s="69"/>
    </row>
    <row r="4218" spans="2:2" ht="12.5" hidden="1">
      <c r="B4218" s="69"/>
    </row>
    <row r="4219" spans="2:2" ht="12.5" hidden="1">
      <c r="B4219" s="69"/>
    </row>
    <row r="4220" spans="2:2" ht="12.5" hidden="1">
      <c r="B4220" s="69"/>
    </row>
    <row r="4221" spans="2:2" ht="12.5" hidden="1">
      <c r="B4221" s="69"/>
    </row>
    <row r="4222" spans="2:2" ht="12.5" hidden="1">
      <c r="B4222" s="69"/>
    </row>
    <row r="4223" spans="2:2" ht="12.5" hidden="1">
      <c r="B4223" s="69"/>
    </row>
    <row r="4224" spans="2:2" ht="12.5" hidden="1">
      <c r="B4224" s="69"/>
    </row>
    <row r="4225" spans="2:2" ht="12.5" hidden="1">
      <c r="B4225" s="69"/>
    </row>
    <row r="4226" spans="2:2" ht="12.5" hidden="1">
      <c r="B4226" s="69"/>
    </row>
    <row r="4227" spans="2:2" ht="12.5" hidden="1">
      <c r="B4227" s="69"/>
    </row>
    <row r="4228" spans="2:2" ht="12.5" hidden="1">
      <c r="B4228" s="69"/>
    </row>
    <row r="4229" spans="2:2" ht="12.5" hidden="1">
      <c r="B4229" s="69"/>
    </row>
    <row r="4230" spans="2:2" ht="12.5" hidden="1">
      <c r="B4230" s="69"/>
    </row>
    <row r="4231" spans="2:2" ht="12.5" hidden="1">
      <c r="B4231" s="69"/>
    </row>
    <row r="4232" spans="2:2" ht="12.5" hidden="1">
      <c r="B4232" s="69"/>
    </row>
    <row r="4233" spans="2:2" ht="12.5" hidden="1">
      <c r="B4233" s="69"/>
    </row>
    <row r="4234" spans="2:2" ht="12.5" hidden="1">
      <c r="B4234" s="69"/>
    </row>
    <row r="4235" spans="2:2" ht="12.5" hidden="1">
      <c r="B4235" s="69"/>
    </row>
    <row r="4236" spans="2:2" ht="12.5" hidden="1">
      <c r="B4236" s="69"/>
    </row>
    <row r="4237" spans="2:2" ht="12.5" hidden="1">
      <c r="B4237" s="69"/>
    </row>
    <row r="4238" spans="2:2" ht="12.5" hidden="1">
      <c r="B4238" s="69"/>
    </row>
    <row r="4239" spans="2:2" ht="12.5" hidden="1">
      <c r="B4239" s="69"/>
    </row>
    <row r="4240" spans="2:2" ht="12.5" hidden="1">
      <c r="B4240" s="69"/>
    </row>
    <row r="4241" spans="2:2" ht="12.5" hidden="1">
      <c r="B4241" s="69"/>
    </row>
    <row r="4242" spans="2:2" ht="12.5" hidden="1">
      <c r="B4242" s="69"/>
    </row>
    <row r="4243" spans="2:2" ht="12.5" hidden="1">
      <c r="B4243" s="69"/>
    </row>
    <row r="4244" spans="2:2" ht="12.5" hidden="1">
      <c r="B4244" s="69"/>
    </row>
    <row r="4245" spans="2:2" ht="12.5" hidden="1">
      <c r="B4245" s="69"/>
    </row>
    <row r="4246" spans="2:2" ht="12.5" hidden="1">
      <c r="B4246" s="69"/>
    </row>
    <row r="4247" spans="2:2" ht="12.5" hidden="1">
      <c r="B4247" s="69"/>
    </row>
    <row r="4248" spans="2:2" ht="12.5" hidden="1">
      <c r="B4248" s="69"/>
    </row>
    <row r="4249" spans="2:2" ht="12.5" hidden="1">
      <c r="B4249" s="69"/>
    </row>
    <row r="4250" spans="2:2" ht="12.5" hidden="1">
      <c r="B4250" s="69"/>
    </row>
    <row r="4251" spans="2:2" ht="12.5" hidden="1">
      <c r="B4251" s="69"/>
    </row>
    <row r="4252" spans="2:2" ht="12.5" hidden="1">
      <c r="B4252" s="69"/>
    </row>
    <row r="4253" spans="2:2" ht="12.5" hidden="1">
      <c r="B4253" s="69"/>
    </row>
    <row r="4254" spans="2:2" ht="12.5" hidden="1">
      <c r="B4254" s="69"/>
    </row>
    <row r="4255" spans="2:2" ht="12.5" hidden="1">
      <c r="B4255" s="69"/>
    </row>
    <row r="4256" spans="2:2" ht="12.5" hidden="1">
      <c r="B4256" s="69"/>
    </row>
    <row r="4257" spans="2:2" ht="12.5" hidden="1">
      <c r="B4257" s="69"/>
    </row>
    <row r="4258" spans="2:2" ht="12.5" hidden="1">
      <c r="B4258" s="69"/>
    </row>
    <row r="4259" spans="2:2" ht="12.5" hidden="1">
      <c r="B4259" s="69"/>
    </row>
    <row r="4260" spans="2:2" ht="12.5" hidden="1">
      <c r="B4260" s="69"/>
    </row>
    <row r="4261" spans="2:2" ht="12.5" hidden="1">
      <c r="B4261" s="69"/>
    </row>
    <row r="4262" spans="2:2" ht="12.5" hidden="1">
      <c r="B4262" s="69"/>
    </row>
    <row r="4263" spans="2:2" ht="12.5" hidden="1">
      <c r="B4263" s="69"/>
    </row>
    <row r="4264" spans="2:2" ht="12.5" hidden="1">
      <c r="B4264" s="69"/>
    </row>
    <row r="4265" spans="2:2" ht="12.5" hidden="1">
      <c r="B4265" s="69"/>
    </row>
    <row r="4266" spans="2:2" ht="12.5" hidden="1">
      <c r="B4266" s="69"/>
    </row>
    <row r="4267" spans="2:2" ht="12.5" hidden="1">
      <c r="B4267" s="69"/>
    </row>
    <row r="4268" spans="2:2" ht="12.5" hidden="1">
      <c r="B4268" s="69"/>
    </row>
    <row r="4269" spans="2:2" ht="12.5" hidden="1">
      <c r="B4269" s="69"/>
    </row>
    <row r="4270" spans="2:2" ht="12.5" hidden="1">
      <c r="B4270" s="69"/>
    </row>
    <row r="4271" spans="2:2" ht="12.5" hidden="1">
      <c r="B4271" s="69"/>
    </row>
    <row r="4272" spans="2:2" ht="12.5" hidden="1">
      <c r="B4272" s="69"/>
    </row>
    <row r="4273" spans="2:2" ht="12.5" hidden="1">
      <c r="B4273" s="69"/>
    </row>
    <row r="4274" spans="2:2" ht="12.5" hidden="1">
      <c r="B4274" s="69"/>
    </row>
    <row r="4275" spans="2:2" ht="12.5" hidden="1">
      <c r="B4275" s="69"/>
    </row>
    <row r="4276" spans="2:2" ht="12.5" hidden="1">
      <c r="B4276" s="69"/>
    </row>
    <row r="4277" spans="2:2" ht="12.5" hidden="1">
      <c r="B4277" s="69"/>
    </row>
    <row r="4278" spans="2:2" ht="12.5" hidden="1">
      <c r="B4278" s="69"/>
    </row>
    <row r="4279" spans="2:2" ht="12.5" hidden="1">
      <c r="B4279" s="69"/>
    </row>
    <row r="4280" spans="2:2" ht="12.5" hidden="1">
      <c r="B4280" s="69"/>
    </row>
    <row r="4281" spans="2:2" ht="12.5" hidden="1">
      <c r="B4281" s="69"/>
    </row>
    <row r="4282" spans="2:2" ht="12.5" hidden="1">
      <c r="B4282" s="69"/>
    </row>
    <row r="4283" spans="2:2" ht="12.5" hidden="1">
      <c r="B4283" s="69"/>
    </row>
    <row r="4284" spans="2:2" ht="12.5" hidden="1">
      <c r="B4284" s="69"/>
    </row>
    <row r="4285" spans="2:2" ht="12.5" hidden="1">
      <c r="B4285" s="69"/>
    </row>
    <row r="4286" spans="2:2" ht="12.5" hidden="1">
      <c r="B4286" s="69"/>
    </row>
    <row r="4287" spans="2:2" ht="12.5" hidden="1">
      <c r="B4287" s="69"/>
    </row>
    <row r="4288" spans="2:2" ht="12.5" hidden="1">
      <c r="B4288" s="69"/>
    </row>
    <row r="4289" spans="2:2" ht="12.5" hidden="1">
      <c r="B4289" s="69"/>
    </row>
    <row r="4290" spans="2:2" ht="12.5" hidden="1">
      <c r="B4290" s="69"/>
    </row>
    <row r="4291" spans="2:2" ht="12.5" hidden="1">
      <c r="B4291" s="69"/>
    </row>
    <row r="4292" spans="2:2" ht="12.5" hidden="1">
      <c r="B4292" s="69"/>
    </row>
    <row r="4293" spans="2:2" ht="12.5" hidden="1">
      <c r="B4293" s="69"/>
    </row>
    <row r="4294" spans="2:2" ht="12.5" hidden="1">
      <c r="B4294" s="69"/>
    </row>
    <row r="4295" spans="2:2" ht="12.5" hidden="1">
      <c r="B4295" s="69"/>
    </row>
    <row r="4296" spans="2:2" ht="12.5" hidden="1">
      <c r="B4296" s="69"/>
    </row>
    <row r="4297" spans="2:2" ht="12.5" hidden="1">
      <c r="B4297" s="69"/>
    </row>
    <row r="4298" spans="2:2" ht="12.5" hidden="1">
      <c r="B4298" s="69"/>
    </row>
    <row r="4299" spans="2:2" ht="12.5" hidden="1">
      <c r="B4299" s="69"/>
    </row>
    <row r="4300" spans="2:2" ht="12.5" hidden="1">
      <c r="B4300" s="69"/>
    </row>
    <row r="4301" spans="2:2" ht="12.5" hidden="1">
      <c r="B4301" s="69"/>
    </row>
    <row r="4302" spans="2:2" ht="12.5" hidden="1">
      <c r="B4302" s="69"/>
    </row>
    <row r="4303" spans="2:2" ht="12.5" hidden="1">
      <c r="B4303" s="69"/>
    </row>
    <row r="4304" spans="2:2" ht="12.5" hidden="1">
      <c r="B4304" s="69"/>
    </row>
    <row r="4305" spans="2:2" ht="12.5" hidden="1">
      <c r="B4305" s="69"/>
    </row>
    <row r="4306" spans="2:2" ht="12.5" hidden="1">
      <c r="B4306" s="69"/>
    </row>
    <row r="4307" spans="2:2" ht="12.5" hidden="1">
      <c r="B4307" s="69"/>
    </row>
    <row r="4308" spans="2:2" ht="12.5" hidden="1">
      <c r="B4308" s="69"/>
    </row>
    <row r="4309" spans="2:2" ht="12.5" hidden="1">
      <c r="B4309" s="69"/>
    </row>
    <row r="4310" spans="2:2" ht="12.5" hidden="1">
      <c r="B4310" s="69"/>
    </row>
    <row r="4311" spans="2:2" ht="12.5" hidden="1">
      <c r="B4311" s="69"/>
    </row>
    <row r="4312" spans="2:2" ht="12.5" hidden="1">
      <c r="B4312" s="69"/>
    </row>
    <row r="4313" spans="2:2" ht="12.5" hidden="1">
      <c r="B4313" s="69"/>
    </row>
    <row r="4314" spans="2:2" ht="12.5" hidden="1">
      <c r="B4314" s="69"/>
    </row>
    <row r="4315" spans="2:2" ht="12.5" hidden="1">
      <c r="B4315" s="69"/>
    </row>
    <row r="4316" spans="2:2" ht="12.5" hidden="1">
      <c r="B4316" s="69"/>
    </row>
    <row r="4317" spans="2:2" ht="12.5" hidden="1">
      <c r="B4317" s="69"/>
    </row>
    <row r="4318" spans="2:2" ht="12.5" hidden="1">
      <c r="B4318" s="69"/>
    </row>
    <row r="4319" spans="2:2" ht="12.5" hidden="1">
      <c r="B4319" s="69"/>
    </row>
    <row r="4320" spans="2:2" ht="12.5" hidden="1">
      <c r="B4320" s="69"/>
    </row>
    <row r="4321" spans="2:2" ht="12.5" hidden="1">
      <c r="B4321" s="69"/>
    </row>
    <row r="4322" spans="2:2" ht="12.5" hidden="1">
      <c r="B4322" s="69"/>
    </row>
    <row r="4323" spans="2:2" ht="12.5" hidden="1">
      <c r="B4323" s="69"/>
    </row>
    <row r="4324" spans="2:2" ht="12.5" hidden="1">
      <c r="B4324" s="69"/>
    </row>
    <row r="4325" spans="2:2" ht="12.5" hidden="1">
      <c r="B4325" s="69"/>
    </row>
    <row r="4326" spans="2:2" ht="12.5" hidden="1">
      <c r="B4326" s="69"/>
    </row>
    <row r="4327" spans="2:2" ht="12.5" hidden="1">
      <c r="B4327" s="69"/>
    </row>
    <row r="4328" spans="2:2" ht="12.5" hidden="1">
      <c r="B4328" s="69"/>
    </row>
    <row r="4329" spans="2:2" ht="12.5" hidden="1">
      <c r="B4329" s="69"/>
    </row>
    <row r="4330" spans="2:2" ht="12.5" hidden="1">
      <c r="B4330" s="69"/>
    </row>
    <row r="4331" spans="2:2" ht="12.5" hidden="1">
      <c r="B4331" s="69"/>
    </row>
    <row r="4332" spans="2:2" ht="12.5" hidden="1">
      <c r="B4332" s="69"/>
    </row>
    <row r="4333" spans="2:2" ht="12.5" hidden="1">
      <c r="B4333" s="69"/>
    </row>
    <row r="4334" spans="2:2" ht="12.5" hidden="1">
      <c r="B4334" s="69"/>
    </row>
    <row r="4335" spans="2:2" ht="12.5" hidden="1">
      <c r="B4335" s="69"/>
    </row>
    <row r="4336" spans="2:2" ht="12.5" hidden="1">
      <c r="B4336" s="69"/>
    </row>
    <row r="4337" spans="2:2" ht="12.5" hidden="1">
      <c r="B4337" s="69"/>
    </row>
    <row r="4338" spans="2:2" ht="12.5" hidden="1">
      <c r="B4338" s="69"/>
    </row>
    <row r="4339" spans="2:2" ht="12.5" hidden="1">
      <c r="B4339" s="69"/>
    </row>
    <row r="4340" spans="2:2" ht="12.5" hidden="1">
      <c r="B4340" s="69"/>
    </row>
    <row r="4341" spans="2:2" ht="12.5" hidden="1">
      <c r="B4341" s="69"/>
    </row>
    <row r="4342" spans="2:2" ht="12.5" hidden="1">
      <c r="B4342" s="69"/>
    </row>
    <row r="4343" spans="2:2" ht="12.5" hidden="1">
      <c r="B4343" s="69"/>
    </row>
    <row r="4344" spans="2:2" ht="12.5" hidden="1">
      <c r="B4344" s="69"/>
    </row>
    <row r="4345" spans="2:2" ht="12.5" hidden="1">
      <c r="B4345" s="69"/>
    </row>
    <row r="4346" spans="2:2" ht="12.5" hidden="1">
      <c r="B4346" s="69"/>
    </row>
    <row r="4347" spans="2:2" ht="12.5" hidden="1">
      <c r="B4347" s="69"/>
    </row>
    <row r="4348" spans="2:2" ht="12.5" hidden="1">
      <c r="B4348" s="69"/>
    </row>
    <row r="4349" spans="2:2" ht="12.5" hidden="1">
      <c r="B4349" s="69"/>
    </row>
    <row r="4350" spans="2:2" ht="12.5" hidden="1">
      <c r="B4350" s="69"/>
    </row>
    <row r="4351" spans="2:2" ht="12.5" hidden="1">
      <c r="B4351" s="69"/>
    </row>
    <row r="4352" spans="2:2" ht="12.5" hidden="1">
      <c r="B4352" s="69"/>
    </row>
    <row r="4353" spans="2:2" ht="12.5" hidden="1">
      <c r="B4353" s="69"/>
    </row>
    <row r="4354" spans="2:2" ht="12.5" hidden="1">
      <c r="B4354" s="69"/>
    </row>
    <row r="4355" spans="2:2" ht="12.5" hidden="1">
      <c r="B4355" s="69"/>
    </row>
    <row r="4356" spans="2:2" ht="12.5" hidden="1">
      <c r="B4356" s="69"/>
    </row>
    <row r="4357" spans="2:2" ht="12.5" hidden="1">
      <c r="B4357" s="69"/>
    </row>
    <row r="4358" spans="2:2" ht="12.5" hidden="1">
      <c r="B4358" s="69"/>
    </row>
    <row r="4359" spans="2:2" ht="12.5" hidden="1">
      <c r="B4359" s="69"/>
    </row>
    <row r="4360" spans="2:2" ht="12.5" hidden="1">
      <c r="B4360" s="69"/>
    </row>
    <row r="4361" spans="2:2" ht="12.5" hidden="1">
      <c r="B4361" s="69"/>
    </row>
    <row r="4362" spans="2:2" ht="12.5" hidden="1">
      <c r="B4362" s="69"/>
    </row>
    <row r="4363" spans="2:2" ht="12.5" hidden="1">
      <c r="B4363" s="69"/>
    </row>
    <row r="4364" spans="2:2" ht="12.5" hidden="1">
      <c r="B4364" s="69"/>
    </row>
    <row r="4365" spans="2:2" ht="12.5" hidden="1">
      <c r="B4365" s="69"/>
    </row>
    <row r="4366" spans="2:2" ht="12.5" hidden="1">
      <c r="B4366" s="69"/>
    </row>
    <row r="4367" spans="2:2" ht="12.5" hidden="1">
      <c r="B4367" s="69"/>
    </row>
    <row r="4368" spans="2:2" ht="12.5" hidden="1">
      <c r="B4368" s="69"/>
    </row>
    <row r="4369" spans="2:2" ht="12.5" hidden="1">
      <c r="B4369" s="69"/>
    </row>
    <row r="4370" spans="2:2" ht="12.5" hidden="1">
      <c r="B4370" s="69"/>
    </row>
    <row r="4371" spans="2:2" ht="12.5" hidden="1">
      <c r="B4371" s="69"/>
    </row>
    <row r="4372" spans="2:2" ht="12.5" hidden="1">
      <c r="B4372" s="69"/>
    </row>
    <row r="4373" spans="2:2" ht="12.5" hidden="1">
      <c r="B4373" s="69"/>
    </row>
    <row r="4374" spans="2:2" ht="12.5" hidden="1">
      <c r="B4374" s="69"/>
    </row>
    <row r="4375" spans="2:2" ht="12.5" hidden="1">
      <c r="B4375" s="69"/>
    </row>
    <row r="4376" spans="2:2" ht="12.5" hidden="1">
      <c r="B4376" s="69"/>
    </row>
    <row r="4377" spans="2:2" ht="12.5" hidden="1">
      <c r="B4377" s="69"/>
    </row>
    <row r="4378" spans="2:2" ht="12.5" hidden="1">
      <c r="B4378" s="69"/>
    </row>
    <row r="4379" spans="2:2" ht="12.5" hidden="1">
      <c r="B4379" s="69"/>
    </row>
    <row r="4380" spans="2:2" ht="12.5" hidden="1">
      <c r="B4380" s="69"/>
    </row>
    <row r="4381" spans="2:2" ht="12.5" hidden="1">
      <c r="B4381" s="69"/>
    </row>
    <row r="4382" spans="2:2" ht="12.5" hidden="1">
      <c r="B4382" s="69"/>
    </row>
    <row r="4383" spans="2:2" ht="12.5" hidden="1">
      <c r="B4383" s="69"/>
    </row>
    <row r="4384" spans="2:2" ht="12.5" hidden="1">
      <c r="B4384" s="69"/>
    </row>
    <row r="4385" spans="2:2" ht="12.5" hidden="1">
      <c r="B4385" s="69"/>
    </row>
    <row r="4386" spans="2:2" ht="12.5" hidden="1">
      <c r="B4386" s="69"/>
    </row>
    <row r="4387" spans="2:2" ht="12.5" hidden="1">
      <c r="B4387" s="69"/>
    </row>
    <row r="4388" spans="2:2" ht="12.5" hidden="1">
      <c r="B4388" s="69"/>
    </row>
    <row r="4389" spans="2:2" ht="12.5" hidden="1">
      <c r="B4389" s="69"/>
    </row>
    <row r="4390" spans="2:2" ht="12.5" hidden="1">
      <c r="B4390" s="69"/>
    </row>
    <row r="4391" spans="2:2" ht="12.5" hidden="1">
      <c r="B4391" s="69"/>
    </row>
    <row r="4392" spans="2:2" ht="12.5" hidden="1">
      <c r="B4392" s="69"/>
    </row>
    <row r="4393" spans="2:2" ht="12.5" hidden="1">
      <c r="B4393" s="69"/>
    </row>
    <row r="4394" spans="2:2" ht="12.5" hidden="1">
      <c r="B4394" s="69"/>
    </row>
    <row r="4395" spans="2:2" ht="12.5" hidden="1">
      <c r="B4395" s="69"/>
    </row>
    <row r="4396" spans="2:2" ht="12.5" hidden="1">
      <c r="B4396" s="69"/>
    </row>
    <row r="4397" spans="2:2" ht="12.5" hidden="1">
      <c r="B4397" s="69"/>
    </row>
    <row r="4398" spans="2:2" ht="12.5" hidden="1">
      <c r="B4398" s="69"/>
    </row>
    <row r="4399" spans="2:2" ht="12.5" hidden="1">
      <c r="B4399" s="69"/>
    </row>
    <row r="4400" spans="2:2" ht="12.5" hidden="1">
      <c r="B4400" s="69"/>
    </row>
    <row r="4401" spans="2:2" ht="12.5" hidden="1">
      <c r="B4401" s="69"/>
    </row>
    <row r="4402" spans="2:2" ht="12.5" hidden="1">
      <c r="B4402" s="69"/>
    </row>
    <row r="4403" spans="2:2" ht="12.5" hidden="1">
      <c r="B4403" s="69"/>
    </row>
    <row r="4404" spans="2:2" ht="12.5" hidden="1">
      <c r="B4404" s="69"/>
    </row>
    <row r="4405" spans="2:2" ht="12.5" hidden="1">
      <c r="B4405" s="69"/>
    </row>
    <row r="4406" spans="2:2" ht="12.5" hidden="1">
      <c r="B4406" s="69"/>
    </row>
    <row r="4407" spans="2:2" ht="12.5" hidden="1">
      <c r="B4407" s="69"/>
    </row>
    <row r="4408" spans="2:2" ht="12.5" hidden="1">
      <c r="B4408" s="69"/>
    </row>
    <row r="4409" spans="2:2" ht="12.5" hidden="1">
      <c r="B4409" s="69"/>
    </row>
    <row r="4410" spans="2:2" ht="12.5" hidden="1">
      <c r="B4410" s="69"/>
    </row>
    <row r="4411" spans="2:2" ht="12.5" hidden="1">
      <c r="B4411" s="69"/>
    </row>
    <row r="4412" spans="2:2" ht="12.5" hidden="1">
      <c r="B4412" s="69"/>
    </row>
    <row r="4413" spans="2:2" ht="12.5" hidden="1">
      <c r="B4413" s="69"/>
    </row>
    <row r="4414" spans="2:2" ht="12.5" hidden="1">
      <c r="B4414" s="69"/>
    </row>
    <row r="4415" spans="2:2" ht="12.5" hidden="1">
      <c r="B4415" s="69"/>
    </row>
    <row r="4416" spans="2:2" ht="12.5" hidden="1">
      <c r="B4416" s="69"/>
    </row>
    <row r="4417" spans="2:2" ht="12.5" hidden="1">
      <c r="B4417" s="69"/>
    </row>
    <row r="4418" spans="2:2" ht="12.5" hidden="1">
      <c r="B4418" s="69"/>
    </row>
    <row r="4419" spans="2:2" ht="12.5" hidden="1">
      <c r="B4419" s="69"/>
    </row>
    <row r="4420" spans="2:2" ht="12.5" hidden="1">
      <c r="B4420" s="69"/>
    </row>
    <row r="4421" spans="2:2" ht="12.5" hidden="1">
      <c r="B4421" s="69"/>
    </row>
    <row r="4422" spans="2:2" ht="12.5" hidden="1">
      <c r="B4422" s="69"/>
    </row>
    <row r="4423" spans="2:2" ht="12.5" hidden="1">
      <c r="B4423" s="69"/>
    </row>
    <row r="4424" spans="2:2" ht="12.5" hidden="1">
      <c r="B4424" s="69"/>
    </row>
    <row r="4425" spans="2:2" ht="12.5" hidden="1">
      <c r="B4425" s="69"/>
    </row>
    <row r="4426" spans="2:2" ht="12.5" hidden="1">
      <c r="B4426" s="69"/>
    </row>
    <row r="4427" spans="2:2" ht="12.5" hidden="1">
      <c r="B4427" s="69"/>
    </row>
    <row r="4428" spans="2:2" ht="12.5" hidden="1">
      <c r="B4428" s="69"/>
    </row>
    <row r="4429" spans="2:2" ht="12.5" hidden="1">
      <c r="B4429" s="69"/>
    </row>
    <row r="4430" spans="2:2" ht="12.5" hidden="1">
      <c r="B4430" s="69"/>
    </row>
    <row r="4431" spans="2:2" ht="12.5" hidden="1">
      <c r="B4431" s="69"/>
    </row>
    <row r="4432" spans="2:2" ht="12.5" hidden="1">
      <c r="B4432" s="69"/>
    </row>
    <row r="4433" spans="2:2" ht="12.5" hidden="1">
      <c r="B4433" s="69"/>
    </row>
    <row r="4434" spans="2:2" ht="12.5" hidden="1">
      <c r="B4434" s="69"/>
    </row>
    <row r="4435" spans="2:2" ht="12.5" hidden="1">
      <c r="B4435" s="69"/>
    </row>
    <row r="4436" spans="2:2" ht="12.5" hidden="1">
      <c r="B4436" s="69"/>
    </row>
    <row r="4437" spans="2:2" ht="12.5" hidden="1">
      <c r="B4437" s="69"/>
    </row>
    <row r="4438" spans="2:2" ht="12.5" hidden="1">
      <c r="B4438" s="69"/>
    </row>
    <row r="4439" spans="2:2" ht="12.5" hidden="1">
      <c r="B4439" s="69"/>
    </row>
    <row r="4440" spans="2:2" ht="12.5" hidden="1">
      <c r="B4440" s="69"/>
    </row>
    <row r="4441" spans="2:2" ht="12.5" hidden="1">
      <c r="B4441" s="69"/>
    </row>
    <row r="4442" spans="2:2" ht="12.5" hidden="1">
      <c r="B4442" s="69"/>
    </row>
    <row r="4443" spans="2:2" ht="12.5" hidden="1">
      <c r="B4443" s="69"/>
    </row>
    <row r="4444" spans="2:2" ht="12.5" hidden="1">
      <c r="B4444" s="69"/>
    </row>
    <row r="4445" spans="2:2" ht="12.5" hidden="1">
      <c r="B4445" s="69"/>
    </row>
    <row r="4446" spans="2:2" ht="12.5" hidden="1">
      <c r="B4446" s="69"/>
    </row>
    <row r="4447" spans="2:2" ht="12.5" hidden="1">
      <c r="B4447" s="69"/>
    </row>
    <row r="4448" spans="2:2" ht="12.5" hidden="1">
      <c r="B4448" s="69"/>
    </row>
    <row r="4449" spans="2:2" ht="12.5" hidden="1">
      <c r="B4449" s="69"/>
    </row>
    <row r="4450" spans="2:2" ht="12.5" hidden="1">
      <c r="B4450" s="69"/>
    </row>
    <row r="4451" spans="2:2" ht="12.5" hidden="1">
      <c r="B4451" s="69"/>
    </row>
    <row r="4452" spans="2:2" ht="12.5" hidden="1">
      <c r="B4452" s="69"/>
    </row>
    <row r="4453" spans="2:2" ht="12.5" hidden="1">
      <c r="B4453" s="69"/>
    </row>
    <row r="4454" spans="2:2" ht="12.5" hidden="1">
      <c r="B4454" s="69"/>
    </row>
    <row r="4455" spans="2:2" ht="12.5" hidden="1">
      <c r="B4455" s="69"/>
    </row>
    <row r="4456" spans="2:2" ht="12.5" hidden="1">
      <c r="B4456" s="69"/>
    </row>
    <row r="4457" spans="2:2" ht="12.5" hidden="1">
      <c r="B4457" s="69"/>
    </row>
    <row r="4458" spans="2:2" ht="12.5" hidden="1">
      <c r="B4458" s="69"/>
    </row>
    <row r="4459" spans="2:2" ht="12.5" hidden="1">
      <c r="B4459" s="69"/>
    </row>
    <row r="4460" spans="2:2" ht="12.5" hidden="1">
      <c r="B4460" s="69"/>
    </row>
    <row r="4461" spans="2:2" ht="12.5" hidden="1">
      <c r="B4461" s="69"/>
    </row>
    <row r="4462" spans="2:2" ht="12.5" hidden="1">
      <c r="B4462" s="69"/>
    </row>
    <row r="4463" spans="2:2" ht="12.5" hidden="1">
      <c r="B4463" s="69"/>
    </row>
    <row r="4464" spans="2:2" ht="12.5" hidden="1">
      <c r="B4464" s="69"/>
    </row>
    <row r="4465" spans="2:2" ht="12.5" hidden="1">
      <c r="B4465" s="69"/>
    </row>
    <row r="4466" spans="2:2" ht="12.5" hidden="1">
      <c r="B4466" s="69"/>
    </row>
    <row r="4467" spans="2:2" ht="12.5" hidden="1">
      <c r="B4467" s="69"/>
    </row>
    <row r="4468" spans="2:2" ht="12.5" hidden="1">
      <c r="B4468" s="69"/>
    </row>
    <row r="4469" spans="2:2" ht="12.5" hidden="1">
      <c r="B4469" s="69"/>
    </row>
    <row r="4470" spans="2:2" ht="12.5" hidden="1">
      <c r="B4470" s="69"/>
    </row>
    <row r="4471" spans="2:2" ht="12.5" hidden="1">
      <c r="B4471" s="69"/>
    </row>
    <row r="4472" spans="2:2" ht="12.5" hidden="1">
      <c r="B4472" s="69"/>
    </row>
    <row r="4473" spans="2:2" ht="12.5" hidden="1">
      <c r="B4473" s="69"/>
    </row>
    <row r="4474" spans="2:2" ht="12.5" hidden="1">
      <c r="B4474" s="69"/>
    </row>
    <row r="4475" spans="2:2" ht="12.5" hidden="1">
      <c r="B4475" s="69"/>
    </row>
    <row r="4476" spans="2:2" ht="12.5" hidden="1">
      <c r="B4476" s="69"/>
    </row>
    <row r="4477" spans="2:2" ht="12.5" hidden="1">
      <c r="B4477" s="69"/>
    </row>
    <row r="4478" spans="2:2" ht="12.5" hidden="1">
      <c r="B4478" s="69"/>
    </row>
    <row r="4479" spans="2:2" ht="12.5" hidden="1">
      <c r="B4479" s="69"/>
    </row>
    <row r="4480" spans="2:2" ht="12.5" hidden="1">
      <c r="B4480" s="69"/>
    </row>
    <row r="4481" spans="2:2" ht="12.5" hidden="1">
      <c r="B4481" s="69"/>
    </row>
    <row r="4482" spans="2:2" ht="12.5" hidden="1">
      <c r="B4482" s="69"/>
    </row>
    <row r="4483" spans="2:2" ht="12.5" hidden="1">
      <c r="B4483" s="69"/>
    </row>
    <row r="4484" spans="2:2" ht="12.5" hidden="1">
      <c r="B4484" s="69"/>
    </row>
    <row r="4485" spans="2:2" ht="12.5" hidden="1">
      <c r="B4485" s="69"/>
    </row>
    <row r="4486" spans="2:2" ht="12.5" hidden="1">
      <c r="B4486" s="69"/>
    </row>
    <row r="4487" spans="2:2" ht="12.5" hidden="1">
      <c r="B4487" s="69"/>
    </row>
    <row r="4488" spans="2:2" ht="12.5" hidden="1">
      <c r="B4488" s="69"/>
    </row>
    <row r="4489" spans="2:2" ht="12.5" hidden="1">
      <c r="B4489" s="69"/>
    </row>
    <row r="4490" spans="2:2" ht="12.5" hidden="1">
      <c r="B4490" s="69"/>
    </row>
    <row r="4491" spans="2:2" ht="12.5" hidden="1">
      <c r="B4491" s="69"/>
    </row>
    <row r="4492" spans="2:2" ht="12.5" hidden="1">
      <c r="B4492" s="69"/>
    </row>
    <row r="4493" spans="2:2" ht="12.5" hidden="1">
      <c r="B4493" s="69"/>
    </row>
    <row r="4494" spans="2:2" ht="12.5" hidden="1">
      <c r="B4494" s="69"/>
    </row>
    <row r="4495" spans="2:2" ht="12.5" hidden="1">
      <c r="B4495" s="69"/>
    </row>
    <row r="4496" spans="2:2" ht="12.5" hidden="1">
      <c r="B4496" s="69"/>
    </row>
    <row r="4497" spans="2:2" ht="12.5" hidden="1">
      <c r="B4497" s="69"/>
    </row>
    <row r="4498" spans="2:2" ht="12.5" hidden="1">
      <c r="B4498" s="69"/>
    </row>
    <row r="4499" spans="2:2" ht="12.5" hidden="1">
      <c r="B4499" s="69"/>
    </row>
    <row r="4500" spans="2:2" ht="12.5" hidden="1">
      <c r="B4500" s="69"/>
    </row>
    <row r="4501" spans="2:2" ht="12.5" hidden="1">
      <c r="B4501" s="69"/>
    </row>
    <row r="4502" spans="2:2" ht="12.5" hidden="1">
      <c r="B4502" s="69"/>
    </row>
    <row r="4503" spans="2:2" ht="12.5" hidden="1">
      <c r="B4503" s="69"/>
    </row>
    <row r="4504" spans="2:2" ht="12.5" hidden="1">
      <c r="B4504" s="69"/>
    </row>
    <row r="4505" spans="2:2" ht="12.5" hidden="1">
      <c r="B4505" s="69"/>
    </row>
    <row r="4506" spans="2:2" ht="12.5" hidden="1">
      <c r="B4506" s="69"/>
    </row>
    <row r="4507" spans="2:2" ht="12.5" hidden="1">
      <c r="B4507" s="69"/>
    </row>
    <row r="4508" spans="2:2" ht="12.5" hidden="1">
      <c r="B4508" s="69"/>
    </row>
    <row r="4509" spans="2:2" ht="12.5" hidden="1">
      <c r="B4509" s="69"/>
    </row>
    <row r="4510" spans="2:2" ht="12.5" hidden="1">
      <c r="B4510" s="69"/>
    </row>
    <row r="4511" spans="2:2" ht="12.5" hidden="1">
      <c r="B4511" s="69"/>
    </row>
    <row r="4512" spans="2:2" ht="12.5" hidden="1">
      <c r="B4512" s="69"/>
    </row>
    <row r="4513" spans="2:2" ht="12.5" hidden="1">
      <c r="B4513" s="69"/>
    </row>
    <row r="4514" spans="2:2" ht="12.5" hidden="1">
      <c r="B4514" s="69"/>
    </row>
    <row r="4515" spans="2:2" ht="12.5" hidden="1">
      <c r="B4515" s="69"/>
    </row>
    <row r="4516" spans="2:2" ht="12.5" hidden="1">
      <c r="B4516" s="69"/>
    </row>
    <row r="4517" spans="2:2" ht="12.5" hidden="1">
      <c r="B4517" s="69"/>
    </row>
    <row r="4518" spans="2:2" ht="12.5" hidden="1">
      <c r="B4518" s="69"/>
    </row>
    <row r="4519" spans="2:2" ht="12.5" hidden="1">
      <c r="B4519" s="69"/>
    </row>
    <row r="4520" spans="2:2" ht="12.5" hidden="1">
      <c r="B4520" s="69"/>
    </row>
    <row r="4521" spans="2:2" ht="12.5" hidden="1">
      <c r="B4521" s="69"/>
    </row>
    <row r="4522" spans="2:2" ht="12.5" hidden="1">
      <c r="B4522" s="69"/>
    </row>
    <row r="4523" spans="2:2" ht="12.5" hidden="1">
      <c r="B4523" s="69"/>
    </row>
    <row r="4524" spans="2:2" ht="12.5" hidden="1">
      <c r="B4524" s="69"/>
    </row>
    <row r="4525" spans="2:2" ht="12.5" hidden="1">
      <c r="B4525" s="69"/>
    </row>
    <row r="4526" spans="2:2" ht="12.5" hidden="1">
      <c r="B4526" s="69"/>
    </row>
    <row r="4527" spans="2:2" ht="12.5" hidden="1">
      <c r="B4527" s="69"/>
    </row>
    <row r="4528" spans="2:2" ht="12.5" hidden="1">
      <c r="B4528" s="69"/>
    </row>
    <row r="4529" spans="2:2" ht="12.5" hidden="1">
      <c r="B4529" s="69"/>
    </row>
    <row r="4530" spans="2:2" ht="12.5" hidden="1">
      <c r="B4530" s="69"/>
    </row>
    <row r="4531" spans="2:2" ht="12.5" hidden="1">
      <c r="B4531" s="69"/>
    </row>
    <row r="4532" spans="2:2" ht="12.5" hidden="1">
      <c r="B4532" s="69"/>
    </row>
    <row r="4533" spans="2:2" ht="12.5" hidden="1">
      <c r="B4533" s="69"/>
    </row>
    <row r="4534" spans="2:2" ht="12.5" hidden="1">
      <c r="B4534" s="69"/>
    </row>
    <row r="4535" spans="2:2" ht="12.5" hidden="1">
      <c r="B4535" s="69"/>
    </row>
    <row r="4536" spans="2:2" ht="12.5" hidden="1">
      <c r="B4536" s="69"/>
    </row>
    <row r="4537" spans="2:2" ht="12.5" hidden="1">
      <c r="B4537" s="69"/>
    </row>
    <row r="4538" spans="2:2" ht="12.5" hidden="1">
      <c r="B4538" s="69"/>
    </row>
    <row r="4539" spans="2:2" ht="12.5" hidden="1">
      <c r="B4539" s="69"/>
    </row>
    <row r="4540" spans="2:2" ht="12.5" hidden="1">
      <c r="B4540" s="69"/>
    </row>
    <row r="4541" spans="2:2" ht="12.5" hidden="1">
      <c r="B4541" s="69"/>
    </row>
    <row r="4542" spans="2:2" ht="12.5" hidden="1">
      <c r="B4542" s="69"/>
    </row>
    <row r="4543" spans="2:2" ht="12.5" hidden="1">
      <c r="B4543" s="69"/>
    </row>
    <row r="4544" spans="2:2" ht="12.5" hidden="1">
      <c r="B4544" s="69"/>
    </row>
    <row r="4545" spans="2:2" ht="12.5" hidden="1">
      <c r="B4545" s="69"/>
    </row>
    <row r="4546" spans="2:2" ht="12.5" hidden="1">
      <c r="B4546" s="69"/>
    </row>
    <row r="4547" spans="2:2" ht="12.5" hidden="1">
      <c r="B4547" s="69"/>
    </row>
    <row r="4548" spans="2:2" ht="12.5" hidden="1">
      <c r="B4548" s="69"/>
    </row>
    <row r="4549" spans="2:2" ht="12.5" hidden="1">
      <c r="B4549" s="69"/>
    </row>
    <row r="4550" spans="2:2" ht="12.5" hidden="1">
      <c r="B4550" s="69"/>
    </row>
    <row r="4551" spans="2:2" ht="12.5" hidden="1">
      <c r="B4551" s="69"/>
    </row>
    <row r="4552" spans="2:2" ht="12.5" hidden="1">
      <c r="B4552" s="69"/>
    </row>
    <row r="4553" spans="2:2" ht="12.5" hidden="1">
      <c r="B4553" s="69"/>
    </row>
    <row r="4554" spans="2:2" ht="12.5" hidden="1">
      <c r="B4554" s="69"/>
    </row>
    <row r="4555" spans="2:2" ht="12.5" hidden="1">
      <c r="B4555" s="69"/>
    </row>
    <row r="4556" spans="2:2" ht="12.5" hidden="1">
      <c r="B4556" s="69"/>
    </row>
    <row r="4557" spans="2:2" ht="12.5" hidden="1">
      <c r="B4557" s="69"/>
    </row>
    <row r="4558" spans="2:2" ht="12.5" hidden="1">
      <c r="B4558" s="69"/>
    </row>
    <row r="4559" spans="2:2" ht="12.5" hidden="1">
      <c r="B4559" s="69"/>
    </row>
    <row r="4560" spans="2:2" ht="12.5" hidden="1">
      <c r="B4560" s="69"/>
    </row>
    <row r="4561" spans="2:2" ht="12.5" hidden="1">
      <c r="B4561" s="69"/>
    </row>
    <row r="4562" spans="2:2" ht="12.5" hidden="1">
      <c r="B4562" s="69"/>
    </row>
    <row r="4563" spans="2:2" ht="12.5" hidden="1">
      <c r="B4563" s="69"/>
    </row>
    <row r="4564" spans="2:2" ht="12.5" hidden="1">
      <c r="B4564" s="69"/>
    </row>
    <row r="4565" spans="2:2" ht="12.5" hidden="1">
      <c r="B4565" s="69"/>
    </row>
    <row r="4566" spans="2:2" ht="12.5" hidden="1">
      <c r="B4566" s="69"/>
    </row>
    <row r="4567" spans="2:2" ht="12.5" hidden="1">
      <c r="B4567" s="69"/>
    </row>
    <row r="4568" spans="2:2" ht="12.5" hidden="1">
      <c r="B4568" s="69"/>
    </row>
    <row r="4569" spans="2:2" ht="12.5" hidden="1">
      <c r="B4569" s="69"/>
    </row>
    <row r="4570" spans="2:2" ht="12.5" hidden="1">
      <c r="B4570" s="69"/>
    </row>
    <row r="4571" spans="2:2" ht="12.5" hidden="1">
      <c r="B4571" s="69"/>
    </row>
    <row r="4572" spans="2:2" ht="12.5" hidden="1">
      <c r="B4572" s="69"/>
    </row>
    <row r="4573" spans="2:2" ht="12.5" hidden="1">
      <c r="B4573" s="69"/>
    </row>
    <row r="4574" spans="2:2" ht="12.5" hidden="1">
      <c r="B4574" s="69"/>
    </row>
    <row r="4575" spans="2:2" ht="12.5" hidden="1">
      <c r="B4575" s="69"/>
    </row>
    <row r="4576" spans="2:2" ht="12.5" hidden="1">
      <c r="B4576" s="69"/>
    </row>
    <row r="4577" spans="2:2" ht="12.5" hidden="1">
      <c r="B4577" s="69"/>
    </row>
    <row r="4578" spans="2:2" ht="12.5" hidden="1">
      <c r="B4578" s="69"/>
    </row>
    <row r="4579" spans="2:2" ht="12.5" hidden="1">
      <c r="B4579" s="69"/>
    </row>
    <row r="4580" spans="2:2" ht="12.5" hidden="1">
      <c r="B4580" s="69"/>
    </row>
    <row r="4581" spans="2:2" ht="12.5" hidden="1">
      <c r="B4581" s="69"/>
    </row>
    <row r="4582" spans="2:2" ht="12.5" hidden="1">
      <c r="B4582" s="69"/>
    </row>
    <row r="4583" spans="2:2" ht="12.5" hidden="1">
      <c r="B4583" s="69"/>
    </row>
    <row r="4584" spans="2:2" ht="12.5" hidden="1">
      <c r="B4584" s="69"/>
    </row>
    <row r="4585" spans="2:2" ht="12.5" hidden="1">
      <c r="B4585" s="69"/>
    </row>
    <row r="4586" spans="2:2" ht="12.5" hidden="1">
      <c r="B4586" s="69"/>
    </row>
    <row r="4587" spans="2:2" ht="12.5" hidden="1">
      <c r="B4587" s="69"/>
    </row>
    <row r="4588" spans="2:2" ht="12.5" hidden="1">
      <c r="B4588" s="69"/>
    </row>
    <row r="4589" spans="2:2" ht="12.5" hidden="1">
      <c r="B4589" s="69"/>
    </row>
    <row r="4590" spans="2:2" ht="12.5" hidden="1">
      <c r="B4590" s="69"/>
    </row>
    <row r="4591" spans="2:2" ht="12.5" hidden="1">
      <c r="B4591" s="69"/>
    </row>
    <row r="4592" spans="2:2" ht="12.5" hidden="1">
      <c r="B4592" s="69"/>
    </row>
    <row r="4593" spans="2:2" ht="12.5" hidden="1">
      <c r="B4593" s="69"/>
    </row>
    <row r="4594" spans="2:2" ht="12.5" hidden="1">
      <c r="B4594" s="69"/>
    </row>
    <row r="4595" spans="2:2" ht="12.5" hidden="1">
      <c r="B4595" s="69"/>
    </row>
    <row r="4596" spans="2:2" ht="12.5" hidden="1">
      <c r="B4596" s="69"/>
    </row>
    <row r="4597" spans="2:2" ht="12.5" hidden="1">
      <c r="B4597" s="69"/>
    </row>
    <row r="4598" spans="2:2" ht="12.5" hidden="1">
      <c r="B4598" s="69"/>
    </row>
    <row r="4599" spans="2:2" ht="12.5" hidden="1">
      <c r="B4599" s="69"/>
    </row>
    <row r="4600" spans="2:2" ht="12.5" hidden="1">
      <c r="B4600" s="69"/>
    </row>
    <row r="4601" spans="2:2" ht="12.5" hidden="1">
      <c r="B4601" s="69"/>
    </row>
    <row r="4602" spans="2:2" ht="12.5" hidden="1">
      <c r="B4602" s="69"/>
    </row>
    <row r="4603" spans="2:2" ht="12.5" hidden="1">
      <c r="B4603" s="69"/>
    </row>
    <row r="4604" spans="2:2" ht="12.5" hidden="1">
      <c r="B4604" s="69"/>
    </row>
    <row r="4605" spans="2:2" ht="12.5" hidden="1">
      <c r="B4605" s="69"/>
    </row>
    <row r="4606" spans="2:2" ht="12.5" hidden="1">
      <c r="B4606" s="69"/>
    </row>
    <row r="4607" spans="2:2" ht="12.5" hidden="1">
      <c r="B4607" s="69"/>
    </row>
    <row r="4608" spans="2:2" ht="12.5" hidden="1">
      <c r="B4608" s="69"/>
    </row>
    <row r="4609" spans="2:2" ht="12.5" hidden="1">
      <c r="B4609" s="69"/>
    </row>
    <row r="4610" spans="2:2" ht="12.5" hidden="1">
      <c r="B4610" s="69"/>
    </row>
    <row r="4611" spans="2:2" ht="12.5" hidden="1">
      <c r="B4611" s="69"/>
    </row>
    <row r="4612" spans="2:2" ht="12.5" hidden="1">
      <c r="B4612" s="69"/>
    </row>
    <row r="4613" spans="2:2" ht="12.5" hidden="1">
      <c r="B4613" s="69"/>
    </row>
    <row r="4614" spans="2:2" ht="12.5" hidden="1">
      <c r="B4614" s="69"/>
    </row>
    <row r="4615" spans="2:2" ht="12.5" hidden="1">
      <c r="B4615" s="69"/>
    </row>
    <row r="4616" spans="2:2" ht="12.5" hidden="1">
      <c r="B4616" s="69"/>
    </row>
    <row r="4617" spans="2:2" ht="12.5" hidden="1">
      <c r="B4617" s="69"/>
    </row>
    <row r="4618" spans="2:2" ht="12.5" hidden="1">
      <c r="B4618" s="69"/>
    </row>
    <row r="4619" spans="2:2" ht="12.5" hidden="1">
      <c r="B4619" s="69"/>
    </row>
    <row r="4620" spans="2:2" ht="12.5" hidden="1">
      <c r="B4620" s="69"/>
    </row>
    <row r="4621" spans="2:2" ht="12.5" hidden="1">
      <c r="B4621" s="69"/>
    </row>
    <row r="4622" spans="2:2" ht="12.5" hidden="1">
      <c r="B4622" s="69"/>
    </row>
    <row r="4623" spans="2:2" ht="12.5" hidden="1">
      <c r="B4623" s="69"/>
    </row>
    <row r="4624" spans="2:2" ht="12.5" hidden="1">
      <c r="B4624" s="69"/>
    </row>
    <row r="4625" spans="2:2" ht="12.5" hidden="1">
      <c r="B4625" s="69"/>
    </row>
    <row r="4626" spans="2:2" ht="12.5" hidden="1">
      <c r="B4626" s="69"/>
    </row>
    <row r="4627" spans="2:2" ht="12.5" hidden="1">
      <c r="B4627" s="69"/>
    </row>
    <row r="4628" spans="2:2" ht="12.5" hidden="1">
      <c r="B4628" s="69"/>
    </row>
    <row r="4629" spans="2:2" ht="12.5" hidden="1">
      <c r="B4629" s="69"/>
    </row>
    <row r="4630" spans="2:2" ht="12.5" hidden="1">
      <c r="B4630" s="69"/>
    </row>
    <row r="4631" spans="2:2" ht="12.5" hidden="1">
      <c r="B4631" s="69"/>
    </row>
    <row r="4632" spans="2:2" ht="12.5" hidden="1">
      <c r="B4632" s="69"/>
    </row>
    <row r="4633" spans="2:2" ht="12.5" hidden="1">
      <c r="B4633" s="69"/>
    </row>
    <row r="4634" spans="2:2" ht="12.5" hidden="1">
      <c r="B4634" s="69"/>
    </row>
    <row r="4635" spans="2:2" ht="12.5" hidden="1">
      <c r="B4635" s="69"/>
    </row>
    <row r="4636" spans="2:2" ht="12.5" hidden="1">
      <c r="B4636" s="69"/>
    </row>
    <row r="4637" spans="2:2" ht="12.5" hidden="1">
      <c r="B4637" s="69"/>
    </row>
    <row r="4638" spans="2:2" ht="12.5" hidden="1">
      <c r="B4638" s="69"/>
    </row>
    <row r="4639" spans="2:2" ht="12.5" hidden="1">
      <c r="B4639" s="69"/>
    </row>
    <row r="4640" spans="2:2" ht="12.5" hidden="1">
      <c r="B4640" s="69"/>
    </row>
    <row r="4641" spans="2:2" ht="12.5" hidden="1">
      <c r="B4641" s="69"/>
    </row>
    <row r="4642" spans="2:2" ht="12.5" hidden="1">
      <c r="B4642" s="69"/>
    </row>
    <row r="4643" spans="2:2" ht="12.5" hidden="1">
      <c r="B4643" s="69"/>
    </row>
    <row r="4644" spans="2:2" ht="12.5" hidden="1">
      <c r="B4644" s="69"/>
    </row>
    <row r="4645" spans="2:2" ht="12.5" hidden="1">
      <c r="B4645" s="69"/>
    </row>
    <row r="4646" spans="2:2" ht="12.5" hidden="1">
      <c r="B4646" s="69"/>
    </row>
    <row r="4647" spans="2:2" ht="12.5" hidden="1">
      <c r="B4647" s="69"/>
    </row>
    <row r="4648" spans="2:2" ht="12.5" hidden="1">
      <c r="B4648" s="69"/>
    </row>
    <row r="4649" spans="2:2" ht="12.5" hidden="1">
      <c r="B4649" s="69"/>
    </row>
    <row r="4650" spans="2:2" ht="12.5" hidden="1">
      <c r="B4650" s="69"/>
    </row>
    <row r="4651" spans="2:2" ht="12.5" hidden="1">
      <c r="B4651" s="69"/>
    </row>
    <row r="4652" spans="2:2" ht="12.5" hidden="1">
      <c r="B4652" s="69"/>
    </row>
    <row r="4653" spans="2:2" ht="12.5" hidden="1">
      <c r="B4653" s="69"/>
    </row>
    <row r="4654" spans="2:2" ht="12.5" hidden="1">
      <c r="B4654" s="69"/>
    </row>
    <row r="4655" spans="2:2" ht="12.5" hidden="1">
      <c r="B4655" s="69"/>
    </row>
    <row r="4656" spans="2:2" ht="12.5" hidden="1">
      <c r="B4656" s="69"/>
    </row>
    <row r="4657" spans="2:2" ht="12.5" hidden="1">
      <c r="B4657" s="69"/>
    </row>
    <row r="4658" spans="2:2" ht="12.5" hidden="1">
      <c r="B4658" s="69"/>
    </row>
    <row r="4659" spans="2:2" ht="12.5" hidden="1">
      <c r="B4659" s="69"/>
    </row>
    <row r="4660" spans="2:2" ht="12.5" hidden="1">
      <c r="B4660" s="69"/>
    </row>
    <row r="4661" spans="2:2" ht="12.5" hidden="1">
      <c r="B4661" s="69"/>
    </row>
    <row r="4662" spans="2:2" ht="12.5" hidden="1">
      <c r="B4662" s="69"/>
    </row>
    <row r="4663" spans="2:2" ht="12.5" hidden="1">
      <c r="B4663" s="69"/>
    </row>
    <row r="4664" spans="2:2" ht="12.5" hidden="1">
      <c r="B4664" s="69"/>
    </row>
    <row r="4665" spans="2:2" ht="12.5" hidden="1">
      <c r="B4665" s="69"/>
    </row>
    <row r="4666" spans="2:2" ht="12.5" hidden="1">
      <c r="B4666" s="69"/>
    </row>
    <row r="4667" spans="2:2" ht="12.5" hidden="1">
      <c r="B4667" s="69"/>
    </row>
    <row r="4668" spans="2:2" ht="12.5" hidden="1">
      <c r="B4668" s="69"/>
    </row>
    <row r="4669" spans="2:2" ht="12.5" hidden="1">
      <c r="B4669" s="69"/>
    </row>
    <row r="4670" spans="2:2" ht="12.5" hidden="1">
      <c r="B4670" s="69"/>
    </row>
    <row r="4671" spans="2:2" ht="12.5" hidden="1">
      <c r="B4671" s="69"/>
    </row>
    <row r="4672" spans="2:2" ht="12.5" hidden="1">
      <c r="B4672" s="69"/>
    </row>
    <row r="4673" spans="2:2" ht="12.5" hidden="1">
      <c r="B4673" s="69"/>
    </row>
    <row r="4674" spans="2:2" ht="12.5" hidden="1">
      <c r="B4674" s="69"/>
    </row>
    <row r="4675" spans="2:2" ht="12.5" hidden="1">
      <c r="B4675" s="69"/>
    </row>
    <row r="4676" spans="2:2" ht="12.5" hidden="1">
      <c r="B4676" s="69"/>
    </row>
    <row r="4677" spans="2:2" ht="12.5" hidden="1">
      <c r="B4677" s="69"/>
    </row>
    <row r="4678" spans="2:2" ht="12.5" hidden="1">
      <c r="B4678" s="69"/>
    </row>
    <row r="4679" spans="2:2" ht="12.5" hidden="1">
      <c r="B4679" s="69"/>
    </row>
    <row r="4680" spans="2:2" ht="12.5" hidden="1">
      <c r="B4680" s="69"/>
    </row>
    <row r="4681" spans="2:2" ht="12.5" hidden="1">
      <c r="B4681" s="69"/>
    </row>
    <row r="4682" spans="2:2" ht="12.5" hidden="1">
      <c r="B4682" s="69"/>
    </row>
    <row r="4683" spans="2:2" ht="12.5" hidden="1">
      <c r="B4683" s="69"/>
    </row>
    <row r="4684" spans="2:2" ht="12.5" hidden="1">
      <c r="B4684" s="69"/>
    </row>
    <row r="4685" spans="2:2" ht="12.5" hidden="1">
      <c r="B4685" s="69"/>
    </row>
    <row r="4686" spans="2:2" ht="12.5" hidden="1">
      <c r="B4686" s="69"/>
    </row>
    <row r="4687" spans="2:2" ht="12.5" hidden="1">
      <c r="B4687" s="69"/>
    </row>
    <row r="4688" spans="2:2" ht="12.5" hidden="1">
      <c r="B4688" s="69"/>
    </row>
    <row r="4689" spans="2:2" ht="12.5" hidden="1">
      <c r="B4689" s="69"/>
    </row>
    <row r="4690" spans="2:2" ht="12.5" hidden="1">
      <c r="B4690" s="69"/>
    </row>
    <row r="4691" spans="2:2" ht="12.5" hidden="1">
      <c r="B4691" s="69"/>
    </row>
    <row r="4692" spans="2:2" ht="12.5" hidden="1">
      <c r="B4692" s="69"/>
    </row>
    <row r="4693" spans="2:2" ht="12.5" hidden="1">
      <c r="B4693" s="69"/>
    </row>
    <row r="4694" spans="2:2" ht="12.5" hidden="1">
      <c r="B4694" s="69"/>
    </row>
    <row r="4695" spans="2:2" ht="12.5" hidden="1">
      <c r="B4695" s="69"/>
    </row>
    <row r="4696" spans="2:2" ht="12.5" hidden="1">
      <c r="B4696" s="69"/>
    </row>
    <row r="4697" spans="2:2" ht="12.5" hidden="1">
      <c r="B4697" s="69"/>
    </row>
    <row r="4698" spans="2:2" ht="12.5" hidden="1">
      <c r="B4698" s="69"/>
    </row>
    <row r="4699" spans="2:2" ht="12.5" hidden="1">
      <c r="B4699" s="69"/>
    </row>
    <row r="4700" spans="2:2" ht="12.5" hidden="1">
      <c r="B4700" s="69"/>
    </row>
    <row r="4701" spans="2:2" ht="12.5" hidden="1">
      <c r="B4701" s="69"/>
    </row>
    <row r="4702" spans="2:2" ht="12.5" hidden="1">
      <c r="B4702" s="69"/>
    </row>
    <row r="4703" spans="2:2" ht="12.5" hidden="1">
      <c r="B4703" s="69"/>
    </row>
    <row r="4704" spans="2:2" ht="12.5" hidden="1">
      <c r="B4704" s="69"/>
    </row>
    <row r="4705" spans="2:2" ht="12.5" hidden="1">
      <c r="B4705" s="69"/>
    </row>
    <row r="4706" spans="2:2" ht="12.5" hidden="1">
      <c r="B4706" s="69"/>
    </row>
    <row r="4707" spans="2:2" ht="12.5" hidden="1">
      <c r="B4707" s="69"/>
    </row>
    <row r="4708" spans="2:2" ht="12.5" hidden="1">
      <c r="B4708" s="69"/>
    </row>
    <row r="4709" spans="2:2" ht="12.5" hidden="1">
      <c r="B4709" s="69"/>
    </row>
    <row r="4710" spans="2:2" ht="12.5" hidden="1">
      <c r="B4710" s="69"/>
    </row>
    <row r="4711" spans="2:2" ht="12.5" hidden="1">
      <c r="B4711" s="69"/>
    </row>
    <row r="4712" spans="2:2" ht="12.5" hidden="1">
      <c r="B4712" s="69"/>
    </row>
    <row r="4713" spans="2:2" ht="12.5" hidden="1">
      <c r="B4713" s="69"/>
    </row>
    <row r="4714" spans="2:2" ht="12.5" hidden="1">
      <c r="B4714" s="69"/>
    </row>
    <row r="4715" spans="2:2" ht="12.5" hidden="1">
      <c r="B4715" s="69"/>
    </row>
    <row r="4716" spans="2:2" ht="12.5" hidden="1">
      <c r="B4716" s="69"/>
    </row>
    <row r="4717" spans="2:2" ht="12.5" hidden="1">
      <c r="B4717" s="69"/>
    </row>
    <row r="4718" spans="2:2" ht="12.5" hidden="1">
      <c r="B4718" s="69"/>
    </row>
    <row r="4719" spans="2:2" ht="12.5" hidden="1">
      <c r="B4719" s="69"/>
    </row>
    <row r="4720" spans="2:2" ht="12.5" hidden="1">
      <c r="B4720" s="69"/>
    </row>
    <row r="4721" spans="2:2" ht="12.5" hidden="1">
      <c r="B4721" s="69"/>
    </row>
    <row r="4722" spans="2:2" ht="12.5" hidden="1">
      <c r="B4722" s="69"/>
    </row>
    <row r="4723" spans="2:2" ht="12.5" hidden="1">
      <c r="B4723" s="69"/>
    </row>
    <row r="4724" spans="2:2" ht="12.5" hidden="1">
      <c r="B4724" s="69"/>
    </row>
    <row r="4725" spans="2:2" ht="12.5" hidden="1">
      <c r="B4725" s="69"/>
    </row>
    <row r="4726" spans="2:2" ht="12.5" hidden="1">
      <c r="B4726" s="69"/>
    </row>
    <row r="4727" spans="2:2" ht="12.5" hidden="1">
      <c r="B4727" s="69"/>
    </row>
    <row r="4728" spans="2:2" ht="12.5" hidden="1">
      <c r="B4728" s="69"/>
    </row>
    <row r="4729" spans="2:2" ht="12.5" hidden="1">
      <c r="B4729" s="69"/>
    </row>
    <row r="4730" spans="2:2" ht="12.5" hidden="1">
      <c r="B4730" s="69"/>
    </row>
    <row r="4731" spans="2:2" ht="12.5" hidden="1">
      <c r="B4731" s="69"/>
    </row>
    <row r="4732" spans="2:2" ht="12.5" hidden="1">
      <c r="B4732" s="69"/>
    </row>
    <row r="4733" spans="2:2" ht="12.5" hidden="1">
      <c r="B4733" s="69"/>
    </row>
    <row r="4734" spans="2:2" ht="12.5" hidden="1">
      <c r="B4734" s="69"/>
    </row>
    <row r="4735" spans="2:2" ht="12.5" hidden="1">
      <c r="B4735" s="69"/>
    </row>
    <row r="4736" spans="2:2" ht="12.5" hidden="1">
      <c r="B4736" s="69"/>
    </row>
    <row r="4737" spans="2:2" ht="12.5" hidden="1">
      <c r="B4737" s="69"/>
    </row>
    <row r="4738" spans="2:2" ht="12.5" hidden="1">
      <c r="B4738" s="69"/>
    </row>
    <row r="4739" spans="2:2" ht="12.5" hidden="1">
      <c r="B4739" s="69"/>
    </row>
    <row r="4740" spans="2:2" ht="12.5" hidden="1">
      <c r="B4740" s="69"/>
    </row>
    <row r="4741" spans="2:2" ht="12.5" hidden="1">
      <c r="B4741" s="69"/>
    </row>
    <row r="4742" spans="2:2" ht="12.5" hidden="1">
      <c r="B4742" s="69"/>
    </row>
    <row r="4743" spans="2:2" ht="12.5" hidden="1">
      <c r="B4743" s="69"/>
    </row>
    <row r="4744" spans="2:2" ht="12.5" hidden="1">
      <c r="B4744" s="69"/>
    </row>
    <row r="4745" spans="2:2" ht="12.5" hidden="1">
      <c r="B4745" s="69"/>
    </row>
    <row r="4746" spans="2:2" ht="12.5" hidden="1">
      <c r="B4746" s="69"/>
    </row>
    <row r="4747" spans="2:2" ht="12.5" hidden="1">
      <c r="B4747" s="69"/>
    </row>
    <row r="4748" spans="2:2" ht="12.5" hidden="1">
      <c r="B4748" s="69"/>
    </row>
    <row r="4749" spans="2:2" ht="12.5" hidden="1">
      <c r="B4749" s="69"/>
    </row>
    <row r="4750" spans="2:2" ht="12.5" hidden="1">
      <c r="B4750" s="69"/>
    </row>
    <row r="4751" spans="2:2" ht="12.5" hidden="1">
      <c r="B4751" s="69"/>
    </row>
    <row r="4752" spans="2:2" ht="12.5" hidden="1">
      <c r="B4752" s="69"/>
    </row>
    <row r="4753" spans="2:2" ht="12.5" hidden="1">
      <c r="B4753" s="69"/>
    </row>
    <row r="4754" spans="2:2" ht="12.5" hidden="1">
      <c r="B4754" s="69"/>
    </row>
    <row r="4755" spans="2:2" ht="12.5" hidden="1">
      <c r="B4755" s="69"/>
    </row>
    <row r="4756" spans="2:2" ht="12.5" hidden="1">
      <c r="B4756" s="69"/>
    </row>
    <row r="4757" spans="2:2" ht="12.5" hidden="1">
      <c r="B4757" s="69"/>
    </row>
    <row r="4758" spans="2:2" ht="12.5" hidden="1">
      <c r="B4758" s="69"/>
    </row>
    <row r="4759" spans="2:2" ht="12.5" hidden="1">
      <c r="B4759" s="69"/>
    </row>
    <row r="4760" spans="2:2" ht="12.5" hidden="1">
      <c r="B4760" s="69"/>
    </row>
    <row r="4761" spans="2:2" ht="12.5" hidden="1">
      <c r="B4761" s="69"/>
    </row>
    <row r="4762" spans="2:2" ht="12.5" hidden="1">
      <c r="B4762" s="69"/>
    </row>
    <row r="4763" spans="2:2" ht="12.5" hidden="1">
      <c r="B4763" s="69"/>
    </row>
    <row r="4764" spans="2:2" ht="12.5" hidden="1">
      <c r="B4764" s="69"/>
    </row>
    <row r="4765" spans="2:2" ht="12.5" hidden="1">
      <c r="B4765" s="69"/>
    </row>
    <row r="4766" spans="2:2" ht="12.5" hidden="1">
      <c r="B4766" s="69"/>
    </row>
    <row r="4767" spans="2:2" ht="12.5" hidden="1">
      <c r="B4767" s="69"/>
    </row>
    <row r="4768" spans="2:2" ht="12.5" hidden="1">
      <c r="B4768" s="69"/>
    </row>
    <row r="4769" spans="2:2" ht="12.5" hidden="1">
      <c r="B4769" s="69"/>
    </row>
    <row r="4770" spans="2:2" ht="12.5" hidden="1">
      <c r="B4770" s="69"/>
    </row>
    <row r="4771" spans="2:2" ht="12.5" hidden="1">
      <c r="B4771" s="69"/>
    </row>
    <row r="4772" spans="2:2" ht="12.5" hidden="1">
      <c r="B4772" s="69"/>
    </row>
    <row r="4773" spans="2:2" ht="12.5" hidden="1">
      <c r="B4773" s="69"/>
    </row>
    <row r="4774" spans="2:2" ht="12.5" hidden="1">
      <c r="B4774" s="69"/>
    </row>
    <row r="4775" spans="2:2" ht="12.5" hidden="1">
      <c r="B4775" s="69"/>
    </row>
    <row r="4776" spans="2:2" ht="12.5" hidden="1">
      <c r="B4776" s="69"/>
    </row>
    <row r="4777" spans="2:2" ht="12.5" hidden="1">
      <c r="B4777" s="69"/>
    </row>
    <row r="4778" spans="2:2" ht="12.5" hidden="1">
      <c r="B4778" s="69"/>
    </row>
    <row r="4779" spans="2:2" ht="12.5" hidden="1">
      <c r="B4779" s="69"/>
    </row>
    <row r="4780" spans="2:2" ht="12.5" hidden="1">
      <c r="B4780" s="69"/>
    </row>
    <row r="4781" spans="2:2" ht="12.5" hidden="1">
      <c r="B4781" s="69"/>
    </row>
    <row r="4782" spans="2:2" ht="12.5" hidden="1">
      <c r="B4782" s="69"/>
    </row>
    <row r="4783" spans="2:2" ht="12.5" hidden="1">
      <c r="B4783" s="69"/>
    </row>
    <row r="4784" spans="2:2" ht="12.5" hidden="1">
      <c r="B4784" s="69"/>
    </row>
    <row r="4785" spans="2:2" ht="12.5" hidden="1">
      <c r="B4785" s="69"/>
    </row>
    <row r="4786" spans="2:2" ht="12.5" hidden="1">
      <c r="B4786" s="69"/>
    </row>
    <row r="4787" spans="2:2" ht="12.5" hidden="1">
      <c r="B4787" s="69"/>
    </row>
    <row r="4788" spans="2:2" ht="12.5" hidden="1">
      <c r="B4788" s="69"/>
    </row>
    <row r="4789" spans="2:2" ht="12.5" hidden="1">
      <c r="B4789" s="69"/>
    </row>
    <row r="4790" spans="2:2" ht="12.5" hidden="1">
      <c r="B4790" s="69"/>
    </row>
    <row r="4791" spans="2:2" ht="12.5" hidden="1">
      <c r="B4791" s="69"/>
    </row>
    <row r="4792" spans="2:2" ht="12.5" hidden="1">
      <c r="B4792" s="69"/>
    </row>
    <row r="4793" spans="2:2" ht="12.5" hidden="1">
      <c r="B4793" s="69"/>
    </row>
    <row r="4794" spans="2:2" ht="12.5" hidden="1">
      <c r="B4794" s="69"/>
    </row>
    <row r="4795" spans="2:2" ht="12.5" hidden="1">
      <c r="B4795" s="69"/>
    </row>
    <row r="4796" spans="2:2" ht="12.5" hidden="1">
      <c r="B4796" s="69"/>
    </row>
    <row r="4797" spans="2:2" ht="12.5" hidden="1">
      <c r="B4797" s="69"/>
    </row>
    <row r="4798" spans="2:2" ht="12.5" hidden="1">
      <c r="B4798" s="69"/>
    </row>
    <row r="4799" spans="2:2" ht="12.5" hidden="1">
      <c r="B4799" s="69"/>
    </row>
    <row r="4800" spans="2:2" ht="12.5" hidden="1">
      <c r="B4800" s="69"/>
    </row>
    <row r="4801" spans="2:2" ht="12.5" hidden="1">
      <c r="B4801" s="69"/>
    </row>
    <row r="4802" spans="2:2" ht="12.5" hidden="1">
      <c r="B4802" s="69"/>
    </row>
    <row r="4803" spans="2:2" ht="12.5" hidden="1">
      <c r="B4803" s="69"/>
    </row>
    <row r="4804" spans="2:2" ht="12.5" hidden="1">
      <c r="B4804" s="69"/>
    </row>
    <row r="4805" spans="2:2" ht="12.5" hidden="1">
      <c r="B4805" s="69"/>
    </row>
    <row r="4806" spans="2:2" ht="12.5" hidden="1">
      <c r="B4806" s="69"/>
    </row>
    <row r="4807" spans="2:2" ht="12.5" hidden="1">
      <c r="B4807" s="69"/>
    </row>
    <row r="4808" spans="2:2" ht="12.5" hidden="1">
      <c r="B4808" s="69"/>
    </row>
    <row r="4809" spans="2:2" ht="12.5" hidden="1">
      <c r="B4809" s="69"/>
    </row>
    <row r="4810" spans="2:2" ht="12.5" hidden="1">
      <c r="B4810" s="69"/>
    </row>
    <row r="4811" spans="2:2" ht="12.5" hidden="1">
      <c r="B4811" s="69"/>
    </row>
    <row r="4812" spans="2:2" ht="12.5" hidden="1">
      <c r="B4812" s="69"/>
    </row>
    <row r="4813" spans="2:2" ht="12.5" hidden="1">
      <c r="B4813" s="69"/>
    </row>
    <row r="4814" spans="2:2" ht="12.5" hidden="1">
      <c r="B4814" s="69"/>
    </row>
    <row r="4815" spans="2:2" ht="12.5" hidden="1">
      <c r="B4815" s="69"/>
    </row>
    <row r="4816" spans="2:2" ht="12.5" hidden="1">
      <c r="B4816" s="69"/>
    </row>
    <row r="4817" spans="2:2" ht="12.5" hidden="1">
      <c r="B4817" s="69"/>
    </row>
    <row r="4818" spans="2:2" ht="12.5" hidden="1">
      <c r="B4818" s="69"/>
    </row>
    <row r="4819" spans="2:2" ht="12.5" hidden="1">
      <c r="B4819" s="69"/>
    </row>
    <row r="4820" spans="2:2" ht="12.5" hidden="1">
      <c r="B4820" s="69"/>
    </row>
    <row r="4821" spans="2:2" ht="12.5" hidden="1">
      <c r="B4821" s="69"/>
    </row>
    <row r="4822" spans="2:2" ht="12.5" hidden="1">
      <c r="B4822" s="69"/>
    </row>
    <row r="4823" spans="2:2" ht="12.5" hidden="1">
      <c r="B4823" s="69"/>
    </row>
    <row r="4824" spans="2:2" ht="12.5" hidden="1">
      <c r="B4824" s="69"/>
    </row>
    <row r="4825" spans="2:2" ht="12.5" hidden="1">
      <c r="B4825" s="69"/>
    </row>
    <row r="4826" spans="2:2" ht="12.5" hidden="1">
      <c r="B4826" s="69"/>
    </row>
    <row r="4827" spans="2:2" ht="12.5" hidden="1">
      <c r="B4827" s="69"/>
    </row>
    <row r="4828" spans="2:2" ht="12.5" hidden="1">
      <c r="B4828" s="69"/>
    </row>
    <row r="4829" spans="2:2" ht="12.5" hidden="1">
      <c r="B4829" s="69"/>
    </row>
    <row r="4830" spans="2:2" ht="12.5" hidden="1">
      <c r="B4830" s="69"/>
    </row>
    <row r="4831" spans="2:2" ht="12.5" hidden="1">
      <c r="B4831" s="69"/>
    </row>
    <row r="4832" spans="2:2" ht="12.5" hidden="1">
      <c r="B4832" s="69"/>
    </row>
    <row r="4833" spans="2:2" ht="12.5" hidden="1">
      <c r="B4833" s="69"/>
    </row>
    <row r="4834" spans="2:2" ht="12.5" hidden="1">
      <c r="B4834" s="69"/>
    </row>
    <row r="4835" spans="2:2" ht="12.5" hidden="1">
      <c r="B4835" s="69"/>
    </row>
    <row r="4836" spans="2:2" ht="12.5" hidden="1">
      <c r="B4836" s="69"/>
    </row>
    <row r="4837" spans="2:2" ht="12.5" hidden="1">
      <c r="B4837" s="69"/>
    </row>
    <row r="4838" spans="2:2" ht="12.5" hidden="1">
      <c r="B4838" s="69"/>
    </row>
    <row r="4839" spans="2:2" ht="12.5" hidden="1">
      <c r="B4839" s="69"/>
    </row>
    <row r="4840" spans="2:2" ht="12.5" hidden="1">
      <c r="B4840" s="69"/>
    </row>
    <row r="4841" spans="2:2" ht="12.5" hidden="1">
      <c r="B4841" s="69"/>
    </row>
    <row r="4842" spans="2:2" ht="12.5" hidden="1">
      <c r="B4842" s="69"/>
    </row>
    <row r="4843" spans="2:2" ht="12.5" hidden="1">
      <c r="B4843" s="69"/>
    </row>
    <row r="4844" spans="2:2" ht="12.5" hidden="1">
      <c r="B4844" s="69"/>
    </row>
    <row r="4845" spans="2:2" ht="12.5" hidden="1">
      <c r="B4845" s="69"/>
    </row>
    <row r="4846" spans="2:2" ht="12.5" hidden="1">
      <c r="B4846" s="69"/>
    </row>
    <row r="4847" spans="2:2" ht="12.5" hidden="1">
      <c r="B4847" s="69"/>
    </row>
    <row r="4848" spans="2:2" ht="12.5" hidden="1">
      <c r="B4848" s="69"/>
    </row>
    <row r="4849" spans="2:2" ht="12.5" hidden="1">
      <c r="B4849" s="69"/>
    </row>
    <row r="4850" spans="2:2" ht="12.5" hidden="1">
      <c r="B4850" s="69"/>
    </row>
    <row r="4851" spans="2:2" ht="12.5" hidden="1">
      <c r="B4851" s="69"/>
    </row>
    <row r="4852" spans="2:2" ht="12.5" hidden="1">
      <c r="B4852" s="69"/>
    </row>
    <row r="4853" spans="2:2" ht="12.5" hidden="1">
      <c r="B4853" s="69"/>
    </row>
    <row r="4854" spans="2:2" ht="12.5" hidden="1">
      <c r="B4854" s="69"/>
    </row>
    <row r="4855" spans="2:2" ht="12.5" hidden="1">
      <c r="B4855" s="69"/>
    </row>
    <row r="4856" spans="2:2" ht="12.5" hidden="1">
      <c r="B4856" s="69"/>
    </row>
    <row r="4857" spans="2:2" ht="12.5" hidden="1">
      <c r="B4857" s="69"/>
    </row>
    <row r="4858" spans="2:2" ht="12.5" hidden="1">
      <c r="B4858" s="69"/>
    </row>
    <row r="4859" spans="2:2" ht="12.5" hidden="1">
      <c r="B4859" s="69"/>
    </row>
    <row r="4860" spans="2:2" ht="12.5" hidden="1">
      <c r="B4860" s="69"/>
    </row>
    <row r="4861" spans="2:2" ht="12.5" hidden="1">
      <c r="B4861" s="69"/>
    </row>
    <row r="4862" spans="2:2" ht="12.5" hidden="1">
      <c r="B4862" s="69"/>
    </row>
    <row r="4863" spans="2:2" ht="12.5" hidden="1">
      <c r="B4863" s="69"/>
    </row>
    <row r="4864" spans="2:2" ht="12.5" hidden="1">
      <c r="B4864" s="69"/>
    </row>
    <row r="4865" spans="2:2" ht="12.5" hidden="1">
      <c r="B4865" s="69"/>
    </row>
    <row r="4866" spans="2:2" ht="12.5" hidden="1">
      <c r="B4866" s="69"/>
    </row>
    <row r="4867" spans="2:2" ht="12.5" hidden="1">
      <c r="B4867" s="69"/>
    </row>
    <row r="4868" spans="2:2" ht="12.5" hidden="1">
      <c r="B4868" s="69"/>
    </row>
    <row r="4869" spans="2:2" ht="12.5" hidden="1">
      <c r="B4869" s="69"/>
    </row>
    <row r="4870" spans="2:2" ht="12.5" hidden="1">
      <c r="B4870" s="69"/>
    </row>
    <row r="4871" spans="2:2" ht="12.5" hidden="1">
      <c r="B4871" s="69"/>
    </row>
    <row r="4872" spans="2:2" ht="12.5" hidden="1">
      <c r="B4872" s="69"/>
    </row>
    <row r="4873" spans="2:2" ht="12.5" hidden="1">
      <c r="B4873" s="69"/>
    </row>
    <row r="4874" spans="2:2" ht="12.5" hidden="1">
      <c r="B4874" s="69"/>
    </row>
    <row r="4875" spans="2:2" ht="12.5" hidden="1">
      <c r="B4875" s="69"/>
    </row>
    <row r="4876" spans="2:2" ht="12.5" hidden="1">
      <c r="B4876" s="69"/>
    </row>
    <row r="4877" spans="2:2" ht="12.5" hidden="1">
      <c r="B4877" s="69"/>
    </row>
    <row r="4878" spans="2:2" ht="12.5" hidden="1">
      <c r="B4878" s="69"/>
    </row>
    <row r="4879" spans="2:2" ht="12.5" hidden="1">
      <c r="B4879" s="69"/>
    </row>
    <row r="4880" spans="2:2" ht="12.5" hidden="1">
      <c r="B4880" s="69"/>
    </row>
    <row r="4881" spans="2:2" ht="12.5" hidden="1">
      <c r="B4881" s="69"/>
    </row>
    <row r="4882" spans="2:2" ht="12.5" hidden="1">
      <c r="B4882" s="69"/>
    </row>
    <row r="4883" spans="2:2" ht="12.5" hidden="1">
      <c r="B4883" s="69"/>
    </row>
    <row r="4884" spans="2:2" ht="12.5" hidden="1">
      <c r="B4884" s="69"/>
    </row>
    <row r="4885" spans="2:2" ht="12.5" hidden="1">
      <c r="B4885" s="69"/>
    </row>
    <row r="4886" spans="2:2" ht="12.5" hidden="1">
      <c r="B4886" s="69"/>
    </row>
    <row r="4887" spans="2:2" ht="12.5" hidden="1">
      <c r="B4887" s="69"/>
    </row>
    <row r="4888" spans="2:2" ht="12.5" hidden="1">
      <c r="B4888" s="69"/>
    </row>
    <row r="4889" spans="2:2" ht="12.5" hidden="1">
      <c r="B4889" s="69"/>
    </row>
    <row r="4890" spans="2:2" ht="12.5" hidden="1">
      <c r="B4890" s="69"/>
    </row>
    <row r="4891" spans="2:2" ht="12.5" hidden="1">
      <c r="B4891" s="69"/>
    </row>
    <row r="4892" spans="2:2" ht="12.5" hidden="1">
      <c r="B4892" s="69"/>
    </row>
    <row r="4893" spans="2:2" ht="12.5" hidden="1">
      <c r="B4893" s="69"/>
    </row>
    <row r="4894" spans="2:2" ht="12.5" hidden="1">
      <c r="B4894" s="69"/>
    </row>
    <row r="4895" spans="2:2" ht="12.5" hidden="1">
      <c r="B4895" s="69"/>
    </row>
    <row r="4896" spans="2:2" ht="12.5" hidden="1">
      <c r="B4896" s="69"/>
    </row>
    <row r="4897" spans="2:2" ht="12.5" hidden="1">
      <c r="B4897" s="69"/>
    </row>
    <row r="4898" spans="2:2" ht="12.5" hidden="1">
      <c r="B4898" s="69"/>
    </row>
    <row r="4899" spans="2:2" ht="12.5" hidden="1">
      <c r="B4899" s="69"/>
    </row>
    <row r="4900" spans="2:2" ht="12.5" hidden="1">
      <c r="B4900" s="69"/>
    </row>
    <row r="4901" spans="2:2" ht="12.5" hidden="1">
      <c r="B4901" s="69"/>
    </row>
    <row r="4902" spans="2:2" ht="12.5" hidden="1">
      <c r="B4902" s="69"/>
    </row>
    <row r="4903" spans="2:2" ht="12.5" hidden="1">
      <c r="B4903" s="69"/>
    </row>
    <row r="4904" spans="2:2" ht="12.5" hidden="1">
      <c r="B4904" s="69"/>
    </row>
    <row r="4905" spans="2:2" ht="12.5" hidden="1">
      <c r="B4905" s="69"/>
    </row>
    <row r="4906" spans="2:2" ht="12.5" hidden="1">
      <c r="B4906" s="69"/>
    </row>
    <row r="4907" spans="2:2" ht="12.5" hidden="1">
      <c r="B4907" s="69"/>
    </row>
    <row r="4908" spans="2:2" ht="12.5" hidden="1">
      <c r="B4908" s="69"/>
    </row>
    <row r="4909" spans="2:2" ht="12.5" hidden="1">
      <c r="B4909" s="69"/>
    </row>
    <row r="4910" spans="2:2" ht="12.5" hidden="1">
      <c r="B4910" s="69"/>
    </row>
    <row r="4911" spans="2:2" ht="12.5" hidden="1">
      <c r="B4911" s="69"/>
    </row>
    <row r="4912" spans="2:2" ht="12.5" hidden="1">
      <c r="B4912" s="69"/>
    </row>
    <row r="4913" spans="2:2" ht="12.5" hidden="1">
      <c r="B4913" s="69"/>
    </row>
    <row r="4914" spans="2:2" ht="12.5" hidden="1">
      <c r="B4914" s="69"/>
    </row>
    <row r="4915" spans="2:2" ht="12.5" hidden="1">
      <c r="B4915" s="69"/>
    </row>
    <row r="4916" spans="2:2" ht="12.5" hidden="1">
      <c r="B4916" s="69"/>
    </row>
    <row r="4917" spans="2:2" ht="12.5" hidden="1">
      <c r="B4917" s="69"/>
    </row>
    <row r="4918" spans="2:2" ht="12.5" hidden="1">
      <c r="B4918" s="69"/>
    </row>
    <row r="4919" spans="2:2" ht="12.5" hidden="1">
      <c r="B4919" s="69"/>
    </row>
    <row r="4920" spans="2:2" ht="12.5" hidden="1">
      <c r="B4920" s="69"/>
    </row>
    <row r="4921" spans="2:2" ht="12.5" hidden="1">
      <c r="B4921" s="69"/>
    </row>
    <row r="4922" spans="2:2" ht="12.5" hidden="1">
      <c r="B4922" s="69"/>
    </row>
    <row r="4923" spans="2:2" ht="12.5" hidden="1">
      <c r="B4923" s="69"/>
    </row>
    <row r="4924" spans="2:2" ht="12.5" hidden="1">
      <c r="B4924" s="69"/>
    </row>
    <row r="4925" spans="2:2" ht="12.5" hidden="1">
      <c r="B4925" s="69"/>
    </row>
    <row r="4926" spans="2:2" ht="12.5" hidden="1">
      <c r="B4926" s="69"/>
    </row>
    <row r="4927" spans="2:2" ht="12.5" hidden="1">
      <c r="B4927" s="69"/>
    </row>
    <row r="4928" spans="2:2" ht="12.5" hidden="1">
      <c r="B4928" s="69"/>
    </row>
    <row r="4929" spans="2:2" ht="12.5" hidden="1">
      <c r="B4929" s="69"/>
    </row>
    <row r="4930" spans="2:2" ht="12.5" hidden="1">
      <c r="B4930" s="69"/>
    </row>
    <row r="4931" spans="2:2" ht="12.5" hidden="1">
      <c r="B4931" s="69"/>
    </row>
    <row r="4932" spans="2:2" ht="12.5" hidden="1">
      <c r="B4932" s="69"/>
    </row>
    <row r="4933" spans="2:2" ht="12.5" hidden="1">
      <c r="B4933" s="69"/>
    </row>
    <row r="4934" spans="2:2" ht="12.5" hidden="1">
      <c r="B4934" s="69"/>
    </row>
    <row r="4935" spans="2:2" ht="12.5" hidden="1">
      <c r="B4935" s="69"/>
    </row>
    <row r="4936" spans="2:2" ht="12.5" hidden="1">
      <c r="B4936" s="69"/>
    </row>
    <row r="4937" spans="2:2" ht="12.5" hidden="1">
      <c r="B4937" s="69"/>
    </row>
    <row r="4938" spans="2:2" ht="12.5" hidden="1">
      <c r="B4938" s="69"/>
    </row>
    <row r="4939" spans="2:2" ht="12.5" hidden="1">
      <c r="B4939" s="69"/>
    </row>
    <row r="4940" spans="2:2" ht="12.5" hidden="1">
      <c r="B4940" s="69"/>
    </row>
    <row r="4941" spans="2:2" ht="12.5" hidden="1">
      <c r="B4941" s="69"/>
    </row>
    <row r="4942" spans="2:2" ht="12.5" hidden="1">
      <c r="B4942" s="69"/>
    </row>
    <row r="4943" spans="2:2" ht="12.5" hidden="1">
      <c r="B4943" s="69"/>
    </row>
    <row r="4944" spans="2:2" ht="12.5" hidden="1">
      <c r="B4944" s="69"/>
    </row>
    <row r="4945" spans="2:2" ht="12.5" hidden="1">
      <c r="B4945" s="69"/>
    </row>
    <row r="4946" spans="2:2" ht="12.5" hidden="1">
      <c r="B4946" s="69"/>
    </row>
    <row r="4947" spans="2:2" ht="12.5" hidden="1">
      <c r="B4947" s="69"/>
    </row>
    <row r="4948" spans="2:2" ht="12.5" hidden="1">
      <c r="B4948" s="69"/>
    </row>
    <row r="4949" spans="2:2" ht="12.5" hidden="1">
      <c r="B4949" s="69"/>
    </row>
    <row r="4950" spans="2:2" ht="12.5" hidden="1">
      <c r="B4950" s="69"/>
    </row>
    <row r="4951" spans="2:2" ht="12.5" hidden="1">
      <c r="B4951" s="69"/>
    </row>
    <row r="4952" spans="2:2" ht="12.5" hidden="1">
      <c r="B4952" s="69"/>
    </row>
    <row r="4953" spans="2:2" ht="12.5" hidden="1">
      <c r="B4953" s="69"/>
    </row>
    <row r="4954" spans="2:2" ht="12.5" hidden="1">
      <c r="B4954" s="69"/>
    </row>
    <row r="4955" spans="2:2" ht="12.5" hidden="1">
      <c r="B4955" s="69"/>
    </row>
    <row r="4956" spans="2:2" ht="12.5" hidden="1">
      <c r="B4956" s="69"/>
    </row>
    <row r="4957" spans="2:2" ht="12.5" hidden="1">
      <c r="B4957" s="69"/>
    </row>
    <row r="4958" spans="2:2" ht="12.5" hidden="1">
      <c r="B4958" s="69"/>
    </row>
    <row r="4959" spans="2:2" ht="12.5" hidden="1">
      <c r="B4959" s="69"/>
    </row>
    <row r="4960" spans="2:2" ht="12.5" hidden="1">
      <c r="B4960" s="69"/>
    </row>
    <row r="4961" spans="2:2" ht="12.5" hidden="1">
      <c r="B4961" s="69"/>
    </row>
    <row r="4962" spans="2:2" ht="12.5" hidden="1">
      <c r="B4962" s="69"/>
    </row>
    <row r="4963" spans="2:2" ht="12.5" hidden="1">
      <c r="B4963" s="69"/>
    </row>
    <row r="4964" spans="2:2" ht="12.5" hidden="1">
      <c r="B4964" s="69"/>
    </row>
    <row r="4965" spans="2:2" ht="12.5" hidden="1">
      <c r="B4965" s="69"/>
    </row>
    <row r="4966" spans="2:2" ht="12.5" hidden="1">
      <c r="B4966" s="69"/>
    </row>
    <row r="4967" spans="2:2" ht="12.5" hidden="1">
      <c r="B4967" s="69"/>
    </row>
    <row r="4968" spans="2:2" ht="12.5" hidden="1">
      <c r="B4968" s="69"/>
    </row>
    <row r="4969" spans="2:2" ht="12.5" hidden="1">
      <c r="B4969" s="69"/>
    </row>
    <row r="4970" spans="2:2" ht="12.5" hidden="1">
      <c r="B4970" s="69"/>
    </row>
    <row r="4971" spans="2:2" ht="12.5" hidden="1">
      <c r="B4971" s="69"/>
    </row>
    <row r="4972" spans="2:2" ht="12.5" hidden="1">
      <c r="B4972" s="69"/>
    </row>
    <row r="4973" spans="2:2" ht="12.5" hidden="1">
      <c r="B4973" s="69"/>
    </row>
    <row r="4974" spans="2:2" ht="12.5" hidden="1">
      <c r="B4974" s="69"/>
    </row>
    <row r="4975" spans="2:2" ht="12.5" hidden="1">
      <c r="B4975" s="69"/>
    </row>
    <row r="4976" spans="2:2" ht="12.5" hidden="1">
      <c r="B4976" s="69"/>
    </row>
    <row r="4977" spans="2:2" ht="12.5" hidden="1">
      <c r="B4977" s="69"/>
    </row>
    <row r="4978" spans="2:2" ht="12.5" hidden="1">
      <c r="B4978" s="69"/>
    </row>
    <row r="4979" spans="2:2" ht="12.5" hidden="1">
      <c r="B4979" s="69"/>
    </row>
    <row r="4980" spans="2:2" ht="12.5" hidden="1">
      <c r="B4980" s="69"/>
    </row>
    <row r="4981" spans="2:2" ht="12.5" hidden="1">
      <c r="B4981" s="69"/>
    </row>
    <row r="4982" spans="2:2" ht="12.5" hidden="1">
      <c r="B4982" s="69"/>
    </row>
    <row r="4983" spans="2:2" ht="12.5" hidden="1">
      <c r="B4983" s="69"/>
    </row>
    <row r="4984" spans="2:2" ht="12.5" hidden="1">
      <c r="B4984" s="69"/>
    </row>
    <row r="4985" spans="2:2" ht="12.5" hidden="1">
      <c r="B4985" s="69"/>
    </row>
    <row r="4986" spans="2:2" ht="12.5" hidden="1">
      <c r="B4986" s="69"/>
    </row>
    <row r="4987" spans="2:2" ht="12.5" hidden="1">
      <c r="B4987" s="69"/>
    </row>
    <row r="4988" spans="2:2" ht="12.5" hidden="1">
      <c r="B4988" s="69"/>
    </row>
    <row r="4989" spans="2:2" ht="12.5" hidden="1">
      <c r="B4989" s="69"/>
    </row>
    <row r="4990" spans="2:2" ht="12.5" hidden="1">
      <c r="B4990" s="69"/>
    </row>
    <row r="4991" spans="2:2" ht="12.5" hidden="1">
      <c r="B4991" s="69"/>
    </row>
    <row r="4992" spans="2:2" ht="12.5" hidden="1">
      <c r="B4992" s="69"/>
    </row>
    <row r="4993" spans="2:2" ht="12.5" hidden="1">
      <c r="B4993" s="69"/>
    </row>
    <row r="4994" spans="2:2" ht="12.5" hidden="1">
      <c r="B4994" s="69"/>
    </row>
    <row r="4995" spans="2:2" ht="12.5" hidden="1">
      <c r="B4995" s="69"/>
    </row>
    <row r="4996" spans="2:2" ht="12.5" hidden="1">
      <c r="B4996" s="69"/>
    </row>
    <row r="4997" spans="2:2" ht="12.5" hidden="1">
      <c r="B4997" s="69"/>
    </row>
    <row r="4998" spans="2:2" ht="12.5" hidden="1">
      <c r="B4998" s="69"/>
    </row>
    <row r="4999" spans="2:2" ht="12.5" hidden="1">
      <c r="B4999" s="69"/>
    </row>
    <row r="5000" spans="2:2" ht="12.5" hidden="1">
      <c r="B5000" s="69"/>
    </row>
    <row r="5001" spans="2:2" ht="12.5" hidden="1">
      <c r="B5001" s="69"/>
    </row>
    <row r="5002" spans="2:2" ht="12.5" hidden="1">
      <c r="B5002" s="69"/>
    </row>
    <row r="5003" spans="2:2" ht="12.5" hidden="1">
      <c r="B5003" s="69"/>
    </row>
    <row r="5004" spans="2:2" ht="12.5" hidden="1">
      <c r="B5004" s="69"/>
    </row>
    <row r="5005" spans="2:2" ht="12.5" hidden="1">
      <c r="B5005" s="69"/>
    </row>
    <row r="5006" spans="2:2" ht="12.5" hidden="1">
      <c r="B5006" s="69"/>
    </row>
    <row r="5007" spans="2:2" ht="12.5" hidden="1">
      <c r="B5007" s="69"/>
    </row>
    <row r="5008" spans="2:2" ht="12.5" hidden="1">
      <c r="B5008" s="69"/>
    </row>
    <row r="5009" spans="2:2" ht="12.5" hidden="1">
      <c r="B5009" s="69"/>
    </row>
    <row r="5010" spans="2:2" ht="12.5" hidden="1">
      <c r="B5010" s="69"/>
    </row>
    <row r="5011" spans="2:2" ht="12.5" hidden="1">
      <c r="B5011" s="69"/>
    </row>
    <row r="5012" spans="2:2" ht="12.5" hidden="1">
      <c r="B5012" s="69"/>
    </row>
    <row r="5013" spans="2:2" ht="12.5" hidden="1">
      <c r="B5013" s="69"/>
    </row>
    <row r="5014" spans="2:2" ht="12.5" hidden="1">
      <c r="B5014" s="69"/>
    </row>
    <row r="5015" spans="2:2" ht="12.5" hidden="1">
      <c r="B5015" s="69"/>
    </row>
    <row r="5016" spans="2:2" ht="12.5" hidden="1">
      <c r="B5016" s="69"/>
    </row>
    <row r="5017" spans="2:2" ht="12.5" hidden="1">
      <c r="B5017" s="69"/>
    </row>
    <row r="5018" spans="2:2" ht="12.5" hidden="1">
      <c r="B5018" s="69"/>
    </row>
    <row r="5019" spans="2:2" ht="12.5" hidden="1">
      <c r="B5019" s="69"/>
    </row>
    <row r="5020" spans="2:2" ht="12.5" hidden="1">
      <c r="B5020" s="69"/>
    </row>
    <row r="5021" spans="2:2" ht="12.5" hidden="1">
      <c r="B5021" s="69"/>
    </row>
    <row r="5022" spans="2:2" ht="12.5" hidden="1">
      <c r="B5022" s="69"/>
    </row>
    <row r="5023" spans="2:2" ht="12.5" hidden="1">
      <c r="B5023" s="69"/>
    </row>
    <row r="5024" spans="2:2" ht="12.5" hidden="1">
      <c r="B5024" s="69"/>
    </row>
    <row r="5025" spans="2:2" ht="12.5" hidden="1">
      <c r="B5025" s="69"/>
    </row>
    <row r="5026" spans="2:2" ht="12.5" hidden="1">
      <c r="B5026" s="69"/>
    </row>
    <row r="5027" spans="2:2" ht="12.5" hidden="1">
      <c r="B5027" s="69"/>
    </row>
    <row r="5028" spans="2:2" ht="12.5" hidden="1">
      <c r="B5028" s="69"/>
    </row>
    <row r="5029" spans="2:2" ht="12.5" hidden="1">
      <c r="B5029" s="69"/>
    </row>
    <row r="5030" spans="2:2" ht="12.5" hidden="1">
      <c r="B5030" s="69"/>
    </row>
    <row r="5031" spans="2:2" ht="12.5" hidden="1">
      <c r="B5031" s="69"/>
    </row>
    <row r="5032" spans="2:2" ht="12.5" hidden="1">
      <c r="B5032" s="69"/>
    </row>
    <row r="5033" spans="2:2" ht="12.5" hidden="1">
      <c r="B5033" s="69"/>
    </row>
    <row r="5034" spans="2:2" ht="12.5" hidden="1">
      <c r="B5034" s="69"/>
    </row>
    <row r="5035" spans="2:2" ht="12.5" hidden="1">
      <c r="B5035" s="69"/>
    </row>
    <row r="5036" spans="2:2" ht="12.5" hidden="1">
      <c r="B5036" s="69"/>
    </row>
    <row r="5037" spans="2:2" ht="12.5" hidden="1">
      <c r="B5037" s="69"/>
    </row>
    <row r="5038" spans="2:2" ht="12.5" hidden="1">
      <c r="B5038" s="69"/>
    </row>
    <row r="5039" spans="2:2" ht="12.5" hidden="1">
      <c r="B5039" s="69"/>
    </row>
    <row r="5040" spans="2:2" ht="12.5" hidden="1">
      <c r="B5040" s="69"/>
    </row>
    <row r="5041" spans="2:2" ht="12.5" hidden="1">
      <c r="B5041" s="69"/>
    </row>
    <row r="5042" spans="2:2" ht="12.5" hidden="1">
      <c r="B5042" s="69"/>
    </row>
    <row r="5043" spans="2:2" ht="12.5" hidden="1">
      <c r="B5043" s="69"/>
    </row>
    <row r="5044" spans="2:2" ht="12.5" hidden="1">
      <c r="B5044" s="69"/>
    </row>
    <row r="5045" spans="2:2" ht="12.5" hidden="1">
      <c r="B5045" s="69"/>
    </row>
    <row r="5046" spans="2:2" ht="12.5" hidden="1">
      <c r="B5046" s="69"/>
    </row>
    <row r="5047" spans="2:2" ht="12.5" hidden="1">
      <c r="B5047" s="69"/>
    </row>
    <row r="5048" spans="2:2" ht="12.5" hidden="1">
      <c r="B5048" s="69"/>
    </row>
    <row r="5049" spans="2:2" ht="12.5" hidden="1">
      <c r="B5049" s="69"/>
    </row>
    <row r="5050" spans="2:2" ht="12.5" hidden="1">
      <c r="B5050" s="69"/>
    </row>
    <row r="5051" spans="2:2" ht="12.5" hidden="1">
      <c r="B5051" s="69"/>
    </row>
    <row r="5052" spans="2:2" ht="12.5" hidden="1">
      <c r="B5052" s="69"/>
    </row>
    <row r="5053" spans="2:2" ht="12.5" hidden="1">
      <c r="B5053" s="69"/>
    </row>
    <row r="5054" spans="2:2" ht="12.5" hidden="1">
      <c r="B5054" s="69"/>
    </row>
    <row r="5055" spans="2:2" ht="12.5" hidden="1">
      <c r="B5055" s="69"/>
    </row>
    <row r="5056" spans="2:2" ht="12.5" hidden="1">
      <c r="B5056" s="69"/>
    </row>
    <row r="5057" spans="2:2" ht="12.5" hidden="1">
      <c r="B5057" s="69"/>
    </row>
    <row r="5058" spans="2:2" ht="12.5" hidden="1">
      <c r="B5058" s="69"/>
    </row>
    <row r="5059" spans="2:2" ht="12.5" hidden="1">
      <c r="B5059" s="69"/>
    </row>
    <row r="5060" spans="2:2" ht="12.5" hidden="1">
      <c r="B5060" s="69"/>
    </row>
    <row r="5061" spans="2:2" ht="12.5" hidden="1">
      <c r="B5061" s="69"/>
    </row>
    <row r="5062" spans="2:2" ht="12.5" hidden="1">
      <c r="B5062" s="69"/>
    </row>
    <row r="5063" spans="2:2" ht="12.5" hidden="1">
      <c r="B5063" s="69"/>
    </row>
    <row r="5064" spans="2:2" ht="12.5" hidden="1">
      <c r="B5064" s="69"/>
    </row>
    <row r="5065" spans="2:2" ht="12.5" hidden="1">
      <c r="B5065" s="69"/>
    </row>
    <row r="5066" spans="2:2" ht="12.5" hidden="1">
      <c r="B5066" s="69"/>
    </row>
    <row r="5067" spans="2:2" ht="12.5" hidden="1">
      <c r="B5067" s="69"/>
    </row>
    <row r="5068" spans="2:2" ht="12.5" hidden="1">
      <c r="B5068" s="69"/>
    </row>
    <row r="5069" spans="2:2" ht="12.5" hidden="1">
      <c r="B5069" s="69"/>
    </row>
    <row r="5070" spans="2:2" ht="12.5" hidden="1">
      <c r="B5070" s="69"/>
    </row>
    <row r="5071" spans="2:2" ht="12.5" hidden="1">
      <c r="B5071" s="69"/>
    </row>
    <row r="5072" spans="2:2" ht="12.5" hidden="1">
      <c r="B5072" s="69"/>
    </row>
    <row r="5073" spans="2:2" ht="12.5" hidden="1">
      <c r="B5073" s="69"/>
    </row>
    <row r="5074" spans="2:2" ht="12.5" hidden="1">
      <c r="B5074" s="69"/>
    </row>
    <row r="5075" spans="2:2" ht="12.5" hidden="1">
      <c r="B5075" s="69"/>
    </row>
    <row r="5076" spans="2:2" ht="12.5" hidden="1">
      <c r="B5076" s="69"/>
    </row>
    <row r="5077" spans="2:2" ht="12.5" hidden="1">
      <c r="B5077" s="69"/>
    </row>
    <row r="5078" spans="2:2" ht="12.5" hidden="1">
      <c r="B5078" s="69"/>
    </row>
    <row r="5079" spans="2:2" ht="12.5" hidden="1">
      <c r="B5079" s="69"/>
    </row>
    <row r="5080" spans="2:2" ht="12.5" hidden="1">
      <c r="B5080" s="69"/>
    </row>
    <row r="5081" spans="2:2" ht="12.5" hidden="1">
      <c r="B5081" s="69"/>
    </row>
    <row r="5082" spans="2:2" ht="12.5" hidden="1">
      <c r="B5082" s="69"/>
    </row>
    <row r="5083" spans="2:2" ht="12.5" hidden="1">
      <c r="B5083" s="69"/>
    </row>
    <row r="5084" spans="2:2" ht="12.5" hidden="1">
      <c r="B5084" s="69"/>
    </row>
    <row r="5085" spans="2:2" ht="12.5" hidden="1">
      <c r="B5085" s="69"/>
    </row>
    <row r="5086" spans="2:2" ht="12.5" hidden="1">
      <c r="B5086" s="69"/>
    </row>
    <row r="5087" spans="2:2" ht="12.5" hidden="1">
      <c r="B5087" s="69"/>
    </row>
    <row r="5088" spans="2:2" ht="12.5" hidden="1">
      <c r="B5088" s="69"/>
    </row>
    <row r="5089" spans="2:2" ht="12.5" hidden="1">
      <c r="B5089" s="69"/>
    </row>
    <row r="5090" spans="2:2" ht="12.5" hidden="1">
      <c r="B5090" s="69"/>
    </row>
    <row r="5091" spans="2:2" ht="12.5" hidden="1">
      <c r="B5091" s="69"/>
    </row>
    <row r="5092" spans="2:2" ht="12.5" hidden="1">
      <c r="B5092" s="69"/>
    </row>
    <row r="5093" spans="2:2" ht="12.5" hidden="1">
      <c r="B5093" s="69"/>
    </row>
    <row r="5094" spans="2:2" ht="12.5" hidden="1">
      <c r="B5094" s="69"/>
    </row>
    <row r="5095" spans="2:2" ht="12.5" hidden="1">
      <c r="B5095" s="69"/>
    </row>
    <row r="5096" spans="2:2" ht="12.5" hidden="1">
      <c r="B5096" s="69"/>
    </row>
    <row r="5097" spans="2:2" ht="12.5" hidden="1">
      <c r="B5097" s="69"/>
    </row>
    <row r="5098" spans="2:2" ht="12.5" hidden="1">
      <c r="B5098" s="69"/>
    </row>
    <row r="5099" spans="2:2" ht="12.5" hidden="1">
      <c r="B5099" s="69"/>
    </row>
    <row r="5100" spans="2:2" ht="12.5" hidden="1">
      <c r="B5100" s="69"/>
    </row>
    <row r="5101" spans="2:2" ht="12.5" hidden="1">
      <c r="B5101" s="69"/>
    </row>
    <row r="5102" spans="2:2" ht="12.5" hidden="1">
      <c r="B5102" s="69"/>
    </row>
    <row r="5103" spans="2:2" ht="12.5" hidden="1">
      <c r="B5103" s="69"/>
    </row>
    <row r="5104" spans="2:2" ht="12.5" hidden="1">
      <c r="B5104" s="69"/>
    </row>
    <row r="5105" spans="2:2" ht="12.5" hidden="1">
      <c r="B5105" s="69"/>
    </row>
    <row r="5106" spans="2:2" ht="12.5" hidden="1">
      <c r="B5106" s="69"/>
    </row>
    <row r="5107" spans="2:2" ht="12.5" hidden="1">
      <c r="B5107" s="69"/>
    </row>
    <row r="5108" spans="2:2" ht="12.5" hidden="1">
      <c r="B5108" s="69"/>
    </row>
    <row r="5109" spans="2:2" ht="12.5" hidden="1">
      <c r="B5109" s="69"/>
    </row>
    <row r="5110" spans="2:2" ht="12.5" hidden="1">
      <c r="B5110" s="69"/>
    </row>
    <row r="5111" spans="2:2" ht="12.5" hidden="1">
      <c r="B5111" s="69"/>
    </row>
    <row r="5112" spans="2:2" ht="12.5" hidden="1">
      <c r="B5112" s="69"/>
    </row>
    <row r="5113" spans="2:2" ht="12.5" hidden="1">
      <c r="B5113" s="69"/>
    </row>
    <row r="5114" spans="2:2" ht="12.5" hidden="1">
      <c r="B5114" s="69"/>
    </row>
    <row r="5115" spans="2:2" ht="12.5" hidden="1">
      <c r="B5115" s="69"/>
    </row>
    <row r="5116" spans="2:2" ht="12.5" hidden="1">
      <c r="B5116" s="69"/>
    </row>
    <row r="5117" spans="2:2" ht="12.5" hidden="1">
      <c r="B5117" s="69"/>
    </row>
    <row r="5118" spans="2:2" ht="12.5" hidden="1">
      <c r="B5118" s="69"/>
    </row>
    <row r="5119" spans="2:2" ht="12.5" hidden="1">
      <c r="B5119" s="69"/>
    </row>
    <row r="5120" spans="2:2" ht="12.5" hidden="1">
      <c r="B5120" s="69"/>
    </row>
    <row r="5121" spans="2:2" ht="12.5" hidden="1">
      <c r="B5121" s="69"/>
    </row>
    <row r="5122" spans="2:2" ht="12.5" hidden="1">
      <c r="B5122" s="69"/>
    </row>
    <row r="5123" spans="2:2" ht="12.5" hidden="1">
      <c r="B5123" s="69"/>
    </row>
    <row r="5124" spans="2:2" ht="12.5" hidden="1">
      <c r="B5124" s="69"/>
    </row>
    <row r="5125" spans="2:2" ht="12.5" hidden="1">
      <c r="B5125" s="69"/>
    </row>
    <row r="5126" spans="2:2" ht="12.5" hidden="1">
      <c r="B5126" s="69"/>
    </row>
    <row r="5127" spans="2:2" ht="12.5" hidden="1">
      <c r="B5127" s="69"/>
    </row>
    <row r="5128" spans="2:2" ht="12.5" hidden="1">
      <c r="B5128" s="69"/>
    </row>
    <row r="5129" spans="2:2" ht="12.5" hidden="1">
      <c r="B5129" s="69"/>
    </row>
    <row r="5130" spans="2:2" ht="12.5" hidden="1">
      <c r="B5130" s="69"/>
    </row>
    <row r="5131" spans="2:2" ht="12.5" hidden="1">
      <c r="B5131" s="69"/>
    </row>
    <row r="5132" spans="2:2" ht="12.5" hidden="1">
      <c r="B5132" s="69"/>
    </row>
    <row r="5133" spans="2:2" ht="12.5" hidden="1">
      <c r="B5133" s="69"/>
    </row>
    <row r="5134" spans="2:2" ht="12.5" hidden="1">
      <c r="B5134" s="69"/>
    </row>
    <row r="5135" spans="2:2" ht="12.5" hidden="1">
      <c r="B5135" s="69"/>
    </row>
    <row r="5136" spans="2:2" ht="12.5" hidden="1">
      <c r="B5136" s="69"/>
    </row>
    <row r="5137" spans="2:2" ht="12.5" hidden="1">
      <c r="B5137" s="69"/>
    </row>
    <row r="5138" spans="2:2" ht="12.5" hidden="1">
      <c r="B5138" s="69"/>
    </row>
    <row r="5139" spans="2:2" ht="12.5" hidden="1">
      <c r="B5139" s="69"/>
    </row>
    <row r="5140" spans="2:2" ht="12.5" hidden="1">
      <c r="B5140" s="69"/>
    </row>
    <row r="5141" spans="2:2" ht="12.5" hidden="1">
      <c r="B5141" s="69"/>
    </row>
    <row r="5142" spans="2:2" ht="12.5" hidden="1">
      <c r="B5142" s="69"/>
    </row>
    <row r="5143" spans="2:2" ht="12.5" hidden="1">
      <c r="B5143" s="69"/>
    </row>
    <row r="5144" spans="2:2" ht="12.5" hidden="1">
      <c r="B5144" s="69"/>
    </row>
    <row r="5145" spans="2:2" ht="12.5" hidden="1">
      <c r="B5145" s="69"/>
    </row>
    <row r="5146" spans="2:2" ht="12.5" hidden="1">
      <c r="B5146" s="69"/>
    </row>
    <row r="5147" spans="2:2" ht="12.5" hidden="1">
      <c r="B5147" s="69"/>
    </row>
    <row r="5148" spans="2:2" ht="12.5" hidden="1">
      <c r="B5148" s="69"/>
    </row>
    <row r="5149" spans="2:2" ht="12.5" hidden="1">
      <c r="B5149" s="69"/>
    </row>
    <row r="5150" spans="2:2" ht="12.5" hidden="1">
      <c r="B5150" s="69"/>
    </row>
    <row r="5151" spans="2:2" ht="12.5" hidden="1">
      <c r="B5151" s="69"/>
    </row>
    <row r="5152" spans="2:2" ht="12.5" hidden="1">
      <c r="B5152" s="69"/>
    </row>
    <row r="5153" spans="2:2" ht="12.5" hidden="1">
      <c r="B5153" s="69"/>
    </row>
    <row r="5154" spans="2:2" ht="12.5" hidden="1">
      <c r="B5154" s="69"/>
    </row>
    <row r="5155" spans="2:2" ht="12.5" hidden="1">
      <c r="B5155" s="69"/>
    </row>
    <row r="5156" spans="2:2" ht="12.5" hidden="1">
      <c r="B5156" s="69"/>
    </row>
    <row r="5157" spans="2:2" ht="12.5" hidden="1">
      <c r="B5157" s="69"/>
    </row>
    <row r="5158" spans="2:2" ht="12.5" hidden="1">
      <c r="B5158" s="69"/>
    </row>
    <row r="5159" spans="2:2" ht="12.5" hidden="1">
      <c r="B5159" s="69"/>
    </row>
    <row r="5160" spans="2:2" ht="12.5" hidden="1">
      <c r="B5160" s="69"/>
    </row>
    <row r="5161" spans="2:2" ht="12.5" hidden="1">
      <c r="B5161" s="69"/>
    </row>
    <row r="5162" spans="2:2" ht="12.5" hidden="1">
      <c r="B5162" s="69"/>
    </row>
    <row r="5163" spans="2:2" ht="12.5" hidden="1">
      <c r="B5163" s="69"/>
    </row>
    <row r="5164" spans="2:2" ht="12.5" hidden="1">
      <c r="B5164" s="69"/>
    </row>
    <row r="5165" spans="2:2" ht="12.5" hidden="1">
      <c r="B5165" s="69"/>
    </row>
    <row r="5166" spans="2:2" ht="12.5" hidden="1">
      <c r="B5166" s="69"/>
    </row>
    <row r="5167" spans="2:2" ht="12.5" hidden="1">
      <c r="B5167" s="69"/>
    </row>
    <row r="5168" spans="2:2" ht="12.5" hidden="1">
      <c r="B5168" s="69"/>
    </row>
    <row r="5169" spans="2:2" ht="12.5" hidden="1">
      <c r="B5169" s="69"/>
    </row>
    <row r="5170" spans="2:2" ht="12.5" hidden="1">
      <c r="B5170" s="69"/>
    </row>
    <row r="5171" spans="2:2" ht="12.5" hidden="1">
      <c r="B5171" s="69"/>
    </row>
    <row r="5172" spans="2:2" ht="12.5" hidden="1">
      <c r="B5172" s="69"/>
    </row>
    <row r="5173" spans="2:2" ht="12.5" hidden="1">
      <c r="B5173" s="69"/>
    </row>
    <row r="5174" spans="2:2" ht="12.5" hidden="1">
      <c r="B5174" s="69"/>
    </row>
    <row r="5175" spans="2:2" ht="12.5" hidden="1">
      <c r="B5175" s="69"/>
    </row>
    <row r="5176" spans="2:2" ht="12.5" hidden="1">
      <c r="B5176" s="69"/>
    </row>
    <row r="5177" spans="2:2" ht="12.5" hidden="1">
      <c r="B5177" s="69"/>
    </row>
    <row r="5178" spans="2:2" ht="12.5" hidden="1">
      <c r="B5178" s="69"/>
    </row>
    <row r="5179" spans="2:2" ht="12.5" hidden="1">
      <c r="B5179" s="69"/>
    </row>
    <row r="5180" spans="2:2" ht="12.5" hidden="1">
      <c r="B5180" s="69"/>
    </row>
    <row r="5181" spans="2:2" ht="12.5" hidden="1">
      <c r="B5181" s="69"/>
    </row>
    <row r="5182" spans="2:2" ht="12.5" hidden="1">
      <c r="B5182" s="69"/>
    </row>
    <row r="5183" spans="2:2" ht="12.5" hidden="1">
      <c r="B5183" s="69"/>
    </row>
    <row r="5184" spans="2:2" ht="12.5" hidden="1">
      <c r="B5184" s="69"/>
    </row>
    <row r="5185" spans="2:2" ht="12.5" hidden="1">
      <c r="B5185" s="69"/>
    </row>
    <row r="5186" spans="2:2" ht="12.5" hidden="1">
      <c r="B5186" s="69"/>
    </row>
    <row r="5187" spans="2:2" ht="12.5" hidden="1">
      <c r="B5187" s="69"/>
    </row>
    <row r="5188" spans="2:2" ht="12.5" hidden="1">
      <c r="B5188" s="69"/>
    </row>
    <row r="5189" spans="2:2" ht="12.5" hidden="1">
      <c r="B5189" s="69"/>
    </row>
    <row r="5190" spans="2:2" ht="12.5" hidden="1">
      <c r="B5190" s="69"/>
    </row>
    <row r="5191" spans="2:2" ht="12.5" hidden="1">
      <c r="B5191" s="69"/>
    </row>
    <row r="5192" spans="2:2" ht="12.5" hidden="1">
      <c r="B5192" s="69"/>
    </row>
    <row r="5193" spans="2:2" ht="12.5" hidden="1">
      <c r="B5193" s="69"/>
    </row>
    <row r="5194" spans="2:2" ht="12.5" hidden="1">
      <c r="B5194" s="69"/>
    </row>
    <row r="5195" spans="2:2" ht="12.5" hidden="1">
      <c r="B5195" s="69"/>
    </row>
    <row r="5196" spans="2:2" ht="12.5" hidden="1">
      <c r="B5196" s="69"/>
    </row>
    <row r="5197" spans="2:2" ht="12.5" hidden="1">
      <c r="B5197" s="69"/>
    </row>
    <row r="5198" spans="2:2" ht="12.5" hidden="1">
      <c r="B5198" s="69"/>
    </row>
    <row r="5199" spans="2:2" ht="12.5" hidden="1">
      <c r="B5199" s="69"/>
    </row>
    <row r="5200" spans="2:2" ht="12.5" hidden="1">
      <c r="B5200" s="69"/>
    </row>
    <row r="5201" spans="2:2" ht="12.5" hidden="1">
      <c r="B5201" s="69"/>
    </row>
    <row r="5202" spans="2:2" ht="12.5" hidden="1">
      <c r="B5202" s="69"/>
    </row>
    <row r="5203" spans="2:2" ht="12.5" hidden="1">
      <c r="B5203" s="69"/>
    </row>
    <row r="5204" spans="2:2" ht="12.5" hidden="1">
      <c r="B5204" s="69"/>
    </row>
    <row r="5205" spans="2:2" ht="12.5" hidden="1">
      <c r="B5205" s="69"/>
    </row>
    <row r="5206" spans="2:2" ht="12.5" hidden="1">
      <c r="B5206" s="69"/>
    </row>
    <row r="5207" spans="2:2" ht="12.5" hidden="1">
      <c r="B5207" s="69"/>
    </row>
    <row r="5208" spans="2:2" ht="12.5" hidden="1">
      <c r="B5208" s="69"/>
    </row>
    <row r="5209" spans="2:2" ht="12.5" hidden="1">
      <c r="B5209" s="69"/>
    </row>
    <row r="5210" spans="2:2" ht="12.5" hidden="1">
      <c r="B5210" s="69"/>
    </row>
    <row r="5211" spans="2:2" ht="12.5" hidden="1">
      <c r="B5211" s="69"/>
    </row>
    <row r="5212" spans="2:2" ht="12.5" hidden="1">
      <c r="B5212" s="69"/>
    </row>
    <row r="5213" spans="2:2" ht="12.5" hidden="1">
      <c r="B5213" s="69"/>
    </row>
    <row r="5214" spans="2:2" ht="12.5" hidden="1">
      <c r="B5214" s="69"/>
    </row>
    <row r="5215" spans="2:2" ht="12.5" hidden="1">
      <c r="B5215" s="69"/>
    </row>
    <row r="5216" spans="2:2" ht="12.5" hidden="1">
      <c r="B5216" s="69"/>
    </row>
    <row r="5217" spans="2:2" ht="12.5" hidden="1">
      <c r="B5217" s="69"/>
    </row>
    <row r="5218" spans="2:2" ht="12.5" hidden="1">
      <c r="B5218" s="69"/>
    </row>
    <row r="5219" spans="2:2" ht="12.5" hidden="1">
      <c r="B5219" s="69"/>
    </row>
    <row r="5220" spans="2:2" ht="12.5" hidden="1">
      <c r="B5220" s="69"/>
    </row>
    <row r="5221" spans="2:2" ht="12.5" hidden="1">
      <c r="B5221" s="69"/>
    </row>
    <row r="5222" spans="2:2" ht="12.5" hidden="1">
      <c r="B5222" s="69"/>
    </row>
    <row r="5223" spans="2:2" ht="12.5" hidden="1">
      <c r="B5223" s="69"/>
    </row>
    <row r="5224" spans="2:2" ht="12.5" hidden="1">
      <c r="B5224" s="69"/>
    </row>
    <row r="5225" spans="2:2" ht="12.5" hidden="1">
      <c r="B5225" s="69"/>
    </row>
    <row r="5226" spans="2:2" ht="12.5" hidden="1">
      <c r="B5226" s="69"/>
    </row>
    <row r="5227" spans="2:2" ht="12.5" hidden="1">
      <c r="B5227" s="69"/>
    </row>
    <row r="5228" spans="2:2" ht="12.5" hidden="1">
      <c r="B5228" s="69"/>
    </row>
    <row r="5229" spans="2:2" ht="12.5" hidden="1">
      <c r="B5229" s="69"/>
    </row>
    <row r="5230" spans="2:2" ht="12.5" hidden="1">
      <c r="B5230" s="69"/>
    </row>
    <row r="5231" spans="2:2" ht="12.5" hidden="1">
      <c r="B5231" s="69"/>
    </row>
    <row r="5232" spans="2:2" ht="12.5" hidden="1">
      <c r="B5232" s="69"/>
    </row>
    <row r="5233" spans="2:2" ht="12.5" hidden="1">
      <c r="B5233" s="69"/>
    </row>
    <row r="5234" spans="2:2" ht="12.5" hidden="1">
      <c r="B5234" s="69"/>
    </row>
    <row r="5235" spans="2:2" ht="12.5" hidden="1">
      <c r="B5235" s="69"/>
    </row>
    <row r="5236" spans="2:2" ht="12.5" hidden="1">
      <c r="B5236" s="69"/>
    </row>
    <row r="5237" spans="2:2" ht="12.5" hidden="1">
      <c r="B5237" s="69"/>
    </row>
    <row r="5238" spans="2:2" ht="12.5" hidden="1">
      <c r="B5238" s="69"/>
    </row>
    <row r="5239" spans="2:2" ht="12.5" hidden="1">
      <c r="B5239" s="69"/>
    </row>
    <row r="5240" spans="2:2" ht="12.5" hidden="1">
      <c r="B5240" s="69"/>
    </row>
    <row r="5241" spans="2:2" ht="12.5" hidden="1">
      <c r="B5241" s="69"/>
    </row>
    <row r="5242" spans="2:2" ht="12.5" hidden="1">
      <c r="B5242" s="69"/>
    </row>
    <row r="5243" spans="2:2" ht="12.5" hidden="1">
      <c r="B5243" s="69"/>
    </row>
    <row r="5244" spans="2:2" ht="12.5" hidden="1">
      <c r="B5244" s="69"/>
    </row>
    <row r="5245" spans="2:2" ht="12.5" hidden="1">
      <c r="B5245" s="69"/>
    </row>
    <row r="5246" spans="2:2" ht="12.5" hidden="1">
      <c r="B5246" s="69"/>
    </row>
    <row r="5247" spans="2:2" ht="12.5" hidden="1">
      <c r="B5247" s="69"/>
    </row>
    <row r="5248" spans="2:2" ht="12.5" hidden="1">
      <c r="B5248" s="69"/>
    </row>
    <row r="5249" spans="2:2" ht="12.5" hidden="1">
      <c r="B5249" s="69"/>
    </row>
    <row r="5250" spans="2:2" ht="12.5" hidden="1">
      <c r="B5250" s="69"/>
    </row>
    <row r="5251" spans="2:2" ht="12.5" hidden="1">
      <c r="B5251" s="69"/>
    </row>
    <row r="5252" spans="2:2" ht="12.5" hidden="1">
      <c r="B5252" s="69"/>
    </row>
    <row r="5253" spans="2:2" ht="12.5" hidden="1">
      <c r="B5253" s="69"/>
    </row>
    <row r="5254" spans="2:2" ht="12.5" hidden="1">
      <c r="B5254" s="69"/>
    </row>
    <row r="5255" spans="2:2" ht="12.5" hidden="1">
      <c r="B5255" s="69"/>
    </row>
    <row r="5256" spans="2:2" ht="12.5" hidden="1">
      <c r="B5256" s="69"/>
    </row>
    <row r="5257" spans="2:2" ht="12.5" hidden="1">
      <c r="B5257" s="69"/>
    </row>
    <row r="5258" spans="2:2" ht="12.5" hidden="1">
      <c r="B5258" s="69"/>
    </row>
    <row r="5259" spans="2:2" ht="12.5" hidden="1">
      <c r="B5259" s="69"/>
    </row>
    <row r="5260" spans="2:2" ht="12.5" hidden="1">
      <c r="B5260" s="69"/>
    </row>
    <row r="5261" spans="2:2" ht="12.5" hidden="1">
      <c r="B5261" s="69"/>
    </row>
    <row r="5262" spans="2:2" ht="12.5" hidden="1">
      <c r="B5262" s="69"/>
    </row>
    <row r="5263" spans="2:2" ht="12.5" hidden="1">
      <c r="B5263" s="69"/>
    </row>
    <row r="5264" spans="2:2" ht="12.5" hidden="1">
      <c r="B5264" s="69"/>
    </row>
    <row r="5265" spans="2:2" ht="12.5" hidden="1">
      <c r="B5265" s="69"/>
    </row>
    <row r="5266" spans="2:2" ht="12.5" hidden="1">
      <c r="B5266" s="69"/>
    </row>
    <row r="5267" spans="2:2" ht="12.5" hidden="1">
      <c r="B5267" s="69"/>
    </row>
    <row r="5268" spans="2:2" ht="12.5" hidden="1">
      <c r="B5268" s="69"/>
    </row>
    <row r="5269" spans="2:2" ht="12.5" hidden="1">
      <c r="B5269" s="69"/>
    </row>
    <row r="5270" spans="2:2" ht="12.5" hidden="1">
      <c r="B5270" s="69"/>
    </row>
    <row r="5271" spans="2:2" ht="12.5" hidden="1">
      <c r="B5271" s="69"/>
    </row>
    <row r="5272" spans="2:2" ht="12.5" hidden="1">
      <c r="B5272" s="69"/>
    </row>
    <row r="5273" spans="2:2" ht="12.5" hidden="1">
      <c r="B5273" s="69"/>
    </row>
    <row r="5274" spans="2:2" ht="12.5" hidden="1">
      <c r="B5274" s="69"/>
    </row>
    <row r="5275" spans="2:2" ht="12.5" hidden="1">
      <c r="B5275" s="69"/>
    </row>
    <row r="5276" spans="2:2" ht="12.5" hidden="1">
      <c r="B5276" s="69"/>
    </row>
    <row r="5277" spans="2:2" ht="12.5" hidden="1">
      <c r="B5277" s="69"/>
    </row>
    <row r="5278" spans="2:2" ht="12.5" hidden="1">
      <c r="B5278" s="69"/>
    </row>
    <row r="5279" spans="2:2" ht="12.5" hidden="1">
      <c r="B5279" s="69"/>
    </row>
    <row r="5280" spans="2:2" ht="12.5" hidden="1">
      <c r="B5280" s="69"/>
    </row>
    <row r="5281" spans="2:2" ht="12.5" hidden="1">
      <c r="B5281" s="69"/>
    </row>
    <row r="5282" spans="2:2" ht="12.5" hidden="1">
      <c r="B5282" s="69"/>
    </row>
    <row r="5283" spans="2:2" ht="12.5" hidden="1">
      <c r="B5283" s="69"/>
    </row>
    <row r="5284" spans="2:2" ht="12.5" hidden="1">
      <c r="B5284" s="69"/>
    </row>
    <row r="5285" spans="2:2" ht="12.5" hidden="1">
      <c r="B5285" s="69"/>
    </row>
    <row r="5286" spans="2:2" ht="12.5" hidden="1">
      <c r="B5286" s="69"/>
    </row>
    <row r="5287" spans="2:2" ht="12.5" hidden="1">
      <c r="B5287" s="69"/>
    </row>
    <row r="5288" spans="2:2" ht="12.5" hidden="1">
      <c r="B5288" s="69"/>
    </row>
    <row r="5289" spans="2:2" ht="12.5" hidden="1">
      <c r="B5289" s="69"/>
    </row>
    <row r="5290" spans="2:2" ht="12.5" hidden="1">
      <c r="B5290" s="69"/>
    </row>
    <row r="5291" spans="2:2" ht="12.5" hidden="1">
      <c r="B5291" s="69"/>
    </row>
    <row r="5292" spans="2:2" ht="12.5" hidden="1">
      <c r="B5292" s="69"/>
    </row>
    <row r="5293" spans="2:2" ht="12.5" hidden="1">
      <c r="B5293" s="69"/>
    </row>
    <row r="5294" spans="2:2" ht="12.5" hidden="1">
      <c r="B5294" s="69"/>
    </row>
    <row r="5295" spans="2:2" ht="12.5" hidden="1">
      <c r="B5295" s="69"/>
    </row>
    <row r="5296" spans="2:2" ht="12.5" hidden="1">
      <c r="B5296" s="69"/>
    </row>
    <row r="5297" spans="2:2" ht="12.5" hidden="1">
      <c r="B5297" s="69"/>
    </row>
    <row r="5298" spans="2:2" ht="12.5" hidden="1">
      <c r="B5298" s="69"/>
    </row>
    <row r="5299" spans="2:2" ht="12.5" hidden="1">
      <c r="B5299" s="69"/>
    </row>
    <row r="5300" spans="2:2" ht="12.5" hidden="1">
      <c r="B5300" s="69"/>
    </row>
    <row r="5301" spans="2:2" ht="12.5" hidden="1">
      <c r="B5301" s="69"/>
    </row>
    <row r="5302" spans="2:2" ht="12.5" hidden="1">
      <c r="B5302" s="69"/>
    </row>
    <row r="5303" spans="2:2" ht="12.5" hidden="1">
      <c r="B5303" s="69"/>
    </row>
    <row r="5304" spans="2:2" ht="12.5" hidden="1">
      <c r="B5304" s="69"/>
    </row>
    <row r="5305" spans="2:2" ht="12.5" hidden="1">
      <c r="B5305" s="69"/>
    </row>
    <row r="5306" spans="2:2" ht="12.5" hidden="1">
      <c r="B5306" s="69"/>
    </row>
    <row r="5307" spans="2:2" ht="12.5" hidden="1">
      <c r="B5307" s="69"/>
    </row>
    <row r="5308" spans="2:2" ht="12.5" hidden="1">
      <c r="B5308" s="69"/>
    </row>
    <row r="5309" spans="2:2" ht="12.5" hidden="1">
      <c r="B5309" s="69"/>
    </row>
    <row r="5310" spans="2:2" ht="12.5" hidden="1">
      <c r="B5310" s="69"/>
    </row>
    <row r="5311" spans="2:2" ht="12.5" hidden="1">
      <c r="B5311" s="69"/>
    </row>
    <row r="5312" spans="2:2" ht="12.5" hidden="1">
      <c r="B5312" s="69"/>
    </row>
    <row r="5313" spans="2:2" ht="12.5" hidden="1">
      <c r="B5313" s="69"/>
    </row>
    <row r="5314" spans="2:2" ht="12.5" hidden="1">
      <c r="B5314" s="69"/>
    </row>
    <row r="5315" spans="2:2" ht="12.5" hidden="1">
      <c r="B5315" s="69"/>
    </row>
    <row r="5316" spans="2:2" ht="12.5" hidden="1">
      <c r="B5316" s="69"/>
    </row>
    <row r="5317" spans="2:2" ht="12.5" hidden="1">
      <c r="B5317" s="69"/>
    </row>
    <row r="5318" spans="2:2" ht="12.5" hidden="1">
      <c r="B5318" s="69"/>
    </row>
    <row r="5319" spans="2:2" ht="12.5" hidden="1">
      <c r="B5319" s="69"/>
    </row>
    <row r="5320" spans="2:2" ht="12.5" hidden="1">
      <c r="B5320" s="69"/>
    </row>
    <row r="5321" spans="2:2" ht="12.5" hidden="1">
      <c r="B5321" s="69"/>
    </row>
    <row r="5322" spans="2:2" ht="12.5" hidden="1">
      <c r="B5322" s="69"/>
    </row>
    <row r="5323" spans="2:2" ht="12.5" hidden="1">
      <c r="B5323" s="69"/>
    </row>
    <row r="5324" spans="2:2" ht="12.5" hidden="1">
      <c r="B5324" s="69"/>
    </row>
    <row r="5325" spans="2:2" ht="12.5" hidden="1">
      <c r="B5325" s="69"/>
    </row>
    <row r="5326" spans="2:2" ht="12.5" hidden="1">
      <c r="B5326" s="69"/>
    </row>
    <row r="5327" spans="2:2" ht="12.5" hidden="1">
      <c r="B5327" s="69"/>
    </row>
    <row r="5328" spans="2:2" ht="12.5" hidden="1">
      <c r="B5328" s="69"/>
    </row>
    <row r="5329" spans="2:2" ht="12.5" hidden="1">
      <c r="B5329" s="69"/>
    </row>
    <row r="5330" spans="2:2" ht="12.5" hidden="1">
      <c r="B5330" s="69"/>
    </row>
    <row r="5331" spans="2:2" ht="12.5" hidden="1">
      <c r="B5331" s="69"/>
    </row>
    <row r="5332" spans="2:2" ht="12.5" hidden="1">
      <c r="B5332" s="69"/>
    </row>
    <row r="5333" spans="2:2" ht="12.5" hidden="1">
      <c r="B5333" s="69"/>
    </row>
    <row r="5334" spans="2:2" ht="12.5" hidden="1">
      <c r="B5334" s="69"/>
    </row>
    <row r="5335" spans="2:2" ht="12.5" hidden="1">
      <c r="B5335" s="69"/>
    </row>
    <row r="5336" spans="2:2" ht="12.5" hidden="1">
      <c r="B5336" s="69"/>
    </row>
    <row r="5337" spans="2:2" ht="12.5" hidden="1">
      <c r="B5337" s="69"/>
    </row>
    <row r="5338" spans="2:2" ht="12.5" hidden="1">
      <c r="B5338" s="69"/>
    </row>
    <row r="5339" spans="2:2" ht="12.5" hidden="1">
      <c r="B5339" s="69"/>
    </row>
    <row r="5340" spans="2:2" ht="12.5" hidden="1">
      <c r="B5340" s="69"/>
    </row>
    <row r="5341" spans="2:2" ht="12.5" hidden="1">
      <c r="B5341" s="69"/>
    </row>
    <row r="5342" spans="2:2" ht="12.5" hidden="1">
      <c r="B5342" s="69"/>
    </row>
    <row r="5343" spans="2:2" ht="12.5" hidden="1">
      <c r="B5343" s="69"/>
    </row>
    <row r="5344" spans="2:2" ht="12.5" hidden="1">
      <c r="B5344" s="69"/>
    </row>
    <row r="5345" spans="2:2" ht="12.5" hidden="1">
      <c r="B5345" s="69"/>
    </row>
    <row r="5346" spans="2:2" ht="12.5" hidden="1">
      <c r="B5346" s="69"/>
    </row>
    <row r="5347" spans="2:2" ht="12.5" hidden="1">
      <c r="B5347" s="69"/>
    </row>
    <row r="5348" spans="2:2" ht="12.5" hidden="1">
      <c r="B5348" s="69"/>
    </row>
    <row r="5349" spans="2:2" ht="12.5" hidden="1">
      <c r="B5349" s="69"/>
    </row>
    <row r="5350" spans="2:2" ht="12.5" hidden="1">
      <c r="B5350" s="69"/>
    </row>
    <row r="5351" spans="2:2" ht="12.5" hidden="1">
      <c r="B5351" s="69"/>
    </row>
    <row r="5352" spans="2:2" ht="12.5" hidden="1">
      <c r="B5352" s="69"/>
    </row>
    <row r="5353" spans="2:2" ht="12.5" hidden="1">
      <c r="B5353" s="69"/>
    </row>
    <row r="5354" spans="2:2" ht="12.5" hidden="1">
      <c r="B5354" s="69"/>
    </row>
    <row r="5355" spans="2:2" ht="12.5" hidden="1">
      <c r="B5355" s="69"/>
    </row>
    <row r="5356" spans="2:2" ht="12.5" hidden="1">
      <c r="B5356" s="69"/>
    </row>
    <row r="5357" spans="2:2" ht="12.5" hidden="1">
      <c r="B5357" s="69"/>
    </row>
    <row r="5358" spans="2:2" ht="12.5" hidden="1">
      <c r="B5358" s="69"/>
    </row>
    <row r="5359" spans="2:2" ht="12.5" hidden="1">
      <c r="B5359" s="69"/>
    </row>
    <row r="5360" spans="2:2" ht="12.5" hidden="1">
      <c r="B5360" s="69"/>
    </row>
    <row r="5361" spans="2:2" ht="12.5" hidden="1">
      <c r="B5361" s="69"/>
    </row>
    <row r="5362" spans="2:2" ht="12.5" hidden="1">
      <c r="B5362" s="69"/>
    </row>
    <row r="5363" spans="2:2" ht="12.5" hidden="1">
      <c r="B5363" s="69"/>
    </row>
    <row r="5364" spans="2:2" ht="12.5" hidden="1">
      <c r="B5364" s="69"/>
    </row>
    <row r="5365" spans="2:2" ht="12.5" hidden="1">
      <c r="B5365" s="69"/>
    </row>
    <row r="5366" spans="2:2" ht="12.5" hidden="1">
      <c r="B5366" s="69"/>
    </row>
    <row r="5367" spans="2:2" ht="12.5" hidden="1">
      <c r="B5367" s="69"/>
    </row>
    <row r="5368" spans="2:2" ht="12.5" hidden="1">
      <c r="B5368" s="69"/>
    </row>
    <row r="5369" spans="2:2" ht="12.5" hidden="1">
      <c r="B5369" s="69"/>
    </row>
    <row r="5370" spans="2:2" ht="12.5" hidden="1">
      <c r="B5370" s="69"/>
    </row>
    <row r="5371" spans="2:2" ht="12.5" hidden="1">
      <c r="B5371" s="69"/>
    </row>
    <row r="5372" spans="2:2" ht="12.5" hidden="1">
      <c r="B5372" s="69"/>
    </row>
    <row r="5373" spans="2:2" ht="12.5" hidden="1">
      <c r="B5373" s="69"/>
    </row>
    <row r="5374" spans="2:2" ht="12.5" hidden="1">
      <c r="B5374" s="69"/>
    </row>
    <row r="5375" spans="2:2" ht="12.5" hidden="1">
      <c r="B5375" s="69"/>
    </row>
    <row r="5376" spans="2:2" ht="12.5" hidden="1">
      <c r="B5376" s="69"/>
    </row>
    <row r="5377" spans="2:2" ht="12.5" hidden="1">
      <c r="B5377" s="69"/>
    </row>
    <row r="5378" spans="2:2" ht="12.5" hidden="1">
      <c r="B5378" s="69"/>
    </row>
    <row r="5379" spans="2:2" ht="12.5" hidden="1">
      <c r="B5379" s="69"/>
    </row>
    <row r="5380" spans="2:2" ht="12.5" hidden="1">
      <c r="B5380" s="69"/>
    </row>
    <row r="5381" spans="2:2" ht="12.5" hidden="1">
      <c r="B5381" s="69"/>
    </row>
    <row r="5382" spans="2:2" ht="12.5" hidden="1">
      <c r="B5382" s="69"/>
    </row>
    <row r="5383" spans="2:2" ht="12.5" hidden="1">
      <c r="B5383" s="69"/>
    </row>
    <row r="5384" spans="2:2" ht="12.5" hidden="1">
      <c r="B5384" s="69"/>
    </row>
    <row r="5385" spans="2:2" ht="12.5" hidden="1">
      <c r="B5385" s="69"/>
    </row>
    <row r="5386" spans="2:2" ht="12.5" hidden="1">
      <c r="B5386" s="69"/>
    </row>
    <row r="5387" spans="2:2" ht="12.5" hidden="1">
      <c r="B5387" s="69"/>
    </row>
    <row r="5388" spans="2:2" ht="12.5" hidden="1">
      <c r="B5388" s="69"/>
    </row>
    <row r="5389" spans="2:2" ht="12.5" hidden="1">
      <c r="B5389" s="69"/>
    </row>
    <row r="5390" spans="2:2" ht="12.5" hidden="1">
      <c r="B5390" s="69"/>
    </row>
    <row r="5391" spans="2:2" ht="12.5" hidden="1">
      <c r="B5391" s="69"/>
    </row>
    <row r="5392" spans="2:2" ht="12.5" hidden="1">
      <c r="B5392" s="69"/>
    </row>
    <row r="5393" spans="2:2" ht="12.5" hidden="1">
      <c r="B5393" s="69"/>
    </row>
    <row r="5394" spans="2:2" ht="12.5" hidden="1">
      <c r="B5394" s="69"/>
    </row>
    <row r="5395" spans="2:2" ht="12.5" hidden="1">
      <c r="B5395" s="69"/>
    </row>
    <row r="5396" spans="2:2" ht="12.5" hidden="1">
      <c r="B5396" s="69"/>
    </row>
    <row r="5397" spans="2:2" ht="12.5" hidden="1">
      <c r="B5397" s="69"/>
    </row>
    <row r="5398" spans="2:2" ht="12.5" hidden="1">
      <c r="B5398" s="69"/>
    </row>
    <row r="5399" spans="2:2" ht="12.5" hidden="1">
      <c r="B5399" s="69"/>
    </row>
    <row r="5400" spans="2:2" ht="12.5" hidden="1">
      <c r="B5400" s="69"/>
    </row>
    <row r="5401" spans="2:2" ht="12.5" hidden="1">
      <c r="B5401" s="69"/>
    </row>
    <row r="5402" spans="2:2" ht="12.5" hidden="1">
      <c r="B5402" s="69"/>
    </row>
    <row r="5403" spans="2:2" ht="12.5" hidden="1">
      <c r="B5403" s="69"/>
    </row>
    <row r="5404" spans="2:2" ht="12.5" hidden="1">
      <c r="B5404" s="69"/>
    </row>
    <row r="5405" spans="2:2" ht="12.5" hidden="1">
      <c r="B5405" s="69"/>
    </row>
    <row r="5406" spans="2:2" ht="12.5" hidden="1">
      <c r="B5406" s="69"/>
    </row>
    <row r="5407" spans="2:2" ht="12.5" hidden="1">
      <c r="B5407" s="69"/>
    </row>
    <row r="5408" spans="2:2" ht="12.5" hidden="1">
      <c r="B5408" s="69"/>
    </row>
    <row r="5409" spans="2:2" ht="12.5" hidden="1">
      <c r="B5409" s="69"/>
    </row>
    <row r="5410" spans="2:2" ht="12.5" hidden="1">
      <c r="B5410" s="69"/>
    </row>
    <row r="5411" spans="2:2" ht="12.5" hidden="1">
      <c r="B5411" s="69"/>
    </row>
    <row r="5412" spans="2:2" ht="12.5" hidden="1">
      <c r="B5412" s="69"/>
    </row>
    <row r="5413" spans="2:2" ht="12.5" hidden="1">
      <c r="B5413" s="69"/>
    </row>
    <row r="5414" spans="2:2" ht="12.5" hidden="1">
      <c r="B5414" s="69"/>
    </row>
    <row r="5415" spans="2:2" ht="12.5" hidden="1">
      <c r="B5415" s="69"/>
    </row>
    <row r="5416" spans="2:2" ht="12.5" hidden="1">
      <c r="B5416" s="69"/>
    </row>
    <row r="5417" spans="2:2" ht="12.5" hidden="1">
      <c r="B5417" s="69"/>
    </row>
    <row r="5418" spans="2:2" ht="12.5" hidden="1">
      <c r="B5418" s="69"/>
    </row>
    <row r="5419" spans="2:2" ht="12.5" hidden="1">
      <c r="B5419" s="69"/>
    </row>
    <row r="5420" spans="2:2" ht="12.5" hidden="1">
      <c r="B5420" s="69"/>
    </row>
    <row r="5421" spans="2:2" ht="12.5" hidden="1">
      <c r="B5421" s="69"/>
    </row>
    <row r="5422" spans="2:2" ht="12.5" hidden="1">
      <c r="B5422" s="69"/>
    </row>
    <row r="5423" spans="2:2" ht="12.5" hidden="1">
      <c r="B5423" s="69"/>
    </row>
    <row r="5424" spans="2:2" ht="12.5" hidden="1">
      <c r="B5424" s="69"/>
    </row>
    <row r="5425" spans="2:2" ht="12.5" hidden="1">
      <c r="B5425" s="69"/>
    </row>
    <row r="5426" spans="2:2" ht="12.5" hidden="1">
      <c r="B5426" s="69"/>
    </row>
    <row r="5427" spans="2:2" ht="12.5" hidden="1">
      <c r="B5427" s="69"/>
    </row>
    <row r="5428" spans="2:2" ht="12.5" hidden="1">
      <c r="B5428" s="69"/>
    </row>
    <row r="5429" spans="2:2" ht="12.5" hidden="1">
      <c r="B5429" s="69"/>
    </row>
    <row r="5430" spans="2:2" ht="12.5" hidden="1">
      <c r="B5430" s="69"/>
    </row>
    <row r="5431" spans="2:2" ht="12.5" hidden="1">
      <c r="B5431" s="69"/>
    </row>
    <row r="5432" spans="2:2" ht="12.5" hidden="1">
      <c r="B5432" s="69"/>
    </row>
    <row r="5433" spans="2:2" ht="12.5" hidden="1">
      <c r="B5433" s="69"/>
    </row>
    <row r="5434" spans="2:2" ht="12.5" hidden="1">
      <c r="B5434" s="69"/>
    </row>
    <row r="5435" spans="2:2" ht="12.5" hidden="1">
      <c r="B5435" s="69"/>
    </row>
    <row r="5436" spans="2:2" ht="12.5" hidden="1">
      <c r="B5436" s="69"/>
    </row>
    <row r="5437" spans="2:2" ht="12.5" hidden="1">
      <c r="B5437" s="69"/>
    </row>
    <row r="5438" spans="2:2" ht="12.5" hidden="1">
      <c r="B5438" s="69"/>
    </row>
    <row r="5439" spans="2:2" ht="12.5" hidden="1">
      <c r="B5439" s="69"/>
    </row>
    <row r="5440" spans="2:2" ht="12.5" hidden="1">
      <c r="B5440" s="69"/>
    </row>
    <row r="5441" spans="2:2" ht="12.5" hidden="1">
      <c r="B5441" s="69"/>
    </row>
    <row r="5442" spans="2:2" ht="12.5" hidden="1">
      <c r="B5442" s="69"/>
    </row>
    <row r="5443" spans="2:2" ht="12.5" hidden="1">
      <c r="B5443" s="69"/>
    </row>
    <row r="5444" spans="2:2" ht="12.5" hidden="1">
      <c r="B5444" s="69"/>
    </row>
    <row r="5445" spans="2:2" ht="12.5" hidden="1">
      <c r="B5445" s="69"/>
    </row>
    <row r="5446" spans="2:2" ht="12.5" hidden="1">
      <c r="B5446" s="69"/>
    </row>
    <row r="5447" spans="2:2" ht="12.5" hidden="1">
      <c r="B5447" s="69"/>
    </row>
    <row r="5448" spans="2:2" ht="12.5" hidden="1">
      <c r="B5448" s="69"/>
    </row>
    <row r="5449" spans="2:2" ht="12.5" hidden="1">
      <c r="B5449" s="69"/>
    </row>
    <row r="5450" spans="2:2" ht="12.5" hidden="1">
      <c r="B5450" s="69"/>
    </row>
    <row r="5451" spans="2:2" ht="12.5" hidden="1">
      <c r="B5451" s="69"/>
    </row>
    <row r="5452" spans="2:2" ht="12.5" hidden="1">
      <c r="B5452" s="69"/>
    </row>
    <row r="5453" spans="2:2" ht="12.5" hidden="1">
      <c r="B5453" s="69"/>
    </row>
    <row r="5454" spans="2:2" ht="12.5" hidden="1">
      <c r="B5454" s="69"/>
    </row>
    <row r="5455" spans="2:2" ht="12.5" hidden="1">
      <c r="B5455" s="69"/>
    </row>
    <row r="5456" spans="2:2" ht="12.5" hidden="1">
      <c r="B5456" s="69"/>
    </row>
    <row r="5457" spans="2:2" ht="12.5" hidden="1">
      <c r="B5457" s="69"/>
    </row>
    <row r="5458" spans="2:2" ht="12.5" hidden="1">
      <c r="B5458" s="69"/>
    </row>
    <row r="5459" spans="2:2" ht="12.5" hidden="1">
      <c r="B5459" s="69"/>
    </row>
    <row r="5460" spans="2:2" ht="12.5" hidden="1">
      <c r="B5460" s="69"/>
    </row>
    <row r="5461" spans="2:2" ht="12.5" hidden="1">
      <c r="B5461" s="69"/>
    </row>
    <row r="5462" spans="2:2" ht="12.5" hidden="1">
      <c r="B5462" s="69"/>
    </row>
    <row r="5463" spans="2:2" ht="12.5" hidden="1">
      <c r="B5463" s="69"/>
    </row>
    <row r="5464" spans="2:2" ht="12.5" hidden="1">
      <c r="B5464" s="69"/>
    </row>
    <row r="5465" spans="2:2" ht="12.5" hidden="1">
      <c r="B5465" s="69"/>
    </row>
    <row r="5466" spans="2:2" ht="12.5" hidden="1">
      <c r="B5466" s="69"/>
    </row>
    <row r="5467" spans="2:2" ht="12.5" hidden="1">
      <c r="B5467" s="69"/>
    </row>
    <row r="5468" spans="2:2" ht="12.5" hidden="1">
      <c r="B5468" s="69"/>
    </row>
    <row r="5469" spans="2:2" ht="12.5" hidden="1">
      <c r="B5469" s="69"/>
    </row>
    <row r="5470" spans="2:2" ht="12.5" hidden="1">
      <c r="B5470" s="69"/>
    </row>
    <row r="5471" spans="2:2" ht="12.5" hidden="1">
      <c r="B5471" s="69"/>
    </row>
    <row r="5472" spans="2:2" ht="12.5" hidden="1">
      <c r="B5472" s="69"/>
    </row>
    <row r="5473" spans="2:2" ht="12.5" hidden="1">
      <c r="B5473" s="69"/>
    </row>
    <row r="5474" spans="2:2" ht="12.5" hidden="1">
      <c r="B5474" s="69"/>
    </row>
    <row r="5475" spans="2:2" ht="12.5" hidden="1">
      <c r="B5475" s="69"/>
    </row>
    <row r="5476" spans="2:2" ht="12.5" hidden="1">
      <c r="B5476" s="69"/>
    </row>
    <row r="5477" spans="2:2" ht="12.5" hidden="1">
      <c r="B5477" s="69"/>
    </row>
    <row r="5478" spans="2:2" ht="12.5" hidden="1">
      <c r="B5478" s="69"/>
    </row>
    <row r="5479" spans="2:2" ht="12.5" hidden="1">
      <c r="B5479" s="69"/>
    </row>
    <row r="5480" spans="2:2" ht="12.5" hidden="1">
      <c r="B5480" s="69"/>
    </row>
    <row r="5481" spans="2:2" ht="12.5" hidden="1">
      <c r="B5481" s="69"/>
    </row>
    <row r="5482" spans="2:2" ht="12.5" hidden="1">
      <c r="B5482" s="69"/>
    </row>
    <row r="5483" spans="2:2" ht="12.5" hidden="1">
      <c r="B5483" s="69"/>
    </row>
    <row r="5484" spans="2:2" ht="12.5" hidden="1">
      <c r="B5484" s="69"/>
    </row>
    <row r="5485" spans="2:2" ht="12.5" hidden="1">
      <c r="B5485" s="69"/>
    </row>
    <row r="5486" spans="2:2" ht="12.5" hidden="1">
      <c r="B5486" s="69"/>
    </row>
    <row r="5487" spans="2:2" ht="12.5" hidden="1">
      <c r="B5487" s="69"/>
    </row>
    <row r="5488" spans="2:2" ht="12.5" hidden="1">
      <c r="B5488" s="69"/>
    </row>
    <row r="5489" spans="2:2" ht="12.5" hidden="1">
      <c r="B5489" s="69"/>
    </row>
    <row r="5490" spans="2:2" ht="12.5" hidden="1">
      <c r="B5490" s="69"/>
    </row>
    <row r="5491" spans="2:2" ht="12.5" hidden="1">
      <c r="B5491" s="69"/>
    </row>
    <row r="5492" spans="2:2" ht="12.5" hidden="1">
      <c r="B5492" s="69"/>
    </row>
    <row r="5493" spans="2:2" ht="12.5" hidden="1">
      <c r="B5493" s="69"/>
    </row>
    <row r="5494" spans="2:2" ht="12.5" hidden="1">
      <c r="B5494" s="69"/>
    </row>
    <row r="5495" spans="2:2" ht="12.5" hidden="1">
      <c r="B5495" s="69"/>
    </row>
    <row r="5496" spans="2:2" ht="12.5" hidden="1">
      <c r="B5496" s="69"/>
    </row>
    <row r="5497" spans="2:2" ht="12.5" hidden="1">
      <c r="B5497" s="69"/>
    </row>
    <row r="5498" spans="2:2" ht="12.5" hidden="1">
      <c r="B5498" s="69"/>
    </row>
    <row r="5499" spans="2:2" ht="12.5" hidden="1">
      <c r="B5499" s="69"/>
    </row>
    <row r="5500" spans="2:2" ht="12.5" hidden="1">
      <c r="B5500" s="69"/>
    </row>
    <row r="5501" spans="2:2" ht="12.5" hidden="1">
      <c r="B5501" s="69"/>
    </row>
    <row r="5502" spans="2:2" ht="12.5" hidden="1">
      <c r="B5502" s="69"/>
    </row>
    <row r="5503" spans="2:2" ht="12.5" hidden="1">
      <c r="B5503" s="69"/>
    </row>
    <row r="5504" spans="2:2" ht="12.5" hidden="1">
      <c r="B5504" s="69"/>
    </row>
    <row r="5505" spans="2:2" ht="12.5" hidden="1">
      <c r="B5505" s="69"/>
    </row>
    <row r="5506" spans="2:2" ht="12.5" hidden="1">
      <c r="B5506" s="69"/>
    </row>
    <row r="5507" spans="2:2" ht="12.5" hidden="1">
      <c r="B5507" s="69"/>
    </row>
    <row r="5508" spans="2:2" ht="12.5" hidden="1">
      <c r="B5508" s="69"/>
    </row>
    <row r="5509" spans="2:2" ht="12.5" hidden="1">
      <c r="B5509" s="69"/>
    </row>
    <row r="5510" spans="2:2" ht="12.5" hidden="1">
      <c r="B5510" s="69"/>
    </row>
    <row r="5511" spans="2:2" ht="12.5" hidden="1">
      <c r="B5511" s="69"/>
    </row>
    <row r="5512" spans="2:2" ht="12.5" hidden="1">
      <c r="B5512" s="69"/>
    </row>
    <row r="5513" spans="2:2" ht="12.5" hidden="1">
      <c r="B5513" s="69"/>
    </row>
    <row r="5514" spans="2:2" ht="12.5" hidden="1">
      <c r="B5514" s="69"/>
    </row>
    <row r="5515" spans="2:2" ht="12.5" hidden="1">
      <c r="B5515" s="69"/>
    </row>
    <row r="5516" spans="2:2" ht="12.5" hidden="1">
      <c r="B5516" s="69"/>
    </row>
    <row r="5517" spans="2:2" ht="12.5" hidden="1">
      <c r="B5517" s="69"/>
    </row>
    <row r="5518" spans="2:2" ht="12.5" hidden="1">
      <c r="B5518" s="69"/>
    </row>
    <row r="5519" spans="2:2" ht="12.5" hidden="1">
      <c r="B5519" s="69"/>
    </row>
    <row r="5520" spans="2:2" ht="12.5" hidden="1">
      <c r="B5520" s="69"/>
    </row>
    <row r="5521" spans="2:2" ht="12.5" hidden="1">
      <c r="B5521" s="69"/>
    </row>
    <row r="5522" spans="2:2" ht="12.5" hidden="1">
      <c r="B5522" s="69"/>
    </row>
    <row r="5523" spans="2:2" ht="12.5" hidden="1">
      <c r="B5523" s="69"/>
    </row>
    <row r="5524" spans="2:2" ht="12.5" hidden="1">
      <c r="B5524" s="69"/>
    </row>
    <row r="5525" spans="2:2" ht="12.5" hidden="1">
      <c r="B5525" s="69"/>
    </row>
    <row r="5526" spans="2:2" ht="12.5" hidden="1">
      <c r="B5526" s="69"/>
    </row>
    <row r="5527" spans="2:2" ht="12.5" hidden="1">
      <c r="B5527" s="69"/>
    </row>
    <row r="5528" spans="2:2" ht="12.5" hidden="1">
      <c r="B5528" s="69"/>
    </row>
    <row r="5529" spans="2:2" ht="12.5" hidden="1">
      <c r="B5529" s="69"/>
    </row>
    <row r="5530" spans="2:2" ht="12.5" hidden="1">
      <c r="B5530" s="69"/>
    </row>
    <row r="5531" spans="2:2" ht="12.5" hidden="1">
      <c r="B5531" s="69"/>
    </row>
    <row r="5532" spans="2:2" ht="12.5" hidden="1">
      <c r="B5532" s="69"/>
    </row>
    <row r="5533" spans="2:2" ht="12.5" hidden="1">
      <c r="B5533" s="69"/>
    </row>
    <row r="5534" spans="2:2" ht="12.5" hidden="1">
      <c r="B5534" s="69"/>
    </row>
    <row r="5535" spans="2:2" ht="12.5" hidden="1">
      <c r="B5535" s="69"/>
    </row>
    <row r="5536" spans="2:2" ht="12.5" hidden="1">
      <c r="B5536" s="69"/>
    </row>
    <row r="5537" spans="2:2" ht="12.5" hidden="1">
      <c r="B5537" s="69"/>
    </row>
    <row r="5538" spans="2:2" ht="12.5" hidden="1">
      <c r="B5538" s="69"/>
    </row>
    <row r="5539" spans="2:2" ht="12.5" hidden="1">
      <c r="B5539" s="69"/>
    </row>
    <row r="5540" spans="2:2" ht="12.5" hidden="1">
      <c r="B5540" s="69"/>
    </row>
    <row r="5541" spans="2:2" ht="12.5" hidden="1">
      <c r="B5541" s="69"/>
    </row>
    <row r="5542" spans="2:2" ht="12.5" hidden="1">
      <c r="B5542" s="69"/>
    </row>
    <row r="5543" spans="2:2" ht="12.5" hidden="1">
      <c r="B5543" s="69"/>
    </row>
    <row r="5544" spans="2:2" ht="12.5" hidden="1">
      <c r="B5544" s="69"/>
    </row>
    <row r="5545" spans="2:2" ht="12.5" hidden="1">
      <c r="B5545" s="69"/>
    </row>
    <row r="5546" spans="2:2" ht="12.5" hidden="1">
      <c r="B5546" s="69"/>
    </row>
    <row r="5547" spans="2:2" ht="12.5" hidden="1">
      <c r="B5547" s="69"/>
    </row>
    <row r="5548" spans="2:2" ht="12.5" hidden="1">
      <c r="B5548" s="69"/>
    </row>
    <row r="5549" spans="2:2" ht="12.5" hidden="1">
      <c r="B5549" s="69"/>
    </row>
    <row r="5550" spans="2:2" ht="12.5" hidden="1">
      <c r="B5550" s="69"/>
    </row>
    <row r="5551" spans="2:2" ht="12.5" hidden="1">
      <c r="B5551" s="69"/>
    </row>
    <row r="5552" spans="2:2" ht="12.5" hidden="1">
      <c r="B5552" s="69"/>
    </row>
    <row r="5553" spans="2:2" ht="12.5" hidden="1">
      <c r="B5553" s="69"/>
    </row>
    <row r="5554" spans="2:2" ht="12.5" hidden="1">
      <c r="B5554" s="69"/>
    </row>
    <row r="5555" spans="2:2" ht="12.5" hidden="1">
      <c r="B5555" s="69"/>
    </row>
    <row r="5556" spans="2:2" ht="12.5" hidden="1">
      <c r="B5556" s="69"/>
    </row>
    <row r="5557" spans="2:2" ht="12.5" hidden="1">
      <c r="B5557" s="69"/>
    </row>
    <row r="5558" spans="2:2" ht="12.5" hidden="1">
      <c r="B5558" s="69"/>
    </row>
    <row r="5559" spans="2:2" ht="12.5" hidden="1">
      <c r="B5559" s="69"/>
    </row>
    <row r="5560" spans="2:2" ht="12.5" hidden="1">
      <c r="B5560" s="69"/>
    </row>
    <row r="5561" spans="2:2" ht="12.5" hidden="1">
      <c r="B5561" s="69"/>
    </row>
    <row r="5562" spans="2:2" ht="12.5" hidden="1">
      <c r="B5562" s="69"/>
    </row>
    <row r="5563" spans="2:2" ht="12.5" hidden="1">
      <c r="B5563" s="69"/>
    </row>
    <row r="5564" spans="2:2" ht="12.5" hidden="1">
      <c r="B5564" s="69"/>
    </row>
    <row r="5565" spans="2:2" ht="12.5" hidden="1">
      <c r="B5565" s="69"/>
    </row>
    <row r="5566" spans="2:2" ht="12.5" hidden="1">
      <c r="B5566" s="69"/>
    </row>
    <row r="5567" spans="2:2" ht="12.5" hidden="1">
      <c r="B5567" s="69"/>
    </row>
    <row r="5568" spans="2:2" ht="12.5" hidden="1">
      <c r="B5568" s="69"/>
    </row>
    <row r="5569" spans="2:2" ht="12.5" hidden="1">
      <c r="B5569" s="69"/>
    </row>
    <row r="5570" spans="2:2" ht="12.5" hidden="1">
      <c r="B5570" s="69"/>
    </row>
    <row r="5571" spans="2:2" ht="12.5" hidden="1">
      <c r="B5571" s="69"/>
    </row>
    <row r="5572" spans="2:2" ht="12.5" hidden="1">
      <c r="B5572" s="69"/>
    </row>
    <row r="5573" spans="2:2" ht="12.5" hidden="1">
      <c r="B5573" s="69"/>
    </row>
    <row r="5574" spans="2:2" ht="12.5" hidden="1">
      <c r="B5574" s="69"/>
    </row>
    <row r="5575" spans="2:2" ht="12.5" hidden="1">
      <c r="B5575" s="69"/>
    </row>
    <row r="5576" spans="2:2" ht="12.5" hidden="1">
      <c r="B5576" s="69"/>
    </row>
    <row r="5577" spans="2:2" ht="12.5" hidden="1">
      <c r="B5577" s="69"/>
    </row>
    <row r="5578" spans="2:2" ht="12.5" hidden="1">
      <c r="B5578" s="69"/>
    </row>
    <row r="5579" spans="2:2" ht="12.5" hidden="1">
      <c r="B5579" s="69"/>
    </row>
    <row r="5580" spans="2:2" ht="12.5" hidden="1">
      <c r="B5580" s="69"/>
    </row>
    <row r="5581" spans="2:2" ht="12.5" hidden="1">
      <c r="B5581" s="69"/>
    </row>
    <row r="5582" spans="2:2" ht="12.5" hidden="1">
      <c r="B5582" s="69"/>
    </row>
    <row r="5583" spans="2:2" ht="12.5" hidden="1">
      <c r="B5583" s="69"/>
    </row>
    <row r="5584" spans="2:2" ht="12.5" hidden="1">
      <c r="B5584" s="69"/>
    </row>
    <row r="5585" spans="2:2" ht="12.5" hidden="1">
      <c r="B5585" s="69"/>
    </row>
    <row r="5586" spans="2:2" ht="12.5" hidden="1">
      <c r="B5586" s="69"/>
    </row>
    <row r="5587" spans="2:2" ht="12.5" hidden="1">
      <c r="B5587" s="69"/>
    </row>
    <row r="5588" spans="2:2" ht="12.5" hidden="1">
      <c r="B5588" s="69"/>
    </row>
    <row r="5589" spans="2:2" ht="12.5" hidden="1">
      <c r="B5589" s="69"/>
    </row>
    <row r="5590" spans="2:2" ht="12.5" hidden="1">
      <c r="B5590" s="69"/>
    </row>
    <row r="5591" spans="2:2" ht="12.5" hidden="1">
      <c r="B5591" s="69"/>
    </row>
    <row r="5592" spans="2:2" ht="12.5" hidden="1">
      <c r="B5592" s="69"/>
    </row>
    <row r="5593" spans="2:2" ht="12.5" hidden="1">
      <c r="B5593" s="69"/>
    </row>
    <row r="5594" spans="2:2" ht="12.5" hidden="1">
      <c r="B5594" s="69"/>
    </row>
    <row r="5595" spans="2:2" ht="12.5" hidden="1">
      <c r="B5595" s="69"/>
    </row>
    <row r="5596" spans="2:2" ht="12.5" hidden="1">
      <c r="B5596" s="69"/>
    </row>
    <row r="5597" spans="2:2" ht="12.5" hidden="1">
      <c r="B5597" s="69"/>
    </row>
    <row r="5598" spans="2:2" ht="12.5" hidden="1">
      <c r="B5598" s="69"/>
    </row>
    <row r="5599" spans="2:2" ht="12.5" hidden="1">
      <c r="B5599" s="69"/>
    </row>
    <row r="5600" spans="2:2" ht="12.5" hidden="1">
      <c r="B5600" s="69"/>
    </row>
    <row r="5601" spans="2:2" ht="12.5" hidden="1">
      <c r="B5601" s="69"/>
    </row>
    <row r="5602" spans="2:2" ht="12.5" hidden="1">
      <c r="B5602" s="69"/>
    </row>
    <row r="5603" spans="2:2" ht="12.5" hidden="1">
      <c r="B5603" s="69"/>
    </row>
    <row r="5604" spans="2:2" ht="12.5" hidden="1">
      <c r="B5604" s="69"/>
    </row>
    <row r="5605" spans="2:2" ht="12.5" hidden="1">
      <c r="B5605" s="69"/>
    </row>
    <row r="5606" spans="2:2" ht="12.5" hidden="1">
      <c r="B5606" s="69"/>
    </row>
    <row r="5607" spans="2:2" ht="12.5" hidden="1">
      <c r="B5607" s="69"/>
    </row>
    <row r="5608" spans="2:2" ht="12.5" hidden="1">
      <c r="B5608" s="69"/>
    </row>
    <row r="5609" spans="2:2" ht="12.5" hidden="1">
      <c r="B5609" s="69"/>
    </row>
    <row r="5610" spans="2:2" ht="12.5" hidden="1">
      <c r="B5610" s="69"/>
    </row>
    <row r="5611" spans="2:2" ht="12.5" hidden="1">
      <c r="B5611" s="69"/>
    </row>
    <row r="5612" spans="2:2" ht="12.5" hidden="1">
      <c r="B5612" s="69"/>
    </row>
    <row r="5613" spans="2:2" ht="12.5" hidden="1">
      <c r="B5613" s="69"/>
    </row>
    <row r="5614" spans="2:2" ht="12.5" hidden="1">
      <c r="B5614" s="69"/>
    </row>
    <row r="5615" spans="2:2" ht="12.5" hidden="1">
      <c r="B5615" s="69"/>
    </row>
    <row r="5616" spans="2:2" ht="12.5" hidden="1">
      <c r="B5616" s="69"/>
    </row>
    <row r="5617" spans="2:2" ht="12.5" hidden="1">
      <c r="B5617" s="69"/>
    </row>
    <row r="5618" spans="2:2" ht="12.5" hidden="1">
      <c r="B5618" s="69"/>
    </row>
    <row r="5619" spans="2:2" ht="12.5" hidden="1">
      <c r="B5619" s="69"/>
    </row>
    <row r="5620" spans="2:2" ht="12.5" hidden="1">
      <c r="B5620" s="69"/>
    </row>
    <row r="5621" spans="2:2" ht="12.5" hidden="1">
      <c r="B5621" s="69"/>
    </row>
    <row r="5622" spans="2:2" ht="12.5" hidden="1">
      <c r="B5622" s="69"/>
    </row>
    <row r="5623" spans="2:2" ht="12.5" hidden="1">
      <c r="B5623" s="69"/>
    </row>
    <row r="5624" spans="2:2" ht="12.5" hidden="1">
      <c r="B5624" s="69"/>
    </row>
    <row r="5625" spans="2:2" ht="12.5" hidden="1">
      <c r="B5625" s="69"/>
    </row>
    <row r="5626" spans="2:2" ht="12.5" hidden="1">
      <c r="B5626" s="69"/>
    </row>
    <row r="5627" spans="2:2" ht="12.5" hidden="1">
      <c r="B5627" s="69"/>
    </row>
    <row r="5628" spans="2:2" ht="12.5" hidden="1">
      <c r="B5628" s="69"/>
    </row>
    <row r="5629" spans="2:2" ht="12.5" hidden="1">
      <c r="B5629" s="69"/>
    </row>
    <row r="5630" spans="2:2" ht="12.5" hidden="1">
      <c r="B5630" s="69"/>
    </row>
    <row r="5631" spans="2:2" ht="12.5" hidden="1">
      <c r="B5631" s="69"/>
    </row>
    <row r="5632" spans="2:2" ht="12.5" hidden="1">
      <c r="B5632" s="69"/>
    </row>
    <row r="5633" spans="2:2" ht="12.5" hidden="1">
      <c r="B5633" s="69"/>
    </row>
    <row r="5634" spans="2:2" ht="12.5" hidden="1">
      <c r="B5634" s="69"/>
    </row>
    <row r="5635" spans="2:2" ht="12.5" hidden="1">
      <c r="B5635" s="69"/>
    </row>
    <row r="5636" spans="2:2" ht="12.5" hidden="1">
      <c r="B5636" s="69"/>
    </row>
    <row r="5637" spans="2:2" ht="12.5" hidden="1">
      <c r="B5637" s="69"/>
    </row>
    <row r="5638" spans="2:2" ht="12.5" hidden="1">
      <c r="B5638" s="69"/>
    </row>
    <row r="5639" spans="2:2" ht="12.5" hidden="1">
      <c r="B5639" s="69"/>
    </row>
    <row r="5640" spans="2:2" ht="12.5" hidden="1">
      <c r="B5640" s="69"/>
    </row>
    <row r="5641" spans="2:2" ht="12.5" hidden="1">
      <c r="B5641" s="69"/>
    </row>
    <row r="5642" spans="2:2" ht="12.5" hidden="1">
      <c r="B5642" s="69"/>
    </row>
    <row r="5643" spans="2:2" ht="12.5" hidden="1">
      <c r="B5643" s="69"/>
    </row>
    <row r="5644" spans="2:2" ht="12.5" hidden="1">
      <c r="B5644" s="69"/>
    </row>
    <row r="5645" spans="2:2" ht="12.5" hidden="1">
      <c r="B5645" s="69"/>
    </row>
    <row r="5646" spans="2:2" ht="12.5" hidden="1">
      <c r="B5646" s="69"/>
    </row>
    <row r="5647" spans="2:2" ht="12.5" hidden="1">
      <c r="B5647" s="69"/>
    </row>
    <row r="5648" spans="2:2" ht="12.5" hidden="1">
      <c r="B5648" s="69"/>
    </row>
    <row r="5649" spans="2:2" ht="12.5" hidden="1">
      <c r="B5649" s="69"/>
    </row>
    <row r="5650" spans="2:2" ht="12.5" hidden="1">
      <c r="B5650" s="69"/>
    </row>
    <row r="5651" spans="2:2" ht="12.5" hidden="1">
      <c r="B5651" s="69"/>
    </row>
    <row r="5652" spans="2:2" ht="12.5" hidden="1">
      <c r="B5652" s="69"/>
    </row>
    <row r="5653" spans="2:2" ht="12.5" hidden="1">
      <c r="B5653" s="69"/>
    </row>
    <row r="5654" spans="2:2" ht="12.5" hidden="1">
      <c r="B5654" s="69"/>
    </row>
    <row r="5655" spans="2:2" ht="12.5" hidden="1">
      <c r="B5655" s="69"/>
    </row>
    <row r="5656" spans="2:2" ht="12.5" hidden="1">
      <c r="B5656" s="69"/>
    </row>
    <row r="5657" spans="2:2" ht="12.5" hidden="1">
      <c r="B5657" s="69"/>
    </row>
    <row r="5658" spans="2:2" ht="12.5" hidden="1">
      <c r="B5658" s="69"/>
    </row>
    <row r="5659" spans="2:2" ht="12.5" hidden="1">
      <c r="B5659" s="69"/>
    </row>
    <row r="5660" spans="2:2" ht="12.5" hidden="1">
      <c r="B5660" s="69"/>
    </row>
    <row r="5661" spans="2:2" ht="12.5" hidden="1">
      <c r="B5661" s="69"/>
    </row>
    <row r="5662" spans="2:2" ht="12.5" hidden="1">
      <c r="B5662" s="69"/>
    </row>
    <row r="5663" spans="2:2" ht="12.5" hidden="1">
      <c r="B5663" s="69"/>
    </row>
    <row r="5664" spans="2:2" ht="12.5" hidden="1">
      <c r="B5664" s="69"/>
    </row>
    <row r="5665" spans="2:2" ht="12.5" hidden="1">
      <c r="B5665" s="69"/>
    </row>
    <row r="5666" spans="2:2" ht="12.5" hidden="1">
      <c r="B5666" s="69"/>
    </row>
    <row r="5667" spans="2:2" ht="12.5" hidden="1">
      <c r="B5667" s="69"/>
    </row>
    <row r="5668" spans="2:2" ht="12.5" hidden="1">
      <c r="B5668" s="69"/>
    </row>
    <row r="5669" spans="2:2" ht="12.5" hidden="1">
      <c r="B5669" s="69"/>
    </row>
    <row r="5670" spans="2:2" ht="12.5" hidden="1">
      <c r="B5670" s="69"/>
    </row>
    <row r="5671" spans="2:2" ht="12.5" hidden="1">
      <c r="B5671" s="69"/>
    </row>
    <row r="5672" spans="2:2" ht="12.5" hidden="1">
      <c r="B5672" s="69"/>
    </row>
    <row r="5673" spans="2:2" ht="12.5" hidden="1">
      <c r="B5673" s="69"/>
    </row>
    <row r="5674" spans="2:2" ht="12.5" hidden="1">
      <c r="B5674" s="69"/>
    </row>
    <row r="5675" spans="2:2" ht="12.5" hidden="1">
      <c r="B5675" s="69"/>
    </row>
    <row r="5676" spans="2:2" ht="12.5" hidden="1">
      <c r="B5676" s="69"/>
    </row>
    <row r="5677" spans="2:2" ht="12.5" hidden="1">
      <c r="B5677" s="69"/>
    </row>
    <row r="5678" spans="2:2" ht="12.5" hidden="1">
      <c r="B5678" s="69"/>
    </row>
    <row r="5679" spans="2:2" ht="12.5" hidden="1">
      <c r="B5679" s="69"/>
    </row>
    <row r="5680" spans="2:2" ht="12.5" hidden="1">
      <c r="B5680" s="69"/>
    </row>
    <row r="5681" spans="2:2" ht="12.5" hidden="1">
      <c r="B5681" s="69"/>
    </row>
    <row r="5682" spans="2:2" ht="12.5" hidden="1">
      <c r="B5682" s="69"/>
    </row>
    <row r="5683" spans="2:2" ht="12.5" hidden="1">
      <c r="B5683" s="69"/>
    </row>
    <row r="5684" spans="2:2" ht="12.5" hidden="1">
      <c r="B5684" s="69"/>
    </row>
    <row r="5685" spans="2:2" ht="12.5" hidden="1">
      <c r="B5685" s="69"/>
    </row>
    <row r="5686" spans="2:2" ht="12.5" hidden="1">
      <c r="B5686" s="69"/>
    </row>
    <row r="5687" spans="2:2" ht="12.5" hidden="1">
      <c r="B5687" s="69"/>
    </row>
    <row r="5688" spans="2:2" ht="12.5" hidden="1">
      <c r="B5688" s="69"/>
    </row>
    <row r="5689" spans="2:2" ht="12.5" hidden="1">
      <c r="B5689" s="69"/>
    </row>
    <row r="5690" spans="2:2" ht="12.5" hidden="1">
      <c r="B5690" s="69"/>
    </row>
    <row r="5691" spans="2:2" ht="12.5" hidden="1">
      <c r="B5691" s="69"/>
    </row>
    <row r="5692" spans="2:2" ht="12.5" hidden="1">
      <c r="B5692" s="69"/>
    </row>
    <row r="5693" spans="2:2" ht="12.5" hidden="1">
      <c r="B5693" s="69"/>
    </row>
    <row r="5694" spans="2:2" ht="12.5" hidden="1">
      <c r="B5694" s="69"/>
    </row>
    <row r="5695" spans="2:2" ht="12.5" hidden="1">
      <c r="B5695" s="69"/>
    </row>
    <row r="5696" spans="2:2" ht="12.5" hidden="1">
      <c r="B5696" s="69"/>
    </row>
    <row r="5697" spans="2:2" ht="12.5" hidden="1">
      <c r="B5697" s="69"/>
    </row>
    <row r="5698" spans="2:2" ht="12.5" hidden="1">
      <c r="B5698" s="69"/>
    </row>
    <row r="5699" spans="2:2" ht="12.5" hidden="1">
      <c r="B5699" s="69"/>
    </row>
    <row r="5700" spans="2:2" ht="12.5" hidden="1">
      <c r="B5700" s="69"/>
    </row>
    <row r="5701" spans="2:2" ht="12.5" hidden="1">
      <c r="B5701" s="69"/>
    </row>
    <row r="5702" spans="2:2" ht="12.5" hidden="1">
      <c r="B5702" s="69"/>
    </row>
    <row r="5703" spans="2:2" ht="12.5" hidden="1">
      <c r="B5703" s="69"/>
    </row>
    <row r="5704" spans="2:2" ht="12.5" hidden="1">
      <c r="B5704" s="69"/>
    </row>
    <row r="5705" spans="2:2" ht="12.5" hidden="1">
      <c r="B5705" s="69"/>
    </row>
    <row r="5706" spans="2:2" ht="12.5" hidden="1">
      <c r="B5706" s="69"/>
    </row>
    <row r="5707" spans="2:2" ht="12.5" hidden="1">
      <c r="B5707" s="69"/>
    </row>
    <row r="5708" spans="2:2" ht="12.5" hidden="1">
      <c r="B5708" s="69"/>
    </row>
    <row r="5709" spans="2:2" ht="12.5" hidden="1">
      <c r="B5709" s="69"/>
    </row>
    <row r="5710" spans="2:2" ht="12.5" hidden="1">
      <c r="B5710" s="69"/>
    </row>
    <row r="5711" spans="2:2" ht="12.5" hidden="1">
      <c r="B5711" s="69"/>
    </row>
    <row r="5712" spans="2:2" ht="12.5" hidden="1">
      <c r="B5712" s="69"/>
    </row>
    <row r="5713" spans="2:2" ht="12.5" hidden="1">
      <c r="B5713" s="69"/>
    </row>
    <row r="5714" spans="2:2" ht="12.5" hidden="1">
      <c r="B5714" s="69"/>
    </row>
    <row r="5715" spans="2:2" ht="12.5" hidden="1">
      <c r="B5715" s="69"/>
    </row>
    <row r="5716" spans="2:2" ht="12.5" hidden="1">
      <c r="B5716" s="69"/>
    </row>
    <row r="5717" spans="2:2" ht="12.5" hidden="1">
      <c r="B5717" s="69"/>
    </row>
    <row r="5718" spans="2:2" ht="12.5" hidden="1">
      <c r="B5718" s="69"/>
    </row>
    <row r="5719" spans="2:2" ht="12.5" hidden="1">
      <c r="B5719" s="69"/>
    </row>
    <row r="5720" spans="2:2" ht="12.5" hidden="1">
      <c r="B5720" s="69"/>
    </row>
    <row r="5721" spans="2:2" ht="12.5" hidden="1">
      <c r="B5721" s="69"/>
    </row>
    <row r="5722" spans="2:2" ht="12.5" hidden="1">
      <c r="B5722" s="69"/>
    </row>
    <row r="5723" spans="2:2" ht="12.5" hidden="1">
      <c r="B5723" s="69"/>
    </row>
    <row r="5724" spans="2:2" ht="12.5" hidden="1">
      <c r="B5724" s="69"/>
    </row>
    <row r="5725" spans="2:2" ht="12.5" hidden="1">
      <c r="B5725" s="69"/>
    </row>
    <row r="5726" spans="2:2" ht="12.5" hidden="1">
      <c r="B5726" s="69"/>
    </row>
    <row r="5727" spans="2:2" ht="12.5" hidden="1">
      <c r="B5727" s="69"/>
    </row>
    <row r="5728" spans="2:2" ht="12.5" hidden="1">
      <c r="B5728" s="69"/>
    </row>
    <row r="5729" spans="2:2" ht="12.5" hidden="1">
      <c r="B5729" s="69"/>
    </row>
    <row r="5730" spans="2:2" ht="12.5" hidden="1">
      <c r="B5730" s="69"/>
    </row>
    <row r="5731" spans="2:2" ht="12.5" hidden="1">
      <c r="B5731" s="69"/>
    </row>
    <row r="5732" spans="2:2" ht="12.5" hidden="1">
      <c r="B5732" s="69"/>
    </row>
    <row r="5733" spans="2:2" ht="12.5" hidden="1">
      <c r="B5733" s="69"/>
    </row>
    <row r="5734" spans="2:2" ht="12.5" hidden="1">
      <c r="B5734" s="69"/>
    </row>
    <row r="5735" spans="2:2" ht="12.5" hidden="1">
      <c r="B5735" s="69"/>
    </row>
    <row r="5736" spans="2:2" ht="12.5" hidden="1">
      <c r="B5736" s="69"/>
    </row>
    <row r="5737" spans="2:2" ht="12.5" hidden="1">
      <c r="B5737" s="69"/>
    </row>
    <row r="5738" spans="2:2" ht="12.5" hidden="1">
      <c r="B5738" s="69"/>
    </row>
    <row r="5739" spans="2:2" ht="12.5" hidden="1">
      <c r="B5739" s="69"/>
    </row>
    <row r="5740" spans="2:2" ht="12.5" hidden="1">
      <c r="B5740" s="69"/>
    </row>
    <row r="5741" spans="2:2" ht="12.5" hidden="1">
      <c r="B5741" s="69"/>
    </row>
    <row r="5742" spans="2:2" ht="12.5" hidden="1">
      <c r="B5742" s="69"/>
    </row>
    <row r="5743" spans="2:2" ht="12.5" hidden="1">
      <c r="B5743" s="69"/>
    </row>
    <row r="5744" spans="2:2" ht="12.5" hidden="1">
      <c r="B5744" s="69"/>
    </row>
    <row r="5745" spans="2:2" ht="12.5" hidden="1">
      <c r="B5745" s="69"/>
    </row>
    <row r="5746" spans="2:2" ht="12.5" hidden="1">
      <c r="B5746" s="69"/>
    </row>
    <row r="5747" spans="2:2" ht="12.5" hidden="1">
      <c r="B5747" s="69"/>
    </row>
    <row r="5748" spans="2:2" ht="12.5" hidden="1">
      <c r="B5748" s="69"/>
    </row>
    <row r="5749" spans="2:2" ht="12.5" hidden="1">
      <c r="B5749" s="69"/>
    </row>
    <row r="5750" spans="2:2" ht="12.5" hidden="1">
      <c r="B5750" s="69"/>
    </row>
    <row r="5751" spans="2:2" ht="12.5" hidden="1">
      <c r="B5751" s="69"/>
    </row>
    <row r="5752" spans="2:2" ht="12.5" hidden="1">
      <c r="B5752" s="69"/>
    </row>
    <row r="5753" spans="2:2" ht="12.5" hidden="1">
      <c r="B5753" s="69"/>
    </row>
    <row r="5754" spans="2:2" ht="12.5" hidden="1">
      <c r="B5754" s="69"/>
    </row>
    <row r="5755" spans="2:2" ht="12.5" hidden="1">
      <c r="B5755" s="69"/>
    </row>
    <row r="5756" spans="2:2" ht="12.5" hidden="1">
      <c r="B5756" s="69"/>
    </row>
    <row r="5757" spans="2:2" ht="12.5" hidden="1">
      <c r="B5757" s="69"/>
    </row>
    <row r="5758" spans="2:2" ht="12.5" hidden="1">
      <c r="B5758" s="69"/>
    </row>
    <row r="5759" spans="2:2" ht="12.5" hidden="1">
      <c r="B5759" s="69"/>
    </row>
    <row r="5760" spans="2:2" ht="12.5" hidden="1">
      <c r="B5760" s="69"/>
    </row>
    <row r="5761" spans="2:2" ht="12.5" hidden="1">
      <c r="B5761" s="69"/>
    </row>
    <row r="5762" spans="2:2" ht="12.5" hidden="1">
      <c r="B5762" s="69"/>
    </row>
    <row r="5763" spans="2:2" ht="12.5" hidden="1">
      <c r="B5763" s="69"/>
    </row>
    <row r="5764" spans="2:2" ht="12.5" hidden="1">
      <c r="B5764" s="69"/>
    </row>
    <row r="5765" spans="2:2" ht="12.5" hidden="1">
      <c r="B5765" s="69"/>
    </row>
    <row r="5766" spans="2:2" ht="12.5" hidden="1">
      <c r="B5766" s="69"/>
    </row>
    <row r="5767" spans="2:2" ht="12.5" hidden="1">
      <c r="B5767" s="69"/>
    </row>
    <row r="5768" spans="2:2" ht="12.5" hidden="1">
      <c r="B5768" s="69"/>
    </row>
    <row r="5769" spans="2:2" ht="12.5" hidden="1">
      <c r="B5769" s="69"/>
    </row>
    <row r="5770" spans="2:2" ht="12.5" hidden="1">
      <c r="B5770" s="69"/>
    </row>
    <row r="5771" spans="2:2" ht="12.5" hidden="1">
      <c r="B5771" s="69"/>
    </row>
    <row r="5772" spans="2:2" ht="12.5" hidden="1">
      <c r="B5772" s="69"/>
    </row>
    <row r="5773" spans="2:2" ht="12.5" hidden="1">
      <c r="B5773" s="69"/>
    </row>
    <row r="5774" spans="2:2" ht="12.5" hidden="1">
      <c r="B5774" s="69"/>
    </row>
    <row r="5775" spans="2:2" ht="12.5" hidden="1">
      <c r="B5775" s="69"/>
    </row>
    <row r="5776" spans="2:2" ht="12.5" hidden="1">
      <c r="B5776" s="69"/>
    </row>
    <row r="5777" spans="2:2" ht="12.5" hidden="1">
      <c r="B5777" s="69"/>
    </row>
    <row r="5778" spans="2:2" ht="12.5" hidden="1">
      <c r="B5778" s="69"/>
    </row>
    <row r="5779" spans="2:2" ht="12.5" hidden="1">
      <c r="B5779" s="69"/>
    </row>
    <row r="5780" spans="2:2" ht="12.5" hidden="1">
      <c r="B5780" s="69"/>
    </row>
    <row r="5781" spans="2:2" ht="12.5" hidden="1">
      <c r="B5781" s="69"/>
    </row>
    <row r="5782" spans="2:2" ht="12.5" hidden="1">
      <c r="B5782" s="69"/>
    </row>
    <row r="5783" spans="2:2" ht="12.5" hidden="1">
      <c r="B5783" s="69"/>
    </row>
    <row r="5784" spans="2:2" ht="12.5" hidden="1">
      <c r="B5784" s="69"/>
    </row>
    <row r="5785" spans="2:2" ht="12.5" hidden="1">
      <c r="B5785" s="69"/>
    </row>
    <row r="5786" spans="2:2" ht="12.5" hidden="1">
      <c r="B5786" s="69"/>
    </row>
    <row r="5787" spans="2:2" ht="12.5" hidden="1">
      <c r="B5787" s="69"/>
    </row>
    <row r="5788" spans="2:2" ht="12.5" hidden="1">
      <c r="B5788" s="69"/>
    </row>
    <row r="5789" spans="2:2" ht="12.5" hidden="1">
      <c r="B5789" s="69"/>
    </row>
    <row r="5790" spans="2:2" ht="12.5" hidden="1">
      <c r="B5790" s="69"/>
    </row>
    <row r="5791" spans="2:2" ht="12.5" hidden="1">
      <c r="B5791" s="69"/>
    </row>
    <row r="5792" spans="2:2" ht="12.5" hidden="1">
      <c r="B5792" s="69"/>
    </row>
    <row r="5793" spans="2:2" ht="12.5" hidden="1">
      <c r="B5793" s="69"/>
    </row>
    <row r="5794" spans="2:2" ht="12.5" hidden="1">
      <c r="B5794" s="69"/>
    </row>
    <row r="5795" spans="2:2" ht="12.5" hidden="1">
      <c r="B5795" s="69"/>
    </row>
    <row r="5796" spans="2:2" ht="12.5" hidden="1">
      <c r="B5796" s="69"/>
    </row>
    <row r="5797" spans="2:2" ht="12.5" hidden="1">
      <c r="B5797" s="69"/>
    </row>
    <row r="5798" spans="2:2" ht="12.5" hidden="1">
      <c r="B5798" s="69"/>
    </row>
    <row r="5799" spans="2:2" ht="12.5" hidden="1">
      <c r="B5799" s="69"/>
    </row>
    <row r="5800" spans="2:2" ht="12.5" hidden="1">
      <c r="B5800" s="69"/>
    </row>
    <row r="5801" spans="2:2" ht="12.5" hidden="1">
      <c r="B5801" s="69"/>
    </row>
    <row r="5802" spans="2:2" ht="12.5" hidden="1">
      <c r="B5802" s="69"/>
    </row>
    <row r="5803" spans="2:2" ht="12.5" hidden="1">
      <c r="B5803" s="69"/>
    </row>
    <row r="5804" spans="2:2" ht="12.5" hidden="1">
      <c r="B5804" s="69"/>
    </row>
    <row r="5805" spans="2:2" ht="12.5" hidden="1">
      <c r="B5805" s="69"/>
    </row>
    <row r="5806" spans="2:2" ht="12.5" hidden="1">
      <c r="B5806" s="69"/>
    </row>
    <row r="5807" spans="2:2" ht="12.5" hidden="1">
      <c r="B5807" s="69"/>
    </row>
    <row r="5808" spans="2:2" ht="12.5" hidden="1">
      <c r="B5808" s="69"/>
    </row>
    <row r="5809" spans="2:2" ht="12.5" hidden="1">
      <c r="B5809" s="69"/>
    </row>
    <row r="5810" spans="2:2" ht="12.5" hidden="1">
      <c r="B5810" s="69"/>
    </row>
    <row r="5811" spans="2:2" ht="12.5" hidden="1">
      <c r="B5811" s="69"/>
    </row>
    <row r="5812" spans="2:2" ht="12.5" hidden="1">
      <c r="B5812" s="69"/>
    </row>
    <row r="5813" spans="2:2" ht="12.5" hidden="1">
      <c r="B5813" s="69"/>
    </row>
    <row r="5814" spans="2:2" ht="12.5" hidden="1">
      <c r="B5814" s="69"/>
    </row>
    <row r="5815" spans="2:2" ht="12.5" hidden="1">
      <c r="B5815" s="69"/>
    </row>
    <row r="5816" spans="2:2" ht="12.5" hidden="1">
      <c r="B5816" s="69"/>
    </row>
    <row r="5817" spans="2:2" ht="12.5" hidden="1">
      <c r="B5817" s="69"/>
    </row>
    <row r="5818" spans="2:2" ht="12.5" hidden="1">
      <c r="B5818" s="69"/>
    </row>
    <row r="5819" spans="2:2" ht="12.5" hidden="1">
      <c r="B5819" s="69"/>
    </row>
    <row r="5820" spans="2:2" ht="12.5" hidden="1">
      <c r="B5820" s="69"/>
    </row>
    <row r="5821" spans="2:2" ht="12.5" hidden="1">
      <c r="B5821" s="69"/>
    </row>
    <row r="5822" spans="2:2" ht="12.5" hidden="1">
      <c r="B5822" s="69"/>
    </row>
    <row r="5823" spans="2:2" ht="12.5" hidden="1">
      <c r="B5823" s="69"/>
    </row>
    <row r="5824" spans="2:2" ht="12.5" hidden="1">
      <c r="B5824" s="69"/>
    </row>
    <row r="5825" spans="2:2" ht="12.5" hidden="1">
      <c r="B5825" s="69"/>
    </row>
    <row r="5826" spans="2:2" ht="12.5" hidden="1">
      <c r="B5826" s="69"/>
    </row>
    <row r="5827" spans="2:2" ht="12.5" hidden="1">
      <c r="B5827" s="69"/>
    </row>
    <row r="5828" spans="2:2" ht="12.5" hidden="1">
      <c r="B5828" s="69"/>
    </row>
    <row r="5829" spans="2:2" ht="12.5" hidden="1">
      <c r="B5829" s="69"/>
    </row>
    <row r="5830" spans="2:2" ht="12.5" hidden="1">
      <c r="B5830" s="69"/>
    </row>
    <row r="5831" spans="2:2" ht="12.5" hidden="1">
      <c r="B5831" s="69"/>
    </row>
    <row r="5832" spans="2:2" ht="12.5" hidden="1">
      <c r="B5832" s="69"/>
    </row>
    <row r="5833" spans="2:2" ht="12.5" hidden="1">
      <c r="B5833" s="69"/>
    </row>
    <row r="5834" spans="2:2" ht="12.5" hidden="1">
      <c r="B5834" s="69"/>
    </row>
    <row r="5835" spans="2:2" ht="12.5" hidden="1">
      <c r="B5835" s="69"/>
    </row>
    <row r="5836" spans="2:2" ht="12.5" hidden="1">
      <c r="B5836" s="69"/>
    </row>
    <row r="5837" spans="2:2" ht="12.5" hidden="1">
      <c r="B5837" s="69"/>
    </row>
    <row r="5838" spans="2:2" ht="12.5" hidden="1">
      <c r="B5838" s="69"/>
    </row>
    <row r="5839" spans="2:2" ht="12.5" hidden="1">
      <c r="B5839" s="69"/>
    </row>
    <row r="5840" spans="2:2" ht="12.5" hidden="1">
      <c r="B5840" s="69"/>
    </row>
    <row r="5841" spans="2:2" ht="12.5" hidden="1">
      <c r="B5841" s="69"/>
    </row>
    <row r="5842" spans="2:2" ht="12.5" hidden="1">
      <c r="B5842" s="69"/>
    </row>
    <row r="5843" spans="2:2" ht="12.5" hidden="1">
      <c r="B5843" s="69"/>
    </row>
    <row r="5844" spans="2:2" ht="12.5" hidden="1">
      <c r="B5844" s="69"/>
    </row>
    <row r="5845" spans="2:2" ht="12.5" hidden="1">
      <c r="B5845" s="69"/>
    </row>
    <row r="5846" spans="2:2" ht="12.5" hidden="1">
      <c r="B5846" s="69"/>
    </row>
    <row r="5847" spans="2:2" ht="12.5" hidden="1">
      <c r="B5847" s="69"/>
    </row>
    <row r="5848" spans="2:2" ht="12.5" hidden="1">
      <c r="B5848" s="69"/>
    </row>
    <row r="5849" spans="2:2" ht="12.5" hidden="1">
      <c r="B5849" s="69"/>
    </row>
    <row r="5850" spans="2:2" ht="12.5" hidden="1">
      <c r="B5850" s="69"/>
    </row>
    <row r="5851" spans="2:2" ht="12.5" hidden="1">
      <c r="B5851" s="69"/>
    </row>
    <row r="5852" spans="2:2" ht="12.5" hidden="1">
      <c r="B5852" s="69"/>
    </row>
    <row r="5853" spans="2:2" ht="12.5" hidden="1">
      <c r="B5853" s="69"/>
    </row>
    <row r="5854" spans="2:2" ht="12.5" hidden="1">
      <c r="B5854" s="69"/>
    </row>
    <row r="5855" spans="2:2" ht="12.5" hidden="1">
      <c r="B5855" s="69"/>
    </row>
    <row r="5856" spans="2:2" ht="12.5" hidden="1">
      <c r="B5856" s="69"/>
    </row>
    <row r="5857" spans="2:2" ht="12.5" hidden="1">
      <c r="B5857" s="69"/>
    </row>
    <row r="5858" spans="2:2" ht="12.5" hidden="1">
      <c r="B5858" s="69"/>
    </row>
    <row r="5859" spans="2:2" ht="12.5" hidden="1">
      <c r="B5859" s="69"/>
    </row>
    <row r="5860" spans="2:2" ht="12.5" hidden="1">
      <c r="B5860" s="69"/>
    </row>
    <row r="5861" spans="2:2" ht="12.5" hidden="1">
      <c r="B5861" s="69"/>
    </row>
    <row r="5862" spans="2:2" ht="12.5" hidden="1">
      <c r="B5862" s="69"/>
    </row>
    <row r="5863" spans="2:2" ht="12.5" hidden="1">
      <c r="B5863" s="69"/>
    </row>
    <row r="5864" spans="2:2" ht="12.5" hidden="1">
      <c r="B5864" s="69"/>
    </row>
    <row r="5865" spans="2:2" ht="12.5" hidden="1">
      <c r="B5865" s="69"/>
    </row>
    <row r="5866" spans="2:2" ht="12.5" hidden="1">
      <c r="B5866" s="69"/>
    </row>
    <row r="5867" spans="2:2" ht="12.5" hidden="1">
      <c r="B5867" s="69"/>
    </row>
    <row r="5868" spans="2:2" ht="12.5" hidden="1">
      <c r="B5868" s="69"/>
    </row>
    <row r="5869" spans="2:2" ht="12.5" hidden="1">
      <c r="B5869" s="69"/>
    </row>
    <row r="5870" spans="2:2" ht="12.5" hidden="1">
      <c r="B5870" s="69"/>
    </row>
    <row r="5871" spans="2:2" ht="12.5" hidden="1">
      <c r="B5871" s="69"/>
    </row>
    <row r="5872" spans="2:2" ht="12.5" hidden="1">
      <c r="B5872" s="69"/>
    </row>
    <row r="5873" spans="2:2" ht="12.5" hidden="1">
      <c r="B5873" s="69"/>
    </row>
    <row r="5874" spans="2:2" ht="12.5" hidden="1">
      <c r="B5874" s="69"/>
    </row>
    <row r="5875" spans="2:2" ht="12.5" hidden="1">
      <c r="B5875" s="69"/>
    </row>
    <row r="5876" spans="2:2" ht="12.5" hidden="1">
      <c r="B5876" s="69"/>
    </row>
    <row r="5877" spans="2:2" ht="12.5" hidden="1">
      <c r="B5877" s="69"/>
    </row>
    <row r="5878" spans="2:2" ht="12.5" hidden="1">
      <c r="B5878" s="69"/>
    </row>
    <row r="5879" spans="2:2" ht="12.5" hidden="1">
      <c r="B5879" s="69"/>
    </row>
    <row r="5880" spans="2:2" ht="12.5" hidden="1">
      <c r="B5880" s="69"/>
    </row>
    <row r="5881" spans="2:2" ht="12.5" hidden="1">
      <c r="B5881" s="69"/>
    </row>
    <row r="5882" spans="2:2" ht="12.5" hidden="1">
      <c r="B5882" s="69"/>
    </row>
    <row r="5883" spans="2:2" ht="12.5" hidden="1">
      <c r="B5883" s="69"/>
    </row>
    <row r="5884" spans="2:2" ht="12.5" hidden="1">
      <c r="B5884" s="69"/>
    </row>
    <row r="5885" spans="2:2" ht="12.5" hidden="1">
      <c r="B5885" s="69"/>
    </row>
    <row r="5886" spans="2:2" ht="12.5" hidden="1">
      <c r="B5886" s="69"/>
    </row>
    <row r="5887" spans="2:2" ht="12.5" hidden="1">
      <c r="B5887" s="69"/>
    </row>
    <row r="5888" spans="2:2" ht="12.5" hidden="1">
      <c r="B5888" s="69"/>
    </row>
    <row r="5889" spans="2:2" ht="12.5" hidden="1">
      <c r="B5889" s="69"/>
    </row>
    <row r="5890" spans="2:2" ht="12.5" hidden="1">
      <c r="B5890" s="69"/>
    </row>
    <row r="5891" spans="2:2" ht="12.5" hidden="1">
      <c r="B5891" s="69"/>
    </row>
    <row r="5892" spans="2:2" ht="12.5" hidden="1">
      <c r="B5892" s="69"/>
    </row>
    <row r="5893" spans="2:2" ht="12.5" hidden="1">
      <c r="B5893" s="69"/>
    </row>
    <row r="5894" spans="2:2" ht="12.5" hidden="1">
      <c r="B5894" s="69"/>
    </row>
    <row r="5895" spans="2:2" ht="12.5" hidden="1">
      <c r="B5895" s="69"/>
    </row>
    <row r="5896" spans="2:2" ht="12.5" hidden="1">
      <c r="B5896" s="69"/>
    </row>
    <row r="5897" spans="2:2" ht="12.5" hidden="1">
      <c r="B5897" s="69"/>
    </row>
    <row r="5898" spans="2:2" ht="12.5" hidden="1">
      <c r="B5898" s="69"/>
    </row>
    <row r="5899" spans="2:2" ht="12.5" hidden="1">
      <c r="B5899" s="69"/>
    </row>
    <row r="5900" spans="2:2" ht="12.5" hidden="1">
      <c r="B5900" s="69"/>
    </row>
    <row r="5901" spans="2:2" ht="12.5" hidden="1">
      <c r="B5901" s="69"/>
    </row>
    <row r="5902" spans="2:2" ht="12.5" hidden="1">
      <c r="B5902" s="69"/>
    </row>
    <row r="5903" spans="2:2" ht="12.5" hidden="1">
      <c r="B5903" s="69"/>
    </row>
    <row r="5904" spans="2:2" ht="12.5" hidden="1">
      <c r="B5904" s="69"/>
    </row>
    <row r="5905" spans="2:2" ht="12.5" hidden="1">
      <c r="B5905" s="69"/>
    </row>
    <row r="5906" spans="2:2" ht="12.5" hidden="1">
      <c r="B5906" s="69"/>
    </row>
    <row r="5907" spans="2:2" ht="12.5" hidden="1">
      <c r="B5907" s="69"/>
    </row>
    <row r="5908" spans="2:2" ht="12.5" hidden="1">
      <c r="B5908" s="69"/>
    </row>
    <row r="5909" spans="2:2" ht="12.5" hidden="1">
      <c r="B5909" s="69"/>
    </row>
    <row r="5910" spans="2:2" ht="12.5" hidden="1">
      <c r="B5910" s="69"/>
    </row>
    <row r="5911" spans="2:2" ht="12.5" hidden="1">
      <c r="B5911" s="69"/>
    </row>
    <row r="5912" spans="2:2" ht="12.5" hidden="1">
      <c r="B5912" s="69"/>
    </row>
    <row r="5913" spans="2:2" ht="12.5" hidden="1">
      <c r="B5913" s="69"/>
    </row>
    <row r="5914" spans="2:2" ht="12.5" hidden="1">
      <c r="B5914" s="69"/>
    </row>
    <row r="5915" spans="2:2" ht="12.5" hidden="1">
      <c r="B5915" s="69"/>
    </row>
    <row r="5916" spans="2:2" ht="12.5" hidden="1">
      <c r="B5916" s="69"/>
    </row>
    <row r="5917" spans="2:2" ht="12.5" hidden="1">
      <c r="B5917" s="69"/>
    </row>
    <row r="5918" spans="2:2" ht="12.5" hidden="1">
      <c r="B5918" s="69"/>
    </row>
    <row r="5919" spans="2:2" ht="12.5" hidden="1">
      <c r="B5919" s="69"/>
    </row>
    <row r="5920" spans="2:2" ht="12.5" hidden="1">
      <c r="B5920" s="69"/>
    </row>
    <row r="5921" spans="2:2" ht="12.5" hidden="1">
      <c r="B5921" s="69"/>
    </row>
    <row r="5922" spans="2:2" ht="12.5" hidden="1">
      <c r="B5922" s="69"/>
    </row>
    <row r="5923" spans="2:2" ht="12.5" hidden="1">
      <c r="B5923" s="69"/>
    </row>
    <row r="5924" spans="2:2" ht="12.5" hidden="1">
      <c r="B5924" s="69"/>
    </row>
    <row r="5925" spans="2:2" ht="12.5" hidden="1">
      <c r="B5925" s="69"/>
    </row>
    <row r="5926" spans="2:2" ht="12.5" hidden="1">
      <c r="B5926" s="69"/>
    </row>
    <row r="5927" spans="2:2" ht="12.5" hidden="1">
      <c r="B5927" s="69"/>
    </row>
    <row r="5928" spans="2:2" ht="12.5" hidden="1">
      <c r="B5928" s="69"/>
    </row>
    <row r="5929" spans="2:2" ht="12.5" hidden="1">
      <c r="B5929" s="69"/>
    </row>
    <row r="5930" spans="2:2" ht="12.5" hidden="1">
      <c r="B5930" s="69"/>
    </row>
    <row r="5931" spans="2:2" ht="12.5" hidden="1">
      <c r="B5931" s="69"/>
    </row>
    <row r="5932" spans="2:2" ht="12.5" hidden="1">
      <c r="B5932" s="69"/>
    </row>
    <row r="5933" spans="2:2" ht="12.5" hidden="1">
      <c r="B5933" s="69"/>
    </row>
    <row r="5934" spans="2:2" ht="12.5" hidden="1">
      <c r="B5934" s="69"/>
    </row>
    <row r="5935" spans="2:2" ht="12.5" hidden="1">
      <c r="B5935" s="69"/>
    </row>
    <row r="5936" spans="2:2" ht="12.5" hidden="1">
      <c r="B5936" s="69"/>
    </row>
    <row r="5937" spans="2:2" ht="12.5" hidden="1">
      <c r="B5937" s="69"/>
    </row>
    <row r="5938" spans="2:2" ht="12.5" hidden="1">
      <c r="B5938" s="69"/>
    </row>
    <row r="5939" spans="2:2" ht="12.5" hidden="1">
      <c r="B5939" s="69"/>
    </row>
    <row r="5940" spans="2:2" ht="12.5" hidden="1">
      <c r="B5940" s="69"/>
    </row>
    <row r="5941" spans="2:2" ht="12.5" hidden="1">
      <c r="B5941" s="69"/>
    </row>
    <row r="5942" spans="2:2" ht="12.5" hidden="1">
      <c r="B5942" s="69"/>
    </row>
    <row r="5943" spans="2:2" ht="12.5" hidden="1">
      <c r="B5943" s="69"/>
    </row>
    <row r="5944" spans="2:2" ht="12.5" hidden="1">
      <c r="B5944" s="69"/>
    </row>
    <row r="5945" spans="2:2" ht="12.5" hidden="1">
      <c r="B5945" s="69"/>
    </row>
    <row r="5946" spans="2:2" ht="12.5" hidden="1">
      <c r="B5946" s="69"/>
    </row>
    <row r="5947" spans="2:2" ht="12.5" hidden="1">
      <c r="B5947" s="69"/>
    </row>
    <row r="5948" spans="2:2" ht="12.5" hidden="1">
      <c r="B5948" s="69"/>
    </row>
    <row r="5949" spans="2:2" ht="12.5" hidden="1">
      <c r="B5949" s="69"/>
    </row>
    <row r="5950" spans="2:2" ht="12.5" hidden="1">
      <c r="B5950" s="69"/>
    </row>
    <row r="5951" spans="2:2" ht="12.5" hidden="1">
      <c r="B5951" s="69"/>
    </row>
    <row r="5952" spans="2:2" ht="12.5" hidden="1">
      <c r="B5952" s="69"/>
    </row>
    <row r="5953" spans="2:2" ht="12.5" hidden="1">
      <c r="B5953" s="69"/>
    </row>
    <row r="5954" spans="2:2" ht="12.5" hidden="1">
      <c r="B5954" s="69"/>
    </row>
    <row r="5955" spans="2:2" ht="12.5" hidden="1">
      <c r="B5955" s="69"/>
    </row>
    <row r="5956" spans="2:2" ht="12.5" hidden="1">
      <c r="B5956" s="69"/>
    </row>
    <row r="5957" spans="2:2" ht="12.5" hidden="1">
      <c r="B5957" s="69"/>
    </row>
    <row r="5958" spans="2:2" ht="12.5" hidden="1">
      <c r="B5958" s="69"/>
    </row>
    <row r="5959" spans="2:2" ht="12.5" hidden="1">
      <c r="B5959" s="69"/>
    </row>
    <row r="5960" spans="2:2" ht="12.5" hidden="1">
      <c r="B5960" s="69"/>
    </row>
    <row r="5961" spans="2:2" ht="12.5" hidden="1">
      <c r="B5961" s="69"/>
    </row>
    <row r="5962" spans="2:2" ht="12.5" hidden="1">
      <c r="B5962" s="69"/>
    </row>
    <row r="5963" spans="2:2" ht="12.5" hidden="1">
      <c r="B5963" s="69"/>
    </row>
    <row r="5964" spans="2:2" ht="12.5" hidden="1">
      <c r="B5964" s="69"/>
    </row>
    <row r="5965" spans="2:2" ht="12.5" hidden="1">
      <c r="B5965" s="69"/>
    </row>
    <row r="5966" spans="2:2" ht="12.5" hidden="1">
      <c r="B5966" s="69"/>
    </row>
    <row r="5967" spans="2:2" ht="12.5" hidden="1">
      <c r="B5967" s="69"/>
    </row>
    <row r="5968" spans="2:2" ht="12.5" hidden="1">
      <c r="B5968" s="69"/>
    </row>
    <row r="5969" spans="2:2" ht="12.5" hidden="1">
      <c r="B5969" s="69"/>
    </row>
    <row r="5970" spans="2:2" ht="12.5" hidden="1">
      <c r="B5970" s="69"/>
    </row>
    <row r="5971" spans="2:2" ht="12.5" hidden="1">
      <c r="B5971" s="69"/>
    </row>
    <row r="5972" spans="2:2" ht="12.5" hidden="1">
      <c r="B5972" s="69"/>
    </row>
    <row r="5973" spans="2:2" ht="12.5" hidden="1">
      <c r="B5973" s="69"/>
    </row>
    <row r="5974" spans="2:2" ht="12.5" hidden="1">
      <c r="B5974" s="69"/>
    </row>
    <row r="5975" spans="2:2" ht="12.5" hidden="1">
      <c r="B5975" s="69"/>
    </row>
    <row r="5976" spans="2:2" ht="12.5" hidden="1">
      <c r="B5976" s="69"/>
    </row>
    <row r="5977" spans="2:2" ht="12.5" hidden="1">
      <c r="B5977" s="69"/>
    </row>
    <row r="5978" spans="2:2" ht="12.5" hidden="1">
      <c r="B5978" s="69"/>
    </row>
    <row r="5979" spans="2:2" ht="12.5" hidden="1">
      <c r="B5979" s="69"/>
    </row>
    <row r="5980" spans="2:2" ht="12.5" hidden="1">
      <c r="B5980" s="69"/>
    </row>
    <row r="5981" spans="2:2" ht="12.5" hidden="1">
      <c r="B5981" s="69"/>
    </row>
    <row r="5982" spans="2:2" ht="12.5" hidden="1">
      <c r="B5982" s="69"/>
    </row>
    <row r="5983" spans="2:2" ht="12.5" hidden="1">
      <c r="B5983" s="69"/>
    </row>
    <row r="5984" spans="2:2" ht="12.5" hidden="1">
      <c r="B5984" s="69"/>
    </row>
    <row r="5985" spans="2:2" ht="12.5" hidden="1">
      <c r="B5985" s="69"/>
    </row>
    <row r="5986" spans="2:2" ht="12.5" hidden="1">
      <c r="B5986" s="69"/>
    </row>
    <row r="5987" spans="2:2" ht="12.5" hidden="1">
      <c r="B5987" s="69"/>
    </row>
    <row r="5988" spans="2:2" ht="12.5" hidden="1">
      <c r="B5988" s="69"/>
    </row>
    <row r="5989" spans="2:2" ht="12.5" hidden="1">
      <c r="B5989" s="69"/>
    </row>
    <row r="5990" spans="2:2" ht="12.5" hidden="1">
      <c r="B5990" s="69"/>
    </row>
    <row r="5991" spans="2:2" ht="12.5" hidden="1">
      <c r="B5991" s="69"/>
    </row>
    <row r="5992" spans="2:2" ht="12.5" hidden="1">
      <c r="B5992" s="69"/>
    </row>
    <row r="5993" spans="2:2" ht="12.5" hidden="1">
      <c r="B5993" s="69"/>
    </row>
    <row r="5994" spans="2:2" ht="12.5" hidden="1">
      <c r="B5994" s="69"/>
    </row>
    <row r="5995" spans="2:2" ht="12.5" hidden="1">
      <c r="B5995" s="69"/>
    </row>
    <row r="5996" spans="2:2" ht="12.5" hidden="1">
      <c r="B5996" s="69"/>
    </row>
    <row r="5997" spans="2:2" ht="12.5" hidden="1">
      <c r="B5997" s="69"/>
    </row>
    <row r="5998" spans="2:2" ht="12.5" hidden="1">
      <c r="B5998" s="69"/>
    </row>
    <row r="5999" spans="2:2" ht="12.5" hidden="1">
      <c r="B5999" s="69"/>
    </row>
    <row r="6000" spans="2:2" ht="12.5" hidden="1">
      <c r="B6000" s="69"/>
    </row>
    <row r="6001" spans="2:2" ht="12.5" hidden="1">
      <c r="B6001" s="69"/>
    </row>
    <row r="6002" spans="2:2" ht="12.5" hidden="1">
      <c r="B6002" s="69"/>
    </row>
    <row r="6003" spans="2:2" ht="12.5" hidden="1">
      <c r="B6003" s="69"/>
    </row>
    <row r="6004" spans="2:2" ht="12.5" hidden="1">
      <c r="B6004" s="69"/>
    </row>
    <row r="6005" spans="2:2" ht="12.5" hidden="1">
      <c r="B6005" s="69"/>
    </row>
    <row r="6006" spans="2:2" ht="12.5" hidden="1">
      <c r="B6006" s="69"/>
    </row>
    <row r="6007" spans="2:2" ht="12.5" hidden="1">
      <c r="B6007" s="69"/>
    </row>
    <row r="6008" spans="2:2" ht="12.5" hidden="1">
      <c r="B6008" s="69"/>
    </row>
    <row r="6009" spans="2:2" ht="12.5" hidden="1">
      <c r="B6009" s="69"/>
    </row>
    <row r="6010" spans="2:2" ht="12.5" hidden="1">
      <c r="B6010" s="69"/>
    </row>
    <row r="6011" spans="2:2" ht="12.5" hidden="1">
      <c r="B6011" s="69"/>
    </row>
    <row r="6012" spans="2:2" ht="12.5" hidden="1">
      <c r="B6012" s="69"/>
    </row>
    <row r="6013" spans="2:2" ht="12.5" hidden="1">
      <c r="B6013" s="69"/>
    </row>
    <row r="6014" spans="2:2" ht="12.5" hidden="1">
      <c r="B6014" s="69"/>
    </row>
    <row r="6015" spans="2:2" ht="12.5" hidden="1">
      <c r="B6015" s="69"/>
    </row>
    <row r="6016" spans="2:2" ht="12.5" hidden="1">
      <c r="B6016" s="69"/>
    </row>
    <row r="6017" spans="2:2" ht="12.5" hidden="1">
      <c r="B6017" s="69"/>
    </row>
    <row r="6018" spans="2:2" ht="12.5" hidden="1">
      <c r="B6018" s="69"/>
    </row>
    <row r="6019" spans="2:2" ht="12.5" hidden="1">
      <c r="B6019" s="69"/>
    </row>
    <row r="6020" spans="2:2" ht="12.5" hidden="1">
      <c r="B6020" s="69"/>
    </row>
    <row r="6021" spans="2:2" ht="12.5" hidden="1">
      <c r="B6021" s="69"/>
    </row>
    <row r="6022" spans="2:2" ht="12.5" hidden="1">
      <c r="B6022" s="69"/>
    </row>
    <row r="6023" spans="2:2" ht="12.5" hidden="1">
      <c r="B6023" s="69"/>
    </row>
    <row r="6024" spans="2:2" ht="12.5" hidden="1">
      <c r="B6024" s="69"/>
    </row>
    <row r="6025" spans="2:2" ht="12.5" hidden="1">
      <c r="B6025" s="69"/>
    </row>
    <row r="6026" spans="2:2" ht="12.5" hidden="1">
      <c r="B6026" s="69"/>
    </row>
    <row r="6027" spans="2:2" ht="12.5" hidden="1">
      <c r="B6027" s="69"/>
    </row>
    <row r="6028" spans="2:2" ht="12.5" hidden="1">
      <c r="B6028" s="69"/>
    </row>
    <row r="6029" spans="2:2" ht="12.5" hidden="1">
      <c r="B6029" s="69"/>
    </row>
    <row r="6030" spans="2:2" ht="12.5" hidden="1">
      <c r="B6030" s="69"/>
    </row>
    <row r="6031" spans="2:2" ht="12.5" hidden="1">
      <c r="B6031" s="69"/>
    </row>
    <row r="6032" spans="2:2" ht="12.5" hidden="1">
      <c r="B6032" s="69"/>
    </row>
    <row r="6033" spans="2:2" ht="12.5" hidden="1">
      <c r="B6033" s="69"/>
    </row>
    <row r="6034" spans="2:2" ht="12.5" hidden="1">
      <c r="B6034" s="69"/>
    </row>
    <row r="6035" spans="2:2" ht="12.5" hidden="1">
      <c r="B6035" s="69"/>
    </row>
    <row r="6036" spans="2:2" ht="12.5" hidden="1">
      <c r="B6036" s="69"/>
    </row>
    <row r="6037" spans="2:2" ht="12.5" hidden="1">
      <c r="B6037" s="69"/>
    </row>
    <row r="6038" spans="2:2" ht="12.5" hidden="1">
      <c r="B6038" s="69"/>
    </row>
    <row r="6039" spans="2:2" ht="12.5" hidden="1">
      <c r="B6039" s="69"/>
    </row>
    <row r="6040" spans="2:2" ht="12.5" hidden="1">
      <c r="B6040" s="69"/>
    </row>
    <row r="6041" spans="2:2" ht="12.5" hidden="1">
      <c r="B6041" s="69"/>
    </row>
    <row r="6042" spans="2:2" ht="12.5" hidden="1">
      <c r="B6042" s="69"/>
    </row>
    <row r="6043" spans="2:2" ht="12.5" hidden="1">
      <c r="B6043" s="69"/>
    </row>
    <row r="6044" spans="2:2" ht="12.5" hidden="1">
      <c r="B6044" s="69"/>
    </row>
    <row r="6045" spans="2:2" ht="12.5" hidden="1">
      <c r="B6045" s="69"/>
    </row>
    <row r="6046" spans="2:2" ht="12.5" hidden="1">
      <c r="B6046" s="69"/>
    </row>
    <row r="6047" spans="2:2" ht="12.5" hidden="1">
      <c r="B6047" s="69"/>
    </row>
    <row r="6048" spans="2:2" ht="12.5" hidden="1">
      <c r="B6048" s="69"/>
    </row>
    <row r="6049" spans="2:2" ht="12.5" hidden="1">
      <c r="B6049" s="69"/>
    </row>
    <row r="6050" spans="2:2" ht="12.5" hidden="1">
      <c r="B6050" s="69"/>
    </row>
    <row r="6051" spans="2:2" ht="12.5" hidden="1">
      <c r="B6051" s="69"/>
    </row>
    <row r="6052" spans="2:2" ht="12.5" hidden="1">
      <c r="B6052" s="69"/>
    </row>
    <row r="6053" spans="2:2" ht="12.5" hidden="1">
      <c r="B6053" s="69"/>
    </row>
    <row r="6054" spans="2:2" ht="12.5" hidden="1">
      <c r="B6054" s="69"/>
    </row>
    <row r="6055" spans="2:2" ht="12.5" hidden="1">
      <c r="B6055" s="69"/>
    </row>
    <row r="6056" spans="2:2" ht="12.5" hidden="1">
      <c r="B6056" s="69"/>
    </row>
    <row r="6057" spans="2:2" ht="12.5" hidden="1">
      <c r="B6057" s="69"/>
    </row>
    <row r="6058" spans="2:2" ht="12.5" hidden="1">
      <c r="B6058" s="69"/>
    </row>
    <row r="6059" spans="2:2" ht="12.5" hidden="1">
      <c r="B6059" s="69"/>
    </row>
    <row r="6060" spans="2:2" ht="12.5" hidden="1">
      <c r="B6060" s="69"/>
    </row>
    <row r="6061" spans="2:2" ht="12.5" hidden="1">
      <c r="B6061" s="69"/>
    </row>
    <row r="6062" spans="2:2" ht="12.5" hidden="1">
      <c r="B6062" s="69"/>
    </row>
    <row r="6063" spans="2:2" ht="12.5" hidden="1">
      <c r="B6063" s="69"/>
    </row>
    <row r="6064" spans="2:2" ht="12.5" hidden="1">
      <c r="B6064" s="69"/>
    </row>
    <row r="6065" spans="2:2" ht="12.5" hidden="1">
      <c r="B6065" s="69"/>
    </row>
    <row r="6066" spans="2:2" ht="12.5" hidden="1">
      <c r="B6066" s="69"/>
    </row>
    <row r="6067" spans="2:2" ht="12.5" hidden="1">
      <c r="B6067" s="69"/>
    </row>
    <row r="6068" spans="2:2" ht="12.5" hidden="1">
      <c r="B6068" s="69"/>
    </row>
    <row r="6069" spans="2:2" ht="12.5" hidden="1">
      <c r="B6069" s="69"/>
    </row>
    <row r="6070" spans="2:2" ht="12.5" hidden="1">
      <c r="B6070" s="69"/>
    </row>
    <row r="6071" spans="2:2" ht="12.5" hidden="1">
      <c r="B6071" s="69"/>
    </row>
    <row r="6072" spans="2:2" ht="12.5" hidden="1">
      <c r="B6072" s="69"/>
    </row>
    <row r="6073" spans="2:2" ht="12.5" hidden="1">
      <c r="B6073" s="69"/>
    </row>
    <row r="6074" spans="2:2" ht="12.5" hidden="1">
      <c r="B6074" s="69"/>
    </row>
    <row r="6075" spans="2:2" ht="12.5" hidden="1">
      <c r="B6075" s="69"/>
    </row>
    <row r="6076" spans="2:2" ht="12.5" hidden="1">
      <c r="B6076" s="69"/>
    </row>
    <row r="6077" spans="2:2" ht="12.5" hidden="1">
      <c r="B6077" s="69"/>
    </row>
    <row r="6078" spans="2:2" ht="12.5" hidden="1">
      <c r="B6078" s="69"/>
    </row>
    <row r="6079" spans="2:2" ht="12.5" hidden="1">
      <c r="B6079" s="69"/>
    </row>
    <row r="6080" spans="2:2" ht="12.5" hidden="1">
      <c r="B6080" s="69"/>
    </row>
    <row r="6081" spans="2:2" ht="12.5" hidden="1">
      <c r="B6081" s="69"/>
    </row>
    <row r="6082" spans="2:2" ht="12.5" hidden="1">
      <c r="B6082" s="69"/>
    </row>
    <row r="6083" spans="2:2" ht="12.5" hidden="1">
      <c r="B6083" s="69"/>
    </row>
    <row r="6084" spans="2:2" ht="12.5" hidden="1">
      <c r="B6084" s="69"/>
    </row>
    <row r="6085" spans="2:2" ht="12.5" hidden="1">
      <c r="B6085" s="69"/>
    </row>
    <row r="6086" spans="2:2" ht="12.5" hidden="1">
      <c r="B6086" s="69"/>
    </row>
    <row r="6087" spans="2:2" ht="12.5" hidden="1">
      <c r="B6087" s="69"/>
    </row>
    <row r="6088" spans="2:2" ht="12.5" hidden="1">
      <c r="B6088" s="69"/>
    </row>
    <row r="6089" spans="2:2" ht="12.5" hidden="1">
      <c r="B6089" s="69"/>
    </row>
    <row r="6090" spans="2:2" ht="12.5" hidden="1">
      <c r="B6090" s="69"/>
    </row>
    <row r="6091" spans="2:2" ht="12.5" hidden="1">
      <c r="B6091" s="69"/>
    </row>
    <row r="6092" spans="2:2" ht="12.5" hidden="1">
      <c r="B6092" s="69"/>
    </row>
    <row r="6093" spans="2:2" ht="12.5" hidden="1">
      <c r="B6093" s="69"/>
    </row>
    <row r="6094" spans="2:2" ht="12.5" hidden="1">
      <c r="B6094" s="69"/>
    </row>
    <row r="6095" spans="2:2" ht="12.5" hidden="1">
      <c r="B6095" s="69"/>
    </row>
    <row r="6096" spans="2:2" ht="12.5" hidden="1">
      <c r="B6096" s="69"/>
    </row>
    <row r="6097" spans="2:2" ht="12.5" hidden="1">
      <c r="B6097" s="69"/>
    </row>
    <row r="6098" spans="2:2" ht="12.5" hidden="1">
      <c r="B6098" s="69"/>
    </row>
    <row r="6099" spans="2:2" ht="12.5" hidden="1">
      <c r="B6099" s="69"/>
    </row>
    <row r="6100" spans="2:2" ht="12.5" hidden="1">
      <c r="B6100" s="69"/>
    </row>
    <row r="6101" spans="2:2" ht="12.5" hidden="1">
      <c r="B6101" s="69"/>
    </row>
    <row r="6102" spans="2:2" ht="12.5" hidden="1">
      <c r="B6102" s="69"/>
    </row>
    <row r="6103" spans="2:2" ht="12.5" hidden="1">
      <c r="B6103" s="69"/>
    </row>
    <row r="6104" spans="2:2" ht="12.5" hidden="1">
      <c r="B6104" s="69"/>
    </row>
    <row r="6105" spans="2:2" ht="12.5" hidden="1">
      <c r="B6105" s="69"/>
    </row>
    <row r="6106" spans="2:2" ht="12.5" hidden="1">
      <c r="B6106" s="69"/>
    </row>
    <row r="6107" spans="2:2" ht="12.5" hidden="1">
      <c r="B6107" s="69"/>
    </row>
    <row r="6108" spans="2:2" ht="12.5" hidden="1">
      <c r="B6108" s="69"/>
    </row>
    <row r="6109" spans="2:2" ht="12.5" hidden="1">
      <c r="B6109" s="69"/>
    </row>
    <row r="6110" spans="2:2" ht="12.5" hidden="1">
      <c r="B6110" s="69"/>
    </row>
    <row r="6111" spans="2:2" ht="12.5" hidden="1">
      <c r="B6111" s="69"/>
    </row>
    <row r="6112" spans="2:2" ht="12.5" hidden="1">
      <c r="B6112" s="69"/>
    </row>
    <row r="6113" spans="2:2" ht="12.5" hidden="1">
      <c r="B6113" s="69"/>
    </row>
    <row r="6114" spans="2:2" ht="12.5" hidden="1">
      <c r="B6114" s="69"/>
    </row>
    <row r="6115" spans="2:2" ht="12.5" hidden="1">
      <c r="B6115" s="69"/>
    </row>
    <row r="6116" spans="2:2" ht="12.5" hidden="1">
      <c r="B6116" s="69"/>
    </row>
    <row r="6117" spans="2:2" ht="12.5" hidden="1">
      <c r="B6117" s="69"/>
    </row>
    <row r="6118" spans="2:2" ht="12.5" hidden="1">
      <c r="B6118" s="69"/>
    </row>
    <row r="6119" spans="2:2" ht="12.5" hidden="1">
      <c r="B6119" s="69"/>
    </row>
    <row r="6120" spans="2:2" ht="12.5" hidden="1">
      <c r="B6120" s="69"/>
    </row>
    <row r="6121" spans="2:2" ht="12.5" hidden="1">
      <c r="B6121" s="69"/>
    </row>
    <row r="6122" spans="2:2" ht="12.5" hidden="1">
      <c r="B6122" s="69"/>
    </row>
    <row r="6123" spans="2:2" ht="12.5" hidden="1">
      <c r="B6123" s="69"/>
    </row>
    <row r="6124" spans="2:2" ht="12.5" hidden="1">
      <c r="B6124" s="69"/>
    </row>
    <row r="6125" spans="2:2" ht="12.5" hidden="1">
      <c r="B6125" s="69"/>
    </row>
    <row r="6126" spans="2:2" ht="12.5" hidden="1">
      <c r="B6126" s="69"/>
    </row>
    <row r="6127" spans="2:2" ht="12.5" hidden="1">
      <c r="B6127" s="69"/>
    </row>
    <row r="6128" spans="2:2" ht="12.5" hidden="1">
      <c r="B6128" s="69"/>
    </row>
    <row r="6129" spans="2:2" ht="12.5" hidden="1">
      <c r="B6129" s="69"/>
    </row>
    <row r="6130" spans="2:2" ht="12.5" hidden="1">
      <c r="B6130" s="69"/>
    </row>
    <row r="6131" spans="2:2" ht="12.5" hidden="1">
      <c r="B6131" s="69"/>
    </row>
    <row r="6132" spans="2:2" ht="12.5" hidden="1">
      <c r="B6132" s="69"/>
    </row>
    <row r="6133" spans="2:2" ht="12.5" hidden="1">
      <c r="B6133" s="69"/>
    </row>
    <row r="6134" spans="2:2" ht="12.5" hidden="1">
      <c r="B6134" s="69"/>
    </row>
    <row r="6135" spans="2:2" ht="12.5" hidden="1">
      <c r="B6135" s="69"/>
    </row>
    <row r="6136" spans="2:2" ht="12.5" hidden="1">
      <c r="B6136" s="69"/>
    </row>
    <row r="6137" spans="2:2" ht="12.5" hidden="1">
      <c r="B6137" s="69"/>
    </row>
    <row r="6138" spans="2:2" ht="12.5" hidden="1">
      <c r="B6138" s="69"/>
    </row>
    <row r="6139" spans="2:2" ht="12.5" hidden="1">
      <c r="B6139" s="69"/>
    </row>
    <row r="6140" spans="2:2" ht="12.5" hidden="1">
      <c r="B6140" s="69"/>
    </row>
    <row r="6141" spans="2:2" ht="12.5" hidden="1">
      <c r="B6141" s="69"/>
    </row>
    <row r="6142" spans="2:2" ht="12.5" hidden="1">
      <c r="B6142" s="69"/>
    </row>
    <row r="6143" spans="2:2" ht="12.5" hidden="1">
      <c r="B6143" s="69"/>
    </row>
    <row r="6144" spans="2:2" ht="12.5" hidden="1">
      <c r="B6144" s="69"/>
    </row>
    <row r="6145" spans="2:2" ht="12.5" hidden="1">
      <c r="B6145" s="69"/>
    </row>
    <row r="6146" spans="2:2" ht="12.5" hidden="1">
      <c r="B6146" s="69"/>
    </row>
    <row r="6147" spans="2:2" ht="12.5" hidden="1">
      <c r="B6147" s="69"/>
    </row>
    <row r="6148" spans="2:2" ht="12.5" hidden="1">
      <c r="B6148" s="69"/>
    </row>
    <row r="6149" spans="2:2" ht="12.5" hidden="1">
      <c r="B6149" s="69"/>
    </row>
    <row r="6150" spans="2:2" ht="12.5" hidden="1">
      <c r="B6150" s="69"/>
    </row>
    <row r="6151" spans="2:2" ht="12.5" hidden="1">
      <c r="B6151" s="69"/>
    </row>
    <row r="6152" spans="2:2" ht="12.5" hidden="1">
      <c r="B6152" s="69"/>
    </row>
    <row r="6153" spans="2:2" ht="12.5" hidden="1">
      <c r="B6153" s="69"/>
    </row>
    <row r="6154" spans="2:2" ht="12.5" hidden="1">
      <c r="B6154" s="69"/>
    </row>
    <row r="6155" spans="2:2" ht="12.5" hidden="1">
      <c r="B6155" s="69"/>
    </row>
    <row r="6156" spans="2:2" ht="12.5" hidden="1">
      <c r="B6156" s="69"/>
    </row>
    <row r="6157" spans="2:2" ht="12.5" hidden="1">
      <c r="B6157" s="69"/>
    </row>
    <row r="6158" spans="2:2" ht="12.5" hidden="1">
      <c r="B6158" s="69"/>
    </row>
    <row r="6159" spans="2:2" ht="12.5" hidden="1">
      <c r="B6159" s="69"/>
    </row>
    <row r="6160" spans="2:2" ht="12.5" hidden="1">
      <c r="B6160" s="69"/>
    </row>
    <row r="6161" spans="2:2" ht="12.5" hidden="1">
      <c r="B6161" s="69"/>
    </row>
    <row r="6162" spans="2:2" ht="12.5" hidden="1">
      <c r="B6162" s="69"/>
    </row>
    <row r="6163" spans="2:2" ht="12.5" hidden="1">
      <c r="B6163" s="69"/>
    </row>
    <row r="6164" spans="2:2" ht="12.5" hidden="1">
      <c r="B6164" s="69"/>
    </row>
    <row r="6165" spans="2:2" ht="12.5" hidden="1">
      <c r="B6165" s="69"/>
    </row>
    <row r="6166" spans="2:2" ht="12.5" hidden="1">
      <c r="B6166" s="69"/>
    </row>
    <row r="6167" spans="2:2" ht="12.5" hidden="1">
      <c r="B6167" s="69"/>
    </row>
    <row r="6168" spans="2:2" ht="12.5" hidden="1">
      <c r="B6168" s="69"/>
    </row>
    <row r="6169" spans="2:2" ht="12.5" hidden="1">
      <c r="B6169" s="69"/>
    </row>
    <row r="6170" spans="2:2" ht="12.5" hidden="1">
      <c r="B6170" s="69"/>
    </row>
    <row r="6171" spans="2:2" ht="12.5" hidden="1">
      <c r="B6171" s="69"/>
    </row>
    <row r="6172" spans="2:2" ht="12.5" hidden="1">
      <c r="B6172" s="69"/>
    </row>
    <row r="6173" spans="2:2" ht="12.5" hidden="1">
      <c r="B6173" s="69"/>
    </row>
    <row r="6174" spans="2:2" ht="12.5" hidden="1">
      <c r="B6174" s="69"/>
    </row>
    <row r="6175" spans="2:2" ht="12.5" hidden="1">
      <c r="B6175" s="69"/>
    </row>
    <row r="6176" spans="2:2" ht="12.5" hidden="1">
      <c r="B6176" s="69"/>
    </row>
    <row r="6177" spans="2:2" ht="12.5" hidden="1">
      <c r="B6177" s="69"/>
    </row>
    <row r="6178" spans="2:2" ht="12.5" hidden="1">
      <c r="B6178" s="69"/>
    </row>
    <row r="6179" spans="2:2" ht="12.5" hidden="1">
      <c r="B6179" s="69"/>
    </row>
    <row r="6180" spans="2:2" ht="12.5" hidden="1">
      <c r="B6180" s="69"/>
    </row>
    <row r="6181" spans="2:2" ht="12.5" hidden="1">
      <c r="B6181" s="69"/>
    </row>
    <row r="6182" spans="2:2" ht="12.5" hidden="1">
      <c r="B6182" s="69"/>
    </row>
    <row r="6183" spans="2:2" ht="12.5" hidden="1">
      <c r="B6183" s="69"/>
    </row>
    <row r="6184" spans="2:2" ht="12.5" hidden="1">
      <c r="B6184" s="69"/>
    </row>
    <row r="6185" spans="2:2" ht="12.5" hidden="1">
      <c r="B6185" s="69"/>
    </row>
    <row r="6186" spans="2:2" ht="12.5" hidden="1">
      <c r="B6186" s="69"/>
    </row>
    <row r="6187" spans="2:2" ht="12.5" hidden="1">
      <c r="B6187" s="69"/>
    </row>
    <row r="6188" spans="2:2" ht="12.5" hidden="1">
      <c r="B6188" s="69"/>
    </row>
    <row r="6189" spans="2:2" ht="12.5" hidden="1">
      <c r="B6189" s="69"/>
    </row>
    <row r="6190" spans="2:2" ht="12.5" hidden="1">
      <c r="B6190" s="69"/>
    </row>
    <row r="6191" spans="2:2" ht="12.5" hidden="1">
      <c r="B6191" s="69"/>
    </row>
    <row r="6192" spans="2:2" ht="12.5" hidden="1">
      <c r="B6192" s="69"/>
    </row>
    <row r="6193" spans="2:2" ht="12.5" hidden="1">
      <c r="B6193" s="69"/>
    </row>
    <row r="6194" spans="2:2" ht="12.5" hidden="1">
      <c r="B6194" s="69"/>
    </row>
    <row r="6195" spans="2:2" ht="12.5" hidden="1">
      <c r="B6195" s="69"/>
    </row>
    <row r="6196" spans="2:2" ht="12.5" hidden="1">
      <c r="B6196" s="69"/>
    </row>
    <row r="6197" spans="2:2" ht="12.5" hidden="1">
      <c r="B6197" s="69"/>
    </row>
    <row r="6198" spans="2:2" ht="12.5" hidden="1">
      <c r="B6198" s="69"/>
    </row>
    <row r="6199" spans="2:2" ht="12.5" hidden="1">
      <c r="B6199" s="69"/>
    </row>
    <row r="6200" spans="2:2" ht="12.5" hidden="1">
      <c r="B6200" s="69"/>
    </row>
    <row r="6201" spans="2:2" ht="12.5" hidden="1">
      <c r="B6201" s="69"/>
    </row>
    <row r="6202" spans="2:2" ht="12.5" hidden="1">
      <c r="B6202" s="69"/>
    </row>
    <row r="6203" spans="2:2" ht="12.5" hidden="1">
      <c r="B6203" s="69"/>
    </row>
    <row r="6204" spans="2:2" ht="12.5" hidden="1">
      <c r="B6204" s="69"/>
    </row>
    <row r="6205" spans="2:2" ht="12.5" hidden="1">
      <c r="B6205" s="69"/>
    </row>
    <row r="6206" spans="2:2" ht="12.5" hidden="1">
      <c r="B6206" s="69"/>
    </row>
    <row r="6207" spans="2:2" ht="12.5" hidden="1">
      <c r="B6207" s="69"/>
    </row>
    <row r="6208" spans="2:2" ht="12.5" hidden="1">
      <c r="B6208" s="69"/>
    </row>
    <row r="6209" spans="2:2" ht="12.5" hidden="1">
      <c r="B6209" s="69"/>
    </row>
    <row r="6210" spans="2:2" ht="12.5" hidden="1">
      <c r="B6210" s="69"/>
    </row>
    <row r="6211" spans="2:2" ht="12.5" hidden="1">
      <c r="B6211" s="69"/>
    </row>
    <row r="6212" spans="2:2" ht="12.5" hidden="1">
      <c r="B6212" s="69"/>
    </row>
    <row r="6213" spans="2:2" ht="12.5" hidden="1">
      <c r="B6213" s="69"/>
    </row>
    <row r="6214" spans="2:2" ht="12.5" hidden="1">
      <c r="B6214" s="69"/>
    </row>
    <row r="6215" spans="2:2" ht="12.5" hidden="1">
      <c r="B6215" s="69"/>
    </row>
    <row r="6216" spans="2:2" ht="12.5" hidden="1">
      <c r="B6216" s="69"/>
    </row>
    <row r="6217" spans="2:2" ht="12.5" hidden="1">
      <c r="B6217" s="69"/>
    </row>
    <row r="6218" spans="2:2" ht="12.5" hidden="1">
      <c r="B6218" s="69"/>
    </row>
    <row r="6219" spans="2:2" ht="12.5" hidden="1">
      <c r="B6219" s="69"/>
    </row>
    <row r="6220" spans="2:2" ht="12.5" hidden="1">
      <c r="B6220" s="69"/>
    </row>
    <row r="6221" spans="2:2" ht="12.5" hidden="1">
      <c r="B6221" s="69"/>
    </row>
    <row r="6222" spans="2:2" ht="12.5" hidden="1">
      <c r="B6222" s="69"/>
    </row>
    <row r="6223" spans="2:2" ht="12.5" hidden="1">
      <c r="B6223" s="69"/>
    </row>
    <row r="6224" spans="2:2" ht="12.5" hidden="1">
      <c r="B6224" s="69"/>
    </row>
    <row r="6225" spans="2:2" ht="12.5" hidden="1">
      <c r="B6225" s="69"/>
    </row>
    <row r="6226" spans="2:2" ht="12.5" hidden="1">
      <c r="B6226" s="69"/>
    </row>
    <row r="6227" spans="2:2" ht="12.5" hidden="1">
      <c r="B6227" s="69"/>
    </row>
    <row r="6228" spans="2:2" ht="12.5" hidden="1">
      <c r="B6228" s="69"/>
    </row>
    <row r="6229" spans="2:2" ht="12.5" hidden="1">
      <c r="B6229" s="69"/>
    </row>
    <row r="6230" spans="2:2" ht="12.5" hidden="1">
      <c r="B6230" s="69"/>
    </row>
    <row r="6231" spans="2:2" ht="12.5" hidden="1">
      <c r="B6231" s="69"/>
    </row>
    <row r="6232" spans="2:2" ht="12.5" hidden="1">
      <c r="B6232" s="69"/>
    </row>
    <row r="6233" spans="2:2" ht="12.5" hidden="1">
      <c r="B6233" s="69"/>
    </row>
    <row r="6234" spans="2:2" ht="12.5" hidden="1">
      <c r="B6234" s="69"/>
    </row>
    <row r="6235" spans="2:2" ht="12.5" hidden="1">
      <c r="B6235" s="69"/>
    </row>
    <row r="6236" spans="2:2" ht="12.5" hidden="1">
      <c r="B6236" s="69"/>
    </row>
    <row r="6237" spans="2:2" ht="12.5" hidden="1">
      <c r="B6237" s="69"/>
    </row>
    <row r="6238" spans="2:2" ht="12.5" hidden="1">
      <c r="B6238" s="69"/>
    </row>
    <row r="6239" spans="2:2" ht="12.5" hidden="1">
      <c r="B6239" s="69"/>
    </row>
    <row r="6240" spans="2:2" ht="12.5" hidden="1">
      <c r="B6240" s="69"/>
    </row>
    <row r="6241" spans="2:2" ht="12.5" hidden="1">
      <c r="B6241" s="69"/>
    </row>
    <row r="6242" spans="2:2" ht="12.5" hidden="1">
      <c r="B6242" s="69"/>
    </row>
    <row r="6243" spans="2:2" ht="12.5" hidden="1">
      <c r="B6243" s="69"/>
    </row>
    <row r="6244" spans="2:2" ht="12.5" hidden="1">
      <c r="B6244" s="69"/>
    </row>
    <row r="6245" spans="2:2" ht="12.5" hidden="1">
      <c r="B6245" s="69"/>
    </row>
    <row r="6246" spans="2:2" ht="12.5" hidden="1">
      <c r="B6246" s="69"/>
    </row>
    <row r="6247" spans="2:2" ht="12.5" hidden="1">
      <c r="B6247" s="69"/>
    </row>
    <row r="6248" spans="2:2" ht="12.5" hidden="1">
      <c r="B6248" s="69"/>
    </row>
    <row r="6249" spans="2:2" ht="12.5" hidden="1">
      <c r="B6249" s="69"/>
    </row>
    <row r="6250" spans="2:2" ht="12.5" hidden="1">
      <c r="B6250" s="69"/>
    </row>
    <row r="6251" spans="2:2" ht="12.5" hidden="1">
      <c r="B6251" s="69"/>
    </row>
    <row r="6252" spans="2:2" ht="12.5" hidden="1">
      <c r="B6252" s="69"/>
    </row>
    <row r="6253" spans="2:2" ht="12.5" hidden="1">
      <c r="B6253" s="69"/>
    </row>
    <row r="6254" spans="2:2" ht="12.5" hidden="1">
      <c r="B6254" s="69"/>
    </row>
    <row r="6255" spans="2:2" ht="12.5" hidden="1">
      <c r="B6255" s="69"/>
    </row>
    <row r="6256" spans="2:2" ht="12.5" hidden="1">
      <c r="B6256" s="69"/>
    </row>
    <row r="6257" spans="2:2" ht="12.5" hidden="1">
      <c r="B6257" s="69"/>
    </row>
    <row r="6258" spans="2:2" ht="12.5" hidden="1">
      <c r="B6258" s="69"/>
    </row>
    <row r="6259" spans="2:2" ht="12.5" hidden="1">
      <c r="B6259" s="69"/>
    </row>
    <row r="6260" spans="2:2" ht="12.5" hidden="1">
      <c r="B6260" s="69"/>
    </row>
    <row r="6261" spans="2:2" ht="12.5" hidden="1">
      <c r="B6261" s="69"/>
    </row>
    <row r="6262" spans="2:2" ht="12.5" hidden="1">
      <c r="B6262" s="69"/>
    </row>
    <row r="6263" spans="2:2" ht="12.5" hidden="1">
      <c r="B6263" s="69"/>
    </row>
    <row r="6264" spans="2:2" ht="12.5" hidden="1">
      <c r="B6264" s="69"/>
    </row>
    <row r="6265" spans="2:2" ht="12.5" hidden="1">
      <c r="B6265" s="69"/>
    </row>
    <row r="6266" spans="2:2" ht="12.5" hidden="1">
      <c r="B6266" s="69"/>
    </row>
    <row r="6267" spans="2:2" ht="12.5" hidden="1">
      <c r="B6267" s="69"/>
    </row>
    <row r="6268" spans="2:2" ht="12.5" hidden="1">
      <c r="B6268" s="69"/>
    </row>
    <row r="6269" spans="2:2" ht="12.5" hidden="1">
      <c r="B6269" s="69"/>
    </row>
    <row r="6270" spans="2:2" ht="12.5" hidden="1">
      <c r="B6270" s="69"/>
    </row>
    <row r="6271" spans="2:2" ht="12.5" hidden="1">
      <c r="B6271" s="69"/>
    </row>
    <row r="6272" spans="2:2" ht="12.5" hidden="1">
      <c r="B6272" s="69"/>
    </row>
    <row r="6273" spans="2:2" ht="12.5" hidden="1">
      <c r="B6273" s="69"/>
    </row>
    <row r="6274" spans="2:2" ht="12.5" hidden="1">
      <c r="B6274" s="69"/>
    </row>
    <row r="6275" spans="2:2" ht="12.5" hidden="1">
      <c r="B6275" s="69"/>
    </row>
    <row r="6276" spans="2:2" ht="12.5" hidden="1">
      <c r="B6276" s="69"/>
    </row>
    <row r="6277" spans="2:2" ht="12.5" hidden="1">
      <c r="B6277" s="69"/>
    </row>
    <row r="6278" spans="2:2" ht="12.5" hidden="1">
      <c r="B6278" s="69"/>
    </row>
    <row r="6279" spans="2:2" ht="12.5" hidden="1">
      <c r="B6279" s="69"/>
    </row>
    <row r="6280" spans="2:2" ht="12.5" hidden="1">
      <c r="B6280" s="69"/>
    </row>
    <row r="6281" spans="2:2" ht="12.5" hidden="1">
      <c r="B6281" s="69"/>
    </row>
    <row r="6282" spans="2:2" ht="12.5" hidden="1">
      <c r="B6282" s="69"/>
    </row>
    <row r="6283" spans="2:2" ht="12.5" hidden="1">
      <c r="B6283" s="69"/>
    </row>
    <row r="6284" spans="2:2" ht="12.5" hidden="1">
      <c r="B6284" s="69"/>
    </row>
    <row r="6285" spans="2:2" ht="12.5" hidden="1">
      <c r="B6285" s="69"/>
    </row>
    <row r="6286" spans="2:2" ht="12.5" hidden="1">
      <c r="B6286" s="69"/>
    </row>
    <row r="6287" spans="2:2" ht="12.5" hidden="1">
      <c r="B6287" s="69"/>
    </row>
    <row r="6288" spans="2:2" ht="12.5" hidden="1">
      <c r="B6288" s="69"/>
    </row>
    <row r="6289" spans="2:2" ht="12.5" hidden="1">
      <c r="B6289" s="69"/>
    </row>
    <row r="6290" spans="2:2" ht="12.5" hidden="1">
      <c r="B6290" s="69"/>
    </row>
    <row r="6291" spans="2:2" ht="12.5" hidden="1">
      <c r="B6291" s="69"/>
    </row>
    <row r="6292" spans="2:2" ht="12.5" hidden="1">
      <c r="B6292" s="69"/>
    </row>
    <row r="6293" spans="2:2" ht="12.5" hidden="1">
      <c r="B6293" s="69"/>
    </row>
    <row r="6294" spans="2:2" ht="12.5" hidden="1">
      <c r="B6294" s="69"/>
    </row>
    <row r="6295" spans="2:2" ht="12.5" hidden="1">
      <c r="B6295" s="69"/>
    </row>
    <row r="6296" spans="2:2" ht="12.5" hidden="1">
      <c r="B6296" s="69"/>
    </row>
    <row r="6297" spans="2:2" ht="12.5" hidden="1">
      <c r="B6297" s="69"/>
    </row>
    <row r="6298" spans="2:2" ht="12.5" hidden="1">
      <c r="B6298" s="69"/>
    </row>
    <row r="6299" spans="2:2" ht="12.5" hidden="1">
      <c r="B6299" s="69"/>
    </row>
    <row r="6300" spans="2:2" ht="12.5" hidden="1">
      <c r="B6300" s="69"/>
    </row>
    <row r="6301" spans="2:2" ht="12.5" hidden="1">
      <c r="B6301" s="69"/>
    </row>
    <row r="6302" spans="2:2" ht="12.5" hidden="1">
      <c r="B6302" s="69"/>
    </row>
    <row r="6303" spans="2:2" ht="12.5" hidden="1">
      <c r="B6303" s="69"/>
    </row>
    <row r="6304" spans="2:2" ht="12.5" hidden="1">
      <c r="B6304" s="69"/>
    </row>
    <row r="6305" spans="2:2" ht="12.5" hidden="1">
      <c r="B6305" s="69"/>
    </row>
    <row r="6306" spans="2:2" ht="12.5" hidden="1">
      <c r="B6306" s="69"/>
    </row>
    <row r="6307" spans="2:2" ht="12.5" hidden="1">
      <c r="B6307" s="69"/>
    </row>
    <row r="6308" spans="2:2" ht="12.5" hidden="1">
      <c r="B6308" s="69"/>
    </row>
    <row r="6309" spans="2:2" ht="12.5" hidden="1">
      <c r="B6309" s="69"/>
    </row>
    <row r="6310" spans="2:2" ht="12.5" hidden="1">
      <c r="B6310" s="69"/>
    </row>
    <row r="6311" spans="2:2" ht="12.5" hidden="1">
      <c r="B6311" s="69"/>
    </row>
    <row r="6312" spans="2:2" ht="12.5" hidden="1">
      <c r="B6312" s="69"/>
    </row>
    <row r="6313" spans="2:2" ht="12.5" hidden="1">
      <c r="B6313" s="69"/>
    </row>
    <row r="6314" spans="2:2" ht="12.5" hidden="1">
      <c r="B6314" s="69"/>
    </row>
    <row r="6315" spans="2:2" ht="12.5" hidden="1">
      <c r="B6315" s="69"/>
    </row>
    <row r="6316" spans="2:2" ht="12.5" hidden="1">
      <c r="B6316" s="69"/>
    </row>
    <row r="6317" spans="2:2" ht="12.5" hidden="1">
      <c r="B6317" s="69"/>
    </row>
    <row r="6318" spans="2:2" ht="12.5" hidden="1">
      <c r="B6318" s="69"/>
    </row>
    <row r="6319" spans="2:2" ht="12.5" hidden="1">
      <c r="B6319" s="69"/>
    </row>
    <row r="6320" spans="2:2" ht="12.5" hidden="1">
      <c r="B6320" s="69"/>
    </row>
    <row r="6321" spans="2:2" ht="12.5" hidden="1">
      <c r="B6321" s="69"/>
    </row>
    <row r="6322" spans="2:2" ht="12.5" hidden="1">
      <c r="B6322" s="69"/>
    </row>
    <row r="6323" spans="2:2" ht="12.5" hidden="1">
      <c r="B6323" s="69"/>
    </row>
    <row r="6324" spans="2:2" ht="12.5" hidden="1">
      <c r="B6324" s="69"/>
    </row>
    <row r="6325" spans="2:2" ht="12.5" hidden="1">
      <c r="B6325" s="69"/>
    </row>
    <row r="6326" spans="2:2" ht="12.5" hidden="1">
      <c r="B6326" s="69"/>
    </row>
    <row r="6327" spans="2:2" ht="12.5" hidden="1">
      <c r="B6327" s="69"/>
    </row>
    <row r="6328" spans="2:2" ht="12.5" hidden="1">
      <c r="B6328" s="69"/>
    </row>
    <row r="6329" spans="2:2" ht="12.5" hidden="1">
      <c r="B6329" s="69"/>
    </row>
    <row r="6330" spans="2:2" ht="12.5" hidden="1">
      <c r="B6330" s="69"/>
    </row>
    <row r="6331" spans="2:2" ht="12.5" hidden="1">
      <c r="B6331" s="69"/>
    </row>
    <row r="6332" spans="2:2" ht="12.5" hidden="1">
      <c r="B6332" s="69"/>
    </row>
    <row r="6333" spans="2:2" ht="12.5" hidden="1">
      <c r="B6333" s="69"/>
    </row>
    <row r="6334" spans="2:2" ht="12.5" hidden="1">
      <c r="B6334" s="69"/>
    </row>
    <row r="6335" spans="2:2" ht="12.5" hidden="1">
      <c r="B6335" s="69"/>
    </row>
    <row r="6336" spans="2:2" ht="12.5" hidden="1">
      <c r="B6336" s="69"/>
    </row>
    <row r="6337" spans="2:2" ht="12.5" hidden="1">
      <c r="B6337" s="69"/>
    </row>
    <row r="6338" spans="2:2" ht="12.5" hidden="1">
      <c r="B6338" s="69"/>
    </row>
    <row r="6339" spans="2:2" ht="12.5" hidden="1">
      <c r="B6339" s="69"/>
    </row>
    <row r="6340" spans="2:2" ht="12.5" hidden="1">
      <c r="B6340" s="69"/>
    </row>
    <row r="6341" spans="2:2" ht="12.5" hidden="1">
      <c r="B6341" s="69"/>
    </row>
    <row r="6342" spans="2:2" ht="12.5" hidden="1">
      <c r="B6342" s="69"/>
    </row>
    <row r="6343" spans="2:2" ht="12.5" hidden="1">
      <c r="B6343" s="69"/>
    </row>
    <row r="6344" spans="2:2" ht="12.5" hidden="1">
      <c r="B6344" s="69"/>
    </row>
    <row r="6345" spans="2:2" ht="12.5" hidden="1">
      <c r="B6345" s="69"/>
    </row>
    <row r="6346" spans="2:2" ht="12.5" hidden="1">
      <c r="B6346" s="69"/>
    </row>
    <row r="6347" spans="2:2" ht="12.5" hidden="1">
      <c r="B6347" s="69"/>
    </row>
    <row r="6348" spans="2:2" ht="12.5" hidden="1">
      <c r="B6348" s="69"/>
    </row>
    <row r="6349" spans="2:2" ht="12.5" hidden="1">
      <c r="B6349" s="69"/>
    </row>
    <row r="6350" spans="2:2" ht="12.5" hidden="1">
      <c r="B6350" s="69"/>
    </row>
    <row r="6351" spans="2:2" ht="12.5" hidden="1">
      <c r="B6351" s="69"/>
    </row>
    <row r="6352" spans="2:2" ht="12.5" hidden="1">
      <c r="B6352" s="69"/>
    </row>
    <row r="6353" spans="2:2" ht="12.5" hidden="1">
      <c r="B6353" s="69"/>
    </row>
    <row r="6354" spans="2:2" ht="12.5" hidden="1">
      <c r="B6354" s="69"/>
    </row>
    <row r="6355" spans="2:2" ht="12.5" hidden="1">
      <c r="B6355" s="69"/>
    </row>
    <row r="6356" spans="2:2" ht="12.5" hidden="1">
      <c r="B6356" s="69"/>
    </row>
    <row r="6357" spans="2:2" ht="12.5" hidden="1">
      <c r="B6357" s="69"/>
    </row>
    <row r="6358" spans="2:2" ht="12.5" hidden="1">
      <c r="B6358" s="69"/>
    </row>
    <row r="6359" spans="2:2" ht="12.5" hidden="1">
      <c r="B6359" s="69"/>
    </row>
    <row r="6360" spans="2:2" ht="12.5" hidden="1">
      <c r="B6360" s="69"/>
    </row>
    <row r="6361" spans="2:2" ht="12.5" hidden="1">
      <c r="B6361" s="69"/>
    </row>
    <row r="6362" spans="2:2" ht="12.5" hidden="1">
      <c r="B6362" s="69"/>
    </row>
    <row r="6363" spans="2:2" ht="12.5" hidden="1">
      <c r="B6363" s="69"/>
    </row>
    <row r="6364" spans="2:2" ht="12.5" hidden="1">
      <c r="B6364" s="69"/>
    </row>
    <row r="6365" spans="2:2" ht="12.5" hidden="1">
      <c r="B6365" s="69"/>
    </row>
    <row r="6366" spans="2:2" ht="12.5" hidden="1">
      <c r="B6366" s="69"/>
    </row>
    <row r="6367" spans="2:2" ht="12.5" hidden="1">
      <c r="B6367" s="69"/>
    </row>
    <row r="6368" spans="2:2" ht="12.5" hidden="1">
      <c r="B6368" s="69"/>
    </row>
    <row r="6369" spans="2:2" ht="12.5" hidden="1">
      <c r="B6369" s="69"/>
    </row>
    <row r="6370" spans="2:2" ht="12.5" hidden="1">
      <c r="B6370" s="69"/>
    </row>
    <row r="6371" spans="2:2" ht="12.5" hidden="1">
      <c r="B6371" s="69"/>
    </row>
    <row r="6372" spans="2:2" ht="12.5" hidden="1">
      <c r="B6372" s="69"/>
    </row>
    <row r="6373" spans="2:2" ht="12.5" hidden="1">
      <c r="B6373" s="69"/>
    </row>
    <row r="6374" spans="2:2" ht="12.5" hidden="1">
      <c r="B6374" s="69"/>
    </row>
    <row r="6375" spans="2:2" ht="12.5" hidden="1">
      <c r="B6375" s="69"/>
    </row>
    <row r="6376" spans="2:2" ht="12.5" hidden="1">
      <c r="B6376" s="69"/>
    </row>
    <row r="6377" spans="2:2" ht="12.5" hidden="1">
      <c r="B6377" s="69"/>
    </row>
    <row r="6378" spans="2:2" ht="12.5" hidden="1">
      <c r="B6378" s="69"/>
    </row>
    <row r="6379" spans="2:2" ht="12.5" hidden="1">
      <c r="B6379" s="69"/>
    </row>
    <row r="6380" spans="2:2" ht="12.5" hidden="1">
      <c r="B6380" s="69"/>
    </row>
    <row r="6381" spans="2:2" ht="12.5" hidden="1">
      <c r="B6381" s="69"/>
    </row>
    <row r="6382" spans="2:2" ht="12.5" hidden="1">
      <c r="B6382" s="69"/>
    </row>
    <row r="6383" spans="2:2" ht="12.5" hidden="1">
      <c r="B6383" s="69"/>
    </row>
    <row r="6384" spans="2:2" ht="12.5" hidden="1">
      <c r="B6384" s="69"/>
    </row>
    <row r="6385" spans="2:2" ht="12.5" hidden="1">
      <c r="B6385" s="69"/>
    </row>
    <row r="6386" spans="2:2" ht="12.5" hidden="1">
      <c r="B6386" s="69"/>
    </row>
    <row r="6387" spans="2:2" ht="12.5" hidden="1">
      <c r="B6387" s="69"/>
    </row>
    <row r="6388" spans="2:2" ht="12.5" hidden="1">
      <c r="B6388" s="69"/>
    </row>
    <row r="6389" spans="2:2" ht="12.5" hidden="1">
      <c r="B6389" s="69"/>
    </row>
    <row r="6390" spans="2:2" ht="12.5" hidden="1">
      <c r="B6390" s="69"/>
    </row>
    <row r="6391" spans="2:2" ht="12.5" hidden="1">
      <c r="B6391" s="69"/>
    </row>
    <row r="6392" spans="2:2" ht="12.5" hidden="1">
      <c r="B6392" s="69"/>
    </row>
    <row r="6393" spans="2:2" ht="12.5" hidden="1">
      <c r="B6393" s="69"/>
    </row>
    <row r="6394" spans="2:2" ht="12.5" hidden="1">
      <c r="B6394" s="69"/>
    </row>
    <row r="6395" spans="2:2" ht="12.5" hidden="1">
      <c r="B6395" s="69"/>
    </row>
    <row r="6396" spans="2:2" ht="12.5" hidden="1">
      <c r="B6396" s="69"/>
    </row>
    <row r="6397" spans="2:2" ht="12.5" hidden="1">
      <c r="B6397" s="69"/>
    </row>
    <row r="6398" spans="2:2" ht="12.5" hidden="1">
      <c r="B6398" s="69"/>
    </row>
    <row r="6399" spans="2:2" ht="12.5" hidden="1">
      <c r="B6399" s="69"/>
    </row>
    <row r="6400" spans="2:2" ht="12.5" hidden="1">
      <c r="B6400" s="69"/>
    </row>
    <row r="6401" spans="2:2" ht="12.5" hidden="1">
      <c r="B6401" s="69"/>
    </row>
    <row r="6402" spans="2:2" ht="12.5" hidden="1">
      <c r="B6402" s="69"/>
    </row>
    <row r="6403" spans="2:2" ht="12.5" hidden="1">
      <c r="B6403" s="69"/>
    </row>
    <row r="6404" spans="2:2" ht="12.5" hidden="1">
      <c r="B6404" s="69"/>
    </row>
    <row r="6405" spans="2:2" ht="12.5" hidden="1">
      <c r="B6405" s="69"/>
    </row>
    <row r="6406" spans="2:2" ht="12.5" hidden="1">
      <c r="B6406" s="69"/>
    </row>
    <row r="6407" spans="2:2" ht="12.5" hidden="1">
      <c r="B6407" s="69"/>
    </row>
    <row r="6408" spans="2:2" ht="12.5" hidden="1">
      <c r="B6408" s="69"/>
    </row>
    <row r="6409" spans="2:2" ht="12.5" hidden="1">
      <c r="B6409" s="69"/>
    </row>
    <row r="6410" spans="2:2" ht="12.5" hidden="1">
      <c r="B6410" s="69"/>
    </row>
    <row r="6411" spans="2:2" ht="12.5" hidden="1">
      <c r="B6411" s="69"/>
    </row>
    <row r="6412" spans="2:2" ht="12.5" hidden="1">
      <c r="B6412" s="69"/>
    </row>
    <row r="6413" spans="2:2" ht="12.5" hidden="1">
      <c r="B6413" s="69"/>
    </row>
    <row r="6414" spans="2:2" ht="12.5" hidden="1">
      <c r="B6414" s="69"/>
    </row>
    <row r="6415" spans="2:2" ht="12.5" hidden="1">
      <c r="B6415" s="69"/>
    </row>
    <row r="6416" spans="2:2" ht="12.5" hidden="1">
      <c r="B6416" s="69"/>
    </row>
    <row r="6417" spans="2:2" ht="12.5" hidden="1">
      <c r="B6417" s="69"/>
    </row>
    <row r="6418" spans="2:2" ht="12.5" hidden="1">
      <c r="B6418" s="69"/>
    </row>
    <row r="6419" spans="2:2" ht="12.5" hidden="1">
      <c r="B6419" s="69"/>
    </row>
    <row r="6420" spans="2:2" ht="12.5" hidden="1">
      <c r="B6420" s="69"/>
    </row>
    <row r="6421" spans="2:2" ht="12.5" hidden="1">
      <c r="B6421" s="69"/>
    </row>
    <row r="6422" spans="2:2" ht="12.5" hidden="1">
      <c r="B6422" s="69"/>
    </row>
    <row r="6423" spans="2:2" ht="12.5" hidden="1">
      <c r="B6423" s="69"/>
    </row>
    <row r="6424" spans="2:2" ht="12.5" hidden="1">
      <c r="B6424" s="69"/>
    </row>
    <row r="6425" spans="2:2" ht="12.5" hidden="1">
      <c r="B6425" s="69"/>
    </row>
    <row r="6426" spans="2:2" ht="12.5" hidden="1">
      <c r="B6426" s="69"/>
    </row>
    <row r="6427" spans="2:2" ht="12.5" hidden="1">
      <c r="B6427" s="69"/>
    </row>
    <row r="6428" spans="2:2" ht="12.5" hidden="1">
      <c r="B6428" s="69"/>
    </row>
    <row r="6429" spans="2:2" ht="12.5" hidden="1">
      <c r="B6429" s="69"/>
    </row>
    <row r="6430" spans="2:2" ht="12.5" hidden="1">
      <c r="B6430" s="69"/>
    </row>
    <row r="6431" spans="2:2" ht="12.5" hidden="1">
      <c r="B6431" s="69"/>
    </row>
    <row r="6432" spans="2:2" ht="12.5" hidden="1">
      <c r="B6432" s="69"/>
    </row>
    <row r="6433" spans="2:2" ht="12.5" hidden="1">
      <c r="B6433" s="69"/>
    </row>
    <row r="6434" spans="2:2" ht="12.5" hidden="1">
      <c r="B6434" s="69"/>
    </row>
    <row r="6435" spans="2:2" ht="12.5" hidden="1">
      <c r="B6435" s="69"/>
    </row>
    <row r="6436" spans="2:2" ht="12.5" hidden="1">
      <c r="B6436" s="69"/>
    </row>
    <row r="6437" spans="2:2" ht="12.5" hidden="1">
      <c r="B6437" s="69"/>
    </row>
    <row r="6438" spans="2:2" ht="12.5" hidden="1">
      <c r="B6438" s="69"/>
    </row>
    <row r="6439" spans="2:2" ht="12.5" hidden="1">
      <c r="B6439" s="69"/>
    </row>
    <row r="6440" spans="2:2" ht="12.5" hidden="1">
      <c r="B6440" s="69"/>
    </row>
    <row r="6441" spans="2:2" ht="12.5" hidden="1">
      <c r="B6441" s="69"/>
    </row>
    <row r="6442" spans="2:2" ht="12.5" hidden="1">
      <c r="B6442" s="69"/>
    </row>
    <row r="6443" spans="2:2" ht="12.5" hidden="1">
      <c r="B6443" s="69"/>
    </row>
    <row r="6444" spans="2:2" ht="12.5" hidden="1">
      <c r="B6444" s="69"/>
    </row>
    <row r="6445" spans="2:2" ht="12.5" hidden="1">
      <c r="B6445" s="69"/>
    </row>
    <row r="6446" spans="2:2" ht="12.5" hidden="1">
      <c r="B6446" s="69"/>
    </row>
    <row r="6447" spans="2:2" ht="12.5" hidden="1">
      <c r="B6447" s="69"/>
    </row>
    <row r="6448" spans="2:2" ht="12.5" hidden="1">
      <c r="B6448" s="69"/>
    </row>
    <row r="6449" spans="2:2" ht="12.5" hidden="1">
      <c r="B6449" s="69"/>
    </row>
    <row r="6450" spans="2:2" ht="12.5" hidden="1">
      <c r="B6450" s="69"/>
    </row>
    <row r="6451" spans="2:2" ht="12.5" hidden="1">
      <c r="B6451" s="69"/>
    </row>
    <row r="6452" spans="2:2" ht="12.5" hidden="1">
      <c r="B6452" s="69"/>
    </row>
    <row r="6453" spans="2:2" ht="12.5" hidden="1">
      <c r="B6453" s="69"/>
    </row>
    <row r="6454" spans="2:2" ht="12.5" hidden="1">
      <c r="B6454" s="69"/>
    </row>
    <row r="6455" spans="2:2" ht="12.5" hidden="1">
      <c r="B6455" s="69"/>
    </row>
    <row r="6456" spans="2:2" ht="12.5" hidden="1">
      <c r="B6456" s="69"/>
    </row>
    <row r="6457" spans="2:2" ht="12.5" hidden="1">
      <c r="B6457" s="69"/>
    </row>
    <row r="6458" spans="2:2" ht="12.5" hidden="1">
      <c r="B6458" s="69"/>
    </row>
    <row r="6459" spans="2:2" ht="12.5" hidden="1">
      <c r="B6459" s="69"/>
    </row>
    <row r="6460" spans="2:2" ht="12.5" hidden="1">
      <c r="B6460" s="69"/>
    </row>
    <row r="6461" spans="2:2" ht="12.5" hidden="1">
      <c r="B6461" s="69"/>
    </row>
    <row r="6462" spans="2:2" ht="12.5" hidden="1">
      <c r="B6462" s="69"/>
    </row>
    <row r="6463" spans="2:2" ht="12.5" hidden="1">
      <c r="B6463" s="69"/>
    </row>
    <row r="6464" spans="2:2" ht="12.5" hidden="1">
      <c r="B6464" s="69"/>
    </row>
    <row r="6465" spans="2:2" ht="12.5" hidden="1">
      <c r="B6465" s="69"/>
    </row>
    <row r="6466" spans="2:2" ht="12.5" hidden="1">
      <c r="B6466" s="69"/>
    </row>
    <row r="6467" spans="2:2" ht="12.5" hidden="1">
      <c r="B6467" s="69"/>
    </row>
    <row r="6468" spans="2:2" ht="12.5" hidden="1">
      <c r="B6468" s="69"/>
    </row>
    <row r="6469" spans="2:2" ht="12.5" hidden="1">
      <c r="B6469" s="69"/>
    </row>
    <row r="6470" spans="2:2" ht="12.5" hidden="1">
      <c r="B6470" s="69"/>
    </row>
    <row r="6471" spans="2:2" ht="12.5" hidden="1">
      <c r="B6471" s="69"/>
    </row>
    <row r="6472" spans="2:2" ht="12.5" hidden="1">
      <c r="B6472" s="69"/>
    </row>
    <row r="6473" spans="2:2" ht="12.5" hidden="1">
      <c r="B6473" s="69"/>
    </row>
    <row r="6474" spans="2:2" ht="12.5" hidden="1">
      <c r="B6474" s="69"/>
    </row>
    <row r="6475" spans="2:2" ht="12.5" hidden="1">
      <c r="B6475" s="69"/>
    </row>
    <row r="6476" spans="2:2" ht="12.5" hidden="1">
      <c r="B6476" s="69"/>
    </row>
    <row r="6477" spans="2:2" ht="12.5" hidden="1">
      <c r="B6477" s="69"/>
    </row>
    <row r="6478" spans="2:2" ht="12.5" hidden="1">
      <c r="B6478" s="69"/>
    </row>
    <row r="6479" spans="2:2" ht="12.5" hidden="1">
      <c r="B6479" s="69"/>
    </row>
    <row r="6480" spans="2:2" ht="12.5" hidden="1">
      <c r="B6480" s="69"/>
    </row>
    <row r="6481" spans="2:2" ht="12.5" hidden="1">
      <c r="B6481" s="69"/>
    </row>
    <row r="6482" spans="2:2" ht="12.5" hidden="1">
      <c r="B6482" s="69"/>
    </row>
    <row r="6483" spans="2:2" ht="12.5" hidden="1">
      <c r="B6483" s="69"/>
    </row>
    <row r="6484" spans="2:2" ht="12.5" hidden="1">
      <c r="B6484" s="69"/>
    </row>
    <row r="6485" spans="2:2" ht="12.5" hidden="1">
      <c r="B6485" s="69"/>
    </row>
    <row r="6486" spans="2:2" ht="12.5" hidden="1">
      <c r="B6486" s="69"/>
    </row>
    <row r="6487" spans="2:2" ht="12.5" hidden="1">
      <c r="B6487" s="69"/>
    </row>
    <row r="6488" spans="2:2" ht="12.5" hidden="1">
      <c r="B6488" s="69"/>
    </row>
    <row r="6489" spans="2:2" ht="12.5" hidden="1">
      <c r="B6489" s="69"/>
    </row>
    <row r="6490" spans="2:2" ht="12.5" hidden="1">
      <c r="B6490" s="69"/>
    </row>
    <row r="6491" spans="2:2" ht="12.5" hidden="1">
      <c r="B6491" s="69"/>
    </row>
    <row r="6492" spans="2:2" ht="12.5" hidden="1">
      <c r="B6492" s="69"/>
    </row>
    <row r="6493" spans="2:2" ht="12.5" hidden="1">
      <c r="B6493" s="69"/>
    </row>
    <row r="6494" spans="2:2" ht="12.5" hidden="1">
      <c r="B6494" s="69"/>
    </row>
    <row r="6495" spans="2:2" ht="12.5" hidden="1">
      <c r="B6495" s="69"/>
    </row>
    <row r="6496" spans="2:2" ht="12.5" hidden="1">
      <c r="B6496" s="69"/>
    </row>
    <row r="6497" spans="2:2" ht="12.5" hidden="1">
      <c r="B6497" s="69"/>
    </row>
    <row r="6498" spans="2:2" ht="12.5" hidden="1">
      <c r="B6498" s="69"/>
    </row>
    <row r="6499" spans="2:2" ht="12.5" hidden="1">
      <c r="B6499" s="69"/>
    </row>
    <row r="6500" spans="2:2" ht="12.5" hidden="1">
      <c r="B6500" s="69"/>
    </row>
    <row r="6501" spans="2:2" ht="12.5" hidden="1">
      <c r="B6501" s="69"/>
    </row>
    <row r="6502" spans="2:2" ht="12.5" hidden="1">
      <c r="B6502" s="69"/>
    </row>
    <row r="6503" spans="2:2" ht="12.5" hidden="1">
      <c r="B6503" s="69"/>
    </row>
    <row r="6504" spans="2:2" ht="12.5" hidden="1">
      <c r="B6504" s="69"/>
    </row>
    <row r="6505" spans="2:2" ht="12.5" hidden="1">
      <c r="B6505" s="69"/>
    </row>
    <row r="6506" spans="2:2" ht="12.5" hidden="1">
      <c r="B6506" s="69"/>
    </row>
    <row r="6507" spans="2:2" ht="12.5" hidden="1">
      <c r="B6507" s="69"/>
    </row>
    <row r="6508" spans="2:2" ht="12.5" hidden="1">
      <c r="B6508" s="69"/>
    </row>
    <row r="6509" spans="2:2" ht="12.5" hidden="1">
      <c r="B6509" s="69"/>
    </row>
    <row r="6510" spans="2:2" ht="12.5" hidden="1">
      <c r="B6510" s="69"/>
    </row>
    <row r="6511" spans="2:2" ht="12.5" hidden="1">
      <c r="B6511" s="69"/>
    </row>
    <row r="6512" spans="2:2" ht="12.5" hidden="1">
      <c r="B6512" s="69"/>
    </row>
    <row r="6513" spans="2:2" ht="12.5" hidden="1">
      <c r="B6513" s="69"/>
    </row>
    <row r="6514" spans="2:2" ht="12.5" hidden="1">
      <c r="B6514" s="69"/>
    </row>
    <row r="6515" spans="2:2" ht="12.5" hidden="1">
      <c r="B6515" s="69"/>
    </row>
    <row r="6516" spans="2:2" ht="12.5" hidden="1">
      <c r="B6516" s="69"/>
    </row>
    <row r="6517" spans="2:2" ht="12.5" hidden="1">
      <c r="B6517" s="69"/>
    </row>
    <row r="6518" spans="2:2" ht="12.5" hidden="1">
      <c r="B6518" s="69"/>
    </row>
    <row r="6519" spans="2:2" ht="12.5" hidden="1">
      <c r="B6519" s="69"/>
    </row>
    <row r="6520" spans="2:2" ht="12.5" hidden="1">
      <c r="B6520" s="69"/>
    </row>
    <row r="6521" spans="2:2" ht="12.5" hidden="1">
      <c r="B6521" s="69"/>
    </row>
    <row r="6522" spans="2:2" ht="12.5" hidden="1">
      <c r="B6522" s="69"/>
    </row>
    <row r="6523" spans="2:2" ht="12.5" hidden="1">
      <c r="B6523" s="69"/>
    </row>
    <row r="6524" spans="2:2" ht="12.5" hidden="1">
      <c r="B6524" s="69"/>
    </row>
    <row r="6525" spans="2:2" ht="12.5" hidden="1">
      <c r="B6525" s="69"/>
    </row>
    <row r="6526" spans="2:2" ht="12.5" hidden="1">
      <c r="B6526" s="69"/>
    </row>
    <row r="6527" spans="2:2" ht="12.5" hidden="1">
      <c r="B6527" s="69"/>
    </row>
    <row r="6528" spans="2:2" ht="12.5" hidden="1">
      <c r="B6528" s="69"/>
    </row>
    <row r="6529" spans="2:2" ht="12.5" hidden="1">
      <c r="B6529" s="69"/>
    </row>
    <row r="6530" spans="2:2" ht="12.5" hidden="1">
      <c r="B6530" s="69"/>
    </row>
    <row r="6531" spans="2:2" ht="12.5" hidden="1">
      <c r="B6531" s="69"/>
    </row>
    <row r="6532" spans="2:2" ht="12.5" hidden="1">
      <c r="B6532" s="69"/>
    </row>
    <row r="6533" spans="2:2" ht="12.5" hidden="1">
      <c r="B6533" s="69"/>
    </row>
    <row r="6534" spans="2:2" ht="12.5" hidden="1">
      <c r="B6534" s="69"/>
    </row>
    <row r="6535" spans="2:2" ht="12.5" hidden="1">
      <c r="B6535" s="69"/>
    </row>
    <row r="6536" spans="2:2" ht="12.5" hidden="1">
      <c r="B6536" s="69"/>
    </row>
    <row r="6537" spans="2:2" ht="12.5" hidden="1">
      <c r="B6537" s="69"/>
    </row>
    <row r="6538" spans="2:2" ht="12.5" hidden="1">
      <c r="B6538" s="69"/>
    </row>
    <row r="6539" spans="2:2" ht="12.5" hidden="1">
      <c r="B6539" s="69"/>
    </row>
    <row r="6540" spans="2:2" ht="12.5" hidden="1">
      <c r="B6540" s="69"/>
    </row>
    <row r="6541" spans="2:2" ht="12.5" hidden="1">
      <c r="B6541" s="69"/>
    </row>
    <row r="6542" spans="2:2" ht="12.5" hidden="1">
      <c r="B6542" s="69"/>
    </row>
    <row r="6543" spans="2:2" ht="12.5" hidden="1">
      <c r="B6543" s="69"/>
    </row>
    <row r="6544" spans="2:2" ht="12.5" hidden="1">
      <c r="B6544" s="69"/>
    </row>
    <row r="6545" spans="2:2" ht="12.5" hidden="1">
      <c r="B6545" s="69"/>
    </row>
    <row r="6546" spans="2:2" ht="12.5" hidden="1">
      <c r="B6546" s="69"/>
    </row>
    <row r="6547" spans="2:2" ht="12.5" hidden="1">
      <c r="B6547" s="69"/>
    </row>
    <row r="6548" spans="2:2" ht="12.5" hidden="1">
      <c r="B6548" s="69"/>
    </row>
    <row r="6549" spans="2:2" ht="12.5" hidden="1">
      <c r="B6549" s="69"/>
    </row>
    <row r="6550" spans="2:2" ht="12.5" hidden="1">
      <c r="B6550" s="69"/>
    </row>
    <row r="6551" spans="2:2" ht="12.5" hidden="1">
      <c r="B6551" s="69"/>
    </row>
    <row r="6552" spans="2:2" ht="12.5" hidden="1">
      <c r="B6552" s="69"/>
    </row>
    <row r="6553" spans="2:2" ht="12.5" hidden="1">
      <c r="B6553" s="69"/>
    </row>
    <row r="6554" spans="2:2" ht="12.5" hidden="1">
      <c r="B6554" s="69"/>
    </row>
    <row r="6555" spans="2:2" ht="12.5" hidden="1">
      <c r="B6555" s="69"/>
    </row>
    <row r="6556" spans="2:2" ht="12.5" hidden="1">
      <c r="B6556" s="69"/>
    </row>
    <row r="6557" spans="2:2" ht="12.5" hidden="1">
      <c r="B6557" s="69"/>
    </row>
    <row r="6558" spans="2:2" ht="12.5" hidden="1">
      <c r="B6558" s="69"/>
    </row>
    <row r="6559" spans="2:2" ht="12.5" hidden="1">
      <c r="B6559" s="69"/>
    </row>
    <row r="6560" spans="2:2" ht="12.5" hidden="1">
      <c r="B6560" s="69"/>
    </row>
    <row r="6561" spans="2:2" ht="12.5" hidden="1">
      <c r="B6561" s="69"/>
    </row>
    <row r="6562" spans="2:2" ht="12.5" hidden="1">
      <c r="B6562" s="69"/>
    </row>
    <row r="6563" spans="2:2" ht="12.5" hidden="1">
      <c r="B6563" s="69"/>
    </row>
    <row r="6564" spans="2:2" ht="12.5" hidden="1">
      <c r="B6564" s="69"/>
    </row>
    <row r="6565" spans="2:2" ht="12.5" hidden="1">
      <c r="B6565" s="69"/>
    </row>
    <row r="6566" spans="2:2" ht="12.5" hidden="1">
      <c r="B6566" s="69"/>
    </row>
    <row r="6567" spans="2:2" ht="12.5" hidden="1">
      <c r="B6567" s="69"/>
    </row>
    <row r="6568" spans="2:2" ht="12.5" hidden="1">
      <c r="B6568" s="69"/>
    </row>
    <row r="6569" spans="2:2" ht="12.5" hidden="1">
      <c r="B6569" s="69"/>
    </row>
    <row r="6570" spans="2:2" ht="12.5" hidden="1">
      <c r="B6570" s="69"/>
    </row>
    <row r="6571" spans="2:2" ht="12.5" hidden="1">
      <c r="B6571" s="69"/>
    </row>
    <row r="6572" spans="2:2" ht="12.5" hidden="1">
      <c r="B6572" s="69"/>
    </row>
    <row r="6573" spans="2:2" ht="12.5" hidden="1">
      <c r="B6573" s="69"/>
    </row>
    <row r="6574" spans="2:2" ht="12.5" hidden="1">
      <c r="B6574" s="69"/>
    </row>
    <row r="6575" spans="2:2" ht="12.5" hidden="1">
      <c r="B6575" s="69"/>
    </row>
    <row r="6576" spans="2:2" ht="12.5" hidden="1">
      <c r="B6576" s="69"/>
    </row>
    <row r="6577" spans="2:2" ht="12.5" hidden="1">
      <c r="B6577" s="69"/>
    </row>
    <row r="6578" spans="2:2" ht="12.5" hidden="1">
      <c r="B6578" s="69"/>
    </row>
    <row r="6579" spans="2:2" ht="12.5" hidden="1">
      <c r="B6579" s="69"/>
    </row>
    <row r="6580" spans="2:2" ht="12.5" hidden="1">
      <c r="B6580" s="69"/>
    </row>
    <row r="6581" spans="2:2" ht="12.5" hidden="1">
      <c r="B6581" s="69"/>
    </row>
    <row r="6582" spans="2:2" ht="12.5" hidden="1">
      <c r="B6582" s="69"/>
    </row>
    <row r="6583" spans="2:2" ht="12.5" hidden="1">
      <c r="B6583" s="69"/>
    </row>
    <row r="6584" spans="2:2" ht="12.5" hidden="1">
      <c r="B6584" s="69"/>
    </row>
    <row r="6585" spans="2:2" ht="12.5" hidden="1">
      <c r="B6585" s="69"/>
    </row>
    <row r="6586" spans="2:2" ht="12.5" hidden="1">
      <c r="B6586" s="69"/>
    </row>
    <row r="6587" spans="2:2" ht="12.5" hidden="1">
      <c r="B6587" s="69"/>
    </row>
    <row r="6588" spans="2:2" ht="12.5" hidden="1">
      <c r="B6588" s="69"/>
    </row>
    <row r="6589" spans="2:2" ht="12.5" hidden="1">
      <c r="B6589" s="69"/>
    </row>
    <row r="6590" spans="2:2" ht="12.5" hidden="1">
      <c r="B6590" s="69"/>
    </row>
    <row r="6591" spans="2:2" ht="12.5" hidden="1">
      <c r="B6591" s="69"/>
    </row>
    <row r="6592" spans="2:2" ht="12.5" hidden="1">
      <c r="B6592" s="69"/>
    </row>
    <row r="6593" spans="2:2" ht="12.5" hidden="1">
      <c r="B6593" s="69"/>
    </row>
    <row r="6594" spans="2:2" ht="12.5" hidden="1">
      <c r="B6594" s="69"/>
    </row>
    <row r="6595" spans="2:2" ht="12.5" hidden="1">
      <c r="B6595" s="69"/>
    </row>
    <row r="6596" spans="2:2" ht="12.5" hidden="1">
      <c r="B6596" s="69"/>
    </row>
    <row r="6597" spans="2:2" ht="12.5" hidden="1">
      <c r="B6597" s="69"/>
    </row>
    <row r="6598" spans="2:2" ht="12.5" hidden="1">
      <c r="B6598" s="69"/>
    </row>
    <row r="6599" spans="2:2" ht="12.5" hidden="1">
      <c r="B6599" s="69"/>
    </row>
    <row r="6600" spans="2:2" ht="12.5" hidden="1">
      <c r="B6600" s="69"/>
    </row>
    <row r="6601" spans="2:2" ht="12.5" hidden="1">
      <c r="B6601" s="69"/>
    </row>
    <row r="6602" spans="2:2" ht="12.5" hidden="1">
      <c r="B6602" s="69"/>
    </row>
    <row r="6603" spans="2:2" ht="12.5" hidden="1">
      <c r="B6603" s="69"/>
    </row>
    <row r="6604" spans="2:2" ht="12.5" hidden="1">
      <c r="B6604" s="69"/>
    </row>
    <row r="6605" spans="2:2" ht="12.5" hidden="1">
      <c r="B6605" s="69"/>
    </row>
    <row r="6606" spans="2:2" ht="12.5" hidden="1">
      <c r="B6606" s="69"/>
    </row>
    <row r="6607" spans="2:2" ht="12.5" hidden="1">
      <c r="B6607" s="69"/>
    </row>
    <row r="6608" spans="2:2" ht="12.5" hidden="1">
      <c r="B6608" s="69"/>
    </row>
    <row r="6609" spans="2:2" ht="12.5" hidden="1">
      <c r="B6609" s="69"/>
    </row>
    <row r="6610" spans="2:2" ht="12.5" hidden="1">
      <c r="B6610" s="69"/>
    </row>
    <row r="6611" spans="2:2" ht="12.5" hidden="1">
      <c r="B6611" s="69"/>
    </row>
    <row r="6612" spans="2:2" ht="12.5" hidden="1">
      <c r="B6612" s="69"/>
    </row>
    <row r="6613" spans="2:2" ht="12.5" hidden="1">
      <c r="B6613" s="69"/>
    </row>
    <row r="6614" spans="2:2" ht="12.5" hidden="1">
      <c r="B6614" s="69"/>
    </row>
    <row r="6615" spans="2:2" ht="12.5" hidden="1">
      <c r="B6615" s="69"/>
    </row>
    <row r="6616" spans="2:2" ht="12.5" hidden="1">
      <c r="B6616" s="69"/>
    </row>
    <row r="6617" spans="2:2" ht="12.5" hidden="1">
      <c r="B6617" s="69"/>
    </row>
    <row r="6618" spans="2:2" ht="12.5" hidden="1">
      <c r="B6618" s="69"/>
    </row>
    <row r="6619" spans="2:2" ht="12.5" hidden="1">
      <c r="B6619" s="69"/>
    </row>
    <row r="6620" spans="2:2" ht="12.5" hidden="1">
      <c r="B6620" s="69"/>
    </row>
    <row r="6621" spans="2:2" ht="12.5" hidden="1">
      <c r="B6621" s="69"/>
    </row>
    <row r="6622" spans="2:2" ht="12.5" hidden="1">
      <c r="B6622" s="69"/>
    </row>
    <row r="6623" spans="2:2" ht="12.5" hidden="1">
      <c r="B6623" s="69"/>
    </row>
    <row r="6624" spans="2:2" ht="12.5" hidden="1">
      <c r="B6624" s="69"/>
    </row>
    <row r="6625" spans="2:2" ht="12.5" hidden="1">
      <c r="B6625" s="69"/>
    </row>
    <row r="6626" spans="2:2" ht="12.5" hidden="1">
      <c r="B6626" s="69"/>
    </row>
    <row r="6627" spans="2:2" ht="12.5" hidden="1">
      <c r="B6627" s="69"/>
    </row>
    <row r="6628" spans="2:2" ht="12.5" hidden="1">
      <c r="B6628" s="69"/>
    </row>
    <row r="6629" spans="2:2" ht="12.5" hidden="1">
      <c r="B6629" s="69"/>
    </row>
    <row r="6630" spans="2:2" ht="12.5" hidden="1">
      <c r="B6630" s="69"/>
    </row>
    <row r="6631" spans="2:2" ht="12.5" hidden="1">
      <c r="B6631" s="69"/>
    </row>
    <row r="6632" spans="2:2" ht="12.5" hidden="1">
      <c r="B6632" s="69"/>
    </row>
    <row r="6633" spans="2:2" ht="12.5" hidden="1">
      <c r="B6633" s="69"/>
    </row>
    <row r="6634" spans="2:2" ht="12.5" hidden="1">
      <c r="B6634" s="69"/>
    </row>
    <row r="6635" spans="2:2" ht="12.5" hidden="1">
      <c r="B6635" s="69"/>
    </row>
    <row r="6636" spans="2:2" ht="12.5" hidden="1">
      <c r="B6636" s="69"/>
    </row>
    <row r="6637" spans="2:2" ht="12.5" hidden="1">
      <c r="B6637" s="69"/>
    </row>
    <row r="6638" spans="2:2" ht="12.5" hidden="1">
      <c r="B6638" s="69"/>
    </row>
    <row r="6639" spans="2:2" ht="12.5" hidden="1">
      <c r="B6639" s="69"/>
    </row>
    <row r="6640" spans="2:2" ht="12.5" hidden="1">
      <c r="B6640" s="69"/>
    </row>
    <row r="6641" spans="2:2" ht="12.5" hidden="1">
      <c r="B6641" s="69"/>
    </row>
    <row r="6642" spans="2:2" ht="12.5" hidden="1">
      <c r="B6642" s="69"/>
    </row>
    <row r="6643" spans="2:2" ht="12.5" hidden="1">
      <c r="B6643" s="69"/>
    </row>
    <row r="6644" spans="2:2" ht="12.5" hidden="1">
      <c r="B6644" s="69"/>
    </row>
    <row r="6645" spans="2:2" ht="12.5" hidden="1">
      <c r="B6645" s="69"/>
    </row>
    <row r="6646" spans="2:2" ht="12.5" hidden="1">
      <c r="B6646" s="69"/>
    </row>
    <row r="6647" spans="2:2" ht="12.5" hidden="1">
      <c r="B6647" s="69"/>
    </row>
    <row r="6648" spans="2:2" ht="12.5" hidden="1">
      <c r="B6648" s="69"/>
    </row>
    <row r="6649" spans="2:2" ht="12.5" hidden="1">
      <c r="B6649" s="69"/>
    </row>
    <row r="6650" spans="2:2" ht="12.5" hidden="1">
      <c r="B6650" s="69"/>
    </row>
    <row r="6651" spans="2:2" ht="12.5" hidden="1">
      <c r="B6651" s="69"/>
    </row>
    <row r="6652" spans="2:2" ht="12.5" hidden="1">
      <c r="B6652" s="69"/>
    </row>
    <row r="6653" spans="2:2" ht="12.5" hidden="1">
      <c r="B6653" s="69"/>
    </row>
    <row r="6654" spans="2:2" ht="12.5" hidden="1">
      <c r="B6654" s="69"/>
    </row>
    <row r="6655" spans="2:2" ht="12.5" hidden="1">
      <c r="B6655" s="69"/>
    </row>
    <row r="6656" spans="2:2" ht="12.5" hidden="1">
      <c r="B6656" s="69"/>
    </row>
    <row r="6657" spans="2:2" ht="12.5" hidden="1">
      <c r="B6657" s="69"/>
    </row>
    <row r="6658" spans="2:2" ht="12.5" hidden="1">
      <c r="B6658" s="69"/>
    </row>
    <row r="6659" spans="2:2" ht="12.5" hidden="1">
      <c r="B6659" s="69"/>
    </row>
    <row r="6660" spans="2:2" ht="12.5" hidden="1">
      <c r="B6660" s="69"/>
    </row>
    <row r="6661" spans="2:2" ht="12.5" hidden="1">
      <c r="B6661" s="69"/>
    </row>
    <row r="6662" spans="2:2" ht="12.5" hidden="1">
      <c r="B6662" s="69"/>
    </row>
    <row r="6663" spans="2:2" ht="12.5" hidden="1">
      <c r="B6663" s="69"/>
    </row>
    <row r="6664" spans="2:2" ht="12.5" hidden="1">
      <c r="B6664" s="69"/>
    </row>
    <row r="6665" spans="2:2" ht="12.5" hidden="1">
      <c r="B6665" s="69"/>
    </row>
    <row r="6666" spans="2:2" ht="12.5" hidden="1">
      <c r="B6666" s="69"/>
    </row>
    <row r="6667" spans="2:2" ht="12.5" hidden="1">
      <c r="B6667" s="69"/>
    </row>
    <row r="6668" spans="2:2" ht="12.5" hidden="1">
      <c r="B6668" s="69"/>
    </row>
    <row r="6669" spans="2:2" ht="12.5" hidden="1">
      <c r="B6669" s="69"/>
    </row>
    <row r="6670" spans="2:2" ht="12.5" hidden="1">
      <c r="B6670" s="69"/>
    </row>
    <row r="6671" spans="2:2" ht="12.5" hidden="1">
      <c r="B6671" s="69"/>
    </row>
    <row r="6672" spans="2:2" ht="12.5" hidden="1">
      <c r="B6672" s="69"/>
    </row>
    <row r="6673" spans="2:2" ht="12.5" hidden="1">
      <c r="B6673" s="69"/>
    </row>
    <row r="6674" spans="2:2" ht="12.5" hidden="1">
      <c r="B6674" s="69"/>
    </row>
    <row r="6675" spans="2:2" ht="12.5" hidden="1">
      <c r="B6675" s="69"/>
    </row>
    <row r="6676" spans="2:2" ht="12.5" hidden="1">
      <c r="B6676" s="69"/>
    </row>
    <row r="6677" spans="2:2" ht="12.5" hidden="1">
      <c r="B6677" s="69"/>
    </row>
    <row r="6678" spans="2:2" ht="12.5" hidden="1">
      <c r="B6678" s="69"/>
    </row>
    <row r="6679" spans="2:2" ht="12.5" hidden="1">
      <c r="B6679" s="69"/>
    </row>
    <row r="6680" spans="2:2" ht="12.5" hidden="1">
      <c r="B6680" s="69"/>
    </row>
    <row r="6681" spans="2:2" ht="12.5" hidden="1">
      <c r="B6681" s="69"/>
    </row>
    <row r="6682" spans="2:2" ht="12.5" hidden="1">
      <c r="B6682" s="69"/>
    </row>
    <row r="6683" spans="2:2" ht="12.5" hidden="1">
      <c r="B6683" s="69"/>
    </row>
    <row r="6684" spans="2:2" ht="12.5" hidden="1">
      <c r="B6684" s="69"/>
    </row>
    <row r="6685" spans="2:2" ht="12.5" hidden="1">
      <c r="B6685" s="69"/>
    </row>
    <row r="6686" spans="2:2" ht="12.5" hidden="1">
      <c r="B6686" s="69"/>
    </row>
    <row r="6687" spans="2:2" ht="12.5" hidden="1">
      <c r="B6687" s="69"/>
    </row>
    <row r="6688" spans="2:2" ht="12.5" hidden="1">
      <c r="B6688" s="69"/>
    </row>
    <row r="6689" spans="2:2" ht="12.5" hidden="1">
      <c r="B6689" s="69"/>
    </row>
    <row r="6690" spans="2:2" ht="12.5" hidden="1">
      <c r="B6690" s="69"/>
    </row>
    <row r="6691" spans="2:2" ht="12.5" hidden="1">
      <c r="B6691" s="69"/>
    </row>
    <row r="6692" spans="2:2" ht="12.5" hidden="1">
      <c r="B6692" s="69"/>
    </row>
    <row r="6693" spans="2:2" ht="12.5" hidden="1">
      <c r="B6693" s="69"/>
    </row>
    <row r="6694" spans="2:2" ht="12.5" hidden="1">
      <c r="B6694" s="69"/>
    </row>
    <row r="6695" spans="2:2" ht="12.5" hidden="1">
      <c r="B6695" s="69"/>
    </row>
    <row r="6696" spans="2:2" ht="12.5" hidden="1">
      <c r="B6696" s="69"/>
    </row>
    <row r="6697" spans="2:2" ht="12.5" hidden="1">
      <c r="B6697" s="69"/>
    </row>
    <row r="6698" spans="2:2" ht="12.5" hidden="1">
      <c r="B6698" s="69"/>
    </row>
    <row r="6699" spans="2:2" ht="12.5" hidden="1">
      <c r="B6699" s="69"/>
    </row>
    <row r="6700" spans="2:2" ht="12.5" hidden="1">
      <c r="B6700" s="69"/>
    </row>
    <row r="6701" spans="2:2" ht="12.5" hidden="1">
      <c r="B6701" s="69"/>
    </row>
    <row r="6702" spans="2:2" ht="12.5" hidden="1">
      <c r="B6702" s="69"/>
    </row>
    <row r="6703" spans="2:2" ht="12.5" hidden="1">
      <c r="B6703" s="69"/>
    </row>
    <row r="6704" spans="2:2" ht="12.5" hidden="1">
      <c r="B6704" s="69"/>
    </row>
    <row r="6705" spans="2:2" ht="12.5" hidden="1">
      <c r="B6705" s="69"/>
    </row>
    <row r="6706" spans="2:2" ht="12.5" hidden="1">
      <c r="B6706" s="69"/>
    </row>
    <row r="6707" spans="2:2" ht="12.5" hidden="1">
      <c r="B6707" s="69"/>
    </row>
    <row r="6708" spans="2:2" ht="12.5" hidden="1">
      <c r="B6708" s="69"/>
    </row>
    <row r="6709" spans="2:2" ht="12.5" hidden="1">
      <c r="B6709" s="69"/>
    </row>
    <row r="6710" spans="2:2" ht="12.5" hidden="1">
      <c r="B6710" s="69"/>
    </row>
    <row r="6711" spans="2:2" ht="12.5" hidden="1">
      <c r="B6711" s="69"/>
    </row>
    <row r="6712" spans="2:2" ht="12.5" hidden="1">
      <c r="B6712" s="69"/>
    </row>
    <row r="6713" spans="2:2" ht="12.5" hidden="1">
      <c r="B6713" s="69"/>
    </row>
    <row r="6714" spans="2:2" ht="12.5" hidden="1">
      <c r="B6714" s="69"/>
    </row>
    <row r="6715" spans="2:2" ht="12.5" hidden="1">
      <c r="B6715" s="69"/>
    </row>
    <row r="6716" spans="2:2" ht="12.5" hidden="1">
      <c r="B6716" s="69"/>
    </row>
    <row r="6717" spans="2:2" ht="12.5" hidden="1">
      <c r="B6717" s="69"/>
    </row>
    <row r="6718" spans="2:2" ht="12.5" hidden="1">
      <c r="B6718" s="69"/>
    </row>
    <row r="6719" spans="2:2" ht="12.5" hidden="1">
      <c r="B6719" s="69"/>
    </row>
    <row r="6720" spans="2:2" ht="12.5" hidden="1">
      <c r="B6720" s="69"/>
    </row>
    <row r="6721" spans="2:2" ht="12.5" hidden="1">
      <c r="B6721" s="69"/>
    </row>
    <row r="6722" spans="2:2" ht="12.5" hidden="1">
      <c r="B6722" s="69"/>
    </row>
    <row r="6723" spans="2:2" ht="12.5" hidden="1">
      <c r="B6723" s="69"/>
    </row>
    <row r="6724" spans="2:2" ht="12.5" hidden="1">
      <c r="B6724" s="69"/>
    </row>
    <row r="6725" spans="2:2" ht="12.5" hidden="1">
      <c r="B6725" s="69"/>
    </row>
    <row r="6726" spans="2:2" ht="12.5" hidden="1">
      <c r="B6726" s="69"/>
    </row>
    <row r="6727" spans="2:2" ht="12.5" hidden="1">
      <c r="B6727" s="69"/>
    </row>
    <row r="6728" spans="2:2" ht="12.5" hidden="1">
      <c r="B6728" s="69"/>
    </row>
    <row r="6729" spans="2:2" ht="12.5" hidden="1">
      <c r="B6729" s="69"/>
    </row>
    <row r="6730" spans="2:2" ht="12.5" hidden="1">
      <c r="B6730" s="69"/>
    </row>
    <row r="6731" spans="2:2" ht="12.5" hidden="1">
      <c r="B6731" s="69"/>
    </row>
    <row r="6732" spans="2:2" ht="12.5" hidden="1">
      <c r="B6732" s="69"/>
    </row>
    <row r="6733" spans="2:2" ht="12.5" hidden="1">
      <c r="B6733" s="69"/>
    </row>
    <row r="6734" spans="2:2" ht="12.5" hidden="1">
      <c r="B6734" s="69"/>
    </row>
    <row r="6735" spans="2:2" ht="12.5" hidden="1">
      <c r="B6735" s="69"/>
    </row>
    <row r="6736" spans="2:2" ht="12.5" hidden="1">
      <c r="B6736" s="69"/>
    </row>
    <row r="6737" spans="2:2" ht="12.5" hidden="1">
      <c r="B6737" s="69"/>
    </row>
    <row r="6738" spans="2:2" ht="12.5" hidden="1">
      <c r="B6738" s="69"/>
    </row>
    <row r="6739" spans="2:2" ht="12.5" hidden="1">
      <c r="B6739" s="69"/>
    </row>
    <row r="6740" spans="2:2" ht="12.5" hidden="1">
      <c r="B6740" s="69"/>
    </row>
    <row r="6741" spans="2:2" ht="12.5" hidden="1">
      <c r="B6741" s="69"/>
    </row>
    <row r="6742" spans="2:2" ht="12.5" hidden="1">
      <c r="B6742" s="69"/>
    </row>
    <row r="6743" spans="2:2" ht="12.5" hidden="1">
      <c r="B6743" s="69"/>
    </row>
    <row r="6744" spans="2:2" ht="12.5" hidden="1">
      <c r="B6744" s="69"/>
    </row>
    <row r="6745" spans="2:2" ht="12.5" hidden="1">
      <c r="B6745" s="69"/>
    </row>
    <row r="6746" spans="2:2" ht="12.5" hidden="1">
      <c r="B6746" s="69"/>
    </row>
    <row r="6747" spans="2:2" ht="12.5" hidden="1">
      <c r="B6747" s="69"/>
    </row>
    <row r="6748" spans="2:2" ht="12.5" hidden="1">
      <c r="B6748" s="69"/>
    </row>
    <row r="6749" spans="2:2" ht="12.5" hidden="1">
      <c r="B6749" s="69"/>
    </row>
    <row r="6750" spans="2:2" ht="12.5" hidden="1">
      <c r="B6750" s="69"/>
    </row>
    <row r="6751" spans="2:2" ht="12.5" hidden="1">
      <c r="B6751" s="69"/>
    </row>
    <row r="6752" spans="2:2" ht="12.5" hidden="1">
      <c r="B6752" s="69"/>
    </row>
    <row r="6753" spans="2:2" ht="12.5" hidden="1">
      <c r="B6753" s="69"/>
    </row>
    <row r="6754" spans="2:2" ht="12.5" hidden="1">
      <c r="B6754" s="69"/>
    </row>
    <row r="6755" spans="2:2" ht="12.5" hidden="1">
      <c r="B6755" s="69"/>
    </row>
    <row r="6756" spans="2:2" ht="12.5" hidden="1">
      <c r="B6756" s="69"/>
    </row>
    <row r="6757" spans="2:2" ht="12.5" hidden="1">
      <c r="B6757" s="69"/>
    </row>
    <row r="6758" spans="2:2" ht="12.5" hidden="1">
      <c r="B6758" s="69"/>
    </row>
    <row r="6759" spans="2:2" ht="12.5" hidden="1">
      <c r="B6759" s="69"/>
    </row>
    <row r="6760" spans="2:2" ht="12.5" hidden="1">
      <c r="B6760" s="69"/>
    </row>
    <row r="6761" spans="2:2" ht="12.5" hidden="1">
      <c r="B6761" s="69"/>
    </row>
    <row r="6762" spans="2:2" ht="12.5" hidden="1">
      <c r="B6762" s="69"/>
    </row>
    <row r="6763" spans="2:2" ht="12.5" hidden="1">
      <c r="B6763" s="69"/>
    </row>
    <row r="6764" spans="2:2" ht="12.5" hidden="1">
      <c r="B6764" s="69"/>
    </row>
    <row r="6765" spans="2:2" ht="12.5" hidden="1">
      <c r="B6765" s="69"/>
    </row>
    <row r="6766" spans="2:2" ht="12.5" hidden="1">
      <c r="B6766" s="69"/>
    </row>
    <row r="6767" spans="2:2" ht="12.5" hidden="1">
      <c r="B6767" s="69"/>
    </row>
    <row r="6768" spans="2:2" ht="12.5" hidden="1">
      <c r="B6768" s="69"/>
    </row>
    <row r="6769" spans="2:2" ht="12.5" hidden="1">
      <c r="B6769" s="69"/>
    </row>
    <row r="6770" spans="2:2" ht="12.5" hidden="1">
      <c r="B6770" s="69"/>
    </row>
    <row r="6771" spans="2:2" ht="12.5" hidden="1">
      <c r="B6771" s="69"/>
    </row>
    <row r="6772" spans="2:2" ht="12.5" hidden="1">
      <c r="B6772" s="69"/>
    </row>
    <row r="6773" spans="2:2" ht="12.5" hidden="1">
      <c r="B6773" s="69"/>
    </row>
    <row r="6774" spans="2:2" ht="12.5" hidden="1">
      <c r="B6774" s="69"/>
    </row>
    <row r="6775" spans="2:2" ht="12.5" hidden="1">
      <c r="B6775" s="69"/>
    </row>
    <row r="6776" spans="2:2" ht="12.5" hidden="1">
      <c r="B6776" s="69"/>
    </row>
    <row r="6777" spans="2:2" ht="12.5" hidden="1">
      <c r="B6777" s="69"/>
    </row>
    <row r="6778" spans="2:2" ht="12.5" hidden="1">
      <c r="B6778" s="69"/>
    </row>
    <row r="6779" spans="2:2" ht="12.5" hidden="1">
      <c r="B6779" s="69"/>
    </row>
    <row r="6780" spans="2:2" ht="12.5" hidden="1">
      <c r="B6780" s="69"/>
    </row>
    <row r="6781" spans="2:2" ht="12.5" hidden="1">
      <c r="B6781" s="69"/>
    </row>
    <row r="6782" spans="2:2" ht="12.5" hidden="1">
      <c r="B6782" s="69"/>
    </row>
    <row r="6783" spans="2:2" ht="12.5" hidden="1">
      <c r="B6783" s="69"/>
    </row>
    <row r="6784" spans="2:2" ht="12.5" hidden="1">
      <c r="B6784" s="69"/>
    </row>
    <row r="6785" spans="2:2" ht="12.5" hidden="1">
      <c r="B6785" s="69"/>
    </row>
    <row r="6786" spans="2:2" ht="12.5" hidden="1">
      <c r="B6786" s="69"/>
    </row>
    <row r="6787" spans="2:2" ht="12.5" hidden="1">
      <c r="B6787" s="69"/>
    </row>
    <row r="6788" spans="2:2" ht="12.5" hidden="1">
      <c r="B6788" s="69"/>
    </row>
    <row r="6789" spans="2:2" ht="12.5" hidden="1">
      <c r="B6789" s="69"/>
    </row>
    <row r="6790" spans="2:2" ht="12.5" hidden="1">
      <c r="B6790" s="69"/>
    </row>
    <row r="6791" spans="2:2" ht="12.5" hidden="1">
      <c r="B6791" s="69"/>
    </row>
    <row r="6792" spans="2:2" ht="12.5" hidden="1">
      <c r="B6792" s="69"/>
    </row>
    <row r="6793" spans="2:2" ht="12.5" hidden="1">
      <c r="B6793" s="69"/>
    </row>
    <row r="6794" spans="2:2" ht="12.5" hidden="1">
      <c r="B6794" s="69"/>
    </row>
    <row r="6795" spans="2:2" ht="12.5" hidden="1">
      <c r="B6795" s="69"/>
    </row>
    <row r="6796" spans="2:2" ht="12.5" hidden="1">
      <c r="B6796" s="69"/>
    </row>
    <row r="6797" spans="2:2" ht="12.5" hidden="1">
      <c r="B6797" s="69"/>
    </row>
    <row r="6798" spans="2:2" ht="12.5" hidden="1">
      <c r="B6798" s="69"/>
    </row>
    <row r="6799" spans="2:2" ht="12.5" hidden="1">
      <c r="B6799" s="69"/>
    </row>
    <row r="6800" spans="2:2" ht="12.5" hidden="1">
      <c r="B6800" s="69"/>
    </row>
    <row r="6801" spans="2:2" ht="12.5" hidden="1">
      <c r="B6801" s="69"/>
    </row>
    <row r="6802" spans="2:2" ht="12.5" hidden="1">
      <c r="B6802" s="69"/>
    </row>
    <row r="6803" spans="2:2" ht="12.5" hidden="1">
      <c r="B6803" s="69"/>
    </row>
    <row r="6804" spans="2:2" ht="12.5" hidden="1">
      <c r="B6804" s="69"/>
    </row>
    <row r="6805" spans="2:2" ht="12.5" hidden="1">
      <c r="B6805" s="69"/>
    </row>
    <row r="6806" spans="2:2" ht="12.5" hidden="1">
      <c r="B6806" s="69"/>
    </row>
    <row r="6807" spans="2:2" ht="12.5" hidden="1">
      <c r="B6807" s="69"/>
    </row>
    <row r="6808" spans="2:2" ht="12.5" hidden="1">
      <c r="B6808" s="69"/>
    </row>
    <row r="6809" spans="2:2" ht="12.5" hidden="1">
      <c r="B6809" s="69"/>
    </row>
    <row r="6810" spans="2:2" ht="12.5" hidden="1">
      <c r="B6810" s="69"/>
    </row>
    <row r="6811" spans="2:2" ht="12.5" hidden="1">
      <c r="B6811" s="69"/>
    </row>
    <row r="6812" spans="2:2" ht="12.5" hidden="1">
      <c r="B6812" s="69"/>
    </row>
    <row r="6813" spans="2:2" ht="12.5" hidden="1">
      <c r="B6813" s="69"/>
    </row>
    <row r="6814" spans="2:2" ht="12.5" hidden="1">
      <c r="B6814" s="69"/>
    </row>
    <row r="6815" spans="2:2" ht="12.5" hidden="1">
      <c r="B6815" s="69"/>
    </row>
    <row r="6816" spans="2:2" ht="12.5" hidden="1">
      <c r="B6816" s="69"/>
    </row>
    <row r="6817" spans="2:2" ht="12.5" hidden="1">
      <c r="B6817" s="69"/>
    </row>
    <row r="6818" spans="2:2" ht="12.5" hidden="1">
      <c r="B6818" s="69"/>
    </row>
    <row r="6819" spans="2:2" ht="12.5" hidden="1">
      <c r="B6819" s="69"/>
    </row>
    <row r="6820" spans="2:2" ht="12.5" hidden="1">
      <c r="B6820" s="69"/>
    </row>
    <row r="6821" spans="2:2" ht="12.5" hidden="1">
      <c r="B6821" s="69"/>
    </row>
    <row r="6822" spans="2:2" ht="12.5" hidden="1">
      <c r="B6822" s="69"/>
    </row>
    <row r="6823" spans="2:2" ht="12.5" hidden="1">
      <c r="B6823" s="69"/>
    </row>
    <row r="6824" spans="2:2" ht="12.5" hidden="1">
      <c r="B6824" s="69"/>
    </row>
    <row r="6825" spans="2:2" ht="12.5" hidden="1">
      <c r="B6825" s="69"/>
    </row>
    <row r="6826" spans="2:2" ht="12.5" hidden="1">
      <c r="B6826" s="69"/>
    </row>
    <row r="6827" spans="2:2" ht="12.5" hidden="1">
      <c r="B6827" s="69"/>
    </row>
    <row r="6828" spans="2:2" ht="12.5" hidden="1">
      <c r="B6828" s="69"/>
    </row>
    <row r="6829" spans="2:2" ht="12.5" hidden="1">
      <c r="B6829" s="69"/>
    </row>
    <row r="6830" spans="2:2" ht="12.5" hidden="1">
      <c r="B6830" s="69"/>
    </row>
    <row r="6831" spans="2:2" ht="12.5" hidden="1">
      <c r="B6831" s="69"/>
    </row>
    <row r="6832" spans="2:2" ht="12.5" hidden="1">
      <c r="B6832" s="69"/>
    </row>
    <row r="6833" spans="2:2" ht="12.5" hidden="1">
      <c r="B6833" s="69"/>
    </row>
    <row r="6834" spans="2:2" ht="12.5" hidden="1">
      <c r="B6834" s="69"/>
    </row>
    <row r="6835" spans="2:2" ht="12.5" hidden="1">
      <c r="B6835" s="69"/>
    </row>
    <row r="6836" spans="2:2" ht="12.5" hidden="1">
      <c r="B6836" s="69"/>
    </row>
    <row r="6837" spans="2:2" ht="12.5" hidden="1">
      <c r="B6837" s="69"/>
    </row>
    <row r="6838" spans="2:2" ht="12.5" hidden="1">
      <c r="B6838" s="69"/>
    </row>
    <row r="6839" spans="2:2" ht="12.5" hidden="1">
      <c r="B6839" s="69"/>
    </row>
    <row r="6840" spans="2:2" ht="12.5" hidden="1">
      <c r="B6840" s="69"/>
    </row>
    <row r="6841" spans="2:2" ht="12.5" hidden="1">
      <c r="B6841" s="69"/>
    </row>
    <row r="6842" spans="2:2" ht="12.5" hidden="1">
      <c r="B6842" s="69"/>
    </row>
    <row r="6843" spans="2:2" ht="12.5" hidden="1">
      <c r="B6843" s="69"/>
    </row>
    <row r="6844" spans="2:2" ht="12.5" hidden="1">
      <c r="B6844" s="69"/>
    </row>
    <row r="6845" spans="2:2" ht="12.5" hidden="1">
      <c r="B6845" s="69"/>
    </row>
    <row r="6846" spans="2:2" ht="12.5" hidden="1">
      <c r="B6846" s="69"/>
    </row>
    <row r="6847" spans="2:2" ht="12.5" hidden="1">
      <c r="B6847" s="69"/>
    </row>
    <row r="6848" spans="2:2" ht="12.5" hidden="1">
      <c r="B6848" s="69"/>
    </row>
    <row r="6849" spans="2:2" ht="12.5" hidden="1">
      <c r="B6849" s="69"/>
    </row>
    <row r="6850" spans="2:2" ht="12.5" hidden="1">
      <c r="B6850" s="69"/>
    </row>
    <row r="6851" spans="2:2" ht="12.5" hidden="1">
      <c r="B6851" s="69"/>
    </row>
    <row r="6852" spans="2:2" ht="12.5" hidden="1">
      <c r="B6852" s="69"/>
    </row>
    <row r="6853" spans="2:2" ht="12.5" hidden="1">
      <c r="B6853" s="69"/>
    </row>
    <row r="6854" spans="2:2" ht="12.5" hidden="1">
      <c r="B6854" s="69"/>
    </row>
    <row r="6855" spans="2:2" ht="12.5" hidden="1">
      <c r="B6855" s="69"/>
    </row>
    <row r="6856" spans="2:2" ht="12.5" hidden="1">
      <c r="B6856" s="69"/>
    </row>
    <row r="6857" spans="2:2" ht="12.5" hidden="1">
      <c r="B6857" s="69"/>
    </row>
    <row r="6858" spans="2:2" ht="12.5" hidden="1">
      <c r="B6858" s="69"/>
    </row>
    <row r="6859" spans="2:2" ht="12.5" hidden="1">
      <c r="B6859" s="69"/>
    </row>
    <row r="6860" spans="2:2" ht="12.5" hidden="1">
      <c r="B6860" s="69"/>
    </row>
    <row r="6861" spans="2:2" ht="12.5" hidden="1">
      <c r="B6861" s="69"/>
    </row>
    <row r="6862" spans="2:2" ht="12.5" hidden="1">
      <c r="B6862" s="69"/>
    </row>
    <row r="6863" spans="2:2" ht="12.5" hidden="1">
      <c r="B6863" s="69"/>
    </row>
    <row r="6864" spans="2:2" ht="12.5" hidden="1">
      <c r="B6864" s="69"/>
    </row>
    <row r="6865" spans="2:2" ht="12.5" hidden="1">
      <c r="B6865" s="69"/>
    </row>
    <row r="6866" spans="2:2" ht="12.5" hidden="1">
      <c r="B6866" s="69"/>
    </row>
    <row r="6867" spans="2:2" ht="12.5" hidden="1">
      <c r="B6867" s="69"/>
    </row>
    <row r="6868" spans="2:2" ht="12.5" hidden="1">
      <c r="B6868" s="69"/>
    </row>
    <row r="6869" spans="2:2" ht="12.5" hidden="1">
      <c r="B6869" s="69"/>
    </row>
    <row r="6870" spans="2:2" ht="12.5" hidden="1">
      <c r="B6870" s="69"/>
    </row>
    <row r="6871" spans="2:2" ht="12.5" hidden="1">
      <c r="B6871" s="69"/>
    </row>
    <row r="6872" spans="2:2" ht="12.5" hidden="1">
      <c r="B6872" s="69"/>
    </row>
    <row r="6873" spans="2:2" ht="12.5" hidden="1">
      <c r="B6873" s="69"/>
    </row>
    <row r="6874" spans="2:2" ht="12.5" hidden="1">
      <c r="B6874" s="69"/>
    </row>
    <row r="6875" spans="2:2" ht="12.5" hidden="1">
      <c r="B6875" s="69"/>
    </row>
    <row r="6876" spans="2:2" ht="12.5" hidden="1">
      <c r="B6876" s="69"/>
    </row>
    <row r="6877" spans="2:2" ht="12.5" hidden="1">
      <c r="B6877" s="69"/>
    </row>
    <row r="6878" spans="2:2" ht="12.5" hidden="1">
      <c r="B6878" s="69"/>
    </row>
    <row r="6879" spans="2:2" ht="12.5" hidden="1">
      <c r="B6879" s="69"/>
    </row>
    <row r="6880" spans="2:2" ht="12.5" hidden="1">
      <c r="B6880" s="69"/>
    </row>
    <row r="6881" spans="2:2" ht="12.5" hidden="1">
      <c r="B6881" s="69"/>
    </row>
    <row r="6882" spans="2:2" ht="12.5" hidden="1">
      <c r="B6882" s="69"/>
    </row>
    <row r="6883" spans="2:2" ht="12.5" hidden="1">
      <c r="B6883" s="69"/>
    </row>
    <row r="6884" spans="2:2" ht="12.5" hidden="1">
      <c r="B6884" s="69"/>
    </row>
    <row r="6885" spans="2:2" ht="12.5" hidden="1">
      <c r="B6885" s="69"/>
    </row>
    <row r="6886" spans="2:2" ht="12.5" hidden="1">
      <c r="B6886" s="69"/>
    </row>
    <row r="6887" spans="2:2" ht="12.5" hidden="1">
      <c r="B6887" s="69"/>
    </row>
    <row r="6888" spans="2:2" ht="12.5" hidden="1">
      <c r="B6888" s="69"/>
    </row>
    <row r="6889" spans="2:2" ht="12.5" hidden="1">
      <c r="B6889" s="69"/>
    </row>
    <row r="6890" spans="2:2" ht="12.5" hidden="1">
      <c r="B6890" s="69"/>
    </row>
    <row r="6891" spans="2:2" ht="12.5" hidden="1">
      <c r="B6891" s="69"/>
    </row>
    <row r="6892" spans="2:2" ht="12.5" hidden="1">
      <c r="B6892" s="69"/>
    </row>
    <row r="6893" spans="2:2" ht="12.5" hidden="1">
      <c r="B6893" s="69"/>
    </row>
    <row r="6894" spans="2:2" ht="12.5" hidden="1">
      <c r="B6894" s="69"/>
    </row>
    <row r="6895" spans="2:2" ht="12.5" hidden="1">
      <c r="B6895" s="69"/>
    </row>
    <row r="6896" spans="2:2" ht="12.5" hidden="1">
      <c r="B6896" s="69"/>
    </row>
    <row r="6897" spans="2:2" ht="12.5" hidden="1">
      <c r="B6897" s="69"/>
    </row>
    <row r="6898" spans="2:2" ht="12.5" hidden="1">
      <c r="B6898" s="69"/>
    </row>
    <row r="6899" spans="2:2" ht="12.5" hidden="1">
      <c r="B6899" s="69"/>
    </row>
    <row r="6900" spans="2:2" ht="12.5" hidden="1">
      <c r="B6900" s="69"/>
    </row>
    <row r="6901" spans="2:2" ht="12.5" hidden="1">
      <c r="B6901" s="69"/>
    </row>
    <row r="6902" spans="2:2" ht="12.5" hidden="1">
      <c r="B6902" s="69"/>
    </row>
    <row r="6903" spans="2:2" ht="12.5" hidden="1">
      <c r="B6903" s="69"/>
    </row>
    <row r="6904" spans="2:2" ht="12.5" hidden="1">
      <c r="B6904" s="69"/>
    </row>
    <row r="6905" spans="2:2" ht="12.5" hidden="1">
      <c r="B6905" s="69"/>
    </row>
    <row r="6906" spans="2:2" ht="12.5" hidden="1">
      <c r="B6906" s="69"/>
    </row>
    <row r="6907" spans="2:2" ht="12.5" hidden="1">
      <c r="B6907" s="69"/>
    </row>
    <row r="6908" spans="2:2" ht="12.5" hidden="1">
      <c r="B6908" s="69"/>
    </row>
    <row r="6909" spans="2:2" ht="12.5" hidden="1">
      <c r="B6909" s="69"/>
    </row>
    <row r="6910" spans="2:2" ht="12.5" hidden="1">
      <c r="B6910" s="69"/>
    </row>
    <row r="6911" spans="2:2" ht="12.5" hidden="1">
      <c r="B6911" s="69"/>
    </row>
    <row r="6912" spans="2:2" ht="12.5" hidden="1">
      <c r="B6912" s="69"/>
    </row>
    <row r="6913" spans="2:2" ht="12.5" hidden="1">
      <c r="B6913" s="69"/>
    </row>
    <row r="6914" spans="2:2" ht="12.5" hidden="1">
      <c r="B6914" s="69"/>
    </row>
    <row r="6915" spans="2:2" ht="12.5" hidden="1">
      <c r="B6915" s="69"/>
    </row>
    <row r="6916" spans="2:2" ht="12.5" hidden="1">
      <c r="B6916" s="69"/>
    </row>
    <row r="6917" spans="2:2" ht="12.5" hidden="1">
      <c r="B6917" s="69"/>
    </row>
    <row r="6918" spans="2:2" ht="12.5" hidden="1">
      <c r="B6918" s="69"/>
    </row>
    <row r="6919" spans="2:2" ht="12.5" hidden="1">
      <c r="B6919" s="69"/>
    </row>
    <row r="6920" spans="2:2" ht="12.5" hidden="1">
      <c r="B6920" s="69"/>
    </row>
    <row r="6921" spans="2:2" ht="12.5" hidden="1">
      <c r="B6921" s="69"/>
    </row>
    <row r="6922" spans="2:2" ht="12.5" hidden="1">
      <c r="B6922" s="69"/>
    </row>
    <row r="6923" spans="2:2" ht="12.5" hidden="1">
      <c r="B6923" s="69"/>
    </row>
    <row r="6924" spans="2:2" ht="12.5" hidden="1">
      <c r="B6924" s="69"/>
    </row>
    <row r="6925" spans="2:2" ht="12.5" hidden="1">
      <c r="B6925" s="69"/>
    </row>
    <row r="6926" spans="2:2" ht="12.5" hidden="1">
      <c r="B6926" s="69"/>
    </row>
    <row r="6927" spans="2:2" ht="12.5" hidden="1">
      <c r="B6927" s="69"/>
    </row>
    <row r="6928" spans="2:2" ht="12.5" hidden="1">
      <c r="B6928" s="69"/>
    </row>
    <row r="6929" spans="2:2" ht="12.5" hidden="1">
      <c r="B6929" s="69"/>
    </row>
    <row r="6930" spans="2:2" ht="12.5" hidden="1">
      <c r="B6930" s="69"/>
    </row>
    <row r="6931" spans="2:2" ht="12.5" hidden="1">
      <c r="B6931" s="69"/>
    </row>
    <row r="6932" spans="2:2" ht="12.5" hidden="1">
      <c r="B6932" s="69"/>
    </row>
    <row r="6933" spans="2:2" ht="12.5" hidden="1">
      <c r="B6933" s="69"/>
    </row>
    <row r="6934" spans="2:2" ht="12.5" hidden="1">
      <c r="B6934" s="69"/>
    </row>
    <row r="6935" spans="2:2" ht="12.5" hidden="1">
      <c r="B6935" s="69"/>
    </row>
    <row r="6936" spans="2:2" ht="12.5" hidden="1">
      <c r="B6936" s="69"/>
    </row>
    <row r="6937" spans="2:2" ht="12.5" hidden="1">
      <c r="B6937" s="69"/>
    </row>
    <row r="6938" spans="2:2" ht="12.5" hidden="1">
      <c r="B6938" s="69"/>
    </row>
    <row r="6939" spans="2:2" ht="12.5" hidden="1">
      <c r="B6939" s="69"/>
    </row>
    <row r="6940" spans="2:2" ht="12.5" hidden="1">
      <c r="B6940" s="69"/>
    </row>
    <row r="6941" spans="2:2" ht="12.5" hidden="1">
      <c r="B6941" s="69"/>
    </row>
    <row r="6942" spans="2:2" ht="12.5" hidden="1">
      <c r="B6942" s="69"/>
    </row>
    <row r="6943" spans="2:2" ht="12.5" hidden="1">
      <c r="B6943" s="69"/>
    </row>
    <row r="6944" spans="2:2" ht="12.5" hidden="1">
      <c r="B6944" s="69"/>
    </row>
    <row r="6945" spans="2:2" ht="12.5" hidden="1">
      <c r="B6945" s="69"/>
    </row>
    <row r="6946" spans="2:2" ht="12.5" hidden="1">
      <c r="B6946" s="69"/>
    </row>
    <row r="6947" spans="2:2" ht="12.5" hidden="1">
      <c r="B6947" s="69"/>
    </row>
    <row r="6948" spans="2:2" ht="12.5" hidden="1">
      <c r="B6948" s="69"/>
    </row>
    <row r="6949" spans="2:2" ht="12.5" hidden="1">
      <c r="B6949" s="69"/>
    </row>
    <row r="6950" spans="2:2" ht="12.5" hidden="1">
      <c r="B6950" s="69"/>
    </row>
    <row r="6951" spans="2:2" ht="12.5" hidden="1">
      <c r="B6951" s="69"/>
    </row>
    <row r="6952" spans="2:2" ht="12.5" hidden="1">
      <c r="B6952" s="69"/>
    </row>
    <row r="6953" spans="2:2" ht="12.5" hidden="1">
      <c r="B6953" s="69"/>
    </row>
    <row r="6954" spans="2:2" ht="12.5" hidden="1">
      <c r="B6954" s="69"/>
    </row>
    <row r="6955" spans="2:2" ht="12.5" hidden="1">
      <c r="B6955" s="69"/>
    </row>
    <row r="6956" spans="2:2" ht="12.5" hidden="1">
      <c r="B6956" s="69"/>
    </row>
    <row r="6957" spans="2:2" ht="12.5" hidden="1">
      <c r="B6957" s="69"/>
    </row>
    <row r="6958" spans="2:2" ht="12.5" hidden="1">
      <c r="B6958" s="69"/>
    </row>
    <row r="6959" spans="2:2" ht="12.5" hidden="1">
      <c r="B6959" s="69"/>
    </row>
    <row r="6960" spans="2:2" ht="12.5" hidden="1">
      <c r="B6960" s="69"/>
    </row>
    <row r="6961" spans="2:2" ht="12.5" hidden="1">
      <c r="B6961" s="69"/>
    </row>
    <row r="6962" spans="2:2" ht="12.5" hidden="1">
      <c r="B6962" s="69"/>
    </row>
    <row r="6963" spans="2:2" ht="12.5" hidden="1">
      <c r="B6963" s="69"/>
    </row>
    <row r="6964" spans="2:2" ht="12.5" hidden="1">
      <c r="B6964" s="69"/>
    </row>
    <row r="6965" spans="2:2" ht="12.5" hidden="1">
      <c r="B6965" s="69"/>
    </row>
    <row r="6966" spans="2:2" ht="12.5" hidden="1">
      <c r="B6966" s="69"/>
    </row>
    <row r="6967" spans="2:2" ht="12.5" hidden="1">
      <c r="B6967" s="69"/>
    </row>
    <row r="6968" spans="2:2" ht="12.5" hidden="1">
      <c r="B6968" s="69"/>
    </row>
    <row r="6969" spans="2:2" ht="12.5" hidden="1">
      <c r="B6969" s="69"/>
    </row>
    <row r="6970" spans="2:2" ht="12.5" hidden="1">
      <c r="B6970" s="69"/>
    </row>
    <row r="6971" spans="2:2" ht="12.5" hidden="1">
      <c r="B6971" s="69"/>
    </row>
    <row r="6972" spans="2:2" ht="12.5" hidden="1">
      <c r="B6972" s="69"/>
    </row>
    <row r="6973" spans="2:2" ht="12.5" hidden="1">
      <c r="B6973" s="69"/>
    </row>
    <row r="6974" spans="2:2" ht="12.5" hidden="1">
      <c r="B6974" s="69"/>
    </row>
    <row r="6975" spans="2:2" ht="12.5" hidden="1">
      <c r="B6975" s="69"/>
    </row>
    <row r="6976" spans="2:2" ht="12.5" hidden="1">
      <c r="B6976" s="69"/>
    </row>
    <row r="6977" spans="2:2" ht="12.5" hidden="1">
      <c r="B6977" s="69"/>
    </row>
    <row r="6978" spans="2:2" ht="12.5" hidden="1">
      <c r="B6978" s="69"/>
    </row>
    <row r="6979" spans="2:2" ht="12.5" hidden="1">
      <c r="B6979" s="69"/>
    </row>
    <row r="6980" spans="2:2" ht="12.5" hidden="1">
      <c r="B6980" s="69"/>
    </row>
    <row r="6981" spans="2:2" ht="12.5" hidden="1">
      <c r="B6981" s="69"/>
    </row>
    <row r="6982" spans="2:2" ht="12.5" hidden="1">
      <c r="B6982" s="69"/>
    </row>
    <row r="6983" spans="2:2" ht="12.5" hidden="1">
      <c r="B6983" s="69"/>
    </row>
    <row r="6984" spans="2:2" ht="12.5" hidden="1">
      <c r="B6984" s="69"/>
    </row>
    <row r="6985" spans="2:2" ht="12.5" hidden="1">
      <c r="B6985" s="69"/>
    </row>
    <row r="6986" spans="2:2" ht="12.5" hidden="1">
      <c r="B6986" s="69"/>
    </row>
    <row r="6987" spans="2:2" ht="12.5" hidden="1">
      <c r="B6987" s="69"/>
    </row>
    <row r="6988" spans="2:2" ht="12.5" hidden="1">
      <c r="B6988" s="69"/>
    </row>
    <row r="6989" spans="2:2" ht="12.5" hidden="1">
      <c r="B6989" s="69"/>
    </row>
    <row r="6990" spans="2:2" ht="12.5" hidden="1">
      <c r="B6990" s="69"/>
    </row>
    <row r="6991" spans="2:2" ht="12.5" hidden="1">
      <c r="B6991" s="69"/>
    </row>
    <row r="6992" spans="2:2" ht="12.5" hidden="1">
      <c r="B6992" s="69"/>
    </row>
    <row r="6993" spans="2:2" ht="12.5" hidden="1">
      <c r="B6993" s="69"/>
    </row>
    <row r="6994" spans="2:2" ht="12.5" hidden="1">
      <c r="B6994" s="69"/>
    </row>
    <row r="6995" spans="2:2" ht="12.5" hidden="1">
      <c r="B6995" s="69"/>
    </row>
    <row r="6996" spans="2:2" ht="12.5" hidden="1">
      <c r="B6996" s="69"/>
    </row>
    <row r="6997" spans="2:2" ht="12.5" hidden="1">
      <c r="B6997" s="69"/>
    </row>
    <row r="6998" spans="2:2" ht="12.5" hidden="1">
      <c r="B6998" s="69"/>
    </row>
    <row r="6999" spans="2:2" ht="12.5" hidden="1">
      <c r="B6999" s="69"/>
    </row>
    <row r="7000" spans="2:2" ht="12.5" hidden="1">
      <c r="B7000" s="69"/>
    </row>
    <row r="7001" spans="2:2" ht="12.5" hidden="1">
      <c r="B7001" s="69"/>
    </row>
    <row r="7002" spans="2:2" ht="12.5" hidden="1">
      <c r="B7002" s="69"/>
    </row>
    <row r="7003" spans="2:2" ht="12.5" hidden="1">
      <c r="B7003" s="69"/>
    </row>
    <row r="7004" spans="2:2" ht="12.5" hidden="1">
      <c r="B7004" s="69"/>
    </row>
    <row r="7005" spans="2:2" ht="12.5" hidden="1">
      <c r="B7005" s="69"/>
    </row>
    <row r="7006" spans="2:2" ht="12.5" hidden="1">
      <c r="B7006" s="69"/>
    </row>
    <row r="7007" spans="2:2" ht="12.5" hidden="1">
      <c r="B7007" s="69"/>
    </row>
    <row r="7008" spans="2:2" ht="12.5" hidden="1">
      <c r="B7008" s="69"/>
    </row>
    <row r="7009" spans="2:2" ht="12.5" hidden="1">
      <c r="B7009" s="69"/>
    </row>
    <row r="7010" spans="2:2" ht="12.5" hidden="1">
      <c r="B7010" s="69"/>
    </row>
    <row r="7011" spans="2:2" ht="12.5" hidden="1">
      <c r="B7011" s="69"/>
    </row>
    <row r="7012" spans="2:2" ht="12.5" hidden="1">
      <c r="B7012" s="69"/>
    </row>
    <row r="7013" spans="2:2" ht="12.5" hidden="1">
      <c r="B7013" s="69"/>
    </row>
    <row r="7014" spans="2:2" ht="12.5" hidden="1">
      <c r="B7014" s="69"/>
    </row>
    <row r="7015" spans="2:2" ht="12.5" hidden="1">
      <c r="B7015" s="69"/>
    </row>
    <row r="7016" spans="2:2" ht="12.5" hidden="1">
      <c r="B7016" s="69"/>
    </row>
    <row r="7017" spans="2:2" ht="12.5" hidden="1">
      <c r="B7017" s="69"/>
    </row>
    <row r="7018" spans="2:2" ht="12.5" hidden="1">
      <c r="B7018" s="69"/>
    </row>
    <row r="7019" spans="2:2" ht="12.5" hidden="1">
      <c r="B7019" s="69"/>
    </row>
    <row r="7020" spans="2:2" ht="12.5" hidden="1">
      <c r="B7020" s="69"/>
    </row>
    <row r="7021" spans="2:2" ht="12.5" hidden="1">
      <c r="B7021" s="69"/>
    </row>
    <row r="7022" spans="2:2" ht="12.5" hidden="1">
      <c r="B7022" s="69"/>
    </row>
    <row r="7023" spans="2:2" ht="12.5" hidden="1">
      <c r="B7023" s="69"/>
    </row>
    <row r="7024" spans="2:2" ht="12.5" hidden="1">
      <c r="B7024" s="69"/>
    </row>
    <row r="7025" spans="2:2" ht="12.5" hidden="1">
      <c r="B7025" s="69"/>
    </row>
    <row r="7026" spans="2:2" ht="12.5" hidden="1">
      <c r="B7026" s="69"/>
    </row>
    <row r="7027" spans="2:2" ht="12.5" hidden="1">
      <c r="B7027" s="69"/>
    </row>
    <row r="7028" spans="2:2" ht="12.5" hidden="1">
      <c r="B7028" s="69"/>
    </row>
    <row r="7029" spans="2:2" ht="12.5" hidden="1">
      <c r="B7029" s="69"/>
    </row>
    <row r="7030" spans="2:2" ht="12.5" hidden="1">
      <c r="B7030" s="69"/>
    </row>
    <row r="7031" spans="2:2" ht="12.5" hidden="1">
      <c r="B7031" s="69"/>
    </row>
    <row r="7032" spans="2:2" ht="12.5" hidden="1">
      <c r="B7032" s="69"/>
    </row>
    <row r="7033" spans="2:2" ht="12.5" hidden="1">
      <c r="B7033" s="69"/>
    </row>
    <row r="7034" spans="2:2" ht="12.5" hidden="1">
      <c r="B7034" s="69"/>
    </row>
    <row r="7035" spans="2:2" ht="12.5" hidden="1">
      <c r="B7035" s="69"/>
    </row>
    <row r="7036" spans="2:2" ht="12.5" hidden="1">
      <c r="B7036" s="69"/>
    </row>
    <row r="7037" spans="2:2" ht="12.5" hidden="1">
      <c r="B7037" s="69"/>
    </row>
    <row r="7038" spans="2:2" ht="12.5" hidden="1">
      <c r="B7038" s="69"/>
    </row>
    <row r="7039" spans="2:2" ht="12.5" hidden="1">
      <c r="B7039" s="69"/>
    </row>
    <row r="7040" spans="2:2" ht="12.5" hidden="1">
      <c r="B7040" s="69"/>
    </row>
    <row r="7041" spans="2:2" ht="12.5" hidden="1">
      <c r="B7041" s="69"/>
    </row>
    <row r="7042" spans="2:2" ht="12.5" hidden="1">
      <c r="B7042" s="69"/>
    </row>
    <row r="7043" spans="2:2" ht="12.5" hidden="1">
      <c r="B7043" s="69"/>
    </row>
    <row r="7044" spans="2:2" ht="12.5" hidden="1">
      <c r="B7044" s="69"/>
    </row>
    <row r="7045" spans="2:2" ht="12.5" hidden="1">
      <c r="B7045" s="69"/>
    </row>
    <row r="7046" spans="2:2" ht="12.5" hidden="1">
      <c r="B7046" s="69"/>
    </row>
    <row r="7047" spans="2:2" ht="12.5" hidden="1">
      <c r="B7047" s="69"/>
    </row>
    <row r="7048" spans="2:2" ht="12.5" hidden="1">
      <c r="B7048" s="69"/>
    </row>
    <row r="7049" spans="2:2" ht="12.5" hidden="1">
      <c r="B7049" s="69"/>
    </row>
    <row r="7050" spans="2:2" ht="12.5" hidden="1">
      <c r="B7050" s="69"/>
    </row>
    <row r="7051" spans="2:2" ht="12.5" hidden="1">
      <c r="B7051" s="69"/>
    </row>
    <row r="7052" spans="2:2" ht="12.5" hidden="1">
      <c r="B7052" s="69"/>
    </row>
    <row r="7053" spans="2:2" ht="12.5" hidden="1">
      <c r="B7053" s="69"/>
    </row>
    <row r="7054" spans="2:2" ht="12.5" hidden="1">
      <c r="B7054" s="69"/>
    </row>
    <row r="7055" spans="2:2" ht="12.5" hidden="1">
      <c r="B7055" s="69"/>
    </row>
    <row r="7056" spans="2:2" ht="12.5" hidden="1">
      <c r="B7056" s="69"/>
    </row>
    <row r="7057" spans="2:2" ht="12.5" hidden="1">
      <c r="B7057" s="69"/>
    </row>
    <row r="7058" spans="2:2" ht="12.5" hidden="1">
      <c r="B7058" s="69"/>
    </row>
    <row r="7059" spans="2:2" ht="12.5" hidden="1">
      <c r="B7059" s="69"/>
    </row>
    <row r="7060" spans="2:2" ht="12.5" hidden="1">
      <c r="B7060" s="69"/>
    </row>
    <row r="7061" spans="2:2" ht="12.5" hidden="1">
      <c r="B7061" s="69"/>
    </row>
    <row r="7062" spans="2:2" ht="12.5" hidden="1">
      <c r="B7062" s="69"/>
    </row>
    <row r="7063" spans="2:2" ht="12.5" hidden="1">
      <c r="B7063" s="69"/>
    </row>
    <row r="7064" spans="2:2" ht="12.5" hidden="1">
      <c r="B7064" s="69"/>
    </row>
    <row r="7065" spans="2:2" ht="12.5" hidden="1">
      <c r="B7065" s="69"/>
    </row>
    <row r="7066" spans="2:2" ht="12.5" hidden="1">
      <c r="B7066" s="69"/>
    </row>
    <row r="7067" spans="2:2" ht="12.5" hidden="1">
      <c r="B7067" s="69"/>
    </row>
    <row r="7068" spans="2:2" ht="12.5" hidden="1">
      <c r="B7068" s="69"/>
    </row>
    <row r="7069" spans="2:2" ht="12.5" hidden="1">
      <c r="B7069" s="69"/>
    </row>
    <row r="7070" spans="2:2" ht="12.5" hidden="1">
      <c r="B7070" s="69"/>
    </row>
    <row r="7071" spans="2:2" ht="12.5" hidden="1">
      <c r="B7071" s="69"/>
    </row>
    <row r="7072" spans="2:2" ht="12.5" hidden="1">
      <c r="B7072" s="69"/>
    </row>
    <row r="7073" spans="2:2" ht="12.5" hidden="1">
      <c r="B7073" s="69"/>
    </row>
    <row r="7074" spans="2:2" ht="12.5" hidden="1">
      <c r="B7074" s="69"/>
    </row>
    <row r="7075" spans="2:2" ht="12.5" hidden="1">
      <c r="B7075" s="69"/>
    </row>
    <row r="7076" spans="2:2" ht="12.5" hidden="1">
      <c r="B7076" s="69"/>
    </row>
    <row r="7077" spans="2:2" ht="12.5" hidden="1">
      <c r="B7077" s="69"/>
    </row>
    <row r="7078" spans="2:2" ht="12.5" hidden="1">
      <c r="B7078" s="69"/>
    </row>
    <row r="7079" spans="2:2" ht="12.5" hidden="1">
      <c r="B7079" s="69"/>
    </row>
    <row r="7080" spans="2:2" ht="12.5" hidden="1">
      <c r="B7080" s="69"/>
    </row>
    <row r="7081" spans="2:2" ht="12.5" hidden="1">
      <c r="B7081" s="69"/>
    </row>
    <row r="7082" spans="2:2" ht="12.5" hidden="1">
      <c r="B7082" s="69"/>
    </row>
    <row r="7083" spans="2:2" ht="12.5" hidden="1">
      <c r="B7083" s="69"/>
    </row>
    <row r="7084" spans="2:2" ht="12.5" hidden="1">
      <c r="B7084" s="69"/>
    </row>
    <row r="7085" spans="2:2" ht="12.5" hidden="1">
      <c r="B7085" s="69"/>
    </row>
    <row r="7086" spans="2:2" ht="12.5" hidden="1">
      <c r="B7086" s="69"/>
    </row>
    <row r="7087" spans="2:2" ht="12.5" hidden="1">
      <c r="B7087" s="69"/>
    </row>
    <row r="7088" spans="2:2" ht="12.5" hidden="1">
      <c r="B7088" s="69"/>
    </row>
    <row r="7089" spans="2:2" ht="12.5" hidden="1">
      <c r="B7089" s="69"/>
    </row>
    <row r="7090" spans="2:2" ht="12.5" hidden="1">
      <c r="B7090" s="69"/>
    </row>
    <row r="7091" spans="2:2" ht="12.5" hidden="1">
      <c r="B7091" s="69"/>
    </row>
    <row r="7092" spans="2:2" ht="12.5" hidden="1">
      <c r="B7092" s="69"/>
    </row>
    <row r="7093" spans="2:2" ht="12.5" hidden="1">
      <c r="B7093" s="69"/>
    </row>
    <row r="7094" spans="2:2" ht="12.5" hidden="1">
      <c r="B7094" s="69"/>
    </row>
    <row r="7095" spans="2:2" ht="12.5" hidden="1">
      <c r="B7095" s="69"/>
    </row>
    <row r="7096" spans="2:2" ht="12.5" hidden="1">
      <c r="B7096" s="69"/>
    </row>
    <row r="7097" spans="2:2" ht="12.5" hidden="1">
      <c r="B7097" s="69"/>
    </row>
    <row r="7098" spans="2:2" ht="12.5" hidden="1">
      <c r="B7098" s="69"/>
    </row>
    <row r="7099" spans="2:2" ht="12.5" hidden="1">
      <c r="B7099" s="69"/>
    </row>
    <row r="7100" spans="2:2" ht="12.5" hidden="1">
      <c r="B7100" s="69"/>
    </row>
    <row r="7101" spans="2:2" ht="12.5" hidden="1">
      <c r="B7101" s="69"/>
    </row>
    <row r="7102" spans="2:2" ht="12.5" hidden="1">
      <c r="B7102" s="69"/>
    </row>
    <row r="7103" spans="2:2" ht="12.5" hidden="1">
      <c r="B7103" s="69"/>
    </row>
    <row r="7104" spans="2:2" ht="12.5" hidden="1">
      <c r="B7104" s="69"/>
    </row>
    <row r="7105" spans="2:2" ht="12.5" hidden="1">
      <c r="B7105" s="69"/>
    </row>
    <row r="7106" spans="2:2" ht="12.5" hidden="1">
      <c r="B7106" s="69"/>
    </row>
    <row r="7107" spans="2:2" ht="12.5" hidden="1">
      <c r="B7107" s="69"/>
    </row>
    <row r="7108" spans="2:2" ht="12.5" hidden="1">
      <c r="B7108" s="69"/>
    </row>
    <row r="7109" spans="2:2" ht="12.5" hidden="1">
      <c r="B7109" s="69"/>
    </row>
    <row r="7110" spans="2:2" ht="12.5" hidden="1">
      <c r="B7110" s="69"/>
    </row>
    <row r="7111" spans="2:2" ht="12.5" hidden="1">
      <c r="B7111" s="69"/>
    </row>
    <row r="7112" spans="2:2" ht="12.5" hidden="1">
      <c r="B7112" s="69"/>
    </row>
    <row r="7113" spans="2:2" ht="12.5" hidden="1">
      <c r="B7113" s="69"/>
    </row>
    <row r="7114" spans="2:2" ht="12.5" hidden="1">
      <c r="B7114" s="69"/>
    </row>
    <row r="7115" spans="2:2" ht="12.5" hidden="1">
      <c r="B7115" s="69"/>
    </row>
    <row r="7116" spans="2:2" ht="12.5" hidden="1">
      <c r="B7116" s="69"/>
    </row>
    <row r="7117" spans="2:2" ht="12.5" hidden="1">
      <c r="B7117" s="69"/>
    </row>
    <row r="7118" spans="2:2" ht="12.5" hidden="1">
      <c r="B7118" s="69"/>
    </row>
    <row r="7119" spans="2:2" ht="12.5" hidden="1">
      <c r="B7119" s="69"/>
    </row>
    <row r="7120" spans="2:2" ht="12.5" hidden="1">
      <c r="B7120" s="69"/>
    </row>
    <row r="7121" spans="2:2" ht="12.5" hidden="1">
      <c r="B7121" s="69"/>
    </row>
    <row r="7122" spans="2:2" ht="12.5" hidden="1">
      <c r="B7122" s="69"/>
    </row>
    <row r="7123" spans="2:2" ht="12.5" hidden="1">
      <c r="B7123" s="69"/>
    </row>
    <row r="7124" spans="2:2" ht="12.5" hidden="1">
      <c r="B7124" s="69"/>
    </row>
    <row r="7125" spans="2:2" ht="12.5" hidden="1">
      <c r="B7125" s="69"/>
    </row>
    <row r="7126" spans="2:2" ht="12.5" hidden="1">
      <c r="B7126" s="69"/>
    </row>
    <row r="7127" spans="2:2" ht="12.5" hidden="1">
      <c r="B7127" s="69"/>
    </row>
    <row r="7128" spans="2:2" ht="12.5" hidden="1">
      <c r="B7128" s="69"/>
    </row>
    <row r="7129" spans="2:2" ht="12.5" hidden="1">
      <c r="B7129" s="69"/>
    </row>
    <row r="7130" spans="2:2" ht="12.5" hidden="1">
      <c r="B7130" s="69"/>
    </row>
    <row r="7131" spans="2:2" ht="12.5" hidden="1">
      <c r="B7131" s="69"/>
    </row>
    <row r="7132" spans="2:2" ht="12.5" hidden="1">
      <c r="B7132" s="69"/>
    </row>
    <row r="7133" spans="2:2" ht="12.5" hidden="1">
      <c r="B7133" s="69"/>
    </row>
    <row r="7134" spans="2:2" ht="12.5" hidden="1">
      <c r="B7134" s="69"/>
    </row>
    <row r="7135" spans="2:2" ht="12.5" hidden="1">
      <c r="B7135" s="69"/>
    </row>
    <row r="7136" spans="2:2" ht="12.5" hidden="1">
      <c r="B7136" s="69"/>
    </row>
    <row r="7137" spans="2:2" ht="12.5" hidden="1">
      <c r="B7137" s="69"/>
    </row>
    <row r="7138" spans="2:2" ht="12.5" hidden="1">
      <c r="B7138" s="69"/>
    </row>
    <row r="7139" spans="2:2" ht="12.5" hidden="1">
      <c r="B7139" s="69"/>
    </row>
    <row r="7140" spans="2:2" ht="12.5" hidden="1">
      <c r="B7140" s="69"/>
    </row>
    <row r="7141" spans="2:2" ht="12.5" hidden="1">
      <c r="B7141" s="69"/>
    </row>
    <row r="7142" spans="2:2" ht="12.5" hidden="1">
      <c r="B7142" s="69"/>
    </row>
    <row r="7143" spans="2:2" ht="12.5" hidden="1">
      <c r="B7143" s="69"/>
    </row>
    <row r="7144" spans="2:2" ht="12.5" hidden="1">
      <c r="B7144" s="69"/>
    </row>
    <row r="7145" spans="2:2" ht="12.5" hidden="1">
      <c r="B7145" s="69"/>
    </row>
    <row r="7146" spans="2:2" ht="12.5" hidden="1">
      <c r="B7146" s="69"/>
    </row>
    <row r="7147" spans="2:2" ht="12.5" hidden="1">
      <c r="B7147" s="69"/>
    </row>
    <row r="7148" spans="2:2" ht="12.5" hidden="1">
      <c r="B7148" s="69"/>
    </row>
    <row r="7149" spans="2:2" ht="12.5" hidden="1">
      <c r="B7149" s="69"/>
    </row>
    <row r="7150" spans="2:2" ht="12.5" hidden="1">
      <c r="B7150" s="69"/>
    </row>
    <row r="7151" spans="2:2" ht="12.5" hidden="1">
      <c r="B7151" s="69"/>
    </row>
    <row r="7152" spans="2:2" ht="12.5" hidden="1">
      <c r="B7152" s="69"/>
    </row>
    <row r="7153" spans="2:2" ht="12.5" hidden="1">
      <c r="B7153" s="69"/>
    </row>
    <row r="7154" spans="2:2" ht="12.5" hidden="1">
      <c r="B7154" s="69"/>
    </row>
    <row r="7155" spans="2:2" ht="12.5" hidden="1">
      <c r="B7155" s="69"/>
    </row>
    <row r="7156" spans="2:2" ht="12.5" hidden="1">
      <c r="B7156" s="69"/>
    </row>
    <row r="7157" spans="2:2" ht="12.5" hidden="1">
      <c r="B7157" s="69"/>
    </row>
    <row r="7158" spans="2:2" ht="12.5" hidden="1">
      <c r="B7158" s="69"/>
    </row>
    <row r="7159" spans="2:2" ht="12.5" hidden="1">
      <c r="B7159" s="69"/>
    </row>
    <row r="7160" spans="2:2" ht="12.5" hidden="1">
      <c r="B7160" s="69"/>
    </row>
    <row r="7161" spans="2:2" ht="12.5" hidden="1">
      <c r="B7161" s="69"/>
    </row>
    <row r="7162" spans="2:2" ht="12.5" hidden="1">
      <c r="B7162" s="69"/>
    </row>
    <row r="7163" spans="2:2" ht="12.5" hidden="1">
      <c r="B7163" s="69"/>
    </row>
    <row r="7164" spans="2:2" ht="12.5" hidden="1">
      <c r="B7164" s="69"/>
    </row>
    <row r="7165" spans="2:2" ht="12.5" hidden="1">
      <c r="B7165" s="69"/>
    </row>
    <row r="7166" spans="2:2" ht="12.5" hidden="1">
      <c r="B7166" s="69"/>
    </row>
    <row r="7167" spans="2:2" ht="12.5" hidden="1">
      <c r="B7167" s="69"/>
    </row>
    <row r="7168" spans="2:2" ht="12.5" hidden="1">
      <c r="B7168" s="69"/>
    </row>
    <row r="7169" spans="2:2" ht="12.5" hidden="1">
      <c r="B7169" s="69"/>
    </row>
    <row r="7170" spans="2:2" ht="12.5" hidden="1">
      <c r="B7170" s="69"/>
    </row>
    <row r="7171" spans="2:2" ht="12.5" hidden="1">
      <c r="B7171" s="69"/>
    </row>
    <row r="7172" spans="2:2" ht="12.5" hidden="1">
      <c r="B7172" s="69"/>
    </row>
    <row r="7173" spans="2:2" ht="12.5" hidden="1">
      <c r="B7173" s="69"/>
    </row>
    <row r="7174" spans="2:2" ht="12.5" hidden="1">
      <c r="B7174" s="69"/>
    </row>
    <row r="7175" spans="2:2" ht="12.5" hidden="1">
      <c r="B7175" s="69"/>
    </row>
    <row r="7176" spans="2:2" ht="12.5" hidden="1">
      <c r="B7176" s="69"/>
    </row>
    <row r="7177" spans="2:2" ht="12.5" hidden="1">
      <c r="B7177" s="69"/>
    </row>
    <row r="7178" spans="2:2" ht="12.5" hidden="1">
      <c r="B7178" s="69"/>
    </row>
    <row r="7179" spans="2:2" ht="12.5" hidden="1">
      <c r="B7179" s="69"/>
    </row>
    <row r="7180" spans="2:2" ht="12.5" hidden="1">
      <c r="B7180" s="69"/>
    </row>
    <row r="7181" spans="2:2" ht="12.5" hidden="1">
      <c r="B7181" s="69"/>
    </row>
    <row r="7182" spans="2:2" ht="12.5" hidden="1">
      <c r="B7182" s="69"/>
    </row>
    <row r="7183" spans="2:2" ht="12.5" hidden="1">
      <c r="B7183" s="69"/>
    </row>
    <row r="7184" spans="2:2" ht="12.5" hidden="1">
      <c r="B7184" s="69"/>
    </row>
    <row r="7185" spans="2:2" ht="12.5" hidden="1">
      <c r="B7185" s="69"/>
    </row>
    <row r="7186" spans="2:2" ht="12.5" hidden="1">
      <c r="B7186" s="69"/>
    </row>
    <row r="7187" spans="2:2" ht="12.5" hidden="1">
      <c r="B7187" s="69"/>
    </row>
    <row r="7188" spans="2:2" ht="12.5" hidden="1">
      <c r="B7188" s="69"/>
    </row>
    <row r="7189" spans="2:2" ht="12.5" hidden="1">
      <c r="B7189" s="69"/>
    </row>
    <row r="7190" spans="2:2" ht="12.5" hidden="1">
      <c r="B7190" s="69"/>
    </row>
    <row r="7191" spans="2:2" ht="12.5" hidden="1">
      <c r="B7191" s="69"/>
    </row>
    <row r="7192" spans="2:2" ht="12.5" hidden="1">
      <c r="B7192" s="69"/>
    </row>
    <row r="7193" spans="2:2" ht="12.5" hidden="1">
      <c r="B7193" s="69"/>
    </row>
    <row r="7194" spans="2:2" ht="12.5" hidden="1">
      <c r="B7194" s="69"/>
    </row>
    <row r="7195" spans="2:2" ht="12.5" hidden="1">
      <c r="B7195" s="69"/>
    </row>
    <row r="7196" spans="2:2" ht="12.5" hidden="1">
      <c r="B7196" s="69"/>
    </row>
    <row r="7197" spans="2:2" ht="12.5" hidden="1">
      <c r="B7197" s="69"/>
    </row>
    <row r="7198" spans="2:2" ht="12.5" hidden="1">
      <c r="B7198" s="69"/>
    </row>
    <row r="7199" spans="2:2" ht="12.5" hidden="1">
      <c r="B7199" s="69"/>
    </row>
    <row r="7200" spans="2:2" ht="12.5" hidden="1">
      <c r="B7200" s="69"/>
    </row>
    <row r="7201" spans="2:2" ht="12.5" hidden="1">
      <c r="B7201" s="69"/>
    </row>
    <row r="7202" spans="2:2" ht="12.5" hidden="1">
      <c r="B7202" s="69"/>
    </row>
    <row r="7203" spans="2:2" ht="12.5" hidden="1">
      <c r="B7203" s="69"/>
    </row>
    <row r="7204" spans="2:2" ht="12.5" hidden="1">
      <c r="B7204" s="69"/>
    </row>
    <row r="7205" spans="2:2" ht="12.5" hidden="1">
      <c r="B7205" s="69"/>
    </row>
    <row r="7206" spans="2:2" ht="12.5" hidden="1">
      <c r="B7206" s="69"/>
    </row>
    <row r="7207" spans="2:2" ht="12.5" hidden="1">
      <c r="B7207" s="69"/>
    </row>
    <row r="7208" spans="2:2" ht="12.5" hidden="1">
      <c r="B7208" s="69"/>
    </row>
    <row r="7209" spans="2:2" ht="12.5" hidden="1">
      <c r="B7209" s="69"/>
    </row>
    <row r="7210" spans="2:2" ht="12.5" hidden="1">
      <c r="B7210" s="69"/>
    </row>
    <row r="7211" spans="2:2" ht="12.5" hidden="1">
      <c r="B7211" s="69"/>
    </row>
    <row r="7212" spans="2:2" ht="12.5" hidden="1">
      <c r="B7212" s="69"/>
    </row>
    <row r="7213" spans="2:2" ht="12.5" hidden="1">
      <c r="B7213" s="69"/>
    </row>
    <row r="7214" spans="2:2" ht="12.5" hidden="1">
      <c r="B7214" s="69"/>
    </row>
    <row r="7215" spans="2:2" ht="12.5" hidden="1">
      <c r="B7215" s="69"/>
    </row>
    <row r="7216" spans="2:2" ht="12.5" hidden="1">
      <c r="B7216" s="69"/>
    </row>
    <row r="7217" spans="2:2" ht="12.5" hidden="1">
      <c r="B7217" s="69"/>
    </row>
    <row r="7218" spans="2:2" ht="12.5" hidden="1">
      <c r="B7218" s="69"/>
    </row>
    <row r="7219" spans="2:2" ht="12.5" hidden="1">
      <c r="B7219" s="69"/>
    </row>
    <row r="7220" spans="2:2" ht="12.5" hidden="1">
      <c r="B7220" s="69"/>
    </row>
    <row r="7221" spans="2:2" ht="12.5" hidden="1">
      <c r="B7221" s="69"/>
    </row>
    <row r="7222" spans="2:2" ht="12.5" hidden="1">
      <c r="B7222" s="69"/>
    </row>
    <row r="7223" spans="2:2" ht="12.5" hidden="1">
      <c r="B7223" s="69"/>
    </row>
    <row r="7224" spans="2:2" ht="12.5" hidden="1">
      <c r="B7224" s="69"/>
    </row>
    <row r="7225" spans="2:2" ht="12.5" hidden="1">
      <c r="B7225" s="69"/>
    </row>
    <row r="7226" spans="2:2" ht="12.5" hidden="1">
      <c r="B7226" s="69"/>
    </row>
    <row r="7227" spans="2:2" ht="12.5" hidden="1">
      <c r="B7227" s="69"/>
    </row>
    <row r="7228" spans="2:2" ht="12.5" hidden="1">
      <c r="B7228" s="69"/>
    </row>
    <row r="7229" spans="2:2" ht="12.5" hidden="1">
      <c r="B7229" s="69"/>
    </row>
    <row r="7230" spans="2:2" ht="12.5" hidden="1">
      <c r="B7230" s="69"/>
    </row>
    <row r="7231" spans="2:2" ht="12.5" hidden="1">
      <c r="B7231" s="69"/>
    </row>
    <row r="7232" spans="2:2" ht="12.5" hidden="1">
      <c r="B7232" s="69"/>
    </row>
    <row r="7233" spans="2:2" ht="12.5" hidden="1">
      <c r="B7233" s="69"/>
    </row>
    <row r="7234" spans="2:2" ht="12.5" hidden="1">
      <c r="B7234" s="69"/>
    </row>
    <row r="7235" spans="2:2" ht="12.5" hidden="1">
      <c r="B7235" s="69"/>
    </row>
    <row r="7236" spans="2:2" ht="12.5" hidden="1">
      <c r="B7236" s="69"/>
    </row>
    <row r="7237" spans="2:2" ht="12.5" hidden="1">
      <c r="B7237" s="69"/>
    </row>
    <row r="7238" spans="2:2" ht="12.5" hidden="1">
      <c r="B7238" s="69"/>
    </row>
    <row r="7239" spans="2:2" ht="12.5" hidden="1">
      <c r="B7239" s="69"/>
    </row>
    <row r="7240" spans="2:2" ht="12.5" hidden="1">
      <c r="B7240" s="69"/>
    </row>
    <row r="7241" spans="2:2" ht="12.5" hidden="1">
      <c r="B7241" s="69"/>
    </row>
    <row r="7242" spans="2:2" ht="12.5" hidden="1">
      <c r="B7242" s="69"/>
    </row>
    <row r="7243" spans="2:2" ht="12.5" hidden="1">
      <c r="B7243" s="69"/>
    </row>
    <row r="7244" spans="2:2" ht="12.5" hidden="1">
      <c r="B7244" s="69"/>
    </row>
    <row r="7245" spans="2:2" ht="12.5" hidden="1">
      <c r="B7245" s="69"/>
    </row>
    <row r="7246" spans="2:2" ht="12.5" hidden="1">
      <c r="B7246" s="69"/>
    </row>
    <row r="7247" spans="2:2" ht="12.5" hidden="1">
      <c r="B7247" s="69"/>
    </row>
    <row r="7248" spans="2:2" ht="12.5" hidden="1">
      <c r="B7248" s="69"/>
    </row>
    <row r="7249" spans="2:2" ht="12.5" hidden="1">
      <c r="B7249" s="69"/>
    </row>
    <row r="7250" spans="2:2" ht="12.5" hidden="1">
      <c r="B7250" s="69"/>
    </row>
    <row r="7251" spans="2:2" ht="12.5" hidden="1">
      <c r="B7251" s="69"/>
    </row>
    <row r="7252" spans="2:2" ht="12.5" hidden="1">
      <c r="B7252" s="69"/>
    </row>
    <row r="7253" spans="2:2" ht="12.5" hidden="1">
      <c r="B7253" s="69"/>
    </row>
    <row r="7254" spans="2:2" ht="12.5" hidden="1">
      <c r="B7254" s="69"/>
    </row>
    <row r="7255" spans="2:2" ht="12.5" hidden="1">
      <c r="B7255" s="69"/>
    </row>
    <row r="7256" spans="2:2" ht="12.5" hidden="1">
      <c r="B7256" s="69"/>
    </row>
    <row r="7257" spans="2:2" ht="12.5" hidden="1">
      <c r="B7257" s="69"/>
    </row>
    <row r="7258" spans="2:2" ht="12.5" hidden="1">
      <c r="B7258" s="69"/>
    </row>
    <row r="7259" spans="2:2" ht="12.5" hidden="1">
      <c r="B7259" s="69"/>
    </row>
    <row r="7260" spans="2:2" ht="12.5" hidden="1">
      <c r="B7260" s="69"/>
    </row>
    <row r="7261" spans="2:2" ht="12.5" hidden="1">
      <c r="B7261" s="69"/>
    </row>
    <row r="7262" spans="2:2" ht="12.5" hidden="1">
      <c r="B7262" s="69"/>
    </row>
    <row r="7263" spans="2:2" ht="12.5" hidden="1">
      <c r="B7263" s="69"/>
    </row>
    <row r="7264" spans="2:2" ht="12.5" hidden="1">
      <c r="B7264" s="69"/>
    </row>
    <row r="7265" spans="2:2" ht="12.5" hidden="1">
      <c r="B7265" s="69"/>
    </row>
    <row r="7266" spans="2:2" ht="12.5" hidden="1">
      <c r="B7266" s="69"/>
    </row>
    <row r="7267" spans="2:2" ht="12.5" hidden="1">
      <c r="B7267" s="69"/>
    </row>
    <row r="7268" spans="2:2" ht="12.5" hidden="1">
      <c r="B7268" s="69"/>
    </row>
    <row r="7269" spans="2:2" ht="12.5" hidden="1">
      <c r="B7269" s="69"/>
    </row>
    <row r="7270" spans="2:2" ht="12.5" hidden="1">
      <c r="B7270" s="69"/>
    </row>
    <row r="7271" spans="2:2" ht="12.5" hidden="1">
      <c r="B7271" s="69"/>
    </row>
    <row r="7272" spans="2:2" ht="12.5" hidden="1">
      <c r="B7272" s="69"/>
    </row>
    <row r="7273" spans="2:2" ht="12.5" hidden="1">
      <c r="B7273" s="69"/>
    </row>
    <row r="7274" spans="2:2" ht="12.5" hidden="1">
      <c r="B7274" s="69"/>
    </row>
    <row r="7275" spans="2:2" ht="12.5" hidden="1">
      <c r="B7275" s="69"/>
    </row>
    <row r="7276" spans="2:2" ht="12.5" hidden="1">
      <c r="B7276" s="69"/>
    </row>
    <row r="7277" spans="2:2" ht="12.5" hidden="1">
      <c r="B7277" s="69"/>
    </row>
    <row r="7278" spans="2:2" ht="12.5" hidden="1">
      <c r="B7278" s="69"/>
    </row>
    <row r="7279" spans="2:2" ht="12.5" hidden="1">
      <c r="B7279" s="69"/>
    </row>
    <row r="7280" spans="2:2" ht="12.5" hidden="1">
      <c r="B7280" s="69"/>
    </row>
    <row r="7281" spans="2:2" ht="12.5" hidden="1">
      <c r="B7281" s="69"/>
    </row>
    <row r="7282" spans="2:2" ht="12.5" hidden="1">
      <c r="B7282" s="69"/>
    </row>
    <row r="7283" spans="2:2" ht="12.5" hidden="1">
      <c r="B7283" s="69"/>
    </row>
    <row r="7284" spans="2:2" ht="12.5" hidden="1">
      <c r="B7284" s="69"/>
    </row>
    <row r="7285" spans="2:2" ht="12.5" hidden="1">
      <c r="B7285" s="69"/>
    </row>
    <row r="7286" spans="2:2" ht="12.5" hidden="1">
      <c r="B7286" s="69"/>
    </row>
    <row r="7287" spans="2:2" ht="12.5" hidden="1">
      <c r="B7287" s="69"/>
    </row>
    <row r="7288" spans="2:2" ht="12.5" hidden="1">
      <c r="B7288" s="69"/>
    </row>
    <row r="7289" spans="2:2" ht="12.5" hidden="1">
      <c r="B7289" s="69"/>
    </row>
    <row r="7290" spans="2:2" ht="12.5" hidden="1">
      <c r="B7290" s="69"/>
    </row>
    <row r="7291" spans="2:2" ht="12.5" hidden="1">
      <c r="B7291" s="69"/>
    </row>
    <row r="7292" spans="2:2" ht="12.5" hidden="1">
      <c r="B7292" s="69"/>
    </row>
    <row r="7293" spans="2:2" ht="12.5" hidden="1">
      <c r="B7293" s="69"/>
    </row>
    <row r="7294" spans="2:2" ht="12.5" hidden="1">
      <c r="B7294" s="69"/>
    </row>
    <row r="7295" spans="2:2" ht="12.5" hidden="1">
      <c r="B7295" s="69"/>
    </row>
    <row r="7296" spans="2:2" ht="12.5" hidden="1">
      <c r="B7296" s="69"/>
    </row>
    <row r="7297" spans="2:2" ht="12.5" hidden="1">
      <c r="B7297" s="69"/>
    </row>
    <row r="7298" spans="2:2" ht="12.5" hidden="1">
      <c r="B7298" s="69"/>
    </row>
    <row r="7299" spans="2:2" ht="12.5" hidden="1">
      <c r="B7299" s="69"/>
    </row>
    <row r="7300" spans="2:2" ht="12.5" hidden="1">
      <c r="B7300" s="69"/>
    </row>
    <row r="7301" spans="2:2" ht="12.5" hidden="1">
      <c r="B7301" s="69"/>
    </row>
    <row r="7302" spans="2:2" ht="12.5" hidden="1">
      <c r="B7302" s="69"/>
    </row>
    <row r="7303" spans="2:2" ht="12.5" hidden="1">
      <c r="B7303" s="69"/>
    </row>
    <row r="7304" spans="2:2" ht="12.5" hidden="1">
      <c r="B7304" s="69"/>
    </row>
    <row r="7305" spans="2:2" ht="12.5" hidden="1">
      <c r="B7305" s="69"/>
    </row>
    <row r="7306" spans="2:2" ht="12.5" hidden="1">
      <c r="B7306" s="69"/>
    </row>
    <row r="7307" spans="2:2" ht="12.5" hidden="1">
      <c r="B7307" s="69"/>
    </row>
    <row r="7308" spans="2:2" ht="12.5" hidden="1">
      <c r="B7308" s="69"/>
    </row>
    <row r="7309" spans="2:2" ht="12.5" hidden="1">
      <c r="B7309" s="69"/>
    </row>
    <row r="7310" spans="2:2" ht="12.5" hidden="1">
      <c r="B7310" s="69"/>
    </row>
    <row r="7311" spans="2:2" ht="12.5" hidden="1">
      <c r="B7311" s="69"/>
    </row>
    <row r="7312" spans="2:2" ht="12.5" hidden="1">
      <c r="B7312" s="69"/>
    </row>
    <row r="7313" spans="2:2" ht="12.5" hidden="1">
      <c r="B7313" s="69"/>
    </row>
    <row r="7314" spans="2:2" ht="12.5" hidden="1">
      <c r="B7314" s="69"/>
    </row>
    <row r="7315" spans="2:2" ht="12.5" hidden="1">
      <c r="B7315" s="69"/>
    </row>
    <row r="7316" spans="2:2" ht="12.5" hidden="1">
      <c r="B7316" s="69"/>
    </row>
    <row r="7317" spans="2:2" ht="12.5" hidden="1">
      <c r="B7317" s="69"/>
    </row>
    <row r="7318" spans="2:2" ht="12.5" hidden="1">
      <c r="B7318" s="69"/>
    </row>
    <row r="7319" spans="2:2" ht="12.5" hidden="1">
      <c r="B7319" s="69"/>
    </row>
    <row r="7320" spans="2:2" ht="12.5" hidden="1">
      <c r="B7320" s="69"/>
    </row>
    <row r="7321" spans="2:2" ht="12.5" hidden="1">
      <c r="B7321" s="69"/>
    </row>
    <row r="7322" spans="2:2" ht="12.5" hidden="1">
      <c r="B7322" s="69"/>
    </row>
    <row r="7323" spans="2:2" ht="12.5" hidden="1">
      <c r="B7323" s="69"/>
    </row>
    <row r="7324" spans="2:2" ht="12.5" hidden="1">
      <c r="B7324" s="69"/>
    </row>
    <row r="7325" spans="2:2" ht="12.5" hidden="1">
      <c r="B7325" s="69"/>
    </row>
    <row r="7326" spans="2:2" ht="12.5" hidden="1">
      <c r="B7326" s="69"/>
    </row>
    <row r="7327" spans="2:2" ht="12.5" hidden="1">
      <c r="B7327" s="69"/>
    </row>
    <row r="7328" spans="2:2" ht="12.5" hidden="1">
      <c r="B7328" s="69"/>
    </row>
    <row r="7329" spans="2:2" ht="12.5" hidden="1">
      <c r="B7329" s="69"/>
    </row>
    <row r="7330" spans="2:2" ht="12.5" hidden="1">
      <c r="B7330" s="69"/>
    </row>
    <row r="7331" spans="2:2" ht="12.5" hidden="1">
      <c r="B7331" s="69"/>
    </row>
    <row r="7332" spans="2:2" ht="12.5" hidden="1">
      <c r="B7332" s="69"/>
    </row>
    <row r="7333" spans="2:2" ht="12.5" hidden="1">
      <c r="B7333" s="69"/>
    </row>
    <row r="7334" spans="2:2" ht="12.5" hidden="1">
      <c r="B7334" s="69"/>
    </row>
    <row r="7335" spans="2:2" ht="12.5" hidden="1">
      <c r="B7335" s="69"/>
    </row>
    <row r="7336" spans="2:2" ht="12.5" hidden="1">
      <c r="B7336" s="69"/>
    </row>
    <row r="7337" spans="2:2" ht="12.5" hidden="1">
      <c r="B7337" s="69"/>
    </row>
    <row r="7338" spans="2:2" ht="12.5" hidden="1">
      <c r="B7338" s="69"/>
    </row>
    <row r="7339" spans="2:2" ht="12.5" hidden="1">
      <c r="B7339" s="69"/>
    </row>
    <row r="7340" spans="2:2" ht="12.5" hidden="1">
      <c r="B7340" s="69"/>
    </row>
    <row r="7341" spans="2:2" ht="12.5" hidden="1">
      <c r="B7341" s="69"/>
    </row>
    <row r="7342" spans="2:2" ht="12.5" hidden="1">
      <c r="B7342" s="69"/>
    </row>
    <row r="7343" spans="2:2" ht="12.5" hidden="1">
      <c r="B7343" s="69"/>
    </row>
    <row r="7344" spans="2:2" ht="12.5" hidden="1">
      <c r="B7344" s="69"/>
    </row>
    <row r="7345" spans="2:2" ht="12.5" hidden="1">
      <c r="B7345" s="69"/>
    </row>
    <row r="7346" spans="2:2" ht="12.5" hidden="1">
      <c r="B7346" s="69"/>
    </row>
    <row r="7347" spans="2:2" ht="12.5" hidden="1">
      <c r="B7347" s="69"/>
    </row>
    <row r="7348" spans="2:2" ht="12.5" hidden="1">
      <c r="B7348" s="69"/>
    </row>
    <row r="7349" spans="2:2" ht="12.5" hidden="1">
      <c r="B7349" s="69"/>
    </row>
    <row r="7350" spans="2:2" ht="12.5" hidden="1">
      <c r="B7350" s="69"/>
    </row>
    <row r="7351" spans="2:2" ht="12.5" hidden="1">
      <c r="B7351" s="69"/>
    </row>
    <row r="7352" spans="2:2" ht="12.5" hidden="1">
      <c r="B7352" s="69"/>
    </row>
    <row r="7353" spans="2:2" ht="12.5" hidden="1">
      <c r="B7353" s="69"/>
    </row>
    <row r="7354" spans="2:2" ht="12.5" hidden="1">
      <c r="B7354" s="69"/>
    </row>
    <row r="7355" spans="2:2" ht="12.5" hidden="1">
      <c r="B7355" s="69"/>
    </row>
    <row r="7356" spans="2:2" ht="12.5" hidden="1">
      <c r="B7356" s="69"/>
    </row>
    <row r="7357" spans="2:2" ht="12.5" hidden="1">
      <c r="B7357" s="69"/>
    </row>
    <row r="7358" spans="2:2" ht="12.5" hidden="1">
      <c r="B7358" s="69"/>
    </row>
    <row r="7359" spans="2:2" ht="12.5" hidden="1">
      <c r="B7359" s="69"/>
    </row>
    <row r="7360" spans="2:2" ht="12.5" hidden="1">
      <c r="B7360" s="69"/>
    </row>
    <row r="7361" spans="2:2" ht="12.5" hidden="1">
      <c r="B7361" s="69"/>
    </row>
    <row r="7362" spans="2:2" ht="12.5" hidden="1">
      <c r="B7362" s="69"/>
    </row>
    <row r="7363" spans="2:2" ht="12.5" hidden="1">
      <c r="B7363" s="69"/>
    </row>
    <row r="7364" spans="2:2" ht="12.5" hidden="1">
      <c r="B7364" s="69"/>
    </row>
    <row r="7365" spans="2:2" ht="12.5" hidden="1">
      <c r="B7365" s="69"/>
    </row>
    <row r="7366" spans="2:2" ht="12.5" hidden="1">
      <c r="B7366" s="69"/>
    </row>
    <row r="7367" spans="2:2" ht="12.5" hidden="1">
      <c r="B7367" s="69"/>
    </row>
    <row r="7368" spans="2:2" ht="12.5" hidden="1">
      <c r="B7368" s="69"/>
    </row>
    <row r="7369" spans="2:2" ht="12.5" hidden="1">
      <c r="B7369" s="69"/>
    </row>
    <row r="7370" spans="2:2" ht="12.5" hidden="1">
      <c r="B7370" s="69"/>
    </row>
    <row r="7371" spans="2:2" ht="12.5" hidden="1">
      <c r="B7371" s="69"/>
    </row>
    <row r="7372" spans="2:2" ht="12.5" hidden="1">
      <c r="B7372" s="69"/>
    </row>
    <row r="7373" spans="2:2" ht="12.5" hidden="1">
      <c r="B7373" s="69"/>
    </row>
    <row r="7374" spans="2:2" ht="12.5" hidden="1">
      <c r="B7374" s="69"/>
    </row>
    <row r="7375" spans="2:2" ht="12.5" hidden="1">
      <c r="B7375" s="69"/>
    </row>
    <row r="7376" spans="2:2" ht="12.5" hidden="1">
      <c r="B7376" s="69"/>
    </row>
    <row r="7377" spans="2:2" ht="12.5" hidden="1">
      <c r="B7377" s="69"/>
    </row>
    <row r="7378" spans="2:2" ht="12.5" hidden="1">
      <c r="B7378" s="69"/>
    </row>
    <row r="7379" spans="2:2" ht="12.5" hidden="1">
      <c r="B7379" s="69"/>
    </row>
    <row r="7380" spans="2:2" ht="12.5" hidden="1">
      <c r="B7380" s="69"/>
    </row>
    <row r="7381" spans="2:2" ht="12.5" hidden="1">
      <c r="B7381" s="69"/>
    </row>
    <row r="7382" spans="2:2" ht="12.5" hidden="1">
      <c r="B7382" s="69"/>
    </row>
    <row r="7383" spans="2:2" ht="12.5" hidden="1">
      <c r="B7383" s="69"/>
    </row>
    <row r="7384" spans="2:2" ht="12.5" hidden="1">
      <c r="B7384" s="69"/>
    </row>
    <row r="7385" spans="2:2" ht="12.5" hidden="1">
      <c r="B7385" s="69"/>
    </row>
    <row r="7386" spans="2:2" ht="12.5" hidden="1">
      <c r="B7386" s="69"/>
    </row>
    <row r="7387" spans="2:2" ht="12.5" hidden="1">
      <c r="B7387" s="69"/>
    </row>
    <row r="7388" spans="2:2" ht="12.5" hidden="1">
      <c r="B7388" s="69"/>
    </row>
    <row r="7389" spans="2:2" ht="12.5" hidden="1">
      <c r="B7389" s="69"/>
    </row>
    <row r="7390" spans="2:2" ht="12.5" hidden="1">
      <c r="B7390" s="69"/>
    </row>
    <row r="7391" spans="2:2" ht="12.5" hidden="1">
      <c r="B7391" s="69"/>
    </row>
    <row r="7392" spans="2:2" ht="12.5" hidden="1">
      <c r="B7392" s="69"/>
    </row>
    <row r="7393" spans="2:2" ht="12.5" hidden="1">
      <c r="B7393" s="69"/>
    </row>
    <row r="7394" spans="2:2" ht="12.5" hidden="1">
      <c r="B7394" s="69"/>
    </row>
    <row r="7395" spans="2:2" ht="12.5" hidden="1">
      <c r="B7395" s="69"/>
    </row>
    <row r="7396" spans="2:2" ht="12.5" hidden="1">
      <c r="B7396" s="69"/>
    </row>
    <row r="7397" spans="2:2" ht="12.5" hidden="1">
      <c r="B7397" s="69"/>
    </row>
    <row r="7398" spans="2:2" ht="12.5" hidden="1">
      <c r="B7398" s="69"/>
    </row>
    <row r="7399" spans="2:2" ht="12.5" hidden="1">
      <c r="B7399" s="69"/>
    </row>
    <row r="7400" spans="2:2" ht="12.5" hidden="1">
      <c r="B7400" s="69"/>
    </row>
    <row r="7401" spans="2:2" ht="12.5" hidden="1">
      <c r="B7401" s="69"/>
    </row>
    <row r="7402" spans="2:2" ht="12.5" hidden="1">
      <c r="B7402" s="69"/>
    </row>
    <row r="7403" spans="2:2" ht="12.5" hidden="1">
      <c r="B7403" s="69"/>
    </row>
    <row r="7404" spans="2:2" ht="12.5" hidden="1">
      <c r="B7404" s="69"/>
    </row>
    <row r="7405" spans="2:2" ht="12.5" hidden="1">
      <c r="B7405" s="69"/>
    </row>
    <row r="7406" spans="2:2" ht="12.5" hidden="1">
      <c r="B7406" s="69"/>
    </row>
    <row r="7407" spans="2:2" ht="12.5" hidden="1">
      <c r="B7407" s="69"/>
    </row>
    <row r="7408" spans="2:2" ht="12.5" hidden="1">
      <c r="B7408" s="69"/>
    </row>
    <row r="7409" spans="2:2" ht="12.5" hidden="1">
      <c r="B7409" s="69"/>
    </row>
    <row r="7410" spans="2:2" ht="12.5" hidden="1">
      <c r="B7410" s="69"/>
    </row>
    <row r="7411" spans="2:2" ht="12.5" hidden="1">
      <c r="B7411" s="69"/>
    </row>
    <row r="7412" spans="2:2" ht="12.5" hidden="1">
      <c r="B7412" s="69"/>
    </row>
    <row r="7413" spans="2:2" ht="12.5" hidden="1">
      <c r="B7413" s="69"/>
    </row>
    <row r="7414" spans="2:2" ht="12.5" hidden="1">
      <c r="B7414" s="69"/>
    </row>
    <row r="7415" spans="2:2" ht="12.5" hidden="1">
      <c r="B7415" s="69"/>
    </row>
    <row r="7416" spans="2:2" ht="12.5" hidden="1">
      <c r="B7416" s="69"/>
    </row>
    <row r="7417" spans="2:2" ht="12.5" hidden="1">
      <c r="B7417" s="69"/>
    </row>
    <row r="7418" spans="2:2" ht="12.5" hidden="1">
      <c r="B7418" s="69"/>
    </row>
    <row r="7419" spans="2:2" ht="12.5" hidden="1">
      <c r="B7419" s="69"/>
    </row>
    <row r="7420" spans="2:2" ht="12.5" hidden="1">
      <c r="B7420" s="69"/>
    </row>
    <row r="7421" spans="2:2" ht="12.5" hidden="1">
      <c r="B7421" s="69"/>
    </row>
    <row r="7422" spans="2:2" ht="12.5" hidden="1">
      <c r="B7422" s="69"/>
    </row>
    <row r="7423" spans="2:2" ht="12.5" hidden="1">
      <c r="B7423" s="69"/>
    </row>
    <row r="7424" spans="2:2" ht="12.5" hidden="1">
      <c r="B7424" s="69"/>
    </row>
    <row r="7425" spans="2:2" ht="12.5" hidden="1">
      <c r="B7425" s="69"/>
    </row>
    <row r="7426" spans="2:2" ht="12.5" hidden="1">
      <c r="B7426" s="69"/>
    </row>
    <row r="7427" spans="2:2" ht="12.5" hidden="1">
      <c r="B7427" s="69"/>
    </row>
    <row r="7428" spans="2:2" ht="12.5" hidden="1">
      <c r="B7428" s="69"/>
    </row>
    <row r="7429" spans="2:2" ht="12.5" hidden="1">
      <c r="B7429" s="69"/>
    </row>
    <row r="7430" spans="2:2" ht="12.5" hidden="1">
      <c r="B7430" s="69"/>
    </row>
    <row r="7431" spans="2:2" ht="12.5" hidden="1">
      <c r="B7431" s="69"/>
    </row>
    <row r="7432" spans="2:2" ht="12.5" hidden="1">
      <c r="B7432" s="69"/>
    </row>
    <row r="7433" spans="2:2" ht="12.5" hidden="1">
      <c r="B7433" s="69"/>
    </row>
    <row r="7434" spans="2:2" ht="12.5" hidden="1">
      <c r="B7434" s="69"/>
    </row>
    <row r="7435" spans="2:2" ht="12.5" hidden="1">
      <c r="B7435" s="69"/>
    </row>
    <row r="7436" spans="2:2" ht="12.5" hidden="1">
      <c r="B7436" s="69"/>
    </row>
    <row r="7437" spans="2:2" ht="12.5" hidden="1">
      <c r="B7437" s="69"/>
    </row>
    <row r="7438" spans="2:2" ht="12.5" hidden="1">
      <c r="B7438" s="69"/>
    </row>
    <row r="7439" spans="2:2" ht="12.5" hidden="1">
      <c r="B7439" s="69"/>
    </row>
    <row r="7440" spans="2:2" ht="12.5" hidden="1">
      <c r="B7440" s="69"/>
    </row>
    <row r="7441" spans="2:2" ht="12.5" hidden="1">
      <c r="B7441" s="69"/>
    </row>
    <row r="7442" spans="2:2" ht="12.5" hidden="1">
      <c r="B7442" s="69"/>
    </row>
    <row r="7443" spans="2:2" ht="12.5" hidden="1">
      <c r="B7443" s="69"/>
    </row>
    <row r="7444" spans="2:2" ht="12.5" hidden="1">
      <c r="B7444" s="69"/>
    </row>
    <row r="7445" spans="2:2" ht="12.5" hidden="1">
      <c r="B7445" s="69"/>
    </row>
    <row r="7446" spans="2:2" ht="12.5" hidden="1">
      <c r="B7446" s="69"/>
    </row>
    <row r="7447" spans="2:2" ht="12.5" hidden="1">
      <c r="B7447" s="69"/>
    </row>
    <row r="7448" spans="2:2" ht="12.5" hidden="1">
      <c r="B7448" s="69"/>
    </row>
    <row r="7449" spans="2:2" ht="12.5" hidden="1">
      <c r="B7449" s="69"/>
    </row>
    <row r="7450" spans="2:2" ht="12.5" hidden="1">
      <c r="B7450" s="69"/>
    </row>
    <row r="7451" spans="2:2" ht="12.5" hidden="1">
      <c r="B7451" s="69"/>
    </row>
    <row r="7452" spans="2:2" ht="12.5" hidden="1">
      <c r="B7452" s="69"/>
    </row>
    <row r="7453" spans="2:2" ht="12.5" hidden="1">
      <c r="B7453" s="69"/>
    </row>
    <row r="7454" spans="2:2" ht="12.5" hidden="1">
      <c r="B7454" s="69"/>
    </row>
    <row r="7455" spans="2:2" ht="12.5" hidden="1">
      <c r="B7455" s="69"/>
    </row>
    <row r="7456" spans="2:2" ht="12.5" hidden="1">
      <c r="B7456" s="69"/>
    </row>
    <row r="7457" spans="2:2" ht="12.5" hidden="1">
      <c r="B7457" s="69"/>
    </row>
    <row r="7458" spans="2:2" ht="12.5" hidden="1">
      <c r="B7458" s="69"/>
    </row>
    <row r="7459" spans="2:2" ht="12.5" hidden="1">
      <c r="B7459" s="69"/>
    </row>
    <row r="7460" spans="2:2" ht="12.5" hidden="1">
      <c r="B7460" s="69"/>
    </row>
    <row r="7461" spans="2:2" ht="12.5" hidden="1">
      <c r="B7461" s="69"/>
    </row>
    <row r="7462" spans="2:2" ht="12.5" hidden="1">
      <c r="B7462" s="69"/>
    </row>
    <row r="7463" spans="2:2" ht="12.5" hidden="1">
      <c r="B7463" s="69"/>
    </row>
    <row r="7464" spans="2:2" ht="12.5" hidden="1">
      <c r="B7464" s="69"/>
    </row>
    <row r="7465" spans="2:2" ht="12.5" hidden="1">
      <c r="B7465" s="69"/>
    </row>
    <row r="7466" spans="2:2" ht="12.5" hidden="1">
      <c r="B7466" s="69"/>
    </row>
    <row r="7467" spans="2:2" ht="12.5" hidden="1">
      <c r="B7467" s="69"/>
    </row>
    <row r="7468" spans="2:2" ht="12.5" hidden="1">
      <c r="B7468" s="69"/>
    </row>
    <row r="7469" spans="2:2" ht="12.5" hidden="1">
      <c r="B7469" s="69"/>
    </row>
    <row r="7470" spans="2:2" ht="12.5" hidden="1">
      <c r="B7470" s="69"/>
    </row>
    <row r="7471" spans="2:2" ht="12.5" hidden="1">
      <c r="B7471" s="69"/>
    </row>
    <row r="7472" spans="2:2" ht="12.5" hidden="1">
      <c r="B7472" s="69"/>
    </row>
    <row r="7473" spans="2:2" ht="12.5" hidden="1">
      <c r="B7473" s="69"/>
    </row>
    <row r="7474" spans="2:2" ht="12.5" hidden="1">
      <c r="B7474" s="69"/>
    </row>
    <row r="7475" spans="2:2" ht="12.5" hidden="1">
      <c r="B7475" s="69"/>
    </row>
    <row r="7476" spans="2:2" ht="12.5" hidden="1">
      <c r="B7476" s="69"/>
    </row>
    <row r="7477" spans="2:2" ht="12.5" hidden="1">
      <c r="B7477" s="69"/>
    </row>
    <row r="7478" spans="2:2" ht="12.5" hidden="1">
      <c r="B7478" s="69"/>
    </row>
    <row r="7479" spans="2:2" ht="12.5" hidden="1">
      <c r="B7479" s="69"/>
    </row>
    <row r="7480" spans="2:2" ht="12.5" hidden="1">
      <c r="B7480" s="69"/>
    </row>
    <row r="7481" spans="2:2" ht="12.5" hidden="1">
      <c r="B7481" s="69"/>
    </row>
    <row r="7482" spans="2:2" ht="12.5" hidden="1">
      <c r="B7482" s="69"/>
    </row>
    <row r="7483" spans="2:2" ht="12.5" hidden="1">
      <c r="B7483" s="69"/>
    </row>
    <row r="7484" spans="2:2" ht="12.5" hidden="1">
      <c r="B7484" s="69"/>
    </row>
    <row r="7485" spans="2:2" ht="12.5" hidden="1">
      <c r="B7485" s="69"/>
    </row>
    <row r="7486" spans="2:2" ht="12.5" hidden="1">
      <c r="B7486" s="69"/>
    </row>
    <row r="7487" spans="2:2" ht="12.5" hidden="1">
      <c r="B7487" s="69"/>
    </row>
    <row r="7488" spans="2:2" ht="12.5" hidden="1">
      <c r="B7488" s="69"/>
    </row>
    <row r="7489" spans="2:2" ht="12.5" hidden="1">
      <c r="B7489" s="69"/>
    </row>
    <row r="7490" spans="2:2" ht="12.5" hidden="1">
      <c r="B7490" s="69"/>
    </row>
    <row r="7491" spans="2:2" ht="12.5" hidden="1">
      <c r="B7491" s="69"/>
    </row>
    <row r="7492" spans="2:2" ht="12.5" hidden="1">
      <c r="B7492" s="69"/>
    </row>
    <row r="7493" spans="2:2" ht="12.5" hidden="1">
      <c r="B7493" s="69"/>
    </row>
    <row r="7494" spans="2:2" ht="12.5" hidden="1">
      <c r="B7494" s="69"/>
    </row>
    <row r="7495" spans="2:2" ht="12.5" hidden="1">
      <c r="B7495" s="69"/>
    </row>
    <row r="7496" spans="2:2" ht="12.5" hidden="1">
      <c r="B7496" s="69"/>
    </row>
    <row r="7497" spans="2:2" ht="12.5" hidden="1">
      <c r="B7497" s="69"/>
    </row>
    <row r="7498" spans="2:2" ht="12.5" hidden="1">
      <c r="B7498" s="69"/>
    </row>
    <row r="7499" spans="2:2" ht="12.5" hidden="1">
      <c r="B7499" s="69"/>
    </row>
    <row r="7500" spans="2:2" ht="12.5" hidden="1">
      <c r="B7500" s="69"/>
    </row>
    <row r="7501" spans="2:2" ht="12.5" hidden="1">
      <c r="B7501" s="69"/>
    </row>
    <row r="7502" spans="2:2" ht="12.5" hidden="1">
      <c r="B7502" s="69"/>
    </row>
    <row r="7503" spans="2:2" ht="12.5" hidden="1">
      <c r="B7503" s="69"/>
    </row>
    <row r="7504" spans="2:2" ht="12.5" hidden="1">
      <c r="B7504" s="69"/>
    </row>
    <row r="7505" spans="2:2" ht="12.5" hidden="1">
      <c r="B7505" s="69"/>
    </row>
    <row r="7506" spans="2:2" ht="12.5" hidden="1">
      <c r="B7506" s="69"/>
    </row>
    <row r="7507" spans="2:2" ht="12.5" hidden="1">
      <c r="B7507" s="69"/>
    </row>
    <row r="7508" spans="2:2" ht="12.5" hidden="1">
      <c r="B7508" s="69"/>
    </row>
    <row r="7509" spans="2:2" ht="12.5" hidden="1">
      <c r="B7509" s="69"/>
    </row>
    <row r="7510" spans="2:2" ht="12.5" hidden="1">
      <c r="B7510" s="69"/>
    </row>
    <row r="7511" spans="2:2" ht="12.5" hidden="1">
      <c r="B7511" s="69"/>
    </row>
    <row r="7512" spans="2:2" ht="12.5" hidden="1">
      <c r="B7512" s="69"/>
    </row>
    <row r="7513" spans="2:2" ht="12.5" hidden="1">
      <c r="B7513" s="69"/>
    </row>
    <row r="7514" spans="2:2" ht="12.5" hidden="1">
      <c r="B7514" s="69"/>
    </row>
    <row r="7515" spans="2:2" ht="12.5" hidden="1">
      <c r="B7515" s="69"/>
    </row>
    <row r="7516" spans="2:2" ht="12.5" hidden="1">
      <c r="B7516" s="69"/>
    </row>
    <row r="7517" spans="2:2" ht="12.5" hidden="1">
      <c r="B7517" s="69"/>
    </row>
    <row r="7518" spans="2:2" ht="12.5" hidden="1">
      <c r="B7518" s="69"/>
    </row>
    <row r="7519" spans="2:2" ht="12.5" hidden="1">
      <c r="B7519" s="69"/>
    </row>
    <row r="7520" spans="2:2" ht="12.5" hidden="1">
      <c r="B7520" s="69"/>
    </row>
    <row r="7521" spans="2:2" ht="12.5" hidden="1">
      <c r="B7521" s="69"/>
    </row>
    <row r="7522" spans="2:2" ht="12.5" hidden="1">
      <c r="B7522" s="69"/>
    </row>
    <row r="7523" spans="2:2" ht="12.5" hidden="1">
      <c r="B7523" s="69"/>
    </row>
    <row r="7524" spans="2:2" ht="12.5" hidden="1">
      <c r="B7524" s="69"/>
    </row>
    <row r="7525" spans="2:2" ht="12.5" hidden="1">
      <c r="B7525" s="69"/>
    </row>
    <row r="7526" spans="2:2" ht="12.5" hidden="1">
      <c r="B7526" s="69"/>
    </row>
    <row r="7527" spans="2:2" ht="12.5" hidden="1">
      <c r="B7527" s="69"/>
    </row>
    <row r="7528" spans="2:2" ht="12.5" hidden="1">
      <c r="B7528" s="69"/>
    </row>
    <row r="7529" spans="2:2" ht="12.5" hidden="1">
      <c r="B7529" s="69"/>
    </row>
    <row r="7530" spans="2:2" ht="12.5" hidden="1">
      <c r="B7530" s="69"/>
    </row>
    <row r="7531" spans="2:2" ht="12.5" hidden="1">
      <c r="B7531" s="69"/>
    </row>
    <row r="7532" spans="2:2" ht="12.5" hidden="1">
      <c r="B7532" s="69"/>
    </row>
    <row r="7533" spans="2:2" ht="12.5" hidden="1">
      <c r="B7533" s="69"/>
    </row>
    <row r="7534" spans="2:2" ht="12.5" hidden="1">
      <c r="B7534" s="69"/>
    </row>
    <row r="7535" spans="2:2" ht="12.5" hidden="1">
      <c r="B7535" s="69"/>
    </row>
    <row r="7536" spans="2:2" ht="12.5" hidden="1">
      <c r="B7536" s="69"/>
    </row>
    <row r="7537" spans="2:2" ht="12.5" hidden="1">
      <c r="B7537" s="69"/>
    </row>
    <row r="7538" spans="2:2" ht="12.5" hidden="1">
      <c r="B7538" s="69"/>
    </row>
    <row r="7539" spans="2:2" ht="12.5" hidden="1">
      <c r="B7539" s="69"/>
    </row>
    <row r="7540" spans="2:2" ht="12.5" hidden="1">
      <c r="B7540" s="69"/>
    </row>
    <row r="7541" spans="2:2" ht="12.5" hidden="1">
      <c r="B7541" s="69"/>
    </row>
    <row r="7542" spans="2:2" ht="12.5" hidden="1">
      <c r="B7542" s="69"/>
    </row>
    <row r="7543" spans="2:2" ht="12.5" hidden="1">
      <c r="B7543" s="69"/>
    </row>
    <row r="7544" spans="2:2" ht="12.5" hidden="1">
      <c r="B7544" s="69"/>
    </row>
    <row r="7545" spans="2:2" ht="12.5" hidden="1">
      <c r="B7545" s="69"/>
    </row>
    <row r="7546" spans="2:2" ht="12.5" hidden="1">
      <c r="B7546" s="69"/>
    </row>
    <row r="7547" spans="2:2" ht="12.5" hidden="1">
      <c r="B7547" s="69"/>
    </row>
    <row r="7548" spans="2:2" ht="12.5" hidden="1">
      <c r="B7548" s="69"/>
    </row>
    <row r="7549" spans="2:2" ht="12.5" hidden="1">
      <c r="B7549" s="69"/>
    </row>
    <row r="7550" spans="2:2" ht="12.5" hidden="1">
      <c r="B7550" s="69"/>
    </row>
    <row r="7551" spans="2:2" ht="12.5" hidden="1">
      <c r="B7551" s="69"/>
    </row>
    <row r="7552" spans="2:2" ht="12.5" hidden="1">
      <c r="B7552" s="69"/>
    </row>
    <row r="7553" spans="2:2" ht="12.5" hidden="1">
      <c r="B7553" s="69"/>
    </row>
    <row r="7554" spans="2:2" ht="12.5" hidden="1">
      <c r="B7554" s="69"/>
    </row>
    <row r="7555" spans="2:2" ht="12.5" hidden="1">
      <c r="B7555" s="69"/>
    </row>
    <row r="7556" spans="2:2" ht="12.5" hidden="1">
      <c r="B7556" s="69"/>
    </row>
    <row r="7557" spans="2:2" ht="12.5" hidden="1">
      <c r="B7557" s="69"/>
    </row>
    <row r="7558" spans="2:2" ht="12.5" hidden="1">
      <c r="B7558" s="69"/>
    </row>
    <row r="7559" spans="2:2" ht="12.5" hidden="1">
      <c r="B7559" s="69"/>
    </row>
    <row r="7560" spans="2:2" ht="12.5" hidden="1">
      <c r="B7560" s="69"/>
    </row>
    <row r="7561" spans="2:2" ht="12.5" hidden="1">
      <c r="B7561" s="69"/>
    </row>
    <row r="7562" spans="2:2" ht="12.5" hidden="1">
      <c r="B7562" s="69"/>
    </row>
    <row r="7563" spans="2:2" ht="12.5" hidden="1">
      <c r="B7563" s="69"/>
    </row>
    <row r="7564" spans="2:2" ht="12.5" hidden="1">
      <c r="B7564" s="69"/>
    </row>
    <row r="7565" spans="2:2" ht="12.5" hidden="1">
      <c r="B7565" s="69"/>
    </row>
    <row r="7566" spans="2:2" ht="12.5" hidden="1">
      <c r="B7566" s="69"/>
    </row>
    <row r="7567" spans="2:2" ht="12.5" hidden="1">
      <c r="B7567" s="69"/>
    </row>
    <row r="7568" spans="2:2" ht="12.5" hidden="1">
      <c r="B7568" s="69"/>
    </row>
    <row r="7569" spans="2:2" ht="12.5" hidden="1">
      <c r="B7569" s="69"/>
    </row>
    <row r="7570" spans="2:2" ht="12.5" hidden="1">
      <c r="B7570" s="69"/>
    </row>
    <row r="7571" spans="2:2" ht="12.5" hidden="1">
      <c r="B7571" s="69"/>
    </row>
    <row r="7572" spans="2:2" ht="12.5" hidden="1">
      <c r="B7572" s="69"/>
    </row>
    <row r="7573" spans="2:2" ht="12.5" hidden="1">
      <c r="B7573" s="69"/>
    </row>
    <row r="7574" spans="2:2" ht="12.5" hidden="1">
      <c r="B7574" s="69"/>
    </row>
    <row r="7575" spans="2:2" ht="12.5" hidden="1">
      <c r="B7575" s="69"/>
    </row>
    <row r="7576" spans="2:2" ht="12.5" hidden="1">
      <c r="B7576" s="69"/>
    </row>
    <row r="7577" spans="2:2" ht="12.5" hidden="1">
      <c r="B7577" s="69"/>
    </row>
    <row r="7578" spans="2:2" ht="12.5" hidden="1">
      <c r="B7578" s="69"/>
    </row>
    <row r="7579" spans="2:2" ht="12.5" hidden="1">
      <c r="B7579" s="69"/>
    </row>
    <row r="7580" spans="2:2" ht="12.5" hidden="1">
      <c r="B7580" s="69"/>
    </row>
    <row r="7581" spans="2:2" ht="12.5" hidden="1">
      <c r="B7581" s="69"/>
    </row>
    <row r="7582" spans="2:2" ht="12.5" hidden="1">
      <c r="B7582" s="69"/>
    </row>
    <row r="7583" spans="2:2" ht="12.5" hidden="1">
      <c r="B7583" s="69"/>
    </row>
    <row r="7584" spans="2:2" ht="12.5" hidden="1">
      <c r="B7584" s="69"/>
    </row>
    <row r="7585" spans="2:2" ht="12.5" hidden="1">
      <c r="B7585" s="69"/>
    </row>
    <row r="7586" spans="2:2" ht="12.5" hidden="1">
      <c r="B7586" s="69"/>
    </row>
    <row r="7587" spans="2:2" ht="12.5" hidden="1">
      <c r="B7587" s="69"/>
    </row>
    <row r="7588" spans="2:2" ht="12.5" hidden="1">
      <c r="B7588" s="69"/>
    </row>
    <row r="7589" spans="2:2" ht="12.5" hidden="1">
      <c r="B7589" s="69"/>
    </row>
    <row r="7590" spans="2:2" ht="12.5" hidden="1">
      <c r="B7590" s="69"/>
    </row>
    <row r="7591" spans="2:2" ht="12.5" hidden="1">
      <c r="B7591" s="69"/>
    </row>
    <row r="7592" spans="2:2" ht="12.5" hidden="1">
      <c r="B7592" s="69"/>
    </row>
    <row r="7593" spans="2:2" ht="12.5" hidden="1">
      <c r="B7593" s="69"/>
    </row>
    <row r="7594" spans="2:2" ht="12.5" hidden="1">
      <c r="B7594" s="69"/>
    </row>
    <row r="7595" spans="2:2" ht="12.5" hidden="1">
      <c r="B7595" s="69"/>
    </row>
    <row r="7596" spans="2:2" ht="12.5" hidden="1">
      <c r="B7596" s="69"/>
    </row>
    <row r="7597" spans="2:2" ht="12.5" hidden="1">
      <c r="B7597" s="69"/>
    </row>
    <row r="7598" spans="2:2" ht="12.5" hidden="1">
      <c r="B7598" s="69"/>
    </row>
    <row r="7599" spans="2:2" ht="12.5" hidden="1">
      <c r="B7599" s="69"/>
    </row>
    <row r="7600" spans="2:2" ht="12.5" hidden="1">
      <c r="B7600" s="69"/>
    </row>
    <row r="7601" spans="2:2" ht="12.5" hidden="1">
      <c r="B7601" s="69"/>
    </row>
    <row r="7602" spans="2:2" ht="12.5" hidden="1">
      <c r="B7602" s="69"/>
    </row>
    <row r="7603" spans="2:2" ht="12.5" hidden="1">
      <c r="B7603" s="69"/>
    </row>
    <row r="7604" spans="2:2" ht="12.5" hidden="1">
      <c r="B7604" s="69"/>
    </row>
    <row r="7605" spans="2:2" ht="12.5" hidden="1">
      <c r="B7605" s="69"/>
    </row>
    <row r="7606" spans="2:2" ht="12.5" hidden="1">
      <c r="B7606" s="69"/>
    </row>
    <row r="7607" spans="2:2" ht="12.5" hidden="1">
      <c r="B7607" s="69"/>
    </row>
    <row r="7608" spans="2:2" ht="12.5" hidden="1">
      <c r="B7608" s="69"/>
    </row>
    <row r="7609" spans="2:2" ht="12.5" hidden="1">
      <c r="B7609" s="69"/>
    </row>
    <row r="7610" spans="2:2" ht="12.5" hidden="1">
      <c r="B7610" s="69"/>
    </row>
    <row r="7611" spans="2:2" ht="12.5" hidden="1">
      <c r="B7611" s="69"/>
    </row>
    <row r="7612" spans="2:2" ht="12.5" hidden="1">
      <c r="B7612" s="69"/>
    </row>
    <row r="7613" spans="2:2" ht="12.5" hidden="1">
      <c r="B7613" s="69"/>
    </row>
    <row r="7614" spans="2:2" ht="12.5" hidden="1">
      <c r="B7614" s="69"/>
    </row>
    <row r="7615" spans="2:2" ht="12.5" hidden="1">
      <c r="B7615" s="69"/>
    </row>
    <row r="7616" spans="2:2" ht="12.5" hidden="1">
      <c r="B7616" s="69"/>
    </row>
    <row r="7617" spans="2:2" ht="12.5" hidden="1">
      <c r="B7617" s="69"/>
    </row>
    <row r="7618" spans="2:2" ht="12.5" hidden="1">
      <c r="B7618" s="69"/>
    </row>
    <row r="7619" spans="2:2" ht="12.5" hidden="1">
      <c r="B7619" s="69"/>
    </row>
    <row r="7620" spans="2:2" ht="12.5" hidden="1">
      <c r="B7620" s="69"/>
    </row>
    <row r="7621" spans="2:2" ht="12.5" hidden="1">
      <c r="B7621" s="69"/>
    </row>
    <row r="7622" spans="2:2" ht="12.5" hidden="1">
      <c r="B7622" s="69"/>
    </row>
    <row r="7623" spans="2:2" ht="12.5" hidden="1">
      <c r="B7623" s="69"/>
    </row>
    <row r="7624" spans="2:2" ht="12.5" hidden="1">
      <c r="B7624" s="69"/>
    </row>
    <row r="7625" spans="2:2" ht="12.5" hidden="1">
      <c r="B7625" s="69"/>
    </row>
    <row r="7626" spans="2:2" ht="12.5" hidden="1">
      <c r="B7626" s="69"/>
    </row>
    <row r="7627" spans="2:2" ht="12.5" hidden="1">
      <c r="B7627" s="69"/>
    </row>
    <row r="7628" spans="2:2" ht="12.5" hidden="1">
      <c r="B7628" s="69"/>
    </row>
    <row r="7629" spans="2:2" ht="12.5" hidden="1">
      <c r="B7629" s="69"/>
    </row>
    <row r="7630" spans="2:2" ht="12.5" hidden="1">
      <c r="B7630" s="69"/>
    </row>
    <row r="7631" spans="2:2" ht="12.5" hidden="1">
      <c r="B7631" s="69"/>
    </row>
    <row r="7632" spans="2:2" ht="12.5" hidden="1">
      <c r="B7632" s="69"/>
    </row>
    <row r="7633" spans="2:2" ht="12.5" hidden="1">
      <c r="B7633" s="69"/>
    </row>
    <row r="7634" spans="2:2" ht="12.5" hidden="1">
      <c r="B7634" s="69"/>
    </row>
    <row r="7635" spans="2:2" ht="12.5" hidden="1">
      <c r="B7635" s="69"/>
    </row>
    <row r="7636" spans="2:2" ht="12.5" hidden="1">
      <c r="B7636" s="69"/>
    </row>
    <row r="7637" spans="2:2" ht="12.5" hidden="1">
      <c r="B7637" s="69"/>
    </row>
    <row r="7638" spans="2:2" ht="12.5" hidden="1">
      <c r="B7638" s="69"/>
    </row>
    <row r="7639" spans="2:2" ht="12.5" hidden="1">
      <c r="B7639" s="69"/>
    </row>
    <row r="7640" spans="2:2" ht="12.5" hidden="1">
      <c r="B7640" s="69"/>
    </row>
    <row r="7641" spans="2:2" ht="12.5" hidden="1">
      <c r="B7641" s="69"/>
    </row>
    <row r="7642" spans="2:2" ht="12.5" hidden="1">
      <c r="B7642" s="69"/>
    </row>
    <row r="7643" spans="2:2" ht="12.5" hidden="1">
      <c r="B7643" s="69"/>
    </row>
    <row r="7644" spans="2:2" ht="12.5" hidden="1">
      <c r="B7644" s="69"/>
    </row>
    <row r="7645" spans="2:2" ht="12.5" hidden="1">
      <c r="B7645" s="69"/>
    </row>
    <row r="7646" spans="2:2" ht="12.5" hidden="1">
      <c r="B7646" s="69"/>
    </row>
    <row r="7647" spans="2:2" ht="12.5" hidden="1">
      <c r="B7647" s="69"/>
    </row>
    <row r="7648" spans="2:2" ht="12.5" hidden="1">
      <c r="B7648" s="69"/>
    </row>
    <row r="7649" spans="2:2" ht="12.5" hidden="1">
      <c r="B7649" s="69"/>
    </row>
    <row r="7650" spans="2:2" ht="12.5" hidden="1">
      <c r="B7650" s="69"/>
    </row>
    <row r="7651" spans="2:2" ht="12.5" hidden="1">
      <c r="B7651" s="69"/>
    </row>
    <row r="7652" spans="2:2" ht="12.5" hidden="1">
      <c r="B7652" s="69"/>
    </row>
    <row r="7653" spans="2:2" ht="12.5" hidden="1">
      <c r="B7653" s="69"/>
    </row>
    <row r="7654" spans="2:2" ht="12.5" hidden="1">
      <c r="B7654" s="69"/>
    </row>
    <row r="7655" spans="2:2" ht="12.5" hidden="1">
      <c r="B7655" s="69"/>
    </row>
    <row r="7656" spans="2:2" ht="12.5" hidden="1">
      <c r="B7656" s="69"/>
    </row>
    <row r="7657" spans="2:2" ht="12.5" hidden="1">
      <c r="B7657" s="69"/>
    </row>
    <row r="7658" spans="2:2" ht="12.5" hidden="1">
      <c r="B7658" s="69"/>
    </row>
    <row r="7659" spans="2:2" ht="12.5" hidden="1">
      <c r="B7659" s="69"/>
    </row>
    <row r="7660" spans="2:2" ht="12.5" hidden="1">
      <c r="B7660" s="69"/>
    </row>
    <row r="7661" spans="2:2" ht="12.5" hidden="1">
      <c r="B7661" s="69"/>
    </row>
    <row r="7662" spans="2:2" ht="12.5" hidden="1">
      <c r="B7662" s="69"/>
    </row>
    <row r="7663" spans="2:2" ht="12.5" hidden="1">
      <c r="B7663" s="69"/>
    </row>
    <row r="7664" spans="2:2" ht="12.5" hidden="1">
      <c r="B7664" s="69"/>
    </row>
    <row r="7665" spans="2:2" ht="12.5" hidden="1">
      <c r="B7665" s="69"/>
    </row>
    <row r="7666" spans="2:2" ht="12.5" hidden="1">
      <c r="B7666" s="69"/>
    </row>
    <row r="7667" spans="2:2" ht="12.5" hidden="1">
      <c r="B7667" s="69"/>
    </row>
    <row r="7668" spans="2:2" ht="12.5" hidden="1">
      <c r="B7668" s="69"/>
    </row>
    <row r="7669" spans="2:2" ht="12.5" hidden="1">
      <c r="B7669" s="69"/>
    </row>
    <row r="7670" spans="2:2" ht="12.5" hidden="1">
      <c r="B7670" s="69"/>
    </row>
    <row r="7671" spans="2:2" ht="12.5" hidden="1">
      <c r="B7671" s="69"/>
    </row>
    <row r="7672" spans="2:2" ht="12.5" hidden="1">
      <c r="B7672" s="69"/>
    </row>
    <row r="7673" spans="2:2" ht="12.5" hidden="1">
      <c r="B7673" s="69"/>
    </row>
    <row r="7674" spans="2:2" ht="12.5" hidden="1">
      <c r="B7674" s="69"/>
    </row>
    <row r="7675" spans="2:2" ht="12.5" hidden="1">
      <c r="B7675" s="69"/>
    </row>
    <row r="7676" spans="2:2" ht="12.5" hidden="1">
      <c r="B7676" s="69"/>
    </row>
    <row r="7677" spans="2:2" ht="12.5" hidden="1">
      <c r="B7677" s="69"/>
    </row>
    <row r="7678" spans="2:2" ht="12.5" hidden="1">
      <c r="B7678" s="69"/>
    </row>
    <row r="7679" spans="2:2" ht="12.5" hidden="1">
      <c r="B7679" s="69"/>
    </row>
    <row r="7680" spans="2:2" ht="12.5" hidden="1">
      <c r="B7680" s="69"/>
    </row>
    <row r="7681" spans="2:2" ht="12.5" hidden="1">
      <c r="B7681" s="69"/>
    </row>
    <row r="7682" spans="2:2" ht="12.5" hidden="1">
      <c r="B7682" s="69"/>
    </row>
    <row r="7683" spans="2:2" ht="12.5" hidden="1">
      <c r="B7683" s="69"/>
    </row>
    <row r="7684" spans="2:2" ht="12.5" hidden="1">
      <c r="B7684" s="69"/>
    </row>
    <row r="7685" spans="2:2" ht="12.5" hidden="1">
      <c r="B7685" s="69"/>
    </row>
    <row r="7686" spans="2:2" ht="12.5" hidden="1">
      <c r="B7686" s="69"/>
    </row>
    <row r="7687" spans="2:2" ht="12.5" hidden="1">
      <c r="B7687" s="69"/>
    </row>
    <row r="7688" spans="2:2" ht="12.5" hidden="1">
      <c r="B7688" s="69"/>
    </row>
    <row r="7689" spans="2:2" ht="12.5" hidden="1">
      <c r="B7689" s="69"/>
    </row>
    <row r="7690" spans="2:2" ht="12.5" hidden="1">
      <c r="B7690" s="69"/>
    </row>
    <row r="7691" spans="2:2" ht="12.5" hidden="1">
      <c r="B7691" s="69"/>
    </row>
    <row r="7692" spans="2:2" ht="12.5" hidden="1">
      <c r="B7692" s="69"/>
    </row>
    <row r="7693" spans="2:2" ht="12.5" hidden="1">
      <c r="B7693" s="69"/>
    </row>
    <row r="7694" spans="2:2" ht="12.5" hidden="1">
      <c r="B7694" s="69"/>
    </row>
    <row r="7695" spans="2:2" ht="12.5" hidden="1">
      <c r="B7695" s="69"/>
    </row>
    <row r="7696" spans="2:2" ht="12.5" hidden="1">
      <c r="B7696" s="69"/>
    </row>
    <row r="7697" spans="2:2" ht="12.5" hidden="1">
      <c r="B7697" s="69"/>
    </row>
    <row r="7698" spans="2:2" ht="12.5" hidden="1">
      <c r="B7698" s="69"/>
    </row>
    <row r="7699" spans="2:2" ht="12.5" hidden="1">
      <c r="B7699" s="69"/>
    </row>
    <row r="7700" spans="2:2" ht="12.5" hidden="1">
      <c r="B7700" s="69"/>
    </row>
    <row r="7701" spans="2:2" ht="12.5" hidden="1">
      <c r="B7701" s="69"/>
    </row>
    <row r="7702" spans="2:2" ht="12.5" hidden="1">
      <c r="B7702" s="69"/>
    </row>
    <row r="7703" spans="2:2" ht="12.5" hidden="1">
      <c r="B7703" s="69"/>
    </row>
    <row r="7704" spans="2:2" ht="12.5" hidden="1">
      <c r="B7704" s="69"/>
    </row>
    <row r="7705" spans="2:2" ht="12.5" hidden="1">
      <c r="B7705" s="69"/>
    </row>
    <row r="7706" spans="2:2" ht="12.5" hidden="1">
      <c r="B7706" s="69"/>
    </row>
    <row r="7707" spans="2:2" ht="12.5" hidden="1">
      <c r="B7707" s="69"/>
    </row>
    <row r="7708" spans="2:2" ht="12.5" hidden="1">
      <c r="B7708" s="69"/>
    </row>
    <row r="7709" spans="2:2" ht="12.5" hidden="1">
      <c r="B7709" s="69"/>
    </row>
    <row r="7710" spans="2:2" ht="12.5" hidden="1">
      <c r="B7710" s="69"/>
    </row>
    <row r="7711" spans="2:2" ht="12.5" hidden="1">
      <c r="B7711" s="69"/>
    </row>
    <row r="7712" spans="2:2" ht="12.5" hidden="1">
      <c r="B7712" s="69"/>
    </row>
    <row r="7713" spans="2:2" ht="12.5" hidden="1">
      <c r="B7713" s="69"/>
    </row>
    <row r="7714" spans="2:2" ht="12.5" hidden="1">
      <c r="B7714" s="69"/>
    </row>
    <row r="7715" spans="2:2" ht="12.5" hidden="1">
      <c r="B7715" s="69"/>
    </row>
    <row r="7716" spans="2:2" ht="12.5" hidden="1">
      <c r="B7716" s="69"/>
    </row>
    <row r="7717" spans="2:2" ht="12.5" hidden="1">
      <c r="B7717" s="69"/>
    </row>
    <row r="7718" spans="2:2" ht="12.5" hidden="1">
      <c r="B7718" s="69"/>
    </row>
    <row r="7719" spans="2:2" ht="12.5" hidden="1">
      <c r="B7719" s="69"/>
    </row>
    <row r="7720" spans="2:2" ht="12.5" hidden="1">
      <c r="B7720" s="69"/>
    </row>
    <row r="7721" spans="2:2" ht="12.5" hidden="1">
      <c r="B7721" s="69"/>
    </row>
    <row r="7722" spans="2:2" ht="12.5" hidden="1">
      <c r="B7722" s="69"/>
    </row>
    <row r="7723" spans="2:2" ht="12.5" hidden="1">
      <c r="B7723" s="69"/>
    </row>
    <row r="7724" spans="2:2" ht="12.5" hidden="1">
      <c r="B7724" s="69"/>
    </row>
    <row r="7725" spans="2:2" ht="12.5" hidden="1">
      <c r="B7725" s="69"/>
    </row>
    <row r="7726" spans="2:2" ht="12.5" hidden="1">
      <c r="B7726" s="69"/>
    </row>
    <row r="7727" spans="2:2" ht="12.5" hidden="1">
      <c r="B7727" s="69"/>
    </row>
    <row r="7728" spans="2:2" ht="12.5" hidden="1">
      <c r="B7728" s="69"/>
    </row>
    <row r="7729" spans="2:2" ht="12.5" hidden="1">
      <c r="B7729" s="69"/>
    </row>
    <row r="7730" spans="2:2" ht="12.5" hidden="1">
      <c r="B7730" s="69"/>
    </row>
    <row r="7731" spans="2:2" ht="12.5" hidden="1">
      <c r="B7731" s="69"/>
    </row>
    <row r="7732" spans="2:2" ht="12.5" hidden="1">
      <c r="B7732" s="69"/>
    </row>
    <row r="7733" spans="2:2" ht="12.5" hidden="1">
      <c r="B7733" s="69"/>
    </row>
    <row r="7734" spans="2:2" ht="12.5" hidden="1">
      <c r="B7734" s="69"/>
    </row>
    <row r="7735" spans="2:2" ht="12.5" hidden="1">
      <c r="B7735" s="69"/>
    </row>
    <row r="7736" spans="2:2" ht="12.5" hidden="1">
      <c r="B7736" s="69"/>
    </row>
    <row r="7737" spans="2:2" ht="12.5" hidden="1">
      <c r="B7737" s="69"/>
    </row>
    <row r="7738" spans="2:2" ht="12.5" hidden="1">
      <c r="B7738" s="69"/>
    </row>
    <row r="7739" spans="2:2" ht="12.5" hidden="1">
      <c r="B7739" s="69"/>
    </row>
    <row r="7740" spans="2:2" ht="12.5" hidden="1">
      <c r="B7740" s="69"/>
    </row>
    <row r="7741" spans="2:2" ht="12.5" hidden="1">
      <c r="B7741" s="69"/>
    </row>
    <row r="7742" spans="2:2" ht="12.5" hidden="1">
      <c r="B7742" s="69"/>
    </row>
    <row r="7743" spans="2:2" ht="12.5" hidden="1">
      <c r="B7743" s="69"/>
    </row>
    <row r="7744" spans="2:2" ht="12.5" hidden="1">
      <c r="B7744" s="69"/>
    </row>
    <row r="7745" spans="2:2" ht="12.5" hidden="1">
      <c r="B7745" s="69"/>
    </row>
    <row r="7746" spans="2:2" ht="12.5" hidden="1">
      <c r="B7746" s="69"/>
    </row>
    <row r="7747" spans="2:2" ht="12.5" hidden="1">
      <c r="B7747" s="69"/>
    </row>
    <row r="7748" spans="2:2" ht="12.5" hidden="1">
      <c r="B7748" s="69"/>
    </row>
    <row r="7749" spans="2:2" ht="12.5" hidden="1">
      <c r="B7749" s="69"/>
    </row>
    <row r="7750" spans="2:2" ht="12.5" hidden="1">
      <c r="B7750" s="69"/>
    </row>
    <row r="7751" spans="2:2" ht="12.5" hidden="1">
      <c r="B7751" s="69"/>
    </row>
    <row r="7752" spans="2:2" ht="12.5" hidden="1">
      <c r="B7752" s="69"/>
    </row>
    <row r="7753" spans="2:2" ht="12.5" hidden="1">
      <c r="B7753" s="69"/>
    </row>
    <row r="7754" spans="2:2" ht="12.5" hidden="1">
      <c r="B7754" s="69"/>
    </row>
    <row r="7755" spans="2:2" ht="12.5" hidden="1">
      <c r="B7755" s="69"/>
    </row>
    <row r="7756" spans="2:2" ht="12.5" hidden="1">
      <c r="B7756" s="69"/>
    </row>
    <row r="7757" spans="2:2" ht="12.5" hidden="1">
      <c r="B7757" s="69"/>
    </row>
    <row r="7758" spans="2:2" ht="12.5" hidden="1">
      <c r="B7758" s="69"/>
    </row>
    <row r="7759" spans="2:2" ht="12.5" hidden="1">
      <c r="B7759" s="69"/>
    </row>
    <row r="7760" spans="2:2" ht="12.5" hidden="1">
      <c r="B7760" s="69"/>
    </row>
    <row r="7761" spans="2:2" ht="12.5" hidden="1">
      <c r="B7761" s="69"/>
    </row>
    <row r="7762" spans="2:2" ht="12.5" hidden="1">
      <c r="B7762" s="69"/>
    </row>
    <row r="7763" spans="2:2" ht="12.5" hidden="1">
      <c r="B7763" s="69"/>
    </row>
    <row r="7764" spans="2:2" ht="12.5" hidden="1">
      <c r="B7764" s="69"/>
    </row>
    <row r="7765" spans="2:2" ht="12.5" hidden="1">
      <c r="B7765" s="69"/>
    </row>
    <row r="7766" spans="2:2" ht="12.5" hidden="1">
      <c r="B7766" s="69"/>
    </row>
    <row r="7767" spans="2:2" ht="12.5" hidden="1">
      <c r="B7767" s="69"/>
    </row>
    <row r="7768" spans="2:2" ht="12.5" hidden="1">
      <c r="B7768" s="69"/>
    </row>
    <row r="7769" spans="2:2" ht="12.5" hidden="1">
      <c r="B7769" s="69"/>
    </row>
    <row r="7770" spans="2:2" ht="12.5" hidden="1">
      <c r="B7770" s="69"/>
    </row>
    <row r="7771" spans="2:2" ht="12.5" hidden="1">
      <c r="B7771" s="69"/>
    </row>
    <row r="7772" spans="2:2" ht="12.5" hidden="1">
      <c r="B7772" s="69"/>
    </row>
    <row r="7773" spans="2:2" ht="12.5" hidden="1">
      <c r="B7773" s="69"/>
    </row>
    <row r="7774" spans="2:2" ht="12.5" hidden="1">
      <c r="B7774" s="69"/>
    </row>
    <row r="7775" spans="2:2" ht="12.5" hidden="1">
      <c r="B7775" s="69"/>
    </row>
    <row r="7776" spans="2:2" ht="12.5" hidden="1">
      <c r="B7776" s="69"/>
    </row>
    <row r="7777" spans="2:2" ht="12.5" hidden="1">
      <c r="B7777" s="69"/>
    </row>
    <row r="7778" spans="2:2" ht="12.5" hidden="1">
      <c r="B7778" s="69"/>
    </row>
    <row r="7779" spans="2:2" ht="12.5" hidden="1">
      <c r="B7779" s="69"/>
    </row>
    <row r="7780" spans="2:2" ht="12.5" hidden="1">
      <c r="B7780" s="69"/>
    </row>
    <row r="7781" spans="2:2" ht="12.5" hidden="1">
      <c r="B7781" s="69"/>
    </row>
    <row r="7782" spans="2:2" ht="12.5" hidden="1">
      <c r="B7782" s="69"/>
    </row>
    <row r="7783" spans="2:2" ht="12.5" hidden="1">
      <c r="B7783" s="69"/>
    </row>
    <row r="7784" spans="2:2" ht="12.5" hidden="1">
      <c r="B7784" s="69"/>
    </row>
    <row r="7785" spans="2:2" ht="12.5" hidden="1">
      <c r="B7785" s="69"/>
    </row>
    <row r="7786" spans="2:2" ht="12.5" hidden="1">
      <c r="B7786" s="69"/>
    </row>
    <row r="7787" spans="2:2" ht="12.5" hidden="1">
      <c r="B7787" s="69"/>
    </row>
    <row r="7788" spans="2:2" ht="12.5" hidden="1">
      <c r="B7788" s="69"/>
    </row>
    <row r="7789" spans="2:2" ht="12.5" hidden="1">
      <c r="B7789" s="69"/>
    </row>
    <row r="7790" spans="2:2" ht="12.5" hidden="1">
      <c r="B7790" s="69"/>
    </row>
    <row r="7791" spans="2:2" ht="12.5" hidden="1">
      <c r="B7791" s="69"/>
    </row>
    <row r="7792" spans="2:2" ht="12.5" hidden="1">
      <c r="B7792" s="69"/>
    </row>
    <row r="7793" spans="2:2" ht="12.5" hidden="1">
      <c r="B7793" s="69"/>
    </row>
    <row r="7794" spans="2:2" ht="12.5" hidden="1">
      <c r="B7794" s="69"/>
    </row>
    <row r="7795" spans="2:2" ht="12.5" hidden="1">
      <c r="B7795" s="69"/>
    </row>
    <row r="7796" spans="2:2" ht="12.5" hidden="1">
      <c r="B7796" s="69"/>
    </row>
    <row r="7797" spans="2:2" ht="12.5" hidden="1">
      <c r="B7797" s="69"/>
    </row>
    <row r="7798" spans="2:2" ht="12.5" hidden="1">
      <c r="B7798" s="69"/>
    </row>
    <row r="7799" spans="2:2" ht="12.5" hidden="1">
      <c r="B7799" s="69"/>
    </row>
    <row r="7800" spans="2:2" ht="12.5" hidden="1">
      <c r="B7800" s="69"/>
    </row>
    <row r="7801" spans="2:2" ht="12.5" hidden="1">
      <c r="B7801" s="69"/>
    </row>
    <row r="7802" spans="2:2" ht="12.5" hidden="1">
      <c r="B7802" s="69"/>
    </row>
    <row r="7803" spans="2:2" ht="12.5" hidden="1">
      <c r="B7803" s="69"/>
    </row>
    <row r="7804" spans="2:2" ht="12.5" hidden="1">
      <c r="B7804" s="69"/>
    </row>
    <row r="7805" spans="2:2" ht="12.5" hidden="1">
      <c r="B7805" s="69"/>
    </row>
    <row r="7806" spans="2:2" ht="12.5" hidden="1">
      <c r="B7806" s="69"/>
    </row>
    <row r="7807" spans="2:2" ht="12.5" hidden="1">
      <c r="B7807" s="69"/>
    </row>
    <row r="7808" spans="2:2" ht="12.5" hidden="1">
      <c r="B7808" s="69"/>
    </row>
    <row r="7809" spans="2:2" ht="12.5" hidden="1">
      <c r="B7809" s="69"/>
    </row>
    <row r="7810" spans="2:2" ht="12.5" hidden="1">
      <c r="B7810" s="69"/>
    </row>
    <row r="7811" spans="2:2" ht="12.5" hidden="1">
      <c r="B7811" s="69"/>
    </row>
    <row r="7812" spans="2:2" ht="12.5" hidden="1">
      <c r="B7812" s="69"/>
    </row>
    <row r="7813" spans="2:2" ht="12.5" hidden="1">
      <c r="B7813" s="69"/>
    </row>
    <row r="7814" spans="2:2" ht="12.5" hidden="1">
      <c r="B7814" s="69"/>
    </row>
    <row r="7815" spans="2:2" ht="12.5" hidden="1">
      <c r="B7815" s="69"/>
    </row>
    <row r="7816" spans="2:2" ht="12.5" hidden="1">
      <c r="B7816" s="69"/>
    </row>
    <row r="7817" spans="2:2" ht="12.5" hidden="1">
      <c r="B7817" s="69"/>
    </row>
    <row r="7818" spans="2:2" ht="12.5" hidden="1">
      <c r="B7818" s="69"/>
    </row>
    <row r="7819" spans="2:2" ht="12.5" hidden="1">
      <c r="B7819" s="69"/>
    </row>
    <row r="7820" spans="2:2" ht="12.5" hidden="1">
      <c r="B7820" s="69"/>
    </row>
    <row r="7821" spans="2:2" ht="12.5" hidden="1">
      <c r="B7821" s="69"/>
    </row>
    <row r="7822" spans="2:2" ht="12.5" hidden="1">
      <c r="B7822" s="69"/>
    </row>
    <row r="7823" spans="2:2" ht="12.5" hidden="1">
      <c r="B7823" s="69"/>
    </row>
    <row r="7824" spans="2:2" ht="12.5" hidden="1">
      <c r="B7824" s="69"/>
    </row>
    <row r="7825" spans="2:2" ht="12.5" hidden="1">
      <c r="B7825" s="69"/>
    </row>
    <row r="7826" spans="2:2" ht="12.5" hidden="1">
      <c r="B7826" s="69"/>
    </row>
    <row r="7827" spans="2:2" ht="12.5" hidden="1">
      <c r="B7827" s="69"/>
    </row>
    <row r="7828" spans="2:2" ht="12.5" hidden="1">
      <c r="B7828" s="69"/>
    </row>
    <row r="7829" spans="2:2" ht="12.5" hidden="1">
      <c r="B7829" s="69"/>
    </row>
    <row r="7830" spans="2:2" ht="12.5" hidden="1">
      <c r="B7830" s="69"/>
    </row>
    <row r="7831" spans="2:2" ht="12.5" hidden="1">
      <c r="B7831" s="69"/>
    </row>
    <row r="7832" spans="2:2" ht="12.5" hidden="1">
      <c r="B7832" s="69"/>
    </row>
    <row r="7833" spans="2:2" ht="12.5" hidden="1">
      <c r="B7833" s="69"/>
    </row>
    <row r="7834" spans="2:2" ht="12.5" hidden="1">
      <c r="B7834" s="69"/>
    </row>
    <row r="7835" spans="2:2" ht="12.5" hidden="1">
      <c r="B7835" s="69"/>
    </row>
    <row r="7836" spans="2:2" ht="12.5" hidden="1">
      <c r="B7836" s="69"/>
    </row>
    <row r="7837" spans="2:2" ht="12.5" hidden="1">
      <c r="B7837" s="69"/>
    </row>
    <row r="7838" spans="2:2" ht="12.5" hidden="1">
      <c r="B7838" s="69"/>
    </row>
    <row r="7839" spans="2:2" ht="12.5" hidden="1">
      <c r="B7839" s="69"/>
    </row>
    <row r="7840" spans="2:2" ht="12.5" hidden="1">
      <c r="B7840" s="69"/>
    </row>
    <row r="7841" spans="2:2" ht="12.5" hidden="1">
      <c r="B7841" s="69"/>
    </row>
    <row r="7842" spans="2:2" ht="12.5" hidden="1">
      <c r="B7842" s="69"/>
    </row>
    <row r="7843" spans="2:2" ht="12.5" hidden="1">
      <c r="B7843" s="69"/>
    </row>
    <row r="7844" spans="2:2" ht="12.5" hidden="1">
      <c r="B7844" s="69"/>
    </row>
    <row r="7845" spans="2:2" ht="12.5" hidden="1">
      <c r="B7845" s="69"/>
    </row>
    <row r="7846" spans="2:2" ht="12.5" hidden="1">
      <c r="B7846" s="69"/>
    </row>
    <row r="7847" spans="2:2" ht="12.5" hidden="1">
      <c r="B7847" s="69"/>
    </row>
    <row r="7848" spans="2:2" ht="12.5" hidden="1">
      <c r="B7848" s="69"/>
    </row>
    <row r="7849" spans="2:2" ht="12.5" hidden="1">
      <c r="B7849" s="69"/>
    </row>
    <row r="7850" spans="2:2" ht="12.5" hidden="1">
      <c r="B7850" s="69"/>
    </row>
    <row r="7851" spans="2:2" ht="12.5" hidden="1">
      <c r="B7851" s="69"/>
    </row>
    <row r="7852" spans="2:2" ht="12.5" hidden="1">
      <c r="B7852" s="69"/>
    </row>
    <row r="7853" spans="2:2" ht="12.5" hidden="1">
      <c r="B7853" s="69"/>
    </row>
    <row r="7854" spans="2:2" ht="12.5" hidden="1">
      <c r="B7854" s="69"/>
    </row>
    <row r="7855" spans="2:2" ht="12.5" hidden="1">
      <c r="B7855" s="69"/>
    </row>
    <row r="7856" spans="2:2" ht="12.5" hidden="1">
      <c r="B7856" s="69"/>
    </row>
    <row r="7857" spans="2:2" ht="12.5" hidden="1">
      <c r="B7857" s="69"/>
    </row>
    <row r="7858" spans="2:2" ht="12.5" hidden="1">
      <c r="B7858" s="69"/>
    </row>
    <row r="7859" spans="2:2" ht="12.5" hidden="1">
      <c r="B7859" s="69"/>
    </row>
    <row r="7860" spans="2:2" ht="12.5" hidden="1">
      <c r="B7860" s="69"/>
    </row>
    <row r="7861" spans="2:2" ht="12.5" hidden="1">
      <c r="B7861" s="69"/>
    </row>
    <row r="7862" spans="2:2" ht="12.5" hidden="1">
      <c r="B7862" s="69"/>
    </row>
    <row r="7863" spans="2:2" ht="12.5" hidden="1">
      <c r="B7863" s="69"/>
    </row>
    <row r="7864" spans="2:2" ht="12.5" hidden="1">
      <c r="B7864" s="69"/>
    </row>
    <row r="7865" spans="2:2" ht="12.5" hidden="1">
      <c r="B7865" s="69"/>
    </row>
    <row r="7866" spans="2:2" ht="12.5" hidden="1">
      <c r="B7866" s="69"/>
    </row>
    <row r="7867" spans="2:2" ht="12.5" hidden="1">
      <c r="B7867" s="69"/>
    </row>
    <row r="7868" spans="2:2" ht="12.5" hidden="1">
      <c r="B7868" s="69"/>
    </row>
    <row r="7869" spans="2:2" ht="12.5" hidden="1">
      <c r="B7869" s="69"/>
    </row>
    <row r="7870" spans="2:2" ht="12.5" hidden="1">
      <c r="B7870" s="69"/>
    </row>
    <row r="7871" spans="2:2" ht="12.5" hidden="1">
      <c r="B7871" s="69"/>
    </row>
    <row r="7872" spans="2:2" ht="12.5" hidden="1">
      <c r="B7872" s="69"/>
    </row>
    <row r="7873" spans="2:2" ht="12.5" hidden="1">
      <c r="B7873" s="69"/>
    </row>
    <row r="7874" spans="2:2" ht="12.5" hidden="1">
      <c r="B7874" s="69"/>
    </row>
    <row r="7875" spans="2:2" ht="12.5" hidden="1">
      <c r="B7875" s="69"/>
    </row>
    <row r="7876" spans="2:2" ht="12.5" hidden="1">
      <c r="B7876" s="69"/>
    </row>
    <row r="7877" spans="2:2" ht="12.5" hidden="1">
      <c r="B7877" s="69"/>
    </row>
    <row r="7878" spans="2:2" ht="12.5" hidden="1">
      <c r="B7878" s="69"/>
    </row>
    <row r="7879" spans="2:2" ht="12.5" hidden="1">
      <c r="B7879" s="69"/>
    </row>
    <row r="7880" spans="2:2" ht="12.5" hidden="1">
      <c r="B7880" s="69"/>
    </row>
    <row r="7881" spans="2:2" ht="12.5" hidden="1">
      <c r="B7881" s="69"/>
    </row>
    <row r="7882" spans="2:2" ht="12.5" hidden="1">
      <c r="B7882" s="69"/>
    </row>
    <row r="7883" spans="2:2" ht="12.5" hidden="1">
      <c r="B7883" s="69"/>
    </row>
    <row r="7884" spans="2:2" ht="12.5" hidden="1">
      <c r="B7884" s="69"/>
    </row>
    <row r="7885" spans="2:2" ht="12.5" hidden="1">
      <c r="B7885" s="69"/>
    </row>
    <row r="7886" spans="2:2" ht="12.5" hidden="1">
      <c r="B7886" s="69"/>
    </row>
    <row r="7887" spans="2:2" ht="12.5" hidden="1">
      <c r="B7887" s="69"/>
    </row>
    <row r="7888" spans="2:2" ht="12.5" hidden="1">
      <c r="B7888" s="69"/>
    </row>
    <row r="7889" spans="2:2" ht="12.5" hidden="1">
      <c r="B7889" s="69"/>
    </row>
    <row r="7890" spans="2:2" ht="12.5" hidden="1">
      <c r="B7890" s="69"/>
    </row>
    <row r="7891" spans="2:2" ht="12.5" hidden="1">
      <c r="B7891" s="69"/>
    </row>
    <row r="7892" spans="2:2" ht="12.5" hidden="1">
      <c r="B7892" s="69"/>
    </row>
    <row r="7893" spans="2:2" ht="12.5" hidden="1">
      <c r="B7893" s="69"/>
    </row>
    <row r="7894" spans="2:2" ht="12.5" hidden="1">
      <c r="B7894" s="69"/>
    </row>
    <row r="7895" spans="2:2" ht="12.5" hidden="1">
      <c r="B7895" s="69"/>
    </row>
    <row r="7896" spans="2:2" ht="12.5" hidden="1">
      <c r="B7896" s="69"/>
    </row>
    <row r="7897" spans="2:2" ht="12.5" hidden="1">
      <c r="B7897" s="69"/>
    </row>
    <row r="7898" spans="2:2" ht="12.5" hidden="1">
      <c r="B7898" s="69"/>
    </row>
    <row r="7899" spans="2:2" ht="12.5" hidden="1">
      <c r="B7899" s="69"/>
    </row>
    <row r="7900" spans="2:2" ht="12.5" hidden="1">
      <c r="B7900" s="69"/>
    </row>
    <row r="7901" spans="2:2" ht="12.5" hidden="1">
      <c r="B7901" s="69"/>
    </row>
    <row r="7902" spans="2:2" ht="12.5" hidden="1">
      <c r="B7902" s="69"/>
    </row>
    <row r="7903" spans="2:2" ht="12.5" hidden="1">
      <c r="B7903" s="69"/>
    </row>
    <row r="7904" spans="2:2" ht="12.5" hidden="1">
      <c r="B7904" s="69"/>
    </row>
    <row r="7905" spans="2:2" ht="12.5" hidden="1">
      <c r="B7905" s="69"/>
    </row>
    <row r="7906" spans="2:2" ht="12.5" hidden="1">
      <c r="B7906" s="69"/>
    </row>
    <row r="7907" spans="2:2" ht="12.5" hidden="1">
      <c r="B7907" s="69"/>
    </row>
    <row r="7908" spans="2:2" ht="12.5" hidden="1">
      <c r="B7908" s="69"/>
    </row>
    <row r="7909" spans="2:2" ht="12.5" hidden="1">
      <c r="B7909" s="69"/>
    </row>
    <row r="7910" spans="2:2" ht="12.5" hidden="1">
      <c r="B7910" s="69"/>
    </row>
    <row r="7911" spans="2:2" ht="12.5" hidden="1">
      <c r="B7911" s="69"/>
    </row>
    <row r="7912" spans="2:2" ht="12.5" hidden="1">
      <c r="B7912" s="69"/>
    </row>
    <row r="7913" spans="2:2" ht="12.5" hidden="1">
      <c r="B7913" s="69"/>
    </row>
    <row r="7914" spans="2:2" ht="12.5" hidden="1">
      <c r="B7914" s="69"/>
    </row>
    <row r="7915" spans="2:2" ht="12.5" hidden="1">
      <c r="B7915" s="69"/>
    </row>
    <row r="7916" spans="2:2" ht="12.5" hidden="1">
      <c r="B7916" s="69"/>
    </row>
    <row r="7917" spans="2:2" ht="12.5" hidden="1">
      <c r="B7917" s="69"/>
    </row>
    <row r="7918" spans="2:2" ht="12.5" hidden="1">
      <c r="B7918" s="69"/>
    </row>
    <row r="7919" spans="2:2" ht="12.5" hidden="1">
      <c r="B7919" s="69"/>
    </row>
    <row r="7920" spans="2:2" ht="12.5" hidden="1">
      <c r="B7920" s="69"/>
    </row>
    <row r="7921" spans="2:2" ht="12.5" hidden="1">
      <c r="B7921" s="69"/>
    </row>
    <row r="7922" spans="2:2" ht="12.5" hidden="1">
      <c r="B7922" s="69"/>
    </row>
    <row r="7923" spans="2:2" ht="12.5" hidden="1">
      <c r="B7923" s="69"/>
    </row>
    <row r="7924" spans="2:2" ht="12.5" hidden="1">
      <c r="B7924" s="69"/>
    </row>
    <row r="7925" spans="2:2" ht="12.5" hidden="1">
      <c r="B7925" s="69"/>
    </row>
    <row r="7926" spans="2:2" ht="12.5" hidden="1">
      <c r="B7926" s="69"/>
    </row>
    <row r="7927" spans="2:2" ht="12.5" hidden="1">
      <c r="B7927" s="69"/>
    </row>
    <row r="7928" spans="2:2" ht="12.5" hidden="1">
      <c r="B7928" s="69"/>
    </row>
    <row r="7929" spans="2:2" ht="12.5" hidden="1">
      <c r="B7929" s="69"/>
    </row>
    <row r="7930" spans="2:2" ht="12.5" hidden="1">
      <c r="B7930" s="69"/>
    </row>
    <row r="7931" spans="2:2" ht="12.5" hidden="1">
      <c r="B7931" s="69"/>
    </row>
    <row r="7932" spans="2:2" ht="12.5" hidden="1">
      <c r="B7932" s="69"/>
    </row>
    <row r="7933" spans="2:2" ht="12.5" hidden="1">
      <c r="B7933" s="69"/>
    </row>
    <row r="7934" spans="2:2" ht="12.5" hidden="1">
      <c r="B7934" s="69"/>
    </row>
    <row r="7935" spans="2:2" ht="12.5" hidden="1">
      <c r="B7935" s="69"/>
    </row>
    <row r="7936" spans="2:2" ht="12.5" hidden="1">
      <c r="B7936" s="69"/>
    </row>
    <row r="7937" spans="2:2" ht="12.5" hidden="1">
      <c r="B7937" s="69"/>
    </row>
    <row r="7938" spans="2:2" ht="12.5" hidden="1">
      <c r="B7938" s="69"/>
    </row>
    <row r="7939" spans="2:2" ht="12.5" hidden="1">
      <c r="B7939" s="69"/>
    </row>
    <row r="7940" spans="2:2" ht="12.5" hidden="1">
      <c r="B7940" s="69"/>
    </row>
    <row r="7941" spans="2:2" ht="12.5" hidden="1">
      <c r="B7941" s="69"/>
    </row>
    <row r="7942" spans="2:2" ht="12.5" hidden="1">
      <c r="B7942" s="69"/>
    </row>
    <row r="7943" spans="2:2" ht="12.5" hidden="1">
      <c r="B7943" s="69"/>
    </row>
    <row r="7944" spans="2:2" ht="12.5" hidden="1">
      <c r="B7944" s="69"/>
    </row>
    <row r="7945" spans="2:2" ht="12.5" hidden="1">
      <c r="B7945" s="69"/>
    </row>
    <row r="7946" spans="2:2" ht="12.5" hidden="1">
      <c r="B7946" s="69"/>
    </row>
    <row r="7947" spans="2:2" ht="12.5" hidden="1">
      <c r="B7947" s="69"/>
    </row>
    <row r="7948" spans="2:2" ht="12.5" hidden="1">
      <c r="B7948" s="69"/>
    </row>
    <row r="7949" spans="2:2" ht="12.5" hidden="1">
      <c r="B7949" s="69"/>
    </row>
    <row r="7950" spans="2:2" ht="12.5" hidden="1">
      <c r="B7950" s="69"/>
    </row>
    <row r="7951" spans="2:2" ht="12.5" hidden="1">
      <c r="B7951" s="69"/>
    </row>
    <row r="7952" spans="2:2" ht="12.5" hidden="1">
      <c r="B7952" s="69"/>
    </row>
    <row r="7953" spans="2:2" ht="12.5" hidden="1">
      <c r="B7953" s="69"/>
    </row>
    <row r="7954" spans="2:2" ht="12.5" hidden="1">
      <c r="B7954" s="69"/>
    </row>
    <row r="7955" spans="2:2" ht="12.5" hidden="1">
      <c r="B7955" s="69"/>
    </row>
    <row r="7956" spans="2:2" ht="12.5" hidden="1">
      <c r="B7956" s="69"/>
    </row>
    <row r="7957" spans="2:2" ht="12.5" hidden="1">
      <c r="B7957" s="69"/>
    </row>
    <row r="7958" spans="2:2" ht="12.5" hidden="1">
      <c r="B7958" s="69"/>
    </row>
    <row r="7959" spans="2:2" ht="12.5" hidden="1">
      <c r="B7959" s="69"/>
    </row>
    <row r="7960" spans="2:2" ht="12.5" hidden="1">
      <c r="B7960" s="69"/>
    </row>
    <row r="7961" spans="2:2" ht="12.5" hidden="1">
      <c r="B7961" s="69"/>
    </row>
    <row r="7962" spans="2:2" ht="12.5" hidden="1">
      <c r="B7962" s="69"/>
    </row>
    <row r="7963" spans="2:2" ht="12.5" hidden="1">
      <c r="B7963" s="69"/>
    </row>
    <row r="7964" spans="2:2" ht="12.5" hidden="1">
      <c r="B7964" s="69"/>
    </row>
    <row r="7965" spans="2:2" ht="12.5" hidden="1">
      <c r="B7965" s="69"/>
    </row>
    <row r="7966" spans="2:2" ht="12.5" hidden="1">
      <c r="B7966" s="69"/>
    </row>
    <row r="7967" spans="2:2" ht="12.5" hidden="1">
      <c r="B7967" s="69"/>
    </row>
    <row r="7968" spans="2:2" ht="12.5" hidden="1">
      <c r="B7968" s="69"/>
    </row>
    <row r="7969" spans="2:2" ht="12.5" hidden="1">
      <c r="B7969" s="69"/>
    </row>
    <row r="7970" spans="2:2" ht="12.5" hidden="1">
      <c r="B7970" s="69"/>
    </row>
    <row r="7971" spans="2:2" ht="12.5" hidden="1">
      <c r="B7971" s="69"/>
    </row>
    <row r="7972" spans="2:2" ht="12.5" hidden="1">
      <c r="B7972" s="69"/>
    </row>
    <row r="7973" spans="2:2" ht="12.5" hidden="1">
      <c r="B7973" s="69"/>
    </row>
    <row r="7974" spans="2:2" ht="12.5" hidden="1">
      <c r="B7974" s="69"/>
    </row>
    <row r="7975" spans="2:2" ht="12.5" hidden="1">
      <c r="B7975" s="69"/>
    </row>
    <row r="7976" spans="2:2" ht="12.5" hidden="1">
      <c r="B7976" s="69"/>
    </row>
    <row r="7977" spans="2:2" ht="12.5" hidden="1">
      <c r="B7977" s="69"/>
    </row>
    <row r="7978" spans="2:2" ht="12.5" hidden="1">
      <c r="B7978" s="69"/>
    </row>
    <row r="7979" spans="2:2" ht="12.5" hidden="1">
      <c r="B7979" s="69"/>
    </row>
    <row r="7980" spans="2:2" ht="12.5" hidden="1">
      <c r="B7980" s="69"/>
    </row>
    <row r="7981" spans="2:2" ht="12.5" hidden="1">
      <c r="B7981" s="69"/>
    </row>
    <row r="7982" spans="2:2" ht="12.5" hidden="1">
      <c r="B7982" s="69"/>
    </row>
    <row r="7983" spans="2:2" ht="12.5" hidden="1">
      <c r="B7983" s="69"/>
    </row>
    <row r="7984" spans="2:2" ht="12.5" hidden="1">
      <c r="B7984" s="69"/>
    </row>
    <row r="7985" spans="2:2" ht="12.5" hidden="1">
      <c r="B7985" s="69"/>
    </row>
    <row r="7986" spans="2:2" ht="12.5" hidden="1">
      <c r="B7986" s="69"/>
    </row>
    <row r="7987" spans="2:2" ht="12.5" hidden="1">
      <c r="B7987" s="69"/>
    </row>
    <row r="7988" spans="2:2" ht="12.5" hidden="1">
      <c r="B7988" s="69"/>
    </row>
    <row r="7989" spans="2:2" ht="12.5" hidden="1">
      <c r="B7989" s="69"/>
    </row>
    <row r="7990" spans="2:2" ht="12.5" hidden="1">
      <c r="B7990" s="69"/>
    </row>
    <row r="7991" spans="2:2" ht="12.5" hidden="1">
      <c r="B7991" s="69"/>
    </row>
    <row r="7992" spans="2:2" ht="12.5" hidden="1">
      <c r="B7992" s="69"/>
    </row>
    <row r="7993" spans="2:2" ht="12.5" hidden="1">
      <c r="B7993" s="69"/>
    </row>
    <row r="7994" spans="2:2" ht="12.5" hidden="1">
      <c r="B7994" s="69"/>
    </row>
    <row r="7995" spans="2:2" ht="12.5" hidden="1">
      <c r="B7995" s="69"/>
    </row>
    <row r="7996" spans="2:2" ht="12.5" hidden="1">
      <c r="B7996" s="69"/>
    </row>
    <row r="7997" spans="2:2" ht="12.5" hidden="1">
      <c r="B7997" s="69"/>
    </row>
    <row r="7998" spans="2:2" ht="12.5" hidden="1">
      <c r="B7998" s="69"/>
    </row>
    <row r="7999" spans="2:2" ht="12.5" hidden="1">
      <c r="B7999" s="69"/>
    </row>
    <row r="8000" spans="2:2" ht="12.5" hidden="1">
      <c r="B8000" s="69"/>
    </row>
    <row r="8001" spans="2:2" ht="12.5" hidden="1">
      <c r="B8001" s="69"/>
    </row>
    <row r="8002" spans="2:2" ht="12.5" hidden="1">
      <c r="B8002" s="69"/>
    </row>
    <row r="8003" spans="2:2" ht="12.5" hidden="1">
      <c r="B8003" s="69"/>
    </row>
    <row r="8004" spans="2:2" ht="12.5" hidden="1">
      <c r="B8004" s="69"/>
    </row>
    <row r="8005" spans="2:2" ht="12.5" hidden="1">
      <c r="B8005" s="69"/>
    </row>
    <row r="8006" spans="2:2" ht="12.5" hidden="1">
      <c r="B8006" s="69"/>
    </row>
    <row r="8007" spans="2:2" ht="12.5" hidden="1">
      <c r="B8007" s="69"/>
    </row>
    <row r="8008" spans="2:2" ht="12.5" hidden="1">
      <c r="B8008" s="69"/>
    </row>
    <row r="8009" spans="2:2" ht="12.5" hidden="1">
      <c r="B8009" s="69"/>
    </row>
    <row r="8010" spans="2:2" ht="12.5" hidden="1">
      <c r="B8010" s="69"/>
    </row>
    <row r="8011" spans="2:2" ht="12.5" hidden="1">
      <c r="B8011" s="69"/>
    </row>
    <row r="8012" spans="2:2" ht="12.5" hidden="1">
      <c r="B8012" s="69"/>
    </row>
    <row r="8013" spans="2:2" ht="12.5" hidden="1">
      <c r="B8013" s="69"/>
    </row>
    <row r="8014" spans="2:2" ht="12.5" hidden="1">
      <c r="B8014" s="69"/>
    </row>
    <row r="8015" spans="2:2" ht="12.5" hidden="1">
      <c r="B8015" s="69"/>
    </row>
    <row r="8016" spans="2:2" ht="12.5" hidden="1">
      <c r="B8016" s="69"/>
    </row>
    <row r="8017" spans="2:2" ht="12.5" hidden="1">
      <c r="B8017" s="69"/>
    </row>
    <row r="8018" spans="2:2" ht="12.5" hidden="1">
      <c r="B8018" s="69"/>
    </row>
    <row r="8019" spans="2:2" ht="12.5" hidden="1">
      <c r="B8019" s="69"/>
    </row>
    <row r="8020" spans="2:2" ht="12.5" hidden="1">
      <c r="B8020" s="69"/>
    </row>
    <row r="8021" spans="2:2" ht="12.5" hidden="1">
      <c r="B8021" s="69"/>
    </row>
    <row r="8022" spans="2:2" ht="12.5" hidden="1">
      <c r="B8022" s="69"/>
    </row>
    <row r="8023" spans="2:2" ht="12.5" hidden="1">
      <c r="B8023" s="69"/>
    </row>
    <row r="8024" spans="2:2" ht="12.5" hidden="1">
      <c r="B8024" s="69"/>
    </row>
    <row r="8025" spans="2:2" ht="12.5" hidden="1">
      <c r="B8025" s="69"/>
    </row>
    <row r="8026" spans="2:2" ht="12.5" hidden="1">
      <c r="B8026" s="69"/>
    </row>
    <row r="8027" spans="2:2" ht="12.5" hidden="1">
      <c r="B8027" s="69"/>
    </row>
    <row r="8028" spans="2:2" ht="12.5" hidden="1">
      <c r="B8028" s="69"/>
    </row>
    <row r="8029" spans="2:2" ht="12.5" hidden="1">
      <c r="B8029" s="69"/>
    </row>
    <row r="8030" spans="2:2" ht="12.5" hidden="1">
      <c r="B8030" s="69"/>
    </row>
    <row r="8031" spans="2:2" ht="12.5" hidden="1">
      <c r="B8031" s="69"/>
    </row>
    <row r="8032" spans="2:2" ht="12.5" hidden="1">
      <c r="B8032" s="69"/>
    </row>
    <row r="8033" spans="2:2" ht="12.5" hidden="1">
      <c r="B8033" s="69"/>
    </row>
    <row r="8034" spans="2:2" ht="12.5" hidden="1">
      <c r="B8034" s="69"/>
    </row>
    <row r="8035" spans="2:2" ht="12.5" hidden="1">
      <c r="B8035" s="69"/>
    </row>
    <row r="8036" spans="2:2" ht="12.5" hidden="1">
      <c r="B8036" s="69"/>
    </row>
    <row r="8037" spans="2:2" ht="12.5" hidden="1">
      <c r="B8037" s="69"/>
    </row>
    <row r="8038" spans="2:2" ht="12.5" hidden="1">
      <c r="B8038" s="69"/>
    </row>
    <row r="8039" spans="2:2" ht="12.5" hidden="1">
      <c r="B8039" s="69"/>
    </row>
    <row r="8040" spans="2:2" ht="12.5" hidden="1">
      <c r="B8040" s="69"/>
    </row>
    <row r="8041" spans="2:2" ht="12.5" hidden="1">
      <c r="B8041" s="69"/>
    </row>
    <row r="8042" spans="2:2" ht="12.5" hidden="1">
      <c r="B8042" s="69"/>
    </row>
    <row r="8043" spans="2:2" ht="12.5" hidden="1">
      <c r="B8043" s="69"/>
    </row>
    <row r="8044" spans="2:2" ht="12.5" hidden="1">
      <c r="B8044" s="69"/>
    </row>
    <row r="8045" spans="2:2" ht="12.5" hidden="1">
      <c r="B8045" s="69"/>
    </row>
    <row r="8046" spans="2:2" ht="12.5" hidden="1">
      <c r="B8046" s="69"/>
    </row>
    <row r="8047" spans="2:2" ht="12.5" hidden="1">
      <c r="B8047" s="69"/>
    </row>
    <row r="8048" spans="2:2" ht="12.5" hidden="1">
      <c r="B8048" s="69"/>
    </row>
    <row r="8049" spans="2:2" ht="12.5" hidden="1">
      <c r="B8049" s="69"/>
    </row>
    <row r="8050" spans="2:2" ht="12.5" hidden="1">
      <c r="B8050" s="69"/>
    </row>
    <row r="8051" spans="2:2" ht="12.5" hidden="1">
      <c r="B8051" s="69"/>
    </row>
    <row r="8052" spans="2:2" ht="12.5" hidden="1">
      <c r="B8052" s="69"/>
    </row>
    <row r="8053" spans="2:2" ht="12.5" hidden="1">
      <c r="B8053" s="69"/>
    </row>
    <row r="8054" spans="2:2" ht="12.5" hidden="1">
      <c r="B8054" s="69"/>
    </row>
    <row r="8055" spans="2:2" ht="12.5" hidden="1">
      <c r="B8055" s="69"/>
    </row>
    <row r="8056" spans="2:2" ht="12.5" hidden="1">
      <c r="B8056" s="69"/>
    </row>
    <row r="8057" spans="2:2" ht="12.5" hidden="1">
      <c r="B8057" s="69"/>
    </row>
    <row r="8058" spans="2:2" ht="12.5" hidden="1">
      <c r="B8058" s="69"/>
    </row>
    <row r="8059" spans="2:2" ht="12.5" hidden="1">
      <c r="B8059" s="69"/>
    </row>
    <row r="8060" spans="2:2" ht="12.5" hidden="1">
      <c r="B8060" s="69"/>
    </row>
    <row r="8061" spans="2:2" ht="12.5" hidden="1">
      <c r="B8061" s="69"/>
    </row>
    <row r="8062" spans="2:2" ht="12.5" hidden="1">
      <c r="B8062" s="69"/>
    </row>
    <row r="8063" spans="2:2" ht="12.5" hidden="1">
      <c r="B8063" s="69"/>
    </row>
    <row r="8064" spans="2:2" ht="12.5" hidden="1">
      <c r="B8064" s="69"/>
    </row>
    <row r="8065" spans="2:2" ht="12.5" hidden="1">
      <c r="B8065" s="69"/>
    </row>
    <row r="8066" spans="2:2" ht="12.5" hidden="1">
      <c r="B8066" s="69"/>
    </row>
    <row r="8067" spans="2:2" ht="12.5" hidden="1">
      <c r="B8067" s="69"/>
    </row>
    <row r="8068" spans="2:2" ht="12.5" hidden="1">
      <c r="B8068" s="69"/>
    </row>
    <row r="8069" spans="2:2" ht="12.5" hidden="1">
      <c r="B8069" s="69"/>
    </row>
    <row r="8070" spans="2:2" ht="12.5" hidden="1">
      <c r="B8070" s="69"/>
    </row>
    <row r="8071" spans="2:2" ht="12.5" hidden="1">
      <c r="B8071" s="69"/>
    </row>
    <row r="8072" spans="2:2" ht="12.5" hidden="1">
      <c r="B8072" s="69"/>
    </row>
    <row r="8073" spans="2:2" ht="12.5" hidden="1">
      <c r="B8073" s="69"/>
    </row>
    <row r="8074" spans="2:2" ht="12.5" hidden="1">
      <c r="B8074" s="69"/>
    </row>
    <row r="8075" spans="2:2" ht="12.5" hidden="1">
      <c r="B8075" s="69"/>
    </row>
    <row r="8076" spans="2:2" ht="12.5" hidden="1">
      <c r="B8076" s="69"/>
    </row>
    <row r="8077" spans="2:2" ht="12.5" hidden="1">
      <c r="B8077" s="69"/>
    </row>
    <row r="8078" spans="2:2" ht="12.5" hidden="1">
      <c r="B8078" s="69"/>
    </row>
    <row r="8079" spans="2:2" ht="12.5" hidden="1">
      <c r="B8079" s="69"/>
    </row>
    <row r="8080" spans="2:2" ht="12.5" hidden="1">
      <c r="B8080" s="69"/>
    </row>
    <row r="8081" spans="2:2" ht="12.5" hidden="1">
      <c r="B8081" s="69"/>
    </row>
    <row r="8082" spans="2:2" ht="12.5" hidden="1">
      <c r="B8082" s="69"/>
    </row>
    <row r="8083" spans="2:2" ht="12.5" hidden="1">
      <c r="B8083" s="69"/>
    </row>
    <row r="8084" spans="2:2" ht="12.5" hidden="1">
      <c r="B8084" s="69"/>
    </row>
    <row r="8085" spans="2:2" ht="12.5" hidden="1">
      <c r="B8085" s="69"/>
    </row>
    <row r="8086" spans="2:2" ht="12.5" hidden="1">
      <c r="B8086" s="69"/>
    </row>
    <row r="8087" spans="2:2" ht="12.5" hidden="1">
      <c r="B8087" s="69"/>
    </row>
    <row r="8088" spans="2:2" ht="12.5" hidden="1">
      <c r="B8088" s="69"/>
    </row>
    <row r="8089" spans="2:2" ht="12.5" hidden="1">
      <c r="B8089" s="69"/>
    </row>
    <row r="8090" spans="2:2" ht="12.5" hidden="1">
      <c r="B8090" s="69"/>
    </row>
    <row r="8091" spans="2:2" ht="12.5" hidden="1">
      <c r="B8091" s="69"/>
    </row>
    <row r="8092" spans="2:2" ht="12.5" hidden="1">
      <c r="B8092" s="69"/>
    </row>
    <row r="8093" spans="2:2" ht="12.5" hidden="1">
      <c r="B8093" s="69"/>
    </row>
    <row r="8094" spans="2:2" ht="12.5" hidden="1">
      <c r="B8094" s="69"/>
    </row>
    <row r="8095" spans="2:2" ht="12.5" hidden="1">
      <c r="B8095" s="69"/>
    </row>
    <row r="8096" spans="2:2" ht="12.5" hidden="1">
      <c r="B8096" s="69"/>
    </row>
    <row r="8097" spans="2:2" ht="12.5" hidden="1">
      <c r="B8097" s="69"/>
    </row>
    <row r="8098" spans="2:2" ht="12.5" hidden="1">
      <c r="B8098" s="69"/>
    </row>
    <row r="8099" spans="2:2" ht="12.5" hidden="1">
      <c r="B8099" s="69"/>
    </row>
    <row r="8100" spans="2:2" ht="12.5" hidden="1">
      <c r="B8100" s="69"/>
    </row>
    <row r="8101" spans="2:2" ht="12.5" hidden="1">
      <c r="B8101" s="69"/>
    </row>
    <row r="8102" spans="2:2" ht="12.5" hidden="1">
      <c r="B8102" s="69"/>
    </row>
    <row r="8103" spans="2:2" ht="12.5" hidden="1">
      <c r="B8103" s="69"/>
    </row>
    <row r="8104" spans="2:2" ht="12.5" hidden="1">
      <c r="B8104" s="69"/>
    </row>
    <row r="8105" spans="2:2" ht="12.5" hidden="1">
      <c r="B8105" s="69"/>
    </row>
    <row r="8106" spans="2:2" ht="12.5" hidden="1">
      <c r="B8106" s="69"/>
    </row>
    <row r="8107" spans="2:2" ht="12.5" hidden="1">
      <c r="B8107" s="69"/>
    </row>
    <row r="8108" spans="2:2" ht="12.5" hidden="1">
      <c r="B8108" s="69"/>
    </row>
    <row r="8109" spans="2:2" ht="12.5" hidden="1">
      <c r="B8109" s="69"/>
    </row>
    <row r="8110" spans="2:2" ht="12.5" hidden="1">
      <c r="B8110" s="69"/>
    </row>
    <row r="8111" spans="2:2" ht="12.5" hidden="1">
      <c r="B8111" s="69"/>
    </row>
    <row r="8112" spans="2:2" ht="12.5" hidden="1">
      <c r="B8112" s="69"/>
    </row>
    <row r="8113" spans="2:2" ht="12.5" hidden="1">
      <c r="B8113" s="69"/>
    </row>
    <row r="8114" spans="2:2" ht="12.5" hidden="1">
      <c r="B8114" s="69"/>
    </row>
    <row r="8115" spans="2:2" ht="12.5" hidden="1">
      <c r="B8115" s="69"/>
    </row>
    <row r="8116" spans="2:2" ht="12.5" hidden="1">
      <c r="B8116" s="69"/>
    </row>
    <row r="8117" spans="2:2" ht="12.5" hidden="1">
      <c r="B8117" s="69"/>
    </row>
    <row r="8118" spans="2:2" ht="12.5" hidden="1">
      <c r="B8118" s="69"/>
    </row>
    <row r="8119" spans="2:2" ht="12.5" hidden="1">
      <c r="B8119" s="69"/>
    </row>
    <row r="8120" spans="2:2" ht="12.5" hidden="1">
      <c r="B8120" s="69"/>
    </row>
    <row r="8121" spans="2:2" ht="12.5" hidden="1">
      <c r="B8121" s="69"/>
    </row>
    <row r="8122" spans="2:2" ht="12.5" hidden="1">
      <c r="B8122" s="69"/>
    </row>
    <row r="8123" spans="2:2" ht="12.5" hidden="1">
      <c r="B8123" s="69"/>
    </row>
    <row r="8124" spans="2:2" ht="12.5" hidden="1">
      <c r="B8124" s="69"/>
    </row>
    <row r="8125" spans="2:2" ht="12.5" hidden="1">
      <c r="B8125" s="69"/>
    </row>
    <row r="8126" spans="2:2" ht="12.5" hidden="1">
      <c r="B8126" s="69"/>
    </row>
    <row r="8127" spans="2:2" ht="12.5" hidden="1">
      <c r="B8127" s="69"/>
    </row>
    <row r="8128" spans="2:2" ht="12.5" hidden="1">
      <c r="B8128" s="69"/>
    </row>
    <row r="8129" spans="2:2" ht="12.5" hidden="1">
      <c r="B8129" s="69"/>
    </row>
    <row r="8130" spans="2:2" ht="12.5" hidden="1">
      <c r="B8130" s="69"/>
    </row>
    <row r="8131" spans="2:2" ht="12.5" hidden="1">
      <c r="B8131" s="69"/>
    </row>
    <row r="8132" spans="2:2" ht="12.5" hidden="1">
      <c r="B8132" s="69"/>
    </row>
    <row r="8133" spans="2:2" ht="12.5" hidden="1">
      <c r="B8133" s="69"/>
    </row>
    <row r="8134" spans="2:2" ht="12.5" hidden="1">
      <c r="B8134" s="69"/>
    </row>
    <row r="8135" spans="2:2" ht="12.5" hidden="1">
      <c r="B8135" s="69"/>
    </row>
    <row r="8136" spans="2:2" ht="12.5" hidden="1">
      <c r="B8136" s="69"/>
    </row>
    <row r="8137" spans="2:2" ht="12.5" hidden="1">
      <c r="B8137" s="69"/>
    </row>
    <row r="8138" spans="2:2" ht="12.5" hidden="1">
      <c r="B8138" s="69"/>
    </row>
    <row r="8139" spans="2:2" ht="12.5" hidden="1">
      <c r="B8139" s="69"/>
    </row>
    <row r="8140" spans="2:2" ht="12.5" hidden="1">
      <c r="B8140" s="69"/>
    </row>
    <row r="8141" spans="2:2" ht="12.5" hidden="1">
      <c r="B8141" s="69"/>
    </row>
    <row r="8142" spans="2:2" ht="12.5" hidden="1">
      <c r="B8142" s="69"/>
    </row>
    <row r="8143" spans="2:2" ht="12.5" hidden="1">
      <c r="B8143" s="69"/>
    </row>
    <row r="8144" spans="2:2" ht="12.5" hidden="1">
      <c r="B8144" s="69"/>
    </row>
    <row r="8145" spans="2:2" ht="12.5" hidden="1">
      <c r="B8145" s="69"/>
    </row>
    <row r="8146" spans="2:2" ht="12.5" hidden="1">
      <c r="B8146" s="69"/>
    </row>
    <row r="8147" spans="2:2" ht="12.5" hidden="1">
      <c r="B8147" s="69"/>
    </row>
    <row r="8148" spans="2:2" ht="12.5" hidden="1">
      <c r="B8148" s="69"/>
    </row>
    <row r="8149" spans="2:2" ht="12.5" hidden="1">
      <c r="B8149" s="69"/>
    </row>
    <row r="8150" spans="2:2" ht="12.5" hidden="1">
      <c r="B8150" s="69"/>
    </row>
    <row r="8151" spans="2:2" ht="12.5" hidden="1">
      <c r="B8151" s="69"/>
    </row>
    <row r="8152" spans="2:2" ht="12.5" hidden="1">
      <c r="B8152" s="69"/>
    </row>
    <row r="8153" spans="2:2" ht="12.5" hidden="1">
      <c r="B8153" s="69"/>
    </row>
    <row r="8154" spans="2:2" ht="12.5" hidden="1">
      <c r="B8154" s="69"/>
    </row>
    <row r="8155" spans="2:2" ht="12.5" hidden="1">
      <c r="B8155" s="69"/>
    </row>
    <row r="8156" spans="2:2" ht="12.5" hidden="1">
      <c r="B8156" s="69"/>
    </row>
    <row r="8157" spans="2:2" ht="12.5" hidden="1">
      <c r="B8157" s="69"/>
    </row>
    <row r="8158" spans="2:2" ht="12.5" hidden="1">
      <c r="B8158" s="69"/>
    </row>
    <row r="8159" spans="2:2" ht="12.5" hidden="1">
      <c r="B8159" s="69"/>
    </row>
    <row r="8160" spans="2:2" ht="12.5" hidden="1">
      <c r="B8160" s="69"/>
    </row>
    <row r="8161" spans="2:2" ht="12.5" hidden="1">
      <c r="B8161" s="69"/>
    </row>
    <row r="8162" spans="2:2" ht="12.5" hidden="1">
      <c r="B8162" s="69"/>
    </row>
    <row r="8163" spans="2:2" ht="12.5" hidden="1">
      <c r="B8163" s="69"/>
    </row>
    <row r="8164" spans="2:2" ht="12.5" hidden="1">
      <c r="B8164" s="69"/>
    </row>
    <row r="8165" spans="2:2" ht="12.5" hidden="1">
      <c r="B8165" s="69"/>
    </row>
    <row r="8166" spans="2:2" ht="12.5" hidden="1">
      <c r="B8166" s="69"/>
    </row>
    <row r="8167" spans="2:2" ht="12.5" hidden="1">
      <c r="B8167" s="69"/>
    </row>
    <row r="8168" spans="2:2" ht="12.5" hidden="1">
      <c r="B8168" s="69"/>
    </row>
    <row r="8169" spans="2:2" ht="12.5" hidden="1">
      <c r="B8169" s="69"/>
    </row>
    <row r="8170" spans="2:2" ht="12.5" hidden="1">
      <c r="B8170" s="69"/>
    </row>
    <row r="8171" spans="2:2" ht="12.5" hidden="1">
      <c r="B8171" s="69"/>
    </row>
    <row r="8172" spans="2:2" ht="12.5" hidden="1">
      <c r="B8172" s="69"/>
    </row>
    <row r="8173" spans="2:2" ht="12.5" hidden="1">
      <c r="B8173" s="69"/>
    </row>
    <row r="8174" spans="2:2" ht="12.5" hidden="1">
      <c r="B8174" s="69"/>
    </row>
    <row r="8175" spans="2:2" ht="12.5" hidden="1">
      <c r="B8175" s="69"/>
    </row>
    <row r="8176" spans="2:2" ht="12.5" hidden="1">
      <c r="B8176" s="69"/>
    </row>
    <row r="8177" spans="2:2" ht="12.5" hidden="1">
      <c r="B8177" s="69"/>
    </row>
    <row r="8178" spans="2:2" ht="12.5" hidden="1">
      <c r="B8178" s="69"/>
    </row>
    <row r="8179" spans="2:2" ht="12.5" hidden="1">
      <c r="B8179" s="69"/>
    </row>
    <row r="8180" spans="2:2" ht="12.5" hidden="1">
      <c r="B8180" s="69"/>
    </row>
    <row r="8181" spans="2:2" ht="12.5" hidden="1">
      <c r="B8181" s="69"/>
    </row>
    <row r="8182" spans="2:2" ht="12.5" hidden="1">
      <c r="B8182" s="69"/>
    </row>
    <row r="8183" spans="2:2" ht="12.5" hidden="1">
      <c r="B8183" s="69"/>
    </row>
    <row r="8184" spans="2:2" ht="12.5" hidden="1">
      <c r="B8184" s="69"/>
    </row>
    <row r="8185" spans="2:2" ht="12.5" hidden="1">
      <c r="B8185" s="69"/>
    </row>
    <row r="8186" spans="2:2" ht="12.5" hidden="1">
      <c r="B8186" s="69"/>
    </row>
    <row r="8187" spans="2:2" ht="12.5" hidden="1">
      <c r="B8187" s="69"/>
    </row>
    <row r="8188" spans="2:2" ht="12.5" hidden="1">
      <c r="B8188" s="69"/>
    </row>
    <row r="8189" spans="2:2" ht="12.5" hidden="1">
      <c r="B8189" s="69"/>
    </row>
    <row r="8190" spans="2:2" ht="12.5" hidden="1">
      <c r="B8190" s="69"/>
    </row>
    <row r="8191" spans="2:2" ht="12.5" hidden="1">
      <c r="B8191" s="69"/>
    </row>
    <row r="8192" spans="2:2" ht="12.5" hidden="1">
      <c r="B8192" s="69"/>
    </row>
    <row r="8193" spans="2:2" ht="12.5" hidden="1">
      <c r="B8193" s="69"/>
    </row>
    <row r="8194" spans="2:2" ht="12.5" hidden="1">
      <c r="B8194" s="69"/>
    </row>
    <row r="8195" spans="2:2" ht="12.5" hidden="1">
      <c r="B8195" s="69"/>
    </row>
    <row r="8196" spans="2:2" ht="12.5" hidden="1">
      <c r="B8196" s="69"/>
    </row>
    <row r="8197" spans="2:2" ht="12.5" hidden="1">
      <c r="B8197" s="69"/>
    </row>
    <row r="8198" spans="2:2" ht="12.5" hidden="1">
      <c r="B8198" s="69"/>
    </row>
    <row r="8199" spans="2:2" ht="12.5" hidden="1">
      <c r="B8199" s="69"/>
    </row>
    <row r="8200" spans="2:2" ht="12.5" hidden="1">
      <c r="B8200" s="69"/>
    </row>
    <row r="8201" spans="2:2" ht="12.5" hidden="1">
      <c r="B8201" s="69"/>
    </row>
    <row r="8202" spans="2:2" ht="12.5" hidden="1">
      <c r="B8202" s="69"/>
    </row>
    <row r="8203" spans="2:2" ht="12.5" hidden="1">
      <c r="B8203" s="69"/>
    </row>
    <row r="8204" spans="2:2" ht="12.5" hidden="1">
      <c r="B8204" s="69"/>
    </row>
    <row r="8205" spans="2:2" ht="12.5" hidden="1">
      <c r="B8205" s="69"/>
    </row>
    <row r="8206" spans="2:2" ht="12.5" hidden="1">
      <c r="B8206" s="69"/>
    </row>
    <row r="8207" spans="2:2" ht="12.5" hidden="1">
      <c r="B8207" s="69"/>
    </row>
    <row r="8208" spans="2:2" ht="12.5" hidden="1">
      <c r="B8208" s="69"/>
    </row>
    <row r="8209" spans="2:2" ht="12.5" hidden="1">
      <c r="B8209" s="69"/>
    </row>
    <row r="8210" spans="2:2" ht="12.5" hidden="1">
      <c r="B8210" s="69"/>
    </row>
    <row r="8211" spans="2:2" ht="12.5" hidden="1">
      <c r="B8211" s="69"/>
    </row>
    <row r="8212" spans="2:2" ht="12.5" hidden="1">
      <c r="B8212" s="69"/>
    </row>
    <row r="8213" spans="2:2" ht="12.5" hidden="1">
      <c r="B8213" s="69"/>
    </row>
    <row r="8214" spans="2:2" ht="12.5" hidden="1">
      <c r="B8214" s="69"/>
    </row>
    <row r="8215" spans="2:2" ht="12.5" hidden="1">
      <c r="B8215" s="69"/>
    </row>
    <row r="8216" spans="2:2" ht="12.5" hidden="1">
      <c r="B8216" s="69"/>
    </row>
    <row r="8217" spans="2:2" ht="12.5" hidden="1">
      <c r="B8217" s="69"/>
    </row>
    <row r="8218" spans="2:2" ht="12.5" hidden="1">
      <c r="B8218" s="69"/>
    </row>
    <row r="8219" spans="2:2" ht="12.5" hidden="1">
      <c r="B8219" s="69"/>
    </row>
    <row r="8220" spans="2:2" ht="12.5" hidden="1">
      <c r="B8220" s="69"/>
    </row>
    <row r="8221" spans="2:2" ht="12.5" hidden="1">
      <c r="B8221" s="69"/>
    </row>
    <row r="8222" spans="2:2" ht="12.5" hidden="1">
      <c r="B8222" s="69"/>
    </row>
    <row r="8223" spans="2:2" ht="12.5" hidden="1">
      <c r="B8223" s="69"/>
    </row>
    <row r="8224" spans="2:2" ht="12.5" hidden="1">
      <c r="B8224" s="69"/>
    </row>
    <row r="8225" spans="2:2" ht="12.5" hidden="1">
      <c r="B8225" s="69"/>
    </row>
    <row r="8226" spans="2:2" ht="12.5" hidden="1">
      <c r="B8226" s="69"/>
    </row>
    <row r="8227" spans="2:2" ht="12.5" hidden="1">
      <c r="B8227" s="69"/>
    </row>
    <row r="8228" spans="2:2" ht="12.5" hidden="1">
      <c r="B8228" s="69"/>
    </row>
    <row r="8229" spans="2:2" ht="12.5" hidden="1">
      <c r="B8229" s="69"/>
    </row>
    <row r="8230" spans="2:2" ht="12.5" hidden="1">
      <c r="B8230" s="69"/>
    </row>
    <row r="8231" spans="2:2" ht="12.5" hidden="1">
      <c r="B8231" s="69"/>
    </row>
    <row r="8232" spans="2:2" ht="12.5" hidden="1">
      <c r="B8232" s="69"/>
    </row>
    <row r="8233" spans="2:2" ht="12.5" hidden="1">
      <c r="B8233" s="69"/>
    </row>
    <row r="8234" spans="2:2" ht="12.5" hidden="1">
      <c r="B8234" s="69"/>
    </row>
    <row r="8235" spans="2:2" ht="12.5" hidden="1">
      <c r="B8235" s="69"/>
    </row>
    <row r="8236" spans="2:2" ht="12.5" hidden="1">
      <c r="B8236" s="69"/>
    </row>
    <row r="8237" spans="2:2" ht="12.5" hidden="1">
      <c r="B8237" s="69"/>
    </row>
    <row r="8238" spans="2:2" ht="12.5" hidden="1">
      <c r="B8238" s="69"/>
    </row>
    <row r="8239" spans="2:2" ht="12.5" hidden="1">
      <c r="B8239" s="69"/>
    </row>
    <row r="8240" spans="2:2" ht="12.5" hidden="1">
      <c r="B8240" s="69"/>
    </row>
    <row r="8241" spans="2:2" ht="12.5" hidden="1">
      <c r="B8241" s="69"/>
    </row>
    <row r="8242" spans="2:2" ht="12.5" hidden="1">
      <c r="B8242" s="69"/>
    </row>
    <row r="8243" spans="2:2" ht="12.5" hidden="1">
      <c r="B8243" s="69"/>
    </row>
    <row r="8244" spans="2:2" ht="12.5" hidden="1">
      <c r="B8244" s="69"/>
    </row>
    <row r="8245" spans="2:2" ht="12.5" hidden="1">
      <c r="B8245" s="69"/>
    </row>
    <row r="8246" spans="2:2" ht="12.5" hidden="1">
      <c r="B8246" s="69"/>
    </row>
    <row r="8247" spans="2:2" ht="12.5" hidden="1">
      <c r="B8247" s="69"/>
    </row>
    <row r="8248" spans="2:2" ht="12.5" hidden="1">
      <c r="B8248" s="69"/>
    </row>
    <row r="8249" spans="2:2" ht="12.5" hidden="1">
      <c r="B8249" s="69"/>
    </row>
    <row r="8250" spans="2:2" ht="12.5" hidden="1">
      <c r="B8250" s="69"/>
    </row>
    <row r="8251" spans="2:2" ht="12.5" hidden="1">
      <c r="B8251" s="69"/>
    </row>
    <row r="8252" spans="2:2" ht="12.5" hidden="1">
      <c r="B8252" s="69"/>
    </row>
    <row r="8253" spans="2:2" ht="12.5" hidden="1">
      <c r="B8253" s="69"/>
    </row>
    <row r="8254" spans="2:2" ht="12.5" hidden="1">
      <c r="B8254" s="69"/>
    </row>
    <row r="8255" spans="2:2" ht="12.5" hidden="1">
      <c r="B8255" s="69"/>
    </row>
    <row r="8256" spans="2:2" ht="12.5" hidden="1">
      <c r="B8256" s="69"/>
    </row>
    <row r="8257" spans="2:2" ht="12.5" hidden="1">
      <c r="B8257" s="69"/>
    </row>
    <row r="8258" spans="2:2" ht="12.5" hidden="1">
      <c r="B8258" s="69"/>
    </row>
    <row r="8259" spans="2:2" ht="12.5" hidden="1">
      <c r="B8259" s="69"/>
    </row>
    <row r="8260" spans="2:2" ht="12.5" hidden="1">
      <c r="B8260" s="69"/>
    </row>
    <row r="8261" spans="2:2" ht="12.5" hidden="1">
      <c r="B8261" s="69"/>
    </row>
    <row r="8262" spans="2:2" ht="12.5" hidden="1">
      <c r="B8262" s="69"/>
    </row>
    <row r="8263" spans="2:2" ht="12.5" hidden="1">
      <c r="B8263" s="69"/>
    </row>
    <row r="8264" spans="2:2" ht="12.5" hidden="1">
      <c r="B8264" s="69"/>
    </row>
    <row r="8265" spans="2:2" ht="12.5" hidden="1">
      <c r="B8265" s="69"/>
    </row>
    <row r="8266" spans="2:2" ht="12.5" hidden="1">
      <c r="B8266" s="69"/>
    </row>
    <row r="8267" spans="2:2" ht="12.5" hidden="1">
      <c r="B8267" s="69"/>
    </row>
    <row r="8268" spans="2:2" ht="12.5" hidden="1">
      <c r="B8268" s="69"/>
    </row>
    <row r="8269" spans="2:2" ht="12.5" hidden="1">
      <c r="B8269" s="69"/>
    </row>
    <row r="8270" spans="2:2" ht="12.5" hidden="1">
      <c r="B8270" s="69"/>
    </row>
    <row r="8271" spans="2:2" ht="12.5" hidden="1">
      <c r="B8271" s="69"/>
    </row>
    <row r="8272" spans="2:2" ht="12.5" hidden="1">
      <c r="B8272" s="69"/>
    </row>
    <row r="8273" spans="2:2" ht="12.5" hidden="1">
      <c r="B8273" s="69"/>
    </row>
    <row r="8274" spans="2:2" ht="12.5" hidden="1">
      <c r="B8274" s="69"/>
    </row>
    <row r="8275" spans="2:2" ht="12.5" hidden="1">
      <c r="B8275" s="69"/>
    </row>
    <row r="8276" spans="2:2" ht="12.5" hidden="1">
      <c r="B8276" s="69"/>
    </row>
    <row r="8277" spans="2:2" ht="12.5" hidden="1">
      <c r="B8277" s="69"/>
    </row>
    <row r="8278" spans="2:2" ht="12.5" hidden="1">
      <c r="B8278" s="69"/>
    </row>
    <row r="8279" spans="2:2" ht="12.5" hidden="1">
      <c r="B8279" s="69"/>
    </row>
    <row r="8280" spans="2:2" ht="12.5" hidden="1">
      <c r="B8280" s="69"/>
    </row>
    <row r="8281" spans="2:2" ht="12.5" hidden="1">
      <c r="B8281" s="69"/>
    </row>
    <row r="8282" spans="2:2" ht="12.5" hidden="1">
      <c r="B8282" s="69"/>
    </row>
    <row r="8283" spans="2:2" ht="12.5" hidden="1">
      <c r="B8283" s="69"/>
    </row>
    <row r="8284" spans="2:2" ht="12.5" hidden="1">
      <c r="B8284" s="69"/>
    </row>
    <row r="8285" spans="2:2" ht="12.5" hidden="1">
      <c r="B8285" s="69"/>
    </row>
    <row r="8286" spans="2:2" ht="12.5" hidden="1">
      <c r="B8286" s="69"/>
    </row>
    <row r="8287" spans="2:2" ht="12.5" hidden="1">
      <c r="B8287" s="69"/>
    </row>
    <row r="8288" spans="2:2" ht="12.5" hidden="1">
      <c r="B8288" s="69"/>
    </row>
    <row r="8289" spans="2:2" ht="12.5" hidden="1">
      <c r="B8289" s="69"/>
    </row>
    <row r="8290" spans="2:2" ht="12.5" hidden="1">
      <c r="B8290" s="69"/>
    </row>
    <row r="8291" spans="2:2" ht="12.5" hidden="1">
      <c r="B8291" s="69"/>
    </row>
    <row r="8292" spans="2:2" ht="12.5" hidden="1">
      <c r="B8292" s="69"/>
    </row>
    <row r="8293" spans="2:2" ht="12.5" hidden="1">
      <c r="B8293" s="69"/>
    </row>
    <row r="8294" spans="2:2" ht="12.5" hidden="1">
      <c r="B8294" s="69"/>
    </row>
    <row r="8295" spans="2:2" ht="12.5" hidden="1">
      <c r="B8295" s="69"/>
    </row>
    <row r="8296" spans="2:2" ht="12.5" hidden="1">
      <c r="B8296" s="69"/>
    </row>
    <row r="8297" spans="2:2" ht="12.5" hidden="1">
      <c r="B8297" s="69"/>
    </row>
    <row r="8298" spans="2:2" ht="12.5" hidden="1">
      <c r="B8298" s="69"/>
    </row>
    <row r="8299" spans="2:2" ht="12.5" hidden="1">
      <c r="B8299" s="69"/>
    </row>
    <row r="8300" spans="2:2" ht="12.5" hidden="1">
      <c r="B8300" s="69"/>
    </row>
    <row r="8301" spans="2:2" ht="12.5" hidden="1">
      <c r="B8301" s="69"/>
    </row>
    <row r="8302" spans="2:2" ht="12.5" hidden="1">
      <c r="B8302" s="69"/>
    </row>
    <row r="8303" spans="2:2" ht="12.5" hidden="1">
      <c r="B8303" s="69"/>
    </row>
    <row r="8304" spans="2:2" ht="12.5" hidden="1">
      <c r="B8304" s="69"/>
    </row>
    <row r="8305" spans="2:2" ht="12.5" hidden="1">
      <c r="B8305" s="69"/>
    </row>
    <row r="8306" spans="2:2" ht="12.5" hidden="1">
      <c r="B8306" s="69"/>
    </row>
    <row r="8307" spans="2:2" ht="12.5" hidden="1">
      <c r="B8307" s="69"/>
    </row>
    <row r="8308" spans="2:2" ht="12.5" hidden="1">
      <c r="B8308" s="69"/>
    </row>
    <row r="8309" spans="2:2" ht="12.5" hidden="1">
      <c r="B8309" s="69"/>
    </row>
    <row r="8310" spans="2:2" ht="12.5" hidden="1">
      <c r="B8310" s="69"/>
    </row>
    <row r="8311" spans="2:2" ht="12.5" hidden="1">
      <c r="B8311" s="69"/>
    </row>
    <row r="8312" spans="2:2" ht="12.5" hidden="1">
      <c r="B8312" s="69"/>
    </row>
    <row r="8313" spans="2:2" ht="12.5" hidden="1">
      <c r="B8313" s="69"/>
    </row>
    <row r="8314" spans="2:2" ht="12.5" hidden="1">
      <c r="B8314" s="69"/>
    </row>
    <row r="8315" spans="2:2" ht="12.5" hidden="1">
      <c r="B8315" s="69"/>
    </row>
    <row r="8316" spans="2:2" ht="12.5" hidden="1">
      <c r="B8316" s="69"/>
    </row>
    <row r="8317" spans="2:2" ht="12.5" hidden="1">
      <c r="B8317" s="69"/>
    </row>
    <row r="8318" spans="2:2" ht="12.5" hidden="1">
      <c r="B8318" s="69"/>
    </row>
    <row r="8319" spans="2:2" ht="12.5" hidden="1">
      <c r="B8319" s="69"/>
    </row>
    <row r="8320" spans="2:2" ht="12.5" hidden="1">
      <c r="B8320" s="69"/>
    </row>
    <row r="8321" spans="2:2" ht="12.5" hidden="1">
      <c r="B8321" s="69"/>
    </row>
    <row r="8322" spans="2:2" ht="12.5" hidden="1">
      <c r="B8322" s="69"/>
    </row>
    <row r="8323" spans="2:2" ht="12.5" hidden="1">
      <c r="B8323" s="69"/>
    </row>
    <row r="8324" spans="2:2" ht="12.5" hidden="1">
      <c r="B8324" s="69"/>
    </row>
    <row r="8325" spans="2:2" ht="12.5" hidden="1">
      <c r="B8325" s="69"/>
    </row>
    <row r="8326" spans="2:2" ht="12.5" hidden="1">
      <c r="B8326" s="69"/>
    </row>
    <row r="8327" spans="2:2" ht="12.5" hidden="1">
      <c r="B8327" s="69"/>
    </row>
    <row r="8328" spans="2:2" ht="12.5" hidden="1">
      <c r="B8328" s="69"/>
    </row>
    <row r="8329" spans="2:2" ht="12.5" hidden="1">
      <c r="B8329" s="69"/>
    </row>
    <row r="8330" spans="2:2" ht="12.5" hidden="1">
      <c r="B8330" s="69"/>
    </row>
    <row r="8331" spans="2:2" ht="12.5" hidden="1">
      <c r="B8331" s="69"/>
    </row>
    <row r="8332" spans="2:2" ht="12.5" hidden="1">
      <c r="B8332" s="69"/>
    </row>
    <row r="8333" spans="2:2" ht="12.5" hidden="1">
      <c r="B8333" s="69"/>
    </row>
    <row r="8334" spans="2:2" ht="12.5" hidden="1">
      <c r="B8334" s="69"/>
    </row>
    <row r="8335" spans="2:2" ht="12.5" hidden="1">
      <c r="B8335" s="69"/>
    </row>
    <row r="8336" spans="2:2" ht="12.5" hidden="1">
      <c r="B8336" s="69"/>
    </row>
    <row r="8337" spans="2:2" ht="12.5" hidden="1">
      <c r="B8337" s="69"/>
    </row>
    <row r="8338" spans="2:2" ht="12.5" hidden="1">
      <c r="B8338" s="69"/>
    </row>
    <row r="8339" spans="2:2" ht="12.5" hidden="1">
      <c r="B8339" s="69"/>
    </row>
    <row r="8340" spans="2:2" ht="12.5" hidden="1">
      <c r="B8340" s="69"/>
    </row>
    <row r="8341" spans="2:2" ht="12.5" hidden="1">
      <c r="B8341" s="69"/>
    </row>
    <row r="8342" spans="2:2" ht="12.5" hidden="1">
      <c r="B8342" s="69"/>
    </row>
    <row r="8343" spans="2:2" ht="12.5" hidden="1">
      <c r="B8343" s="69"/>
    </row>
    <row r="8344" spans="2:2" ht="12.5" hidden="1">
      <c r="B8344" s="69"/>
    </row>
    <row r="8345" spans="2:2" ht="12.5" hidden="1">
      <c r="B8345" s="69"/>
    </row>
    <row r="8346" spans="2:2" ht="12.5" hidden="1">
      <c r="B8346" s="69"/>
    </row>
    <row r="8347" spans="2:2" ht="12.5" hidden="1">
      <c r="B8347" s="69"/>
    </row>
    <row r="8348" spans="2:2" ht="12.5" hidden="1">
      <c r="B8348" s="69"/>
    </row>
    <row r="8349" spans="2:2" ht="12.5" hidden="1">
      <c r="B8349" s="69"/>
    </row>
    <row r="8350" spans="2:2" ht="12.5" hidden="1">
      <c r="B8350" s="69"/>
    </row>
    <row r="8351" spans="2:2" ht="12.5" hidden="1">
      <c r="B8351" s="69"/>
    </row>
    <row r="8352" spans="2:2" ht="12.5" hidden="1">
      <c r="B8352" s="69"/>
    </row>
    <row r="8353" spans="2:2" ht="12.5" hidden="1">
      <c r="B8353" s="69"/>
    </row>
    <row r="8354" spans="2:2" ht="12.5" hidden="1">
      <c r="B8354" s="69"/>
    </row>
    <row r="8355" spans="2:2" ht="12.5" hidden="1">
      <c r="B8355" s="69"/>
    </row>
    <row r="8356" spans="2:2" ht="12.5" hidden="1">
      <c r="B8356" s="69"/>
    </row>
    <row r="8357" spans="2:2" ht="12.5" hidden="1">
      <c r="B8357" s="69"/>
    </row>
    <row r="8358" spans="2:2" ht="12.5" hidden="1">
      <c r="B8358" s="69"/>
    </row>
    <row r="8359" spans="2:2" ht="12.5" hidden="1">
      <c r="B8359" s="69"/>
    </row>
    <row r="8360" spans="2:2" ht="12.5" hidden="1">
      <c r="B8360" s="69"/>
    </row>
    <row r="8361" spans="2:2" ht="12.5" hidden="1">
      <c r="B8361" s="69"/>
    </row>
    <row r="8362" spans="2:2" ht="12.5" hidden="1">
      <c r="B8362" s="69"/>
    </row>
    <row r="8363" spans="2:2" ht="12.5" hidden="1">
      <c r="B8363" s="69"/>
    </row>
    <row r="8364" spans="2:2" ht="12.5" hidden="1">
      <c r="B8364" s="69"/>
    </row>
    <row r="8365" spans="2:2" ht="12.5" hidden="1">
      <c r="B8365" s="69"/>
    </row>
    <row r="8366" spans="2:2" ht="12.5" hidden="1">
      <c r="B8366" s="69"/>
    </row>
    <row r="8367" spans="2:2" ht="12.5" hidden="1">
      <c r="B8367" s="69"/>
    </row>
    <row r="8368" spans="2:2" ht="12.5" hidden="1">
      <c r="B8368" s="69"/>
    </row>
    <row r="8369" spans="2:2" ht="12.5" hidden="1">
      <c r="B8369" s="69"/>
    </row>
    <row r="8370" spans="2:2" ht="12.5" hidden="1">
      <c r="B8370" s="69"/>
    </row>
    <row r="8371" spans="2:2" ht="12.5" hidden="1">
      <c r="B8371" s="69"/>
    </row>
    <row r="8372" spans="2:2" ht="12.5" hidden="1">
      <c r="B8372" s="69"/>
    </row>
    <row r="8373" spans="2:2" ht="12.5" hidden="1">
      <c r="B8373" s="69"/>
    </row>
    <row r="8374" spans="2:2" ht="12.5" hidden="1">
      <c r="B8374" s="69"/>
    </row>
    <row r="8375" spans="2:2" ht="12.5" hidden="1">
      <c r="B8375" s="69"/>
    </row>
    <row r="8376" spans="2:2" ht="12.5" hidden="1">
      <c r="B8376" s="69"/>
    </row>
    <row r="8377" spans="2:2" ht="12.5" hidden="1">
      <c r="B8377" s="69"/>
    </row>
    <row r="8378" spans="2:2" ht="12.5" hidden="1">
      <c r="B8378" s="69"/>
    </row>
    <row r="8379" spans="2:2" ht="12.5" hidden="1">
      <c r="B8379" s="69"/>
    </row>
    <row r="8380" spans="2:2" ht="12.5" hidden="1">
      <c r="B8380" s="69"/>
    </row>
    <row r="8381" spans="2:2" ht="12.5" hidden="1">
      <c r="B8381" s="69"/>
    </row>
    <row r="8382" spans="2:2" ht="12.5" hidden="1">
      <c r="B8382" s="69"/>
    </row>
    <row r="8383" spans="2:2" ht="12.5" hidden="1">
      <c r="B8383" s="69"/>
    </row>
    <row r="8384" spans="2:2" ht="12.5" hidden="1">
      <c r="B8384" s="69"/>
    </row>
    <row r="8385" spans="2:2" ht="12.5" hidden="1">
      <c r="B8385" s="69"/>
    </row>
    <row r="8386" spans="2:2" ht="12.5" hidden="1">
      <c r="B8386" s="69"/>
    </row>
    <row r="8387" spans="2:2" ht="12.5" hidden="1">
      <c r="B8387" s="69"/>
    </row>
    <row r="8388" spans="2:2" ht="12.5" hidden="1">
      <c r="B8388" s="69"/>
    </row>
    <row r="8389" spans="2:2" ht="12.5" hidden="1">
      <c r="B8389" s="69"/>
    </row>
    <row r="8390" spans="2:2" ht="12.5" hidden="1">
      <c r="B8390" s="69"/>
    </row>
    <row r="8391" spans="2:2" ht="12.5" hidden="1">
      <c r="B8391" s="69"/>
    </row>
    <row r="8392" spans="2:2" ht="12.5" hidden="1">
      <c r="B8392" s="69"/>
    </row>
    <row r="8393" spans="2:2" ht="12.5" hidden="1">
      <c r="B8393" s="69"/>
    </row>
    <row r="8394" spans="2:2" ht="12.5" hidden="1">
      <c r="B8394" s="69"/>
    </row>
    <row r="8395" spans="2:2" ht="12.5" hidden="1">
      <c r="B8395" s="69"/>
    </row>
    <row r="8396" spans="2:2" ht="12.5" hidden="1">
      <c r="B8396" s="69"/>
    </row>
    <row r="8397" spans="2:2" ht="12.5" hidden="1">
      <c r="B8397" s="69"/>
    </row>
    <row r="8398" spans="2:2" ht="12.5" hidden="1">
      <c r="B8398" s="69"/>
    </row>
    <row r="8399" spans="2:2" ht="12.5" hidden="1">
      <c r="B8399" s="69"/>
    </row>
    <row r="8400" spans="2:2" ht="12.5" hidden="1">
      <c r="B8400" s="69"/>
    </row>
    <row r="8401" spans="2:2" ht="12.5" hidden="1">
      <c r="B8401" s="69"/>
    </row>
    <row r="8402" spans="2:2" ht="12.5" hidden="1">
      <c r="B8402" s="69"/>
    </row>
    <row r="8403" spans="2:2" ht="12.5" hidden="1">
      <c r="B8403" s="69"/>
    </row>
    <row r="8404" spans="2:2" ht="12.5" hidden="1">
      <c r="B8404" s="69"/>
    </row>
    <row r="8405" spans="2:2" ht="12.5" hidden="1">
      <c r="B8405" s="69"/>
    </row>
    <row r="8406" spans="2:2" ht="12.5" hidden="1">
      <c r="B8406" s="69"/>
    </row>
    <row r="8407" spans="2:2" ht="12.5" hidden="1">
      <c r="B8407" s="69"/>
    </row>
    <row r="8408" spans="2:2" ht="12.5" hidden="1">
      <c r="B8408" s="69"/>
    </row>
    <row r="8409" spans="2:2" ht="12.5" hidden="1">
      <c r="B8409" s="69"/>
    </row>
    <row r="8410" spans="2:2" ht="12.5" hidden="1">
      <c r="B8410" s="69"/>
    </row>
    <row r="8411" spans="2:2" ht="12.5" hidden="1">
      <c r="B8411" s="69"/>
    </row>
    <row r="8412" spans="2:2" ht="12.5" hidden="1">
      <c r="B8412" s="69"/>
    </row>
    <row r="8413" spans="2:2" ht="12.5" hidden="1">
      <c r="B8413" s="69"/>
    </row>
    <row r="8414" spans="2:2" ht="12.5" hidden="1">
      <c r="B8414" s="69"/>
    </row>
    <row r="8415" spans="2:2" ht="12.5" hidden="1">
      <c r="B8415" s="69"/>
    </row>
    <row r="8416" spans="2:2" ht="12.5" hidden="1">
      <c r="B8416" s="69"/>
    </row>
    <row r="8417" spans="2:2" ht="12.5" hidden="1">
      <c r="B8417" s="69"/>
    </row>
    <row r="8418" spans="2:2" ht="12.5" hidden="1">
      <c r="B8418" s="69"/>
    </row>
    <row r="8419" spans="2:2" ht="12.5" hidden="1">
      <c r="B8419" s="69"/>
    </row>
    <row r="8420" spans="2:2" ht="12.5" hidden="1">
      <c r="B8420" s="69"/>
    </row>
    <row r="8421" spans="2:2" ht="12.5" hidden="1">
      <c r="B8421" s="69"/>
    </row>
    <row r="8422" spans="2:2" ht="12.5" hidden="1">
      <c r="B8422" s="69"/>
    </row>
    <row r="8423" spans="2:2" ht="12.5" hidden="1">
      <c r="B8423" s="69"/>
    </row>
    <row r="8424" spans="2:2" ht="12.5" hidden="1">
      <c r="B8424" s="69"/>
    </row>
    <row r="8425" spans="2:2" ht="12.5" hidden="1">
      <c r="B8425" s="69"/>
    </row>
    <row r="8426" spans="2:2" ht="12.5" hidden="1">
      <c r="B8426" s="69"/>
    </row>
    <row r="8427" spans="2:2" ht="12.5" hidden="1">
      <c r="B8427" s="69"/>
    </row>
    <row r="8428" spans="2:2" ht="12.5" hidden="1">
      <c r="B8428" s="69"/>
    </row>
    <row r="8429" spans="2:2" ht="12.5" hidden="1">
      <c r="B8429" s="69"/>
    </row>
    <row r="8430" spans="2:2" ht="12.5" hidden="1">
      <c r="B8430" s="69"/>
    </row>
    <row r="8431" spans="2:2" ht="12.5" hidden="1">
      <c r="B8431" s="69"/>
    </row>
    <row r="8432" spans="2:2" ht="12.5" hidden="1">
      <c r="B8432" s="69"/>
    </row>
    <row r="8433" spans="2:2" ht="12.5" hidden="1">
      <c r="B8433" s="69"/>
    </row>
    <row r="8434" spans="2:2" ht="12.5" hidden="1">
      <c r="B8434" s="69"/>
    </row>
    <row r="8435" spans="2:2" ht="12.5" hidden="1">
      <c r="B8435" s="69"/>
    </row>
    <row r="8436" spans="2:2" ht="12.5" hidden="1">
      <c r="B8436" s="69"/>
    </row>
    <row r="8437" spans="2:2" ht="12.5" hidden="1">
      <c r="B8437" s="69"/>
    </row>
    <row r="8438" spans="2:2" ht="12.5" hidden="1">
      <c r="B8438" s="69"/>
    </row>
    <row r="8439" spans="2:2" ht="12.5" hidden="1">
      <c r="B8439" s="69"/>
    </row>
    <row r="8440" spans="2:2" ht="12.5" hidden="1">
      <c r="B8440" s="69"/>
    </row>
    <row r="8441" spans="2:2" ht="12.5" hidden="1">
      <c r="B8441" s="69"/>
    </row>
    <row r="8442" spans="2:2" ht="12.5" hidden="1">
      <c r="B8442" s="69"/>
    </row>
    <row r="8443" spans="2:2" ht="12.5" hidden="1">
      <c r="B8443" s="69"/>
    </row>
    <row r="8444" spans="2:2" ht="12.5" hidden="1">
      <c r="B8444" s="69"/>
    </row>
    <row r="8445" spans="2:2" ht="12.5" hidden="1">
      <c r="B8445" s="69"/>
    </row>
    <row r="8446" spans="2:2" ht="12.5" hidden="1">
      <c r="B8446" s="69"/>
    </row>
    <row r="8447" spans="2:2" ht="12.5" hidden="1">
      <c r="B8447" s="69"/>
    </row>
    <row r="8448" spans="2:2" ht="12.5" hidden="1">
      <c r="B8448" s="69"/>
    </row>
    <row r="8449" spans="2:2" ht="12.5" hidden="1">
      <c r="B8449" s="69"/>
    </row>
    <row r="8450" spans="2:2" ht="12.5" hidden="1">
      <c r="B8450" s="69"/>
    </row>
    <row r="8451" spans="2:2" ht="12.5" hidden="1">
      <c r="B8451" s="69"/>
    </row>
    <row r="8452" spans="2:2" ht="12.5" hidden="1">
      <c r="B8452" s="69"/>
    </row>
    <row r="8453" spans="2:2" ht="12.5" hidden="1">
      <c r="B8453" s="69"/>
    </row>
    <row r="8454" spans="2:2" ht="12.5" hidden="1">
      <c r="B8454" s="69"/>
    </row>
    <row r="8455" spans="2:2" ht="12.5" hidden="1">
      <c r="B8455" s="69"/>
    </row>
    <row r="8456" spans="2:2" ht="12.5" hidden="1">
      <c r="B8456" s="69"/>
    </row>
    <row r="8457" spans="2:2" ht="12.5" hidden="1">
      <c r="B8457" s="69"/>
    </row>
    <row r="8458" spans="2:2" ht="12.5" hidden="1">
      <c r="B8458" s="69"/>
    </row>
    <row r="8459" spans="2:2" ht="12.5" hidden="1">
      <c r="B8459" s="69"/>
    </row>
    <row r="8460" spans="2:2" ht="12.5" hidden="1">
      <c r="B8460" s="69"/>
    </row>
    <row r="8461" spans="2:2" ht="12.5" hidden="1">
      <c r="B8461" s="69"/>
    </row>
    <row r="8462" spans="2:2" ht="12.5" hidden="1">
      <c r="B8462" s="69"/>
    </row>
    <row r="8463" spans="2:2" ht="12.5" hidden="1">
      <c r="B8463" s="69"/>
    </row>
    <row r="8464" spans="2:2" ht="12.5" hidden="1">
      <c r="B8464" s="69"/>
    </row>
    <row r="8465" spans="2:2" ht="12.5" hidden="1">
      <c r="B8465" s="69"/>
    </row>
    <row r="8466" spans="2:2" ht="12.5" hidden="1">
      <c r="B8466" s="69"/>
    </row>
    <row r="8467" spans="2:2" ht="12.5" hidden="1">
      <c r="B8467" s="69"/>
    </row>
    <row r="8468" spans="2:2" ht="12.5" hidden="1">
      <c r="B8468" s="69"/>
    </row>
    <row r="8469" spans="2:2" ht="12.5" hidden="1">
      <c r="B8469" s="69"/>
    </row>
    <row r="8470" spans="2:2" ht="12.5" hidden="1">
      <c r="B8470" s="69"/>
    </row>
    <row r="8471" spans="2:2" ht="12.5" hidden="1">
      <c r="B8471" s="69"/>
    </row>
    <row r="8472" spans="2:2" ht="12.5" hidden="1">
      <c r="B8472" s="69"/>
    </row>
    <row r="8473" spans="2:2" ht="12.5" hidden="1">
      <c r="B8473" s="69"/>
    </row>
    <row r="8474" spans="2:2" ht="12.5" hidden="1">
      <c r="B8474" s="69"/>
    </row>
    <row r="8475" spans="2:2" ht="12.5" hidden="1">
      <c r="B8475" s="69"/>
    </row>
    <row r="8476" spans="2:2" ht="12.5" hidden="1">
      <c r="B8476" s="69"/>
    </row>
    <row r="8477" spans="2:2" ht="12.5" hidden="1">
      <c r="B8477" s="69"/>
    </row>
    <row r="8478" spans="2:2" ht="12.5" hidden="1">
      <c r="B8478" s="69"/>
    </row>
    <row r="8479" spans="2:2" ht="12.5" hidden="1">
      <c r="B8479" s="69"/>
    </row>
    <row r="8480" spans="2:2" ht="12.5" hidden="1">
      <c r="B8480" s="69"/>
    </row>
    <row r="8481" spans="2:2" ht="12.5" hidden="1">
      <c r="B8481" s="69"/>
    </row>
    <row r="8482" spans="2:2" ht="12.5" hidden="1">
      <c r="B8482" s="69"/>
    </row>
    <row r="8483" spans="2:2" ht="12.5" hidden="1">
      <c r="B8483" s="69"/>
    </row>
    <row r="8484" spans="2:2" ht="12.5" hidden="1">
      <c r="B8484" s="69"/>
    </row>
    <row r="8485" spans="2:2" ht="12.5" hidden="1">
      <c r="B8485" s="69"/>
    </row>
    <row r="8486" spans="2:2" ht="12.5" hidden="1">
      <c r="B8486" s="69"/>
    </row>
    <row r="8487" spans="2:2" ht="12.5" hidden="1">
      <c r="B8487" s="69"/>
    </row>
    <row r="8488" spans="2:2" ht="12.5" hidden="1">
      <c r="B8488" s="69"/>
    </row>
    <row r="8489" spans="2:2" ht="12.5" hidden="1">
      <c r="B8489" s="69"/>
    </row>
    <row r="8490" spans="2:2" ht="12.5" hidden="1">
      <c r="B8490" s="69"/>
    </row>
    <row r="8491" spans="2:2" ht="12.5" hidden="1">
      <c r="B8491" s="69"/>
    </row>
    <row r="8492" spans="2:2" ht="12.5" hidden="1">
      <c r="B8492" s="69"/>
    </row>
    <row r="8493" spans="2:2" ht="12.5" hidden="1">
      <c r="B8493" s="69"/>
    </row>
    <row r="8494" spans="2:2" ht="12.5" hidden="1">
      <c r="B8494" s="69"/>
    </row>
    <row r="8495" spans="2:2" ht="12.5" hidden="1">
      <c r="B8495" s="69"/>
    </row>
    <row r="8496" spans="2:2" ht="12.5" hidden="1">
      <c r="B8496" s="69"/>
    </row>
    <row r="8497" spans="2:2" ht="12.5" hidden="1">
      <c r="B8497" s="69"/>
    </row>
    <row r="8498" spans="2:2" ht="12.5" hidden="1">
      <c r="B8498" s="69"/>
    </row>
    <row r="8499" spans="2:2" ht="12.5" hidden="1">
      <c r="B8499" s="69"/>
    </row>
    <row r="8500" spans="2:2" ht="12.5" hidden="1">
      <c r="B8500" s="69"/>
    </row>
    <row r="8501" spans="2:2" ht="12.5" hidden="1">
      <c r="B8501" s="69"/>
    </row>
    <row r="8502" spans="2:2" ht="12.5" hidden="1">
      <c r="B8502" s="69"/>
    </row>
    <row r="8503" spans="2:2" ht="12.5" hidden="1">
      <c r="B8503" s="69"/>
    </row>
    <row r="8504" spans="2:2" ht="12.5" hidden="1">
      <c r="B8504" s="69"/>
    </row>
    <row r="8505" spans="2:2" ht="12.5" hidden="1">
      <c r="B8505" s="69"/>
    </row>
    <row r="8506" spans="2:2" ht="12.5" hidden="1">
      <c r="B8506" s="69"/>
    </row>
    <row r="8507" spans="2:2" ht="12.5" hidden="1">
      <c r="B8507" s="69"/>
    </row>
    <row r="8508" spans="2:2" ht="12.5" hidden="1">
      <c r="B8508" s="69"/>
    </row>
    <row r="8509" spans="2:2" ht="12.5" hidden="1">
      <c r="B8509" s="69"/>
    </row>
    <row r="8510" spans="2:2" ht="12.5" hidden="1">
      <c r="B8510" s="69"/>
    </row>
    <row r="8511" spans="2:2" ht="12.5" hidden="1">
      <c r="B8511" s="69"/>
    </row>
    <row r="8512" spans="2:2" ht="12.5" hidden="1">
      <c r="B8512" s="69"/>
    </row>
    <row r="8513" spans="2:2" ht="12.5" hidden="1">
      <c r="B8513" s="69"/>
    </row>
    <row r="8514" spans="2:2" ht="12.5" hidden="1">
      <c r="B8514" s="69"/>
    </row>
    <row r="8515" spans="2:2" ht="12.5" hidden="1">
      <c r="B8515" s="69"/>
    </row>
    <row r="8516" spans="2:2" ht="12.5" hidden="1">
      <c r="B8516" s="69"/>
    </row>
    <row r="8517" spans="2:2" ht="12.5" hidden="1">
      <c r="B8517" s="69"/>
    </row>
    <row r="8518" spans="2:2" ht="12.5" hidden="1">
      <c r="B8518" s="69"/>
    </row>
    <row r="8519" spans="2:2" ht="12.5" hidden="1">
      <c r="B8519" s="69"/>
    </row>
    <row r="8520" spans="2:2" ht="12.5" hidden="1">
      <c r="B8520" s="69"/>
    </row>
    <row r="8521" spans="2:2" ht="12.5" hidden="1">
      <c r="B8521" s="69"/>
    </row>
    <row r="8522" spans="2:2" ht="12.5" hidden="1">
      <c r="B8522" s="69"/>
    </row>
    <row r="8523" spans="2:2" ht="12.5" hidden="1">
      <c r="B8523" s="69"/>
    </row>
    <row r="8524" spans="2:2" ht="12.5" hidden="1">
      <c r="B8524" s="69"/>
    </row>
    <row r="8525" spans="2:2" ht="12.5" hidden="1">
      <c r="B8525" s="69"/>
    </row>
    <row r="8526" spans="2:2" ht="12.5" hidden="1">
      <c r="B8526" s="69"/>
    </row>
    <row r="8527" spans="2:2" ht="12.5" hidden="1">
      <c r="B8527" s="69"/>
    </row>
    <row r="8528" spans="2:2" ht="12.5" hidden="1">
      <c r="B8528" s="69"/>
    </row>
    <row r="8529" spans="2:2" ht="12.5" hidden="1">
      <c r="B8529" s="69"/>
    </row>
    <row r="8530" spans="2:2" ht="12.5" hidden="1">
      <c r="B8530" s="69"/>
    </row>
    <row r="8531" spans="2:2" ht="12.5" hidden="1">
      <c r="B8531" s="69"/>
    </row>
    <row r="8532" spans="2:2" ht="12.5" hidden="1">
      <c r="B8532" s="69"/>
    </row>
    <row r="8533" spans="2:2" ht="12.5" hidden="1">
      <c r="B8533" s="69"/>
    </row>
    <row r="8534" spans="2:2" ht="12.5" hidden="1">
      <c r="B8534" s="69"/>
    </row>
    <row r="8535" spans="2:2" ht="12.5" hidden="1">
      <c r="B8535" s="69"/>
    </row>
    <row r="8536" spans="2:2" ht="12.5" hidden="1">
      <c r="B8536" s="69"/>
    </row>
    <row r="8537" spans="2:2" ht="12.5" hidden="1">
      <c r="B8537" s="69"/>
    </row>
    <row r="8538" spans="2:2" ht="12.5" hidden="1">
      <c r="B8538" s="69"/>
    </row>
    <row r="8539" spans="2:2" ht="12.5" hidden="1">
      <c r="B8539" s="69"/>
    </row>
    <row r="8540" spans="2:2" ht="12.5" hidden="1">
      <c r="B8540" s="69"/>
    </row>
    <row r="8541" spans="2:2" ht="12.5" hidden="1">
      <c r="B8541" s="69"/>
    </row>
    <row r="8542" spans="2:2" ht="12.5" hidden="1">
      <c r="B8542" s="69"/>
    </row>
    <row r="8543" spans="2:2" ht="12.5" hidden="1">
      <c r="B8543" s="69"/>
    </row>
    <row r="8544" spans="2:2" ht="12.5" hidden="1">
      <c r="B8544" s="69"/>
    </row>
    <row r="8545" spans="2:2" ht="12.5" hidden="1">
      <c r="B8545" s="69"/>
    </row>
    <row r="8546" spans="2:2" ht="12.5" hidden="1">
      <c r="B8546" s="69"/>
    </row>
    <row r="8547" spans="2:2" ht="12.5" hidden="1">
      <c r="B8547" s="69"/>
    </row>
    <row r="8548" spans="2:2" ht="12.5" hidden="1">
      <c r="B8548" s="69"/>
    </row>
    <row r="8549" spans="2:2" ht="12.5" hidden="1">
      <c r="B8549" s="69"/>
    </row>
    <row r="8550" spans="2:2" ht="12.5" hidden="1">
      <c r="B8550" s="69"/>
    </row>
    <row r="8551" spans="2:2" ht="12.5" hidden="1">
      <c r="B8551" s="69"/>
    </row>
    <row r="8552" spans="2:2" ht="12.5" hidden="1">
      <c r="B8552" s="69"/>
    </row>
    <row r="8553" spans="2:2" ht="12.5" hidden="1">
      <c r="B8553" s="69"/>
    </row>
    <row r="8554" spans="2:2" ht="12.5" hidden="1">
      <c r="B8554" s="69"/>
    </row>
    <row r="8555" spans="2:2" ht="12.5" hidden="1">
      <c r="B8555" s="69"/>
    </row>
    <row r="8556" spans="2:2" ht="12.5" hidden="1">
      <c r="B8556" s="69"/>
    </row>
    <row r="8557" spans="2:2" ht="12.5" hidden="1">
      <c r="B8557" s="69"/>
    </row>
    <row r="8558" spans="2:2" ht="12.5" hidden="1">
      <c r="B8558" s="69"/>
    </row>
    <row r="8559" spans="2:2" ht="12.5" hidden="1">
      <c r="B8559" s="69"/>
    </row>
    <row r="8560" spans="2:2" ht="12.5" hidden="1">
      <c r="B8560" s="69"/>
    </row>
    <row r="8561" spans="2:2" ht="12.5" hidden="1">
      <c r="B8561" s="69"/>
    </row>
    <row r="8562" spans="2:2" ht="12.5" hidden="1">
      <c r="B8562" s="69"/>
    </row>
    <row r="8563" spans="2:2" ht="12.5" hidden="1">
      <c r="B8563" s="69"/>
    </row>
    <row r="8564" spans="2:2" ht="12.5" hidden="1">
      <c r="B8564" s="69"/>
    </row>
    <row r="8565" spans="2:2" ht="12.5" hidden="1">
      <c r="B8565" s="69"/>
    </row>
    <row r="8566" spans="2:2" ht="12.5" hidden="1">
      <c r="B8566" s="69"/>
    </row>
    <row r="8567" spans="2:2" ht="12.5" hidden="1">
      <c r="B8567" s="69"/>
    </row>
    <row r="8568" spans="2:2" ht="12.5" hidden="1">
      <c r="B8568" s="69"/>
    </row>
    <row r="8569" spans="2:2" ht="12.5" hidden="1">
      <c r="B8569" s="69"/>
    </row>
    <row r="8570" spans="2:2" ht="12.5" hidden="1">
      <c r="B8570" s="69"/>
    </row>
    <row r="8571" spans="2:2" ht="12.5" hidden="1">
      <c r="B8571" s="69"/>
    </row>
    <row r="8572" spans="2:2" ht="12.5" hidden="1">
      <c r="B8572" s="69"/>
    </row>
    <row r="8573" spans="2:2" ht="12.5" hidden="1">
      <c r="B8573" s="69"/>
    </row>
    <row r="8574" spans="2:2" ht="12.5" hidden="1">
      <c r="B8574" s="69"/>
    </row>
    <row r="8575" spans="2:2" ht="12.5" hidden="1">
      <c r="B8575" s="69"/>
    </row>
    <row r="8576" spans="2:2" ht="12.5" hidden="1">
      <c r="B8576" s="69"/>
    </row>
    <row r="8577" spans="2:2" ht="12.5" hidden="1">
      <c r="B8577" s="69"/>
    </row>
    <row r="8578" spans="2:2" ht="12.5" hidden="1">
      <c r="B8578" s="69"/>
    </row>
    <row r="8579" spans="2:2" ht="12.5" hidden="1">
      <c r="B8579" s="69"/>
    </row>
    <row r="8580" spans="2:2" ht="12.5" hidden="1">
      <c r="B8580" s="69"/>
    </row>
    <row r="8581" spans="2:2" ht="12.5" hidden="1">
      <c r="B8581" s="69"/>
    </row>
    <row r="8582" spans="2:2" ht="12.5" hidden="1">
      <c r="B8582" s="69"/>
    </row>
    <row r="8583" spans="2:2" ht="12.5" hidden="1">
      <c r="B8583" s="69"/>
    </row>
    <row r="8584" spans="2:2" ht="12.5" hidden="1">
      <c r="B8584" s="69"/>
    </row>
    <row r="8585" spans="2:2" ht="12.5" hidden="1">
      <c r="B8585" s="69"/>
    </row>
    <row r="8586" spans="2:2" ht="12.5" hidden="1">
      <c r="B8586" s="69"/>
    </row>
    <row r="8587" spans="2:2" ht="12.5" hidden="1">
      <c r="B8587" s="69"/>
    </row>
    <row r="8588" spans="2:2" ht="12.5" hidden="1">
      <c r="B8588" s="69"/>
    </row>
    <row r="8589" spans="2:2" ht="12.5" hidden="1">
      <c r="B8589" s="69"/>
    </row>
    <row r="8590" spans="2:2" ht="12.5" hidden="1">
      <c r="B8590" s="69"/>
    </row>
    <row r="8591" spans="2:2" ht="12.5" hidden="1">
      <c r="B8591" s="69"/>
    </row>
    <row r="8592" spans="2:2" ht="12.5" hidden="1">
      <c r="B8592" s="69"/>
    </row>
    <row r="8593" spans="2:2" ht="12.5" hidden="1">
      <c r="B8593" s="69"/>
    </row>
    <row r="8594" spans="2:2" ht="12.5" hidden="1">
      <c r="B8594" s="69"/>
    </row>
    <row r="8595" spans="2:2" ht="12.5" hidden="1">
      <c r="B8595" s="69"/>
    </row>
    <row r="8596" spans="2:2" ht="12.5" hidden="1">
      <c r="B8596" s="69"/>
    </row>
    <row r="8597" spans="2:2" ht="12.5" hidden="1">
      <c r="B8597" s="69"/>
    </row>
    <row r="8598" spans="2:2" ht="12.5" hidden="1">
      <c r="B8598" s="69"/>
    </row>
    <row r="8599" spans="2:2" ht="12.5" hidden="1">
      <c r="B8599" s="69"/>
    </row>
    <row r="8600" spans="2:2" ht="12.5" hidden="1">
      <c r="B8600" s="69"/>
    </row>
    <row r="8601" spans="2:2" ht="12.5" hidden="1">
      <c r="B8601" s="69"/>
    </row>
    <row r="8602" spans="2:2" ht="12.5" hidden="1">
      <c r="B8602" s="69"/>
    </row>
    <row r="8603" spans="2:2" ht="12.5" hidden="1">
      <c r="B8603" s="69"/>
    </row>
    <row r="8604" spans="2:2" ht="12.5" hidden="1">
      <c r="B8604" s="69"/>
    </row>
    <row r="8605" spans="2:2" ht="12.5" hidden="1">
      <c r="B8605" s="69"/>
    </row>
    <row r="8606" spans="2:2" ht="12.5" hidden="1">
      <c r="B8606" s="69"/>
    </row>
    <row r="8607" spans="2:2" ht="12.5" hidden="1">
      <c r="B8607" s="69"/>
    </row>
    <row r="8608" spans="2:2" ht="12.5" hidden="1">
      <c r="B8608" s="69"/>
    </row>
    <row r="8609" spans="2:2" ht="12.5" hidden="1">
      <c r="B8609" s="69"/>
    </row>
    <row r="8610" spans="2:2" ht="12.5" hidden="1">
      <c r="B8610" s="69"/>
    </row>
    <row r="8611" spans="2:2" ht="12.5" hidden="1">
      <c r="B8611" s="69"/>
    </row>
    <row r="8612" spans="2:2" ht="12.5" hidden="1">
      <c r="B8612" s="69"/>
    </row>
    <row r="8613" spans="2:2" ht="12.5" hidden="1">
      <c r="B8613" s="69"/>
    </row>
    <row r="8614" spans="2:2" ht="12.5" hidden="1">
      <c r="B8614" s="69"/>
    </row>
    <row r="8615" spans="2:2" ht="12.5" hidden="1">
      <c r="B8615" s="69"/>
    </row>
    <row r="8616" spans="2:2" ht="12.5" hidden="1">
      <c r="B8616" s="69"/>
    </row>
    <row r="8617" spans="2:2" ht="12.5" hidden="1">
      <c r="B8617" s="69"/>
    </row>
    <row r="8618" spans="2:2" ht="12.5" hidden="1">
      <c r="B8618" s="69"/>
    </row>
    <row r="8619" spans="2:2" ht="12.5" hidden="1">
      <c r="B8619" s="69"/>
    </row>
    <row r="8620" spans="2:2" ht="12.5" hidden="1">
      <c r="B8620" s="69"/>
    </row>
    <row r="8621" spans="2:2" ht="12.5" hidden="1">
      <c r="B8621" s="69"/>
    </row>
    <row r="8622" spans="2:2" ht="12.5" hidden="1">
      <c r="B8622" s="69"/>
    </row>
    <row r="8623" spans="2:2" ht="12.5" hidden="1">
      <c r="B8623" s="69"/>
    </row>
    <row r="8624" spans="2:2" ht="12.5" hidden="1">
      <c r="B8624" s="69"/>
    </row>
    <row r="8625" spans="2:2" ht="12.5" hidden="1">
      <c r="B8625" s="69"/>
    </row>
    <row r="8626" spans="2:2" ht="12.5" hidden="1">
      <c r="B8626" s="69"/>
    </row>
    <row r="8627" spans="2:2" ht="12.5" hidden="1">
      <c r="B8627" s="69"/>
    </row>
    <row r="8628" spans="2:2" ht="12.5" hidden="1">
      <c r="B8628" s="69"/>
    </row>
    <row r="8629" spans="2:2" ht="12.5" hidden="1">
      <c r="B8629" s="69"/>
    </row>
    <row r="8630" spans="2:2" ht="12.5" hidden="1">
      <c r="B8630" s="69"/>
    </row>
    <row r="8631" spans="2:2" ht="12.5" hidden="1">
      <c r="B8631" s="69"/>
    </row>
    <row r="8632" spans="2:2" ht="12.5" hidden="1">
      <c r="B8632" s="69"/>
    </row>
    <row r="8633" spans="2:2" ht="12.5" hidden="1">
      <c r="B8633" s="69"/>
    </row>
    <row r="8634" spans="2:2" ht="12.5" hidden="1">
      <c r="B8634" s="69"/>
    </row>
    <row r="8635" spans="2:2" ht="12.5" hidden="1">
      <c r="B8635" s="69"/>
    </row>
    <row r="8636" spans="2:2" ht="12.5" hidden="1">
      <c r="B8636" s="69"/>
    </row>
    <row r="8637" spans="2:2" ht="12.5" hidden="1">
      <c r="B8637" s="69"/>
    </row>
    <row r="8638" spans="2:2" ht="12.5" hidden="1">
      <c r="B8638" s="69"/>
    </row>
    <row r="8639" spans="2:2" ht="12.5" hidden="1">
      <c r="B8639" s="69"/>
    </row>
    <row r="8640" spans="2:2" ht="12.5" hidden="1">
      <c r="B8640" s="69"/>
    </row>
    <row r="8641" spans="2:2" ht="12.5" hidden="1">
      <c r="B8641" s="69"/>
    </row>
    <row r="8642" spans="2:2" ht="12.5" hidden="1">
      <c r="B8642" s="69"/>
    </row>
    <row r="8643" spans="2:2" ht="12.5" hidden="1">
      <c r="B8643" s="69"/>
    </row>
    <row r="8644" spans="2:2" ht="12.5" hidden="1">
      <c r="B8644" s="69"/>
    </row>
    <row r="8645" spans="2:2" ht="12.5" hidden="1">
      <c r="B8645" s="69"/>
    </row>
    <row r="8646" spans="2:2" ht="12.5" hidden="1">
      <c r="B8646" s="69"/>
    </row>
    <row r="8647" spans="2:2" ht="12.5" hidden="1">
      <c r="B8647" s="69"/>
    </row>
    <row r="8648" spans="2:2" ht="12.5" hidden="1">
      <c r="B8648" s="69"/>
    </row>
    <row r="8649" spans="2:2" ht="12.5" hidden="1">
      <c r="B8649" s="69"/>
    </row>
    <row r="8650" spans="2:2" ht="12.5" hidden="1">
      <c r="B8650" s="69"/>
    </row>
    <row r="8651" spans="2:2" ht="12.5" hidden="1">
      <c r="B8651" s="69"/>
    </row>
    <row r="8652" spans="2:2" ht="12.5" hidden="1">
      <c r="B8652" s="69"/>
    </row>
    <row r="8653" spans="2:2" ht="12.5" hidden="1">
      <c r="B8653" s="69"/>
    </row>
    <row r="8654" spans="2:2" ht="12.5" hidden="1">
      <c r="B8654" s="69"/>
    </row>
    <row r="8655" spans="2:2" ht="12.5" hidden="1">
      <c r="B8655" s="69"/>
    </row>
    <row r="8656" spans="2:2" ht="12.5" hidden="1">
      <c r="B8656" s="69"/>
    </row>
    <row r="8657" spans="2:2" ht="12.5" hidden="1">
      <c r="B8657" s="69"/>
    </row>
    <row r="8658" spans="2:2" ht="12.5" hidden="1">
      <c r="B8658" s="69"/>
    </row>
    <row r="8659" spans="2:2" ht="12.5" hidden="1">
      <c r="B8659" s="69"/>
    </row>
    <row r="8660" spans="2:2" ht="12.5" hidden="1">
      <c r="B8660" s="69"/>
    </row>
    <row r="8661" spans="2:2" ht="12.5" hidden="1">
      <c r="B8661" s="69"/>
    </row>
    <row r="8662" spans="2:2" ht="12.5" hidden="1">
      <c r="B8662" s="69"/>
    </row>
    <row r="8663" spans="2:2" ht="12.5" hidden="1">
      <c r="B8663" s="69"/>
    </row>
    <row r="8664" spans="2:2" ht="12.5" hidden="1">
      <c r="B8664" s="69"/>
    </row>
    <row r="8665" spans="2:2" ht="12.5" hidden="1">
      <c r="B8665" s="69"/>
    </row>
    <row r="8666" spans="2:2" ht="12.5" hidden="1">
      <c r="B8666" s="69"/>
    </row>
    <row r="8667" spans="2:2" ht="12.5" hidden="1">
      <c r="B8667" s="69"/>
    </row>
    <row r="8668" spans="2:2" ht="12.5" hidden="1">
      <c r="B8668" s="69"/>
    </row>
    <row r="8669" spans="2:2" ht="12.5" hidden="1">
      <c r="B8669" s="69"/>
    </row>
    <row r="8670" spans="2:2" ht="12.5" hidden="1">
      <c r="B8670" s="69"/>
    </row>
    <row r="8671" spans="2:2" ht="12.5" hidden="1">
      <c r="B8671" s="69"/>
    </row>
    <row r="8672" spans="2:2" ht="12.5" hidden="1">
      <c r="B8672" s="69"/>
    </row>
    <row r="8673" spans="2:2" ht="12.5" hidden="1">
      <c r="B8673" s="69"/>
    </row>
    <row r="8674" spans="2:2" ht="12.5" hidden="1">
      <c r="B8674" s="69"/>
    </row>
    <row r="8675" spans="2:2" ht="12.5" hidden="1">
      <c r="B8675" s="69"/>
    </row>
    <row r="8676" spans="2:2" ht="12.5" hidden="1">
      <c r="B8676" s="69"/>
    </row>
    <row r="8677" spans="2:2" ht="12.5" hidden="1">
      <c r="B8677" s="69"/>
    </row>
    <row r="8678" spans="2:2" ht="12.5" hidden="1">
      <c r="B8678" s="69"/>
    </row>
    <row r="8679" spans="2:2" ht="12.5" hidden="1">
      <c r="B8679" s="69"/>
    </row>
    <row r="8680" spans="2:2" ht="12.5" hidden="1">
      <c r="B8680" s="69"/>
    </row>
    <row r="8681" spans="2:2" ht="12.5" hidden="1">
      <c r="B8681" s="69"/>
    </row>
    <row r="8682" spans="2:2" ht="12.5" hidden="1">
      <c r="B8682" s="69"/>
    </row>
    <row r="8683" spans="2:2" ht="12.5" hidden="1">
      <c r="B8683" s="69"/>
    </row>
    <row r="8684" spans="2:2" ht="12.5" hidden="1">
      <c r="B8684" s="69"/>
    </row>
    <row r="8685" spans="2:2" ht="12.5" hidden="1">
      <c r="B8685" s="69"/>
    </row>
    <row r="8686" spans="2:2" ht="12.5" hidden="1">
      <c r="B8686" s="69"/>
    </row>
    <row r="8687" spans="2:2" ht="12.5" hidden="1">
      <c r="B8687" s="69"/>
    </row>
    <row r="8688" spans="2:2" ht="12.5" hidden="1">
      <c r="B8688" s="69"/>
    </row>
    <row r="8689" spans="2:2" ht="12.5" hidden="1">
      <c r="B8689" s="69"/>
    </row>
    <row r="8690" spans="2:2" ht="12.5" hidden="1">
      <c r="B8690" s="69"/>
    </row>
    <row r="8691" spans="2:2" ht="12.5" hidden="1">
      <c r="B8691" s="69"/>
    </row>
    <row r="8692" spans="2:2" ht="12.5" hidden="1">
      <c r="B8692" s="69"/>
    </row>
    <row r="8693" spans="2:2" ht="12.5" hidden="1">
      <c r="B8693" s="69"/>
    </row>
    <row r="8694" spans="2:2" ht="12.5" hidden="1">
      <c r="B8694" s="69"/>
    </row>
    <row r="8695" spans="2:2" ht="12.5" hidden="1">
      <c r="B8695" s="69"/>
    </row>
    <row r="8696" spans="2:2" ht="12.5" hidden="1">
      <c r="B8696" s="69"/>
    </row>
    <row r="8697" spans="2:2" ht="12.5" hidden="1">
      <c r="B8697" s="69"/>
    </row>
    <row r="8698" spans="2:2" ht="12.5" hidden="1">
      <c r="B8698" s="69"/>
    </row>
    <row r="8699" spans="2:2" ht="12.5" hidden="1">
      <c r="B8699" s="69"/>
    </row>
    <row r="8700" spans="2:2" ht="12.5" hidden="1">
      <c r="B8700" s="69"/>
    </row>
    <row r="8701" spans="2:2" ht="12.5" hidden="1">
      <c r="B8701" s="69"/>
    </row>
    <row r="8702" spans="2:2" ht="12.5" hidden="1">
      <c r="B8702" s="69"/>
    </row>
    <row r="8703" spans="2:2" ht="12.5" hidden="1">
      <c r="B8703" s="69"/>
    </row>
    <row r="8704" spans="2:2" ht="12.5" hidden="1">
      <c r="B8704" s="69"/>
    </row>
    <row r="8705" spans="2:2" ht="12.5" hidden="1">
      <c r="B8705" s="69"/>
    </row>
    <row r="8706" spans="2:2" ht="12.5" hidden="1">
      <c r="B8706" s="69"/>
    </row>
    <row r="8707" spans="2:2" ht="12.5" hidden="1">
      <c r="B8707" s="69"/>
    </row>
    <row r="8708" spans="2:2" ht="12.5" hidden="1">
      <c r="B8708" s="69"/>
    </row>
    <row r="8709" spans="2:2" ht="12.5" hidden="1">
      <c r="B8709" s="69"/>
    </row>
    <row r="8710" spans="2:2" ht="12.5" hidden="1">
      <c r="B8710" s="69"/>
    </row>
    <row r="8711" spans="2:2" ht="12.5" hidden="1">
      <c r="B8711" s="69"/>
    </row>
    <row r="8712" spans="2:2" ht="12.5" hidden="1">
      <c r="B8712" s="69"/>
    </row>
    <row r="8713" spans="2:2" ht="12.5" hidden="1">
      <c r="B8713" s="69"/>
    </row>
    <row r="8714" spans="2:2" ht="12.5" hidden="1">
      <c r="B8714" s="69"/>
    </row>
    <row r="8715" spans="2:2" ht="12.5" hidden="1">
      <c r="B8715" s="69"/>
    </row>
    <row r="8716" spans="2:2" ht="12.5" hidden="1">
      <c r="B8716" s="69"/>
    </row>
    <row r="8717" spans="2:2" ht="12.5" hidden="1">
      <c r="B8717" s="69"/>
    </row>
    <row r="8718" spans="2:2" ht="12.5" hidden="1">
      <c r="B8718" s="69"/>
    </row>
    <row r="8719" spans="2:2" ht="12.5" hidden="1">
      <c r="B8719" s="69"/>
    </row>
    <row r="8720" spans="2:2" ht="12.5" hidden="1">
      <c r="B8720" s="69"/>
    </row>
    <row r="8721" spans="2:2" ht="12.5" hidden="1">
      <c r="B8721" s="69"/>
    </row>
    <row r="8722" spans="2:2" ht="12.5" hidden="1">
      <c r="B8722" s="69"/>
    </row>
    <row r="8723" spans="2:2" ht="12.5" hidden="1">
      <c r="B8723" s="69"/>
    </row>
    <row r="8724" spans="2:2" ht="12.5" hidden="1">
      <c r="B8724" s="69"/>
    </row>
    <row r="8725" spans="2:2" ht="12.5" hidden="1">
      <c r="B8725" s="69"/>
    </row>
    <row r="8726" spans="2:2" ht="12.5" hidden="1">
      <c r="B8726" s="69"/>
    </row>
    <row r="8727" spans="2:2" ht="12.5" hidden="1">
      <c r="B8727" s="69"/>
    </row>
    <row r="8728" spans="2:2" ht="12.5" hidden="1">
      <c r="B8728" s="69"/>
    </row>
    <row r="8729" spans="2:2" ht="12.5" hidden="1">
      <c r="B8729" s="69"/>
    </row>
    <row r="8730" spans="2:2" ht="12.5" hidden="1">
      <c r="B8730" s="69"/>
    </row>
    <row r="8731" spans="2:2" ht="12.5" hidden="1">
      <c r="B8731" s="69"/>
    </row>
    <row r="8732" spans="2:2" ht="12.5" hidden="1">
      <c r="B8732" s="69"/>
    </row>
    <row r="8733" spans="2:2" ht="12.5" hidden="1">
      <c r="B8733" s="69"/>
    </row>
    <row r="8734" spans="2:2" ht="12.5" hidden="1">
      <c r="B8734" s="69"/>
    </row>
    <row r="8735" spans="2:2" ht="12.5" hidden="1">
      <c r="B8735" s="69"/>
    </row>
    <row r="8736" spans="2:2" ht="12.5" hidden="1">
      <c r="B8736" s="69"/>
    </row>
    <row r="8737" spans="2:2" ht="12.5" hidden="1">
      <c r="B8737" s="69"/>
    </row>
    <row r="8738" spans="2:2" ht="12.5" hidden="1">
      <c r="B8738" s="69"/>
    </row>
    <row r="8739" spans="2:2" ht="12.5" hidden="1">
      <c r="B8739" s="69"/>
    </row>
    <row r="8740" spans="2:2" ht="12.5" hidden="1">
      <c r="B8740" s="69"/>
    </row>
    <row r="8741" spans="2:2" ht="12.5" hidden="1">
      <c r="B8741" s="69"/>
    </row>
    <row r="8742" spans="2:2" ht="12.5" hidden="1">
      <c r="B8742" s="69"/>
    </row>
    <row r="8743" spans="2:2" ht="12.5" hidden="1">
      <c r="B8743" s="69"/>
    </row>
    <row r="8744" spans="2:2" ht="12.5" hidden="1">
      <c r="B8744" s="69"/>
    </row>
    <row r="8745" spans="2:2" ht="12.5" hidden="1">
      <c r="B8745" s="69"/>
    </row>
    <row r="8746" spans="2:2" ht="12.5" hidden="1">
      <c r="B8746" s="69"/>
    </row>
    <row r="8747" spans="2:2" ht="12.5" hidden="1">
      <c r="B8747" s="69"/>
    </row>
    <row r="8748" spans="2:2" ht="12.5" hidden="1">
      <c r="B8748" s="69"/>
    </row>
    <row r="8749" spans="2:2" ht="12.5" hidden="1">
      <c r="B8749" s="69"/>
    </row>
    <row r="8750" spans="2:2" ht="12.5" hidden="1">
      <c r="B8750" s="69"/>
    </row>
    <row r="8751" spans="2:2" ht="12.5" hidden="1">
      <c r="B8751" s="69"/>
    </row>
    <row r="8752" spans="2:2" ht="12.5" hidden="1">
      <c r="B8752" s="69"/>
    </row>
    <row r="8753" spans="2:2" ht="12.5" hidden="1">
      <c r="B8753" s="69"/>
    </row>
    <row r="8754" spans="2:2" ht="12.5" hidden="1">
      <c r="B8754" s="69"/>
    </row>
    <row r="8755" spans="2:2" ht="12.5" hidden="1">
      <c r="B8755" s="69"/>
    </row>
    <row r="8756" spans="2:2" ht="12.5" hidden="1">
      <c r="B8756" s="69"/>
    </row>
    <row r="8757" spans="2:2" ht="12.5" hidden="1">
      <c r="B8757" s="69"/>
    </row>
    <row r="8758" spans="2:2" ht="12.5" hidden="1">
      <c r="B8758" s="69"/>
    </row>
    <row r="8759" spans="2:2" ht="12.5" hidden="1">
      <c r="B8759" s="69"/>
    </row>
    <row r="8760" spans="2:2" ht="12.5" hidden="1">
      <c r="B8760" s="69"/>
    </row>
    <row r="8761" spans="2:2" ht="12.5" hidden="1">
      <c r="B8761" s="69"/>
    </row>
    <row r="8762" spans="2:2" ht="12.5" hidden="1">
      <c r="B8762" s="69"/>
    </row>
    <row r="8763" spans="2:2" ht="12.5" hidden="1">
      <c r="B8763" s="69"/>
    </row>
    <row r="8764" spans="2:2" ht="12.5" hidden="1">
      <c r="B8764" s="69"/>
    </row>
    <row r="8765" spans="2:2" ht="12.5" hidden="1">
      <c r="B8765" s="69"/>
    </row>
    <row r="8766" spans="2:2" ht="12.5" hidden="1">
      <c r="B8766" s="69"/>
    </row>
    <row r="8767" spans="2:2" ht="12.5" hidden="1">
      <c r="B8767" s="69"/>
    </row>
    <row r="8768" spans="2:2" ht="12.5" hidden="1">
      <c r="B8768" s="69"/>
    </row>
    <row r="8769" spans="2:2" ht="12.5" hidden="1">
      <c r="B8769" s="69"/>
    </row>
    <row r="8770" spans="2:2" ht="12.5" hidden="1">
      <c r="B8770" s="69"/>
    </row>
    <row r="8771" spans="2:2" ht="12.5" hidden="1">
      <c r="B8771" s="69"/>
    </row>
    <row r="8772" spans="2:2" ht="12.5" hidden="1">
      <c r="B8772" s="69"/>
    </row>
    <row r="8773" spans="2:2" ht="12.5" hidden="1">
      <c r="B8773" s="69"/>
    </row>
    <row r="8774" spans="2:2" ht="12.5" hidden="1">
      <c r="B8774" s="69"/>
    </row>
    <row r="8775" spans="2:2" ht="12.5" hidden="1">
      <c r="B8775" s="69"/>
    </row>
    <row r="8776" spans="2:2" ht="12.5" hidden="1">
      <c r="B8776" s="69"/>
    </row>
    <row r="8777" spans="2:2" ht="12.5" hidden="1">
      <c r="B8777" s="69"/>
    </row>
    <row r="8778" spans="2:2" ht="12.5" hidden="1">
      <c r="B8778" s="69"/>
    </row>
    <row r="8779" spans="2:2" ht="12.5" hidden="1">
      <c r="B8779" s="69"/>
    </row>
    <row r="8780" spans="2:2" ht="12.5" hidden="1">
      <c r="B8780" s="69"/>
    </row>
    <row r="8781" spans="2:2" ht="12.5" hidden="1">
      <c r="B8781" s="69"/>
    </row>
    <row r="8782" spans="2:2" ht="12.5" hidden="1">
      <c r="B8782" s="69"/>
    </row>
    <row r="8783" spans="2:2" ht="12.5" hidden="1">
      <c r="B8783" s="69"/>
    </row>
    <row r="8784" spans="2:2" ht="12.5" hidden="1">
      <c r="B8784" s="69"/>
    </row>
    <row r="8785" spans="2:2" ht="12.5" hidden="1">
      <c r="B8785" s="69"/>
    </row>
    <row r="8786" spans="2:2" ht="12.5" hidden="1">
      <c r="B8786" s="69"/>
    </row>
    <row r="8787" spans="2:2" ht="12.5" hidden="1">
      <c r="B8787" s="69"/>
    </row>
    <row r="8788" spans="2:2" ht="12.5" hidden="1">
      <c r="B8788" s="69"/>
    </row>
    <row r="8789" spans="2:2" ht="12.5" hidden="1">
      <c r="B8789" s="69"/>
    </row>
    <row r="8790" spans="2:2" ht="12.5" hidden="1">
      <c r="B8790" s="69"/>
    </row>
    <row r="8791" spans="2:2" ht="12.5" hidden="1">
      <c r="B8791" s="69"/>
    </row>
    <row r="8792" spans="2:2" ht="12.5" hidden="1">
      <c r="B8792" s="69"/>
    </row>
    <row r="8793" spans="2:2" ht="12.5" hidden="1">
      <c r="B8793" s="69"/>
    </row>
    <row r="8794" spans="2:2" ht="12.5" hidden="1">
      <c r="B8794" s="69"/>
    </row>
    <row r="8795" spans="2:2" ht="12.5" hidden="1">
      <c r="B8795" s="69"/>
    </row>
    <row r="8796" spans="2:2" ht="12.5" hidden="1">
      <c r="B8796" s="69"/>
    </row>
    <row r="8797" spans="2:2" ht="12.5" hidden="1">
      <c r="B8797" s="69"/>
    </row>
    <row r="8798" spans="2:2" ht="12.5" hidden="1">
      <c r="B8798" s="69"/>
    </row>
    <row r="8799" spans="2:2" ht="12.5" hidden="1">
      <c r="B8799" s="69"/>
    </row>
    <row r="8800" spans="2:2" ht="12.5" hidden="1">
      <c r="B8800" s="69"/>
    </row>
    <row r="8801" spans="2:2" ht="12.5" hidden="1">
      <c r="B8801" s="69"/>
    </row>
    <row r="8802" spans="2:2" ht="12.5" hidden="1">
      <c r="B8802" s="69"/>
    </row>
    <row r="8803" spans="2:2" ht="12.5" hidden="1">
      <c r="B8803" s="69"/>
    </row>
    <row r="8804" spans="2:2" ht="12.5" hidden="1">
      <c r="B8804" s="69"/>
    </row>
    <row r="8805" spans="2:2" ht="12.5" hidden="1">
      <c r="B8805" s="69"/>
    </row>
    <row r="8806" spans="2:2" ht="12.5" hidden="1">
      <c r="B8806" s="69"/>
    </row>
    <row r="8807" spans="2:2" ht="12.5" hidden="1">
      <c r="B8807" s="69"/>
    </row>
    <row r="8808" spans="2:2" ht="12.5" hidden="1">
      <c r="B8808" s="69"/>
    </row>
    <row r="8809" spans="2:2" ht="12.5" hidden="1">
      <c r="B8809" s="69"/>
    </row>
    <row r="8810" spans="2:2" ht="12.5" hidden="1">
      <c r="B8810" s="69"/>
    </row>
    <row r="8811" spans="2:2" ht="12.5" hidden="1">
      <c r="B8811" s="69"/>
    </row>
    <row r="8812" spans="2:2" ht="12.5" hidden="1">
      <c r="B8812" s="69"/>
    </row>
    <row r="8813" spans="2:2" ht="12.5" hidden="1">
      <c r="B8813" s="69"/>
    </row>
    <row r="8814" spans="2:2" ht="12.5" hidden="1">
      <c r="B8814" s="69"/>
    </row>
    <row r="8815" spans="2:2" ht="12.5" hidden="1">
      <c r="B8815" s="69"/>
    </row>
    <row r="8816" spans="2:2" ht="12.5" hidden="1">
      <c r="B8816" s="69"/>
    </row>
    <row r="8817" spans="2:2" ht="12.5" hidden="1">
      <c r="B8817" s="69"/>
    </row>
    <row r="8818" spans="2:2" ht="12.5" hidden="1">
      <c r="B8818" s="69"/>
    </row>
    <row r="8819" spans="2:2" ht="12.5" hidden="1">
      <c r="B8819" s="69"/>
    </row>
    <row r="8820" spans="2:2" ht="12.5" hidden="1">
      <c r="B8820" s="69"/>
    </row>
    <row r="8821" spans="2:2" ht="12.5" hidden="1">
      <c r="B8821" s="69"/>
    </row>
    <row r="8822" spans="2:2" ht="12.5" hidden="1">
      <c r="B8822" s="69"/>
    </row>
    <row r="8823" spans="2:2" ht="12.5" hidden="1">
      <c r="B8823" s="69"/>
    </row>
    <row r="8824" spans="2:2" ht="12.5" hidden="1">
      <c r="B8824" s="69"/>
    </row>
    <row r="8825" spans="2:2" ht="12.5" hidden="1">
      <c r="B8825" s="69"/>
    </row>
    <row r="8826" spans="2:2" ht="12.5" hidden="1">
      <c r="B8826" s="69"/>
    </row>
    <row r="8827" spans="2:2" ht="12.5" hidden="1">
      <c r="B8827" s="69"/>
    </row>
    <row r="8828" spans="2:2" ht="12.5" hidden="1">
      <c r="B8828" s="69"/>
    </row>
    <row r="8829" spans="2:2" ht="12.5" hidden="1">
      <c r="B8829" s="69"/>
    </row>
    <row r="8830" spans="2:2" ht="12.5" hidden="1">
      <c r="B8830" s="69"/>
    </row>
    <row r="8831" spans="2:2" ht="12.5" hidden="1">
      <c r="B8831" s="69"/>
    </row>
    <row r="8832" spans="2:2" ht="12.5" hidden="1">
      <c r="B8832" s="69"/>
    </row>
    <row r="8833" spans="2:2" ht="12.5" hidden="1">
      <c r="B8833" s="69"/>
    </row>
    <row r="8834" spans="2:2" ht="12.5" hidden="1">
      <c r="B8834" s="69"/>
    </row>
    <row r="8835" spans="2:2" ht="12.5" hidden="1">
      <c r="B8835" s="69"/>
    </row>
    <row r="8836" spans="2:2" ht="12.5" hidden="1">
      <c r="B8836" s="69"/>
    </row>
    <row r="8837" spans="2:2" ht="12.5" hidden="1">
      <c r="B8837" s="69"/>
    </row>
    <row r="8838" spans="2:2" ht="12.5" hidden="1">
      <c r="B8838" s="69"/>
    </row>
    <row r="8839" spans="2:2" ht="12.5" hidden="1">
      <c r="B8839" s="69"/>
    </row>
    <row r="8840" spans="2:2" ht="12.5" hidden="1">
      <c r="B8840" s="69"/>
    </row>
    <row r="8841" spans="2:2" ht="12.5" hidden="1">
      <c r="B8841" s="69"/>
    </row>
    <row r="8842" spans="2:2" ht="12.5" hidden="1">
      <c r="B8842" s="69"/>
    </row>
    <row r="8843" spans="2:2" ht="12.5" hidden="1">
      <c r="B8843" s="69"/>
    </row>
    <row r="8844" spans="2:2" ht="12.5" hidden="1">
      <c r="B8844" s="69"/>
    </row>
    <row r="8845" spans="2:2" ht="12.5" hidden="1">
      <c r="B8845" s="69"/>
    </row>
    <row r="8846" spans="2:2" ht="12.5" hidden="1">
      <c r="B8846" s="69"/>
    </row>
    <row r="8847" spans="2:2" ht="12.5" hidden="1">
      <c r="B8847" s="69"/>
    </row>
    <row r="8848" spans="2:2" ht="12.5" hidden="1">
      <c r="B8848" s="69"/>
    </row>
    <row r="8849" spans="2:2" ht="12.5" hidden="1">
      <c r="B8849" s="69"/>
    </row>
    <row r="8850" spans="2:2" ht="12.5" hidden="1">
      <c r="B8850" s="69"/>
    </row>
    <row r="8851" spans="2:2" ht="12.5" hidden="1">
      <c r="B8851" s="69"/>
    </row>
    <row r="8852" spans="2:2" ht="12.5" hidden="1">
      <c r="B8852" s="69"/>
    </row>
    <row r="8853" spans="2:2" ht="12.5" hidden="1">
      <c r="B8853" s="69"/>
    </row>
    <row r="8854" spans="2:2" ht="12.5" hidden="1">
      <c r="B8854" s="69"/>
    </row>
    <row r="8855" spans="2:2" ht="12.5" hidden="1">
      <c r="B8855" s="69"/>
    </row>
    <row r="8856" spans="2:2" ht="12.5" hidden="1">
      <c r="B8856" s="69"/>
    </row>
    <row r="8857" spans="2:2" ht="12.5" hidden="1">
      <c r="B8857" s="69"/>
    </row>
    <row r="8858" spans="2:2" ht="12.5" hidden="1">
      <c r="B8858" s="69"/>
    </row>
    <row r="8859" spans="2:2" ht="12.5" hidden="1">
      <c r="B8859" s="69"/>
    </row>
    <row r="8860" spans="2:2" ht="12.5" hidden="1">
      <c r="B8860" s="69"/>
    </row>
    <row r="8861" spans="2:2" ht="12.5" hidden="1">
      <c r="B8861" s="69"/>
    </row>
    <row r="8862" spans="2:2" ht="12.5" hidden="1">
      <c r="B8862" s="69"/>
    </row>
    <row r="8863" spans="2:2" ht="12.5" hidden="1">
      <c r="B8863" s="69"/>
    </row>
    <row r="8864" spans="2:2" ht="12.5" hidden="1">
      <c r="B8864" s="69"/>
    </row>
    <row r="8865" spans="2:2" ht="12.5" hidden="1">
      <c r="B8865" s="69"/>
    </row>
    <row r="8866" spans="2:2" ht="12.5" hidden="1">
      <c r="B8866" s="69"/>
    </row>
    <row r="8867" spans="2:2" ht="12.5" hidden="1">
      <c r="B8867" s="69"/>
    </row>
    <row r="8868" spans="2:2" ht="12.5" hidden="1">
      <c r="B8868" s="69"/>
    </row>
    <row r="8869" spans="2:2" ht="12.5" hidden="1">
      <c r="B8869" s="69"/>
    </row>
    <row r="8870" spans="2:2" ht="12.5" hidden="1">
      <c r="B8870" s="69"/>
    </row>
    <row r="8871" spans="2:2" ht="12.5" hidden="1">
      <c r="B8871" s="69"/>
    </row>
    <row r="8872" spans="2:2" ht="12.5" hidden="1">
      <c r="B8872" s="69"/>
    </row>
    <row r="8873" spans="2:2" ht="12.5" hidden="1">
      <c r="B8873" s="69"/>
    </row>
    <row r="8874" spans="2:2" ht="12.5" hidden="1">
      <c r="B8874" s="69"/>
    </row>
    <row r="8875" spans="2:2" ht="12.5" hidden="1">
      <c r="B8875" s="69"/>
    </row>
    <row r="8876" spans="2:2" ht="12.5" hidden="1">
      <c r="B8876" s="69"/>
    </row>
    <row r="8877" spans="2:2" ht="12.5" hidden="1">
      <c r="B8877" s="69"/>
    </row>
    <row r="8878" spans="2:2" ht="12.5" hidden="1">
      <c r="B8878" s="69"/>
    </row>
    <row r="8879" spans="2:2" ht="12.5" hidden="1">
      <c r="B8879" s="69"/>
    </row>
    <row r="8880" spans="2:2" ht="12.5" hidden="1">
      <c r="B8880" s="69"/>
    </row>
    <row r="8881" spans="2:2" ht="12.5" hidden="1">
      <c r="B8881" s="69"/>
    </row>
    <row r="8882" spans="2:2" ht="12.5" hidden="1">
      <c r="B8882" s="69"/>
    </row>
    <row r="8883" spans="2:2" ht="12.5" hidden="1">
      <c r="B8883" s="69"/>
    </row>
    <row r="8884" spans="2:2" ht="12.5" hidden="1">
      <c r="B8884" s="69"/>
    </row>
    <row r="8885" spans="2:2" ht="12.5" hidden="1">
      <c r="B8885" s="69"/>
    </row>
    <row r="8886" spans="2:2" ht="12.5" hidden="1">
      <c r="B8886" s="69"/>
    </row>
    <row r="8887" spans="2:2" ht="12.5" hidden="1">
      <c r="B8887" s="69"/>
    </row>
    <row r="8888" spans="2:2" ht="12.5" hidden="1">
      <c r="B8888" s="69"/>
    </row>
    <row r="8889" spans="2:2" ht="12.5" hidden="1">
      <c r="B8889" s="69"/>
    </row>
    <row r="8890" spans="2:2" ht="12.5" hidden="1">
      <c r="B8890" s="69"/>
    </row>
    <row r="8891" spans="2:2" ht="12.5" hidden="1">
      <c r="B8891" s="69"/>
    </row>
    <row r="8892" spans="2:2" ht="12.5" hidden="1">
      <c r="B8892" s="69"/>
    </row>
    <row r="8893" spans="2:2" ht="12.5" hidden="1">
      <c r="B8893" s="69"/>
    </row>
    <row r="8894" spans="2:2" ht="12.5" hidden="1">
      <c r="B8894" s="69"/>
    </row>
    <row r="8895" spans="2:2" ht="12.5" hidden="1">
      <c r="B8895" s="69"/>
    </row>
    <row r="8896" spans="2:2" ht="12.5" hidden="1">
      <c r="B8896" s="69"/>
    </row>
    <row r="8897" spans="2:2" ht="12.5" hidden="1">
      <c r="B8897" s="69"/>
    </row>
    <row r="8898" spans="2:2" ht="12.5" hidden="1">
      <c r="B8898" s="69"/>
    </row>
    <row r="8899" spans="2:2" ht="12.5" hidden="1">
      <c r="B8899" s="69"/>
    </row>
    <row r="8900" spans="2:2" ht="12.5" hidden="1">
      <c r="B8900" s="69"/>
    </row>
    <row r="8901" spans="2:2" ht="12.5" hidden="1">
      <c r="B8901" s="69"/>
    </row>
    <row r="8902" spans="2:2" ht="12.5" hidden="1">
      <c r="B8902" s="69"/>
    </row>
    <row r="8903" spans="2:2" ht="12.5" hidden="1">
      <c r="B8903" s="69"/>
    </row>
    <row r="8904" spans="2:2" ht="12.5" hidden="1">
      <c r="B8904" s="69"/>
    </row>
    <row r="8905" spans="2:2" ht="12.5" hidden="1">
      <c r="B8905" s="69"/>
    </row>
    <row r="8906" spans="2:2" ht="12.5" hidden="1">
      <c r="B8906" s="69"/>
    </row>
    <row r="8907" spans="2:2" ht="12.5" hidden="1">
      <c r="B8907" s="69"/>
    </row>
    <row r="8908" spans="2:2" ht="12.5" hidden="1">
      <c r="B8908" s="69"/>
    </row>
    <row r="8909" spans="2:2" ht="12.5" hidden="1">
      <c r="B8909" s="69"/>
    </row>
    <row r="8910" spans="2:2" ht="12.5" hidden="1">
      <c r="B8910" s="69"/>
    </row>
    <row r="8911" spans="2:2" ht="12.5" hidden="1">
      <c r="B8911" s="69"/>
    </row>
    <row r="8912" spans="2:2" ht="12.5" hidden="1">
      <c r="B8912" s="69"/>
    </row>
    <row r="8913" spans="2:2" ht="12.5" hidden="1">
      <c r="B8913" s="69"/>
    </row>
    <row r="8914" spans="2:2" ht="12.5" hidden="1">
      <c r="B8914" s="69"/>
    </row>
    <row r="8915" spans="2:2" ht="12.5" hidden="1">
      <c r="B8915" s="69"/>
    </row>
    <row r="8916" spans="2:2" ht="12.5" hidden="1">
      <c r="B8916" s="69"/>
    </row>
    <row r="8917" spans="2:2" ht="12.5" hidden="1">
      <c r="B8917" s="69"/>
    </row>
    <row r="8918" spans="2:2" ht="12.5" hidden="1">
      <c r="B8918" s="69"/>
    </row>
    <row r="8919" spans="2:2" ht="12.5" hidden="1">
      <c r="B8919" s="69"/>
    </row>
    <row r="8920" spans="2:2" ht="12.5" hidden="1">
      <c r="B8920" s="69"/>
    </row>
    <row r="8921" spans="2:2" ht="12.5" hidden="1">
      <c r="B8921" s="69"/>
    </row>
    <row r="8922" spans="2:2" ht="12.5" hidden="1">
      <c r="B8922" s="69"/>
    </row>
    <row r="8923" spans="2:2" ht="12.5" hidden="1">
      <c r="B8923" s="69"/>
    </row>
    <row r="8924" spans="2:2" ht="12.5" hidden="1">
      <c r="B8924" s="69"/>
    </row>
    <row r="8925" spans="2:2" ht="12.5" hidden="1">
      <c r="B8925" s="69"/>
    </row>
    <row r="8926" spans="2:2" ht="12.5" hidden="1">
      <c r="B8926" s="69"/>
    </row>
    <row r="8927" spans="2:2" ht="12.5" hidden="1">
      <c r="B8927" s="69"/>
    </row>
    <row r="8928" spans="2:2" ht="12.5" hidden="1">
      <c r="B8928" s="69"/>
    </row>
    <row r="8929" spans="2:2" ht="12.5" hidden="1">
      <c r="B8929" s="69"/>
    </row>
    <row r="8930" spans="2:2" ht="12.5" hidden="1">
      <c r="B8930" s="69"/>
    </row>
    <row r="8931" spans="2:2" ht="12.5" hidden="1">
      <c r="B8931" s="69"/>
    </row>
    <row r="8932" spans="2:2" ht="12.5" hidden="1">
      <c r="B8932" s="69"/>
    </row>
    <row r="8933" spans="2:2" ht="12.5" hidden="1">
      <c r="B8933" s="69"/>
    </row>
    <row r="8934" spans="2:2" ht="12.5" hidden="1">
      <c r="B8934" s="69"/>
    </row>
    <row r="8935" spans="2:2" ht="12.5" hidden="1">
      <c r="B8935" s="69"/>
    </row>
    <row r="8936" spans="2:2" ht="12.5" hidden="1">
      <c r="B8936" s="69"/>
    </row>
    <row r="8937" spans="2:2" ht="12.5" hidden="1">
      <c r="B8937" s="69"/>
    </row>
    <row r="8938" spans="2:2" ht="12.5" hidden="1">
      <c r="B8938" s="69"/>
    </row>
    <row r="8939" spans="2:2" ht="12.5" hidden="1">
      <c r="B8939" s="69"/>
    </row>
    <row r="8940" spans="2:2" ht="12.5" hidden="1">
      <c r="B8940" s="69"/>
    </row>
    <row r="8941" spans="2:2" ht="12.5" hidden="1">
      <c r="B8941" s="69"/>
    </row>
    <row r="8942" spans="2:2" ht="12.5" hidden="1">
      <c r="B8942" s="69"/>
    </row>
    <row r="8943" spans="2:2" ht="12.5" hidden="1">
      <c r="B8943" s="69"/>
    </row>
    <row r="8944" spans="2:2" ht="12.5" hidden="1">
      <c r="B8944" s="69"/>
    </row>
    <row r="8945" spans="2:2" ht="12.5" hidden="1">
      <c r="B8945" s="69"/>
    </row>
    <row r="8946" spans="2:2" ht="12.5" hidden="1">
      <c r="B8946" s="69"/>
    </row>
    <row r="8947" spans="2:2" ht="12.5" hidden="1">
      <c r="B8947" s="69"/>
    </row>
    <row r="8948" spans="2:2" ht="12.5" hidden="1">
      <c r="B8948" s="69"/>
    </row>
    <row r="8949" spans="2:2" ht="12.5" hidden="1">
      <c r="B8949" s="69"/>
    </row>
    <row r="8950" spans="2:2" ht="12.5" hidden="1">
      <c r="B8950" s="69"/>
    </row>
    <row r="8951" spans="2:2" ht="12.5" hidden="1">
      <c r="B8951" s="69"/>
    </row>
    <row r="8952" spans="2:2" ht="12.5" hidden="1">
      <c r="B8952" s="69"/>
    </row>
    <row r="8953" spans="2:2" ht="12.5" hidden="1">
      <c r="B8953" s="69"/>
    </row>
    <row r="8954" spans="2:2" ht="12.5" hidden="1">
      <c r="B8954" s="69"/>
    </row>
    <row r="8955" spans="2:2" ht="12.5" hidden="1">
      <c r="B8955" s="69"/>
    </row>
    <row r="8956" spans="2:2" ht="12.5" hidden="1">
      <c r="B8956" s="69"/>
    </row>
    <row r="8957" spans="2:2" ht="12.5" hidden="1">
      <c r="B8957" s="69"/>
    </row>
    <row r="8958" spans="2:2" ht="12.5" hidden="1">
      <c r="B8958" s="69"/>
    </row>
    <row r="8959" spans="2:2" ht="12.5" hidden="1">
      <c r="B8959" s="69"/>
    </row>
    <row r="8960" spans="2:2" ht="12.5" hidden="1">
      <c r="B8960" s="69"/>
    </row>
    <row r="8961" spans="2:2" ht="12.5" hidden="1">
      <c r="B8961" s="69"/>
    </row>
    <row r="8962" spans="2:2" ht="12.5" hidden="1">
      <c r="B8962" s="69"/>
    </row>
    <row r="8963" spans="2:2" ht="12.5" hidden="1">
      <c r="B8963" s="69"/>
    </row>
    <row r="8964" spans="2:2" ht="12.5" hidden="1">
      <c r="B8964" s="69"/>
    </row>
    <row r="8965" spans="2:2" ht="12.5" hidden="1">
      <c r="B8965" s="69"/>
    </row>
    <row r="8966" spans="2:2" ht="12.5" hidden="1">
      <c r="B8966" s="69"/>
    </row>
    <row r="8967" spans="2:2" ht="12.5" hidden="1">
      <c r="B8967" s="69"/>
    </row>
    <row r="8968" spans="2:2" ht="12.5" hidden="1">
      <c r="B8968" s="69"/>
    </row>
    <row r="8969" spans="2:2" ht="12.5" hidden="1">
      <c r="B8969" s="69"/>
    </row>
    <row r="8970" spans="2:2" ht="12.5" hidden="1">
      <c r="B8970" s="69"/>
    </row>
    <row r="8971" spans="2:2" ht="12.5" hidden="1">
      <c r="B8971" s="69"/>
    </row>
    <row r="8972" spans="2:2" ht="12.5" hidden="1">
      <c r="B8972" s="69"/>
    </row>
    <row r="8973" spans="2:2" ht="12.5" hidden="1">
      <c r="B8973" s="69"/>
    </row>
    <row r="8974" spans="2:2" ht="12.5" hidden="1">
      <c r="B8974" s="69"/>
    </row>
    <row r="8975" spans="2:2" ht="12.5" hidden="1">
      <c r="B8975" s="69"/>
    </row>
    <row r="8976" spans="2:2" ht="12.5" hidden="1">
      <c r="B8976" s="69"/>
    </row>
    <row r="8977" spans="2:2" ht="12.5" hidden="1">
      <c r="B8977" s="69"/>
    </row>
    <row r="8978" spans="2:2" ht="12.5" hidden="1">
      <c r="B8978" s="69"/>
    </row>
    <row r="8979" spans="2:2" ht="12.5" hidden="1">
      <c r="B8979" s="69"/>
    </row>
    <row r="8980" spans="2:2" ht="12.5" hidden="1">
      <c r="B8980" s="69"/>
    </row>
    <row r="8981" spans="2:2" ht="12.5" hidden="1">
      <c r="B8981" s="69"/>
    </row>
    <row r="8982" spans="2:2" ht="12.5" hidden="1">
      <c r="B8982" s="69"/>
    </row>
    <row r="8983" spans="2:2" ht="12.5" hidden="1">
      <c r="B8983" s="69"/>
    </row>
    <row r="8984" spans="2:2" ht="12.5" hidden="1">
      <c r="B8984" s="69"/>
    </row>
    <row r="8985" spans="2:2" ht="12.5" hidden="1">
      <c r="B8985" s="69"/>
    </row>
    <row r="8986" spans="2:2" ht="12.5" hidden="1">
      <c r="B8986" s="69"/>
    </row>
    <row r="8987" spans="2:2" ht="12.5" hidden="1">
      <c r="B8987" s="69"/>
    </row>
    <row r="8988" spans="2:2" ht="12.5" hidden="1">
      <c r="B8988" s="69"/>
    </row>
    <row r="8989" spans="2:2" ht="12.5" hidden="1">
      <c r="B8989" s="69"/>
    </row>
    <row r="8990" spans="2:2" ht="12.5" hidden="1">
      <c r="B8990" s="69"/>
    </row>
    <row r="8991" spans="2:2" ht="12.5" hidden="1">
      <c r="B8991" s="69"/>
    </row>
    <row r="8992" spans="2:2" ht="12.5" hidden="1">
      <c r="B8992" s="69"/>
    </row>
    <row r="8993" spans="2:2" ht="12.5" hidden="1">
      <c r="B8993" s="69"/>
    </row>
    <row r="8994" spans="2:2" ht="12.5" hidden="1">
      <c r="B8994" s="69"/>
    </row>
    <row r="8995" spans="2:2" ht="12.5" hidden="1">
      <c r="B8995" s="69"/>
    </row>
    <row r="8996" spans="2:2" ht="12.5" hidden="1">
      <c r="B8996" s="69"/>
    </row>
    <row r="8997" spans="2:2" ht="12.5" hidden="1">
      <c r="B8997" s="69"/>
    </row>
    <row r="8998" spans="2:2" ht="12.5" hidden="1">
      <c r="B8998" s="69"/>
    </row>
    <row r="8999" spans="2:2" ht="12.5" hidden="1">
      <c r="B8999" s="69"/>
    </row>
    <row r="9000" spans="2:2" ht="12.5" hidden="1">
      <c r="B9000" s="69"/>
    </row>
    <row r="9001" spans="2:2" ht="12.5" hidden="1">
      <c r="B9001" s="69"/>
    </row>
    <row r="9002" spans="2:2" ht="12.5" hidden="1">
      <c r="B9002" s="69"/>
    </row>
    <row r="9003" spans="2:2" ht="12.5" hidden="1">
      <c r="B9003" s="69"/>
    </row>
    <row r="9004" spans="2:2" ht="12.5" hidden="1">
      <c r="B9004" s="69"/>
    </row>
    <row r="9005" spans="2:2" ht="12.5" hidden="1">
      <c r="B9005" s="69"/>
    </row>
    <row r="9006" spans="2:2" ht="12.5" hidden="1">
      <c r="B9006" s="69"/>
    </row>
    <row r="9007" spans="2:2" ht="12.5" hidden="1">
      <c r="B9007" s="69"/>
    </row>
    <row r="9008" spans="2:2" ht="12.5" hidden="1">
      <c r="B9008" s="69"/>
    </row>
    <row r="9009" spans="2:2" ht="12.5" hidden="1">
      <c r="B9009" s="69"/>
    </row>
    <row r="9010" spans="2:2" ht="12.5" hidden="1">
      <c r="B9010" s="69"/>
    </row>
    <row r="9011" spans="2:2" ht="12.5" hidden="1">
      <c r="B9011" s="69"/>
    </row>
    <row r="9012" spans="2:2" ht="12.5" hidden="1">
      <c r="B9012" s="69"/>
    </row>
    <row r="9013" spans="2:2" ht="12.5" hidden="1">
      <c r="B9013" s="69"/>
    </row>
    <row r="9014" spans="2:2" ht="12.5" hidden="1">
      <c r="B9014" s="69"/>
    </row>
    <row r="9015" spans="2:2" ht="12.5" hidden="1">
      <c r="B9015" s="69"/>
    </row>
    <row r="9016" spans="2:2" ht="12.5" hidden="1">
      <c r="B9016" s="69"/>
    </row>
    <row r="9017" spans="2:2" ht="12.5" hidden="1">
      <c r="B9017" s="69"/>
    </row>
    <row r="9018" spans="2:2" ht="12.5" hidden="1">
      <c r="B9018" s="69"/>
    </row>
    <row r="9019" spans="2:2" ht="12.5" hidden="1">
      <c r="B9019" s="69"/>
    </row>
    <row r="9020" spans="2:2" ht="12.5" hidden="1">
      <c r="B9020" s="69"/>
    </row>
    <row r="9021" spans="2:2" ht="12.5" hidden="1">
      <c r="B9021" s="69"/>
    </row>
    <row r="9022" spans="2:2" ht="12.5" hidden="1">
      <c r="B9022" s="69"/>
    </row>
    <row r="9023" spans="2:2" ht="12.5" hidden="1">
      <c r="B9023" s="69"/>
    </row>
    <row r="9024" spans="2:2" ht="12.5" hidden="1">
      <c r="B9024" s="69"/>
    </row>
    <row r="9025" spans="2:2" ht="12.5" hidden="1">
      <c r="B9025" s="69"/>
    </row>
    <row r="9026" spans="2:2" ht="12.5" hidden="1">
      <c r="B9026" s="69"/>
    </row>
    <row r="9027" spans="2:2" ht="12.5" hidden="1">
      <c r="B9027" s="69"/>
    </row>
    <row r="9028" spans="2:2" ht="12.5" hidden="1">
      <c r="B9028" s="69"/>
    </row>
    <row r="9029" spans="2:2" ht="12.5" hidden="1">
      <c r="B9029" s="69"/>
    </row>
    <row r="9030" spans="2:2" ht="12.5" hidden="1">
      <c r="B9030" s="69"/>
    </row>
    <row r="9031" spans="2:2" ht="12.5" hidden="1">
      <c r="B9031" s="69"/>
    </row>
    <row r="9032" spans="2:2" ht="12.5" hidden="1">
      <c r="B9032" s="69"/>
    </row>
    <row r="9033" spans="2:2" ht="12.5" hidden="1">
      <c r="B9033" s="69"/>
    </row>
    <row r="9034" spans="2:2" ht="12.5" hidden="1">
      <c r="B9034" s="69"/>
    </row>
    <row r="9035" spans="2:2" ht="12.5" hidden="1">
      <c r="B9035" s="69"/>
    </row>
    <row r="9036" spans="2:2" ht="12.5" hidden="1">
      <c r="B9036" s="69"/>
    </row>
    <row r="9037" spans="2:2" ht="12.5" hidden="1">
      <c r="B9037" s="69"/>
    </row>
    <row r="9038" spans="2:2" ht="12.5" hidden="1">
      <c r="B9038" s="69"/>
    </row>
    <row r="9039" spans="2:2" ht="12.5" hidden="1">
      <c r="B9039" s="69"/>
    </row>
    <row r="9040" spans="2:2" ht="12.5" hidden="1">
      <c r="B9040" s="69"/>
    </row>
    <row r="9041" spans="2:2" ht="12.5" hidden="1">
      <c r="B9041" s="69"/>
    </row>
    <row r="9042" spans="2:2" ht="12.5" hidden="1">
      <c r="B9042" s="69"/>
    </row>
    <row r="9043" spans="2:2" ht="12.5" hidden="1">
      <c r="B9043" s="69"/>
    </row>
    <row r="9044" spans="2:2" ht="12.5" hidden="1">
      <c r="B9044" s="69"/>
    </row>
    <row r="9045" spans="2:2" ht="12.5" hidden="1">
      <c r="B9045" s="69"/>
    </row>
    <row r="9046" spans="2:2" ht="12.5" hidden="1">
      <c r="B9046" s="69"/>
    </row>
    <row r="9047" spans="2:2" ht="12.5" hidden="1">
      <c r="B9047" s="69"/>
    </row>
    <row r="9048" spans="2:2" ht="12.5" hidden="1">
      <c r="B9048" s="69"/>
    </row>
    <row r="9049" spans="2:2" ht="12.5" hidden="1">
      <c r="B9049" s="69"/>
    </row>
    <row r="9050" spans="2:2" ht="12.5" hidden="1">
      <c r="B9050" s="69"/>
    </row>
    <row r="9051" spans="2:2" ht="12.5" hidden="1">
      <c r="B9051" s="69"/>
    </row>
    <row r="9052" spans="2:2" ht="12.5" hidden="1">
      <c r="B9052" s="69"/>
    </row>
    <row r="9053" spans="2:2" ht="12.5" hidden="1">
      <c r="B9053" s="69"/>
    </row>
    <row r="9054" spans="2:2" ht="12.5" hidden="1">
      <c r="B9054" s="69"/>
    </row>
    <row r="9055" spans="2:2" ht="12.5" hidden="1">
      <c r="B9055" s="69"/>
    </row>
    <row r="9056" spans="2:2" ht="12.5" hidden="1">
      <c r="B9056" s="69"/>
    </row>
    <row r="9057" spans="2:2" ht="12.5" hidden="1">
      <c r="B9057" s="69"/>
    </row>
    <row r="9058" spans="2:2" ht="12.5" hidden="1">
      <c r="B9058" s="69"/>
    </row>
    <row r="9059" spans="2:2" ht="12.5" hidden="1">
      <c r="B9059" s="69"/>
    </row>
    <row r="9060" spans="2:2" ht="12.5" hidden="1">
      <c r="B9060" s="69"/>
    </row>
    <row r="9061" spans="2:2" ht="12.5" hidden="1">
      <c r="B9061" s="69"/>
    </row>
    <row r="9062" spans="2:2" ht="12.5" hidden="1">
      <c r="B9062" s="69"/>
    </row>
    <row r="9063" spans="2:2" ht="12.5" hidden="1">
      <c r="B9063" s="69"/>
    </row>
    <row r="9064" spans="2:2" ht="12.5" hidden="1">
      <c r="B9064" s="69"/>
    </row>
    <row r="9065" spans="2:2" ht="12.5" hidden="1">
      <c r="B9065" s="69"/>
    </row>
    <row r="9066" spans="2:2" ht="12.5" hidden="1">
      <c r="B9066" s="69"/>
    </row>
    <row r="9067" spans="2:2" ht="12.5" hidden="1">
      <c r="B9067" s="69"/>
    </row>
    <row r="9068" spans="2:2" ht="12.5" hidden="1">
      <c r="B9068" s="69"/>
    </row>
    <row r="9069" spans="2:2" ht="12.5" hidden="1">
      <c r="B9069" s="69"/>
    </row>
    <row r="9070" spans="2:2" ht="12.5" hidden="1">
      <c r="B9070" s="69"/>
    </row>
    <row r="9071" spans="2:2" ht="12.5" hidden="1">
      <c r="B9071" s="69"/>
    </row>
    <row r="9072" spans="2:2" ht="12.5" hidden="1">
      <c r="B9072" s="69"/>
    </row>
    <row r="9073" spans="2:2" ht="12.5" hidden="1">
      <c r="B9073" s="69"/>
    </row>
    <row r="9074" spans="2:2" ht="12.5" hidden="1">
      <c r="B9074" s="69"/>
    </row>
    <row r="9075" spans="2:2" ht="12.5" hidden="1">
      <c r="B9075" s="69"/>
    </row>
    <row r="9076" spans="2:2" ht="12.5" hidden="1">
      <c r="B9076" s="69"/>
    </row>
    <row r="9077" spans="2:2" ht="12.5" hidden="1">
      <c r="B9077" s="69"/>
    </row>
    <row r="9078" spans="2:2" ht="12.5" hidden="1">
      <c r="B9078" s="69"/>
    </row>
    <row r="9079" spans="2:2" ht="12.5" hidden="1">
      <c r="B9079" s="69"/>
    </row>
    <row r="9080" spans="2:2" ht="12.5" hidden="1">
      <c r="B9080" s="69"/>
    </row>
    <row r="9081" spans="2:2" ht="12.5" hidden="1">
      <c r="B9081" s="69"/>
    </row>
    <row r="9082" spans="2:2" ht="12.5" hidden="1">
      <c r="B9082" s="69"/>
    </row>
    <row r="9083" spans="2:2" ht="12.5" hidden="1">
      <c r="B9083" s="69"/>
    </row>
    <row r="9084" spans="2:2" ht="12.5" hidden="1">
      <c r="B9084" s="69"/>
    </row>
    <row r="9085" spans="2:2" ht="12.5" hidden="1">
      <c r="B9085" s="69"/>
    </row>
    <row r="9086" spans="2:2" ht="12.5" hidden="1">
      <c r="B9086" s="69"/>
    </row>
    <row r="9087" spans="2:2" ht="12.5" hidden="1">
      <c r="B9087" s="69"/>
    </row>
    <row r="9088" spans="2:2" ht="12.5" hidden="1">
      <c r="B9088" s="69"/>
    </row>
    <row r="9089" spans="2:2" ht="12.5" hidden="1">
      <c r="B9089" s="69"/>
    </row>
    <row r="9090" spans="2:2" ht="12.5" hidden="1">
      <c r="B9090" s="69"/>
    </row>
    <row r="9091" spans="2:2" ht="12.5" hidden="1">
      <c r="B9091" s="69"/>
    </row>
    <row r="9092" spans="2:2" ht="12.5" hidden="1">
      <c r="B9092" s="69"/>
    </row>
    <row r="9093" spans="2:2" ht="12.5" hidden="1">
      <c r="B9093" s="69"/>
    </row>
    <row r="9094" spans="2:2" ht="12.5" hidden="1">
      <c r="B9094" s="69"/>
    </row>
    <row r="9095" spans="2:2" ht="12.5" hidden="1">
      <c r="B9095" s="69"/>
    </row>
    <row r="9096" spans="2:2" ht="12.5" hidden="1">
      <c r="B9096" s="69"/>
    </row>
    <row r="9097" spans="2:2" ht="12.5" hidden="1">
      <c r="B9097" s="69"/>
    </row>
    <row r="9098" spans="2:2" ht="12.5" hidden="1">
      <c r="B9098" s="69"/>
    </row>
    <row r="9099" spans="2:2" ht="12.5" hidden="1">
      <c r="B9099" s="69"/>
    </row>
    <row r="9100" spans="2:2" ht="12.5" hidden="1">
      <c r="B9100" s="69"/>
    </row>
    <row r="9101" spans="2:2" ht="12.5" hidden="1">
      <c r="B9101" s="69"/>
    </row>
    <row r="9102" spans="2:2" ht="12.5" hidden="1">
      <c r="B9102" s="69"/>
    </row>
    <row r="9103" spans="2:2" ht="12.5" hidden="1">
      <c r="B9103" s="69"/>
    </row>
    <row r="9104" spans="2:2" ht="12.5" hidden="1">
      <c r="B9104" s="69"/>
    </row>
    <row r="9105" spans="2:2" ht="12.5" hidden="1">
      <c r="B9105" s="69"/>
    </row>
    <row r="9106" spans="2:2" ht="12.5" hidden="1">
      <c r="B9106" s="69"/>
    </row>
    <row r="9107" spans="2:2" ht="12.5" hidden="1">
      <c r="B9107" s="69"/>
    </row>
    <row r="9108" spans="2:2" ht="12.5" hidden="1">
      <c r="B9108" s="69"/>
    </row>
    <row r="9109" spans="2:2" ht="12.5" hidden="1">
      <c r="B9109" s="69"/>
    </row>
    <row r="9110" spans="2:2" ht="12.5" hidden="1">
      <c r="B9110" s="69"/>
    </row>
    <row r="9111" spans="2:2" ht="12.5" hidden="1">
      <c r="B9111" s="69"/>
    </row>
    <row r="9112" spans="2:2" ht="12.5" hidden="1">
      <c r="B9112" s="69"/>
    </row>
    <row r="9113" spans="2:2" ht="12.5" hidden="1">
      <c r="B9113" s="69"/>
    </row>
    <row r="9114" spans="2:2" ht="12.5" hidden="1">
      <c r="B9114" s="69"/>
    </row>
    <row r="9115" spans="2:2" ht="12.5" hidden="1">
      <c r="B9115" s="69"/>
    </row>
    <row r="9116" spans="2:2" ht="12.5" hidden="1">
      <c r="B9116" s="69"/>
    </row>
    <row r="9117" spans="2:2" ht="12.5" hidden="1">
      <c r="B9117" s="69"/>
    </row>
    <row r="9118" spans="2:2" ht="12.5" hidden="1">
      <c r="B9118" s="69"/>
    </row>
    <row r="9119" spans="2:2" ht="12.5" hidden="1">
      <c r="B9119" s="69"/>
    </row>
    <row r="9120" spans="2:2" ht="12.5" hidden="1">
      <c r="B9120" s="69"/>
    </row>
    <row r="9121" spans="2:2" ht="12.5" hidden="1">
      <c r="B9121" s="69"/>
    </row>
    <row r="9122" spans="2:2" ht="12.5" hidden="1">
      <c r="B9122" s="69"/>
    </row>
    <row r="9123" spans="2:2" ht="12.5" hidden="1">
      <c r="B9123" s="69"/>
    </row>
    <row r="9124" spans="2:2" ht="12.5" hidden="1">
      <c r="B9124" s="69"/>
    </row>
    <row r="9125" spans="2:2" ht="12.5" hidden="1">
      <c r="B9125" s="69"/>
    </row>
    <row r="9126" spans="2:2" ht="12.5" hidden="1">
      <c r="B9126" s="69"/>
    </row>
    <row r="9127" spans="2:2" ht="12.5" hidden="1">
      <c r="B9127" s="69"/>
    </row>
    <row r="9128" spans="2:2" ht="12.5" hidden="1">
      <c r="B9128" s="69"/>
    </row>
    <row r="9129" spans="2:2" ht="12.5" hidden="1">
      <c r="B9129" s="69"/>
    </row>
    <row r="9130" spans="2:2" ht="12.5" hidden="1">
      <c r="B9130" s="69"/>
    </row>
    <row r="9131" spans="2:2" ht="12.5" hidden="1">
      <c r="B9131" s="69"/>
    </row>
    <row r="9132" spans="2:2" ht="12.5" hidden="1">
      <c r="B9132" s="69"/>
    </row>
    <row r="9133" spans="2:2" ht="12.5" hidden="1">
      <c r="B9133" s="69"/>
    </row>
    <row r="9134" spans="2:2" ht="12.5" hidden="1">
      <c r="B9134" s="69"/>
    </row>
    <row r="9135" spans="2:2" ht="12.5" hidden="1">
      <c r="B9135" s="69"/>
    </row>
    <row r="9136" spans="2:2" ht="12.5" hidden="1">
      <c r="B9136" s="69"/>
    </row>
    <row r="9137" spans="2:2" ht="12.5" hidden="1">
      <c r="B9137" s="69"/>
    </row>
    <row r="9138" spans="2:2" ht="12.5" hidden="1">
      <c r="B9138" s="69"/>
    </row>
    <row r="9139" spans="2:2" ht="12.5" hidden="1">
      <c r="B9139" s="69"/>
    </row>
    <row r="9140" spans="2:2" ht="12.5" hidden="1">
      <c r="B9140" s="69"/>
    </row>
    <row r="9141" spans="2:2" ht="12.5" hidden="1">
      <c r="B9141" s="69"/>
    </row>
    <row r="9142" spans="2:2" ht="12.5" hidden="1">
      <c r="B9142" s="69"/>
    </row>
    <row r="9143" spans="2:2" ht="12.5" hidden="1">
      <c r="B9143" s="69"/>
    </row>
    <row r="9144" spans="2:2" ht="12.5" hidden="1">
      <c r="B9144" s="69"/>
    </row>
    <row r="9145" spans="2:2" ht="12.5" hidden="1">
      <c r="B9145" s="69"/>
    </row>
    <row r="9146" spans="2:2" ht="12.5" hidden="1">
      <c r="B9146" s="69"/>
    </row>
    <row r="9147" spans="2:2" ht="12.5" hidden="1">
      <c r="B9147" s="69"/>
    </row>
    <row r="9148" spans="2:2" ht="12.5" hidden="1">
      <c r="B9148" s="69"/>
    </row>
    <row r="9149" spans="2:2" ht="12.5" hidden="1">
      <c r="B9149" s="69"/>
    </row>
    <row r="9150" spans="2:2" ht="12.5" hidden="1">
      <c r="B9150" s="69"/>
    </row>
    <row r="9151" spans="2:2" ht="12.5" hidden="1">
      <c r="B9151" s="69"/>
    </row>
    <row r="9152" spans="2:2" ht="12.5" hidden="1">
      <c r="B9152" s="69"/>
    </row>
    <row r="9153" spans="2:2" ht="12.5" hidden="1">
      <c r="B9153" s="69"/>
    </row>
    <row r="9154" spans="2:2" ht="12.5" hidden="1">
      <c r="B9154" s="69"/>
    </row>
    <row r="9155" spans="2:2" ht="12.5" hidden="1">
      <c r="B9155" s="69"/>
    </row>
    <row r="9156" spans="2:2" ht="12.5" hidden="1">
      <c r="B9156" s="69"/>
    </row>
    <row r="9157" spans="2:2" ht="12.5" hidden="1">
      <c r="B9157" s="69"/>
    </row>
    <row r="9158" spans="2:2" ht="12.5" hidden="1">
      <c r="B9158" s="69"/>
    </row>
    <row r="9159" spans="2:2" ht="12.5" hidden="1">
      <c r="B9159" s="69"/>
    </row>
    <row r="9160" spans="2:2" ht="12.5" hidden="1">
      <c r="B9160" s="69"/>
    </row>
    <row r="9161" spans="2:2" ht="12.5" hidden="1">
      <c r="B9161" s="69"/>
    </row>
    <row r="9162" spans="2:2" ht="12.5" hidden="1">
      <c r="B9162" s="69"/>
    </row>
    <row r="9163" spans="2:2" ht="12.5" hidden="1">
      <c r="B9163" s="69"/>
    </row>
    <row r="9164" spans="2:2" ht="12.5" hidden="1">
      <c r="B9164" s="69"/>
    </row>
    <row r="9165" spans="2:2" ht="12.5" hidden="1">
      <c r="B9165" s="69"/>
    </row>
    <row r="9166" spans="2:2" ht="12.5" hidden="1">
      <c r="B9166" s="69"/>
    </row>
    <row r="9167" spans="2:2" ht="12.5" hidden="1">
      <c r="B9167" s="69"/>
    </row>
    <row r="9168" spans="2:2" ht="12.5" hidden="1">
      <c r="B9168" s="69"/>
    </row>
    <row r="9169" spans="2:2" ht="12.5" hidden="1">
      <c r="B9169" s="69"/>
    </row>
    <row r="9170" spans="2:2" ht="12.5" hidden="1">
      <c r="B9170" s="69"/>
    </row>
    <row r="9171" spans="2:2" ht="12.5" hidden="1">
      <c r="B9171" s="69"/>
    </row>
    <row r="9172" spans="2:2" ht="12.5" hidden="1">
      <c r="B9172" s="69"/>
    </row>
    <row r="9173" spans="2:2" ht="12.5" hidden="1">
      <c r="B9173" s="69"/>
    </row>
    <row r="9174" spans="2:2" ht="12.5" hidden="1">
      <c r="B9174" s="69"/>
    </row>
    <row r="9175" spans="2:2" ht="12.5" hidden="1">
      <c r="B9175" s="69"/>
    </row>
    <row r="9176" spans="2:2" ht="12.5" hidden="1">
      <c r="B9176" s="69"/>
    </row>
    <row r="9177" spans="2:2" ht="12.5" hidden="1">
      <c r="B9177" s="69"/>
    </row>
    <row r="9178" spans="2:2" ht="12.5" hidden="1">
      <c r="B9178" s="69"/>
    </row>
    <row r="9179" spans="2:2" ht="12.5" hidden="1">
      <c r="B9179" s="69"/>
    </row>
    <row r="9180" spans="2:2" ht="12.5" hidden="1">
      <c r="B9180" s="69"/>
    </row>
    <row r="9181" spans="2:2" ht="12.5" hidden="1">
      <c r="B9181" s="69"/>
    </row>
    <row r="9182" spans="2:2" ht="12.5" hidden="1">
      <c r="B9182" s="69"/>
    </row>
    <row r="9183" spans="2:2" ht="12.5" hidden="1">
      <c r="B9183" s="69"/>
    </row>
    <row r="9184" spans="2:2" ht="12.5" hidden="1">
      <c r="B9184" s="69"/>
    </row>
    <row r="9185" spans="2:2" ht="12.5" hidden="1">
      <c r="B9185" s="69"/>
    </row>
    <row r="9186" spans="2:2" ht="12.5" hidden="1">
      <c r="B9186" s="69"/>
    </row>
    <row r="9187" spans="2:2" ht="12.5" hidden="1">
      <c r="B9187" s="69"/>
    </row>
    <row r="9188" spans="2:2" ht="12.5" hidden="1">
      <c r="B9188" s="69"/>
    </row>
    <row r="9189" spans="2:2" ht="12.5" hidden="1">
      <c r="B9189" s="69"/>
    </row>
    <row r="9190" spans="2:2" ht="12.5" hidden="1">
      <c r="B9190" s="69"/>
    </row>
    <row r="9191" spans="2:2" ht="12.5" hidden="1">
      <c r="B9191" s="69"/>
    </row>
    <row r="9192" spans="2:2" ht="12.5" hidden="1">
      <c r="B9192" s="69"/>
    </row>
    <row r="9193" spans="2:2" ht="12.5" hidden="1">
      <c r="B9193" s="69"/>
    </row>
    <row r="9194" spans="2:2" ht="12.5" hidden="1">
      <c r="B9194" s="69"/>
    </row>
    <row r="9195" spans="2:2" ht="12.5" hidden="1">
      <c r="B9195" s="69"/>
    </row>
    <row r="9196" spans="2:2" ht="12.5" hidden="1">
      <c r="B9196" s="69"/>
    </row>
    <row r="9197" spans="2:2" ht="12.5" hidden="1">
      <c r="B9197" s="69"/>
    </row>
    <row r="9198" spans="2:2" ht="12.5" hidden="1">
      <c r="B9198" s="69"/>
    </row>
    <row r="9199" spans="2:2" ht="12.5" hidden="1">
      <c r="B9199" s="69"/>
    </row>
    <row r="9200" spans="2:2" ht="12.5" hidden="1">
      <c r="B9200" s="69"/>
    </row>
    <row r="9201" spans="2:2" ht="12.5" hidden="1">
      <c r="B9201" s="69"/>
    </row>
    <row r="9202" spans="2:2" ht="12.5" hidden="1">
      <c r="B9202" s="69"/>
    </row>
    <row r="9203" spans="2:2" ht="12.5" hidden="1">
      <c r="B9203" s="69"/>
    </row>
    <row r="9204" spans="2:2" ht="12.5" hidden="1">
      <c r="B9204" s="69"/>
    </row>
    <row r="9205" spans="2:2" ht="12.5" hidden="1">
      <c r="B9205" s="69"/>
    </row>
    <row r="9206" spans="2:2" ht="12.5" hidden="1">
      <c r="B9206" s="69"/>
    </row>
    <row r="9207" spans="2:2" ht="12.5" hidden="1">
      <c r="B9207" s="69"/>
    </row>
    <row r="9208" spans="2:2" ht="12.5" hidden="1">
      <c r="B9208" s="69"/>
    </row>
    <row r="9209" spans="2:2" ht="12.5" hidden="1">
      <c r="B9209" s="69"/>
    </row>
    <row r="9210" spans="2:2" ht="12.5" hidden="1">
      <c r="B9210" s="69"/>
    </row>
    <row r="9211" spans="2:2" ht="12.5" hidden="1">
      <c r="B9211" s="69"/>
    </row>
    <row r="9212" spans="2:2" ht="12.5" hidden="1">
      <c r="B9212" s="69"/>
    </row>
    <row r="9213" spans="2:2" ht="12.5" hidden="1">
      <c r="B9213" s="69"/>
    </row>
    <row r="9214" spans="2:2" ht="12.5" hidden="1">
      <c r="B9214" s="69"/>
    </row>
    <row r="9215" spans="2:2" ht="12.5" hidden="1">
      <c r="B9215" s="69"/>
    </row>
    <row r="9216" spans="2:2" ht="12.5" hidden="1">
      <c r="B9216" s="69"/>
    </row>
    <row r="9217" spans="2:2" ht="12.5" hidden="1">
      <c r="B9217" s="69"/>
    </row>
    <row r="9218" spans="2:2" ht="12.5" hidden="1">
      <c r="B9218" s="69"/>
    </row>
    <row r="9219" spans="2:2" ht="12.5" hidden="1">
      <c r="B9219" s="69"/>
    </row>
    <row r="9220" spans="2:2" ht="12.5" hidden="1">
      <c r="B9220" s="69"/>
    </row>
    <row r="9221" spans="2:2" ht="12.5" hidden="1">
      <c r="B9221" s="69"/>
    </row>
    <row r="9222" spans="2:2" ht="12.5" hidden="1">
      <c r="B9222" s="69"/>
    </row>
    <row r="9223" spans="2:2" ht="12.5" hidden="1">
      <c r="B9223" s="69"/>
    </row>
    <row r="9224" spans="2:2" ht="12.5" hidden="1">
      <c r="B9224" s="69"/>
    </row>
    <row r="9225" spans="2:2" ht="12.5" hidden="1">
      <c r="B9225" s="69"/>
    </row>
    <row r="9226" spans="2:2" ht="12.5" hidden="1">
      <c r="B9226" s="69"/>
    </row>
    <row r="9227" spans="2:2" ht="12.5" hidden="1">
      <c r="B9227" s="69"/>
    </row>
    <row r="9228" spans="2:2" ht="12.5" hidden="1">
      <c r="B9228" s="69"/>
    </row>
    <row r="9229" spans="2:2" ht="12.5" hidden="1">
      <c r="B9229" s="69"/>
    </row>
    <row r="9230" spans="2:2" ht="12.5" hidden="1">
      <c r="B9230" s="69"/>
    </row>
    <row r="9231" spans="2:2" ht="12.5" hidden="1">
      <c r="B9231" s="69"/>
    </row>
    <row r="9232" spans="2:2" ht="12.5" hidden="1">
      <c r="B9232" s="69"/>
    </row>
    <row r="9233" spans="2:2" ht="12.5" hidden="1">
      <c r="B9233" s="69"/>
    </row>
    <row r="9234" spans="2:2" ht="12.5" hidden="1">
      <c r="B9234" s="69"/>
    </row>
    <row r="9235" spans="2:2" ht="12.5" hidden="1">
      <c r="B9235" s="69"/>
    </row>
    <row r="9236" spans="2:2" ht="12.5" hidden="1">
      <c r="B9236" s="69"/>
    </row>
    <row r="9237" spans="2:2" ht="12.5" hidden="1">
      <c r="B9237" s="69"/>
    </row>
    <row r="9238" spans="2:2" ht="12.5" hidden="1">
      <c r="B9238" s="69"/>
    </row>
    <row r="9239" spans="2:2" ht="12.5" hidden="1">
      <c r="B9239" s="69"/>
    </row>
    <row r="9240" spans="2:2" ht="12.5" hidden="1">
      <c r="B9240" s="69"/>
    </row>
    <row r="9241" spans="2:2" ht="12.5" hidden="1">
      <c r="B9241" s="69"/>
    </row>
    <row r="9242" spans="2:2" ht="12.5" hidden="1">
      <c r="B9242" s="69"/>
    </row>
    <row r="9243" spans="2:2" ht="12.5" hidden="1">
      <c r="B9243" s="69"/>
    </row>
    <row r="9244" spans="2:2" ht="12.5" hidden="1">
      <c r="B9244" s="69"/>
    </row>
    <row r="9245" spans="2:2" ht="12.5" hidden="1">
      <c r="B9245" s="69"/>
    </row>
    <row r="9246" spans="2:2" ht="12.5" hidden="1">
      <c r="B9246" s="69"/>
    </row>
    <row r="9247" spans="2:2" ht="12.5" hidden="1">
      <c r="B9247" s="69"/>
    </row>
    <row r="9248" spans="2:2" ht="12.5" hidden="1">
      <c r="B9248" s="69"/>
    </row>
    <row r="9249" spans="2:2" ht="12.5" hidden="1">
      <c r="B9249" s="69"/>
    </row>
    <row r="9250" spans="2:2" ht="12.5" hidden="1">
      <c r="B9250" s="69"/>
    </row>
    <row r="9251" spans="2:2" ht="12.5" hidden="1">
      <c r="B9251" s="69"/>
    </row>
    <row r="9252" spans="2:2" ht="12.5" hidden="1">
      <c r="B9252" s="69"/>
    </row>
    <row r="9253" spans="2:2" ht="12.5" hidden="1">
      <c r="B9253" s="69"/>
    </row>
    <row r="9254" spans="2:2" ht="12.5" hidden="1">
      <c r="B9254" s="69"/>
    </row>
    <row r="9255" spans="2:2" ht="12.5" hidden="1">
      <c r="B9255" s="69"/>
    </row>
    <row r="9256" spans="2:2" ht="12.5" hidden="1">
      <c r="B9256" s="69"/>
    </row>
    <row r="9257" spans="2:2" ht="12.5" hidden="1">
      <c r="B9257" s="69"/>
    </row>
    <row r="9258" spans="2:2" ht="12.5" hidden="1">
      <c r="B9258" s="69"/>
    </row>
    <row r="9259" spans="2:2" ht="12.5" hidden="1">
      <c r="B9259" s="69"/>
    </row>
    <row r="9260" spans="2:2" ht="12.5" hidden="1">
      <c r="B9260" s="69"/>
    </row>
    <row r="9261" spans="2:2" ht="12.5" hidden="1">
      <c r="B9261" s="69"/>
    </row>
    <row r="9262" spans="2:2" ht="12.5" hidden="1">
      <c r="B9262" s="69"/>
    </row>
    <row r="9263" spans="2:2" ht="12.5" hidden="1">
      <c r="B9263" s="69"/>
    </row>
    <row r="9264" spans="2:2" ht="12.5" hidden="1">
      <c r="B9264" s="69"/>
    </row>
    <row r="9265" spans="2:2" ht="12.5" hidden="1">
      <c r="B9265" s="69"/>
    </row>
    <row r="9266" spans="2:2" ht="12.5" hidden="1">
      <c r="B9266" s="69"/>
    </row>
    <row r="9267" spans="2:2" ht="12.5" hidden="1">
      <c r="B9267" s="69"/>
    </row>
    <row r="9268" spans="2:2" ht="12.5" hidden="1">
      <c r="B9268" s="69"/>
    </row>
    <row r="9269" spans="2:2" ht="12.5" hidden="1">
      <c r="B9269" s="69"/>
    </row>
    <row r="9270" spans="2:2" ht="12.5" hidden="1">
      <c r="B9270" s="69"/>
    </row>
    <row r="9271" spans="2:2" ht="12.5" hidden="1">
      <c r="B9271" s="69"/>
    </row>
    <row r="9272" spans="2:2" ht="12.5" hidden="1">
      <c r="B9272" s="69"/>
    </row>
    <row r="9273" spans="2:2" ht="12.5" hidden="1">
      <c r="B9273" s="69"/>
    </row>
    <row r="9274" spans="2:2" ht="12.5" hidden="1">
      <c r="B9274" s="69"/>
    </row>
    <row r="9275" spans="2:2" ht="12.5" hidden="1">
      <c r="B9275" s="69"/>
    </row>
    <row r="9276" spans="2:2" ht="12.5" hidden="1">
      <c r="B9276" s="69"/>
    </row>
    <row r="9277" spans="2:2" ht="12.5" hidden="1">
      <c r="B9277" s="69"/>
    </row>
    <row r="9278" spans="2:2" ht="12.5" hidden="1">
      <c r="B9278" s="69"/>
    </row>
    <row r="9279" spans="2:2" ht="12.5" hidden="1">
      <c r="B9279" s="69"/>
    </row>
    <row r="9280" spans="2:2" ht="12.5" hidden="1">
      <c r="B9280" s="69"/>
    </row>
    <row r="9281" spans="2:2" ht="12.5" hidden="1">
      <c r="B9281" s="69"/>
    </row>
    <row r="9282" spans="2:2" ht="12.5" hidden="1">
      <c r="B9282" s="69"/>
    </row>
    <row r="9283" spans="2:2" ht="12.5" hidden="1">
      <c r="B9283" s="69"/>
    </row>
    <row r="9284" spans="2:2" ht="12.5" hidden="1">
      <c r="B9284" s="69"/>
    </row>
    <row r="9285" spans="2:2" ht="12.5" hidden="1">
      <c r="B9285" s="69"/>
    </row>
    <row r="9286" spans="2:2" ht="12.5" hidden="1">
      <c r="B9286" s="69"/>
    </row>
    <row r="9287" spans="2:2" ht="12.5" hidden="1">
      <c r="B9287" s="69"/>
    </row>
    <row r="9288" spans="2:2" ht="12.5" hidden="1">
      <c r="B9288" s="69"/>
    </row>
    <row r="9289" spans="2:2" ht="12.5" hidden="1">
      <c r="B9289" s="69"/>
    </row>
    <row r="9290" spans="2:2" ht="12.5" hidden="1">
      <c r="B9290" s="69"/>
    </row>
    <row r="9291" spans="2:2" ht="12.5" hidden="1">
      <c r="B9291" s="69"/>
    </row>
    <row r="9292" spans="2:2" ht="12.5" hidden="1">
      <c r="B9292" s="69"/>
    </row>
    <row r="9293" spans="2:2" ht="12.5" hidden="1">
      <c r="B9293" s="69"/>
    </row>
    <row r="9294" spans="2:2" ht="12.5" hidden="1">
      <c r="B9294" s="69"/>
    </row>
    <row r="9295" spans="2:2" ht="12.5" hidden="1">
      <c r="B9295" s="69"/>
    </row>
    <row r="9296" spans="2:2" ht="12.5" hidden="1">
      <c r="B9296" s="69"/>
    </row>
    <row r="9297" spans="2:2" ht="12.5" hidden="1">
      <c r="B9297" s="69"/>
    </row>
    <row r="9298" spans="2:2" ht="12.5" hidden="1">
      <c r="B9298" s="69"/>
    </row>
    <row r="9299" spans="2:2" ht="12.5" hidden="1">
      <c r="B9299" s="69"/>
    </row>
    <row r="9300" spans="2:2" ht="12.5" hidden="1">
      <c r="B9300" s="69"/>
    </row>
    <row r="9301" spans="2:2" ht="12.5" hidden="1">
      <c r="B9301" s="69"/>
    </row>
    <row r="9302" spans="2:2" ht="12.5" hidden="1">
      <c r="B9302" s="69"/>
    </row>
    <row r="9303" spans="2:2" ht="12.5" hidden="1">
      <c r="B9303" s="69"/>
    </row>
    <row r="9304" spans="2:2" ht="12.5" hidden="1">
      <c r="B9304" s="69"/>
    </row>
    <row r="9305" spans="2:2" ht="12.5" hidden="1">
      <c r="B9305" s="69"/>
    </row>
    <row r="9306" spans="2:2" ht="12.5" hidden="1">
      <c r="B9306" s="69"/>
    </row>
    <row r="9307" spans="2:2" ht="12.5" hidden="1">
      <c r="B9307" s="69"/>
    </row>
    <row r="9308" spans="2:2" ht="12.5" hidden="1">
      <c r="B9308" s="69"/>
    </row>
    <row r="9309" spans="2:2" ht="12.5" hidden="1">
      <c r="B9309" s="69"/>
    </row>
    <row r="9310" spans="2:2" ht="12.5" hidden="1">
      <c r="B9310" s="69"/>
    </row>
    <row r="9311" spans="2:2" ht="12.5" hidden="1">
      <c r="B9311" s="69"/>
    </row>
    <row r="9312" spans="2:2" ht="12.5" hidden="1">
      <c r="B9312" s="69"/>
    </row>
    <row r="9313" spans="2:2" ht="12.5" hidden="1">
      <c r="B9313" s="69"/>
    </row>
    <row r="9314" spans="2:2" ht="12.5" hidden="1">
      <c r="B9314" s="69"/>
    </row>
    <row r="9315" spans="2:2" ht="12.5" hidden="1">
      <c r="B9315" s="69"/>
    </row>
    <row r="9316" spans="2:2" ht="12.5" hidden="1">
      <c r="B9316" s="69"/>
    </row>
    <row r="9317" spans="2:2" ht="12.5" hidden="1">
      <c r="B9317" s="69"/>
    </row>
    <row r="9318" spans="2:2" ht="12.5" hidden="1">
      <c r="B9318" s="69"/>
    </row>
    <row r="9319" spans="2:2" ht="12.5" hidden="1">
      <c r="B9319" s="69"/>
    </row>
    <row r="9320" spans="2:2" ht="12.5" hidden="1">
      <c r="B9320" s="69"/>
    </row>
    <row r="9321" spans="2:2" ht="12.5" hidden="1">
      <c r="B9321" s="69"/>
    </row>
    <row r="9322" spans="2:2" ht="12.5" hidden="1">
      <c r="B9322" s="69"/>
    </row>
    <row r="9323" spans="2:2" ht="12.5" hidden="1">
      <c r="B9323" s="69"/>
    </row>
    <row r="9324" spans="2:2" ht="12.5" hidden="1">
      <c r="B9324" s="69"/>
    </row>
    <row r="9325" spans="2:2" ht="12.5" hidden="1">
      <c r="B9325" s="69"/>
    </row>
    <row r="9326" spans="2:2" ht="12.5" hidden="1">
      <c r="B9326" s="69"/>
    </row>
    <row r="9327" spans="2:2" ht="12.5" hidden="1">
      <c r="B9327" s="69"/>
    </row>
    <row r="9328" spans="2:2" ht="12.5" hidden="1">
      <c r="B9328" s="69"/>
    </row>
    <row r="9329" spans="2:2" ht="12.5" hidden="1">
      <c r="B9329" s="69"/>
    </row>
    <row r="9330" spans="2:2" ht="12.5" hidden="1">
      <c r="B9330" s="69"/>
    </row>
    <row r="9331" spans="2:2" ht="12.5" hidden="1">
      <c r="B9331" s="69"/>
    </row>
    <row r="9332" spans="2:2" ht="12.5" hidden="1">
      <c r="B9332" s="69"/>
    </row>
    <row r="9333" spans="2:2" ht="12.5" hidden="1">
      <c r="B9333" s="69"/>
    </row>
    <row r="9334" spans="2:2" ht="12.5" hidden="1">
      <c r="B9334" s="69"/>
    </row>
    <row r="9335" spans="2:2" ht="12.5" hidden="1">
      <c r="B9335" s="69"/>
    </row>
    <row r="9336" spans="2:2" ht="12.5" hidden="1">
      <c r="B9336" s="69"/>
    </row>
    <row r="9337" spans="2:2" ht="12.5" hidden="1">
      <c r="B9337" s="69"/>
    </row>
    <row r="9338" spans="2:2" ht="12.5" hidden="1">
      <c r="B9338" s="69"/>
    </row>
    <row r="9339" spans="2:2" ht="12.5" hidden="1">
      <c r="B9339" s="69"/>
    </row>
    <row r="9340" spans="2:2" ht="12.5" hidden="1">
      <c r="B9340" s="69"/>
    </row>
    <row r="9341" spans="2:2" ht="12.5" hidden="1">
      <c r="B9341" s="69"/>
    </row>
    <row r="9342" spans="2:2" ht="12.5" hidden="1">
      <c r="B9342" s="69"/>
    </row>
    <row r="9343" spans="2:2" ht="12.5" hidden="1">
      <c r="B9343" s="69"/>
    </row>
    <row r="9344" spans="2:2" ht="12.5" hidden="1">
      <c r="B9344" s="69"/>
    </row>
    <row r="9345" spans="2:2" ht="12.5" hidden="1">
      <c r="B9345" s="69"/>
    </row>
    <row r="9346" spans="2:2" ht="12.5" hidden="1">
      <c r="B9346" s="69"/>
    </row>
    <row r="9347" spans="2:2" ht="12.5" hidden="1">
      <c r="B9347" s="69"/>
    </row>
    <row r="9348" spans="2:2" ht="12.5" hidden="1">
      <c r="B9348" s="69"/>
    </row>
    <row r="9349" spans="2:2" ht="12.5" hidden="1">
      <c r="B9349" s="69"/>
    </row>
    <row r="9350" spans="2:2" ht="12.5" hidden="1">
      <c r="B9350" s="69"/>
    </row>
    <row r="9351" spans="2:2" ht="12.5" hidden="1">
      <c r="B9351" s="69"/>
    </row>
    <row r="9352" spans="2:2" ht="12.5" hidden="1">
      <c r="B9352" s="69"/>
    </row>
    <row r="9353" spans="2:2" ht="12.5" hidden="1">
      <c r="B9353" s="69"/>
    </row>
    <row r="9354" spans="2:2" ht="12.5" hidden="1">
      <c r="B9354" s="69"/>
    </row>
    <row r="9355" spans="2:2" ht="12.5" hidden="1">
      <c r="B9355" s="69"/>
    </row>
    <row r="9356" spans="2:2" ht="12.5" hidden="1">
      <c r="B9356" s="69"/>
    </row>
    <row r="9357" spans="2:2" ht="12.5" hidden="1">
      <c r="B9357" s="69"/>
    </row>
    <row r="9358" spans="2:2" ht="12.5" hidden="1">
      <c r="B9358" s="69"/>
    </row>
    <row r="9359" spans="2:2" ht="12.5" hidden="1">
      <c r="B9359" s="69"/>
    </row>
    <row r="9360" spans="2:2" ht="12.5" hidden="1">
      <c r="B9360" s="69"/>
    </row>
    <row r="9361" spans="2:2" ht="12.5" hidden="1">
      <c r="B9361" s="69"/>
    </row>
    <row r="9362" spans="2:2" ht="12.5" hidden="1">
      <c r="B9362" s="69"/>
    </row>
    <row r="9363" spans="2:2" ht="12.5" hidden="1">
      <c r="B9363" s="69"/>
    </row>
    <row r="9364" spans="2:2" ht="12.5" hidden="1">
      <c r="B9364" s="69"/>
    </row>
    <row r="9365" spans="2:2" ht="12.5" hidden="1">
      <c r="B9365" s="69"/>
    </row>
    <row r="9366" spans="2:2" ht="12.5" hidden="1">
      <c r="B9366" s="69"/>
    </row>
    <row r="9367" spans="2:2" ht="12.5" hidden="1">
      <c r="B9367" s="69"/>
    </row>
    <row r="9368" spans="2:2" ht="12.5" hidden="1">
      <c r="B9368" s="69"/>
    </row>
    <row r="9369" spans="2:2" ht="12.5" hidden="1">
      <c r="B9369" s="69"/>
    </row>
    <row r="9370" spans="2:2" ht="12.5" hidden="1">
      <c r="B9370" s="69"/>
    </row>
    <row r="9371" spans="2:2" ht="12.5" hidden="1">
      <c r="B9371" s="69"/>
    </row>
    <row r="9372" spans="2:2" ht="12.5" hidden="1">
      <c r="B9372" s="69"/>
    </row>
    <row r="9373" spans="2:2" ht="12.5" hidden="1">
      <c r="B9373" s="69"/>
    </row>
    <row r="9374" spans="2:2" ht="12.5" hidden="1">
      <c r="B9374" s="69"/>
    </row>
    <row r="9375" spans="2:2" ht="12.5" hidden="1">
      <c r="B9375" s="69"/>
    </row>
    <row r="9376" spans="2:2" ht="12.5" hidden="1">
      <c r="B9376" s="69"/>
    </row>
    <row r="9377" spans="2:2" ht="12.5" hidden="1">
      <c r="B9377" s="69"/>
    </row>
    <row r="9378" spans="2:2" ht="12.5" hidden="1">
      <c r="B9378" s="69"/>
    </row>
    <row r="9379" spans="2:2" ht="12.5" hidden="1">
      <c r="B9379" s="69"/>
    </row>
    <row r="9380" spans="2:2" ht="12.5" hidden="1">
      <c r="B9380" s="69"/>
    </row>
    <row r="9381" spans="2:2" ht="12.5" hidden="1">
      <c r="B9381" s="69"/>
    </row>
    <row r="9382" spans="2:2" ht="12.5" hidden="1">
      <c r="B9382" s="69"/>
    </row>
    <row r="9383" spans="2:2" ht="12.5" hidden="1">
      <c r="B9383" s="69"/>
    </row>
    <row r="9384" spans="2:2" ht="12.5" hidden="1">
      <c r="B9384" s="69"/>
    </row>
    <row r="9385" spans="2:2" ht="12.5" hidden="1">
      <c r="B9385" s="69"/>
    </row>
    <row r="9386" spans="2:2" ht="12.5" hidden="1">
      <c r="B9386" s="69"/>
    </row>
    <row r="9387" spans="2:2" ht="12.5" hidden="1">
      <c r="B9387" s="69"/>
    </row>
    <row r="9388" spans="2:2" ht="12.5" hidden="1">
      <c r="B9388" s="69"/>
    </row>
    <row r="9389" spans="2:2" ht="12.5" hidden="1">
      <c r="B9389" s="69"/>
    </row>
    <row r="9390" spans="2:2" ht="12.5" hidden="1">
      <c r="B9390" s="69"/>
    </row>
    <row r="9391" spans="2:2" ht="12.5" hidden="1">
      <c r="B9391" s="69"/>
    </row>
    <row r="9392" spans="2:2" ht="12.5" hidden="1">
      <c r="B9392" s="69"/>
    </row>
    <row r="9393" spans="2:2" ht="12.5" hidden="1">
      <c r="B9393" s="69"/>
    </row>
    <row r="9394" spans="2:2" ht="12.5" hidden="1">
      <c r="B9394" s="69"/>
    </row>
    <row r="9395" spans="2:2" ht="12.5" hidden="1">
      <c r="B9395" s="69"/>
    </row>
    <row r="9396" spans="2:2" ht="12.5" hidden="1">
      <c r="B9396" s="69"/>
    </row>
    <row r="9397" spans="2:2" ht="12.5" hidden="1">
      <c r="B9397" s="69"/>
    </row>
    <row r="9398" spans="2:2" ht="12.5" hidden="1">
      <c r="B9398" s="69"/>
    </row>
    <row r="9399" spans="2:2" ht="12.5" hidden="1">
      <c r="B9399" s="69"/>
    </row>
    <row r="9400" spans="2:2" ht="12.5" hidden="1">
      <c r="B9400" s="69"/>
    </row>
    <row r="9401" spans="2:2" ht="12.5" hidden="1">
      <c r="B9401" s="69"/>
    </row>
    <row r="9402" spans="2:2" ht="12.5" hidden="1">
      <c r="B9402" s="69"/>
    </row>
    <row r="9403" spans="2:2" ht="12.5" hidden="1">
      <c r="B9403" s="69"/>
    </row>
    <row r="9404" spans="2:2" ht="12.5" hidden="1">
      <c r="B9404" s="69"/>
    </row>
    <row r="9405" spans="2:2" ht="12.5" hidden="1">
      <c r="B9405" s="69"/>
    </row>
    <row r="9406" spans="2:2" ht="12.5" hidden="1">
      <c r="B9406" s="69"/>
    </row>
    <row r="9407" spans="2:2" ht="12.5" hidden="1">
      <c r="B9407" s="69"/>
    </row>
    <row r="9408" spans="2:2" ht="12.5" hidden="1">
      <c r="B9408" s="69"/>
    </row>
    <row r="9409" spans="2:2" ht="12.5" hidden="1">
      <c r="B9409" s="69"/>
    </row>
    <row r="9410" spans="2:2" ht="12.5" hidden="1">
      <c r="B9410" s="69"/>
    </row>
    <row r="9411" spans="2:2" ht="12.5" hidden="1">
      <c r="B9411" s="69"/>
    </row>
    <row r="9412" spans="2:2" ht="12.5" hidden="1">
      <c r="B9412" s="69"/>
    </row>
    <row r="9413" spans="2:2" ht="12.5" hidden="1">
      <c r="B9413" s="69"/>
    </row>
    <row r="9414" spans="2:2" ht="12.5" hidden="1">
      <c r="B9414" s="69"/>
    </row>
    <row r="9415" spans="2:2" ht="12.5" hidden="1">
      <c r="B9415" s="69"/>
    </row>
    <row r="9416" spans="2:2" ht="12.5" hidden="1">
      <c r="B9416" s="69"/>
    </row>
    <row r="9417" spans="2:2" ht="12.5" hidden="1">
      <c r="B9417" s="69"/>
    </row>
    <row r="9418" spans="2:2" ht="12.5" hidden="1">
      <c r="B9418" s="69"/>
    </row>
    <row r="9419" spans="2:2" ht="12.5" hidden="1">
      <c r="B9419" s="69"/>
    </row>
    <row r="9420" spans="2:2" ht="12.5" hidden="1">
      <c r="B9420" s="69"/>
    </row>
    <row r="9421" spans="2:2" ht="12.5" hidden="1">
      <c r="B9421" s="69"/>
    </row>
    <row r="9422" spans="2:2" ht="12.5" hidden="1">
      <c r="B9422" s="69"/>
    </row>
    <row r="9423" spans="2:2" ht="12.5" hidden="1">
      <c r="B9423" s="69"/>
    </row>
    <row r="9424" spans="2:2" ht="12.5" hidden="1">
      <c r="B9424" s="69"/>
    </row>
    <row r="9425" spans="2:2" ht="12.5" hidden="1">
      <c r="B9425" s="69"/>
    </row>
    <row r="9426" spans="2:2" ht="12.5" hidden="1">
      <c r="B9426" s="69"/>
    </row>
    <row r="9427" spans="2:2" ht="12.5" hidden="1">
      <c r="B9427" s="69"/>
    </row>
    <row r="9428" spans="2:2" ht="12.5" hidden="1">
      <c r="B9428" s="69"/>
    </row>
    <row r="9429" spans="2:2" ht="12.5" hidden="1">
      <c r="B9429" s="69"/>
    </row>
    <row r="9430" spans="2:2" ht="12.5" hidden="1">
      <c r="B9430" s="69"/>
    </row>
    <row r="9431" spans="2:2" ht="12.5" hidden="1">
      <c r="B9431" s="69"/>
    </row>
    <row r="9432" spans="2:2" ht="12.5" hidden="1">
      <c r="B9432" s="69"/>
    </row>
    <row r="9433" spans="2:2" ht="12.5" hidden="1">
      <c r="B9433" s="69"/>
    </row>
    <row r="9434" spans="2:2" ht="12.5" hidden="1">
      <c r="B9434" s="69"/>
    </row>
    <row r="9435" spans="2:2" ht="12.5" hidden="1">
      <c r="B9435" s="69"/>
    </row>
    <row r="9436" spans="2:2" ht="12.5" hidden="1">
      <c r="B9436" s="69"/>
    </row>
    <row r="9437" spans="2:2" ht="12.5" hidden="1">
      <c r="B9437" s="69"/>
    </row>
    <row r="9438" spans="2:2" ht="12.5" hidden="1">
      <c r="B9438" s="69"/>
    </row>
    <row r="9439" spans="2:2" ht="12.5" hidden="1">
      <c r="B9439" s="69"/>
    </row>
    <row r="9440" spans="2:2" ht="12.5" hidden="1">
      <c r="B9440" s="69"/>
    </row>
    <row r="9441" spans="2:2" ht="12.5" hidden="1">
      <c r="B9441" s="69"/>
    </row>
    <row r="9442" spans="2:2" ht="12.5" hidden="1">
      <c r="B9442" s="69"/>
    </row>
    <row r="9443" spans="2:2" ht="12.5" hidden="1">
      <c r="B9443" s="69"/>
    </row>
    <row r="9444" spans="2:2" ht="12.5" hidden="1">
      <c r="B9444" s="69"/>
    </row>
    <row r="9445" spans="2:2" ht="12.5" hidden="1">
      <c r="B9445" s="69"/>
    </row>
    <row r="9446" spans="2:2" ht="12.5" hidden="1">
      <c r="B9446" s="69"/>
    </row>
    <row r="9447" spans="2:2" ht="12.5" hidden="1">
      <c r="B9447" s="69"/>
    </row>
    <row r="9448" spans="2:2" ht="12.5" hidden="1">
      <c r="B9448" s="69"/>
    </row>
    <row r="9449" spans="2:2" ht="12.5" hidden="1">
      <c r="B9449" s="69"/>
    </row>
    <row r="9450" spans="2:2" ht="12.5" hidden="1">
      <c r="B9450" s="69"/>
    </row>
    <row r="9451" spans="2:2" ht="12.5" hidden="1">
      <c r="B9451" s="69"/>
    </row>
    <row r="9452" spans="2:2" ht="12.5" hidden="1">
      <c r="B9452" s="69"/>
    </row>
    <row r="9453" spans="2:2" ht="12.5" hidden="1">
      <c r="B9453" s="69"/>
    </row>
    <row r="9454" spans="2:2" ht="12.5" hidden="1">
      <c r="B9454" s="69"/>
    </row>
    <row r="9455" spans="2:2" ht="12.5" hidden="1">
      <c r="B9455" s="69"/>
    </row>
    <row r="9456" spans="2:2" ht="12.5" hidden="1">
      <c r="B9456" s="69"/>
    </row>
    <row r="9457" spans="2:2" ht="12.5" hidden="1">
      <c r="B9457" s="69"/>
    </row>
    <row r="9458" spans="2:2" ht="12.5" hidden="1">
      <c r="B9458" s="69"/>
    </row>
    <row r="9459" spans="2:2" ht="12.5" hidden="1">
      <c r="B9459" s="69"/>
    </row>
    <row r="9460" spans="2:2" ht="12.5" hidden="1">
      <c r="B9460" s="69"/>
    </row>
    <row r="9461" spans="2:2" ht="12.5" hidden="1">
      <c r="B9461" s="69"/>
    </row>
    <row r="9462" spans="2:2" ht="12.5" hidden="1">
      <c r="B9462" s="69"/>
    </row>
    <row r="9463" spans="2:2" ht="12.5" hidden="1">
      <c r="B9463" s="69"/>
    </row>
    <row r="9464" spans="2:2" ht="12.5" hidden="1">
      <c r="B9464" s="69"/>
    </row>
    <row r="9465" spans="2:2" ht="12.5" hidden="1">
      <c r="B9465" s="69"/>
    </row>
    <row r="9466" spans="2:2" ht="12.5" hidden="1">
      <c r="B9466" s="69"/>
    </row>
    <row r="9467" spans="2:2" ht="12.5" hidden="1">
      <c r="B9467" s="69"/>
    </row>
    <row r="9468" spans="2:2" ht="12.5" hidden="1">
      <c r="B9468" s="69"/>
    </row>
    <row r="9469" spans="2:2" ht="12.5" hidden="1">
      <c r="B9469" s="69"/>
    </row>
    <row r="9470" spans="2:2" ht="12.5" hidden="1">
      <c r="B9470" s="69"/>
    </row>
    <row r="9471" spans="2:2" ht="12.5" hidden="1">
      <c r="B9471" s="69"/>
    </row>
    <row r="9472" spans="2:2" ht="12.5" hidden="1">
      <c r="B9472" s="69"/>
    </row>
    <row r="9473" spans="2:2" ht="12.5" hidden="1">
      <c r="B9473" s="69"/>
    </row>
    <row r="9474" spans="2:2" ht="12.5" hidden="1">
      <c r="B9474" s="69"/>
    </row>
    <row r="9475" spans="2:2" ht="12.5" hidden="1">
      <c r="B9475" s="69"/>
    </row>
    <row r="9476" spans="2:2" ht="12.5" hidden="1">
      <c r="B9476" s="69"/>
    </row>
    <row r="9477" spans="2:2" ht="12.5" hidden="1">
      <c r="B9477" s="69"/>
    </row>
    <row r="9478" spans="2:2" ht="12.5" hidden="1">
      <c r="B9478" s="69"/>
    </row>
    <row r="9479" spans="2:2" ht="12.5" hidden="1">
      <c r="B9479" s="69"/>
    </row>
    <row r="9480" spans="2:2" ht="12.5" hidden="1">
      <c r="B9480" s="69"/>
    </row>
    <row r="9481" spans="2:2" ht="12.5" hidden="1">
      <c r="B9481" s="69"/>
    </row>
    <row r="9482" spans="2:2" ht="12.5" hidden="1">
      <c r="B9482" s="69"/>
    </row>
    <row r="9483" spans="2:2" ht="12.5" hidden="1">
      <c r="B9483" s="69"/>
    </row>
    <row r="9484" spans="2:2" ht="12.5" hidden="1">
      <c r="B9484" s="69"/>
    </row>
    <row r="9485" spans="2:2" ht="12.5" hidden="1">
      <c r="B9485" s="69"/>
    </row>
    <row r="9486" spans="2:2" ht="12.5" hidden="1">
      <c r="B9486" s="69"/>
    </row>
    <row r="9487" spans="2:2" ht="12.5" hidden="1">
      <c r="B9487" s="69"/>
    </row>
    <row r="9488" spans="2:2" ht="12.5" hidden="1">
      <c r="B9488" s="69"/>
    </row>
    <row r="9489" spans="2:2" ht="12.5" hidden="1">
      <c r="B9489" s="69"/>
    </row>
    <row r="9490" spans="2:2" ht="12.5" hidden="1">
      <c r="B9490" s="69"/>
    </row>
    <row r="9491" spans="2:2" ht="12.5" hidden="1">
      <c r="B9491" s="69"/>
    </row>
    <row r="9492" spans="2:2" ht="12.5" hidden="1">
      <c r="B9492" s="69"/>
    </row>
    <row r="9493" spans="2:2" ht="12.5" hidden="1">
      <c r="B9493" s="69"/>
    </row>
    <row r="9494" spans="2:2" ht="12.5" hidden="1">
      <c r="B9494" s="69"/>
    </row>
    <row r="9495" spans="2:2" ht="12.5" hidden="1">
      <c r="B9495" s="69"/>
    </row>
    <row r="9496" spans="2:2" ht="12.5" hidden="1">
      <c r="B9496" s="69"/>
    </row>
    <row r="9497" spans="2:2" ht="12.5" hidden="1">
      <c r="B9497" s="69"/>
    </row>
    <row r="9498" spans="2:2" ht="12.5" hidden="1">
      <c r="B9498" s="69"/>
    </row>
    <row r="9499" spans="2:2" ht="12.5" hidden="1">
      <c r="B9499" s="69"/>
    </row>
    <row r="9500" spans="2:2" ht="12.5" hidden="1">
      <c r="B9500" s="69"/>
    </row>
    <row r="9501" spans="2:2" ht="12.5" hidden="1">
      <c r="B9501" s="69"/>
    </row>
    <row r="9502" spans="2:2" ht="12.5" hidden="1">
      <c r="B9502" s="69"/>
    </row>
    <row r="9503" spans="2:2" ht="12.5" hidden="1">
      <c r="B9503" s="69"/>
    </row>
    <row r="9504" spans="2:2" ht="12.5" hidden="1">
      <c r="B9504" s="69"/>
    </row>
    <row r="9505" spans="2:2" ht="12.5" hidden="1">
      <c r="B9505" s="69"/>
    </row>
    <row r="9506" spans="2:2" ht="12.5" hidden="1">
      <c r="B9506" s="69"/>
    </row>
    <row r="9507" spans="2:2" ht="12.5" hidden="1">
      <c r="B9507" s="69"/>
    </row>
    <row r="9508" spans="2:2" ht="12.5" hidden="1">
      <c r="B9508" s="69"/>
    </row>
    <row r="9509" spans="2:2" ht="12.5" hidden="1">
      <c r="B9509" s="69"/>
    </row>
    <row r="9510" spans="2:2" ht="12.5" hidden="1">
      <c r="B9510" s="69"/>
    </row>
    <row r="9511" spans="2:2" ht="12.5" hidden="1">
      <c r="B9511" s="69"/>
    </row>
    <row r="9512" spans="2:2" ht="12.5" hidden="1">
      <c r="B9512" s="69"/>
    </row>
    <row r="9513" spans="2:2" ht="12.5" hidden="1">
      <c r="B9513" s="69"/>
    </row>
    <row r="9514" spans="2:2" ht="12.5" hidden="1">
      <c r="B9514" s="69"/>
    </row>
    <row r="9515" spans="2:2" ht="12.5" hidden="1">
      <c r="B9515" s="69"/>
    </row>
    <row r="9516" spans="2:2" ht="12.5" hidden="1">
      <c r="B9516" s="69"/>
    </row>
    <row r="9517" spans="2:2" ht="12.5" hidden="1">
      <c r="B9517" s="69"/>
    </row>
    <row r="9518" spans="2:2" ht="12.5" hidden="1">
      <c r="B9518" s="69"/>
    </row>
    <row r="9519" spans="2:2" ht="12.5" hidden="1">
      <c r="B9519" s="69"/>
    </row>
    <row r="9520" spans="2:2" ht="12.5" hidden="1">
      <c r="B9520" s="69"/>
    </row>
    <row r="9521" spans="2:2" ht="12.5" hidden="1">
      <c r="B9521" s="69"/>
    </row>
    <row r="9522" spans="2:2" ht="12.5" hidden="1">
      <c r="B9522" s="69"/>
    </row>
    <row r="9523" spans="2:2" ht="12.5" hidden="1">
      <c r="B9523" s="69"/>
    </row>
    <row r="9524" spans="2:2" ht="12.5" hidden="1">
      <c r="B9524" s="69"/>
    </row>
    <row r="9525" spans="2:2" ht="12.5" hidden="1">
      <c r="B9525" s="69"/>
    </row>
    <row r="9526" spans="2:2" ht="12.5" hidden="1">
      <c r="B9526" s="69"/>
    </row>
    <row r="9527" spans="2:2" ht="12.5" hidden="1">
      <c r="B9527" s="69"/>
    </row>
    <row r="9528" spans="2:2" ht="12.5" hidden="1">
      <c r="B9528" s="69"/>
    </row>
    <row r="9529" spans="2:2" ht="12.5" hidden="1">
      <c r="B9529" s="69"/>
    </row>
    <row r="9530" spans="2:2" ht="12.5" hidden="1">
      <c r="B9530" s="69"/>
    </row>
    <row r="9531" spans="2:2" ht="12.5" hidden="1">
      <c r="B9531" s="69"/>
    </row>
    <row r="9532" spans="2:2" ht="12.5" hidden="1">
      <c r="B9532" s="69"/>
    </row>
    <row r="9533" spans="2:2" ht="12.5" hidden="1">
      <c r="B9533" s="69"/>
    </row>
    <row r="9534" spans="2:2" ht="12.5" hidden="1">
      <c r="B9534" s="69"/>
    </row>
    <row r="9535" spans="2:2" ht="12.5" hidden="1">
      <c r="B9535" s="69"/>
    </row>
    <row r="9536" spans="2:2" ht="12.5" hidden="1">
      <c r="B9536" s="69"/>
    </row>
    <row r="9537" spans="2:2" ht="12.5" hidden="1">
      <c r="B9537" s="69"/>
    </row>
    <row r="9538" spans="2:2" ht="12.5" hidden="1">
      <c r="B9538" s="69"/>
    </row>
    <row r="9539" spans="2:2" ht="12.5" hidden="1">
      <c r="B9539" s="69"/>
    </row>
    <row r="9540" spans="2:2" ht="12.5" hidden="1">
      <c r="B9540" s="69"/>
    </row>
    <row r="9541" spans="2:2" ht="12.5" hidden="1">
      <c r="B9541" s="69"/>
    </row>
    <row r="9542" spans="2:2" ht="12.5" hidden="1">
      <c r="B9542" s="69"/>
    </row>
    <row r="9543" spans="2:2" ht="12.5" hidden="1">
      <c r="B9543" s="69"/>
    </row>
    <row r="9544" spans="2:2" ht="12.5" hidden="1">
      <c r="B9544" s="69"/>
    </row>
    <row r="9545" spans="2:2" ht="12.5" hidden="1">
      <c r="B9545" s="69"/>
    </row>
    <row r="9546" spans="2:2" ht="12.5" hidden="1">
      <c r="B9546" s="69"/>
    </row>
    <row r="9547" spans="2:2" ht="12.5" hidden="1">
      <c r="B9547" s="69"/>
    </row>
    <row r="9548" spans="2:2" ht="12.5" hidden="1">
      <c r="B9548" s="69"/>
    </row>
    <row r="9549" spans="2:2" ht="12.5" hidden="1">
      <c r="B9549" s="69"/>
    </row>
    <row r="9550" spans="2:2" ht="12.5" hidden="1">
      <c r="B9550" s="69"/>
    </row>
    <row r="9551" spans="2:2" ht="12.5" hidden="1">
      <c r="B9551" s="69"/>
    </row>
    <row r="9552" spans="2:2" ht="12.5" hidden="1">
      <c r="B9552" s="69"/>
    </row>
    <row r="9553" spans="2:2" ht="12.5" hidden="1">
      <c r="B9553" s="69"/>
    </row>
    <row r="9554" spans="2:2" ht="12.5" hidden="1">
      <c r="B9554" s="69"/>
    </row>
    <row r="9555" spans="2:2" ht="12.5" hidden="1">
      <c r="B9555" s="69"/>
    </row>
    <row r="9556" spans="2:2" ht="12.5" hidden="1">
      <c r="B9556" s="69"/>
    </row>
    <row r="9557" spans="2:2" ht="12.5" hidden="1">
      <c r="B9557" s="69"/>
    </row>
    <row r="9558" spans="2:2" ht="12.5" hidden="1">
      <c r="B9558" s="69"/>
    </row>
    <row r="9559" spans="2:2" ht="12.5" hidden="1">
      <c r="B9559" s="69"/>
    </row>
    <row r="9560" spans="2:2" ht="12.5" hidden="1">
      <c r="B9560" s="69"/>
    </row>
    <row r="9561" spans="2:2" ht="12.5" hidden="1">
      <c r="B9561" s="69"/>
    </row>
    <row r="9562" spans="2:2" ht="12.5" hidden="1">
      <c r="B9562" s="69"/>
    </row>
    <row r="9563" spans="2:2" ht="12.5" hidden="1">
      <c r="B9563" s="69"/>
    </row>
    <row r="9564" spans="2:2" ht="12.5" hidden="1">
      <c r="B9564" s="69"/>
    </row>
    <row r="9565" spans="2:2" ht="12.5" hidden="1">
      <c r="B9565" s="69"/>
    </row>
    <row r="9566" spans="2:2" ht="12.5" hidden="1">
      <c r="B9566" s="69"/>
    </row>
    <row r="9567" spans="2:2" ht="12.5" hidden="1">
      <c r="B9567" s="69"/>
    </row>
    <row r="9568" spans="2:2" ht="12.5" hidden="1">
      <c r="B9568" s="69"/>
    </row>
    <row r="9569" spans="2:2" ht="12.5" hidden="1">
      <c r="B9569" s="69"/>
    </row>
    <row r="9570" spans="2:2" ht="12.5" hidden="1">
      <c r="B9570" s="69"/>
    </row>
    <row r="9571" spans="2:2" ht="12.5" hidden="1">
      <c r="B9571" s="69"/>
    </row>
    <row r="9572" spans="2:2" ht="12.5" hidden="1">
      <c r="B9572" s="69"/>
    </row>
    <row r="9573" spans="2:2" ht="12.5" hidden="1">
      <c r="B9573" s="69"/>
    </row>
    <row r="9574" spans="2:2" ht="12.5" hidden="1">
      <c r="B9574" s="69"/>
    </row>
    <row r="9575" spans="2:2" ht="12.5" hidden="1">
      <c r="B9575" s="69"/>
    </row>
    <row r="9576" spans="2:2" ht="12.5" hidden="1">
      <c r="B9576" s="69"/>
    </row>
    <row r="9577" spans="2:2" ht="12.5" hidden="1">
      <c r="B9577" s="69"/>
    </row>
    <row r="9578" spans="2:2" ht="12.5" hidden="1">
      <c r="B9578" s="69"/>
    </row>
    <row r="9579" spans="2:2" ht="12.5" hidden="1">
      <c r="B9579" s="69"/>
    </row>
    <row r="9580" spans="2:2" ht="12.5" hidden="1">
      <c r="B9580" s="69"/>
    </row>
    <row r="9581" spans="2:2" ht="12.5" hidden="1">
      <c r="B9581" s="69"/>
    </row>
    <row r="9582" spans="2:2" ht="12.5" hidden="1">
      <c r="B9582" s="69"/>
    </row>
    <row r="9583" spans="2:2" ht="12.5" hidden="1">
      <c r="B9583" s="69"/>
    </row>
    <row r="9584" spans="2:2" ht="12.5" hidden="1">
      <c r="B9584" s="69"/>
    </row>
    <row r="9585" spans="2:2" ht="12.5" hidden="1">
      <c r="B9585" s="69"/>
    </row>
    <row r="9586" spans="2:2" ht="12.5" hidden="1">
      <c r="B9586" s="69"/>
    </row>
    <row r="9587" spans="2:2" ht="12.5" hidden="1">
      <c r="B9587" s="69"/>
    </row>
    <row r="9588" spans="2:2" ht="12.5" hidden="1">
      <c r="B9588" s="69"/>
    </row>
    <row r="9589" spans="2:2" ht="12.5" hidden="1">
      <c r="B9589" s="69"/>
    </row>
    <row r="9590" spans="2:2" ht="12.5" hidden="1">
      <c r="B9590" s="69"/>
    </row>
    <row r="9591" spans="2:2" ht="12.5" hidden="1">
      <c r="B9591" s="69"/>
    </row>
    <row r="9592" spans="2:2" ht="12.5" hidden="1">
      <c r="B9592" s="69"/>
    </row>
    <row r="9593" spans="2:2" ht="12.5" hidden="1">
      <c r="B9593" s="69"/>
    </row>
    <row r="9594" spans="2:2" ht="12.5" hidden="1">
      <c r="B9594" s="69"/>
    </row>
    <row r="9595" spans="2:2" ht="12.5" hidden="1">
      <c r="B9595" s="69"/>
    </row>
    <row r="9596" spans="2:2" ht="12.5" hidden="1">
      <c r="B9596" s="69"/>
    </row>
    <row r="9597" spans="2:2" ht="12.5" hidden="1">
      <c r="B9597" s="69"/>
    </row>
    <row r="9598" spans="2:2" ht="12.5" hidden="1">
      <c r="B9598" s="69"/>
    </row>
    <row r="9599" spans="2:2" ht="12.5" hidden="1">
      <c r="B9599" s="69"/>
    </row>
    <row r="9600" spans="2:2" ht="12.5" hidden="1">
      <c r="B9600" s="69"/>
    </row>
    <row r="9601" spans="2:2" ht="12.5" hidden="1">
      <c r="B9601" s="69"/>
    </row>
    <row r="9602" spans="2:2" ht="12.5" hidden="1">
      <c r="B9602" s="69"/>
    </row>
    <row r="9603" spans="2:2" ht="12.5" hidden="1">
      <c r="B9603" s="69"/>
    </row>
    <row r="9604" spans="2:2" ht="12.5" hidden="1">
      <c r="B9604" s="69"/>
    </row>
    <row r="9605" spans="2:2" ht="12.5" hidden="1">
      <c r="B9605" s="69"/>
    </row>
    <row r="9606" spans="2:2" ht="12.5" hidden="1">
      <c r="B9606" s="69"/>
    </row>
    <row r="9607" spans="2:2" ht="12.5" hidden="1">
      <c r="B9607" s="69"/>
    </row>
    <row r="9608" spans="2:2" ht="12.5" hidden="1">
      <c r="B9608" s="69"/>
    </row>
    <row r="9609" spans="2:2" ht="12.5" hidden="1">
      <c r="B9609" s="69"/>
    </row>
    <row r="9610" spans="2:2" ht="12.5" hidden="1">
      <c r="B9610" s="69"/>
    </row>
    <row r="9611" spans="2:2" ht="12.5" hidden="1">
      <c r="B9611" s="69"/>
    </row>
    <row r="9612" spans="2:2" ht="12.5" hidden="1">
      <c r="B9612" s="69"/>
    </row>
    <row r="9613" spans="2:2" ht="12.5" hidden="1">
      <c r="B9613" s="69"/>
    </row>
    <row r="9614" spans="2:2" ht="12.5" hidden="1">
      <c r="B9614" s="69"/>
    </row>
    <row r="9615" spans="2:2" ht="12.5" hidden="1">
      <c r="B9615" s="69"/>
    </row>
    <row r="9616" spans="2:2" ht="12.5" hidden="1">
      <c r="B9616" s="69"/>
    </row>
    <row r="9617" spans="2:2" ht="12.5" hidden="1">
      <c r="B9617" s="69"/>
    </row>
    <row r="9618" spans="2:2" ht="12.5" hidden="1">
      <c r="B9618" s="69"/>
    </row>
    <row r="9619" spans="2:2" ht="12.5" hidden="1">
      <c r="B9619" s="69"/>
    </row>
    <row r="9620" spans="2:2" ht="12.5" hidden="1">
      <c r="B9620" s="69"/>
    </row>
    <row r="9621" spans="2:2" ht="12.5" hidden="1">
      <c r="B9621" s="69"/>
    </row>
    <row r="9622" spans="2:2" ht="12.5" hidden="1">
      <c r="B9622" s="69"/>
    </row>
    <row r="9623" spans="2:2" ht="12.5" hidden="1">
      <c r="B9623" s="69"/>
    </row>
    <row r="9624" spans="2:2" ht="12.5" hidden="1">
      <c r="B9624" s="69"/>
    </row>
    <row r="9625" spans="2:2" ht="12.5" hidden="1">
      <c r="B9625" s="69"/>
    </row>
    <row r="9626" spans="2:2" ht="12.5" hidden="1">
      <c r="B9626" s="69"/>
    </row>
    <row r="9627" spans="2:2" ht="12.5" hidden="1">
      <c r="B9627" s="69"/>
    </row>
    <row r="9628" spans="2:2" ht="12.5" hidden="1">
      <c r="B9628" s="69"/>
    </row>
    <row r="9629" spans="2:2" ht="12.5" hidden="1">
      <c r="B9629" s="69"/>
    </row>
    <row r="9630" spans="2:2" ht="12.5" hidden="1">
      <c r="B9630" s="69"/>
    </row>
    <row r="9631" spans="2:2" ht="12.5" hidden="1">
      <c r="B9631" s="69"/>
    </row>
    <row r="9632" spans="2:2" ht="12.5" hidden="1">
      <c r="B9632" s="69"/>
    </row>
    <row r="9633" spans="2:2" ht="12.5" hidden="1">
      <c r="B9633" s="69"/>
    </row>
    <row r="9634" spans="2:2" ht="12.5" hidden="1">
      <c r="B9634" s="69"/>
    </row>
    <row r="9635" spans="2:2" ht="12.5" hidden="1">
      <c r="B9635" s="69"/>
    </row>
    <row r="9636" spans="2:2" ht="12.5" hidden="1">
      <c r="B9636" s="69"/>
    </row>
    <row r="9637" spans="2:2" ht="12.5" hidden="1">
      <c r="B9637" s="69"/>
    </row>
    <row r="9638" spans="2:2" ht="12.5" hidden="1">
      <c r="B9638" s="69"/>
    </row>
    <row r="9639" spans="2:2" ht="12.5" hidden="1">
      <c r="B9639" s="69"/>
    </row>
    <row r="9640" spans="2:2" ht="12.5" hidden="1">
      <c r="B9640" s="69"/>
    </row>
    <row r="9641" spans="2:2" ht="12.5" hidden="1">
      <c r="B9641" s="69"/>
    </row>
    <row r="9642" spans="2:2" ht="12.5" hidden="1">
      <c r="B9642" s="69"/>
    </row>
    <row r="9643" spans="2:2" ht="12.5" hidden="1">
      <c r="B9643" s="69"/>
    </row>
    <row r="9644" spans="2:2" ht="12.5" hidden="1">
      <c r="B9644" s="69"/>
    </row>
    <row r="9645" spans="2:2" ht="12.5" hidden="1">
      <c r="B9645" s="69"/>
    </row>
    <row r="9646" spans="2:2" ht="12.5" hidden="1">
      <c r="B9646" s="69"/>
    </row>
    <row r="9647" spans="2:2" ht="12.5" hidden="1">
      <c r="B9647" s="69"/>
    </row>
    <row r="9648" spans="2:2" ht="12.5" hidden="1">
      <c r="B9648" s="69"/>
    </row>
    <row r="9649" spans="2:2" ht="12.5" hidden="1">
      <c r="B9649" s="69"/>
    </row>
    <row r="9650" spans="2:2" ht="12.5" hidden="1">
      <c r="B9650" s="69"/>
    </row>
    <row r="9651" spans="2:2" ht="12.5" hidden="1">
      <c r="B9651" s="69"/>
    </row>
    <row r="9652" spans="2:2" ht="12.5" hidden="1">
      <c r="B9652" s="69"/>
    </row>
    <row r="9653" spans="2:2" ht="12.5" hidden="1">
      <c r="B9653" s="69"/>
    </row>
    <row r="9654" spans="2:2" ht="12.5" hidden="1">
      <c r="B9654" s="69"/>
    </row>
    <row r="9655" spans="2:2" ht="12.5" hidden="1">
      <c r="B9655" s="69"/>
    </row>
    <row r="9656" spans="2:2" ht="12.5" hidden="1">
      <c r="B9656" s="69"/>
    </row>
    <row r="9657" spans="2:2" ht="12.5" hidden="1">
      <c r="B9657" s="69"/>
    </row>
    <row r="9658" spans="2:2" ht="12.5" hidden="1">
      <c r="B9658" s="69"/>
    </row>
    <row r="9659" spans="2:2" ht="12.5" hidden="1">
      <c r="B9659" s="69"/>
    </row>
    <row r="9660" spans="2:2" ht="12.5" hidden="1">
      <c r="B9660" s="69"/>
    </row>
    <row r="9661" spans="2:2" ht="12.5" hidden="1">
      <c r="B9661" s="69"/>
    </row>
    <row r="9662" spans="2:2" ht="12.5" hidden="1">
      <c r="B9662" s="69"/>
    </row>
    <row r="9663" spans="2:2" ht="12.5" hidden="1">
      <c r="B9663" s="69"/>
    </row>
    <row r="9664" spans="2:2" ht="12.5" hidden="1">
      <c r="B9664" s="69"/>
    </row>
    <row r="9665" spans="2:2" ht="12.5" hidden="1">
      <c r="B9665" s="69"/>
    </row>
    <row r="9666" spans="2:2" ht="12.5" hidden="1">
      <c r="B9666" s="69"/>
    </row>
    <row r="9667" spans="2:2" ht="12.5" hidden="1">
      <c r="B9667" s="69"/>
    </row>
    <row r="9668" spans="2:2" ht="12.5" hidden="1">
      <c r="B9668" s="69"/>
    </row>
    <row r="9669" spans="2:2" ht="12.5" hidden="1">
      <c r="B9669" s="69"/>
    </row>
    <row r="9670" spans="2:2" ht="12.5" hidden="1">
      <c r="B9670" s="69"/>
    </row>
    <row r="9671" spans="2:2" ht="12.5" hidden="1">
      <c r="B9671" s="69"/>
    </row>
    <row r="9672" spans="2:2" ht="12.5" hidden="1">
      <c r="B9672" s="69"/>
    </row>
    <row r="9673" spans="2:2" ht="12.5" hidden="1">
      <c r="B9673" s="69"/>
    </row>
    <row r="9674" spans="2:2" ht="12.5" hidden="1">
      <c r="B9674" s="69"/>
    </row>
    <row r="9675" spans="2:2" ht="12.5" hidden="1">
      <c r="B9675" s="69"/>
    </row>
    <row r="9676" spans="2:2" ht="12.5" hidden="1">
      <c r="B9676" s="69"/>
    </row>
    <row r="9677" spans="2:2" ht="12.5" hidden="1">
      <c r="B9677" s="69"/>
    </row>
    <row r="9678" spans="2:2" ht="12.5" hidden="1">
      <c r="B9678" s="69"/>
    </row>
    <row r="9679" spans="2:2" ht="12.5" hidden="1">
      <c r="B9679" s="69"/>
    </row>
    <row r="9680" spans="2:2" ht="12.5" hidden="1">
      <c r="B9680" s="69"/>
    </row>
    <row r="9681" spans="2:2" ht="12.5" hidden="1">
      <c r="B9681" s="69"/>
    </row>
    <row r="9682" spans="2:2" ht="12.5" hidden="1">
      <c r="B9682" s="69"/>
    </row>
    <row r="9683" spans="2:2" ht="12.5" hidden="1">
      <c r="B9683" s="69"/>
    </row>
    <row r="9684" spans="2:2" ht="12.5" hidden="1">
      <c r="B9684" s="69"/>
    </row>
    <row r="9685" spans="2:2" ht="12.5" hidden="1">
      <c r="B9685" s="69"/>
    </row>
    <row r="9686" spans="2:2" ht="12.5" hidden="1">
      <c r="B9686" s="69"/>
    </row>
    <row r="9687" spans="2:2" ht="12.5" hidden="1">
      <c r="B9687" s="69"/>
    </row>
    <row r="9688" spans="2:2" ht="12.5" hidden="1">
      <c r="B9688" s="69"/>
    </row>
    <row r="9689" spans="2:2" ht="12.5" hidden="1">
      <c r="B9689" s="69"/>
    </row>
    <row r="9690" spans="2:2" ht="12.5" hidden="1">
      <c r="B9690" s="69"/>
    </row>
    <row r="9691" spans="2:2" ht="12.5" hidden="1">
      <c r="B9691" s="69"/>
    </row>
    <row r="9692" spans="2:2" ht="12.5" hidden="1">
      <c r="B9692" s="69"/>
    </row>
    <row r="9693" spans="2:2" ht="12.5" hidden="1">
      <c r="B9693" s="69"/>
    </row>
    <row r="9694" spans="2:2" ht="12.5" hidden="1">
      <c r="B9694" s="69"/>
    </row>
    <row r="9695" spans="2:2" ht="12.5" hidden="1">
      <c r="B9695" s="69"/>
    </row>
    <row r="9696" spans="2:2" ht="12.5" hidden="1">
      <c r="B9696" s="69"/>
    </row>
    <row r="9697" spans="2:2" ht="12.5" hidden="1">
      <c r="B9697" s="69"/>
    </row>
    <row r="9698" spans="2:2" ht="12.5" hidden="1">
      <c r="B9698" s="69"/>
    </row>
    <row r="9699" spans="2:2" ht="12.5" hidden="1">
      <c r="B9699" s="69"/>
    </row>
    <row r="9700" spans="2:2" ht="12.5" hidden="1">
      <c r="B9700" s="69"/>
    </row>
    <row r="9701" spans="2:2" ht="12.5" hidden="1">
      <c r="B9701" s="69"/>
    </row>
    <row r="9702" spans="2:2" ht="12.5" hidden="1">
      <c r="B9702" s="69"/>
    </row>
    <row r="9703" spans="2:2" ht="12.5" hidden="1">
      <c r="B9703" s="69"/>
    </row>
    <row r="9704" spans="2:2" ht="12.5" hidden="1">
      <c r="B9704" s="69"/>
    </row>
    <row r="9705" spans="2:2" ht="12.5" hidden="1">
      <c r="B9705" s="69"/>
    </row>
    <row r="9706" spans="2:2" ht="12.5" hidden="1">
      <c r="B9706" s="69"/>
    </row>
    <row r="9707" spans="2:2" ht="12.5" hidden="1">
      <c r="B9707" s="69"/>
    </row>
    <row r="9708" spans="2:2" ht="12.5" hidden="1">
      <c r="B9708" s="69"/>
    </row>
    <row r="9709" spans="2:2" ht="12.5" hidden="1">
      <c r="B9709" s="69"/>
    </row>
    <row r="9710" spans="2:2" ht="12.5" hidden="1">
      <c r="B9710" s="69"/>
    </row>
    <row r="9711" spans="2:2" ht="12.5" hidden="1">
      <c r="B9711" s="69"/>
    </row>
    <row r="9712" spans="2:2" ht="12.5" hidden="1">
      <c r="B9712" s="69"/>
    </row>
    <row r="9713" spans="2:2" ht="12.5" hidden="1">
      <c r="B9713" s="69"/>
    </row>
    <row r="9714" spans="2:2" ht="12.5" hidden="1">
      <c r="B9714" s="69"/>
    </row>
    <row r="9715" spans="2:2" ht="12.5" hidden="1">
      <c r="B9715" s="69"/>
    </row>
    <row r="9716" spans="2:2" ht="12.5" hidden="1">
      <c r="B9716" s="69"/>
    </row>
    <row r="9717" spans="2:2" ht="12.5" hidden="1">
      <c r="B9717" s="69"/>
    </row>
    <row r="9718" spans="2:2" ht="12.5" hidden="1">
      <c r="B9718" s="69"/>
    </row>
    <row r="9719" spans="2:2" ht="12.5" hidden="1">
      <c r="B9719" s="69"/>
    </row>
    <row r="9720" spans="2:2" ht="12.5" hidden="1">
      <c r="B9720" s="69"/>
    </row>
    <row r="9721" spans="2:2" ht="12.5" hidden="1">
      <c r="B9721" s="69"/>
    </row>
    <row r="9722" spans="2:2" ht="12.5" hidden="1">
      <c r="B9722" s="69"/>
    </row>
    <row r="9723" spans="2:2" ht="12.5" hidden="1">
      <c r="B9723" s="69"/>
    </row>
    <row r="9724" spans="2:2" ht="12.5" hidden="1">
      <c r="B9724" s="69"/>
    </row>
    <row r="9725" spans="2:2" ht="12.5" hidden="1">
      <c r="B9725" s="69"/>
    </row>
    <row r="9726" spans="2:2" ht="12.5" hidden="1">
      <c r="B9726" s="69"/>
    </row>
    <row r="9727" spans="2:2" ht="12.5" hidden="1">
      <c r="B9727" s="69"/>
    </row>
    <row r="9728" spans="2:2" ht="12.5" hidden="1">
      <c r="B9728" s="69"/>
    </row>
    <row r="9729" spans="2:2" ht="12.5" hidden="1">
      <c r="B9729" s="69"/>
    </row>
    <row r="9730" spans="2:2" ht="12.5" hidden="1">
      <c r="B9730" s="69"/>
    </row>
    <row r="9731" spans="2:2" ht="12.5" hidden="1">
      <c r="B9731" s="69"/>
    </row>
    <row r="9732" spans="2:2" ht="12.5" hidden="1">
      <c r="B9732" s="69"/>
    </row>
    <row r="9733" spans="2:2" ht="12.5" hidden="1">
      <c r="B9733" s="69"/>
    </row>
    <row r="9734" spans="2:2" ht="12.5" hidden="1">
      <c r="B9734" s="69"/>
    </row>
    <row r="9735" spans="2:2" ht="12.5" hidden="1">
      <c r="B9735" s="69"/>
    </row>
    <row r="9736" spans="2:2" ht="12.5" hidden="1">
      <c r="B9736" s="69"/>
    </row>
    <row r="9737" spans="2:2" ht="12.5" hidden="1">
      <c r="B9737" s="69"/>
    </row>
    <row r="9738" spans="2:2" ht="12.5" hidden="1">
      <c r="B9738" s="69"/>
    </row>
    <row r="9739" spans="2:2" ht="12.5" hidden="1">
      <c r="B9739" s="69"/>
    </row>
    <row r="9740" spans="2:2" ht="12.5" hidden="1">
      <c r="B9740" s="69"/>
    </row>
    <row r="9741" spans="2:2" ht="12.5" hidden="1">
      <c r="B9741" s="69"/>
    </row>
    <row r="9742" spans="2:2" ht="12.5" hidden="1">
      <c r="B9742" s="69"/>
    </row>
    <row r="9743" spans="2:2" ht="12.5" hidden="1">
      <c r="B9743" s="69"/>
    </row>
    <row r="9744" spans="2:2" ht="12.5" hidden="1">
      <c r="B9744" s="69"/>
    </row>
    <row r="9745" spans="2:2" ht="12.5" hidden="1">
      <c r="B9745" s="69"/>
    </row>
    <row r="9746" spans="2:2" ht="12.5" hidden="1">
      <c r="B9746" s="69"/>
    </row>
    <row r="9747" spans="2:2" ht="12.5" hidden="1">
      <c r="B9747" s="69"/>
    </row>
    <row r="9748" spans="2:2" ht="12.5" hidden="1">
      <c r="B9748" s="69"/>
    </row>
    <row r="9749" spans="2:2" ht="12.5" hidden="1">
      <c r="B9749" s="69"/>
    </row>
    <row r="9750" spans="2:2" ht="12.5" hidden="1">
      <c r="B9750" s="69"/>
    </row>
    <row r="9751" spans="2:2" ht="12.5" hidden="1">
      <c r="B9751" s="69"/>
    </row>
    <row r="9752" spans="2:2" ht="12.5" hidden="1">
      <c r="B9752" s="69"/>
    </row>
    <row r="9753" spans="2:2" ht="12.5" hidden="1">
      <c r="B9753" s="69"/>
    </row>
    <row r="9754" spans="2:2" ht="12.5" hidden="1">
      <c r="B9754" s="69"/>
    </row>
    <row r="9755" spans="2:2" ht="12.5" hidden="1">
      <c r="B9755" s="69"/>
    </row>
    <row r="9756" spans="2:2" ht="12.5" hidden="1">
      <c r="B9756" s="69"/>
    </row>
    <row r="9757" spans="2:2" ht="12.5" hidden="1">
      <c r="B9757" s="69"/>
    </row>
    <row r="9758" spans="2:2" ht="12.5" hidden="1">
      <c r="B9758" s="69"/>
    </row>
    <row r="9759" spans="2:2" ht="12.5" hidden="1">
      <c r="B9759" s="69"/>
    </row>
    <row r="9760" spans="2:2" ht="12.5" hidden="1">
      <c r="B9760" s="69"/>
    </row>
    <row r="9761" spans="2:2" ht="12.5" hidden="1">
      <c r="B9761" s="69"/>
    </row>
    <row r="9762" spans="2:2" ht="12.5" hidden="1">
      <c r="B9762" s="69"/>
    </row>
    <row r="9763" spans="2:2" ht="12.5" hidden="1">
      <c r="B9763" s="69"/>
    </row>
    <row r="9764" spans="2:2" ht="12.5" hidden="1">
      <c r="B9764" s="69"/>
    </row>
    <row r="9765" spans="2:2" ht="12.5" hidden="1">
      <c r="B9765" s="69"/>
    </row>
    <row r="9766" spans="2:2" ht="12.5" hidden="1">
      <c r="B9766" s="69"/>
    </row>
    <row r="9767" spans="2:2" ht="12.5" hidden="1">
      <c r="B9767" s="69"/>
    </row>
    <row r="9768" spans="2:2" ht="12.5" hidden="1">
      <c r="B9768" s="69"/>
    </row>
    <row r="9769" spans="2:2" ht="12.5" hidden="1">
      <c r="B9769" s="69"/>
    </row>
    <row r="9770" spans="2:2" ht="12.5" hidden="1">
      <c r="B9770" s="69"/>
    </row>
    <row r="9771" spans="2:2" ht="12.5" hidden="1">
      <c r="B9771" s="69"/>
    </row>
    <row r="9772" spans="2:2" ht="12.5" hidden="1">
      <c r="B9772" s="69"/>
    </row>
    <row r="9773" spans="2:2" ht="12.5" hidden="1">
      <c r="B9773" s="69"/>
    </row>
    <row r="9774" spans="2:2" ht="12.5" hidden="1">
      <c r="B9774" s="69"/>
    </row>
    <row r="9775" spans="2:2" ht="12.5" hidden="1">
      <c r="B9775" s="69"/>
    </row>
    <row r="9776" spans="2:2" ht="12.5" hidden="1">
      <c r="B9776" s="69"/>
    </row>
    <row r="9777" spans="2:2" ht="12.5" hidden="1">
      <c r="B9777" s="69"/>
    </row>
    <row r="9778" spans="2:2" ht="12.5" hidden="1">
      <c r="B9778" s="69"/>
    </row>
    <row r="9779" spans="2:2" ht="12.5" hidden="1">
      <c r="B9779" s="69"/>
    </row>
    <row r="9780" spans="2:2" ht="12.5" hidden="1">
      <c r="B9780" s="69"/>
    </row>
    <row r="9781" spans="2:2" ht="12.5" hidden="1">
      <c r="B9781" s="69"/>
    </row>
    <row r="9782" spans="2:2" ht="12.5" hidden="1">
      <c r="B9782" s="69"/>
    </row>
    <row r="9783" spans="2:2" ht="12.5" hidden="1">
      <c r="B9783" s="69"/>
    </row>
    <row r="9784" spans="2:2" ht="12.5" hidden="1">
      <c r="B9784" s="69"/>
    </row>
    <row r="9785" spans="2:2" ht="12.5" hidden="1">
      <c r="B9785" s="69"/>
    </row>
    <row r="9786" spans="2:2" ht="12.5" hidden="1">
      <c r="B9786" s="69"/>
    </row>
    <row r="9787" spans="2:2" ht="12.5" hidden="1">
      <c r="B9787" s="69"/>
    </row>
    <row r="9788" spans="2:2" ht="12.5" hidden="1">
      <c r="B9788" s="69"/>
    </row>
    <row r="9789" spans="2:2" ht="12.5" hidden="1">
      <c r="B9789" s="69"/>
    </row>
    <row r="9790" spans="2:2" ht="12.5" hidden="1">
      <c r="B9790" s="69"/>
    </row>
    <row r="9791" spans="2:2" ht="12.5" hidden="1">
      <c r="B9791" s="69"/>
    </row>
    <row r="9792" spans="2:2" ht="12.5" hidden="1">
      <c r="B9792" s="69"/>
    </row>
    <row r="9793" spans="2:2" ht="12.5" hidden="1">
      <c r="B9793" s="69"/>
    </row>
    <row r="9794" spans="2:2" ht="12.5" hidden="1">
      <c r="B9794" s="69"/>
    </row>
    <row r="9795" spans="2:2" ht="12.5" hidden="1">
      <c r="B9795" s="69"/>
    </row>
    <row r="9796" spans="2:2" ht="12.5" hidden="1">
      <c r="B9796" s="69"/>
    </row>
    <row r="9797" spans="2:2" ht="12.5" hidden="1">
      <c r="B9797" s="69"/>
    </row>
    <row r="9798" spans="2:2" ht="12.5" hidden="1">
      <c r="B9798" s="69"/>
    </row>
    <row r="9799" spans="2:2" ht="12.5" hidden="1">
      <c r="B9799" s="69"/>
    </row>
    <row r="9800" spans="2:2" ht="12.5" hidden="1">
      <c r="B9800" s="69"/>
    </row>
    <row r="9801" spans="2:2" ht="12.5" hidden="1">
      <c r="B9801" s="69"/>
    </row>
    <row r="9802" spans="2:2" ht="12.5" hidden="1">
      <c r="B9802" s="69"/>
    </row>
    <row r="9803" spans="2:2" ht="12.5" hidden="1">
      <c r="B9803" s="69"/>
    </row>
    <row r="9804" spans="2:2" ht="12.5" hidden="1">
      <c r="B9804" s="69"/>
    </row>
    <row r="9805" spans="2:2" ht="12.5" hidden="1">
      <c r="B9805" s="69"/>
    </row>
    <row r="9806" spans="2:2" ht="12.5" hidden="1">
      <c r="B9806" s="69"/>
    </row>
    <row r="9807" spans="2:2" ht="12.5" hidden="1">
      <c r="B9807" s="69"/>
    </row>
    <row r="9808" spans="2:2" ht="12.5" hidden="1">
      <c r="B9808" s="69"/>
    </row>
    <row r="9809" spans="2:2" ht="12.5" hidden="1">
      <c r="B9809" s="69"/>
    </row>
    <row r="9810" spans="2:2" ht="12.5" hidden="1">
      <c r="B9810" s="69"/>
    </row>
    <row r="9811" spans="2:2" ht="12.5" hidden="1">
      <c r="B9811" s="69"/>
    </row>
    <row r="9812" spans="2:2" ht="12.5" hidden="1">
      <c r="B9812" s="69"/>
    </row>
    <row r="9813" spans="2:2" ht="12.5" hidden="1">
      <c r="B9813" s="69"/>
    </row>
    <row r="9814" spans="2:2" ht="12.5" hidden="1">
      <c r="B9814" s="69"/>
    </row>
    <row r="9815" spans="2:2" ht="12.5" hidden="1">
      <c r="B9815" s="69"/>
    </row>
    <row r="9816" spans="2:2" ht="12.5" hidden="1">
      <c r="B9816" s="69"/>
    </row>
    <row r="9817" spans="2:2" ht="12.5" hidden="1">
      <c r="B9817" s="69"/>
    </row>
    <row r="9818" spans="2:2" ht="12.5" hidden="1">
      <c r="B9818" s="69"/>
    </row>
    <row r="9819" spans="2:2" ht="12.5" hidden="1">
      <c r="B9819" s="69"/>
    </row>
    <row r="9820" spans="2:2" ht="12.5" hidden="1">
      <c r="B9820" s="69"/>
    </row>
    <row r="9821" spans="2:2" ht="12.5" hidden="1">
      <c r="B9821" s="69"/>
    </row>
    <row r="9822" spans="2:2" ht="12.5" hidden="1">
      <c r="B9822" s="69"/>
    </row>
    <row r="9823" spans="2:2" ht="12.5" hidden="1">
      <c r="B9823" s="69"/>
    </row>
    <row r="9824" spans="2:2" ht="12.5" hidden="1">
      <c r="B9824" s="69"/>
    </row>
    <row r="9825" spans="2:2" ht="12.5" hidden="1">
      <c r="B9825" s="69"/>
    </row>
    <row r="9826" spans="2:2" ht="12.5" hidden="1">
      <c r="B9826" s="69"/>
    </row>
    <row r="9827" spans="2:2" ht="12.5" hidden="1">
      <c r="B9827" s="69"/>
    </row>
    <row r="9828" spans="2:2" ht="12.5" hidden="1">
      <c r="B9828" s="69"/>
    </row>
    <row r="9829" spans="2:2" ht="12.5" hidden="1">
      <c r="B9829" s="69"/>
    </row>
    <row r="9830" spans="2:2" ht="12.5" hidden="1">
      <c r="B9830" s="69"/>
    </row>
    <row r="9831" spans="2:2" ht="12.5" hidden="1">
      <c r="B9831" s="69"/>
    </row>
    <row r="9832" spans="2:2" ht="12.5" hidden="1">
      <c r="B9832" s="69"/>
    </row>
    <row r="9833" spans="2:2" ht="12.5" hidden="1">
      <c r="B9833" s="69"/>
    </row>
    <row r="9834" spans="2:2" ht="12.5" hidden="1">
      <c r="B9834" s="69"/>
    </row>
    <row r="9835" spans="2:2" ht="12.5" hidden="1">
      <c r="B9835" s="69"/>
    </row>
    <row r="9836" spans="2:2" ht="12.5" hidden="1">
      <c r="B9836" s="69"/>
    </row>
    <row r="9837" spans="2:2" ht="12.5" hidden="1">
      <c r="B9837" s="69"/>
    </row>
    <row r="9838" spans="2:2" ht="12.5" hidden="1">
      <c r="B9838" s="69"/>
    </row>
    <row r="9839" spans="2:2" ht="12.5" hidden="1">
      <c r="B9839" s="69"/>
    </row>
    <row r="9840" spans="2:2" ht="12.5" hidden="1">
      <c r="B9840" s="69"/>
    </row>
    <row r="9841" spans="2:2" ht="12.5" hidden="1">
      <c r="B9841" s="69"/>
    </row>
    <row r="9842" spans="2:2" ht="12.5" hidden="1">
      <c r="B9842" s="69"/>
    </row>
    <row r="9843" spans="2:2" ht="12.5" hidden="1">
      <c r="B9843" s="69"/>
    </row>
    <row r="9844" spans="2:2" ht="12.5" hidden="1">
      <c r="B9844" s="69"/>
    </row>
    <row r="9845" spans="2:2" ht="12.5" hidden="1">
      <c r="B9845" s="69"/>
    </row>
    <row r="9846" spans="2:2" ht="12.5" hidden="1">
      <c r="B9846" s="69"/>
    </row>
    <row r="9847" spans="2:2" ht="12.5" hidden="1">
      <c r="B9847" s="69"/>
    </row>
    <row r="9848" spans="2:2" ht="12.5" hidden="1">
      <c r="B9848" s="69"/>
    </row>
    <row r="9849" spans="2:2" ht="12.5" hidden="1">
      <c r="B9849" s="69"/>
    </row>
    <row r="9850" spans="2:2" ht="12.5" hidden="1">
      <c r="B9850" s="69"/>
    </row>
    <row r="9851" spans="2:2" ht="12.5" hidden="1">
      <c r="B9851" s="69"/>
    </row>
    <row r="9852" spans="2:2" ht="12.5" hidden="1">
      <c r="B9852" s="69"/>
    </row>
    <row r="9853" spans="2:2" ht="12.5" hidden="1">
      <c r="B9853" s="69"/>
    </row>
    <row r="9854" spans="2:2" ht="12.5" hidden="1">
      <c r="B9854" s="69"/>
    </row>
    <row r="9855" spans="2:2" ht="12.5" hidden="1">
      <c r="B9855" s="69"/>
    </row>
    <row r="9856" spans="2:2" ht="12.5" hidden="1">
      <c r="B9856" s="69"/>
    </row>
    <row r="9857" spans="2:2" ht="12.5" hidden="1">
      <c r="B9857" s="69"/>
    </row>
    <row r="9858" spans="2:2" ht="12.5" hidden="1">
      <c r="B9858" s="69"/>
    </row>
    <row r="9859" spans="2:2" ht="12.5" hidden="1">
      <c r="B9859" s="69"/>
    </row>
    <row r="9860" spans="2:2" ht="12.5" hidden="1">
      <c r="B9860" s="69"/>
    </row>
    <row r="9861" spans="2:2" ht="12.5" hidden="1">
      <c r="B9861" s="69"/>
    </row>
    <row r="9862" spans="2:2" ht="12.5" hidden="1">
      <c r="B9862" s="69"/>
    </row>
    <row r="9863" spans="2:2" ht="12.5" hidden="1">
      <c r="B9863" s="69"/>
    </row>
    <row r="9864" spans="2:2" ht="12.5" hidden="1">
      <c r="B9864" s="69"/>
    </row>
    <row r="9865" spans="2:2" ht="12.5" hidden="1">
      <c r="B9865" s="69"/>
    </row>
    <row r="9866" spans="2:2" ht="12.5" hidden="1">
      <c r="B9866" s="69"/>
    </row>
    <row r="9867" spans="2:2" ht="12.5" hidden="1">
      <c r="B9867" s="69"/>
    </row>
    <row r="9868" spans="2:2" ht="12.5" hidden="1">
      <c r="B9868" s="69"/>
    </row>
    <row r="9869" spans="2:2" ht="12.5" hidden="1">
      <c r="B9869" s="69"/>
    </row>
    <row r="9870" spans="2:2" ht="12.5" hidden="1">
      <c r="B9870" s="69"/>
    </row>
    <row r="9871" spans="2:2" ht="12.5" hidden="1">
      <c r="B9871" s="69"/>
    </row>
    <row r="9872" spans="2:2" ht="12.5" hidden="1">
      <c r="B9872" s="69"/>
    </row>
    <row r="9873" spans="2:2" ht="12.5" hidden="1">
      <c r="B9873" s="69"/>
    </row>
    <row r="9874" spans="2:2" ht="12.5" hidden="1">
      <c r="B9874" s="69"/>
    </row>
    <row r="9875" spans="2:2" ht="12.5" hidden="1">
      <c r="B9875" s="69"/>
    </row>
    <row r="9876" spans="2:2" ht="12.5" hidden="1">
      <c r="B9876" s="69"/>
    </row>
    <row r="9877" spans="2:2" ht="12.5" hidden="1">
      <c r="B9877" s="69"/>
    </row>
    <row r="9878" spans="2:2" ht="12.5" hidden="1">
      <c r="B9878" s="69"/>
    </row>
    <row r="9879" spans="2:2" ht="12.5" hidden="1">
      <c r="B9879" s="69"/>
    </row>
    <row r="9880" spans="2:2" ht="12.5" hidden="1">
      <c r="B9880" s="69"/>
    </row>
    <row r="9881" spans="2:2" ht="12.5" hidden="1">
      <c r="B9881" s="69"/>
    </row>
    <row r="9882" spans="2:2" ht="12.5" hidden="1">
      <c r="B9882" s="69"/>
    </row>
    <row r="9883" spans="2:2" ht="12.5" hidden="1">
      <c r="B9883" s="69"/>
    </row>
    <row r="9884" spans="2:2" ht="12.5" hidden="1">
      <c r="B9884" s="69"/>
    </row>
    <row r="9885" spans="2:2" ht="12.5" hidden="1">
      <c r="B9885" s="69"/>
    </row>
    <row r="9886" spans="2:2" ht="12.5" hidden="1">
      <c r="B9886" s="69"/>
    </row>
    <row r="9887" spans="2:2" ht="12.5" hidden="1">
      <c r="B9887" s="69"/>
    </row>
    <row r="9888" spans="2:2" ht="12.5" hidden="1">
      <c r="B9888" s="69"/>
    </row>
    <row r="9889" spans="2:2" ht="12.5" hidden="1">
      <c r="B9889" s="69"/>
    </row>
    <row r="9890" spans="2:2" ht="12.5" hidden="1">
      <c r="B9890" s="69"/>
    </row>
    <row r="9891" spans="2:2" ht="12.5" hidden="1">
      <c r="B9891" s="69"/>
    </row>
    <row r="9892" spans="2:2" ht="12.5" hidden="1">
      <c r="B9892" s="69"/>
    </row>
    <row r="9893" spans="2:2" ht="12.5" hidden="1">
      <c r="B9893" s="69"/>
    </row>
    <row r="9894" spans="2:2" ht="12.5" hidden="1">
      <c r="B9894" s="69"/>
    </row>
    <row r="9895" spans="2:2" ht="12.5" hidden="1">
      <c r="B9895" s="69"/>
    </row>
    <row r="9896" spans="2:2" ht="12.5" hidden="1">
      <c r="B9896" s="69"/>
    </row>
    <row r="9897" spans="2:2" ht="12.5" hidden="1">
      <c r="B9897" s="69"/>
    </row>
    <row r="9898" spans="2:2" ht="12.5" hidden="1">
      <c r="B9898" s="69"/>
    </row>
    <row r="9899" spans="2:2" ht="12.5" hidden="1">
      <c r="B9899" s="69"/>
    </row>
    <row r="9900" spans="2:2" ht="12.5" hidden="1">
      <c r="B9900" s="69"/>
    </row>
    <row r="9901" spans="2:2" ht="12.5" hidden="1">
      <c r="B9901" s="69"/>
    </row>
    <row r="9902" spans="2:2" ht="12.5" hidden="1">
      <c r="B9902" s="69"/>
    </row>
    <row r="9903" spans="2:2" ht="12.5" hidden="1">
      <c r="B9903" s="69"/>
    </row>
    <row r="9904" spans="2:2" ht="12.5" hidden="1">
      <c r="B9904" s="69"/>
    </row>
    <row r="9905" spans="2:2" ht="12.5" hidden="1">
      <c r="B9905" s="69"/>
    </row>
    <row r="9906" spans="2:2" ht="12.5" hidden="1">
      <c r="B9906" s="69"/>
    </row>
    <row r="9907" spans="2:2" ht="12.5" hidden="1">
      <c r="B9907" s="69"/>
    </row>
    <row r="9908" spans="2:2" ht="12.5" hidden="1">
      <c r="B9908" s="69"/>
    </row>
    <row r="9909" spans="2:2" ht="12.5" hidden="1">
      <c r="B9909" s="69"/>
    </row>
    <row r="9910" spans="2:2" ht="12.5" hidden="1">
      <c r="B9910" s="69"/>
    </row>
    <row r="9911" spans="2:2" ht="12.5" hidden="1">
      <c r="B9911" s="69"/>
    </row>
    <row r="9912" spans="2:2" ht="12.5" hidden="1">
      <c r="B9912" s="69"/>
    </row>
    <row r="9913" spans="2:2" ht="12.5" hidden="1">
      <c r="B9913" s="69"/>
    </row>
    <row r="9914" spans="2:2" ht="12.5" hidden="1">
      <c r="B9914" s="69"/>
    </row>
    <row r="9915" spans="2:2" ht="12.5" hidden="1">
      <c r="B9915" s="69"/>
    </row>
    <row r="9916" spans="2:2" ht="12.5" hidden="1">
      <c r="B9916" s="69"/>
    </row>
    <row r="9917" spans="2:2" ht="12.5" hidden="1">
      <c r="B9917" s="69"/>
    </row>
    <row r="9918" spans="2:2" ht="12.5" hidden="1">
      <c r="B9918" s="69"/>
    </row>
    <row r="9919" spans="2:2" ht="12.5" hidden="1">
      <c r="B9919" s="69"/>
    </row>
    <row r="9920" spans="2:2" ht="12.5" hidden="1">
      <c r="B9920" s="69"/>
    </row>
    <row r="9921" spans="2:2" ht="12.5" hidden="1">
      <c r="B9921" s="69"/>
    </row>
    <row r="9922" spans="2:2" ht="12.5" hidden="1">
      <c r="B9922" s="69"/>
    </row>
    <row r="9923" spans="2:2" ht="12.5" hidden="1">
      <c r="B9923" s="69"/>
    </row>
    <row r="9924" spans="2:2" ht="12.5" hidden="1">
      <c r="B9924" s="69"/>
    </row>
    <row r="9925" spans="2:2" ht="12.5" hidden="1">
      <c r="B9925" s="69"/>
    </row>
    <row r="9926" spans="2:2" ht="12.5" hidden="1">
      <c r="B9926" s="69"/>
    </row>
    <row r="9927" spans="2:2" ht="12.5" hidden="1">
      <c r="B9927" s="69"/>
    </row>
    <row r="9928" spans="2:2" ht="12.5" hidden="1">
      <c r="B9928" s="69"/>
    </row>
    <row r="9929" spans="2:2" ht="12.5" hidden="1">
      <c r="B9929" s="69"/>
    </row>
    <row r="9930" spans="2:2" ht="12.5" hidden="1">
      <c r="B9930" s="69"/>
    </row>
    <row r="9931" spans="2:2" ht="12.5" hidden="1">
      <c r="B9931" s="69"/>
    </row>
    <row r="9932" spans="2:2" ht="12.5" hidden="1">
      <c r="B9932" s="69"/>
    </row>
    <row r="9933" spans="2:2" ht="12.5" hidden="1">
      <c r="B9933" s="69"/>
    </row>
    <row r="9934" spans="2:2" ht="12.5" hidden="1">
      <c r="B9934" s="69"/>
    </row>
    <row r="9935" spans="2:2" ht="12.5" hidden="1">
      <c r="B9935" s="69"/>
    </row>
    <row r="9936" spans="2:2" ht="12.5" hidden="1">
      <c r="B9936" s="69"/>
    </row>
    <row r="9937" spans="2:2" ht="12.5" hidden="1">
      <c r="B9937" s="69"/>
    </row>
    <row r="9938" spans="2:2" ht="12.5" hidden="1">
      <c r="B9938" s="69"/>
    </row>
    <row r="9939" spans="2:2" ht="12.5" hidden="1">
      <c r="B9939" s="69"/>
    </row>
    <row r="9940" spans="2:2" ht="12.5" hidden="1">
      <c r="B9940" s="69"/>
    </row>
    <row r="9941" spans="2:2" ht="12.5" hidden="1">
      <c r="B9941" s="69"/>
    </row>
    <row r="9942" spans="2:2" ht="12.5" hidden="1">
      <c r="B9942" s="69"/>
    </row>
    <row r="9943" spans="2:2" ht="12.5" hidden="1">
      <c r="B9943" s="69"/>
    </row>
    <row r="9944" spans="2:2" ht="12.5" hidden="1">
      <c r="B9944" s="69"/>
    </row>
    <row r="9945" spans="2:2" ht="12.5" hidden="1">
      <c r="B9945" s="69"/>
    </row>
    <row r="9946" spans="2:2" ht="12.5" hidden="1">
      <c r="B9946" s="69"/>
    </row>
    <row r="9947" spans="2:2" ht="12.5" hidden="1">
      <c r="B9947" s="69"/>
    </row>
    <row r="9948" spans="2:2" ht="12.5" hidden="1">
      <c r="B9948" s="69"/>
    </row>
    <row r="9949" spans="2:2" ht="12.5" hidden="1">
      <c r="B9949" s="69"/>
    </row>
    <row r="9950" spans="2:2" ht="12.5" hidden="1">
      <c r="B9950" s="69"/>
    </row>
    <row r="9951" spans="2:2" ht="12.5" hidden="1">
      <c r="B9951" s="69"/>
    </row>
    <row r="9952" spans="2:2" ht="12.5" hidden="1">
      <c r="B9952" s="69"/>
    </row>
    <row r="9953" spans="2:2" ht="12.5" hidden="1">
      <c r="B9953" s="69"/>
    </row>
    <row r="9954" spans="2:2" ht="12.5" hidden="1">
      <c r="B9954" s="69"/>
    </row>
    <row r="9955" spans="2:2" ht="12.5" hidden="1">
      <c r="B9955" s="69"/>
    </row>
    <row r="9956" spans="2:2" ht="12.5" hidden="1">
      <c r="B9956" s="69"/>
    </row>
    <row r="9957" spans="2:2" ht="12.5" hidden="1">
      <c r="B9957" s="69"/>
    </row>
    <row r="9958" spans="2:2" ht="12.5" hidden="1">
      <c r="B9958" s="69"/>
    </row>
    <row r="9959" spans="2:2" ht="12.5" hidden="1">
      <c r="B9959" s="69"/>
    </row>
    <row r="9960" spans="2:2" ht="12.5" hidden="1">
      <c r="B9960" s="69"/>
    </row>
    <row r="9961" spans="2:2" ht="12.5" hidden="1">
      <c r="B9961" s="69"/>
    </row>
    <row r="9962" spans="2:2" ht="12.5" hidden="1">
      <c r="B9962" s="69"/>
    </row>
    <row r="9963" spans="2:2" ht="12.5" hidden="1">
      <c r="B9963" s="69"/>
    </row>
    <row r="9964" spans="2:2" ht="12.5" hidden="1">
      <c r="B9964" s="69"/>
    </row>
    <row r="9965" spans="2:2" ht="12.5" hidden="1">
      <c r="B9965" s="69"/>
    </row>
    <row r="9966" spans="2:2" ht="12.5" hidden="1">
      <c r="B9966" s="69"/>
    </row>
    <row r="9967" spans="2:2" ht="12.5" hidden="1">
      <c r="B9967" s="69"/>
    </row>
    <row r="9968" spans="2:2" ht="12.5" hidden="1">
      <c r="B9968" s="69"/>
    </row>
    <row r="9969" spans="2:2" ht="12.5" hidden="1">
      <c r="B9969" s="69"/>
    </row>
    <row r="9970" spans="2:2" ht="12.5" hidden="1">
      <c r="B9970" s="69"/>
    </row>
    <row r="9971" spans="2:2" ht="12.5" hidden="1">
      <c r="B9971" s="69"/>
    </row>
    <row r="9972" spans="2:2" ht="12.5" hidden="1">
      <c r="B9972" s="69"/>
    </row>
    <row r="9973" spans="2:2" ht="12.5" hidden="1">
      <c r="B9973" s="69"/>
    </row>
    <row r="9974" spans="2:2" ht="12.5" hidden="1">
      <c r="B9974" s="69"/>
    </row>
    <row r="9975" spans="2:2" ht="12.5" hidden="1">
      <c r="B9975" s="69"/>
    </row>
    <row r="9976" spans="2:2" ht="12.5" hidden="1">
      <c r="B9976" s="69"/>
    </row>
    <row r="9977" spans="2:2" ht="12.5" hidden="1">
      <c r="B9977" s="69"/>
    </row>
    <row r="9978" spans="2:2" ht="12.5" hidden="1">
      <c r="B9978" s="69"/>
    </row>
    <row r="9979" spans="2:2" ht="12.5" hidden="1">
      <c r="B9979" s="69"/>
    </row>
    <row r="9980" spans="2:2" ht="12.5" hidden="1">
      <c r="B9980" s="69"/>
    </row>
    <row r="9981" spans="2:2" ht="12.5" hidden="1">
      <c r="B9981" s="69"/>
    </row>
    <row r="9982" spans="2:2" ht="12.5" hidden="1">
      <c r="B9982" s="69"/>
    </row>
    <row r="9983" spans="2:2" ht="12.5" hidden="1">
      <c r="B9983" s="69"/>
    </row>
    <row r="9984" spans="2:2" ht="12.5" hidden="1">
      <c r="B9984" s="69"/>
    </row>
    <row r="9985" spans="2:2" ht="12.5" hidden="1">
      <c r="B9985" s="69"/>
    </row>
    <row r="9986" spans="2:2" ht="12.5" hidden="1">
      <c r="B9986" s="69"/>
    </row>
    <row r="9987" spans="2:2" ht="12.5" hidden="1">
      <c r="B9987" s="69"/>
    </row>
    <row r="9988" spans="2:2" ht="12.5" hidden="1">
      <c r="B9988" s="69"/>
    </row>
    <row r="9989" spans="2:2" ht="12.5" hidden="1">
      <c r="B9989" s="69"/>
    </row>
    <row r="9990" spans="2:2" ht="12.5" hidden="1">
      <c r="B9990" s="69"/>
    </row>
    <row r="9991" spans="2:2" ht="12.5" hidden="1">
      <c r="B9991" s="69"/>
    </row>
    <row r="9992" spans="2:2" ht="12.5" hidden="1">
      <c r="B9992" s="69"/>
    </row>
    <row r="9993" spans="2:2" ht="12.5" hidden="1">
      <c r="B9993" s="69"/>
    </row>
    <row r="9994" spans="2:2" ht="12.5" hidden="1">
      <c r="B9994" s="69"/>
    </row>
    <row r="9995" spans="2:2" ht="12.5" hidden="1">
      <c r="B9995" s="69"/>
    </row>
    <row r="9996" spans="2:2" ht="12.5" hidden="1">
      <c r="B9996" s="69"/>
    </row>
    <row r="9997" spans="2:2" ht="12.5" hidden="1">
      <c r="B9997" s="69"/>
    </row>
  </sheetData>
  <autoFilter ref="A1:B9997" xr:uid="{00000000-0009-0000-0000-000012000000}">
    <filterColumn colId="0">
      <filters>
        <filter val="105"/>
        <filter val="106"/>
        <filter val="51"/>
        <filter val="83"/>
        <filter val="85"/>
        <filter val="86"/>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I1000"/>
  <sheetViews>
    <sheetView workbookViewId="0">
      <pane ySplit="1" topLeftCell="A2" activePane="bottomLeft" state="frozen"/>
      <selection pane="bottomLeft" activeCell="B3" sqref="B3"/>
    </sheetView>
  </sheetViews>
  <sheetFormatPr baseColWidth="10" defaultColWidth="12.6328125" defaultRowHeight="15.75" customHeight="1"/>
  <cols>
    <col min="2" max="2" width="24.453125" customWidth="1"/>
    <col min="3" max="3" width="27.90625" customWidth="1"/>
    <col min="4" max="4" width="19" customWidth="1"/>
    <col min="5" max="5" width="22.453125" customWidth="1"/>
    <col min="6" max="6" width="26.453125" customWidth="1"/>
    <col min="7" max="7" width="20.90625" customWidth="1"/>
  </cols>
  <sheetData>
    <row r="1" spans="1:9" ht="15.75" customHeight="1">
      <c r="A1" s="70" t="s">
        <v>25392</v>
      </c>
      <c r="B1" s="70" t="s">
        <v>25393</v>
      </c>
      <c r="C1" s="71" t="s">
        <v>25394</v>
      </c>
      <c r="D1" s="72" t="s">
        <v>25395</v>
      </c>
      <c r="E1" s="73" t="s">
        <v>25396</v>
      </c>
      <c r="F1" s="74" t="s">
        <v>23157</v>
      </c>
      <c r="G1" s="75" t="s">
        <v>25397</v>
      </c>
      <c r="H1" s="76" t="s">
        <v>25395</v>
      </c>
      <c r="I1" s="77" t="s">
        <v>25396</v>
      </c>
    </row>
    <row r="2" spans="1:9" ht="15.75" customHeight="1">
      <c r="A2" s="5">
        <v>54</v>
      </c>
      <c r="B2" s="42" t="s">
        <v>23092</v>
      </c>
      <c r="C2" s="43">
        <v>750000</v>
      </c>
      <c r="D2" s="78">
        <v>6</v>
      </c>
      <c r="E2" s="79">
        <f t="shared" ref="E2:E9" si="0">G2+I2</f>
        <v>2</v>
      </c>
      <c r="F2" s="80">
        <f t="shared" ref="F2:F16" si="1">D2-E2</f>
        <v>4</v>
      </c>
      <c r="G2" s="81">
        <v>0</v>
      </c>
      <c r="I2" s="82">
        <v>2</v>
      </c>
    </row>
    <row r="3" spans="1:9" ht="15.75" customHeight="1">
      <c r="A3" s="5">
        <v>55</v>
      </c>
      <c r="B3" s="42" t="s">
        <v>23094</v>
      </c>
      <c r="C3" s="43">
        <v>300000</v>
      </c>
      <c r="D3" s="78">
        <v>8</v>
      </c>
      <c r="E3" s="79">
        <f t="shared" si="0"/>
        <v>8</v>
      </c>
      <c r="F3" s="80">
        <f t="shared" si="1"/>
        <v>0</v>
      </c>
      <c r="G3" s="81">
        <v>2</v>
      </c>
      <c r="I3" s="82">
        <v>6</v>
      </c>
    </row>
    <row r="4" spans="1:9" ht="15.75" customHeight="1">
      <c r="A4" s="5">
        <v>56</v>
      </c>
      <c r="B4" s="42" t="s">
        <v>23096</v>
      </c>
      <c r="C4" s="43">
        <v>220000</v>
      </c>
      <c r="D4" s="78">
        <v>10</v>
      </c>
      <c r="E4" s="79">
        <f t="shared" si="0"/>
        <v>7</v>
      </c>
      <c r="F4" s="80">
        <f t="shared" si="1"/>
        <v>3</v>
      </c>
      <c r="G4" s="81">
        <v>2</v>
      </c>
      <c r="I4" s="82">
        <v>5</v>
      </c>
    </row>
    <row r="5" spans="1:9" ht="15.75" customHeight="1">
      <c r="A5" s="5">
        <v>57</v>
      </c>
      <c r="B5" s="42" t="s">
        <v>23098</v>
      </c>
      <c r="C5" s="43">
        <v>130000</v>
      </c>
      <c r="D5" s="78">
        <v>11</v>
      </c>
      <c r="E5" s="79">
        <f t="shared" si="0"/>
        <v>1</v>
      </c>
      <c r="F5" s="80">
        <f t="shared" si="1"/>
        <v>10</v>
      </c>
      <c r="G5" s="81">
        <v>1</v>
      </c>
      <c r="I5" s="47"/>
    </row>
    <row r="6" spans="1:9" ht="15.75" customHeight="1">
      <c r="A6" s="5">
        <v>58</v>
      </c>
      <c r="B6" s="42" t="s">
        <v>23100</v>
      </c>
      <c r="C6" s="43">
        <v>120000</v>
      </c>
      <c r="D6" s="78">
        <v>20</v>
      </c>
      <c r="E6" s="79">
        <f t="shared" si="0"/>
        <v>2</v>
      </c>
      <c r="F6" s="80">
        <f t="shared" si="1"/>
        <v>18</v>
      </c>
      <c r="G6" s="81">
        <v>1</v>
      </c>
      <c r="I6" s="83">
        <v>1</v>
      </c>
    </row>
    <row r="7" spans="1:9" ht="15.75" customHeight="1">
      <c r="A7" s="5">
        <v>48</v>
      </c>
      <c r="B7" s="45" t="s">
        <v>23102</v>
      </c>
      <c r="C7" s="43">
        <v>600000</v>
      </c>
      <c r="D7" s="78">
        <v>2</v>
      </c>
      <c r="E7" s="79">
        <f t="shared" si="0"/>
        <v>0</v>
      </c>
      <c r="F7" s="80">
        <f t="shared" si="1"/>
        <v>2</v>
      </c>
      <c r="G7" s="81">
        <v>0</v>
      </c>
      <c r="I7" s="82">
        <v>0</v>
      </c>
    </row>
    <row r="8" spans="1:9" ht="15.75" customHeight="1">
      <c r="A8" s="5">
        <v>49</v>
      </c>
      <c r="B8" s="45" t="s">
        <v>23104</v>
      </c>
      <c r="C8" s="43">
        <v>320000</v>
      </c>
      <c r="D8" s="78">
        <v>6</v>
      </c>
      <c r="E8" s="79">
        <f t="shared" si="0"/>
        <v>5</v>
      </c>
      <c r="F8" s="80">
        <f t="shared" si="1"/>
        <v>1</v>
      </c>
      <c r="G8" s="81">
        <v>2</v>
      </c>
      <c r="I8" s="82">
        <v>3</v>
      </c>
    </row>
    <row r="9" spans="1:9" ht="15.75" customHeight="1">
      <c r="A9" s="5">
        <v>50</v>
      </c>
      <c r="B9" s="45" t="s">
        <v>23106</v>
      </c>
      <c r="C9" s="43">
        <v>250000</v>
      </c>
      <c r="D9" s="78">
        <v>5</v>
      </c>
      <c r="E9" s="79">
        <f t="shared" si="0"/>
        <v>3</v>
      </c>
      <c r="F9" s="80">
        <f t="shared" si="1"/>
        <v>2</v>
      </c>
      <c r="G9" s="81">
        <v>2</v>
      </c>
      <c r="I9" s="82">
        <v>1</v>
      </c>
    </row>
    <row r="10" spans="1:9" ht="15.75" customHeight="1">
      <c r="A10" s="5">
        <v>51</v>
      </c>
      <c r="B10" s="45" t="s">
        <v>23107</v>
      </c>
      <c r="C10" s="43">
        <v>200000</v>
      </c>
      <c r="D10" s="78">
        <v>21</v>
      </c>
      <c r="E10" s="79">
        <f>G10+4</f>
        <v>8</v>
      </c>
      <c r="F10" s="80">
        <f t="shared" si="1"/>
        <v>13</v>
      </c>
      <c r="G10" s="81">
        <v>4</v>
      </c>
      <c r="I10" s="82">
        <v>5</v>
      </c>
    </row>
    <row r="11" spans="1:9" ht="15.75" customHeight="1">
      <c r="A11" s="5">
        <v>52</v>
      </c>
      <c r="B11" s="45" t="s">
        <v>23109</v>
      </c>
      <c r="C11" s="43">
        <v>120000</v>
      </c>
      <c r="D11" s="78">
        <v>52</v>
      </c>
      <c r="E11" s="79">
        <f>G11+3</f>
        <v>26</v>
      </c>
      <c r="F11" s="80">
        <f t="shared" si="1"/>
        <v>26</v>
      </c>
      <c r="G11" s="81">
        <v>23</v>
      </c>
      <c r="I11" s="82">
        <v>16</v>
      </c>
    </row>
    <row r="12" spans="1:9" ht="15.75" customHeight="1">
      <c r="A12" s="5">
        <v>53</v>
      </c>
      <c r="B12" s="84" t="s">
        <v>23111</v>
      </c>
      <c r="C12" s="43">
        <v>90000</v>
      </c>
      <c r="D12" s="78">
        <v>37</v>
      </c>
      <c r="E12" s="79">
        <f>G12</f>
        <v>7</v>
      </c>
      <c r="F12" s="80">
        <f t="shared" si="1"/>
        <v>30</v>
      </c>
      <c r="G12" s="81">
        <v>7</v>
      </c>
      <c r="I12" s="82">
        <v>5</v>
      </c>
    </row>
    <row r="13" spans="1:9" ht="15.75" customHeight="1">
      <c r="A13" s="5">
        <v>37</v>
      </c>
      <c r="B13" s="45" t="s">
        <v>23113</v>
      </c>
      <c r="C13" s="43">
        <v>800000</v>
      </c>
      <c r="D13" s="78">
        <v>5</v>
      </c>
      <c r="E13" s="79">
        <f t="shared" ref="E13:E19" si="2">G13+I13</f>
        <v>0</v>
      </c>
      <c r="F13" s="80">
        <f t="shared" si="1"/>
        <v>5</v>
      </c>
      <c r="G13" s="81">
        <v>0</v>
      </c>
      <c r="I13" s="47"/>
    </row>
    <row r="14" spans="1:9" ht="15.75" customHeight="1">
      <c r="A14" s="5">
        <v>38</v>
      </c>
      <c r="B14" s="45" t="s">
        <v>22951</v>
      </c>
      <c r="C14" s="43">
        <v>360000</v>
      </c>
      <c r="D14" s="78">
        <v>6</v>
      </c>
      <c r="E14" s="79">
        <f t="shared" si="2"/>
        <v>2</v>
      </c>
      <c r="F14" s="80">
        <f t="shared" si="1"/>
        <v>4</v>
      </c>
      <c r="G14" s="81">
        <v>1</v>
      </c>
      <c r="I14" s="85">
        <v>1</v>
      </c>
    </row>
    <row r="15" spans="1:9" ht="15.75" customHeight="1">
      <c r="A15" s="5">
        <v>96</v>
      </c>
      <c r="B15" s="45" t="s">
        <v>23116</v>
      </c>
      <c r="C15" s="86">
        <v>280000</v>
      </c>
      <c r="D15" s="78">
        <v>6</v>
      </c>
      <c r="E15" s="79">
        <f t="shared" si="2"/>
        <v>0</v>
      </c>
      <c r="F15" s="80">
        <f t="shared" si="1"/>
        <v>6</v>
      </c>
      <c r="G15" s="81">
        <v>0</v>
      </c>
      <c r="I15" s="87"/>
    </row>
    <row r="16" spans="1:9" ht="15.75" customHeight="1">
      <c r="A16" s="5">
        <v>67</v>
      </c>
      <c r="B16" s="45" t="s">
        <v>23118</v>
      </c>
      <c r="C16" s="43">
        <v>150000</v>
      </c>
      <c r="D16" s="78">
        <v>20</v>
      </c>
      <c r="E16" s="79">
        <f t="shared" si="2"/>
        <v>2</v>
      </c>
      <c r="F16" s="80">
        <f t="shared" si="1"/>
        <v>18</v>
      </c>
      <c r="G16" s="81">
        <v>1</v>
      </c>
      <c r="I16" s="83">
        <v>1</v>
      </c>
    </row>
    <row r="17" spans="1:9" ht="15.75" customHeight="1">
      <c r="A17" s="5">
        <v>98</v>
      </c>
      <c r="B17" s="45" t="s">
        <v>23120</v>
      </c>
      <c r="C17" s="43">
        <v>250000</v>
      </c>
      <c r="D17" s="78">
        <v>6</v>
      </c>
      <c r="E17" s="79">
        <f t="shared" si="2"/>
        <v>2</v>
      </c>
      <c r="F17" s="88">
        <v>2</v>
      </c>
      <c r="G17" s="81">
        <v>1</v>
      </c>
      <c r="I17" s="82">
        <v>1</v>
      </c>
    </row>
    <row r="18" spans="1:9" ht="15.75" customHeight="1">
      <c r="A18" s="5">
        <v>99</v>
      </c>
      <c r="B18" s="45" t="s">
        <v>23122</v>
      </c>
      <c r="C18" s="43">
        <v>220000</v>
      </c>
      <c r="D18" s="78">
        <v>3</v>
      </c>
      <c r="E18" s="79">
        <f t="shared" si="2"/>
        <v>1</v>
      </c>
      <c r="F18" s="80">
        <f t="shared" ref="F18:F25" si="3">D18-E18</f>
        <v>2</v>
      </c>
      <c r="G18" s="81">
        <v>0</v>
      </c>
      <c r="I18" s="82">
        <v>1</v>
      </c>
    </row>
    <row r="19" spans="1:9" ht="15.75" customHeight="1">
      <c r="A19" s="5">
        <v>100</v>
      </c>
      <c r="B19" s="45" t="s">
        <v>23124</v>
      </c>
      <c r="C19" s="86">
        <v>180000</v>
      </c>
      <c r="D19" s="78">
        <v>4</v>
      </c>
      <c r="E19" s="79">
        <f t="shared" si="2"/>
        <v>4</v>
      </c>
      <c r="F19" s="80">
        <f t="shared" si="3"/>
        <v>0</v>
      </c>
      <c r="G19" s="81">
        <v>2</v>
      </c>
      <c r="I19" s="83">
        <v>2</v>
      </c>
    </row>
    <row r="20" spans="1:9" ht="15.75" customHeight="1">
      <c r="A20" s="5">
        <v>23</v>
      </c>
      <c r="B20" s="45" t="s">
        <v>22920</v>
      </c>
      <c r="C20" s="43">
        <v>220000</v>
      </c>
      <c r="D20" s="78">
        <v>6</v>
      </c>
      <c r="E20" s="79">
        <f>G20-4</f>
        <v>0</v>
      </c>
      <c r="F20" s="80">
        <f t="shared" si="3"/>
        <v>6</v>
      </c>
      <c r="G20" s="81">
        <v>4</v>
      </c>
      <c r="I20" s="47"/>
    </row>
    <row r="21" spans="1:9" ht="15.75" customHeight="1">
      <c r="A21" s="5">
        <v>102</v>
      </c>
      <c r="B21" s="45" t="s">
        <v>23127</v>
      </c>
      <c r="C21" s="43">
        <v>190000</v>
      </c>
      <c r="D21" s="78">
        <v>5</v>
      </c>
      <c r="E21" s="79">
        <f t="shared" ref="E21:E22" si="4">G21+I21</f>
        <v>1</v>
      </c>
      <c r="F21" s="80">
        <f t="shared" si="3"/>
        <v>4</v>
      </c>
      <c r="G21" s="81">
        <v>1</v>
      </c>
      <c r="I21" s="47"/>
    </row>
    <row r="22" spans="1:9" ht="15.75" customHeight="1">
      <c r="A22" s="5">
        <v>103</v>
      </c>
      <c r="B22" s="45" t="s">
        <v>23129</v>
      </c>
      <c r="C22" s="86">
        <v>200000</v>
      </c>
      <c r="D22" s="78">
        <v>8</v>
      </c>
      <c r="E22" s="79">
        <f t="shared" si="4"/>
        <v>1</v>
      </c>
      <c r="F22" s="80">
        <f t="shared" si="3"/>
        <v>7</v>
      </c>
      <c r="G22" s="81">
        <v>1</v>
      </c>
      <c r="I22" s="87"/>
    </row>
    <row r="23" spans="1:9" ht="15.75" customHeight="1">
      <c r="A23" s="5">
        <v>29</v>
      </c>
      <c r="B23" s="45" t="s">
        <v>22933</v>
      </c>
      <c r="C23" s="43">
        <v>90000</v>
      </c>
      <c r="D23" s="78">
        <v>40</v>
      </c>
      <c r="E23" s="79">
        <f>G23+7</f>
        <v>18</v>
      </c>
      <c r="F23" s="80">
        <f t="shared" si="3"/>
        <v>22</v>
      </c>
      <c r="G23" s="81">
        <v>11</v>
      </c>
      <c r="I23" s="82">
        <v>9</v>
      </c>
    </row>
    <row r="24" spans="1:9" ht="15.5">
      <c r="A24" s="5">
        <v>104</v>
      </c>
      <c r="B24" s="45" t="s">
        <v>23132</v>
      </c>
      <c r="C24" s="43">
        <v>95000</v>
      </c>
      <c r="D24" s="78">
        <v>20</v>
      </c>
      <c r="E24" s="79">
        <f>G24+I24</f>
        <v>9</v>
      </c>
      <c r="F24" s="80">
        <f t="shared" si="3"/>
        <v>11</v>
      </c>
      <c r="G24" s="81">
        <v>1</v>
      </c>
      <c r="I24" s="82">
        <v>8</v>
      </c>
    </row>
    <row r="25" spans="1:9" ht="15.5">
      <c r="A25" s="5">
        <v>28</v>
      </c>
      <c r="B25" s="45" t="s">
        <v>23134</v>
      </c>
      <c r="C25" s="43">
        <v>65000</v>
      </c>
      <c r="D25" s="78">
        <v>15</v>
      </c>
      <c r="E25" s="79">
        <f>G25+2</f>
        <v>4</v>
      </c>
      <c r="F25" s="80">
        <f t="shared" si="3"/>
        <v>11</v>
      </c>
      <c r="G25" s="81">
        <v>2</v>
      </c>
      <c r="I25" s="82">
        <v>3</v>
      </c>
    </row>
    <row r="26" spans="1:9" ht="15.5">
      <c r="A26" s="5">
        <v>80</v>
      </c>
      <c r="B26" s="47" t="s">
        <v>23057</v>
      </c>
      <c r="C26" s="48">
        <v>25000</v>
      </c>
      <c r="D26" s="78"/>
      <c r="E26" s="79"/>
      <c r="F26" s="88">
        <v>12</v>
      </c>
      <c r="G26" s="81">
        <v>1</v>
      </c>
    </row>
    <row r="27" spans="1:9" ht="15.5">
      <c r="A27" s="5">
        <v>81</v>
      </c>
      <c r="B27" s="47" t="s">
        <v>23060</v>
      </c>
      <c r="C27" s="48">
        <v>50000</v>
      </c>
      <c r="D27" s="78"/>
      <c r="E27" s="79"/>
      <c r="F27" s="88">
        <v>12</v>
      </c>
      <c r="G27" s="81">
        <v>5</v>
      </c>
    </row>
    <row r="28" spans="1:9" ht="15.5">
      <c r="A28" s="5">
        <v>82</v>
      </c>
      <c r="B28" s="47" t="s">
        <v>23062</v>
      </c>
      <c r="C28" s="48">
        <v>70000</v>
      </c>
      <c r="D28" s="78"/>
      <c r="E28" s="79"/>
      <c r="F28" s="88">
        <v>0</v>
      </c>
      <c r="G28" s="81">
        <v>0</v>
      </c>
    </row>
    <row r="29" spans="1:9" ht="15.5">
      <c r="A29" s="5">
        <v>83</v>
      </c>
      <c r="B29" s="47" t="s">
        <v>23139</v>
      </c>
      <c r="C29" s="48">
        <v>40000</v>
      </c>
      <c r="D29" s="78"/>
      <c r="E29" s="79"/>
      <c r="F29" s="88">
        <v>12</v>
      </c>
      <c r="G29" s="81">
        <v>0</v>
      </c>
    </row>
    <row r="30" spans="1:9" ht="15.5">
      <c r="A30" s="5">
        <v>84</v>
      </c>
      <c r="B30" s="47" t="s">
        <v>23066</v>
      </c>
      <c r="C30" s="48">
        <v>65000</v>
      </c>
      <c r="D30" s="78"/>
      <c r="E30" s="79"/>
      <c r="F30" s="88">
        <v>12</v>
      </c>
      <c r="G30" s="81">
        <v>0</v>
      </c>
    </row>
    <row r="31" spans="1:9" ht="15.5">
      <c r="A31" s="5">
        <v>85</v>
      </c>
      <c r="B31" s="47" t="s">
        <v>23068</v>
      </c>
      <c r="C31" s="48">
        <v>65000</v>
      </c>
      <c r="D31" s="78"/>
      <c r="E31" s="79"/>
      <c r="F31" s="88">
        <v>12</v>
      </c>
      <c r="G31" s="81">
        <v>0</v>
      </c>
    </row>
    <row r="32" spans="1:9" ht="15.5">
      <c r="A32" s="5">
        <v>86</v>
      </c>
      <c r="B32" s="47" t="s">
        <v>23070</v>
      </c>
      <c r="C32" s="48">
        <v>30000</v>
      </c>
      <c r="D32" s="78"/>
      <c r="E32" s="79"/>
      <c r="F32" s="88">
        <v>12</v>
      </c>
      <c r="G32" s="81">
        <v>0</v>
      </c>
    </row>
    <row r="33" spans="1:7" ht="15.5">
      <c r="A33" s="5">
        <v>87</v>
      </c>
      <c r="B33" s="47" t="s">
        <v>23072</v>
      </c>
      <c r="C33" s="48">
        <v>30000</v>
      </c>
      <c r="D33" s="78"/>
      <c r="E33" s="79"/>
      <c r="F33" s="88">
        <v>12</v>
      </c>
      <c r="G33" s="81">
        <v>0</v>
      </c>
    </row>
    <row r="34" spans="1:7" ht="15.5">
      <c r="A34" s="5">
        <v>94</v>
      </c>
      <c r="B34" s="47" t="s">
        <v>23086</v>
      </c>
      <c r="C34" s="48">
        <v>40000</v>
      </c>
      <c r="D34" s="78"/>
      <c r="E34" s="79"/>
      <c r="F34" s="88">
        <v>12</v>
      </c>
      <c r="G34" s="81">
        <v>0</v>
      </c>
    </row>
    <row r="35" spans="1:7" ht="15.5">
      <c r="A35" s="70"/>
      <c r="B35" s="70"/>
      <c r="C35" s="89"/>
      <c r="D35" s="90"/>
      <c r="E35" s="79">
        <f>SUM(E2:E34)</f>
        <v>113</v>
      </c>
      <c r="F35" s="80">
        <f>D35-E35</f>
        <v>-113</v>
      </c>
      <c r="G35" s="81">
        <v>0</v>
      </c>
    </row>
    <row r="36" spans="1:7" ht="12.5">
      <c r="A36" s="5"/>
      <c r="B36" s="5"/>
      <c r="C36" s="5"/>
      <c r="D36" s="91"/>
      <c r="E36" s="21"/>
      <c r="F36" s="5"/>
      <c r="G36" s="75"/>
    </row>
    <row r="37" spans="1:7" ht="12.5">
      <c r="A37" s="5"/>
      <c r="B37" s="5"/>
      <c r="C37" s="5"/>
      <c r="D37" s="91"/>
      <c r="E37" s="21"/>
      <c r="F37" s="5"/>
      <c r="G37" s="75"/>
    </row>
    <row r="38" spans="1:7" ht="12.5">
      <c r="A38" s="5"/>
      <c r="B38" s="5"/>
      <c r="C38" s="5"/>
      <c r="D38" s="91"/>
      <c r="E38" s="21"/>
      <c r="F38" s="5"/>
      <c r="G38" s="75"/>
    </row>
    <row r="39" spans="1:7" ht="12.5">
      <c r="A39" s="5"/>
      <c r="B39" s="5"/>
      <c r="C39" s="5"/>
      <c r="D39" s="91"/>
      <c r="E39" s="21"/>
      <c r="F39" s="5"/>
      <c r="G39" s="75"/>
    </row>
    <row r="40" spans="1:7" ht="12.5">
      <c r="A40" s="5"/>
      <c r="B40" s="5"/>
      <c r="C40" s="5"/>
      <c r="D40" s="91"/>
      <c r="E40" s="21"/>
      <c r="F40" s="5"/>
      <c r="G40" s="75"/>
    </row>
    <row r="41" spans="1:7" ht="12.5">
      <c r="A41" s="5"/>
      <c r="B41" s="5"/>
      <c r="C41" s="5"/>
      <c r="D41" s="91"/>
      <c r="E41" s="21"/>
      <c r="F41" s="5"/>
      <c r="G41" s="75"/>
    </row>
    <row r="42" spans="1:7" ht="12.5">
      <c r="A42" s="5"/>
      <c r="B42" s="5"/>
      <c r="C42" s="5"/>
      <c r="D42" s="91"/>
      <c r="E42" s="21"/>
      <c r="F42" s="5"/>
      <c r="G42" s="75"/>
    </row>
    <row r="43" spans="1:7" ht="12.5">
      <c r="A43" s="5"/>
      <c r="B43" s="5"/>
      <c r="C43" s="5"/>
      <c r="D43" s="91"/>
      <c r="E43" s="21"/>
      <c r="F43" s="5"/>
      <c r="G43" s="75"/>
    </row>
    <row r="44" spans="1:7" ht="12.5">
      <c r="A44" s="5"/>
      <c r="B44" s="5"/>
      <c r="C44" s="5"/>
      <c r="D44" s="91"/>
      <c r="E44" s="21"/>
      <c r="F44" s="5"/>
      <c r="G44" s="75"/>
    </row>
    <row r="45" spans="1:7" ht="12.5">
      <c r="A45" s="5"/>
      <c r="B45" s="5"/>
      <c r="C45" s="5"/>
      <c r="D45" s="91"/>
      <c r="E45" s="21"/>
      <c r="F45" s="5"/>
      <c r="G45" s="75"/>
    </row>
    <row r="46" spans="1:7" ht="12.5">
      <c r="A46" s="5"/>
      <c r="B46" s="5"/>
      <c r="C46" s="5"/>
      <c r="D46" s="91"/>
      <c r="E46" s="21"/>
      <c r="F46" s="5"/>
      <c r="G46" s="75"/>
    </row>
    <row r="47" spans="1:7" ht="12.5">
      <c r="A47" s="5"/>
      <c r="B47" s="5"/>
      <c r="C47" s="5"/>
      <c r="D47" s="91"/>
      <c r="E47" s="21"/>
      <c r="F47" s="5"/>
      <c r="G47" s="75"/>
    </row>
    <row r="48" spans="1:7" ht="12.5">
      <c r="A48" s="5"/>
      <c r="B48" s="5"/>
      <c r="C48" s="5"/>
      <c r="D48" s="91"/>
      <c r="E48" s="21"/>
      <c r="F48" s="5"/>
      <c r="G48" s="75"/>
    </row>
    <row r="49" spans="1:7" ht="12.5">
      <c r="A49" s="5"/>
      <c r="B49" s="5"/>
      <c r="C49" s="5"/>
      <c r="D49" s="91"/>
      <c r="E49" s="21"/>
      <c r="F49" s="5"/>
      <c r="G49" s="75"/>
    </row>
    <row r="50" spans="1:7" ht="12.5">
      <c r="A50" s="5"/>
      <c r="B50" s="5"/>
      <c r="C50" s="5"/>
      <c r="D50" s="91"/>
      <c r="E50" s="21"/>
      <c r="F50" s="5"/>
      <c r="G50" s="75"/>
    </row>
    <row r="51" spans="1:7" ht="12.5">
      <c r="A51" s="5"/>
      <c r="B51" s="5"/>
      <c r="C51" s="5"/>
      <c r="D51" s="91"/>
      <c r="E51" s="21"/>
      <c r="F51" s="5"/>
      <c r="G51" s="75"/>
    </row>
    <row r="52" spans="1:7" ht="12.5">
      <c r="A52" s="5"/>
      <c r="B52" s="5"/>
      <c r="C52" s="5"/>
      <c r="D52" s="91"/>
      <c r="E52" s="21"/>
      <c r="F52" s="5"/>
      <c r="G52" s="75"/>
    </row>
    <row r="53" spans="1:7" ht="12.5">
      <c r="A53" s="5"/>
      <c r="B53" s="5"/>
      <c r="C53" s="5"/>
      <c r="D53" s="91"/>
      <c r="E53" s="21"/>
      <c r="F53" s="5"/>
      <c r="G53" s="75"/>
    </row>
    <row r="54" spans="1:7" ht="12.5">
      <c r="A54" s="5"/>
      <c r="B54" s="5"/>
      <c r="C54" s="5"/>
      <c r="D54" s="91"/>
      <c r="E54" s="21"/>
      <c r="F54" s="5"/>
      <c r="G54" s="75"/>
    </row>
    <row r="55" spans="1:7" ht="12.5">
      <c r="A55" s="5"/>
      <c r="B55" s="5"/>
      <c r="C55" s="5"/>
      <c r="D55" s="91"/>
      <c r="E55" s="21"/>
      <c r="F55" s="5"/>
      <c r="G55" s="75"/>
    </row>
    <row r="56" spans="1:7" ht="12.5">
      <c r="A56" s="5"/>
      <c r="B56" s="5"/>
      <c r="C56" s="5"/>
      <c r="D56" s="91"/>
      <c r="E56" s="21"/>
      <c r="F56" s="5"/>
      <c r="G56" s="75"/>
    </row>
    <row r="57" spans="1:7" ht="12.5">
      <c r="A57" s="5"/>
      <c r="B57" s="5"/>
      <c r="C57" s="5"/>
      <c r="D57" s="91"/>
      <c r="E57" s="21"/>
      <c r="F57" s="5"/>
      <c r="G57" s="75"/>
    </row>
    <row r="58" spans="1:7" ht="12.5">
      <c r="A58" s="5"/>
      <c r="B58" s="5"/>
      <c r="C58" s="5"/>
      <c r="D58" s="91"/>
      <c r="E58" s="21"/>
      <c r="F58" s="5"/>
      <c r="G58" s="75"/>
    </row>
    <row r="59" spans="1:7" ht="12.5">
      <c r="A59" s="5"/>
      <c r="B59" s="5"/>
      <c r="C59" s="5"/>
      <c r="D59" s="91"/>
      <c r="E59" s="21"/>
      <c r="F59" s="5"/>
      <c r="G59" s="75"/>
    </row>
    <row r="60" spans="1:7" ht="12.5">
      <c r="A60" s="5"/>
      <c r="B60" s="5"/>
      <c r="C60" s="5"/>
      <c r="D60" s="91"/>
      <c r="E60" s="21"/>
      <c r="F60" s="5"/>
      <c r="G60" s="75"/>
    </row>
    <row r="61" spans="1:7" ht="12.5">
      <c r="A61" s="5"/>
      <c r="B61" s="5"/>
      <c r="C61" s="5"/>
      <c r="D61" s="91"/>
      <c r="E61" s="21"/>
      <c r="F61" s="5"/>
      <c r="G61" s="75"/>
    </row>
    <row r="62" spans="1:7" ht="12.5">
      <c r="A62" s="5"/>
      <c r="B62" s="5"/>
      <c r="C62" s="5"/>
      <c r="D62" s="91"/>
      <c r="E62" s="21"/>
      <c r="F62" s="5"/>
      <c r="G62" s="75"/>
    </row>
    <row r="63" spans="1:7" ht="12.5">
      <c r="A63" s="5"/>
      <c r="B63" s="5"/>
      <c r="C63" s="5"/>
      <c r="D63" s="91"/>
      <c r="E63" s="21"/>
      <c r="F63" s="5"/>
      <c r="G63" s="75"/>
    </row>
    <row r="64" spans="1:7" ht="12.5">
      <c r="A64" s="5"/>
      <c r="B64" s="5"/>
      <c r="C64" s="5"/>
      <c r="D64" s="91"/>
      <c r="E64" s="21"/>
      <c r="F64" s="5"/>
      <c r="G64" s="75"/>
    </row>
    <row r="65" spans="1:7" ht="12.5">
      <c r="A65" s="5"/>
      <c r="B65" s="5"/>
      <c r="C65" s="5"/>
      <c r="D65" s="91"/>
      <c r="E65" s="21"/>
      <c r="F65" s="5"/>
      <c r="G65" s="75"/>
    </row>
    <row r="66" spans="1:7" ht="12.5">
      <c r="A66" s="5"/>
      <c r="B66" s="5"/>
      <c r="C66" s="5"/>
      <c r="D66" s="91"/>
      <c r="E66" s="21"/>
      <c r="F66" s="5"/>
      <c r="G66" s="75"/>
    </row>
    <row r="67" spans="1:7" ht="12.5">
      <c r="A67" s="5"/>
      <c r="B67" s="5"/>
      <c r="C67" s="5"/>
      <c r="D67" s="91"/>
      <c r="E67" s="21"/>
      <c r="F67" s="5"/>
      <c r="G67" s="75"/>
    </row>
    <row r="68" spans="1:7" ht="12.5">
      <c r="A68" s="5"/>
      <c r="B68" s="5"/>
      <c r="C68" s="5"/>
      <c r="D68" s="91"/>
      <c r="E68" s="21"/>
      <c r="F68" s="5"/>
      <c r="G68" s="75"/>
    </row>
    <row r="69" spans="1:7" ht="12.5">
      <c r="A69" s="5"/>
      <c r="B69" s="5"/>
      <c r="C69" s="5"/>
      <c r="D69" s="91"/>
      <c r="E69" s="21"/>
      <c r="F69" s="5"/>
      <c r="G69" s="75"/>
    </row>
    <row r="70" spans="1:7" ht="12.5">
      <c r="A70" s="5"/>
      <c r="B70" s="5"/>
      <c r="C70" s="5"/>
      <c r="D70" s="91"/>
      <c r="E70" s="21"/>
      <c r="F70" s="5"/>
      <c r="G70" s="75"/>
    </row>
    <row r="71" spans="1:7" ht="12.5">
      <c r="A71" s="5"/>
      <c r="B71" s="5"/>
      <c r="C71" s="5"/>
      <c r="D71" s="91"/>
      <c r="E71" s="21"/>
      <c r="F71" s="5"/>
      <c r="G71" s="75"/>
    </row>
    <row r="72" spans="1:7" ht="12.5">
      <c r="A72" s="5"/>
      <c r="B72" s="5"/>
      <c r="C72" s="5"/>
      <c r="D72" s="91"/>
      <c r="E72" s="21"/>
      <c r="F72" s="5"/>
      <c r="G72" s="75"/>
    </row>
    <row r="73" spans="1:7" ht="12.5">
      <c r="A73" s="5"/>
      <c r="B73" s="5"/>
      <c r="C73" s="5"/>
      <c r="D73" s="91"/>
      <c r="E73" s="21"/>
      <c r="F73" s="5"/>
      <c r="G73" s="75"/>
    </row>
    <row r="74" spans="1:7" ht="12.5">
      <c r="A74" s="5"/>
      <c r="B74" s="5"/>
      <c r="C74" s="5"/>
      <c r="D74" s="91"/>
      <c r="E74" s="21"/>
      <c r="F74" s="5"/>
      <c r="G74" s="75"/>
    </row>
    <row r="75" spans="1:7" ht="12.5">
      <c r="A75" s="5"/>
      <c r="B75" s="5"/>
      <c r="C75" s="5"/>
      <c r="D75" s="91"/>
      <c r="E75" s="21"/>
      <c r="F75" s="5"/>
      <c r="G75" s="75"/>
    </row>
    <row r="76" spans="1:7" ht="12.5">
      <c r="A76" s="5"/>
      <c r="B76" s="5"/>
      <c r="C76" s="5"/>
      <c r="D76" s="91"/>
      <c r="E76" s="21"/>
      <c r="F76" s="5"/>
      <c r="G76" s="75"/>
    </row>
    <row r="77" spans="1:7" ht="12.5">
      <c r="A77" s="5"/>
      <c r="B77" s="5"/>
      <c r="C77" s="5"/>
      <c r="D77" s="91"/>
      <c r="E77" s="21"/>
      <c r="F77" s="5"/>
      <c r="G77" s="75"/>
    </row>
    <row r="78" spans="1:7" ht="12.5">
      <c r="A78" s="5"/>
      <c r="B78" s="5"/>
      <c r="C78" s="5"/>
      <c r="D78" s="91"/>
      <c r="E78" s="21"/>
      <c r="F78" s="5"/>
      <c r="G78" s="75"/>
    </row>
    <row r="79" spans="1:7" ht="12.5">
      <c r="A79" s="5"/>
      <c r="B79" s="5"/>
      <c r="C79" s="5"/>
      <c r="D79" s="91"/>
      <c r="E79" s="21"/>
      <c r="F79" s="5"/>
      <c r="G79" s="75"/>
    </row>
    <row r="80" spans="1:7" ht="12.5">
      <c r="A80" s="5"/>
      <c r="B80" s="5"/>
      <c r="C80" s="5"/>
      <c r="D80" s="91"/>
      <c r="E80" s="21"/>
      <c r="F80" s="5"/>
      <c r="G80" s="75"/>
    </row>
    <row r="81" spans="1:7" ht="12.5">
      <c r="A81" s="5"/>
      <c r="B81" s="5"/>
      <c r="C81" s="5"/>
      <c r="D81" s="91"/>
      <c r="E81" s="21"/>
      <c r="F81" s="5"/>
      <c r="G81" s="75"/>
    </row>
    <row r="82" spans="1:7" ht="12.5">
      <c r="A82" s="5"/>
      <c r="B82" s="5"/>
      <c r="C82" s="5"/>
      <c r="D82" s="91"/>
      <c r="E82" s="21"/>
      <c r="F82" s="5"/>
      <c r="G82" s="75"/>
    </row>
    <row r="83" spans="1:7" ht="12.5">
      <c r="A83" s="5"/>
      <c r="B83" s="5"/>
      <c r="C83" s="5"/>
      <c r="D83" s="91"/>
      <c r="E83" s="21"/>
      <c r="F83" s="5"/>
      <c r="G83" s="75"/>
    </row>
    <row r="84" spans="1:7" ht="12.5">
      <c r="A84" s="5"/>
      <c r="B84" s="5"/>
      <c r="C84" s="5"/>
      <c r="D84" s="91"/>
      <c r="E84" s="21"/>
      <c r="F84" s="5"/>
      <c r="G84" s="75"/>
    </row>
    <row r="85" spans="1:7" ht="12.5">
      <c r="A85" s="5"/>
      <c r="B85" s="5"/>
      <c r="C85" s="5"/>
      <c r="D85" s="91"/>
      <c r="E85" s="21"/>
      <c r="F85" s="5"/>
      <c r="G85" s="75"/>
    </row>
    <row r="86" spans="1:7" ht="12.5">
      <c r="A86" s="5"/>
      <c r="B86" s="5"/>
      <c r="C86" s="5"/>
      <c r="D86" s="91"/>
      <c r="E86" s="21"/>
      <c r="F86" s="5"/>
      <c r="G86" s="75"/>
    </row>
    <row r="87" spans="1:7" ht="12.5">
      <c r="A87" s="5"/>
      <c r="B87" s="5"/>
      <c r="C87" s="5"/>
      <c r="D87" s="91"/>
      <c r="E87" s="21"/>
      <c r="F87" s="5"/>
      <c r="G87" s="75"/>
    </row>
    <row r="88" spans="1:7" ht="12.5">
      <c r="A88" s="5"/>
      <c r="B88" s="5"/>
      <c r="C88" s="5"/>
      <c r="D88" s="91"/>
      <c r="E88" s="21"/>
      <c r="F88" s="5"/>
      <c r="G88" s="75"/>
    </row>
    <row r="89" spans="1:7" ht="12.5">
      <c r="A89" s="5"/>
      <c r="B89" s="5"/>
      <c r="C89" s="5"/>
      <c r="D89" s="91"/>
      <c r="E89" s="21"/>
      <c r="F89" s="5"/>
      <c r="G89" s="75"/>
    </row>
    <row r="90" spans="1:7" ht="12.5">
      <c r="A90" s="5"/>
      <c r="B90" s="5"/>
      <c r="C90" s="5"/>
      <c r="D90" s="91"/>
      <c r="E90" s="21"/>
      <c r="F90" s="5"/>
      <c r="G90" s="75"/>
    </row>
    <row r="91" spans="1:7" ht="12.5">
      <c r="A91" s="5"/>
      <c r="B91" s="5"/>
      <c r="C91" s="5"/>
      <c r="D91" s="91"/>
      <c r="E91" s="21"/>
      <c r="F91" s="5"/>
      <c r="G91" s="75"/>
    </row>
    <row r="92" spans="1:7" ht="12.5">
      <c r="A92" s="5"/>
      <c r="B92" s="5"/>
      <c r="C92" s="5"/>
      <c r="D92" s="91"/>
      <c r="E92" s="21"/>
      <c r="F92" s="5"/>
      <c r="G92" s="75"/>
    </row>
    <row r="93" spans="1:7" ht="12.5">
      <c r="A93" s="5"/>
      <c r="B93" s="5"/>
      <c r="C93" s="5"/>
      <c r="D93" s="91"/>
      <c r="E93" s="21"/>
      <c r="F93" s="5"/>
      <c r="G93" s="75"/>
    </row>
    <row r="94" spans="1:7" ht="12.5">
      <c r="A94" s="5"/>
      <c r="B94" s="5"/>
      <c r="C94" s="5"/>
      <c r="D94" s="91"/>
      <c r="E94" s="21"/>
      <c r="F94" s="5"/>
      <c r="G94" s="75"/>
    </row>
    <row r="95" spans="1:7" ht="12.5">
      <c r="A95" s="5"/>
      <c r="B95" s="5"/>
      <c r="C95" s="5"/>
      <c r="D95" s="91"/>
      <c r="E95" s="21"/>
      <c r="F95" s="5"/>
      <c r="G95" s="75"/>
    </row>
    <row r="96" spans="1:7" ht="12.5">
      <c r="A96" s="5"/>
      <c r="B96" s="5"/>
      <c r="C96" s="5"/>
      <c r="D96" s="91"/>
      <c r="E96" s="21"/>
      <c r="F96" s="5"/>
      <c r="G96" s="75"/>
    </row>
    <row r="97" spans="1:7" ht="12.5">
      <c r="A97" s="5"/>
      <c r="B97" s="5"/>
      <c r="C97" s="5"/>
      <c r="D97" s="91"/>
      <c r="E97" s="21"/>
      <c r="F97" s="5"/>
      <c r="G97" s="75"/>
    </row>
    <row r="98" spans="1:7" ht="12.5">
      <c r="A98" s="5"/>
      <c r="B98" s="5"/>
      <c r="C98" s="5"/>
      <c r="D98" s="91"/>
      <c r="E98" s="21"/>
      <c r="F98" s="5"/>
      <c r="G98" s="75"/>
    </row>
    <row r="99" spans="1:7" ht="12.5">
      <c r="A99" s="5"/>
      <c r="B99" s="5"/>
      <c r="C99" s="5"/>
      <c r="D99" s="91"/>
      <c r="E99" s="21"/>
      <c r="F99" s="5"/>
      <c r="G99" s="75"/>
    </row>
    <row r="100" spans="1:7" ht="12.5">
      <c r="A100" s="5"/>
      <c r="B100" s="5"/>
      <c r="C100" s="5"/>
      <c r="D100" s="91"/>
      <c r="E100" s="21"/>
      <c r="F100" s="5"/>
      <c r="G100" s="75"/>
    </row>
    <row r="101" spans="1:7" ht="12.5">
      <c r="A101" s="5"/>
      <c r="B101" s="5"/>
      <c r="C101" s="5"/>
      <c r="D101" s="91"/>
      <c r="E101" s="21"/>
      <c r="F101" s="5"/>
      <c r="G101" s="75"/>
    </row>
    <row r="102" spans="1:7" ht="12.5">
      <c r="A102" s="5"/>
      <c r="B102" s="5"/>
      <c r="C102" s="5"/>
      <c r="D102" s="91"/>
      <c r="E102" s="21"/>
      <c r="F102" s="5"/>
      <c r="G102" s="75"/>
    </row>
    <row r="103" spans="1:7" ht="12.5">
      <c r="A103" s="5"/>
      <c r="B103" s="5"/>
      <c r="C103" s="5"/>
      <c r="D103" s="91"/>
      <c r="E103" s="21"/>
      <c r="F103" s="5"/>
      <c r="G103" s="75"/>
    </row>
    <row r="104" spans="1:7" ht="12.5">
      <c r="A104" s="5"/>
      <c r="B104" s="5"/>
      <c r="C104" s="5"/>
      <c r="D104" s="91"/>
      <c r="E104" s="21"/>
      <c r="F104" s="5"/>
      <c r="G104" s="75"/>
    </row>
    <row r="105" spans="1:7" ht="12.5">
      <c r="A105" s="5"/>
      <c r="B105" s="5"/>
      <c r="C105" s="5"/>
      <c r="D105" s="91"/>
      <c r="E105" s="21"/>
      <c r="F105" s="5"/>
      <c r="G105" s="75"/>
    </row>
    <row r="106" spans="1:7" ht="12.5">
      <c r="A106" s="5"/>
      <c r="B106" s="5"/>
      <c r="C106" s="5"/>
      <c r="D106" s="91"/>
      <c r="E106" s="21"/>
      <c r="F106" s="5"/>
      <c r="G106" s="75"/>
    </row>
    <row r="107" spans="1:7" ht="12.5">
      <c r="A107" s="5"/>
      <c r="B107" s="5"/>
      <c r="C107" s="5"/>
      <c r="D107" s="91"/>
      <c r="E107" s="21"/>
      <c r="F107" s="5"/>
      <c r="G107" s="75"/>
    </row>
    <row r="108" spans="1:7" ht="12.5">
      <c r="A108" s="5"/>
      <c r="B108" s="5"/>
      <c r="C108" s="5"/>
      <c r="D108" s="91"/>
      <c r="E108" s="21"/>
      <c r="F108" s="5"/>
      <c r="G108" s="75"/>
    </row>
    <row r="109" spans="1:7" ht="12.5">
      <c r="A109" s="5"/>
      <c r="B109" s="5"/>
      <c r="C109" s="5"/>
      <c r="D109" s="91"/>
      <c r="E109" s="21"/>
      <c r="F109" s="5"/>
      <c r="G109" s="75"/>
    </row>
    <row r="110" spans="1:7" ht="12.5">
      <c r="A110" s="5"/>
      <c r="B110" s="5"/>
      <c r="C110" s="5"/>
      <c r="D110" s="91"/>
      <c r="E110" s="21"/>
      <c r="F110" s="5"/>
      <c r="G110" s="75"/>
    </row>
    <row r="111" spans="1:7" ht="12.5">
      <c r="A111" s="5"/>
      <c r="B111" s="5"/>
      <c r="C111" s="5"/>
      <c r="D111" s="91"/>
      <c r="E111" s="21"/>
      <c r="F111" s="5"/>
      <c r="G111" s="75"/>
    </row>
    <row r="112" spans="1:7" ht="12.5">
      <c r="A112" s="5"/>
      <c r="B112" s="5"/>
      <c r="C112" s="5"/>
      <c r="D112" s="91"/>
      <c r="E112" s="21"/>
      <c r="F112" s="5"/>
      <c r="G112" s="75"/>
    </row>
    <row r="113" spans="1:7" ht="12.5">
      <c r="A113" s="5"/>
      <c r="B113" s="5"/>
      <c r="C113" s="5"/>
      <c r="D113" s="91"/>
      <c r="E113" s="21"/>
      <c r="F113" s="5"/>
      <c r="G113" s="75"/>
    </row>
    <row r="114" spans="1:7" ht="12.5">
      <c r="A114" s="5"/>
      <c r="B114" s="5"/>
      <c r="C114" s="5"/>
      <c r="D114" s="91"/>
      <c r="E114" s="21"/>
      <c r="F114" s="5"/>
      <c r="G114" s="75"/>
    </row>
    <row r="115" spans="1:7" ht="12.5">
      <c r="A115" s="5"/>
      <c r="B115" s="5"/>
      <c r="C115" s="5"/>
      <c r="D115" s="91"/>
      <c r="E115" s="21"/>
      <c r="F115" s="5"/>
      <c r="G115" s="75"/>
    </row>
    <row r="116" spans="1:7" ht="12.5">
      <c r="A116" s="5"/>
      <c r="B116" s="5"/>
      <c r="C116" s="5"/>
      <c r="D116" s="91"/>
      <c r="E116" s="21"/>
      <c r="F116" s="5"/>
      <c r="G116" s="75"/>
    </row>
    <row r="117" spans="1:7" ht="12.5">
      <c r="A117" s="5"/>
      <c r="B117" s="5"/>
      <c r="C117" s="5"/>
      <c r="D117" s="91"/>
      <c r="E117" s="21"/>
      <c r="F117" s="5"/>
      <c r="G117" s="75"/>
    </row>
    <row r="118" spans="1:7" ht="12.5">
      <c r="A118" s="5"/>
      <c r="B118" s="5"/>
      <c r="C118" s="5"/>
      <c r="D118" s="91"/>
      <c r="E118" s="21"/>
      <c r="F118" s="5"/>
      <c r="G118" s="75"/>
    </row>
    <row r="119" spans="1:7" ht="12.5">
      <c r="A119" s="5"/>
      <c r="B119" s="5"/>
      <c r="C119" s="5"/>
      <c r="D119" s="91"/>
      <c r="E119" s="21"/>
      <c r="F119" s="5"/>
      <c r="G119" s="75"/>
    </row>
    <row r="120" spans="1:7" ht="12.5">
      <c r="A120" s="5"/>
      <c r="B120" s="5"/>
      <c r="C120" s="5"/>
      <c r="D120" s="91"/>
      <c r="E120" s="21"/>
      <c r="F120" s="5"/>
      <c r="G120" s="75"/>
    </row>
    <row r="121" spans="1:7" ht="12.5">
      <c r="A121" s="5"/>
      <c r="B121" s="5"/>
      <c r="C121" s="5"/>
      <c r="D121" s="91"/>
      <c r="E121" s="21"/>
      <c r="F121" s="5"/>
      <c r="G121" s="75"/>
    </row>
    <row r="122" spans="1:7" ht="12.5">
      <c r="A122" s="5"/>
      <c r="B122" s="5"/>
      <c r="C122" s="5"/>
      <c r="D122" s="91"/>
      <c r="E122" s="21"/>
      <c r="F122" s="5"/>
      <c r="G122" s="75"/>
    </row>
    <row r="123" spans="1:7" ht="12.5">
      <c r="A123" s="5"/>
      <c r="B123" s="5"/>
      <c r="C123" s="5"/>
      <c r="D123" s="91"/>
      <c r="E123" s="21"/>
      <c r="F123" s="5"/>
      <c r="G123" s="75"/>
    </row>
    <row r="124" spans="1:7" ht="12.5">
      <c r="A124" s="5"/>
      <c r="B124" s="5"/>
      <c r="C124" s="5"/>
      <c r="D124" s="91"/>
      <c r="E124" s="21"/>
      <c r="F124" s="5"/>
      <c r="G124" s="75"/>
    </row>
    <row r="125" spans="1:7" ht="12.5">
      <c r="A125" s="5"/>
      <c r="B125" s="5"/>
      <c r="C125" s="5"/>
      <c r="D125" s="91"/>
      <c r="E125" s="21"/>
      <c r="F125" s="5"/>
      <c r="G125" s="75"/>
    </row>
    <row r="126" spans="1:7" ht="12.5">
      <c r="A126" s="5"/>
      <c r="B126" s="5"/>
      <c r="C126" s="5"/>
      <c r="D126" s="91"/>
      <c r="E126" s="21"/>
      <c r="F126" s="5"/>
      <c r="G126" s="75"/>
    </row>
    <row r="127" spans="1:7" ht="12.5">
      <c r="A127" s="5"/>
      <c r="B127" s="5"/>
      <c r="C127" s="5"/>
      <c r="D127" s="91"/>
      <c r="E127" s="21"/>
      <c r="F127" s="5"/>
      <c r="G127" s="75"/>
    </row>
    <row r="128" spans="1:7" ht="12.5">
      <c r="A128" s="5"/>
      <c r="B128" s="5"/>
      <c r="C128" s="5"/>
      <c r="D128" s="91"/>
      <c r="E128" s="21"/>
      <c r="F128" s="5"/>
      <c r="G128" s="75"/>
    </row>
    <row r="129" spans="1:7" ht="12.5">
      <c r="A129" s="5"/>
      <c r="B129" s="5"/>
      <c r="C129" s="5"/>
      <c r="D129" s="91"/>
      <c r="E129" s="21"/>
      <c r="F129" s="5"/>
      <c r="G129" s="75"/>
    </row>
    <row r="130" spans="1:7" ht="12.5">
      <c r="A130" s="5"/>
      <c r="B130" s="5"/>
      <c r="C130" s="5"/>
      <c r="D130" s="91"/>
      <c r="E130" s="21"/>
      <c r="F130" s="5"/>
      <c r="G130" s="75"/>
    </row>
    <row r="131" spans="1:7" ht="12.5">
      <c r="A131" s="5"/>
      <c r="B131" s="5"/>
      <c r="C131" s="5"/>
      <c r="D131" s="91"/>
      <c r="E131" s="21"/>
      <c r="F131" s="5"/>
      <c r="G131" s="75"/>
    </row>
    <row r="132" spans="1:7" ht="12.5">
      <c r="A132" s="5"/>
      <c r="B132" s="5"/>
      <c r="C132" s="5"/>
      <c r="D132" s="91"/>
      <c r="E132" s="21"/>
      <c r="F132" s="5"/>
      <c r="G132" s="75"/>
    </row>
    <row r="133" spans="1:7" ht="12.5">
      <c r="A133" s="5"/>
      <c r="B133" s="5"/>
      <c r="C133" s="5"/>
      <c r="D133" s="91"/>
      <c r="E133" s="21"/>
      <c r="F133" s="5"/>
      <c r="G133" s="75"/>
    </row>
    <row r="134" spans="1:7" ht="12.5">
      <c r="A134" s="5"/>
      <c r="B134" s="5"/>
      <c r="C134" s="5"/>
      <c r="D134" s="91"/>
      <c r="E134" s="21"/>
      <c r="F134" s="5"/>
      <c r="G134" s="75"/>
    </row>
    <row r="135" spans="1:7" ht="12.5">
      <c r="A135" s="5"/>
      <c r="B135" s="5"/>
      <c r="C135" s="5"/>
      <c r="D135" s="91"/>
      <c r="E135" s="21"/>
      <c r="F135" s="5"/>
      <c r="G135" s="75"/>
    </row>
    <row r="136" spans="1:7" ht="12.5">
      <c r="A136" s="5"/>
      <c r="B136" s="5"/>
      <c r="C136" s="5"/>
      <c r="D136" s="91"/>
      <c r="E136" s="21"/>
      <c r="F136" s="5"/>
      <c r="G136" s="75"/>
    </row>
    <row r="137" spans="1:7" ht="12.5">
      <c r="A137" s="5"/>
      <c r="B137" s="5"/>
      <c r="C137" s="5"/>
      <c r="D137" s="91"/>
      <c r="E137" s="21"/>
      <c r="F137" s="5"/>
      <c r="G137" s="75"/>
    </row>
    <row r="138" spans="1:7" ht="12.5">
      <c r="A138" s="5"/>
      <c r="B138" s="5"/>
      <c r="C138" s="5"/>
      <c r="D138" s="91"/>
      <c r="E138" s="21"/>
      <c r="F138" s="5"/>
      <c r="G138" s="75"/>
    </row>
    <row r="139" spans="1:7" ht="12.5">
      <c r="A139" s="5"/>
      <c r="B139" s="5"/>
      <c r="C139" s="5"/>
      <c r="D139" s="91"/>
      <c r="E139" s="21"/>
      <c r="F139" s="5"/>
      <c r="G139" s="75"/>
    </row>
    <row r="140" spans="1:7" ht="12.5">
      <c r="A140" s="5"/>
      <c r="B140" s="5"/>
      <c r="C140" s="5"/>
      <c r="D140" s="91"/>
      <c r="E140" s="21"/>
      <c r="F140" s="5"/>
      <c r="G140" s="75"/>
    </row>
    <row r="141" spans="1:7" ht="12.5">
      <c r="A141" s="5"/>
      <c r="B141" s="5"/>
      <c r="C141" s="5"/>
      <c r="D141" s="91"/>
      <c r="E141" s="21"/>
      <c r="F141" s="5"/>
      <c r="G141" s="75"/>
    </row>
    <row r="142" spans="1:7" ht="12.5">
      <c r="A142" s="5"/>
      <c r="B142" s="5"/>
      <c r="C142" s="5"/>
      <c r="D142" s="91"/>
      <c r="E142" s="21"/>
      <c r="F142" s="5"/>
      <c r="G142" s="75"/>
    </row>
    <row r="143" spans="1:7" ht="12.5">
      <c r="A143" s="5"/>
      <c r="B143" s="5"/>
      <c r="C143" s="5"/>
      <c r="D143" s="91"/>
      <c r="E143" s="21"/>
      <c r="F143" s="5"/>
      <c r="G143" s="75"/>
    </row>
    <row r="144" spans="1:7" ht="12.5">
      <c r="A144" s="5"/>
      <c r="B144" s="5"/>
      <c r="C144" s="5"/>
      <c r="D144" s="91"/>
      <c r="E144" s="21"/>
      <c r="F144" s="5"/>
      <c r="G144" s="75"/>
    </row>
    <row r="145" spans="1:7" ht="12.5">
      <c r="A145" s="5"/>
      <c r="B145" s="5"/>
      <c r="C145" s="5"/>
      <c r="D145" s="91"/>
      <c r="E145" s="21"/>
      <c r="F145" s="5"/>
      <c r="G145" s="75"/>
    </row>
    <row r="146" spans="1:7" ht="12.5">
      <c r="A146" s="5"/>
      <c r="B146" s="5"/>
      <c r="C146" s="5"/>
      <c r="D146" s="91"/>
      <c r="E146" s="21"/>
      <c r="F146" s="5"/>
      <c r="G146" s="75"/>
    </row>
    <row r="147" spans="1:7" ht="12.5">
      <c r="A147" s="5"/>
      <c r="B147" s="5"/>
      <c r="C147" s="5"/>
      <c r="D147" s="91"/>
      <c r="E147" s="21"/>
      <c r="F147" s="5"/>
      <c r="G147" s="75"/>
    </row>
    <row r="148" spans="1:7" ht="12.5">
      <c r="A148" s="5"/>
      <c r="B148" s="5"/>
      <c r="C148" s="5"/>
      <c r="D148" s="91"/>
      <c r="E148" s="21"/>
      <c r="F148" s="5"/>
      <c r="G148" s="75"/>
    </row>
    <row r="149" spans="1:7" ht="12.5">
      <c r="A149" s="5"/>
      <c r="B149" s="5"/>
      <c r="C149" s="5"/>
      <c r="D149" s="91"/>
      <c r="E149" s="21"/>
      <c r="F149" s="5"/>
      <c r="G149" s="75"/>
    </row>
    <row r="150" spans="1:7" ht="12.5">
      <c r="A150" s="5"/>
      <c r="B150" s="5"/>
      <c r="C150" s="5"/>
      <c r="D150" s="91"/>
      <c r="E150" s="21"/>
      <c r="F150" s="5"/>
      <c r="G150" s="75"/>
    </row>
    <row r="151" spans="1:7" ht="12.5">
      <c r="A151" s="5"/>
      <c r="B151" s="5"/>
      <c r="C151" s="5"/>
      <c r="D151" s="91"/>
      <c r="E151" s="21"/>
      <c r="F151" s="5"/>
      <c r="G151" s="75"/>
    </row>
    <row r="152" spans="1:7" ht="12.5">
      <c r="A152" s="5"/>
      <c r="B152" s="5"/>
      <c r="C152" s="5"/>
      <c r="D152" s="91"/>
      <c r="E152" s="21"/>
      <c r="F152" s="5"/>
      <c r="G152" s="75"/>
    </row>
    <row r="153" spans="1:7" ht="12.5">
      <c r="A153" s="5"/>
      <c r="B153" s="5"/>
      <c r="C153" s="5"/>
      <c r="D153" s="91"/>
      <c r="E153" s="21"/>
      <c r="F153" s="5"/>
      <c r="G153" s="75"/>
    </row>
    <row r="154" spans="1:7" ht="12.5">
      <c r="A154" s="5"/>
      <c r="B154" s="5"/>
      <c r="C154" s="5"/>
      <c r="D154" s="91"/>
      <c r="E154" s="21"/>
      <c r="F154" s="5"/>
      <c r="G154" s="75"/>
    </row>
    <row r="155" spans="1:7" ht="12.5">
      <c r="A155" s="5"/>
      <c r="B155" s="5"/>
      <c r="C155" s="5"/>
      <c r="D155" s="91"/>
      <c r="E155" s="21"/>
      <c r="F155" s="5"/>
      <c r="G155" s="75"/>
    </row>
    <row r="156" spans="1:7" ht="12.5">
      <c r="A156" s="5"/>
      <c r="B156" s="5"/>
      <c r="C156" s="5"/>
      <c r="D156" s="91"/>
      <c r="E156" s="21"/>
      <c r="F156" s="5"/>
      <c r="G156" s="75"/>
    </row>
    <row r="157" spans="1:7" ht="12.5">
      <c r="A157" s="5"/>
      <c r="B157" s="5"/>
      <c r="C157" s="5"/>
      <c r="D157" s="91"/>
      <c r="E157" s="21"/>
      <c r="F157" s="5"/>
      <c r="G157" s="75"/>
    </row>
    <row r="158" spans="1:7" ht="12.5">
      <c r="A158" s="5"/>
      <c r="B158" s="5"/>
      <c r="C158" s="5"/>
      <c r="D158" s="91"/>
      <c r="E158" s="21"/>
      <c r="F158" s="5"/>
      <c r="G158" s="75"/>
    </row>
    <row r="159" spans="1:7" ht="12.5">
      <c r="A159" s="5"/>
      <c r="B159" s="5"/>
      <c r="C159" s="5"/>
      <c r="D159" s="91"/>
      <c r="E159" s="21"/>
      <c r="F159" s="5"/>
      <c r="G159" s="75"/>
    </row>
    <row r="160" spans="1:7" ht="12.5">
      <c r="A160" s="5"/>
      <c r="B160" s="5"/>
      <c r="C160" s="5"/>
      <c r="D160" s="91"/>
      <c r="E160" s="21"/>
      <c r="F160" s="5"/>
      <c r="G160" s="75"/>
    </row>
    <row r="161" spans="1:7" ht="12.5">
      <c r="A161" s="5"/>
      <c r="B161" s="5"/>
      <c r="C161" s="5"/>
      <c r="D161" s="91"/>
      <c r="E161" s="21"/>
      <c r="F161" s="5"/>
      <c r="G161" s="75"/>
    </row>
    <row r="162" spans="1:7" ht="12.5">
      <c r="A162" s="5"/>
      <c r="B162" s="5"/>
      <c r="C162" s="5"/>
      <c r="D162" s="91"/>
      <c r="E162" s="21"/>
      <c r="F162" s="5"/>
      <c r="G162" s="75"/>
    </row>
    <row r="163" spans="1:7" ht="12.5">
      <c r="A163" s="5"/>
      <c r="B163" s="5"/>
      <c r="C163" s="5"/>
      <c r="D163" s="91"/>
      <c r="E163" s="21"/>
      <c r="F163" s="5"/>
      <c r="G163" s="75"/>
    </row>
    <row r="164" spans="1:7" ht="12.5">
      <c r="A164" s="5"/>
      <c r="B164" s="5"/>
      <c r="C164" s="5"/>
      <c r="D164" s="91"/>
      <c r="E164" s="21"/>
      <c r="F164" s="5"/>
      <c r="G164" s="75"/>
    </row>
    <row r="165" spans="1:7" ht="12.5">
      <c r="A165" s="5"/>
      <c r="B165" s="5"/>
      <c r="C165" s="5"/>
      <c r="D165" s="91"/>
      <c r="E165" s="21"/>
      <c r="F165" s="5"/>
      <c r="G165" s="75"/>
    </row>
    <row r="166" spans="1:7" ht="12.5">
      <c r="A166" s="5"/>
      <c r="B166" s="5"/>
      <c r="C166" s="5"/>
      <c r="D166" s="91"/>
      <c r="E166" s="21"/>
      <c r="F166" s="5"/>
      <c r="G166" s="75"/>
    </row>
    <row r="167" spans="1:7" ht="12.5">
      <c r="A167" s="5"/>
      <c r="B167" s="5"/>
      <c r="C167" s="5"/>
      <c r="D167" s="91"/>
      <c r="E167" s="21"/>
      <c r="F167" s="5"/>
      <c r="G167" s="75"/>
    </row>
    <row r="168" spans="1:7" ht="12.5">
      <c r="A168" s="5"/>
      <c r="B168" s="5"/>
      <c r="C168" s="5"/>
      <c r="D168" s="91"/>
      <c r="E168" s="21"/>
      <c r="F168" s="5"/>
      <c r="G168" s="75"/>
    </row>
    <row r="169" spans="1:7" ht="12.5">
      <c r="A169" s="5"/>
      <c r="B169" s="5"/>
      <c r="C169" s="5"/>
      <c r="D169" s="91"/>
      <c r="E169" s="21"/>
      <c r="F169" s="5"/>
      <c r="G169" s="75"/>
    </row>
    <row r="170" spans="1:7" ht="12.5">
      <c r="A170" s="5"/>
      <c r="B170" s="5"/>
      <c r="C170" s="5"/>
      <c r="D170" s="91"/>
      <c r="E170" s="21"/>
      <c r="F170" s="5"/>
      <c r="G170" s="75"/>
    </row>
    <row r="171" spans="1:7" ht="12.5">
      <c r="A171" s="5"/>
      <c r="B171" s="5"/>
      <c r="C171" s="5"/>
      <c r="D171" s="91"/>
      <c r="E171" s="21"/>
      <c r="F171" s="5"/>
      <c r="G171" s="75"/>
    </row>
    <row r="172" spans="1:7" ht="12.5">
      <c r="A172" s="5"/>
      <c r="B172" s="5"/>
      <c r="C172" s="5"/>
      <c r="D172" s="91"/>
      <c r="E172" s="21"/>
      <c r="F172" s="5"/>
      <c r="G172" s="75"/>
    </row>
    <row r="173" spans="1:7" ht="12.5">
      <c r="A173" s="5"/>
      <c r="B173" s="5"/>
      <c r="C173" s="5"/>
      <c r="D173" s="91"/>
      <c r="E173" s="21"/>
      <c r="F173" s="5"/>
      <c r="G173" s="75"/>
    </row>
    <row r="174" spans="1:7" ht="12.5">
      <c r="A174" s="5"/>
      <c r="B174" s="5"/>
      <c r="C174" s="5"/>
      <c r="D174" s="91"/>
      <c r="E174" s="21"/>
      <c r="F174" s="5"/>
      <c r="G174" s="75"/>
    </row>
    <row r="175" spans="1:7" ht="12.5">
      <c r="A175" s="5"/>
      <c r="B175" s="5"/>
      <c r="C175" s="5"/>
      <c r="D175" s="91"/>
      <c r="E175" s="21"/>
      <c r="F175" s="5"/>
      <c r="G175" s="75"/>
    </row>
    <row r="176" spans="1:7" ht="12.5">
      <c r="A176" s="5"/>
      <c r="B176" s="5"/>
      <c r="C176" s="5"/>
      <c r="D176" s="91"/>
      <c r="E176" s="21"/>
      <c r="F176" s="5"/>
      <c r="G176" s="75"/>
    </row>
    <row r="177" spans="1:7" ht="12.5">
      <c r="A177" s="5"/>
      <c r="B177" s="5"/>
      <c r="C177" s="5"/>
      <c r="D177" s="91"/>
      <c r="E177" s="21"/>
      <c r="F177" s="5"/>
      <c r="G177" s="75"/>
    </row>
    <row r="178" spans="1:7" ht="12.5">
      <c r="A178" s="5"/>
      <c r="B178" s="5"/>
      <c r="C178" s="5"/>
      <c r="D178" s="91"/>
      <c r="E178" s="21"/>
      <c r="F178" s="5"/>
      <c r="G178" s="75"/>
    </row>
    <row r="179" spans="1:7" ht="12.5">
      <c r="A179" s="5"/>
      <c r="B179" s="5"/>
      <c r="C179" s="5"/>
      <c r="D179" s="91"/>
      <c r="E179" s="21"/>
      <c r="F179" s="5"/>
      <c r="G179" s="75"/>
    </row>
    <row r="180" spans="1:7" ht="12.5">
      <c r="A180" s="5"/>
      <c r="B180" s="5"/>
      <c r="C180" s="5"/>
      <c r="D180" s="91"/>
      <c r="E180" s="21"/>
      <c r="F180" s="5"/>
      <c r="G180" s="75"/>
    </row>
    <row r="181" spans="1:7" ht="12.5">
      <c r="A181" s="5"/>
      <c r="B181" s="5"/>
      <c r="C181" s="5"/>
      <c r="D181" s="91"/>
      <c r="E181" s="21"/>
      <c r="F181" s="5"/>
      <c r="G181" s="75"/>
    </row>
    <row r="182" spans="1:7" ht="12.5">
      <c r="A182" s="5"/>
      <c r="B182" s="5"/>
      <c r="C182" s="5"/>
      <c r="D182" s="91"/>
      <c r="E182" s="21"/>
      <c r="F182" s="5"/>
      <c r="G182" s="75"/>
    </row>
    <row r="183" spans="1:7" ht="12.5">
      <c r="A183" s="5"/>
      <c r="B183" s="5"/>
      <c r="C183" s="5"/>
      <c r="D183" s="91"/>
      <c r="E183" s="21"/>
      <c r="F183" s="5"/>
      <c r="G183" s="75"/>
    </row>
    <row r="184" spans="1:7" ht="12.5">
      <c r="A184" s="5"/>
      <c r="B184" s="5"/>
      <c r="C184" s="5"/>
      <c r="D184" s="91"/>
      <c r="E184" s="21"/>
      <c r="F184" s="5"/>
      <c r="G184" s="75"/>
    </row>
    <row r="185" spans="1:7" ht="12.5">
      <c r="A185" s="5"/>
      <c r="B185" s="5"/>
      <c r="C185" s="5"/>
      <c r="D185" s="91"/>
      <c r="E185" s="21"/>
      <c r="F185" s="5"/>
      <c r="G185" s="75"/>
    </row>
    <row r="186" spans="1:7" ht="12.5">
      <c r="A186" s="5"/>
      <c r="B186" s="5"/>
      <c r="C186" s="5"/>
      <c r="D186" s="91"/>
      <c r="E186" s="21"/>
      <c r="F186" s="5"/>
      <c r="G186" s="75"/>
    </row>
    <row r="187" spans="1:7" ht="12.5">
      <c r="A187" s="5"/>
      <c r="B187" s="5"/>
      <c r="C187" s="5"/>
      <c r="D187" s="91"/>
      <c r="E187" s="21"/>
      <c r="F187" s="5"/>
      <c r="G187" s="75"/>
    </row>
    <row r="188" spans="1:7" ht="12.5">
      <c r="A188" s="5"/>
      <c r="B188" s="5"/>
      <c r="C188" s="5"/>
      <c r="D188" s="91"/>
      <c r="E188" s="21"/>
      <c r="F188" s="5"/>
      <c r="G188" s="75"/>
    </row>
    <row r="189" spans="1:7" ht="12.5">
      <c r="A189" s="5"/>
      <c r="B189" s="5"/>
      <c r="C189" s="5"/>
      <c r="D189" s="91"/>
      <c r="E189" s="21"/>
      <c r="F189" s="5"/>
      <c r="G189" s="75"/>
    </row>
    <row r="190" spans="1:7" ht="12.5">
      <c r="A190" s="5"/>
      <c r="B190" s="5"/>
      <c r="C190" s="5"/>
      <c r="D190" s="91"/>
      <c r="E190" s="21"/>
      <c r="F190" s="5"/>
      <c r="G190" s="75"/>
    </row>
    <row r="191" spans="1:7" ht="12.5">
      <c r="A191" s="5"/>
      <c r="B191" s="5"/>
      <c r="C191" s="5"/>
      <c r="D191" s="91"/>
      <c r="E191" s="21"/>
      <c r="F191" s="5"/>
      <c r="G191" s="75"/>
    </row>
    <row r="192" spans="1:7" ht="12.5">
      <c r="A192" s="5"/>
      <c r="B192" s="5"/>
      <c r="C192" s="5"/>
      <c r="D192" s="91"/>
      <c r="E192" s="21"/>
      <c r="F192" s="5"/>
      <c r="G192" s="75"/>
    </row>
    <row r="193" spans="1:7" ht="12.5">
      <c r="A193" s="5"/>
      <c r="B193" s="5"/>
      <c r="C193" s="5"/>
      <c r="D193" s="91"/>
      <c r="E193" s="21"/>
      <c r="F193" s="5"/>
      <c r="G193" s="75"/>
    </row>
    <row r="194" spans="1:7" ht="12.5">
      <c r="A194" s="5"/>
      <c r="B194" s="5"/>
      <c r="C194" s="5"/>
      <c r="D194" s="91"/>
      <c r="E194" s="21"/>
      <c r="F194" s="5"/>
      <c r="G194" s="75"/>
    </row>
    <row r="195" spans="1:7" ht="12.5">
      <c r="A195" s="5"/>
      <c r="B195" s="5"/>
      <c r="C195" s="5"/>
      <c r="D195" s="91"/>
      <c r="E195" s="21"/>
      <c r="F195" s="5"/>
      <c r="G195" s="75"/>
    </row>
    <row r="196" spans="1:7" ht="12.5">
      <c r="A196" s="5"/>
      <c r="B196" s="5"/>
      <c r="C196" s="5"/>
      <c r="D196" s="91"/>
      <c r="E196" s="21"/>
      <c r="F196" s="5"/>
      <c r="G196" s="75"/>
    </row>
    <row r="197" spans="1:7" ht="12.5">
      <c r="A197" s="5"/>
      <c r="B197" s="5"/>
      <c r="C197" s="5"/>
      <c r="D197" s="91"/>
      <c r="E197" s="21"/>
      <c r="F197" s="5"/>
      <c r="G197" s="75"/>
    </row>
    <row r="198" spans="1:7" ht="12.5">
      <c r="A198" s="5"/>
      <c r="B198" s="5"/>
      <c r="C198" s="5"/>
      <c r="D198" s="91"/>
      <c r="E198" s="21"/>
      <c r="F198" s="5"/>
      <c r="G198" s="75"/>
    </row>
    <row r="199" spans="1:7" ht="12.5">
      <c r="A199" s="5"/>
      <c r="B199" s="5"/>
      <c r="C199" s="5"/>
      <c r="D199" s="91"/>
      <c r="E199" s="21"/>
      <c r="F199" s="5"/>
      <c r="G199" s="75"/>
    </row>
    <row r="200" spans="1:7" ht="12.5">
      <c r="A200" s="5"/>
      <c r="B200" s="5"/>
      <c r="C200" s="5"/>
      <c r="D200" s="91"/>
      <c r="E200" s="21"/>
      <c r="F200" s="5"/>
      <c r="G200" s="75"/>
    </row>
    <row r="201" spans="1:7" ht="12.5">
      <c r="A201" s="5"/>
      <c r="B201" s="5"/>
      <c r="C201" s="5"/>
      <c r="D201" s="91"/>
      <c r="E201" s="21"/>
      <c r="F201" s="5"/>
      <c r="G201" s="75"/>
    </row>
    <row r="202" spans="1:7" ht="12.5">
      <c r="A202" s="5"/>
      <c r="B202" s="5"/>
      <c r="C202" s="5"/>
      <c r="D202" s="91"/>
      <c r="E202" s="21"/>
      <c r="F202" s="5"/>
      <c r="G202" s="75"/>
    </row>
    <row r="203" spans="1:7" ht="12.5">
      <c r="A203" s="5"/>
      <c r="B203" s="5"/>
      <c r="C203" s="5"/>
      <c r="D203" s="91"/>
      <c r="E203" s="21"/>
      <c r="F203" s="5"/>
      <c r="G203" s="75"/>
    </row>
    <row r="204" spans="1:7" ht="12.5">
      <c r="A204" s="5"/>
      <c r="B204" s="5"/>
      <c r="C204" s="5"/>
      <c r="D204" s="91"/>
      <c r="E204" s="21"/>
      <c r="F204" s="5"/>
      <c r="G204" s="75"/>
    </row>
    <row r="205" spans="1:7" ht="12.5">
      <c r="A205" s="5"/>
      <c r="B205" s="5"/>
      <c r="C205" s="5"/>
      <c r="D205" s="91"/>
      <c r="E205" s="21"/>
      <c r="F205" s="5"/>
      <c r="G205" s="75"/>
    </row>
    <row r="206" spans="1:7" ht="12.5">
      <c r="A206" s="5"/>
      <c r="B206" s="5"/>
      <c r="C206" s="5"/>
      <c r="D206" s="91"/>
      <c r="E206" s="21"/>
      <c r="F206" s="5"/>
      <c r="G206" s="75"/>
    </row>
    <row r="207" spans="1:7" ht="12.5">
      <c r="A207" s="5"/>
      <c r="B207" s="5"/>
      <c r="C207" s="5"/>
      <c r="D207" s="91"/>
      <c r="E207" s="21"/>
      <c r="F207" s="5"/>
      <c r="G207" s="75"/>
    </row>
    <row r="208" spans="1:7" ht="12.5">
      <c r="A208" s="5"/>
      <c r="B208" s="5"/>
      <c r="C208" s="5"/>
      <c r="D208" s="91"/>
      <c r="E208" s="21"/>
      <c r="F208" s="5"/>
      <c r="G208" s="75"/>
    </row>
    <row r="209" spans="1:7" ht="12.5">
      <c r="A209" s="5"/>
      <c r="B209" s="5"/>
      <c r="C209" s="5"/>
      <c r="D209" s="91"/>
      <c r="E209" s="21"/>
      <c r="F209" s="5"/>
      <c r="G209" s="75"/>
    </row>
    <row r="210" spans="1:7" ht="12.5">
      <c r="A210" s="5"/>
      <c r="B210" s="5"/>
      <c r="C210" s="5"/>
      <c r="D210" s="91"/>
      <c r="E210" s="21"/>
      <c r="F210" s="5"/>
      <c r="G210" s="75"/>
    </row>
    <row r="211" spans="1:7" ht="12.5">
      <c r="A211" s="5"/>
      <c r="B211" s="5"/>
      <c r="C211" s="5"/>
      <c r="D211" s="91"/>
      <c r="E211" s="21"/>
      <c r="F211" s="5"/>
      <c r="G211" s="75"/>
    </row>
    <row r="212" spans="1:7" ht="12.5">
      <c r="A212" s="5"/>
      <c r="B212" s="5"/>
      <c r="C212" s="5"/>
      <c r="D212" s="91"/>
      <c r="E212" s="21"/>
      <c r="F212" s="5"/>
      <c r="G212" s="75"/>
    </row>
    <row r="213" spans="1:7" ht="12.5">
      <c r="A213" s="5"/>
      <c r="B213" s="5"/>
      <c r="C213" s="5"/>
      <c r="D213" s="91"/>
      <c r="E213" s="21"/>
      <c r="F213" s="5"/>
      <c r="G213" s="75"/>
    </row>
    <row r="214" spans="1:7" ht="12.5">
      <c r="A214" s="5"/>
      <c r="B214" s="5"/>
      <c r="C214" s="5"/>
      <c r="D214" s="91"/>
      <c r="E214" s="21"/>
      <c r="F214" s="5"/>
      <c r="G214" s="75"/>
    </row>
    <row r="215" spans="1:7" ht="12.5">
      <c r="A215" s="5"/>
      <c r="B215" s="5"/>
      <c r="C215" s="5"/>
      <c r="D215" s="91"/>
      <c r="E215" s="21"/>
      <c r="F215" s="5"/>
      <c r="G215" s="75"/>
    </row>
    <row r="216" spans="1:7" ht="12.5">
      <c r="A216" s="5"/>
      <c r="B216" s="5"/>
      <c r="C216" s="5"/>
      <c r="D216" s="91"/>
      <c r="E216" s="21"/>
      <c r="F216" s="5"/>
      <c r="G216" s="75"/>
    </row>
    <row r="217" spans="1:7" ht="12.5">
      <c r="A217" s="5"/>
      <c r="B217" s="5"/>
      <c r="C217" s="5"/>
      <c r="D217" s="91"/>
      <c r="E217" s="21"/>
      <c r="F217" s="5"/>
      <c r="G217" s="75"/>
    </row>
    <row r="218" spans="1:7" ht="12.5">
      <c r="A218" s="5"/>
      <c r="B218" s="5"/>
      <c r="C218" s="5"/>
      <c r="D218" s="91"/>
      <c r="E218" s="21"/>
      <c r="F218" s="5"/>
      <c r="G218" s="75"/>
    </row>
    <row r="219" spans="1:7" ht="12.5">
      <c r="A219" s="5"/>
      <c r="B219" s="5"/>
      <c r="C219" s="5"/>
      <c r="D219" s="91"/>
      <c r="E219" s="21"/>
      <c r="F219" s="5"/>
      <c r="G219" s="75"/>
    </row>
    <row r="220" spans="1:7" ht="12.5">
      <c r="A220" s="5"/>
      <c r="B220" s="5"/>
      <c r="C220" s="5"/>
      <c r="D220" s="91"/>
      <c r="E220" s="21"/>
      <c r="F220" s="5"/>
      <c r="G220" s="75"/>
    </row>
    <row r="221" spans="1:7" ht="12.5">
      <c r="A221" s="5"/>
      <c r="B221" s="5"/>
      <c r="C221" s="5"/>
      <c r="D221" s="91"/>
      <c r="E221" s="21"/>
      <c r="F221" s="5"/>
      <c r="G221" s="75"/>
    </row>
    <row r="222" spans="1:7" ht="12.5">
      <c r="A222" s="5"/>
      <c r="B222" s="5"/>
      <c r="C222" s="5"/>
      <c r="D222" s="91"/>
      <c r="E222" s="21"/>
      <c r="F222" s="5"/>
      <c r="G222" s="75"/>
    </row>
    <row r="223" spans="1:7" ht="12.5">
      <c r="A223" s="5"/>
      <c r="B223" s="5"/>
      <c r="C223" s="5"/>
      <c r="D223" s="91"/>
      <c r="E223" s="21"/>
      <c r="F223" s="5"/>
      <c r="G223" s="75"/>
    </row>
    <row r="224" spans="1:7" ht="12.5">
      <c r="A224" s="5"/>
      <c r="B224" s="5"/>
      <c r="C224" s="5"/>
      <c r="D224" s="91"/>
      <c r="E224" s="21"/>
      <c r="F224" s="5"/>
      <c r="G224" s="75"/>
    </row>
    <row r="225" spans="1:7" ht="12.5">
      <c r="A225" s="5"/>
      <c r="B225" s="5"/>
      <c r="C225" s="5"/>
      <c r="D225" s="91"/>
      <c r="E225" s="21"/>
      <c r="F225" s="5"/>
      <c r="G225" s="75"/>
    </row>
    <row r="226" spans="1:7" ht="12.5">
      <c r="A226" s="5"/>
      <c r="B226" s="5"/>
      <c r="C226" s="5"/>
      <c r="D226" s="91"/>
      <c r="E226" s="21"/>
      <c r="F226" s="5"/>
      <c r="G226" s="75"/>
    </row>
    <row r="227" spans="1:7" ht="12.5">
      <c r="A227" s="5"/>
      <c r="B227" s="5"/>
      <c r="C227" s="5"/>
      <c r="D227" s="91"/>
      <c r="E227" s="21"/>
      <c r="F227" s="5"/>
      <c r="G227" s="75"/>
    </row>
    <row r="228" spans="1:7" ht="12.5">
      <c r="A228" s="5"/>
      <c r="B228" s="5"/>
      <c r="C228" s="5"/>
      <c r="D228" s="91"/>
      <c r="E228" s="21"/>
      <c r="F228" s="5"/>
      <c r="G228" s="75"/>
    </row>
    <row r="229" spans="1:7" ht="12.5">
      <c r="A229" s="5"/>
      <c r="B229" s="5"/>
      <c r="C229" s="5"/>
      <c r="D229" s="91"/>
      <c r="E229" s="21"/>
      <c r="F229" s="5"/>
      <c r="G229" s="75"/>
    </row>
    <row r="230" spans="1:7" ht="12.5">
      <c r="A230" s="5"/>
      <c r="B230" s="5"/>
      <c r="C230" s="5"/>
      <c r="D230" s="91"/>
      <c r="E230" s="21"/>
      <c r="F230" s="5"/>
      <c r="G230" s="75"/>
    </row>
    <row r="231" spans="1:7" ht="12.5">
      <c r="A231" s="5"/>
      <c r="B231" s="5"/>
      <c r="C231" s="5"/>
      <c r="D231" s="91"/>
      <c r="E231" s="21"/>
      <c r="F231" s="5"/>
      <c r="G231" s="75"/>
    </row>
    <row r="232" spans="1:7" ht="12.5">
      <c r="A232" s="5"/>
      <c r="B232" s="5"/>
      <c r="C232" s="5"/>
      <c r="D232" s="91"/>
      <c r="E232" s="21"/>
      <c r="F232" s="5"/>
      <c r="G232" s="75"/>
    </row>
    <row r="233" spans="1:7" ht="12.5">
      <c r="A233" s="5"/>
      <c r="B233" s="5"/>
      <c r="C233" s="5"/>
      <c r="D233" s="91"/>
      <c r="E233" s="21"/>
      <c r="F233" s="5"/>
      <c r="G233" s="75"/>
    </row>
    <row r="234" spans="1:7" ht="12.5">
      <c r="A234" s="5"/>
      <c r="B234" s="5"/>
      <c r="C234" s="5"/>
      <c r="D234" s="91"/>
      <c r="E234" s="21"/>
      <c r="F234" s="5"/>
      <c r="G234" s="75"/>
    </row>
    <row r="235" spans="1:7" ht="12.5">
      <c r="A235" s="5"/>
      <c r="B235" s="5"/>
      <c r="C235" s="5"/>
      <c r="D235" s="91"/>
      <c r="E235" s="21"/>
      <c r="F235" s="5"/>
      <c r="G235" s="75"/>
    </row>
    <row r="236" spans="1:7" ht="12.5">
      <c r="A236" s="5"/>
      <c r="B236" s="5"/>
      <c r="C236" s="5"/>
      <c r="D236" s="91"/>
      <c r="E236" s="21"/>
      <c r="F236" s="5"/>
      <c r="G236" s="75"/>
    </row>
    <row r="237" spans="1:7" ht="12.5">
      <c r="A237" s="5"/>
      <c r="B237" s="5"/>
      <c r="C237" s="5"/>
      <c r="D237" s="91"/>
      <c r="E237" s="21"/>
      <c r="F237" s="5"/>
      <c r="G237" s="75"/>
    </row>
    <row r="238" spans="1:7" ht="12.5">
      <c r="A238" s="5"/>
      <c r="B238" s="5"/>
      <c r="C238" s="5"/>
      <c r="D238" s="91"/>
      <c r="E238" s="21"/>
      <c r="F238" s="5"/>
      <c r="G238" s="75"/>
    </row>
    <row r="239" spans="1:7" ht="12.5">
      <c r="A239" s="5"/>
      <c r="B239" s="5"/>
      <c r="C239" s="5"/>
      <c r="D239" s="91"/>
      <c r="E239" s="21"/>
      <c r="F239" s="5"/>
      <c r="G239" s="75"/>
    </row>
    <row r="240" spans="1:7" ht="12.5">
      <c r="A240" s="5"/>
      <c r="B240" s="5"/>
      <c r="C240" s="5"/>
      <c r="D240" s="91"/>
      <c r="E240" s="21"/>
      <c r="F240" s="5"/>
      <c r="G240" s="75"/>
    </row>
    <row r="241" spans="1:7" ht="12.5">
      <c r="A241" s="5"/>
      <c r="B241" s="5"/>
      <c r="C241" s="5"/>
      <c r="D241" s="91"/>
      <c r="E241" s="21"/>
      <c r="F241" s="5"/>
      <c r="G241" s="75"/>
    </row>
    <row r="242" spans="1:7" ht="12.5">
      <c r="A242" s="5"/>
      <c r="B242" s="5"/>
      <c r="C242" s="5"/>
      <c r="D242" s="91"/>
      <c r="E242" s="21"/>
      <c r="F242" s="5"/>
      <c r="G242" s="75"/>
    </row>
    <row r="243" spans="1:7" ht="12.5">
      <c r="A243" s="5"/>
      <c r="B243" s="5"/>
      <c r="C243" s="5"/>
      <c r="D243" s="91"/>
      <c r="E243" s="21"/>
      <c r="F243" s="5"/>
      <c r="G243" s="75"/>
    </row>
    <row r="244" spans="1:7" ht="12.5">
      <c r="A244" s="5"/>
      <c r="B244" s="5"/>
      <c r="C244" s="5"/>
      <c r="D244" s="91"/>
      <c r="E244" s="21"/>
      <c r="F244" s="5"/>
      <c r="G244" s="75"/>
    </row>
    <row r="245" spans="1:7" ht="12.5">
      <c r="A245" s="5"/>
      <c r="B245" s="5"/>
      <c r="C245" s="5"/>
      <c r="D245" s="91"/>
      <c r="E245" s="21"/>
      <c r="F245" s="5"/>
      <c r="G245" s="75"/>
    </row>
    <row r="246" spans="1:7" ht="12.5">
      <c r="A246" s="5"/>
      <c r="B246" s="5"/>
      <c r="C246" s="5"/>
      <c r="D246" s="91"/>
      <c r="E246" s="21"/>
      <c r="F246" s="5"/>
      <c r="G246" s="75"/>
    </row>
    <row r="247" spans="1:7" ht="12.5">
      <c r="A247" s="5"/>
      <c r="B247" s="5"/>
      <c r="C247" s="5"/>
      <c r="D247" s="91"/>
      <c r="E247" s="21"/>
      <c r="F247" s="5"/>
      <c r="G247" s="75"/>
    </row>
    <row r="248" spans="1:7" ht="12.5">
      <c r="A248" s="5"/>
      <c r="B248" s="5"/>
      <c r="C248" s="5"/>
      <c r="D248" s="91"/>
      <c r="E248" s="21"/>
      <c r="F248" s="5"/>
      <c r="G248" s="75"/>
    </row>
    <row r="249" spans="1:7" ht="12.5">
      <c r="A249" s="5"/>
      <c r="B249" s="5"/>
      <c r="C249" s="5"/>
      <c r="D249" s="91"/>
      <c r="E249" s="21"/>
      <c r="F249" s="5"/>
      <c r="G249" s="75"/>
    </row>
    <row r="250" spans="1:7" ht="12.5">
      <c r="A250" s="5"/>
      <c r="B250" s="5"/>
      <c r="C250" s="5"/>
      <c r="D250" s="91"/>
      <c r="E250" s="21"/>
      <c r="F250" s="5"/>
      <c r="G250" s="75"/>
    </row>
    <row r="251" spans="1:7" ht="12.5">
      <c r="A251" s="5"/>
      <c r="B251" s="5"/>
      <c r="C251" s="5"/>
      <c r="D251" s="91"/>
      <c r="E251" s="21"/>
      <c r="F251" s="5"/>
      <c r="G251" s="75"/>
    </row>
    <row r="252" spans="1:7" ht="12.5">
      <c r="A252" s="5"/>
      <c r="B252" s="5"/>
      <c r="C252" s="5"/>
      <c r="D252" s="91"/>
      <c r="E252" s="21"/>
      <c r="F252" s="5"/>
      <c r="G252" s="75"/>
    </row>
    <row r="253" spans="1:7" ht="12.5">
      <c r="A253" s="5"/>
      <c r="B253" s="5"/>
      <c r="C253" s="5"/>
      <c r="D253" s="91"/>
      <c r="E253" s="21"/>
      <c r="F253" s="5"/>
      <c r="G253" s="75"/>
    </row>
    <row r="254" spans="1:7" ht="12.5">
      <c r="A254" s="5"/>
      <c r="B254" s="5"/>
      <c r="C254" s="5"/>
      <c r="D254" s="91"/>
      <c r="E254" s="21"/>
      <c r="F254" s="5"/>
      <c r="G254" s="75"/>
    </row>
    <row r="255" spans="1:7" ht="12.5">
      <c r="A255" s="5"/>
      <c r="B255" s="5"/>
      <c r="C255" s="5"/>
      <c r="D255" s="91"/>
      <c r="E255" s="21"/>
      <c r="F255" s="5"/>
      <c r="G255" s="75"/>
    </row>
    <row r="256" spans="1:7" ht="12.5">
      <c r="A256" s="5"/>
      <c r="B256" s="5"/>
      <c r="C256" s="5"/>
      <c r="D256" s="91"/>
      <c r="E256" s="21"/>
      <c r="F256" s="5"/>
      <c r="G256" s="75"/>
    </row>
    <row r="257" spans="1:7" ht="12.5">
      <c r="A257" s="5"/>
      <c r="B257" s="5"/>
      <c r="C257" s="5"/>
      <c r="D257" s="91"/>
      <c r="E257" s="21"/>
      <c r="F257" s="5"/>
      <c r="G257" s="75"/>
    </row>
    <row r="258" spans="1:7" ht="12.5">
      <c r="A258" s="5"/>
      <c r="B258" s="5"/>
      <c r="C258" s="5"/>
      <c r="D258" s="91"/>
      <c r="E258" s="21"/>
      <c r="F258" s="5"/>
      <c r="G258" s="75"/>
    </row>
    <row r="259" spans="1:7" ht="12.5">
      <c r="A259" s="5"/>
      <c r="B259" s="5"/>
      <c r="C259" s="5"/>
      <c r="D259" s="91"/>
      <c r="E259" s="21"/>
      <c r="F259" s="5"/>
      <c r="G259" s="75"/>
    </row>
    <row r="260" spans="1:7" ht="12.5">
      <c r="A260" s="5"/>
      <c r="B260" s="5"/>
      <c r="C260" s="5"/>
      <c r="D260" s="91"/>
      <c r="E260" s="21"/>
      <c r="F260" s="5"/>
      <c r="G260" s="75"/>
    </row>
    <row r="261" spans="1:7" ht="12.5">
      <c r="A261" s="5"/>
      <c r="B261" s="5"/>
      <c r="C261" s="5"/>
      <c r="D261" s="91"/>
      <c r="E261" s="21"/>
      <c r="F261" s="5"/>
      <c r="G261" s="75"/>
    </row>
    <row r="262" spans="1:7" ht="12.5">
      <c r="A262" s="5"/>
      <c r="B262" s="5"/>
      <c r="C262" s="5"/>
      <c r="D262" s="91"/>
      <c r="E262" s="21"/>
      <c r="F262" s="5"/>
      <c r="G262" s="75"/>
    </row>
    <row r="263" spans="1:7" ht="12.5">
      <c r="A263" s="5"/>
      <c r="B263" s="5"/>
      <c r="C263" s="5"/>
      <c r="D263" s="91"/>
      <c r="E263" s="21"/>
      <c r="F263" s="5"/>
      <c r="G263" s="75"/>
    </row>
    <row r="264" spans="1:7" ht="12.5">
      <c r="A264" s="5"/>
      <c r="B264" s="5"/>
      <c r="C264" s="5"/>
      <c r="D264" s="91"/>
      <c r="E264" s="21"/>
      <c r="F264" s="5"/>
      <c r="G264" s="75"/>
    </row>
    <row r="265" spans="1:7" ht="12.5">
      <c r="A265" s="5"/>
      <c r="B265" s="5"/>
      <c r="C265" s="5"/>
      <c r="D265" s="91"/>
      <c r="E265" s="21"/>
      <c r="F265" s="5"/>
      <c r="G265" s="75"/>
    </row>
    <row r="266" spans="1:7" ht="12.5">
      <c r="A266" s="5"/>
      <c r="B266" s="5"/>
      <c r="C266" s="5"/>
      <c r="D266" s="91"/>
      <c r="E266" s="21"/>
      <c r="F266" s="5"/>
      <c r="G266" s="75"/>
    </row>
    <row r="267" spans="1:7" ht="12.5">
      <c r="A267" s="5"/>
      <c r="B267" s="5"/>
      <c r="C267" s="5"/>
      <c r="D267" s="91"/>
      <c r="E267" s="21"/>
      <c r="F267" s="5"/>
      <c r="G267" s="75"/>
    </row>
    <row r="268" spans="1:7" ht="12.5">
      <c r="A268" s="5"/>
      <c r="B268" s="5"/>
      <c r="C268" s="5"/>
      <c r="D268" s="91"/>
      <c r="E268" s="21"/>
      <c r="F268" s="5"/>
      <c r="G268" s="75"/>
    </row>
    <row r="269" spans="1:7" ht="12.5">
      <c r="A269" s="5"/>
      <c r="B269" s="5"/>
      <c r="C269" s="5"/>
      <c r="D269" s="91"/>
      <c r="E269" s="21"/>
      <c r="F269" s="5"/>
      <c r="G269" s="75"/>
    </row>
    <row r="270" spans="1:7" ht="12.5">
      <c r="A270" s="5"/>
      <c r="B270" s="5"/>
      <c r="C270" s="5"/>
      <c r="D270" s="91"/>
      <c r="E270" s="21"/>
      <c r="F270" s="5"/>
      <c r="G270" s="75"/>
    </row>
    <row r="271" spans="1:7" ht="12.5">
      <c r="A271" s="5"/>
      <c r="B271" s="5"/>
      <c r="C271" s="5"/>
      <c r="D271" s="91"/>
      <c r="E271" s="21"/>
      <c r="F271" s="5"/>
      <c r="G271" s="75"/>
    </row>
    <row r="272" spans="1:7" ht="12.5">
      <c r="A272" s="5"/>
      <c r="B272" s="5"/>
      <c r="C272" s="5"/>
      <c r="D272" s="91"/>
      <c r="E272" s="21"/>
      <c r="F272" s="5"/>
      <c r="G272" s="75"/>
    </row>
    <row r="273" spans="1:7" ht="12.5">
      <c r="A273" s="5"/>
      <c r="B273" s="5"/>
      <c r="C273" s="5"/>
      <c r="D273" s="91"/>
      <c r="E273" s="21"/>
      <c r="F273" s="5"/>
      <c r="G273" s="75"/>
    </row>
    <row r="274" spans="1:7" ht="12.5">
      <c r="A274" s="5"/>
      <c r="B274" s="5"/>
      <c r="C274" s="5"/>
      <c r="D274" s="91"/>
      <c r="E274" s="21"/>
      <c r="F274" s="5"/>
      <c r="G274" s="75"/>
    </row>
    <row r="275" spans="1:7" ht="12.5">
      <c r="A275" s="5"/>
      <c r="B275" s="5"/>
      <c r="C275" s="5"/>
      <c r="D275" s="91"/>
      <c r="E275" s="21"/>
      <c r="F275" s="5"/>
      <c r="G275" s="75"/>
    </row>
    <row r="276" spans="1:7" ht="12.5">
      <c r="A276" s="5"/>
      <c r="B276" s="5"/>
      <c r="C276" s="5"/>
      <c r="D276" s="91"/>
      <c r="E276" s="21"/>
      <c r="F276" s="5"/>
      <c r="G276" s="75"/>
    </row>
    <row r="277" spans="1:7" ht="12.5">
      <c r="A277" s="5"/>
      <c r="B277" s="5"/>
      <c r="C277" s="5"/>
      <c r="D277" s="91"/>
      <c r="E277" s="21"/>
      <c r="F277" s="5"/>
      <c r="G277" s="75"/>
    </row>
    <row r="278" spans="1:7" ht="12.5">
      <c r="A278" s="5"/>
      <c r="B278" s="5"/>
      <c r="C278" s="5"/>
      <c r="D278" s="91"/>
      <c r="E278" s="21"/>
      <c r="F278" s="5"/>
      <c r="G278" s="75"/>
    </row>
    <row r="279" spans="1:7" ht="12.5">
      <c r="A279" s="5"/>
      <c r="B279" s="5"/>
      <c r="C279" s="5"/>
      <c r="D279" s="91"/>
      <c r="E279" s="21"/>
      <c r="F279" s="5"/>
      <c r="G279" s="75"/>
    </row>
    <row r="280" spans="1:7" ht="12.5">
      <c r="A280" s="5"/>
      <c r="B280" s="5"/>
      <c r="C280" s="5"/>
      <c r="D280" s="91"/>
      <c r="E280" s="21"/>
      <c r="F280" s="5"/>
      <c r="G280" s="75"/>
    </row>
    <row r="281" spans="1:7" ht="12.5">
      <c r="A281" s="5"/>
      <c r="B281" s="5"/>
      <c r="C281" s="5"/>
      <c r="D281" s="91"/>
      <c r="E281" s="21"/>
      <c r="F281" s="5"/>
      <c r="G281" s="75"/>
    </row>
    <row r="282" spans="1:7" ht="12.5">
      <c r="A282" s="5"/>
      <c r="B282" s="5"/>
      <c r="C282" s="5"/>
      <c r="D282" s="91"/>
      <c r="E282" s="21"/>
      <c r="F282" s="5"/>
      <c r="G282" s="75"/>
    </row>
    <row r="283" spans="1:7" ht="12.5">
      <c r="A283" s="5"/>
      <c r="B283" s="5"/>
      <c r="C283" s="5"/>
      <c r="D283" s="91"/>
      <c r="E283" s="21"/>
      <c r="F283" s="5"/>
      <c r="G283" s="75"/>
    </row>
    <row r="284" spans="1:7" ht="12.5">
      <c r="A284" s="5"/>
      <c r="B284" s="5"/>
      <c r="C284" s="5"/>
      <c r="D284" s="91"/>
      <c r="E284" s="21"/>
      <c r="F284" s="5"/>
      <c r="G284" s="75"/>
    </row>
    <row r="285" spans="1:7" ht="12.5">
      <c r="A285" s="5"/>
      <c r="B285" s="5"/>
      <c r="C285" s="5"/>
      <c r="D285" s="91"/>
      <c r="E285" s="21"/>
      <c r="F285" s="5"/>
      <c r="G285" s="75"/>
    </row>
    <row r="286" spans="1:7" ht="12.5">
      <c r="A286" s="5"/>
      <c r="B286" s="5"/>
      <c r="C286" s="5"/>
      <c r="D286" s="91"/>
      <c r="E286" s="21"/>
      <c r="F286" s="5"/>
      <c r="G286" s="75"/>
    </row>
    <row r="287" spans="1:7" ht="12.5">
      <c r="A287" s="5"/>
      <c r="B287" s="5"/>
      <c r="C287" s="5"/>
      <c r="D287" s="91"/>
      <c r="E287" s="21"/>
      <c r="F287" s="5"/>
      <c r="G287" s="75"/>
    </row>
    <row r="288" spans="1:7" ht="12.5">
      <c r="A288" s="5"/>
      <c r="B288" s="5"/>
      <c r="C288" s="5"/>
      <c r="D288" s="91"/>
      <c r="E288" s="21"/>
      <c r="F288" s="5"/>
      <c r="G288" s="75"/>
    </row>
    <row r="289" spans="1:7" ht="12.5">
      <c r="A289" s="5"/>
      <c r="B289" s="5"/>
      <c r="C289" s="5"/>
      <c r="D289" s="91"/>
      <c r="E289" s="21"/>
      <c r="F289" s="5"/>
      <c r="G289" s="75"/>
    </row>
    <row r="290" spans="1:7" ht="12.5">
      <c r="A290" s="5"/>
      <c r="B290" s="5"/>
      <c r="C290" s="5"/>
      <c r="D290" s="91"/>
      <c r="E290" s="21"/>
      <c r="F290" s="5"/>
      <c r="G290" s="75"/>
    </row>
    <row r="291" spans="1:7" ht="12.5">
      <c r="A291" s="5"/>
      <c r="B291" s="5"/>
      <c r="C291" s="5"/>
      <c r="D291" s="91"/>
      <c r="E291" s="21"/>
      <c r="F291" s="5"/>
      <c r="G291" s="75"/>
    </row>
    <row r="292" spans="1:7" ht="12.5">
      <c r="A292" s="5"/>
      <c r="B292" s="5"/>
      <c r="C292" s="5"/>
      <c r="D292" s="91"/>
      <c r="E292" s="21"/>
      <c r="F292" s="5"/>
      <c r="G292" s="75"/>
    </row>
    <row r="293" spans="1:7" ht="12.5">
      <c r="A293" s="5"/>
      <c r="B293" s="5"/>
      <c r="C293" s="5"/>
      <c r="D293" s="91"/>
      <c r="E293" s="21"/>
      <c r="F293" s="5"/>
      <c r="G293" s="75"/>
    </row>
    <row r="294" spans="1:7" ht="12.5">
      <c r="A294" s="5"/>
      <c r="B294" s="5"/>
      <c r="C294" s="5"/>
      <c r="D294" s="91"/>
      <c r="E294" s="21"/>
      <c r="F294" s="5"/>
      <c r="G294" s="75"/>
    </row>
    <row r="295" spans="1:7" ht="12.5">
      <c r="A295" s="5"/>
      <c r="B295" s="5"/>
      <c r="C295" s="5"/>
      <c r="D295" s="91"/>
      <c r="E295" s="21"/>
      <c r="F295" s="5"/>
      <c r="G295" s="75"/>
    </row>
    <row r="296" spans="1:7" ht="12.5">
      <c r="A296" s="5"/>
      <c r="B296" s="5"/>
      <c r="C296" s="5"/>
      <c r="D296" s="91"/>
      <c r="E296" s="21"/>
      <c r="F296" s="5"/>
      <c r="G296" s="75"/>
    </row>
    <row r="297" spans="1:7" ht="12.5">
      <c r="A297" s="5"/>
      <c r="B297" s="5"/>
      <c r="C297" s="5"/>
      <c r="D297" s="91"/>
      <c r="E297" s="21"/>
      <c r="F297" s="5"/>
      <c r="G297" s="75"/>
    </row>
    <row r="298" spans="1:7" ht="12.5">
      <c r="A298" s="5"/>
      <c r="B298" s="5"/>
      <c r="C298" s="5"/>
      <c r="D298" s="91"/>
      <c r="E298" s="21"/>
      <c r="F298" s="5"/>
      <c r="G298" s="75"/>
    </row>
    <row r="299" spans="1:7" ht="12.5">
      <c r="A299" s="5"/>
      <c r="B299" s="5"/>
      <c r="C299" s="5"/>
      <c r="D299" s="91"/>
      <c r="E299" s="21"/>
      <c r="F299" s="5"/>
      <c r="G299" s="75"/>
    </row>
    <row r="300" spans="1:7" ht="12.5">
      <c r="A300" s="5"/>
      <c r="B300" s="5"/>
      <c r="C300" s="5"/>
      <c r="D300" s="91"/>
      <c r="E300" s="21"/>
      <c r="F300" s="5"/>
      <c r="G300" s="75"/>
    </row>
    <row r="301" spans="1:7" ht="12.5">
      <c r="A301" s="5"/>
      <c r="B301" s="5"/>
      <c r="C301" s="5"/>
      <c r="D301" s="91"/>
      <c r="E301" s="21"/>
      <c r="F301" s="5"/>
      <c r="G301" s="75"/>
    </row>
    <row r="302" spans="1:7" ht="12.5">
      <c r="A302" s="5"/>
      <c r="B302" s="5"/>
      <c r="C302" s="5"/>
      <c r="D302" s="91"/>
      <c r="E302" s="21"/>
      <c r="F302" s="5"/>
      <c r="G302" s="75"/>
    </row>
    <row r="303" spans="1:7" ht="12.5">
      <c r="A303" s="5"/>
      <c r="B303" s="5"/>
      <c r="C303" s="5"/>
      <c r="D303" s="91"/>
      <c r="E303" s="21"/>
      <c r="F303" s="5"/>
      <c r="G303" s="75"/>
    </row>
    <row r="304" spans="1:7" ht="12.5">
      <c r="A304" s="5"/>
      <c r="B304" s="5"/>
      <c r="C304" s="5"/>
      <c r="D304" s="91"/>
      <c r="E304" s="21"/>
      <c r="F304" s="5"/>
      <c r="G304" s="75"/>
    </row>
    <row r="305" spans="1:7" ht="12.5">
      <c r="A305" s="5"/>
      <c r="B305" s="5"/>
      <c r="C305" s="5"/>
      <c r="D305" s="91"/>
      <c r="E305" s="21"/>
      <c r="F305" s="5"/>
      <c r="G305" s="75"/>
    </row>
    <row r="306" spans="1:7" ht="12.5">
      <c r="A306" s="5"/>
      <c r="B306" s="5"/>
      <c r="C306" s="5"/>
      <c r="D306" s="91"/>
      <c r="E306" s="21"/>
      <c r="F306" s="5"/>
      <c r="G306" s="75"/>
    </row>
    <row r="307" spans="1:7" ht="12.5">
      <c r="A307" s="5"/>
      <c r="B307" s="5"/>
      <c r="C307" s="5"/>
      <c r="D307" s="91"/>
      <c r="E307" s="21"/>
      <c r="F307" s="5"/>
      <c r="G307" s="75"/>
    </row>
    <row r="308" spans="1:7" ht="12.5">
      <c r="A308" s="5"/>
      <c r="B308" s="5"/>
      <c r="C308" s="5"/>
      <c r="D308" s="91"/>
      <c r="E308" s="21"/>
      <c r="F308" s="5"/>
      <c r="G308" s="75"/>
    </row>
    <row r="309" spans="1:7" ht="12.5">
      <c r="A309" s="5"/>
      <c r="B309" s="5"/>
      <c r="C309" s="5"/>
      <c r="D309" s="91"/>
      <c r="E309" s="21"/>
      <c r="F309" s="5"/>
      <c r="G309" s="75"/>
    </row>
    <row r="310" spans="1:7" ht="12.5">
      <c r="A310" s="5"/>
      <c r="B310" s="5"/>
      <c r="C310" s="5"/>
      <c r="D310" s="91"/>
      <c r="E310" s="21"/>
      <c r="F310" s="5"/>
      <c r="G310" s="75"/>
    </row>
    <row r="311" spans="1:7" ht="12.5">
      <c r="A311" s="5"/>
      <c r="B311" s="5"/>
      <c r="C311" s="5"/>
      <c r="D311" s="91"/>
      <c r="E311" s="21"/>
      <c r="F311" s="5"/>
      <c r="G311" s="75"/>
    </row>
    <row r="312" spans="1:7" ht="12.5">
      <c r="A312" s="5"/>
      <c r="B312" s="5"/>
      <c r="C312" s="5"/>
      <c r="D312" s="91"/>
      <c r="E312" s="21"/>
      <c r="F312" s="5"/>
      <c r="G312" s="75"/>
    </row>
    <row r="313" spans="1:7" ht="12.5">
      <c r="A313" s="5"/>
      <c r="B313" s="5"/>
      <c r="C313" s="5"/>
      <c r="D313" s="91"/>
      <c r="E313" s="21"/>
      <c r="F313" s="5"/>
      <c r="G313" s="75"/>
    </row>
    <row r="314" spans="1:7" ht="12.5">
      <c r="A314" s="5"/>
      <c r="B314" s="5"/>
      <c r="C314" s="5"/>
      <c r="D314" s="91"/>
      <c r="E314" s="21"/>
      <c r="F314" s="5"/>
      <c r="G314" s="75"/>
    </row>
    <row r="315" spans="1:7" ht="12.5">
      <c r="A315" s="5"/>
      <c r="B315" s="5"/>
      <c r="C315" s="5"/>
      <c r="D315" s="91"/>
      <c r="E315" s="21"/>
      <c r="F315" s="5"/>
      <c r="G315" s="75"/>
    </row>
    <row r="316" spans="1:7" ht="12.5">
      <c r="A316" s="5"/>
      <c r="B316" s="5"/>
      <c r="C316" s="5"/>
      <c r="D316" s="91"/>
      <c r="E316" s="21"/>
      <c r="F316" s="5"/>
      <c r="G316" s="75"/>
    </row>
    <row r="317" spans="1:7" ht="12.5">
      <c r="A317" s="5"/>
      <c r="B317" s="5"/>
      <c r="C317" s="5"/>
      <c r="D317" s="91"/>
      <c r="E317" s="21"/>
      <c r="F317" s="5"/>
      <c r="G317" s="75"/>
    </row>
    <row r="318" spans="1:7" ht="12.5">
      <c r="A318" s="5"/>
      <c r="B318" s="5"/>
      <c r="C318" s="5"/>
      <c r="D318" s="91"/>
      <c r="E318" s="21"/>
      <c r="F318" s="5"/>
      <c r="G318" s="75"/>
    </row>
    <row r="319" spans="1:7" ht="12.5">
      <c r="A319" s="5"/>
      <c r="B319" s="5"/>
      <c r="C319" s="5"/>
      <c r="D319" s="91"/>
      <c r="E319" s="21"/>
      <c r="F319" s="5"/>
      <c r="G319" s="75"/>
    </row>
    <row r="320" spans="1:7" ht="12.5">
      <c r="A320" s="5"/>
      <c r="B320" s="5"/>
      <c r="C320" s="5"/>
      <c r="D320" s="91"/>
      <c r="E320" s="21"/>
      <c r="F320" s="5"/>
      <c r="G320" s="75"/>
    </row>
    <row r="321" spans="1:7" ht="12.5">
      <c r="A321" s="5"/>
      <c r="B321" s="5"/>
      <c r="C321" s="5"/>
      <c r="D321" s="91"/>
      <c r="E321" s="21"/>
      <c r="F321" s="5"/>
      <c r="G321" s="75"/>
    </row>
    <row r="322" spans="1:7" ht="12.5">
      <c r="A322" s="5"/>
      <c r="B322" s="5"/>
      <c r="C322" s="5"/>
      <c r="D322" s="91"/>
      <c r="E322" s="21"/>
      <c r="F322" s="5"/>
      <c r="G322" s="75"/>
    </row>
    <row r="323" spans="1:7" ht="12.5">
      <c r="A323" s="5"/>
      <c r="B323" s="5"/>
      <c r="C323" s="5"/>
      <c r="D323" s="91"/>
      <c r="E323" s="21"/>
      <c r="F323" s="5"/>
      <c r="G323" s="75"/>
    </row>
    <row r="324" spans="1:7" ht="12.5">
      <c r="A324" s="5"/>
      <c r="B324" s="5"/>
      <c r="C324" s="5"/>
      <c r="D324" s="91"/>
      <c r="E324" s="21"/>
      <c r="F324" s="5"/>
      <c r="G324" s="75"/>
    </row>
    <row r="325" spans="1:7" ht="12.5">
      <c r="A325" s="5"/>
      <c r="B325" s="5"/>
      <c r="C325" s="5"/>
      <c r="D325" s="91"/>
      <c r="E325" s="21"/>
      <c r="F325" s="5"/>
      <c r="G325" s="75"/>
    </row>
    <row r="326" spans="1:7" ht="12.5">
      <c r="A326" s="5"/>
      <c r="B326" s="5"/>
      <c r="C326" s="5"/>
      <c r="D326" s="91"/>
      <c r="E326" s="21"/>
      <c r="F326" s="5"/>
      <c r="G326" s="75"/>
    </row>
    <row r="327" spans="1:7" ht="12.5">
      <c r="A327" s="5"/>
      <c r="B327" s="5"/>
      <c r="C327" s="5"/>
      <c r="D327" s="91"/>
      <c r="E327" s="21"/>
      <c r="F327" s="5"/>
      <c r="G327" s="75"/>
    </row>
    <row r="328" spans="1:7" ht="12.5">
      <c r="A328" s="5"/>
      <c r="B328" s="5"/>
      <c r="C328" s="5"/>
      <c r="D328" s="91"/>
      <c r="E328" s="21"/>
      <c r="F328" s="5"/>
      <c r="G328" s="75"/>
    </row>
    <row r="329" spans="1:7" ht="12.5">
      <c r="A329" s="5"/>
      <c r="B329" s="5"/>
      <c r="C329" s="5"/>
      <c r="D329" s="91"/>
      <c r="E329" s="21"/>
      <c r="F329" s="5"/>
      <c r="G329" s="75"/>
    </row>
    <row r="330" spans="1:7" ht="12.5">
      <c r="A330" s="5"/>
      <c r="B330" s="5"/>
      <c r="C330" s="5"/>
      <c r="D330" s="91"/>
      <c r="E330" s="21"/>
      <c r="F330" s="5"/>
      <c r="G330" s="75"/>
    </row>
    <row r="331" spans="1:7" ht="12.5">
      <c r="A331" s="5"/>
      <c r="B331" s="5"/>
      <c r="C331" s="5"/>
      <c r="D331" s="91"/>
      <c r="E331" s="21"/>
      <c r="F331" s="5"/>
      <c r="G331" s="75"/>
    </row>
    <row r="332" spans="1:7" ht="12.5">
      <c r="A332" s="5"/>
      <c r="B332" s="5"/>
      <c r="C332" s="5"/>
      <c r="D332" s="91"/>
      <c r="E332" s="21"/>
      <c r="F332" s="5"/>
      <c r="G332" s="75"/>
    </row>
    <row r="333" spans="1:7" ht="12.5">
      <c r="A333" s="5"/>
      <c r="B333" s="5"/>
      <c r="C333" s="5"/>
      <c r="D333" s="91"/>
      <c r="E333" s="21"/>
      <c r="F333" s="5"/>
      <c r="G333" s="75"/>
    </row>
    <row r="334" spans="1:7" ht="12.5">
      <c r="A334" s="5"/>
      <c r="B334" s="5"/>
      <c r="C334" s="5"/>
      <c r="D334" s="91"/>
      <c r="E334" s="21"/>
      <c r="F334" s="5"/>
      <c r="G334" s="75"/>
    </row>
    <row r="335" spans="1:7" ht="12.5">
      <c r="A335" s="5"/>
      <c r="B335" s="5"/>
      <c r="C335" s="5"/>
      <c r="D335" s="91"/>
      <c r="E335" s="21"/>
      <c r="F335" s="5"/>
      <c r="G335" s="75"/>
    </row>
    <row r="336" spans="1:7" ht="12.5">
      <c r="A336" s="5"/>
      <c r="B336" s="5"/>
      <c r="C336" s="5"/>
      <c r="D336" s="91"/>
      <c r="E336" s="21"/>
      <c r="F336" s="5"/>
      <c r="G336" s="75"/>
    </row>
    <row r="337" spans="1:7" ht="12.5">
      <c r="A337" s="5"/>
      <c r="B337" s="5"/>
      <c r="C337" s="5"/>
      <c r="D337" s="91"/>
      <c r="E337" s="21"/>
      <c r="F337" s="5"/>
      <c r="G337" s="75"/>
    </row>
    <row r="338" spans="1:7" ht="12.5">
      <c r="A338" s="5"/>
      <c r="B338" s="5"/>
      <c r="C338" s="5"/>
      <c r="D338" s="91"/>
      <c r="E338" s="21"/>
      <c r="F338" s="5"/>
      <c r="G338" s="75"/>
    </row>
    <row r="339" spans="1:7" ht="12.5">
      <c r="A339" s="5"/>
      <c r="B339" s="5"/>
      <c r="C339" s="5"/>
      <c r="D339" s="91"/>
      <c r="E339" s="21"/>
      <c r="F339" s="5"/>
      <c r="G339" s="75"/>
    </row>
    <row r="340" spans="1:7" ht="12.5">
      <c r="A340" s="5"/>
      <c r="B340" s="5"/>
      <c r="C340" s="5"/>
      <c r="D340" s="91"/>
      <c r="E340" s="21"/>
      <c r="F340" s="5"/>
      <c r="G340" s="75"/>
    </row>
    <row r="341" spans="1:7" ht="12.5">
      <c r="A341" s="5"/>
      <c r="B341" s="5"/>
      <c r="C341" s="5"/>
      <c r="D341" s="91"/>
      <c r="E341" s="21"/>
      <c r="F341" s="5"/>
      <c r="G341" s="75"/>
    </row>
    <row r="342" spans="1:7" ht="12.5">
      <c r="A342" s="5"/>
      <c r="B342" s="5"/>
      <c r="C342" s="5"/>
      <c r="D342" s="91"/>
      <c r="E342" s="21"/>
      <c r="F342" s="5"/>
      <c r="G342" s="75"/>
    </row>
    <row r="343" spans="1:7" ht="12.5">
      <c r="A343" s="5"/>
      <c r="B343" s="5"/>
      <c r="C343" s="5"/>
      <c r="D343" s="91"/>
      <c r="E343" s="21"/>
      <c r="F343" s="5"/>
      <c r="G343" s="75"/>
    </row>
    <row r="344" spans="1:7" ht="12.5">
      <c r="A344" s="5"/>
      <c r="B344" s="5"/>
      <c r="C344" s="5"/>
      <c r="D344" s="91"/>
      <c r="E344" s="21"/>
      <c r="F344" s="5"/>
      <c r="G344" s="75"/>
    </row>
    <row r="345" spans="1:7" ht="12.5">
      <c r="A345" s="5"/>
      <c r="B345" s="5"/>
      <c r="C345" s="5"/>
      <c r="D345" s="91"/>
      <c r="E345" s="21"/>
      <c r="F345" s="5"/>
      <c r="G345" s="75"/>
    </row>
    <row r="346" spans="1:7" ht="12.5">
      <c r="A346" s="5"/>
      <c r="B346" s="5"/>
      <c r="C346" s="5"/>
      <c r="D346" s="91"/>
      <c r="E346" s="21"/>
      <c r="F346" s="5"/>
      <c r="G346" s="75"/>
    </row>
    <row r="347" spans="1:7" ht="12.5">
      <c r="A347" s="5"/>
      <c r="B347" s="5"/>
      <c r="C347" s="5"/>
      <c r="D347" s="91"/>
      <c r="E347" s="21"/>
      <c r="F347" s="5"/>
      <c r="G347" s="75"/>
    </row>
    <row r="348" spans="1:7" ht="12.5">
      <c r="A348" s="5"/>
      <c r="B348" s="5"/>
      <c r="C348" s="5"/>
      <c r="D348" s="91"/>
      <c r="E348" s="21"/>
      <c r="F348" s="5"/>
      <c r="G348" s="75"/>
    </row>
    <row r="349" spans="1:7" ht="12.5">
      <c r="A349" s="5"/>
      <c r="B349" s="5"/>
      <c r="C349" s="5"/>
      <c r="D349" s="91"/>
      <c r="E349" s="21"/>
      <c r="F349" s="5"/>
      <c r="G349" s="75"/>
    </row>
    <row r="350" spans="1:7" ht="12.5">
      <c r="A350" s="5"/>
      <c r="B350" s="5"/>
      <c r="C350" s="5"/>
      <c r="D350" s="91"/>
      <c r="E350" s="21"/>
      <c r="F350" s="5"/>
      <c r="G350" s="75"/>
    </row>
    <row r="351" spans="1:7" ht="12.5">
      <c r="A351" s="5"/>
      <c r="B351" s="5"/>
      <c r="C351" s="5"/>
      <c r="D351" s="91"/>
      <c r="E351" s="21"/>
      <c r="F351" s="5"/>
      <c r="G351" s="75"/>
    </row>
    <row r="352" spans="1:7" ht="12.5">
      <c r="A352" s="5"/>
      <c r="B352" s="5"/>
      <c r="C352" s="5"/>
      <c r="D352" s="91"/>
      <c r="E352" s="21"/>
      <c r="F352" s="5"/>
      <c r="G352" s="75"/>
    </row>
    <row r="353" spans="1:7" ht="12.5">
      <c r="A353" s="5"/>
      <c r="B353" s="5"/>
      <c r="C353" s="5"/>
      <c r="D353" s="91"/>
      <c r="E353" s="21"/>
      <c r="F353" s="5"/>
      <c r="G353" s="75"/>
    </row>
    <row r="354" spans="1:7" ht="12.5">
      <c r="A354" s="5"/>
      <c r="B354" s="5"/>
      <c r="C354" s="5"/>
      <c r="D354" s="91"/>
      <c r="E354" s="21"/>
      <c r="F354" s="5"/>
      <c r="G354" s="75"/>
    </row>
    <row r="355" spans="1:7" ht="12.5">
      <c r="A355" s="5"/>
      <c r="B355" s="5"/>
      <c r="C355" s="5"/>
      <c r="D355" s="91"/>
      <c r="E355" s="21"/>
      <c r="F355" s="5"/>
      <c r="G355" s="75"/>
    </row>
    <row r="356" spans="1:7" ht="12.5">
      <c r="A356" s="5"/>
      <c r="B356" s="5"/>
      <c r="C356" s="5"/>
      <c r="D356" s="91"/>
      <c r="E356" s="21"/>
      <c r="F356" s="5"/>
      <c r="G356" s="75"/>
    </row>
    <row r="357" spans="1:7" ht="12.5">
      <c r="A357" s="5"/>
      <c r="B357" s="5"/>
      <c r="C357" s="5"/>
      <c r="D357" s="91"/>
      <c r="E357" s="21"/>
      <c r="F357" s="5"/>
      <c r="G357" s="75"/>
    </row>
    <row r="358" spans="1:7" ht="12.5">
      <c r="A358" s="5"/>
      <c r="B358" s="5"/>
      <c r="C358" s="5"/>
      <c r="D358" s="91"/>
      <c r="E358" s="21"/>
      <c r="F358" s="5"/>
      <c r="G358" s="75"/>
    </row>
    <row r="359" spans="1:7" ht="12.5">
      <c r="A359" s="5"/>
      <c r="B359" s="5"/>
      <c r="C359" s="5"/>
      <c r="D359" s="91"/>
      <c r="E359" s="21"/>
      <c r="F359" s="5"/>
      <c r="G359" s="75"/>
    </row>
    <row r="360" spans="1:7" ht="12.5">
      <c r="A360" s="5"/>
      <c r="B360" s="5"/>
      <c r="C360" s="5"/>
      <c r="D360" s="91"/>
      <c r="E360" s="21"/>
      <c r="F360" s="5"/>
      <c r="G360" s="75"/>
    </row>
    <row r="361" spans="1:7" ht="12.5">
      <c r="A361" s="5"/>
      <c r="B361" s="5"/>
      <c r="C361" s="5"/>
      <c r="D361" s="91"/>
      <c r="E361" s="21"/>
      <c r="F361" s="5"/>
      <c r="G361" s="75"/>
    </row>
    <row r="362" spans="1:7" ht="12.5">
      <c r="A362" s="5"/>
      <c r="B362" s="5"/>
      <c r="C362" s="5"/>
      <c r="D362" s="91"/>
      <c r="E362" s="21"/>
      <c r="F362" s="5"/>
      <c r="G362" s="75"/>
    </row>
    <row r="363" spans="1:7" ht="12.5">
      <c r="A363" s="5"/>
      <c r="B363" s="5"/>
      <c r="C363" s="5"/>
      <c r="D363" s="91"/>
      <c r="E363" s="21"/>
      <c r="F363" s="5"/>
      <c r="G363" s="75"/>
    </row>
    <row r="364" spans="1:7" ht="12.5">
      <c r="A364" s="5"/>
      <c r="B364" s="5"/>
      <c r="C364" s="5"/>
      <c r="D364" s="91"/>
      <c r="E364" s="21"/>
      <c r="F364" s="5"/>
      <c r="G364" s="75"/>
    </row>
    <row r="365" spans="1:7" ht="12.5">
      <c r="A365" s="5"/>
      <c r="B365" s="5"/>
      <c r="C365" s="5"/>
      <c r="D365" s="91"/>
      <c r="E365" s="21"/>
      <c r="F365" s="5"/>
      <c r="G365" s="75"/>
    </row>
    <row r="366" spans="1:7" ht="12.5">
      <c r="A366" s="5"/>
      <c r="B366" s="5"/>
      <c r="C366" s="5"/>
      <c r="D366" s="91"/>
      <c r="E366" s="21"/>
      <c r="F366" s="5"/>
      <c r="G366" s="75"/>
    </row>
    <row r="367" spans="1:7" ht="12.5">
      <c r="A367" s="5"/>
      <c r="B367" s="5"/>
      <c r="C367" s="5"/>
      <c r="D367" s="91"/>
      <c r="E367" s="21"/>
      <c r="F367" s="5"/>
      <c r="G367" s="75"/>
    </row>
    <row r="368" spans="1:7" ht="12.5">
      <c r="A368" s="5"/>
      <c r="B368" s="5"/>
      <c r="C368" s="5"/>
      <c r="D368" s="91"/>
      <c r="E368" s="21"/>
      <c r="F368" s="5"/>
      <c r="G368" s="75"/>
    </row>
    <row r="369" spans="1:7" ht="12.5">
      <c r="A369" s="5"/>
      <c r="B369" s="5"/>
      <c r="C369" s="5"/>
      <c r="D369" s="91"/>
      <c r="E369" s="21"/>
      <c r="F369" s="5"/>
      <c r="G369" s="75"/>
    </row>
    <row r="370" spans="1:7" ht="12.5">
      <c r="A370" s="5"/>
      <c r="B370" s="5"/>
      <c r="C370" s="5"/>
      <c r="D370" s="91"/>
      <c r="E370" s="21"/>
      <c r="F370" s="5"/>
      <c r="G370" s="75"/>
    </row>
    <row r="371" spans="1:7" ht="12.5">
      <c r="A371" s="5"/>
      <c r="B371" s="5"/>
      <c r="C371" s="5"/>
      <c r="D371" s="91"/>
      <c r="E371" s="21"/>
      <c r="F371" s="5"/>
      <c r="G371" s="75"/>
    </row>
    <row r="372" spans="1:7" ht="12.5">
      <c r="A372" s="5"/>
      <c r="B372" s="5"/>
      <c r="C372" s="5"/>
      <c r="D372" s="91"/>
      <c r="E372" s="21"/>
      <c r="F372" s="5"/>
      <c r="G372" s="75"/>
    </row>
    <row r="373" spans="1:7" ht="12.5">
      <c r="A373" s="5"/>
      <c r="B373" s="5"/>
      <c r="C373" s="5"/>
      <c r="D373" s="91"/>
      <c r="E373" s="21"/>
      <c r="F373" s="5"/>
      <c r="G373" s="75"/>
    </row>
    <row r="374" spans="1:7" ht="12.5">
      <c r="A374" s="5"/>
      <c r="B374" s="5"/>
      <c r="C374" s="5"/>
      <c r="D374" s="91"/>
      <c r="E374" s="21"/>
      <c r="F374" s="5"/>
      <c r="G374" s="75"/>
    </row>
    <row r="375" spans="1:7" ht="12.5">
      <c r="A375" s="5"/>
      <c r="B375" s="5"/>
      <c r="C375" s="5"/>
      <c r="D375" s="91"/>
      <c r="E375" s="21"/>
      <c r="F375" s="5"/>
      <c r="G375" s="75"/>
    </row>
    <row r="376" spans="1:7" ht="12.5">
      <c r="A376" s="5"/>
      <c r="B376" s="5"/>
      <c r="C376" s="5"/>
      <c r="D376" s="91"/>
      <c r="E376" s="21"/>
      <c r="F376" s="5"/>
      <c r="G376" s="75"/>
    </row>
    <row r="377" spans="1:7" ht="12.5">
      <c r="A377" s="5"/>
      <c r="B377" s="5"/>
      <c r="C377" s="5"/>
      <c r="D377" s="91"/>
      <c r="E377" s="21"/>
      <c r="F377" s="5"/>
      <c r="G377" s="75"/>
    </row>
    <row r="378" spans="1:7" ht="12.5">
      <c r="A378" s="5"/>
      <c r="B378" s="5"/>
      <c r="C378" s="5"/>
      <c r="D378" s="91"/>
      <c r="E378" s="21"/>
      <c r="F378" s="5"/>
      <c r="G378" s="75"/>
    </row>
    <row r="379" spans="1:7" ht="12.5">
      <c r="A379" s="5"/>
      <c r="B379" s="5"/>
      <c r="C379" s="5"/>
      <c r="D379" s="91"/>
      <c r="E379" s="21"/>
      <c r="F379" s="5"/>
      <c r="G379" s="75"/>
    </row>
    <row r="380" spans="1:7" ht="12.5">
      <c r="A380" s="5"/>
      <c r="B380" s="5"/>
      <c r="C380" s="5"/>
      <c r="D380" s="91"/>
      <c r="E380" s="21"/>
      <c r="F380" s="5"/>
      <c r="G380" s="75"/>
    </row>
    <row r="381" spans="1:7" ht="12.5">
      <c r="A381" s="5"/>
      <c r="B381" s="5"/>
      <c r="C381" s="5"/>
      <c r="D381" s="91"/>
      <c r="E381" s="21"/>
      <c r="F381" s="5"/>
      <c r="G381" s="75"/>
    </row>
    <row r="382" spans="1:7" ht="12.5">
      <c r="A382" s="5"/>
      <c r="B382" s="5"/>
      <c r="C382" s="5"/>
      <c r="D382" s="91"/>
      <c r="E382" s="21"/>
      <c r="F382" s="5"/>
      <c r="G382" s="75"/>
    </row>
    <row r="383" spans="1:7" ht="12.5">
      <c r="A383" s="5"/>
      <c r="B383" s="5"/>
      <c r="C383" s="5"/>
      <c r="D383" s="91"/>
      <c r="E383" s="21"/>
      <c r="F383" s="5"/>
      <c r="G383" s="75"/>
    </row>
    <row r="384" spans="1:7" ht="12.5">
      <c r="A384" s="5"/>
      <c r="B384" s="5"/>
      <c r="C384" s="5"/>
      <c r="D384" s="91"/>
      <c r="E384" s="21"/>
      <c r="F384" s="5"/>
      <c r="G384" s="75"/>
    </row>
    <row r="385" spans="1:7" ht="12.5">
      <c r="A385" s="5"/>
      <c r="B385" s="5"/>
      <c r="C385" s="5"/>
      <c r="D385" s="91"/>
      <c r="E385" s="21"/>
      <c r="F385" s="5"/>
      <c r="G385" s="75"/>
    </row>
    <row r="386" spans="1:7" ht="12.5">
      <c r="A386" s="5"/>
      <c r="B386" s="5"/>
      <c r="C386" s="5"/>
      <c r="D386" s="91"/>
      <c r="E386" s="21"/>
      <c r="F386" s="5"/>
      <c r="G386" s="75"/>
    </row>
    <row r="387" spans="1:7" ht="12.5">
      <c r="A387" s="5"/>
      <c r="B387" s="5"/>
      <c r="C387" s="5"/>
      <c r="D387" s="91"/>
      <c r="E387" s="21"/>
      <c r="F387" s="5"/>
      <c r="G387" s="75"/>
    </row>
    <row r="388" spans="1:7" ht="12.5">
      <c r="A388" s="5"/>
      <c r="B388" s="5"/>
      <c r="C388" s="5"/>
      <c r="D388" s="91"/>
      <c r="E388" s="21"/>
      <c r="F388" s="5"/>
      <c r="G388" s="75"/>
    </row>
    <row r="389" spans="1:7" ht="12.5">
      <c r="A389" s="5"/>
      <c r="B389" s="5"/>
      <c r="C389" s="5"/>
      <c r="D389" s="91"/>
      <c r="E389" s="21"/>
      <c r="F389" s="5"/>
      <c r="G389" s="75"/>
    </row>
    <row r="390" spans="1:7" ht="12.5">
      <c r="A390" s="5"/>
      <c r="B390" s="5"/>
      <c r="C390" s="5"/>
      <c r="D390" s="91"/>
      <c r="E390" s="21"/>
      <c r="F390" s="5"/>
      <c r="G390" s="75"/>
    </row>
    <row r="391" spans="1:7" ht="12.5">
      <c r="A391" s="5"/>
      <c r="B391" s="5"/>
      <c r="C391" s="5"/>
      <c r="D391" s="91"/>
      <c r="E391" s="21"/>
      <c r="F391" s="5"/>
      <c r="G391" s="75"/>
    </row>
    <row r="392" spans="1:7" ht="12.5">
      <c r="A392" s="5"/>
      <c r="B392" s="5"/>
      <c r="C392" s="5"/>
      <c r="D392" s="91"/>
      <c r="E392" s="21"/>
      <c r="F392" s="5"/>
      <c r="G392" s="75"/>
    </row>
    <row r="393" spans="1:7" ht="12.5">
      <c r="A393" s="5"/>
      <c r="B393" s="5"/>
      <c r="C393" s="5"/>
      <c r="D393" s="91"/>
      <c r="E393" s="21"/>
      <c r="F393" s="5"/>
      <c r="G393" s="75"/>
    </row>
    <row r="394" spans="1:7" ht="12.5">
      <c r="A394" s="5"/>
      <c r="B394" s="5"/>
      <c r="C394" s="5"/>
      <c r="D394" s="91"/>
      <c r="E394" s="21"/>
      <c r="F394" s="5"/>
      <c r="G394" s="75"/>
    </row>
    <row r="395" spans="1:7" ht="12.5">
      <c r="A395" s="5"/>
      <c r="B395" s="5"/>
      <c r="C395" s="5"/>
      <c r="D395" s="91"/>
      <c r="E395" s="21"/>
      <c r="F395" s="5"/>
      <c r="G395" s="75"/>
    </row>
    <row r="396" spans="1:7" ht="12.5">
      <c r="A396" s="5"/>
      <c r="B396" s="5"/>
      <c r="C396" s="5"/>
      <c r="D396" s="91"/>
      <c r="E396" s="21"/>
      <c r="F396" s="5"/>
      <c r="G396" s="75"/>
    </row>
    <row r="397" spans="1:7" ht="12.5">
      <c r="A397" s="5"/>
      <c r="B397" s="5"/>
      <c r="C397" s="5"/>
      <c r="D397" s="91"/>
      <c r="E397" s="21"/>
      <c r="F397" s="5"/>
      <c r="G397" s="75"/>
    </row>
    <row r="398" spans="1:7" ht="12.5">
      <c r="A398" s="5"/>
      <c r="B398" s="5"/>
      <c r="C398" s="5"/>
      <c r="D398" s="91"/>
      <c r="E398" s="21"/>
      <c r="F398" s="5"/>
      <c r="G398" s="75"/>
    </row>
    <row r="399" spans="1:7" ht="12.5">
      <c r="A399" s="5"/>
      <c r="B399" s="5"/>
      <c r="C399" s="5"/>
      <c r="D399" s="91"/>
      <c r="E399" s="21"/>
      <c r="F399" s="5"/>
      <c r="G399" s="75"/>
    </row>
    <row r="400" spans="1:7" ht="12.5">
      <c r="A400" s="5"/>
      <c r="B400" s="5"/>
      <c r="C400" s="5"/>
      <c r="D400" s="91"/>
      <c r="E400" s="21"/>
      <c r="F400" s="5"/>
      <c r="G400" s="75"/>
    </row>
    <row r="401" spans="1:7" ht="12.5">
      <c r="A401" s="5"/>
      <c r="B401" s="5"/>
      <c r="C401" s="5"/>
      <c r="D401" s="91"/>
      <c r="E401" s="21"/>
      <c r="F401" s="5"/>
      <c r="G401" s="75"/>
    </row>
    <row r="402" spans="1:7" ht="12.5">
      <c r="A402" s="5"/>
      <c r="B402" s="5"/>
      <c r="C402" s="5"/>
      <c r="D402" s="91"/>
      <c r="E402" s="21"/>
      <c r="F402" s="5"/>
      <c r="G402" s="75"/>
    </row>
    <row r="403" spans="1:7" ht="12.5">
      <c r="A403" s="5"/>
      <c r="B403" s="5"/>
      <c r="C403" s="5"/>
      <c r="D403" s="91"/>
      <c r="E403" s="21"/>
      <c r="F403" s="5"/>
      <c r="G403" s="75"/>
    </row>
    <row r="404" spans="1:7" ht="12.5">
      <c r="A404" s="5"/>
      <c r="B404" s="5"/>
      <c r="C404" s="5"/>
      <c r="D404" s="91"/>
      <c r="E404" s="21"/>
      <c r="F404" s="5"/>
      <c r="G404" s="75"/>
    </row>
    <row r="405" spans="1:7" ht="12.5">
      <c r="A405" s="5"/>
      <c r="B405" s="5"/>
      <c r="C405" s="5"/>
      <c r="D405" s="91"/>
      <c r="E405" s="21"/>
      <c r="F405" s="5"/>
      <c r="G405" s="75"/>
    </row>
    <row r="406" spans="1:7" ht="12.5">
      <c r="A406" s="5"/>
      <c r="B406" s="5"/>
      <c r="C406" s="5"/>
      <c r="D406" s="91"/>
      <c r="E406" s="21"/>
      <c r="F406" s="5"/>
      <c r="G406" s="75"/>
    </row>
    <row r="407" spans="1:7" ht="12.5">
      <c r="A407" s="5"/>
      <c r="B407" s="5"/>
      <c r="C407" s="5"/>
      <c r="D407" s="91"/>
      <c r="E407" s="21"/>
      <c r="F407" s="5"/>
      <c r="G407" s="75"/>
    </row>
    <row r="408" spans="1:7" ht="12.5">
      <c r="A408" s="5"/>
      <c r="B408" s="5"/>
      <c r="C408" s="5"/>
      <c r="D408" s="91"/>
      <c r="E408" s="21"/>
      <c r="F408" s="5"/>
      <c r="G408" s="75"/>
    </row>
    <row r="409" spans="1:7" ht="12.5">
      <c r="A409" s="5"/>
      <c r="B409" s="5"/>
      <c r="C409" s="5"/>
      <c r="D409" s="91"/>
      <c r="E409" s="21"/>
      <c r="F409" s="5"/>
      <c r="G409" s="75"/>
    </row>
    <row r="410" spans="1:7" ht="12.5">
      <c r="A410" s="5"/>
      <c r="B410" s="5"/>
      <c r="C410" s="5"/>
      <c r="D410" s="91"/>
      <c r="E410" s="21"/>
      <c r="F410" s="5"/>
      <c r="G410" s="75"/>
    </row>
    <row r="411" spans="1:7" ht="12.5">
      <c r="A411" s="5"/>
      <c r="B411" s="5"/>
      <c r="C411" s="5"/>
      <c r="D411" s="91"/>
      <c r="E411" s="21"/>
      <c r="F411" s="5"/>
      <c r="G411" s="75"/>
    </row>
    <row r="412" spans="1:7" ht="12.5">
      <c r="A412" s="5"/>
      <c r="B412" s="5"/>
      <c r="C412" s="5"/>
      <c r="D412" s="91"/>
      <c r="E412" s="21"/>
      <c r="F412" s="5"/>
      <c r="G412" s="75"/>
    </row>
    <row r="413" spans="1:7" ht="12.5">
      <c r="A413" s="5"/>
      <c r="B413" s="5"/>
      <c r="C413" s="5"/>
      <c r="D413" s="91"/>
      <c r="E413" s="21"/>
      <c r="F413" s="5"/>
      <c r="G413" s="75"/>
    </row>
    <row r="414" spans="1:7" ht="12.5">
      <c r="A414" s="5"/>
      <c r="B414" s="5"/>
      <c r="C414" s="5"/>
      <c r="D414" s="91"/>
      <c r="E414" s="21"/>
      <c r="F414" s="5"/>
      <c r="G414" s="75"/>
    </row>
    <row r="415" spans="1:7" ht="12.5">
      <c r="A415" s="5"/>
      <c r="B415" s="5"/>
      <c r="C415" s="5"/>
      <c r="D415" s="91"/>
      <c r="E415" s="21"/>
      <c r="F415" s="5"/>
      <c r="G415" s="75"/>
    </row>
    <row r="416" spans="1:7" ht="12.5">
      <c r="A416" s="5"/>
      <c r="B416" s="5"/>
      <c r="C416" s="5"/>
      <c r="D416" s="91"/>
      <c r="E416" s="21"/>
      <c r="F416" s="5"/>
      <c r="G416" s="75"/>
    </row>
    <row r="417" spans="1:7" ht="12.5">
      <c r="A417" s="5"/>
      <c r="B417" s="5"/>
      <c r="C417" s="5"/>
      <c r="D417" s="91"/>
      <c r="E417" s="21"/>
      <c r="F417" s="5"/>
      <c r="G417" s="75"/>
    </row>
    <row r="418" spans="1:7" ht="12.5">
      <c r="A418" s="5"/>
      <c r="B418" s="5"/>
      <c r="C418" s="5"/>
      <c r="D418" s="91"/>
      <c r="E418" s="21"/>
      <c r="F418" s="5"/>
      <c r="G418" s="75"/>
    </row>
    <row r="419" spans="1:7" ht="12.5">
      <c r="A419" s="5"/>
      <c r="B419" s="5"/>
      <c r="C419" s="5"/>
      <c r="D419" s="91"/>
      <c r="E419" s="21"/>
      <c r="F419" s="5"/>
      <c r="G419" s="75"/>
    </row>
    <row r="420" spans="1:7" ht="12.5">
      <c r="A420" s="5"/>
      <c r="B420" s="5"/>
      <c r="C420" s="5"/>
      <c r="D420" s="91"/>
      <c r="E420" s="21"/>
      <c r="F420" s="5"/>
      <c r="G420" s="75"/>
    </row>
    <row r="421" spans="1:7" ht="12.5">
      <c r="A421" s="5"/>
      <c r="B421" s="5"/>
      <c r="C421" s="5"/>
      <c r="D421" s="91"/>
      <c r="E421" s="21"/>
      <c r="F421" s="5"/>
      <c r="G421" s="75"/>
    </row>
    <row r="422" spans="1:7" ht="12.5">
      <c r="A422" s="5"/>
      <c r="B422" s="5"/>
      <c r="C422" s="5"/>
      <c r="D422" s="91"/>
      <c r="E422" s="21"/>
      <c r="F422" s="5"/>
      <c r="G422" s="75"/>
    </row>
    <row r="423" spans="1:7" ht="12.5">
      <c r="A423" s="5"/>
      <c r="B423" s="5"/>
      <c r="C423" s="5"/>
      <c r="D423" s="91"/>
      <c r="E423" s="21"/>
      <c r="F423" s="5"/>
      <c r="G423" s="75"/>
    </row>
    <row r="424" spans="1:7" ht="12.5">
      <c r="A424" s="5"/>
      <c r="B424" s="5"/>
      <c r="C424" s="5"/>
      <c r="D424" s="91"/>
      <c r="E424" s="21"/>
      <c r="F424" s="5"/>
      <c r="G424" s="75"/>
    </row>
    <row r="425" spans="1:7" ht="12.5">
      <c r="A425" s="5"/>
      <c r="B425" s="5"/>
      <c r="C425" s="5"/>
      <c r="D425" s="91"/>
      <c r="E425" s="21"/>
      <c r="F425" s="5"/>
      <c r="G425" s="75"/>
    </row>
    <row r="426" spans="1:7" ht="12.5">
      <c r="A426" s="5"/>
      <c r="B426" s="5"/>
      <c r="C426" s="5"/>
      <c r="D426" s="91"/>
      <c r="E426" s="21"/>
      <c r="F426" s="5"/>
      <c r="G426" s="75"/>
    </row>
    <row r="427" spans="1:7" ht="12.5">
      <c r="A427" s="5"/>
      <c r="B427" s="5"/>
      <c r="C427" s="5"/>
      <c r="D427" s="91"/>
      <c r="E427" s="21"/>
      <c r="F427" s="5"/>
      <c r="G427" s="75"/>
    </row>
    <row r="428" spans="1:7" ht="12.5">
      <c r="A428" s="5"/>
      <c r="B428" s="5"/>
      <c r="C428" s="5"/>
      <c r="D428" s="91"/>
      <c r="E428" s="21"/>
      <c r="F428" s="5"/>
      <c r="G428" s="75"/>
    </row>
    <row r="429" spans="1:7" ht="12.5">
      <c r="A429" s="5"/>
      <c r="B429" s="5"/>
      <c r="C429" s="5"/>
      <c r="D429" s="91"/>
      <c r="E429" s="21"/>
      <c r="F429" s="5"/>
      <c r="G429" s="75"/>
    </row>
    <row r="430" spans="1:7" ht="12.5">
      <c r="A430" s="5"/>
      <c r="B430" s="5"/>
      <c r="C430" s="5"/>
      <c r="D430" s="91"/>
      <c r="E430" s="21"/>
      <c r="F430" s="5"/>
      <c r="G430" s="75"/>
    </row>
    <row r="431" spans="1:7" ht="12.5">
      <c r="A431" s="5"/>
      <c r="B431" s="5"/>
      <c r="C431" s="5"/>
      <c r="D431" s="91"/>
      <c r="E431" s="21"/>
      <c r="F431" s="5"/>
      <c r="G431" s="75"/>
    </row>
    <row r="432" spans="1:7" ht="12.5">
      <c r="A432" s="5"/>
      <c r="B432" s="5"/>
      <c r="C432" s="5"/>
      <c r="D432" s="91"/>
      <c r="E432" s="21"/>
      <c r="F432" s="5"/>
      <c r="G432" s="75"/>
    </row>
    <row r="433" spans="1:7" ht="12.5">
      <c r="A433" s="5"/>
      <c r="B433" s="5"/>
      <c r="C433" s="5"/>
      <c r="D433" s="91"/>
      <c r="E433" s="21"/>
      <c r="F433" s="5"/>
      <c r="G433" s="75"/>
    </row>
    <row r="434" spans="1:7" ht="12.5">
      <c r="A434" s="5"/>
      <c r="B434" s="5"/>
      <c r="C434" s="5"/>
      <c r="D434" s="91"/>
      <c r="E434" s="21"/>
      <c r="F434" s="5"/>
      <c r="G434" s="75"/>
    </row>
    <row r="435" spans="1:7" ht="12.5">
      <c r="A435" s="5"/>
      <c r="B435" s="5"/>
      <c r="C435" s="5"/>
      <c r="D435" s="91"/>
      <c r="E435" s="21"/>
      <c r="F435" s="5"/>
      <c r="G435" s="75"/>
    </row>
    <row r="436" spans="1:7" ht="12.5">
      <c r="A436" s="5"/>
      <c r="B436" s="5"/>
      <c r="C436" s="5"/>
      <c r="D436" s="91"/>
      <c r="E436" s="21"/>
      <c r="F436" s="5"/>
      <c r="G436" s="75"/>
    </row>
    <row r="437" spans="1:7" ht="12.5">
      <c r="A437" s="5"/>
      <c r="B437" s="5"/>
      <c r="C437" s="5"/>
      <c r="D437" s="91"/>
      <c r="E437" s="21"/>
      <c r="F437" s="5"/>
      <c r="G437" s="75"/>
    </row>
    <row r="438" spans="1:7" ht="12.5">
      <c r="A438" s="5"/>
      <c r="B438" s="5"/>
      <c r="C438" s="5"/>
      <c r="D438" s="91"/>
      <c r="E438" s="21"/>
      <c r="F438" s="5"/>
      <c r="G438" s="75"/>
    </row>
    <row r="439" spans="1:7" ht="12.5">
      <c r="A439" s="5"/>
      <c r="B439" s="5"/>
      <c r="C439" s="5"/>
      <c r="D439" s="91"/>
      <c r="E439" s="21"/>
      <c r="F439" s="5"/>
      <c r="G439" s="75"/>
    </row>
    <row r="440" spans="1:7" ht="12.5">
      <c r="A440" s="5"/>
      <c r="B440" s="5"/>
      <c r="C440" s="5"/>
      <c r="D440" s="91"/>
      <c r="E440" s="21"/>
      <c r="F440" s="5"/>
      <c r="G440" s="75"/>
    </row>
    <row r="441" spans="1:7" ht="12.5">
      <c r="A441" s="5"/>
      <c r="B441" s="5"/>
      <c r="C441" s="5"/>
      <c r="D441" s="91"/>
      <c r="E441" s="21"/>
      <c r="F441" s="5"/>
      <c r="G441" s="75"/>
    </row>
    <row r="442" spans="1:7" ht="12.5">
      <c r="A442" s="5"/>
      <c r="B442" s="5"/>
      <c r="C442" s="5"/>
      <c r="D442" s="91"/>
      <c r="E442" s="21"/>
      <c r="F442" s="5"/>
      <c r="G442" s="75"/>
    </row>
    <row r="443" spans="1:7" ht="12.5">
      <c r="A443" s="5"/>
      <c r="B443" s="5"/>
      <c r="C443" s="5"/>
      <c r="D443" s="91"/>
      <c r="E443" s="21"/>
      <c r="F443" s="5"/>
      <c r="G443" s="75"/>
    </row>
    <row r="444" spans="1:7" ht="12.5">
      <c r="A444" s="5"/>
      <c r="B444" s="5"/>
      <c r="C444" s="5"/>
      <c r="D444" s="91"/>
      <c r="E444" s="21"/>
      <c r="F444" s="5"/>
      <c r="G444" s="75"/>
    </row>
    <row r="445" spans="1:7" ht="12.5">
      <c r="A445" s="5"/>
      <c r="B445" s="5"/>
      <c r="C445" s="5"/>
      <c r="D445" s="91"/>
      <c r="E445" s="21"/>
      <c r="F445" s="5"/>
      <c r="G445" s="75"/>
    </row>
    <row r="446" spans="1:7" ht="12.5">
      <c r="A446" s="5"/>
      <c r="B446" s="5"/>
      <c r="C446" s="5"/>
      <c r="D446" s="91"/>
      <c r="E446" s="21"/>
      <c r="F446" s="5"/>
      <c r="G446" s="75"/>
    </row>
    <row r="447" spans="1:7" ht="12.5">
      <c r="A447" s="5"/>
      <c r="B447" s="5"/>
      <c r="C447" s="5"/>
      <c r="D447" s="91"/>
      <c r="E447" s="21"/>
      <c r="F447" s="5"/>
      <c r="G447" s="75"/>
    </row>
    <row r="448" spans="1:7" ht="12.5">
      <c r="A448" s="5"/>
      <c r="B448" s="5"/>
      <c r="C448" s="5"/>
      <c r="D448" s="91"/>
      <c r="E448" s="21"/>
      <c r="F448" s="5"/>
      <c r="G448" s="75"/>
    </row>
    <row r="449" spans="1:7" ht="12.5">
      <c r="A449" s="5"/>
      <c r="B449" s="5"/>
      <c r="C449" s="5"/>
      <c r="D449" s="91"/>
      <c r="E449" s="21"/>
      <c r="F449" s="5"/>
      <c r="G449" s="75"/>
    </row>
    <row r="450" spans="1:7" ht="12.5">
      <c r="A450" s="5"/>
      <c r="B450" s="5"/>
      <c r="C450" s="5"/>
      <c r="D450" s="91"/>
      <c r="E450" s="21"/>
      <c r="F450" s="5"/>
      <c r="G450" s="75"/>
    </row>
    <row r="451" spans="1:7" ht="12.5">
      <c r="A451" s="5"/>
      <c r="B451" s="5"/>
      <c r="C451" s="5"/>
      <c r="D451" s="91"/>
      <c r="E451" s="21"/>
      <c r="F451" s="5"/>
      <c r="G451" s="75"/>
    </row>
    <row r="452" spans="1:7" ht="12.5">
      <c r="A452" s="5"/>
      <c r="B452" s="5"/>
      <c r="C452" s="5"/>
      <c r="D452" s="91"/>
      <c r="E452" s="21"/>
      <c r="F452" s="5"/>
      <c r="G452" s="75"/>
    </row>
    <row r="453" spans="1:7" ht="12.5">
      <c r="A453" s="5"/>
      <c r="B453" s="5"/>
      <c r="C453" s="5"/>
      <c r="D453" s="91"/>
      <c r="E453" s="21"/>
      <c r="F453" s="5"/>
      <c r="G453" s="75"/>
    </row>
    <row r="454" spans="1:7" ht="12.5">
      <c r="A454" s="5"/>
      <c r="B454" s="5"/>
      <c r="C454" s="5"/>
      <c r="D454" s="91"/>
      <c r="E454" s="21"/>
      <c r="F454" s="5"/>
      <c r="G454" s="75"/>
    </row>
    <row r="455" spans="1:7" ht="12.5">
      <c r="A455" s="5"/>
      <c r="B455" s="5"/>
      <c r="C455" s="5"/>
      <c r="D455" s="91"/>
      <c r="E455" s="21"/>
      <c r="F455" s="5"/>
      <c r="G455" s="75"/>
    </row>
    <row r="456" spans="1:7" ht="12.5">
      <c r="A456" s="5"/>
      <c r="B456" s="5"/>
      <c r="C456" s="5"/>
      <c r="D456" s="91"/>
      <c r="E456" s="21"/>
      <c r="F456" s="5"/>
      <c r="G456" s="75"/>
    </row>
    <row r="457" spans="1:7" ht="12.5">
      <c r="A457" s="5"/>
      <c r="B457" s="5"/>
      <c r="C457" s="5"/>
      <c r="D457" s="91"/>
      <c r="E457" s="21"/>
      <c r="F457" s="5"/>
      <c r="G457" s="75"/>
    </row>
    <row r="458" spans="1:7" ht="12.5">
      <c r="A458" s="5"/>
      <c r="B458" s="5"/>
      <c r="C458" s="5"/>
      <c r="D458" s="91"/>
      <c r="E458" s="21"/>
      <c r="F458" s="5"/>
      <c r="G458" s="75"/>
    </row>
    <row r="459" spans="1:7" ht="12.5">
      <c r="A459" s="5"/>
      <c r="B459" s="5"/>
      <c r="C459" s="5"/>
      <c r="D459" s="91"/>
      <c r="E459" s="21"/>
      <c r="F459" s="5"/>
      <c r="G459" s="75"/>
    </row>
    <row r="460" spans="1:7" ht="12.5">
      <c r="A460" s="5"/>
      <c r="B460" s="5"/>
      <c r="C460" s="5"/>
      <c r="D460" s="91"/>
      <c r="E460" s="21"/>
      <c r="F460" s="5"/>
      <c r="G460" s="75"/>
    </row>
    <row r="461" spans="1:7" ht="12.5">
      <c r="A461" s="5"/>
      <c r="B461" s="5"/>
      <c r="C461" s="5"/>
      <c r="D461" s="91"/>
      <c r="E461" s="21"/>
      <c r="F461" s="5"/>
      <c r="G461" s="75"/>
    </row>
    <row r="462" spans="1:7" ht="12.5">
      <c r="A462" s="5"/>
      <c r="B462" s="5"/>
      <c r="C462" s="5"/>
      <c r="D462" s="91"/>
      <c r="E462" s="21"/>
      <c r="F462" s="5"/>
      <c r="G462" s="75"/>
    </row>
    <row r="463" spans="1:7" ht="12.5">
      <c r="A463" s="5"/>
      <c r="B463" s="5"/>
      <c r="C463" s="5"/>
      <c r="D463" s="91"/>
      <c r="E463" s="21"/>
      <c r="F463" s="5"/>
      <c r="G463" s="75"/>
    </row>
    <row r="464" spans="1:7" ht="12.5">
      <c r="A464" s="5"/>
      <c r="B464" s="5"/>
      <c r="C464" s="5"/>
      <c r="D464" s="91"/>
      <c r="E464" s="21"/>
      <c r="F464" s="5"/>
      <c r="G464" s="75"/>
    </row>
    <row r="465" spans="1:7" ht="12.5">
      <c r="A465" s="5"/>
      <c r="B465" s="5"/>
      <c r="C465" s="5"/>
      <c r="D465" s="91"/>
      <c r="E465" s="21"/>
      <c r="F465" s="5"/>
      <c r="G465" s="75"/>
    </row>
    <row r="466" spans="1:7" ht="12.5">
      <c r="A466" s="5"/>
      <c r="B466" s="5"/>
      <c r="C466" s="5"/>
      <c r="D466" s="91"/>
      <c r="E466" s="21"/>
      <c r="F466" s="5"/>
      <c r="G466" s="75"/>
    </row>
    <row r="467" spans="1:7" ht="12.5">
      <c r="A467" s="5"/>
      <c r="B467" s="5"/>
      <c r="C467" s="5"/>
      <c r="D467" s="91"/>
      <c r="E467" s="21"/>
      <c r="F467" s="5"/>
      <c r="G467" s="75"/>
    </row>
    <row r="468" spans="1:7" ht="12.5">
      <c r="A468" s="5"/>
      <c r="B468" s="5"/>
      <c r="C468" s="5"/>
      <c r="D468" s="91"/>
      <c r="E468" s="21"/>
      <c r="F468" s="5"/>
      <c r="G468" s="75"/>
    </row>
    <row r="469" spans="1:7" ht="12.5">
      <c r="A469" s="5"/>
      <c r="B469" s="5"/>
      <c r="C469" s="5"/>
      <c r="D469" s="91"/>
      <c r="E469" s="21"/>
      <c r="F469" s="5"/>
      <c r="G469" s="75"/>
    </row>
    <row r="470" spans="1:7" ht="12.5">
      <c r="A470" s="5"/>
      <c r="B470" s="5"/>
      <c r="C470" s="5"/>
      <c r="D470" s="91"/>
      <c r="E470" s="21"/>
      <c r="F470" s="5"/>
      <c r="G470" s="75"/>
    </row>
    <row r="471" spans="1:7" ht="12.5">
      <c r="A471" s="5"/>
      <c r="B471" s="5"/>
      <c r="C471" s="5"/>
      <c r="D471" s="91"/>
      <c r="E471" s="21"/>
      <c r="F471" s="5"/>
      <c r="G471" s="75"/>
    </row>
    <row r="472" spans="1:7" ht="12.5">
      <c r="A472" s="5"/>
      <c r="B472" s="5"/>
      <c r="C472" s="5"/>
      <c r="D472" s="91"/>
      <c r="E472" s="21"/>
      <c r="F472" s="5"/>
      <c r="G472" s="75"/>
    </row>
    <row r="473" spans="1:7" ht="12.5">
      <c r="A473" s="5"/>
      <c r="B473" s="5"/>
      <c r="C473" s="5"/>
      <c r="D473" s="91"/>
      <c r="E473" s="21"/>
      <c r="F473" s="5"/>
      <c r="G473" s="75"/>
    </row>
    <row r="474" spans="1:7" ht="12.5">
      <c r="A474" s="5"/>
      <c r="B474" s="5"/>
      <c r="C474" s="5"/>
      <c r="D474" s="91"/>
      <c r="E474" s="21"/>
      <c r="F474" s="5"/>
      <c r="G474" s="75"/>
    </row>
    <row r="475" spans="1:7" ht="12.5">
      <c r="A475" s="5"/>
      <c r="B475" s="5"/>
      <c r="C475" s="5"/>
      <c r="D475" s="91"/>
      <c r="E475" s="21"/>
      <c r="F475" s="5"/>
      <c r="G475" s="75"/>
    </row>
    <row r="476" spans="1:7" ht="12.5">
      <c r="A476" s="5"/>
      <c r="B476" s="5"/>
      <c r="C476" s="5"/>
      <c r="D476" s="91"/>
      <c r="E476" s="21"/>
      <c r="F476" s="5"/>
      <c r="G476" s="75"/>
    </row>
    <row r="477" spans="1:7" ht="12.5">
      <c r="A477" s="5"/>
      <c r="B477" s="5"/>
      <c r="C477" s="5"/>
      <c r="D477" s="91"/>
      <c r="E477" s="21"/>
      <c r="F477" s="5"/>
      <c r="G477" s="75"/>
    </row>
    <row r="478" spans="1:7" ht="12.5">
      <c r="A478" s="5"/>
      <c r="B478" s="5"/>
      <c r="C478" s="5"/>
      <c r="D478" s="91"/>
      <c r="E478" s="21"/>
      <c r="F478" s="5"/>
      <c r="G478" s="75"/>
    </row>
    <row r="479" spans="1:7" ht="12.5">
      <c r="A479" s="5"/>
      <c r="B479" s="5"/>
      <c r="C479" s="5"/>
      <c r="D479" s="91"/>
      <c r="E479" s="21"/>
      <c r="F479" s="5"/>
      <c r="G479" s="75"/>
    </row>
    <row r="480" spans="1:7" ht="12.5">
      <c r="A480" s="5"/>
      <c r="B480" s="5"/>
      <c r="C480" s="5"/>
      <c r="D480" s="91"/>
      <c r="E480" s="21"/>
      <c r="F480" s="5"/>
      <c r="G480" s="75"/>
    </row>
    <row r="481" spans="1:7" ht="12.5">
      <c r="A481" s="5"/>
      <c r="B481" s="5"/>
      <c r="C481" s="5"/>
      <c r="D481" s="91"/>
      <c r="E481" s="21"/>
      <c r="F481" s="5"/>
      <c r="G481" s="75"/>
    </row>
    <row r="482" spans="1:7" ht="12.5">
      <c r="A482" s="5"/>
      <c r="B482" s="5"/>
      <c r="C482" s="5"/>
      <c r="D482" s="91"/>
      <c r="E482" s="21"/>
      <c r="F482" s="5"/>
      <c r="G482" s="75"/>
    </row>
    <row r="483" spans="1:7" ht="12.5">
      <c r="A483" s="5"/>
      <c r="B483" s="5"/>
      <c r="C483" s="5"/>
      <c r="D483" s="91"/>
      <c r="E483" s="21"/>
      <c r="F483" s="5"/>
      <c r="G483" s="75"/>
    </row>
    <row r="484" spans="1:7" ht="12.5">
      <c r="A484" s="5"/>
      <c r="B484" s="5"/>
      <c r="C484" s="5"/>
      <c r="D484" s="91"/>
      <c r="E484" s="21"/>
      <c r="F484" s="5"/>
      <c r="G484" s="75"/>
    </row>
    <row r="485" spans="1:7" ht="12.5">
      <c r="A485" s="5"/>
      <c r="B485" s="5"/>
      <c r="C485" s="5"/>
      <c r="D485" s="91"/>
      <c r="E485" s="21"/>
      <c r="F485" s="5"/>
      <c r="G485" s="75"/>
    </row>
    <row r="486" spans="1:7" ht="12.5">
      <c r="A486" s="5"/>
      <c r="B486" s="5"/>
      <c r="C486" s="5"/>
      <c r="D486" s="91"/>
      <c r="E486" s="21"/>
      <c r="F486" s="5"/>
      <c r="G486" s="75"/>
    </row>
    <row r="487" spans="1:7" ht="12.5">
      <c r="A487" s="5"/>
      <c r="B487" s="5"/>
      <c r="C487" s="5"/>
      <c r="D487" s="91"/>
      <c r="E487" s="21"/>
      <c r="F487" s="5"/>
      <c r="G487" s="75"/>
    </row>
    <row r="488" spans="1:7" ht="12.5">
      <c r="A488" s="5"/>
      <c r="B488" s="5"/>
      <c r="C488" s="5"/>
      <c r="D488" s="91"/>
      <c r="E488" s="21"/>
      <c r="F488" s="5"/>
      <c r="G488" s="75"/>
    </row>
    <row r="489" spans="1:7" ht="12.5">
      <c r="A489" s="5"/>
      <c r="B489" s="5"/>
      <c r="C489" s="5"/>
      <c r="D489" s="91"/>
      <c r="E489" s="21"/>
      <c r="F489" s="5"/>
      <c r="G489" s="75"/>
    </row>
    <row r="490" spans="1:7" ht="12.5">
      <c r="A490" s="5"/>
      <c r="B490" s="5"/>
      <c r="C490" s="5"/>
      <c r="D490" s="91"/>
      <c r="E490" s="21"/>
      <c r="F490" s="5"/>
      <c r="G490" s="75"/>
    </row>
    <row r="491" spans="1:7" ht="12.5">
      <c r="A491" s="5"/>
      <c r="B491" s="5"/>
      <c r="C491" s="5"/>
      <c r="D491" s="91"/>
      <c r="E491" s="21"/>
      <c r="F491" s="5"/>
      <c r="G491" s="75"/>
    </row>
    <row r="492" spans="1:7" ht="12.5">
      <c r="A492" s="5"/>
      <c r="B492" s="5"/>
      <c r="C492" s="5"/>
      <c r="D492" s="91"/>
      <c r="E492" s="21"/>
      <c r="F492" s="5"/>
      <c r="G492" s="75"/>
    </row>
    <row r="493" spans="1:7" ht="12.5">
      <c r="A493" s="5"/>
      <c r="B493" s="5"/>
      <c r="C493" s="5"/>
      <c r="D493" s="91"/>
      <c r="E493" s="21"/>
      <c r="F493" s="5"/>
      <c r="G493" s="75"/>
    </row>
    <row r="494" spans="1:7" ht="12.5">
      <c r="A494" s="5"/>
      <c r="B494" s="5"/>
      <c r="C494" s="5"/>
      <c r="D494" s="91"/>
      <c r="E494" s="21"/>
      <c r="F494" s="5"/>
      <c r="G494" s="75"/>
    </row>
    <row r="495" spans="1:7" ht="12.5">
      <c r="A495" s="5"/>
      <c r="B495" s="5"/>
      <c r="C495" s="5"/>
      <c r="D495" s="91"/>
      <c r="E495" s="21"/>
      <c r="F495" s="5"/>
      <c r="G495" s="75"/>
    </row>
    <row r="496" spans="1:7" ht="12.5">
      <c r="A496" s="5"/>
      <c r="B496" s="5"/>
      <c r="C496" s="5"/>
      <c r="D496" s="91"/>
      <c r="E496" s="21"/>
      <c r="F496" s="5"/>
      <c r="G496" s="75"/>
    </row>
    <row r="497" spans="1:7" ht="12.5">
      <c r="A497" s="5"/>
      <c r="B497" s="5"/>
      <c r="C497" s="5"/>
      <c r="D497" s="91"/>
      <c r="E497" s="21"/>
      <c r="F497" s="5"/>
      <c r="G497" s="75"/>
    </row>
    <row r="498" spans="1:7" ht="12.5">
      <c r="A498" s="5"/>
      <c r="B498" s="5"/>
      <c r="C498" s="5"/>
      <c r="D498" s="91"/>
      <c r="E498" s="21"/>
      <c r="F498" s="5"/>
      <c r="G498" s="75"/>
    </row>
    <row r="499" spans="1:7" ht="12.5">
      <c r="A499" s="5"/>
      <c r="B499" s="5"/>
      <c r="C499" s="5"/>
      <c r="D499" s="91"/>
      <c r="E499" s="21"/>
      <c r="F499" s="5"/>
      <c r="G499" s="75"/>
    </row>
    <row r="500" spans="1:7" ht="12.5">
      <c r="A500" s="5"/>
      <c r="B500" s="5"/>
      <c r="C500" s="5"/>
      <c r="D500" s="91"/>
      <c r="E500" s="21"/>
      <c r="F500" s="5"/>
      <c r="G500" s="75"/>
    </row>
    <row r="501" spans="1:7" ht="12.5">
      <c r="A501" s="5"/>
      <c r="B501" s="5"/>
      <c r="C501" s="5"/>
      <c r="D501" s="91"/>
      <c r="E501" s="21"/>
      <c r="F501" s="5"/>
      <c r="G501" s="75"/>
    </row>
    <row r="502" spans="1:7" ht="12.5">
      <c r="A502" s="5"/>
      <c r="B502" s="5"/>
      <c r="C502" s="5"/>
      <c r="D502" s="91"/>
      <c r="E502" s="21"/>
      <c r="F502" s="5"/>
      <c r="G502" s="75"/>
    </row>
    <row r="503" spans="1:7" ht="12.5">
      <c r="A503" s="5"/>
      <c r="B503" s="5"/>
      <c r="C503" s="5"/>
      <c r="D503" s="91"/>
      <c r="E503" s="21"/>
      <c r="F503" s="5"/>
      <c r="G503" s="75"/>
    </row>
    <row r="504" spans="1:7" ht="12.5">
      <c r="A504" s="5"/>
      <c r="B504" s="5"/>
      <c r="C504" s="5"/>
      <c r="D504" s="91"/>
      <c r="E504" s="21"/>
      <c r="F504" s="5"/>
      <c r="G504" s="75"/>
    </row>
    <row r="505" spans="1:7" ht="12.5">
      <c r="A505" s="5"/>
      <c r="B505" s="5"/>
      <c r="C505" s="5"/>
      <c r="D505" s="91"/>
      <c r="E505" s="21"/>
      <c r="F505" s="5"/>
      <c r="G505" s="75"/>
    </row>
    <row r="506" spans="1:7" ht="12.5">
      <c r="A506" s="5"/>
      <c r="B506" s="5"/>
      <c r="C506" s="5"/>
      <c r="D506" s="91"/>
      <c r="E506" s="21"/>
      <c r="F506" s="5"/>
      <c r="G506" s="75"/>
    </row>
    <row r="507" spans="1:7" ht="12.5">
      <c r="A507" s="5"/>
      <c r="B507" s="5"/>
      <c r="C507" s="5"/>
      <c r="D507" s="91"/>
      <c r="E507" s="21"/>
      <c r="F507" s="5"/>
      <c r="G507" s="75"/>
    </row>
    <row r="508" spans="1:7" ht="12.5">
      <c r="A508" s="5"/>
      <c r="B508" s="5"/>
      <c r="C508" s="5"/>
      <c r="D508" s="91"/>
      <c r="E508" s="21"/>
      <c r="F508" s="5"/>
      <c r="G508" s="75"/>
    </row>
    <row r="509" spans="1:7" ht="12.5">
      <c r="A509" s="5"/>
      <c r="B509" s="5"/>
      <c r="C509" s="5"/>
      <c r="D509" s="91"/>
      <c r="E509" s="21"/>
      <c r="F509" s="5"/>
      <c r="G509" s="75"/>
    </row>
    <row r="510" spans="1:7" ht="12.5">
      <c r="A510" s="5"/>
      <c r="B510" s="5"/>
      <c r="C510" s="5"/>
      <c r="D510" s="91"/>
      <c r="E510" s="21"/>
      <c r="F510" s="5"/>
      <c r="G510" s="75"/>
    </row>
    <row r="511" spans="1:7" ht="12.5">
      <c r="A511" s="5"/>
      <c r="B511" s="5"/>
      <c r="C511" s="5"/>
      <c r="D511" s="91"/>
      <c r="E511" s="21"/>
      <c r="F511" s="5"/>
      <c r="G511" s="75"/>
    </row>
    <row r="512" spans="1:7" ht="12.5">
      <c r="A512" s="5"/>
      <c r="B512" s="5"/>
      <c r="C512" s="5"/>
      <c r="D512" s="91"/>
      <c r="E512" s="21"/>
      <c r="F512" s="5"/>
      <c r="G512" s="75"/>
    </row>
    <row r="513" spans="1:7" ht="12.5">
      <c r="A513" s="5"/>
      <c r="B513" s="5"/>
      <c r="C513" s="5"/>
      <c r="D513" s="91"/>
      <c r="E513" s="21"/>
      <c r="F513" s="5"/>
      <c r="G513" s="75"/>
    </row>
    <row r="514" spans="1:7" ht="12.5">
      <c r="A514" s="5"/>
      <c r="B514" s="5"/>
      <c r="C514" s="5"/>
      <c r="D514" s="91"/>
      <c r="E514" s="21"/>
      <c r="F514" s="5"/>
      <c r="G514" s="75"/>
    </row>
    <row r="515" spans="1:7" ht="12.5">
      <c r="A515" s="5"/>
      <c r="B515" s="5"/>
      <c r="C515" s="5"/>
      <c r="D515" s="91"/>
      <c r="E515" s="21"/>
      <c r="F515" s="5"/>
      <c r="G515" s="75"/>
    </row>
    <row r="516" spans="1:7" ht="12.5">
      <c r="A516" s="5"/>
      <c r="B516" s="5"/>
      <c r="C516" s="5"/>
      <c r="D516" s="91"/>
      <c r="E516" s="21"/>
      <c r="F516" s="5"/>
      <c r="G516" s="75"/>
    </row>
    <row r="517" spans="1:7" ht="12.5">
      <c r="A517" s="5"/>
      <c r="B517" s="5"/>
      <c r="C517" s="5"/>
      <c r="D517" s="91"/>
      <c r="E517" s="21"/>
      <c r="F517" s="5"/>
      <c r="G517" s="75"/>
    </row>
    <row r="518" spans="1:7" ht="12.5">
      <c r="A518" s="5"/>
      <c r="B518" s="5"/>
      <c r="C518" s="5"/>
      <c r="D518" s="91"/>
      <c r="E518" s="21"/>
      <c r="F518" s="5"/>
      <c r="G518" s="75"/>
    </row>
    <row r="519" spans="1:7" ht="12.5">
      <c r="A519" s="5"/>
      <c r="B519" s="5"/>
      <c r="C519" s="5"/>
      <c r="D519" s="91"/>
      <c r="E519" s="21"/>
      <c r="F519" s="5"/>
      <c r="G519" s="75"/>
    </row>
    <row r="520" spans="1:7" ht="12.5">
      <c r="A520" s="5"/>
      <c r="B520" s="5"/>
      <c r="C520" s="5"/>
      <c r="D520" s="91"/>
      <c r="E520" s="21"/>
      <c r="F520" s="5"/>
      <c r="G520" s="75"/>
    </row>
    <row r="521" spans="1:7" ht="12.5">
      <c r="A521" s="5"/>
      <c r="B521" s="5"/>
      <c r="C521" s="5"/>
      <c r="D521" s="91"/>
      <c r="E521" s="21"/>
      <c r="F521" s="5"/>
      <c r="G521" s="75"/>
    </row>
    <row r="522" spans="1:7" ht="12.5">
      <c r="A522" s="5"/>
      <c r="B522" s="5"/>
      <c r="C522" s="5"/>
      <c r="D522" s="91"/>
      <c r="E522" s="21"/>
      <c r="F522" s="5"/>
      <c r="G522" s="75"/>
    </row>
    <row r="523" spans="1:7" ht="12.5">
      <c r="A523" s="5"/>
      <c r="B523" s="5"/>
      <c r="C523" s="5"/>
      <c r="D523" s="91"/>
      <c r="E523" s="21"/>
      <c r="F523" s="5"/>
      <c r="G523" s="75"/>
    </row>
    <row r="524" spans="1:7" ht="12.5">
      <c r="A524" s="5"/>
      <c r="B524" s="5"/>
      <c r="C524" s="5"/>
      <c r="D524" s="91"/>
      <c r="E524" s="21"/>
      <c r="F524" s="5"/>
      <c r="G524" s="75"/>
    </row>
    <row r="525" spans="1:7" ht="12.5">
      <c r="A525" s="5"/>
      <c r="B525" s="5"/>
      <c r="C525" s="5"/>
      <c r="D525" s="91"/>
      <c r="E525" s="21"/>
      <c r="F525" s="5"/>
      <c r="G525" s="75"/>
    </row>
    <row r="526" spans="1:7" ht="12.5">
      <c r="A526" s="5"/>
      <c r="B526" s="5"/>
      <c r="C526" s="5"/>
      <c r="D526" s="91"/>
      <c r="E526" s="21"/>
      <c r="F526" s="5"/>
      <c r="G526" s="75"/>
    </row>
    <row r="527" spans="1:7" ht="12.5">
      <c r="A527" s="5"/>
      <c r="B527" s="5"/>
      <c r="C527" s="5"/>
      <c r="D527" s="91"/>
      <c r="E527" s="21"/>
      <c r="F527" s="5"/>
      <c r="G527" s="75"/>
    </row>
    <row r="528" spans="1:7" ht="12.5">
      <c r="A528" s="5"/>
      <c r="B528" s="5"/>
      <c r="C528" s="5"/>
      <c r="D528" s="91"/>
      <c r="E528" s="21"/>
      <c r="F528" s="5"/>
      <c r="G528" s="75"/>
    </row>
    <row r="529" spans="1:7" ht="12.5">
      <c r="A529" s="5"/>
      <c r="B529" s="5"/>
      <c r="C529" s="5"/>
      <c r="D529" s="91"/>
      <c r="E529" s="21"/>
      <c r="F529" s="5"/>
      <c r="G529" s="75"/>
    </row>
    <row r="530" spans="1:7" ht="12.5">
      <c r="A530" s="5"/>
      <c r="B530" s="5"/>
      <c r="C530" s="5"/>
      <c r="D530" s="91"/>
      <c r="E530" s="21"/>
      <c r="F530" s="5"/>
      <c r="G530" s="75"/>
    </row>
    <row r="531" spans="1:7" ht="12.5">
      <c r="A531" s="5"/>
      <c r="B531" s="5"/>
      <c r="C531" s="5"/>
      <c r="D531" s="91"/>
      <c r="E531" s="21"/>
      <c r="F531" s="5"/>
      <c r="G531" s="75"/>
    </row>
    <row r="532" spans="1:7" ht="12.5">
      <c r="A532" s="5"/>
      <c r="B532" s="5"/>
      <c r="C532" s="5"/>
      <c r="D532" s="91"/>
      <c r="E532" s="21"/>
      <c r="F532" s="5"/>
      <c r="G532" s="75"/>
    </row>
    <row r="533" spans="1:7" ht="12.5">
      <c r="A533" s="5"/>
      <c r="B533" s="5"/>
      <c r="C533" s="5"/>
      <c r="D533" s="91"/>
      <c r="E533" s="21"/>
      <c r="F533" s="5"/>
      <c r="G533" s="75"/>
    </row>
    <row r="534" spans="1:7" ht="12.5">
      <c r="A534" s="5"/>
      <c r="B534" s="5"/>
      <c r="C534" s="5"/>
      <c r="D534" s="91"/>
      <c r="E534" s="21"/>
      <c r="F534" s="5"/>
      <c r="G534" s="75"/>
    </row>
    <row r="535" spans="1:7" ht="12.5">
      <c r="A535" s="5"/>
      <c r="B535" s="5"/>
      <c r="C535" s="5"/>
      <c r="D535" s="91"/>
      <c r="E535" s="21"/>
      <c r="F535" s="5"/>
      <c r="G535" s="75"/>
    </row>
    <row r="536" spans="1:7" ht="12.5">
      <c r="A536" s="5"/>
      <c r="B536" s="5"/>
      <c r="C536" s="5"/>
      <c r="D536" s="91"/>
      <c r="E536" s="21"/>
      <c r="F536" s="5"/>
      <c r="G536" s="75"/>
    </row>
    <row r="537" spans="1:7" ht="12.5">
      <c r="A537" s="5"/>
      <c r="B537" s="5"/>
      <c r="C537" s="5"/>
      <c r="D537" s="91"/>
      <c r="E537" s="21"/>
      <c r="F537" s="5"/>
      <c r="G537" s="75"/>
    </row>
    <row r="538" spans="1:7" ht="12.5">
      <c r="A538" s="5"/>
      <c r="B538" s="5"/>
      <c r="C538" s="5"/>
      <c r="D538" s="91"/>
      <c r="E538" s="21"/>
      <c r="F538" s="5"/>
      <c r="G538" s="75"/>
    </row>
    <row r="539" spans="1:7" ht="12.5">
      <c r="A539" s="5"/>
      <c r="B539" s="5"/>
      <c r="C539" s="5"/>
      <c r="D539" s="91"/>
      <c r="E539" s="21"/>
      <c r="F539" s="5"/>
      <c r="G539" s="75"/>
    </row>
    <row r="540" spans="1:7" ht="12.5">
      <c r="A540" s="5"/>
      <c r="B540" s="5"/>
      <c r="C540" s="5"/>
      <c r="D540" s="91"/>
      <c r="E540" s="21"/>
      <c r="F540" s="5"/>
      <c r="G540" s="75"/>
    </row>
    <row r="541" spans="1:7" ht="12.5">
      <c r="A541" s="5"/>
      <c r="B541" s="5"/>
      <c r="C541" s="5"/>
      <c r="D541" s="91"/>
      <c r="E541" s="21"/>
      <c r="F541" s="5"/>
      <c r="G541" s="75"/>
    </row>
    <row r="542" spans="1:7" ht="12.5">
      <c r="A542" s="5"/>
      <c r="B542" s="5"/>
      <c r="C542" s="5"/>
      <c r="D542" s="91"/>
      <c r="E542" s="21"/>
      <c r="F542" s="5"/>
      <c r="G542" s="75"/>
    </row>
    <row r="543" spans="1:7" ht="12.5">
      <c r="A543" s="5"/>
      <c r="B543" s="5"/>
      <c r="C543" s="5"/>
      <c r="D543" s="91"/>
      <c r="E543" s="21"/>
      <c r="F543" s="5"/>
      <c r="G543" s="75"/>
    </row>
    <row r="544" spans="1:7" ht="12.5">
      <c r="A544" s="5"/>
      <c r="B544" s="5"/>
      <c r="C544" s="5"/>
      <c r="D544" s="91"/>
      <c r="E544" s="21"/>
      <c r="F544" s="5"/>
      <c r="G544" s="75"/>
    </row>
    <row r="545" spans="1:7" ht="12.5">
      <c r="A545" s="5"/>
      <c r="B545" s="5"/>
      <c r="C545" s="5"/>
      <c r="D545" s="91"/>
      <c r="E545" s="21"/>
      <c r="F545" s="5"/>
      <c r="G545" s="75"/>
    </row>
    <row r="546" spans="1:7" ht="12.5">
      <c r="A546" s="5"/>
      <c r="B546" s="5"/>
      <c r="C546" s="5"/>
      <c r="D546" s="91"/>
      <c r="E546" s="21"/>
      <c r="F546" s="5"/>
      <c r="G546" s="75"/>
    </row>
    <row r="547" spans="1:7" ht="12.5">
      <c r="A547" s="5"/>
      <c r="B547" s="5"/>
      <c r="C547" s="5"/>
      <c r="D547" s="91"/>
      <c r="E547" s="21"/>
      <c r="F547" s="5"/>
      <c r="G547" s="75"/>
    </row>
    <row r="548" spans="1:7" ht="12.5">
      <c r="A548" s="5"/>
      <c r="B548" s="5"/>
      <c r="C548" s="5"/>
      <c r="D548" s="91"/>
      <c r="E548" s="21"/>
      <c r="F548" s="5"/>
      <c r="G548" s="75"/>
    </row>
    <row r="549" spans="1:7" ht="12.5">
      <c r="A549" s="5"/>
      <c r="B549" s="5"/>
      <c r="C549" s="5"/>
      <c r="D549" s="91"/>
      <c r="E549" s="21"/>
      <c r="F549" s="5"/>
      <c r="G549" s="75"/>
    </row>
    <row r="550" spans="1:7" ht="12.5">
      <c r="A550" s="5"/>
      <c r="B550" s="5"/>
      <c r="C550" s="5"/>
      <c r="D550" s="91"/>
      <c r="E550" s="21"/>
      <c r="F550" s="5"/>
      <c r="G550" s="75"/>
    </row>
    <row r="551" spans="1:7" ht="12.5">
      <c r="A551" s="5"/>
      <c r="B551" s="5"/>
      <c r="C551" s="5"/>
      <c r="D551" s="91"/>
      <c r="E551" s="21"/>
      <c r="F551" s="5"/>
      <c r="G551" s="75"/>
    </row>
    <row r="552" spans="1:7" ht="12.5">
      <c r="A552" s="5"/>
      <c r="B552" s="5"/>
      <c r="C552" s="5"/>
      <c r="D552" s="91"/>
      <c r="E552" s="21"/>
      <c r="F552" s="5"/>
      <c r="G552" s="75"/>
    </row>
    <row r="553" spans="1:7" ht="12.5">
      <c r="A553" s="5"/>
      <c r="B553" s="5"/>
      <c r="C553" s="5"/>
      <c r="D553" s="91"/>
      <c r="E553" s="21"/>
      <c r="F553" s="5"/>
      <c r="G553" s="75"/>
    </row>
    <row r="554" spans="1:7" ht="12.5">
      <c r="A554" s="5"/>
      <c r="B554" s="5"/>
      <c r="C554" s="5"/>
      <c r="D554" s="91"/>
      <c r="E554" s="21"/>
      <c r="F554" s="5"/>
      <c r="G554" s="75"/>
    </row>
    <row r="555" spans="1:7" ht="12.5">
      <c r="A555" s="5"/>
      <c r="B555" s="5"/>
      <c r="C555" s="5"/>
      <c r="D555" s="91"/>
      <c r="E555" s="21"/>
      <c r="F555" s="5"/>
      <c r="G555" s="75"/>
    </row>
    <row r="556" spans="1:7" ht="12.5">
      <c r="A556" s="5"/>
      <c r="B556" s="5"/>
      <c r="C556" s="5"/>
      <c r="D556" s="91"/>
      <c r="E556" s="21"/>
      <c r="F556" s="5"/>
      <c r="G556" s="75"/>
    </row>
    <row r="557" spans="1:7" ht="12.5">
      <c r="A557" s="5"/>
      <c r="B557" s="5"/>
      <c r="C557" s="5"/>
      <c r="D557" s="91"/>
      <c r="E557" s="21"/>
      <c r="F557" s="5"/>
      <c r="G557" s="75"/>
    </row>
    <row r="558" spans="1:7" ht="12.5">
      <c r="A558" s="5"/>
      <c r="B558" s="5"/>
      <c r="C558" s="5"/>
      <c r="D558" s="91"/>
      <c r="E558" s="21"/>
      <c r="F558" s="5"/>
      <c r="G558" s="75"/>
    </row>
    <row r="559" spans="1:7" ht="12.5">
      <c r="A559" s="5"/>
      <c r="B559" s="5"/>
      <c r="C559" s="5"/>
      <c r="D559" s="91"/>
      <c r="E559" s="21"/>
      <c r="F559" s="5"/>
      <c r="G559" s="75"/>
    </row>
    <row r="560" spans="1:7" ht="12.5">
      <c r="A560" s="5"/>
      <c r="B560" s="5"/>
      <c r="C560" s="5"/>
      <c r="D560" s="91"/>
      <c r="E560" s="21"/>
      <c r="F560" s="5"/>
      <c r="G560" s="75"/>
    </row>
    <row r="561" spans="1:7" ht="12.5">
      <c r="A561" s="5"/>
      <c r="B561" s="5"/>
      <c r="C561" s="5"/>
      <c r="D561" s="91"/>
      <c r="E561" s="21"/>
      <c r="F561" s="5"/>
      <c r="G561" s="75"/>
    </row>
    <row r="562" spans="1:7" ht="12.5">
      <c r="A562" s="5"/>
      <c r="B562" s="5"/>
      <c r="C562" s="5"/>
      <c r="D562" s="91"/>
      <c r="E562" s="21"/>
      <c r="F562" s="5"/>
      <c r="G562" s="75"/>
    </row>
    <row r="563" spans="1:7" ht="12.5">
      <c r="A563" s="5"/>
      <c r="B563" s="5"/>
      <c r="C563" s="5"/>
      <c r="D563" s="91"/>
      <c r="E563" s="21"/>
      <c r="F563" s="5"/>
      <c r="G563" s="75"/>
    </row>
    <row r="564" spans="1:7" ht="12.5">
      <c r="A564" s="5"/>
      <c r="B564" s="5"/>
      <c r="C564" s="5"/>
      <c r="D564" s="91"/>
      <c r="E564" s="21"/>
      <c r="F564" s="5"/>
      <c r="G564" s="75"/>
    </row>
    <row r="565" spans="1:7" ht="12.5">
      <c r="A565" s="5"/>
      <c r="B565" s="5"/>
      <c r="C565" s="5"/>
      <c r="D565" s="91"/>
      <c r="E565" s="21"/>
      <c r="F565" s="5"/>
      <c r="G565" s="75"/>
    </row>
    <row r="566" spans="1:7" ht="12.5">
      <c r="A566" s="5"/>
      <c r="B566" s="5"/>
      <c r="C566" s="5"/>
      <c r="D566" s="91"/>
      <c r="E566" s="21"/>
      <c r="F566" s="5"/>
      <c r="G566" s="75"/>
    </row>
    <row r="567" spans="1:7" ht="12.5">
      <c r="A567" s="5"/>
      <c r="B567" s="5"/>
      <c r="C567" s="5"/>
      <c r="D567" s="91"/>
      <c r="E567" s="21"/>
      <c r="F567" s="5"/>
      <c r="G567" s="75"/>
    </row>
    <row r="568" spans="1:7" ht="12.5">
      <c r="A568" s="5"/>
      <c r="B568" s="5"/>
      <c r="C568" s="5"/>
      <c r="D568" s="91"/>
      <c r="E568" s="21"/>
      <c r="F568" s="5"/>
      <c r="G568" s="75"/>
    </row>
    <row r="569" spans="1:7" ht="12.5">
      <c r="A569" s="5"/>
      <c r="B569" s="5"/>
      <c r="C569" s="5"/>
      <c r="D569" s="91"/>
      <c r="E569" s="21"/>
      <c r="F569" s="5"/>
      <c r="G569" s="75"/>
    </row>
    <row r="570" spans="1:7" ht="12.5">
      <c r="A570" s="5"/>
      <c r="B570" s="5"/>
      <c r="C570" s="5"/>
      <c r="D570" s="91"/>
      <c r="E570" s="21"/>
      <c r="F570" s="5"/>
      <c r="G570" s="75"/>
    </row>
    <row r="571" spans="1:7" ht="12.5">
      <c r="A571" s="5"/>
      <c r="B571" s="5"/>
      <c r="C571" s="5"/>
      <c r="D571" s="91"/>
      <c r="E571" s="21"/>
      <c r="F571" s="5"/>
      <c r="G571" s="75"/>
    </row>
    <row r="572" spans="1:7" ht="12.5">
      <c r="A572" s="5"/>
      <c r="B572" s="5"/>
      <c r="C572" s="5"/>
      <c r="D572" s="91"/>
      <c r="E572" s="21"/>
      <c r="F572" s="5"/>
      <c r="G572" s="75"/>
    </row>
    <row r="573" spans="1:7" ht="12.5">
      <c r="A573" s="5"/>
      <c r="B573" s="5"/>
      <c r="C573" s="5"/>
      <c r="D573" s="91"/>
      <c r="E573" s="21"/>
      <c r="F573" s="5"/>
      <c r="G573" s="75"/>
    </row>
    <row r="574" spans="1:7" ht="12.5">
      <c r="A574" s="5"/>
      <c r="B574" s="5"/>
      <c r="C574" s="5"/>
      <c r="D574" s="91"/>
      <c r="E574" s="21"/>
      <c r="F574" s="5"/>
      <c r="G574" s="75"/>
    </row>
    <row r="575" spans="1:7" ht="12.5">
      <c r="A575" s="5"/>
      <c r="B575" s="5"/>
      <c r="C575" s="5"/>
      <c r="D575" s="91"/>
      <c r="E575" s="21"/>
      <c r="F575" s="5"/>
      <c r="G575" s="75"/>
    </row>
    <row r="576" spans="1:7" ht="12.5">
      <c r="A576" s="5"/>
      <c r="B576" s="5"/>
      <c r="C576" s="5"/>
      <c r="D576" s="91"/>
      <c r="E576" s="21"/>
      <c r="F576" s="5"/>
      <c r="G576" s="75"/>
    </row>
    <row r="577" spans="1:7" ht="12.5">
      <c r="A577" s="5"/>
      <c r="B577" s="5"/>
      <c r="C577" s="5"/>
      <c r="D577" s="91"/>
      <c r="E577" s="21"/>
      <c r="F577" s="5"/>
      <c r="G577" s="75"/>
    </row>
    <row r="578" spans="1:7" ht="12.5">
      <c r="A578" s="5"/>
      <c r="B578" s="5"/>
      <c r="C578" s="5"/>
      <c r="D578" s="91"/>
      <c r="E578" s="21"/>
      <c r="F578" s="5"/>
      <c r="G578" s="75"/>
    </row>
    <row r="579" spans="1:7" ht="12.5">
      <c r="A579" s="5"/>
      <c r="B579" s="5"/>
      <c r="C579" s="5"/>
      <c r="D579" s="91"/>
      <c r="E579" s="21"/>
      <c r="F579" s="5"/>
      <c r="G579" s="75"/>
    </row>
    <row r="580" spans="1:7" ht="12.5">
      <c r="A580" s="5"/>
      <c r="B580" s="5"/>
      <c r="C580" s="5"/>
      <c r="D580" s="91"/>
      <c r="E580" s="21"/>
      <c r="F580" s="5"/>
      <c r="G580" s="75"/>
    </row>
    <row r="581" spans="1:7" ht="12.5">
      <c r="A581" s="5"/>
      <c r="B581" s="5"/>
      <c r="C581" s="5"/>
      <c r="D581" s="91"/>
      <c r="E581" s="21"/>
      <c r="F581" s="5"/>
      <c r="G581" s="75"/>
    </row>
    <row r="582" spans="1:7" ht="12.5">
      <c r="A582" s="5"/>
      <c r="B582" s="5"/>
      <c r="C582" s="5"/>
      <c r="D582" s="91"/>
      <c r="E582" s="21"/>
      <c r="F582" s="5"/>
      <c r="G582" s="75"/>
    </row>
    <row r="583" spans="1:7" ht="12.5">
      <c r="A583" s="5"/>
      <c r="B583" s="5"/>
      <c r="C583" s="5"/>
      <c r="D583" s="91"/>
      <c r="E583" s="21"/>
      <c r="F583" s="5"/>
      <c r="G583" s="75"/>
    </row>
    <row r="584" spans="1:7" ht="12.5">
      <c r="A584" s="5"/>
      <c r="B584" s="5"/>
      <c r="C584" s="5"/>
      <c r="D584" s="91"/>
      <c r="E584" s="21"/>
      <c r="F584" s="5"/>
      <c r="G584" s="75"/>
    </row>
    <row r="585" spans="1:7" ht="12.5">
      <c r="A585" s="5"/>
      <c r="B585" s="5"/>
      <c r="C585" s="5"/>
      <c r="D585" s="91"/>
      <c r="E585" s="21"/>
      <c r="F585" s="5"/>
      <c r="G585" s="75"/>
    </row>
    <row r="586" spans="1:7" ht="12.5">
      <c r="A586" s="5"/>
      <c r="B586" s="5"/>
      <c r="C586" s="5"/>
      <c r="D586" s="91"/>
      <c r="E586" s="21"/>
      <c r="F586" s="5"/>
      <c r="G586" s="75"/>
    </row>
    <row r="587" spans="1:7" ht="12.5">
      <c r="A587" s="5"/>
      <c r="B587" s="5"/>
      <c r="C587" s="5"/>
      <c r="D587" s="91"/>
      <c r="E587" s="21"/>
      <c r="F587" s="5"/>
      <c r="G587" s="75"/>
    </row>
    <row r="588" spans="1:7" ht="12.5">
      <c r="A588" s="5"/>
      <c r="B588" s="5"/>
      <c r="C588" s="5"/>
      <c r="D588" s="91"/>
      <c r="E588" s="21"/>
      <c r="F588" s="5"/>
      <c r="G588" s="75"/>
    </row>
    <row r="589" spans="1:7" ht="12.5">
      <c r="A589" s="5"/>
      <c r="B589" s="5"/>
      <c r="C589" s="5"/>
      <c r="D589" s="91"/>
      <c r="E589" s="21"/>
      <c r="F589" s="5"/>
      <c r="G589" s="75"/>
    </row>
    <row r="590" spans="1:7" ht="12.5">
      <c r="A590" s="5"/>
      <c r="B590" s="5"/>
      <c r="C590" s="5"/>
      <c r="D590" s="91"/>
      <c r="E590" s="21"/>
      <c r="F590" s="5"/>
      <c r="G590" s="75"/>
    </row>
    <row r="591" spans="1:7" ht="12.5">
      <c r="A591" s="5"/>
      <c r="B591" s="5"/>
      <c r="C591" s="5"/>
      <c r="D591" s="91"/>
      <c r="E591" s="21"/>
      <c r="F591" s="5"/>
      <c r="G591" s="75"/>
    </row>
    <row r="592" spans="1:7" ht="12.5">
      <c r="A592" s="5"/>
      <c r="B592" s="5"/>
      <c r="C592" s="5"/>
      <c r="D592" s="91"/>
      <c r="E592" s="21"/>
      <c r="F592" s="5"/>
      <c r="G592" s="75"/>
    </row>
    <row r="593" spans="1:7" ht="12.5">
      <c r="A593" s="5"/>
      <c r="B593" s="5"/>
      <c r="C593" s="5"/>
      <c r="D593" s="91"/>
      <c r="E593" s="21"/>
      <c r="F593" s="5"/>
      <c r="G593" s="75"/>
    </row>
    <row r="594" spans="1:7" ht="12.5">
      <c r="A594" s="5"/>
      <c r="B594" s="5"/>
      <c r="C594" s="5"/>
      <c r="D594" s="91"/>
      <c r="E594" s="21"/>
      <c r="F594" s="5"/>
      <c r="G594" s="75"/>
    </row>
    <row r="595" spans="1:7" ht="12.5">
      <c r="A595" s="5"/>
      <c r="B595" s="5"/>
      <c r="C595" s="5"/>
      <c r="D595" s="91"/>
      <c r="E595" s="21"/>
      <c r="F595" s="5"/>
      <c r="G595" s="75"/>
    </row>
    <row r="596" spans="1:7" ht="12.5">
      <c r="A596" s="5"/>
      <c r="B596" s="5"/>
      <c r="C596" s="5"/>
      <c r="D596" s="91"/>
      <c r="E596" s="21"/>
      <c r="F596" s="5"/>
      <c r="G596" s="75"/>
    </row>
    <row r="597" spans="1:7" ht="12.5">
      <c r="A597" s="5"/>
      <c r="B597" s="5"/>
      <c r="C597" s="5"/>
      <c r="D597" s="91"/>
      <c r="E597" s="21"/>
      <c r="F597" s="5"/>
      <c r="G597" s="75"/>
    </row>
    <row r="598" spans="1:7" ht="12.5">
      <c r="A598" s="5"/>
      <c r="B598" s="5"/>
      <c r="C598" s="5"/>
      <c r="D598" s="91"/>
      <c r="E598" s="21"/>
      <c r="F598" s="5"/>
      <c r="G598" s="75"/>
    </row>
    <row r="599" spans="1:7" ht="12.5">
      <c r="A599" s="5"/>
      <c r="B599" s="5"/>
      <c r="C599" s="5"/>
      <c r="D599" s="91"/>
      <c r="E599" s="21"/>
      <c r="F599" s="5"/>
      <c r="G599" s="75"/>
    </row>
    <row r="600" spans="1:7" ht="12.5">
      <c r="A600" s="5"/>
      <c r="B600" s="5"/>
      <c r="C600" s="5"/>
      <c r="D600" s="91"/>
      <c r="E600" s="21"/>
      <c r="F600" s="5"/>
      <c r="G600" s="75"/>
    </row>
    <row r="601" spans="1:7" ht="12.5">
      <c r="A601" s="5"/>
      <c r="B601" s="5"/>
      <c r="C601" s="5"/>
      <c r="D601" s="91"/>
      <c r="E601" s="21"/>
      <c r="F601" s="5"/>
      <c r="G601" s="75"/>
    </row>
    <row r="602" spans="1:7" ht="12.5">
      <c r="A602" s="5"/>
      <c r="B602" s="5"/>
      <c r="C602" s="5"/>
      <c r="D602" s="91"/>
      <c r="E602" s="21"/>
      <c r="F602" s="5"/>
      <c r="G602" s="75"/>
    </row>
    <row r="603" spans="1:7" ht="12.5">
      <c r="A603" s="5"/>
      <c r="B603" s="5"/>
      <c r="C603" s="5"/>
      <c r="D603" s="91"/>
      <c r="E603" s="21"/>
      <c r="F603" s="5"/>
      <c r="G603" s="75"/>
    </row>
    <row r="604" spans="1:7" ht="12.5">
      <c r="A604" s="5"/>
      <c r="B604" s="5"/>
      <c r="C604" s="5"/>
      <c r="D604" s="91"/>
      <c r="E604" s="21"/>
      <c r="F604" s="5"/>
      <c r="G604" s="75"/>
    </row>
    <row r="605" spans="1:7" ht="12.5">
      <c r="A605" s="5"/>
      <c r="B605" s="5"/>
      <c r="C605" s="5"/>
      <c r="D605" s="91"/>
      <c r="E605" s="21"/>
      <c r="F605" s="5"/>
      <c r="G605" s="75"/>
    </row>
    <row r="606" spans="1:7" ht="12.5">
      <c r="A606" s="5"/>
      <c r="B606" s="5"/>
      <c r="C606" s="5"/>
      <c r="D606" s="91"/>
      <c r="E606" s="21"/>
      <c r="F606" s="5"/>
      <c r="G606" s="75"/>
    </row>
    <row r="607" spans="1:7" ht="12.5">
      <c r="A607" s="5"/>
      <c r="B607" s="5"/>
      <c r="C607" s="5"/>
      <c r="D607" s="91"/>
      <c r="E607" s="21"/>
      <c r="F607" s="5"/>
      <c r="G607" s="75"/>
    </row>
    <row r="608" spans="1:7" ht="12.5">
      <c r="A608" s="5"/>
      <c r="B608" s="5"/>
      <c r="C608" s="5"/>
      <c r="D608" s="91"/>
      <c r="E608" s="21"/>
      <c r="F608" s="5"/>
      <c r="G608" s="75"/>
    </row>
    <row r="609" spans="1:7" ht="12.5">
      <c r="A609" s="5"/>
      <c r="B609" s="5"/>
      <c r="C609" s="5"/>
      <c r="D609" s="91"/>
      <c r="E609" s="21"/>
      <c r="F609" s="5"/>
      <c r="G609" s="75"/>
    </row>
    <row r="610" spans="1:7" ht="12.5">
      <c r="A610" s="5"/>
      <c r="B610" s="5"/>
      <c r="C610" s="5"/>
      <c r="D610" s="91"/>
      <c r="E610" s="21"/>
      <c r="F610" s="5"/>
      <c r="G610" s="75"/>
    </row>
    <row r="611" spans="1:7" ht="12.5">
      <c r="A611" s="5"/>
      <c r="B611" s="5"/>
      <c r="C611" s="5"/>
      <c r="D611" s="91"/>
      <c r="E611" s="21"/>
      <c r="F611" s="5"/>
      <c r="G611" s="75"/>
    </row>
    <row r="612" spans="1:7" ht="12.5">
      <c r="A612" s="5"/>
      <c r="B612" s="5"/>
      <c r="C612" s="5"/>
      <c r="D612" s="91"/>
      <c r="E612" s="21"/>
      <c r="F612" s="5"/>
      <c r="G612" s="75"/>
    </row>
    <row r="613" spans="1:7" ht="12.5">
      <c r="A613" s="5"/>
      <c r="B613" s="5"/>
      <c r="C613" s="5"/>
      <c r="D613" s="91"/>
      <c r="E613" s="21"/>
      <c r="F613" s="5"/>
      <c r="G613" s="75"/>
    </row>
    <row r="614" spans="1:7" ht="12.5">
      <c r="A614" s="5"/>
      <c r="B614" s="5"/>
      <c r="C614" s="5"/>
      <c r="D614" s="91"/>
      <c r="E614" s="21"/>
      <c r="F614" s="5"/>
      <c r="G614" s="75"/>
    </row>
    <row r="615" spans="1:7" ht="12.5">
      <c r="A615" s="5"/>
      <c r="B615" s="5"/>
      <c r="C615" s="5"/>
      <c r="D615" s="91"/>
      <c r="E615" s="21"/>
      <c r="F615" s="5"/>
      <c r="G615" s="75"/>
    </row>
    <row r="616" spans="1:7" ht="12.5">
      <c r="A616" s="5"/>
      <c r="B616" s="5"/>
      <c r="C616" s="5"/>
      <c r="D616" s="91"/>
      <c r="E616" s="21"/>
      <c r="F616" s="5"/>
      <c r="G616" s="75"/>
    </row>
    <row r="617" spans="1:7" ht="12.5">
      <c r="A617" s="5"/>
      <c r="B617" s="5"/>
      <c r="C617" s="5"/>
      <c r="D617" s="91"/>
      <c r="E617" s="21"/>
      <c r="F617" s="5"/>
      <c r="G617" s="75"/>
    </row>
    <row r="618" spans="1:7" ht="12.5">
      <c r="A618" s="5"/>
      <c r="B618" s="5"/>
      <c r="C618" s="5"/>
      <c r="D618" s="91"/>
      <c r="E618" s="21"/>
      <c r="F618" s="5"/>
      <c r="G618" s="75"/>
    </row>
    <row r="619" spans="1:7" ht="12.5">
      <c r="A619" s="5"/>
      <c r="B619" s="5"/>
      <c r="C619" s="5"/>
      <c r="D619" s="91"/>
      <c r="E619" s="21"/>
      <c r="F619" s="5"/>
      <c r="G619" s="75"/>
    </row>
    <row r="620" spans="1:7" ht="12.5">
      <c r="A620" s="5"/>
      <c r="B620" s="5"/>
      <c r="C620" s="5"/>
      <c r="D620" s="91"/>
      <c r="E620" s="21"/>
      <c r="F620" s="5"/>
      <c r="G620" s="75"/>
    </row>
    <row r="621" spans="1:7" ht="12.5">
      <c r="A621" s="5"/>
      <c r="B621" s="5"/>
      <c r="C621" s="5"/>
      <c r="D621" s="91"/>
      <c r="E621" s="21"/>
      <c r="F621" s="5"/>
      <c r="G621" s="75"/>
    </row>
    <row r="622" spans="1:7" ht="12.5">
      <c r="A622" s="5"/>
      <c r="B622" s="5"/>
      <c r="C622" s="5"/>
      <c r="D622" s="91"/>
      <c r="E622" s="21"/>
      <c r="F622" s="5"/>
      <c r="G622" s="75"/>
    </row>
    <row r="623" spans="1:7" ht="12.5">
      <c r="A623" s="5"/>
      <c r="B623" s="5"/>
      <c r="C623" s="5"/>
      <c r="D623" s="91"/>
      <c r="E623" s="21"/>
      <c r="F623" s="5"/>
      <c r="G623" s="75"/>
    </row>
    <row r="624" spans="1:7" ht="12.5">
      <c r="A624" s="5"/>
      <c r="B624" s="5"/>
      <c r="C624" s="5"/>
      <c r="D624" s="91"/>
      <c r="E624" s="21"/>
      <c r="F624" s="5"/>
      <c r="G624" s="75"/>
    </row>
    <row r="625" spans="1:7" ht="12.5">
      <c r="A625" s="5"/>
      <c r="B625" s="5"/>
      <c r="C625" s="5"/>
      <c r="D625" s="91"/>
      <c r="E625" s="21"/>
      <c r="F625" s="5"/>
      <c r="G625" s="75"/>
    </row>
    <row r="626" spans="1:7" ht="12.5">
      <c r="A626" s="5"/>
      <c r="B626" s="5"/>
      <c r="C626" s="5"/>
      <c r="D626" s="91"/>
      <c r="E626" s="21"/>
      <c r="F626" s="5"/>
      <c r="G626" s="75"/>
    </row>
    <row r="627" spans="1:7" ht="12.5">
      <c r="A627" s="5"/>
      <c r="B627" s="5"/>
      <c r="C627" s="5"/>
      <c r="D627" s="91"/>
      <c r="E627" s="21"/>
      <c r="F627" s="5"/>
      <c r="G627" s="75"/>
    </row>
    <row r="628" spans="1:7" ht="12.5">
      <c r="A628" s="5"/>
      <c r="B628" s="5"/>
      <c r="C628" s="5"/>
      <c r="D628" s="91"/>
      <c r="E628" s="21"/>
      <c r="F628" s="5"/>
      <c r="G628" s="75"/>
    </row>
    <row r="629" spans="1:7" ht="12.5">
      <c r="A629" s="5"/>
      <c r="B629" s="5"/>
      <c r="C629" s="5"/>
      <c r="D629" s="91"/>
      <c r="E629" s="21"/>
      <c r="F629" s="5"/>
      <c r="G629" s="75"/>
    </row>
    <row r="630" spans="1:7" ht="12.5">
      <c r="A630" s="5"/>
      <c r="B630" s="5"/>
      <c r="C630" s="5"/>
      <c r="D630" s="91"/>
      <c r="E630" s="21"/>
      <c r="F630" s="5"/>
      <c r="G630" s="75"/>
    </row>
    <row r="631" spans="1:7" ht="12.5">
      <c r="A631" s="5"/>
      <c r="B631" s="5"/>
      <c r="C631" s="5"/>
      <c r="D631" s="91"/>
      <c r="E631" s="21"/>
      <c r="F631" s="5"/>
      <c r="G631" s="75"/>
    </row>
    <row r="632" spans="1:7" ht="12.5">
      <c r="A632" s="5"/>
      <c r="B632" s="5"/>
      <c r="C632" s="5"/>
      <c r="D632" s="91"/>
      <c r="E632" s="21"/>
      <c r="F632" s="5"/>
      <c r="G632" s="75"/>
    </row>
    <row r="633" spans="1:7" ht="12.5">
      <c r="A633" s="5"/>
      <c r="B633" s="5"/>
      <c r="C633" s="5"/>
      <c r="D633" s="91"/>
      <c r="E633" s="21"/>
      <c r="F633" s="5"/>
      <c r="G633" s="75"/>
    </row>
    <row r="634" spans="1:7" ht="12.5">
      <c r="A634" s="5"/>
      <c r="B634" s="5"/>
      <c r="C634" s="5"/>
      <c r="D634" s="91"/>
      <c r="E634" s="21"/>
      <c r="F634" s="5"/>
      <c r="G634" s="75"/>
    </row>
    <row r="635" spans="1:7" ht="12.5">
      <c r="A635" s="5"/>
      <c r="B635" s="5"/>
      <c r="C635" s="5"/>
      <c r="D635" s="91"/>
      <c r="E635" s="21"/>
      <c r="F635" s="5"/>
      <c r="G635" s="75"/>
    </row>
    <row r="636" spans="1:7" ht="12.5">
      <c r="A636" s="5"/>
      <c r="B636" s="5"/>
      <c r="C636" s="5"/>
      <c r="D636" s="91"/>
      <c r="E636" s="21"/>
      <c r="F636" s="5"/>
      <c r="G636" s="75"/>
    </row>
    <row r="637" spans="1:7" ht="12.5">
      <c r="A637" s="5"/>
      <c r="B637" s="5"/>
      <c r="C637" s="5"/>
      <c r="D637" s="91"/>
      <c r="E637" s="21"/>
      <c r="F637" s="5"/>
      <c r="G637" s="75"/>
    </row>
    <row r="638" spans="1:7" ht="12.5">
      <c r="A638" s="5"/>
      <c r="B638" s="5"/>
      <c r="C638" s="5"/>
      <c r="D638" s="91"/>
      <c r="E638" s="21"/>
      <c r="F638" s="5"/>
      <c r="G638" s="75"/>
    </row>
    <row r="639" spans="1:7" ht="12.5">
      <c r="A639" s="5"/>
      <c r="B639" s="5"/>
      <c r="C639" s="5"/>
      <c r="D639" s="91"/>
      <c r="E639" s="21"/>
      <c r="F639" s="5"/>
      <c r="G639" s="75"/>
    </row>
    <row r="640" spans="1:7" ht="12.5">
      <c r="A640" s="5"/>
      <c r="B640" s="5"/>
      <c r="C640" s="5"/>
      <c r="D640" s="91"/>
      <c r="E640" s="21"/>
      <c r="F640" s="5"/>
      <c r="G640" s="75"/>
    </row>
    <row r="641" spans="1:7" ht="12.5">
      <c r="A641" s="5"/>
      <c r="B641" s="5"/>
      <c r="C641" s="5"/>
      <c r="D641" s="91"/>
      <c r="E641" s="21"/>
      <c r="F641" s="5"/>
      <c r="G641" s="75"/>
    </row>
    <row r="642" spans="1:7" ht="12.5">
      <c r="A642" s="5"/>
      <c r="B642" s="5"/>
      <c r="C642" s="5"/>
      <c r="D642" s="91"/>
      <c r="E642" s="21"/>
      <c r="F642" s="5"/>
      <c r="G642" s="75"/>
    </row>
    <row r="643" spans="1:7" ht="12.5">
      <c r="A643" s="5"/>
      <c r="B643" s="5"/>
      <c r="C643" s="5"/>
      <c r="D643" s="91"/>
      <c r="E643" s="21"/>
      <c r="F643" s="5"/>
      <c r="G643" s="75"/>
    </row>
    <row r="644" spans="1:7" ht="12.5">
      <c r="A644" s="5"/>
      <c r="B644" s="5"/>
      <c r="C644" s="5"/>
      <c r="D644" s="91"/>
      <c r="E644" s="21"/>
      <c r="F644" s="5"/>
      <c r="G644" s="75"/>
    </row>
    <row r="645" spans="1:7" ht="12.5">
      <c r="A645" s="5"/>
      <c r="B645" s="5"/>
      <c r="C645" s="5"/>
      <c r="D645" s="91"/>
      <c r="E645" s="21"/>
      <c r="F645" s="5"/>
      <c r="G645" s="75"/>
    </row>
    <row r="646" spans="1:7" ht="12.5">
      <c r="A646" s="5"/>
      <c r="B646" s="5"/>
      <c r="C646" s="5"/>
      <c r="D646" s="91"/>
      <c r="E646" s="21"/>
      <c r="F646" s="5"/>
      <c r="G646" s="75"/>
    </row>
    <row r="647" spans="1:7" ht="12.5">
      <c r="A647" s="5"/>
      <c r="B647" s="5"/>
      <c r="C647" s="5"/>
      <c r="D647" s="91"/>
      <c r="E647" s="21"/>
      <c r="F647" s="5"/>
      <c r="G647" s="75"/>
    </row>
    <row r="648" spans="1:7" ht="12.5">
      <c r="A648" s="5"/>
      <c r="B648" s="5"/>
      <c r="C648" s="5"/>
      <c r="D648" s="91"/>
      <c r="E648" s="21"/>
      <c r="F648" s="5"/>
      <c r="G648" s="75"/>
    </row>
    <row r="649" spans="1:7" ht="12.5">
      <c r="A649" s="5"/>
      <c r="B649" s="5"/>
      <c r="C649" s="5"/>
      <c r="D649" s="91"/>
      <c r="E649" s="21"/>
      <c r="F649" s="5"/>
      <c r="G649" s="75"/>
    </row>
    <row r="650" spans="1:7" ht="12.5">
      <c r="A650" s="5"/>
      <c r="B650" s="5"/>
      <c r="C650" s="5"/>
      <c r="D650" s="91"/>
      <c r="E650" s="21"/>
      <c r="F650" s="5"/>
      <c r="G650" s="75"/>
    </row>
    <row r="651" spans="1:7" ht="12.5">
      <c r="A651" s="5"/>
      <c r="B651" s="5"/>
      <c r="C651" s="5"/>
      <c r="D651" s="91"/>
      <c r="E651" s="21"/>
      <c r="F651" s="5"/>
      <c r="G651" s="75"/>
    </row>
    <row r="652" spans="1:7" ht="12.5">
      <c r="A652" s="5"/>
      <c r="B652" s="5"/>
      <c r="C652" s="5"/>
      <c r="D652" s="91"/>
      <c r="E652" s="21"/>
      <c r="F652" s="5"/>
      <c r="G652" s="75"/>
    </row>
    <row r="653" spans="1:7" ht="12.5">
      <c r="A653" s="5"/>
      <c r="B653" s="5"/>
      <c r="C653" s="5"/>
      <c r="D653" s="91"/>
      <c r="E653" s="21"/>
      <c r="F653" s="5"/>
      <c r="G653" s="75"/>
    </row>
    <row r="654" spans="1:7" ht="12.5">
      <c r="A654" s="5"/>
      <c r="B654" s="5"/>
      <c r="C654" s="5"/>
      <c r="D654" s="91"/>
      <c r="E654" s="21"/>
      <c r="F654" s="5"/>
      <c r="G654" s="75"/>
    </row>
    <row r="655" spans="1:7" ht="12.5">
      <c r="A655" s="5"/>
      <c r="B655" s="5"/>
      <c r="C655" s="5"/>
      <c r="D655" s="91"/>
      <c r="E655" s="21"/>
      <c r="F655" s="5"/>
      <c r="G655" s="75"/>
    </row>
    <row r="656" spans="1:7" ht="12.5">
      <c r="A656" s="5"/>
      <c r="B656" s="5"/>
      <c r="C656" s="5"/>
      <c r="D656" s="91"/>
      <c r="E656" s="21"/>
      <c r="F656" s="5"/>
      <c r="G656" s="75"/>
    </row>
    <row r="657" spans="1:7" ht="12.5">
      <c r="A657" s="5"/>
      <c r="B657" s="5"/>
      <c r="C657" s="5"/>
      <c r="D657" s="91"/>
      <c r="E657" s="21"/>
      <c r="F657" s="5"/>
      <c r="G657" s="75"/>
    </row>
    <row r="658" spans="1:7" ht="12.5">
      <c r="A658" s="5"/>
      <c r="B658" s="5"/>
      <c r="C658" s="5"/>
      <c r="D658" s="91"/>
      <c r="E658" s="21"/>
      <c r="F658" s="5"/>
      <c r="G658" s="75"/>
    </row>
    <row r="659" spans="1:7" ht="12.5">
      <c r="A659" s="5"/>
      <c r="B659" s="5"/>
      <c r="C659" s="5"/>
      <c r="D659" s="91"/>
      <c r="E659" s="21"/>
      <c r="F659" s="5"/>
      <c r="G659" s="75"/>
    </row>
    <row r="660" spans="1:7" ht="12.5">
      <c r="A660" s="5"/>
      <c r="B660" s="5"/>
      <c r="C660" s="5"/>
      <c r="D660" s="91"/>
      <c r="E660" s="21"/>
      <c r="F660" s="5"/>
      <c r="G660" s="75"/>
    </row>
    <row r="661" spans="1:7" ht="12.5">
      <c r="A661" s="5"/>
      <c r="B661" s="5"/>
      <c r="C661" s="5"/>
      <c r="D661" s="91"/>
      <c r="E661" s="21"/>
      <c r="F661" s="5"/>
      <c r="G661" s="75"/>
    </row>
    <row r="662" spans="1:7" ht="12.5">
      <c r="A662" s="5"/>
      <c r="B662" s="5"/>
      <c r="C662" s="5"/>
      <c r="D662" s="91"/>
      <c r="E662" s="21"/>
      <c r="F662" s="5"/>
      <c r="G662" s="75"/>
    </row>
    <row r="663" spans="1:7" ht="12.5">
      <c r="A663" s="5"/>
      <c r="B663" s="5"/>
      <c r="C663" s="5"/>
      <c r="D663" s="91"/>
      <c r="E663" s="21"/>
      <c r="F663" s="5"/>
      <c r="G663" s="75"/>
    </row>
    <row r="664" spans="1:7" ht="12.5">
      <c r="A664" s="5"/>
      <c r="B664" s="5"/>
      <c r="C664" s="5"/>
      <c r="D664" s="91"/>
      <c r="E664" s="21"/>
      <c r="F664" s="5"/>
      <c r="G664" s="75"/>
    </row>
    <row r="665" spans="1:7" ht="12.5">
      <c r="A665" s="5"/>
      <c r="B665" s="5"/>
      <c r="C665" s="5"/>
      <c r="D665" s="91"/>
      <c r="E665" s="21"/>
      <c r="F665" s="5"/>
      <c r="G665" s="75"/>
    </row>
    <row r="666" spans="1:7" ht="12.5">
      <c r="A666" s="5"/>
      <c r="B666" s="5"/>
      <c r="C666" s="5"/>
      <c r="D666" s="91"/>
      <c r="E666" s="21"/>
      <c r="F666" s="5"/>
      <c r="G666" s="75"/>
    </row>
    <row r="667" spans="1:7" ht="12.5">
      <c r="A667" s="5"/>
      <c r="B667" s="5"/>
      <c r="C667" s="5"/>
      <c r="D667" s="91"/>
      <c r="E667" s="21"/>
      <c r="F667" s="5"/>
      <c r="G667" s="75"/>
    </row>
    <row r="668" spans="1:7" ht="12.5">
      <c r="A668" s="5"/>
      <c r="B668" s="5"/>
      <c r="C668" s="5"/>
      <c r="D668" s="91"/>
      <c r="E668" s="21"/>
      <c r="F668" s="5"/>
      <c r="G668" s="75"/>
    </row>
    <row r="669" spans="1:7" ht="12.5">
      <c r="A669" s="5"/>
      <c r="B669" s="5"/>
      <c r="C669" s="5"/>
      <c r="D669" s="91"/>
      <c r="E669" s="21"/>
      <c r="F669" s="5"/>
      <c r="G669" s="75"/>
    </row>
    <row r="670" spans="1:7" ht="12.5">
      <c r="A670" s="5"/>
      <c r="B670" s="5"/>
      <c r="C670" s="5"/>
      <c r="D670" s="91"/>
      <c r="E670" s="21"/>
      <c r="F670" s="5"/>
      <c r="G670" s="75"/>
    </row>
    <row r="671" spans="1:7" ht="12.5">
      <c r="A671" s="5"/>
      <c r="B671" s="5"/>
      <c r="C671" s="5"/>
      <c r="D671" s="91"/>
      <c r="E671" s="21"/>
      <c r="F671" s="5"/>
      <c r="G671" s="75"/>
    </row>
    <row r="672" spans="1:7" ht="12.5">
      <c r="A672" s="5"/>
      <c r="B672" s="5"/>
      <c r="C672" s="5"/>
      <c r="D672" s="91"/>
      <c r="E672" s="21"/>
      <c r="F672" s="5"/>
      <c r="G672" s="75"/>
    </row>
    <row r="673" spans="1:7" ht="12.5">
      <c r="A673" s="5"/>
      <c r="B673" s="5"/>
      <c r="C673" s="5"/>
      <c r="D673" s="91"/>
      <c r="E673" s="21"/>
      <c r="F673" s="5"/>
      <c r="G673" s="75"/>
    </row>
    <row r="674" spans="1:7" ht="12.5">
      <c r="A674" s="5"/>
      <c r="B674" s="5"/>
      <c r="C674" s="5"/>
      <c r="D674" s="91"/>
      <c r="E674" s="21"/>
      <c r="F674" s="5"/>
      <c r="G674" s="75"/>
    </row>
    <row r="675" spans="1:7" ht="12.5">
      <c r="A675" s="5"/>
      <c r="B675" s="5"/>
      <c r="C675" s="5"/>
      <c r="D675" s="91"/>
      <c r="E675" s="21"/>
      <c r="F675" s="5"/>
      <c r="G675" s="75"/>
    </row>
    <row r="676" spans="1:7" ht="12.5">
      <c r="A676" s="5"/>
      <c r="B676" s="5"/>
      <c r="C676" s="5"/>
      <c r="D676" s="91"/>
      <c r="E676" s="21"/>
      <c r="F676" s="5"/>
      <c r="G676" s="75"/>
    </row>
    <row r="677" spans="1:7" ht="12.5">
      <c r="A677" s="5"/>
      <c r="B677" s="5"/>
      <c r="C677" s="5"/>
      <c r="D677" s="91"/>
      <c r="E677" s="21"/>
      <c r="F677" s="5"/>
      <c r="G677" s="75"/>
    </row>
    <row r="678" spans="1:7" ht="12.5">
      <c r="A678" s="5"/>
      <c r="B678" s="5"/>
      <c r="C678" s="5"/>
      <c r="D678" s="91"/>
      <c r="E678" s="21"/>
      <c r="F678" s="5"/>
      <c r="G678" s="75"/>
    </row>
    <row r="679" spans="1:7" ht="12.5">
      <c r="A679" s="5"/>
      <c r="B679" s="5"/>
      <c r="C679" s="5"/>
      <c r="D679" s="91"/>
      <c r="E679" s="21"/>
      <c r="F679" s="5"/>
      <c r="G679" s="75"/>
    </row>
    <row r="680" spans="1:7" ht="12.5">
      <c r="A680" s="5"/>
      <c r="B680" s="5"/>
      <c r="C680" s="5"/>
      <c r="D680" s="91"/>
      <c r="E680" s="21"/>
      <c r="F680" s="5"/>
      <c r="G680" s="75"/>
    </row>
    <row r="681" spans="1:7" ht="12.5">
      <c r="A681" s="5"/>
      <c r="B681" s="5"/>
      <c r="C681" s="5"/>
      <c r="D681" s="91"/>
      <c r="E681" s="21"/>
      <c r="F681" s="5"/>
      <c r="G681" s="75"/>
    </row>
    <row r="682" spans="1:7" ht="12.5">
      <c r="A682" s="5"/>
      <c r="B682" s="5"/>
      <c r="C682" s="5"/>
      <c r="D682" s="91"/>
      <c r="E682" s="21"/>
      <c r="F682" s="5"/>
      <c r="G682" s="75"/>
    </row>
    <row r="683" spans="1:7" ht="12.5">
      <c r="A683" s="5"/>
      <c r="B683" s="5"/>
      <c r="C683" s="5"/>
      <c r="D683" s="91"/>
      <c r="E683" s="21"/>
      <c r="F683" s="5"/>
      <c r="G683" s="75"/>
    </row>
    <row r="684" spans="1:7" ht="12.5">
      <c r="A684" s="5"/>
      <c r="B684" s="5"/>
      <c r="C684" s="5"/>
      <c r="D684" s="91"/>
      <c r="E684" s="21"/>
      <c r="F684" s="5"/>
      <c r="G684" s="75"/>
    </row>
    <row r="685" spans="1:7" ht="12.5">
      <c r="A685" s="5"/>
      <c r="B685" s="5"/>
      <c r="C685" s="5"/>
      <c r="D685" s="91"/>
      <c r="E685" s="21"/>
      <c r="F685" s="5"/>
      <c r="G685" s="75"/>
    </row>
    <row r="686" spans="1:7" ht="12.5">
      <c r="A686" s="5"/>
      <c r="B686" s="5"/>
      <c r="C686" s="5"/>
      <c r="D686" s="91"/>
      <c r="E686" s="21"/>
      <c r="F686" s="5"/>
      <c r="G686" s="75"/>
    </row>
    <row r="687" spans="1:7" ht="12.5">
      <c r="A687" s="5"/>
      <c r="B687" s="5"/>
      <c r="C687" s="5"/>
      <c r="D687" s="91"/>
      <c r="E687" s="21"/>
      <c r="F687" s="5"/>
      <c r="G687" s="75"/>
    </row>
    <row r="688" spans="1:7" ht="12.5">
      <c r="A688" s="5"/>
      <c r="B688" s="5"/>
      <c r="C688" s="5"/>
      <c r="D688" s="91"/>
      <c r="E688" s="21"/>
      <c r="F688" s="5"/>
      <c r="G688" s="75"/>
    </row>
    <row r="689" spans="1:7" ht="12.5">
      <c r="A689" s="5"/>
      <c r="B689" s="5"/>
      <c r="C689" s="5"/>
      <c r="D689" s="91"/>
      <c r="E689" s="21"/>
      <c r="F689" s="5"/>
      <c r="G689" s="75"/>
    </row>
    <row r="690" spans="1:7" ht="12.5">
      <c r="A690" s="5"/>
      <c r="B690" s="5"/>
      <c r="C690" s="5"/>
      <c r="D690" s="91"/>
      <c r="E690" s="21"/>
      <c r="F690" s="5"/>
      <c r="G690" s="75"/>
    </row>
    <row r="691" spans="1:7" ht="12.5">
      <c r="A691" s="5"/>
      <c r="B691" s="5"/>
      <c r="C691" s="5"/>
      <c r="D691" s="91"/>
      <c r="E691" s="21"/>
      <c r="F691" s="5"/>
      <c r="G691" s="75"/>
    </row>
    <row r="692" spans="1:7" ht="12.5">
      <c r="A692" s="5"/>
      <c r="B692" s="5"/>
      <c r="C692" s="5"/>
      <c r="D692" s="91"/>
      <c r="E692" s="21"/>
      <c r="F692" s="5"/>
      <c r="G692" s="75"/>
    </row>
    <row r="693" spans="1:7" ht="12.5">
      <c r="A693" s="5"/>
      <c r="B693" s="5"/>
      <c r="C693" s="5"/>
      <c r="D693" s="91"/>
      <c r="E693" s="21"/>
      <c r="F693" s="5"/>
      <c r="G693" s="75"/>
    </row>
    <row r="694" spans="1:7" ht="12.5">
      <c r="A694" s="5"/>
      <c r="B694" s="5"/>
      <c r="C694" s="5"/>
      <c r="D694" s="91"/>
      <c r="E694" s="21"/>
      <c r="F694" s="5"/>
      <c r="G694" s="75"/>
    </row>
    <row r="695" spans="1:7" ht="12.5">
      <c r="A695" s="5"/>
      <c r="B695" s="5"/>
      <c r="C695" s="5"/>
      <c r="D695" s="91"/>
      <c r="E695" s="21"/>
      <c r="F695" s="5"/>
      <c r="G695" s="75"/>
    </row>
    <row r="696" spans="1:7" ht="12.5">
      <c r="A696" s="5"/>
      <c r="B696" s="5"/>
      <c r="C696" s="5"/>
      <c r="D696" s="91"/>
      <c r="E696" s="21"/>
      <c r="F696" s="5"/>
      <c r="G696" s="75"/>
    </row>
    <row r="697" spans="1:7" ht="12.5">
      <c r="A697" s="5"/>
      <c r="B697" s="5"/>
      <c r="C697" s="5"/>
      <c r="D697" s="91"/>
      <c r="E697" s="21"/>
      <c r="F697" s="5"/>
      <c r="G697" s="75"/>
    </row>
    <row r="698" spans="1:7" ht="12.5">
      <c r="A698" s="5"/>
      <c r="B698" s="5"/>
      <c r="C698" s="5"/>
      <c r="D698" s="91"/>
      <c r="E698" s="21"/>
      <c r="F698" s="5"/>
      <c r="G698" s="75"/>
    </row>
    <row r="699" spans="1:7" ht="12.5">
      <c r="A699" s="5"/>
      <c r="B699" s="5"/>
      <c r="C699" s="5"/>
      <c r="D699" s="91"/>
      <c r="E699" s="21"/>
      <c r="F699" s="5"/>
      <c r="G699" s="75"/>
    </row>
    <row r="700" spans="1:7" ht="12.5">
      <c r="A700" s="5"/>
      <c r="B700" s="5"/>
      <c r="C700" s="5"/>
      <c r="D700" s="91"/>
      <c r="E700" s="21"/>
      <c r="F700" s="5"/>
      <c r="G700" s="75"/>
    </row>
    <row r="701" spans="1:7" ht="12.5">
      <c r="A701" s="5"/>
      <c r="B701" s="5"/>
      <c r="C701" s="5"/>
      <c r="D701" s="91"/>
      <c r="E701" s="21"/>
      <c r="F701" s="5"/>
      <c r="G701" s="75"/>
    </row>
    <row r="702" spans="1:7" ht="12.5">
      <c r="A702" s="5"/>
      <c r="B702" s="5"/>
      <c r="C702" s="5"/>
      <c r="D702" s="91"/>
      <c r="E702" s="21"/>
      <c r="F702" s="5"/>
      <c r="G702" s="75"/>
    </row>
    <row r="703" spans="1:7" ht="12.5">
      <c r="A703" s="5"/>
      <c r="B703" s="5"/>
      <c r="C703" s="5"/>
      <c r="D703" s="91"/>
      <c r="E703" s="21"/>
      <c r="F703" s="5"/>
      <c r="G703" s="75"/>
    </row>
    <row r="704" spans="1:7" ht="12.5">
      <c r="A704" s="5"/>
      <c r="B704" s="5"/>
      <c r="C704" s="5"/>
      <c r="D704" s="91"/>
      <c r="E704" s="21"/>
      <c r="F704" s="5"/>
      <c r="G704" s="75"/>
    </row>
    <row r="705" spans="1:7" ht="12.5">
      <c r="A705" s="5"/>
      <c r="B705" s="5"/>
      <c r="C705" s="5"/>
      <c r="D705" s="91"/>
      <c r="E705" s="21"/>
      <c r="F705" s="5"/>
      <c r="G705" s="75"/>
    </row>
    <row r="706" spans="1:7" ht="12.5">
      <c r="A706" s="5"/>
      <c r="B706" s="5"/>
      <c r="C706" s="5"/>
      <c r="D706" s="91"/>
      <c r="E706" s="21"/>
      <c r="F706" s="5"/>
      <c r="G706" s="75"/>
    </row>
    <row r="707" spans="1:7" ht="12.5">
      <c r="A707" s="5"/>
      <c r="B707" s="5"/>
      <c r="C707" s="5"/>
      <c r="D707" s="91"/>
      <c r="E707" s="21"/>
      <c r="F707" s="5"/>
      <c r="G707" s="75"/>
    </row>
    <row r="708" spans="1:7" ht="12.5">
      <c r="A708" s="5"/>
      <c r="B708" s="5"/>
      <c r="C708" s="5"/>
      <c r="D708" s="91"/>
      <c r="E708" s="21"/>
      <c r="F708" s="5"/>
      <c r="G708" s="75"/>
    </row>
    <row r="709" spans="1:7" ht="12.5">
      <c r="A709" s="5"/>
      <c r="B709" s="5"/>
      <c r="C709" s="5"/>
      <c r="D709" s="91"/>
      <c r="E709" s="21"/>
      <c r="F709" s="5"/>
      <c r="G709" s="75"/>
    </row>
    <row r="710" spans="1:7" ht="12.5">
      <c r="A710" s="5"/>
      <c r="B710" s="5"/>
      <c r="C710" s="5"/>
      <c r="D710" s="91"/>
      <c r="E710" s="21"/>
      <c r="F710" s="5"/>
      <c r="G710" s="75"/>
    </row>
    <row r="711" spans="1:7" ht="12.5">
      <c r="A711" s="5"/>
      <c r="B711" s="5"/>
      <c r="C711" s="5"/>
      <c r="D711" s="91"/>
      <c r="E711" s="21"/>
      <c r="F711" s="5"/>
      <c r="G711" s="75"/>
    </row>
    <row r="712" spans="1:7" ht="12.5">
      <c r="A712" s="5"/>
      <c r="B712" s="5"/>
      <c r="C712" s="5"/>
      <c r="D712" s="91"/>
      <c r="E712" s="21"/>
      <c r="F712" s="5"/>
      <c r="G712" s="75"/>
    </row>
    <row r="713" spans="1:7" ht="12.5">
      <c r="A713" s="5"/>
      <c r="B713" s="5"/>
      <c r="C713" s="5"/>
      <c r="D713" s="91"/>
      <c r="E713" s="21"/>
      <c r="F713" s="5"/>
      <c r="G713" s="75"/>
    </row>
    <row r="714" spans="1:7" ht="12.5">
      <c r="A714" s="5"/>
      <c r="B714" s="5"/>
      <c r="C714" s="5"/>
      <c r="D714" s="91"/>
      <c r="E714" s="21"/>
      <c r="F714" s="5"/>
      <c r="G714" s="75"/>
    </row>
    <row r="715" spans="1:7" ht="12.5">
      <c r="A715" s="5"/>
      <c r="B715" s="5"/>
      <c r="C715" s="5"/>
      <c r="D715" s="91"/>
      <c r="E715" s="21"/>
      <c r="F715" s="5"/>
      <c r="G715" s="75"/>
    </row>
    <row r="716" spans="1:7" ht="12.5">
      <c r="A716" s="5"/>
      <c r="B716" s="5"/>
      <c r="C716" s="5"/>
      <c r="D716" s="91"/>
      <c r="E716" s="21"/>
      <c r="F716" s="5"/>
      <c r="G716" s="75"/>
    </row>
    <row r="717" spans="1:7" ht="12.5">
      <c r="A717" s="5"/>
      <c r="B717" s="5"/>
      <c r="C717" s="5"/>
      <c r="D717" s="91"/>
      <c r="E717" s="21"/>
      <c r="F717" s="5"/>
      <c r="G717" s="75"/>
    </row>
    <row r="718" spans="1:7" ht="12.5">
      <c r="A718" s="5"/>
      <c r="B718" s="5"/>
      <c r="C718" s="5"/>
      <c r="D718" s="91"/>
      <c r="E718" s="21"/>
      <c r="F718" s="5"/>
      <c r="G718" s="75"/>
    </row>
    <row r="719" spans="1:7" ht="12.5">
      <c r="A719" s="5"/>
      <c r="B719" s="5"/>
      <c r="C719" s="5"/>
      <c r="D719" s="91"/>
      <c r="E719" s="21"/>
      <c r="F719" s="5"/>
      <c r="G719" s="75"/>
    </row>
    <row r="720" spans="1:7" ht="12.5">
      <c r="A720" s="5"/>
      <c r="B720" s="5"/>
      <c r="C720" s="5"/>
      <c r="D720" s="91"/>
      <c r="E720" s="21"/>
      <c r="F720" s="5"/>
      <c r="G720" s="75"/>
    </row>
    <row r="721" spans="1:7" ht="12.5">
      <c r="A721" s="5"/>
      <c r="B721" s="5"/>
      <c r="C721" s="5"/>
      <c r="D721" s="91"/>
      <c r="E721" s="21"/>
      <c r="F721" s="5"/>
      <c r="G721" s="75"/>
    </row>
    <row r="722" spans="1:7" ht="12.5">
      <c r="A722" s="5"/>
      <c r="B722" s="5"/>
      <c r="C722" s="5"/>
      <c r="D722" s="91"/>
      <c r="E722" s="21"/>
      <c r="F722" s="5"/>
      <c r="G722" s="75"/>
    </row>
    <row r="723" spans="1:7" ht="12.5">
      <c r="A723" s="5"/>
      <c r="B723" s="5"/>
      <c r="C723" s="5"/>
      <c r="D723" s="91"/>
      <c r="E723" s="21"/>
      <c r="F723" s="5"/>
      <c r="G723" s="75"/>
    </row>
    <row r="724" spans="1:7" ht="12.5">
      <c r="A724" s="5"/>
      <c r="B724" s="5"/>
      <c r="C724" s="5"/>
      <c r="D724" s="91"/>
      <c r="E724" s="21"/>
      <c r="F724" s="5"/>
      <c r="G724" s="75"/>
    </row>
    <row r="725" spans="1:7" ht="12.5">
      <c r="A725" s="5"/>
      <c r="B725" s="5"/>
      <c r="C725" s="5"/>
      <c r="D725" s="91"/>
      <c r="E725" s="21"/>
      <c r="F725" s="5"/>
      <c r="G725" s="75"/>
    </row>
    <row r="726" spans="1:7" ht="12.5">
      <c r="A726" s="5"/>
      <c r="B726" s="5"/>
      <c r="C726" s="5"/>
      <c r="D726" s="91"/>
      <c r="E726" s="21"/>
      <c r="F726" s="5"/>
      <c r="G726" s="75"/>
    </row>
    <row r="727" spans="1:7" ht="12.5">
      <c r="A727" s="5"/>
      <c r="B727" s="5"/>
      <c r="C727" s="5"/>
      <c r="D727" s="91"/>
      <c r="E727" s="21"/>
      <c r="F727" s="5"/>
      <c r="G727" s="75"/>
    </row>
    <row r="728" spans="1:7" ht="12.5">
      <c r="A728" s="5"/>
      <c r="B728" s="5"/>
      <c r="C728" s="5"/>
      <c r="D728" s="91"/>
      <c r="E728" s="21"/>
      <c r="F728" s="5"/>
      <c r="G728" s="75"/>
    </row>
    <row r="729" spans="1:7" ht="12.5">
      <c r="A729" s="5"/>
      <c r="B729" s="5"/>
      <c r="C729" s="5"/>
      <c r="D729" s="91"/>
      <c r="E729" s="21"/>
      <c r="F729" s="5"/>
      <c r="G729" s="75"/>
    </row>
    <row r="730" spans="1:7" ht="12.5">
      <c r="A730" s="5"/>
      <c r="B730" s="5"/>
      <c r="C730" s="5"/>
      <c r="D730" s="91"/>
      <c r="E730" s="21"/>
      <c r="F730" s="5"/>
      <c r="G730" s="75"/>
    </row>
    <row r="731" spans="1:7" ht="12.5">
      <c r="A731" s="5"/>
      <c r="B731" s="5"/>
      <c r="C731" s="5"/>
      <c r="D731" s="91"/>
      <c r="E731" s="21"/>
      <c r="F731" s="5"/>
      <c r="G731" s="75"/>
    </row>
    <row r="732" spans="1:7" ht="12.5">
      <c r="A732" s="5"/>
      <c r="B732" s="5"/>
      <c r="C732" s="5"/>
      <c r="D732" s="91"/>
      <c r="E732" s="21"/>
      <c r="F732" s="5"/>
      <c r="G732" s="75"/>
    </row>
    <row r="733" spans="1:7" ht="12.5">
      <c r="A733" s="5"/>
      <c r="B733" s="5"/>
      <c r="C733" s="5"/>
      <c r="D733" s="91"/>
      <c r="E733" s="21"/>
      <c r="F733" s="5"/>
      <c r="G733" s="75"/>
    </row>
    <row r="734" spans="1:7" ht="12.5">
      <c r="A734" s="5"/>
      <c r="B734" s="5"/>
      <c r="C734" s="5"/>
      <c r="D734" s="91"/>
      <c r="E734" s="21"/>
      <c r="F734" s="5"/>
      <c r="G734" s="75"/>
    </row>
    <row r="735" spans="1:7" ht="12.5">
      <c r="A735" s="5"/>
      <c r="B735" s="5"/>
      <c r="C735" s="5"/>
      <c r="D735" s="91"/>
      <c r="E735" s="21"/>
      <c r="F735" s="5"/>
      <c r="G735" s="75"/>
    </row>
    <row r="736" spans="1:7" ht="12.5">
      <c r="A736" s="5"/>
      <c r="B736" s="5"/>
      <c r="C736" s="5"/>
      <c r="D736" s="91"/>
      <c r="E736" s="21"/>
      <c r="F736" s="5"/>
      <c r="G736" s="75"/>
    </row>
    <row r="737" spans="1:7" ht="12.5">
      <c r="A737" s="5"/>
      <c r="B737" s="5"/>
      <c r="C737" s="5"/>
      <c r="D737" s="91"/>
      <c r="E737" s="21"/>
      <c r="F737" s="5"/>
      <c r="G737" s="75"/>
    </row>
    <row r="738" spans="1:7" ht="12.5">
      <c r="A738" s="5"/>
      <c r="B738" s="5"/>
      <c r="C738" s="5"/>
      <c r="D738" s="91"/>
      <c r="E738" s="21"/>
      <c r="F738" s="5"/>
      <c r="G738" s="75"/>
    </row>
    <row r="739" spans="1:7" ht="12.5">
      <c r="A739" s="5"/>
      <c r="B739" s="5"/>
      <c r="C739" s="5"/>
      <c r="D739" s="91"/>
      <c r="E739" s="21"/>
      <c r="F739" s="5"/>
      <c r="G739" s="75"/>
    </row>
    <row r="740" spans="1:7" ht="12.5">
      <c r="A740" s="5"/>
      <c r="B740" s="5"/>
      <c r="C740" s="5"/>
      <c r="D740" s="91"/>
      <c r="E740" s="21"/>
      <c r="F740" s="5"/>
      <c r="G740" s="75"/>
    </row>
    <row r="741" spans="1:7" ht="12.5">
      <c r="A741" s="5"/>
      <c r="B741" s="5"/>
      <c r="C741" s="5"/>
      <c r="D741" s="91"/>
      <c r="E741" s="21"/>
      <c r="F741" s="5"/>
      <c r="G741" s="75"/>
    </row>
    <row r="742" spans="1:7" ht="12.5">
      <c r="A742" s="5"/>
      <c r="B742" s="5"/>
      <c r="C742" s="5"/>
      <c r="D742" s="91"/>
      <c r="E742" s="21"/>
      <c r="F742" s="5"/>
      <c r="G742" s="75"/>
    </row>
    <row r="743" spans="1:7" ht="12.5">
      <c r="A743" s="5"/>
      <c r="B743" s="5"/>
      <c r="C743" s="5"/>
      <c r="D743" s="91"/>
      <c r="E743" s="21"/>
      <c r="F743" s="5"/>
      <c r="G743" s="75"/>
    </row>
    <row r="744" spans="1:7" ht="12.5">
      <c r="A744" s="5"/>
      <c r="B744" s="5"/>
      <c r="C744" s="5"/>
      <c r="D744" s="91"/>
      <c r="E744" s="21"/>
      <c r="F744" s="5"/>
      <c r="G744" s="75"/>
    </row>
    <row r="745" spans="1:7" ht="12.5">
      <c r="A745" s="5"/>
      <c r="B745" s="5"/>
      <c r="C745" s="5"/>
      <c r="D745" s="91"/>
      <c r="E745" s="21"/>
      <c r="F745" s="5"/>
      <c r="G745" s="75"/>
    </row>
    <row r="746" spans="1:7" ht="12.5">
      <c r="A746" s="5"/>
      <c r="B746" s="5"/>
      <c r="C746" s="5"/>
      <c r="D746" s="91"/>
      <c r="E746" s="21"/>
      <c r="F746" s="5"/>
      <c r="G746" s="75"/>
    </row>
    <row r="747" spans="1:7" ht="12.5">
      <c r="A747" s="5"/>
      <c r="B747" s="5"/>
      <c r="C747" s="5"/>
      <c r="D747" s="91"/>
      <c r="E747" s="21"/>
      <c r="F747" s="5"/>
      <c r="G747" s="75"/>
    </row>
    <row r="748" spans="1:7" ht="12.5">
      <c r="A748" s="5"/>
      <c r="B748" s="5"/>
      <c r="C748" s="5"/>
      <c r="D748" s="91"/>
      <c r="E748" s="21"/>
      <c r="F748" s="5"/>
      <c r="G748" s="75"/>
    </row>
    <row r="749" spans="1:7" ht="12.5">
      <c r="A749" s="5"/>
      <c r="B749" s="5"/>
      <c r="C749" s="5"/>
      <c r="D749" s="91"/>
      <c r="E749" s="21"/>
      <c r="F749" s="5"/>
      <c r="G749" s="75"/>
    </row>
    <row r="750" spans="1:7" ht="12.5">
      <c r="A750" s="5"/>
      <c r="B750" s="5"/>
      <c r="C750" s="5"/>
      <c r="D750" s="91"/>
      <c r="E750" s="21"/>
      <c r="F750" s="5"/>
      <c r="G750" s="75"/>
    </row>
    <row r="751" spans="1:7" ht="12.5">
      <c r="A751" s="5"/>
      <c r="B751" s="5"/>
      <c r="C751" s="5"/>
      <c r="D751" s="91"/>
      <c r="E751" s="21"/>
      <c r="F751" s="5"/>
      <c r="G751" s="75"/>
    </row>
    <row r="752" spans="1:7" ht="12.5">
      <c r="A752" s="5"/>
      <c r="B752" s="5"/>
      <c r="C752" s="5"/>
      <c r="D752" s="91"/>
      <c r="E752" s="21"/>
      <c r="F752" s="5"/>
      <c r="G752" s="75"/>
    </row>
    <row r="753" spans="1:7" ht="12.5">
      <c r="A753" s="5"/>
      <c r="B753" s="5"/>
      <c r="C753" s="5"/>
      <c r="D753" s="91"/>
      <c r="E753" s="21"/>
      <c r="F753" s="5"/>
      <c r="G753" s="75"/>
    </row>
    <row r="754" spans="1:7" ht="12.5">
      <c r="A754" s="5"/>
      <c r="B754" s="5"/>
      <c r="C754" s="5"/>
      <c r="D754" s="91"/>
      <c r="E754" s="21"/>
      <c r="F754" s="5"/>
      <c r="G754" s="75"/>
    </row>
    <row r="755" spans="1:7" ht="12.5">
      <c r="A755" s="5"/>
      <c r="B755" s="5"/>
      <c r="C755" s="5"/>
      <c r="D755" s="91"/>
      <c r="E755" s="21"/>
      <c r="F755" s="5"/>
      <c r="G755" s="75"/>
    </row>
    <row r="756" spans="1:7" ht="12.5">
      <c r="A756" s="5"/>
      <c r="B756" s="5"/>
      <c r="C756" s="5"/>
      <c r="D756" s="91"/>
      <c r="E756" s="21"/>
      <c r="F756" s="5"/>
      <c r="G756" s="75"/>
    </row>
    <row r="757" spans="1:7" ht="12.5">
      <c r="A757" s="5"/>
      <c r="B757" s="5"/>
      <c r="C757" s="5"/>
      <c r="D757" s="91"/>
      <c r="E757" s="21"/>
      <c r="F757" s="5"/>
      <c r="G757" s="75"/>
    </row>
    <row r="758" spans="1:7" ht="12.5">
      <c r="A758" s="5"/>
      <c r="B758" s="5"/>
      <c r="C758" s="5"/>
      <c r="D758" s="91"/>
      <c r="E758" s="21"/>
      <c r="F758" s="5"/>
      <c r="G758" s="75"/>
    </row>
    <row r="759" spans="1:7" ht="12.5">
      <c r="A759" s="5"/>
      <c r="B759" s="5"/>
      <c r="C759" s="5"/>
      <c r="D759" s="91"/>
      <c r="E759" s="21"/>
      <c r="F759" s="5"/>
      <c r="G759" s="75"/>
    </row>
    <row r="760" spans="1:7" ht="12.5">
      <c r="A760" s="5"/>
      <c r="B760" s="5"/>
      <c r="C760" s="5"/>
      <c r="D760" s="91"/>
      <c r="E760" s="21"/>
      <c r="F760" s="5"/>
      <c r="G760" s="75"/>
    </row>
    <row r="761" spans="1:7" ht="12.5">
      <c r="A761" s="5"/>
      <c r="B761" s="5"/>
      <c r="C761" s="5"/>
      <c r="D761" s="91"/>
      <c r="E761" s="21"/>
      <c r="F761" s="5"/>
      <c r="G761" s="75"/>
    </row>
    <row r="762" spans="1:7" ht="12.5">
      <c r="A762" s="5"/>
      <c r="B762" s="5"/>
      <c r="C762" s="5"/>
      <c r="D762" s="91"/>
      <c r="E762" s="21"/>
      <c r="F762" s="5"/>
      <c r="G762" s="75"/>
    </row>
    <row r="763" spans="1:7" ht="12.5">
      <c r="A763" s="5"/>
      <c r="B763" s="5"/>
      <c r="C763" s="5"/>
      <c r="D763" s="91"/>
      <c r="E763" s="21"/>
      <c r="F763" s="5"/>
      <c r="G763" s="75"/>
    </row>
    <row r="764" spans="1:7" ht="12.5">
      <c r="A764" s="5"/>
      <c r="B764" s="5"/>
      <c r="C764" s="5"/>
      <c r="D764" s="91"/>
      <c r="E764" s="21"/>
      <c r="F764" s="5"/>
      <c r="G764" s="75"/>
    </row>
    <row r="765" spans="1:7" ht="12.5">
      <c r="A765" s="5"/>
      <c r="B765" s="5"/>
      <c r="C765" s="5"/>
      <c r="D765" s="91"/>
      <c r="E765" s="21"/>
      <c r="F765" s="5"/>
      <c r="G765" s="75"/>
    </row>
    <row r="766" spans="1:7" ht="12.5">
      <c r="A766" s="5"/>
      <c r="B766" s="5"/>
      <c r="C766" s="5"/>
      <c r="D766" s="91"/>
      <c r="E766" s="21"/>
      <c r="F766" s="5"/>
      <c r="G766" s="75"/>
    </row>
    <row r="767" spans="1:7" ht="12.5">
      <c r="A767" s="5"/>
      <c r="B767" s="5"/>
      <c r="C767" s="5"/>
      <c r="D767" s="91"/>
      <c r="E767" s="21"/>
      <c r="F767" s="5"/>
      <c r="G767" s="75"/>
    </row>
    <row r="768" spans="1:7" ht="12.5">
      <c r="A768" s="5"/>
      <c r="B768" s="5"/>
      <c r="C768" s="5"/>
      <c r="D768" s="91"/>
      <c r="E768" s="21"/>
      <c r="F768" s="5"/>
      <c r="G768" s="75"/>
    </row>
    <row r="769" spans="1:7" ht="12.5">
      <c r="A769" s="5"/>
      <c r="B769" s="5"/>
      <c r="C769" s="5"/>
      <c r="D769" s="91"/>
      <c r="E769" s="21"/>
      <c r="F769" s="5"/>
      <c r="G769" s="75"/>
    </row>
    <row r="770" spans="1:7" ht="12.5">
      <c r="A770" s="5"/>
      <c r="B770" s="5"/>
      <c r="C770" s="5"/>
      <c r="D770" s="91"/>
      <c r="E770" s="21"/>
      <c r="F770" s="5"/>
      <c r="G770" s="75"/>
    </row>
    <row r="771" spans="1:7" ht="12.5">
      <c r="A771" s="5"/>
      <c r="B771" s="5"/>
      <c r="C771" s="5"/>
      <c r="D771" s="91"/>
      <c r="E771" s="21"/>
      <c r="F771" s="5"/>
      <c r="G771" s="75"/>
    </row>
    <row r="772" spans="1:7" ht="12.5">
      <c r="A772" s="5"/>
      <c r="B772" s="5"/>
      <c r="C772" s="5"/>
      <c r="D772" s="91"/>
      <c r="E772" s="21"/>
      <c r="F772" s="5"/>
      <c r="G772" s="75"/>
    </row>
    <row r="773" spans="1:7" ht="12.5">
      <c r="A773" s="5"/>
      <c r="B773" s="5"/>
      <c r="C773" s="5"/>
      <c r="D773" s="91"/>
      <c r="E773" s="21"/>
      <c r="F773" s="5"/>
      <c r="G773" s="75"/>
    </row>
    <row r="774" spans="1:7" ht="12.5">
      <c r="A774" s="5"/>
      <c r="B774" s="5"/>
      <c r="C774" s="5"/>
      <c r="D774" s="91"/>
      <c r="E774" s="21"/>
      <c r="F774" s="5"/>
      <c r="G774" s="75"/>
    </row>
    <row r="775" spans="1:7" ht="12.5">
      <c r="A775" s="5"/>
      <c r="B775" s="5"/>
      <c r="C775" s="5"/>
      <c r="D775" s="91"/>
      <c r="E775" s="21"/>
      <c r="F775" s="5"/>
      <c r="G775" s="75"/>
    </row>
    <row r="776" spans="1:7" ht="12.5">
      <c r="A776" s="5"/>
      <c r="B776" s="5"/>
      <c r="C776" s="5"/>
      <c r="D776" s="91"/>
      <c r="E776" s="21"/>
      <c r="F776" s="5"/>
      <c r="G776" s="75"/>
    </row>
    <row r="777" spans="1:7" ht="12.5">
      <c r="A777" s="5"/>
      <c r="B777" s="5"/>
      <c r="C777" s="5"/>
      <c r="D777" s="91"/>
      <c r="E777" s="21"/>
      <c r="F777" s="5"/>
      <c r="G777" s="75"/>
    </row>
    <row r="778" spans="1:7" ht="12.5">
      <c r="A778" s="5"/>
      <c r="B778" s="5"/>
      <c r="C778" s="5"/>
      <c r="D778" s="91"/>
      <c r="E778" s="21"/>
      <c r="F778" s="5"/>
      <c r="G778" s="75"/>
    </row>
    <row r="779" spans="1:7" ht="12.5">
      <c r="A779" s="5"/>
      <c r="B779" s="5"/>
      <c r="C779" s="5"/>
      <c r="D779" s="91"/>
      <c r="E779" s="21"/>
      <c r="F779" s="5"/>
      <c r="G779" s="75"/>
    </row>
    <row r="780" spans="1:7" ht="12.5">
      <c r="A780" s="5"/>
      <c r="B780" s="5"/>
      <c r="C780" s="5"/>
      <c r="D780" s="91"/>
      <c r="E780" s="21"/>
      <c r="F780" s="5"/>
      <c r="G780" s="75"/>
    </row>
    <row r="781" spans="1:7" ht="12.5">
      <c r="A781" s="5"/>
      <c r="B781" s="5"/>
      <c r="C781" s="5"/>
      <c r="D781" s="91"/>
      <c r="E781" s="21"/>
      <c r="F781" s="5"/>
      <c r="G781" s="75"/>
    </row>
    <row r="782" spans="1:7" ht="12.5">
      <c r="A782" s="5"/>
      <c r="B782" s="5"/>
      <c r="C782" s="5"/>
      <c r="D782" s="91"/>
      <c r="E782" s="21"/>
      <c r="F782" s="5"/>
      <c r="G782" s="75"/>
    </row>
    <row r="783" spans="1:7" ht="12.5">
      <c r="A783" s="5"/>
      <c r="B783" s="5"/>
      <c r="C783" s="5"/>
      <c r="D783" s="91"/>
      <c r="E783" s="21"/>
      <c r="F783" s="5"/>
      <c r="G783" s="75"/>
    </row>
    <row r="784" spans="1:7" ht="12.5">
      <c r="A784" s="5"/>
      <c r="B784" s="5"/>
      <c r="C784" s="5"/>
      <c r="D784" s="91"/>
      <c r="E784" s="21"/>
      <c r="F784" s="5"/>
      <c r="G784" s="75"/>
    </row>
    <row r="785" spans="1:7" ht="12.5">
      <c r="A785" s="5"/>
      <c r="B785" s="5"/>
      <c r="C785" s="5"/>
      <c r="D785" s="91"/>
      <c r="E785" s="21"/>
      <c r="F785" s="5"/>
      <c r="G785" s="75"/>
    </row>
    <row r="786" spans="1:7" ht="12.5">
      <c r="A786" s="5"/>
      <c r="B786" s="5"/>
      <c r="C786" s="5"/>
      <c r="D786" s="91"/>
      <c r="E786" s="21"/>
      <c r="F786" s="5"/>
      <c r="G786" s="75"/>
    </row>
    <row r="787" spans="1:7" ht="12.5">
      <c r="A787" s="5"/>
      <c r="B787" s="5"/>
      <c r="C787" s="5"/>
      <c r="D787" s="91"/>
      <c r="E787" s="21"/>
      <c r="F787" s="5"/>
      <c r="G787" s="75"/>
    </row>
    <row r="788" spans="1:7" ht="12.5">
      <c r="A788" s="5"/>
      <c r="B788" s="5"/>
      <c r="C788" s="5"/>
      <c r="D788" s="91"/>
      <c r="E788" s="21"/>
      <c r="F788" s="5"/>
      <c r="G788" s="75"/>
    </row>
    <row r="789" spans="1:7" ht="12.5">
      <c r="A789" s="5"/>
      <c r="B789" s="5"/>
      <c r="C789" s="5"/>
      <c r="D789" s="91"/>
      <c r="E789" s="21"/>
      <c r="F789" s="5"/>
      <c r="G789" s="75"/>
    </row>
    <row r="790" spans="1:7" ht="12.5">
      <c r="A790" s="5"/>
      <c r="B790" s="5"/>
      <c r="C790" s="5"/>
      <c r="D790" s="91"/>
      <c r="E790" s="21"/>
      <c r="F790" s="5"/>
      <c r="G790" s="75"/>
    </row>
    <row r="791" spans="1:7" ht="12.5">
      <c r="A791" s="5"/>
      <c r="B791" s="5"/>
      <c r="C791" s="5"/>
      <c r="D791" s="91"/>
      <c r="E791" s="21"/>
      <c r="F791" s="5"/>
      <c r="G791" s="75"/>
    </row>
    <row r="792" spans="1:7" ht="12.5">
      <c r="A792" s="5"/>
      <c r="B792" s="5"/>
      <c r="C792" s="5"/>
      <c r="D792" s="91"/>
      <c r="E792" s="21"/>
      <c r="F792" s="5"/>
      <c r="G792" s="75"/>
    </row>
    <row r="793" spans="1:7" ht="12.5">
      <c r="A793" s="5"/>
      <c r="B793" s="5"/>
      <c r="C793" s="5"/>
      <c r="D793" s="91"/>
      <c r="E793" s="21"/>
      <c r="F793" s="5"/>
      <c r="G793" s="75"/>
    </row>
    <row r="794" spans="1:7" ht="12.5">
      <c r="A794" s="5"/>
      <c r="B794" s="5"/>
      <c r="C794" s="5"/>
      <c r="D794" s="91"/>
      <c r="E794" s="21"/>
      <c r="F794" s="5"/>
      <c r="G794" s="75"/>
    </row>
    <row r="795" spans="1:7" ht="12.5">
      <c r="A795" s="5"/>
      <c r="B795" s="5"/>
      <c r="C795" s="5"/>
      <c r="D795" s="91"/>
      <c r="E795" s="21"/>
      <c r="F795" s="5"/>
      <c r="G795" s="75"/>
    </row>
    <row r="796" spans="1:7" ht="12.5">
      <c r="A796" s="5"/>
      <c r="B796" s="5"/>
      <c r="C796" s="5"/>
      <c r="D796" s="91"/>
      <c r="E796" s="21"/>
      <c r="F796" s="5"/>
      <c r="G796" s="75"/>
    </row>
    <row r="797" spans="1:7" ht="12.5">
      <c r="A797" s="5"/>
      <c r="B797" s="5"/>
      <c r="C797" s="5"/>
      <c r="D797" s="91"/>
      <c r="E797" s="21"/>
      <c r="F797" s="5"/>
      <c r="G797" s="75"/>
    </row>
    <row r="798" spans="1:7" ht="12.5">
      <c r="A798" s="5"/>
      <c r="B798" s="5"/>
      <c r="C798" s="5"/>
      <c r="D798" s="91"/>
      <c r="E798" s="21"/>
      <c r="F798" s="5"/>
      <c r="G798" s="75"/>
    </row>
    <row r="799" spans="1:7" ht="12.5">
      <c r="A799" s="5"/>
      <c r="B799" s="5"/>
      <c r="C799" s="5"/>
      <c r="D799" s="91"/>
      <c r="E799" s="21"/>
      <c r="F799" s="5"/>
      <c r="G799" s="75"/>
    </row>
    <row r="800" spans="1:7" ht="12.5">
      <c r="A800" s="5"/>
      <c r="B800" s="5"/>
      <c r="C800" s="5"/>
      <c r="D800" s="91"/>
      <c r="E800" s="21"/>
      <c r="F800" s="5"/>
      <c r="G800" s="75"/>
    </row>
    <row r="801" spans="1:7" ht="12.5">
      <c r="A801" s="5"/>
      <c r="B801" s="5"/>
      <c r="C801" s="5"/>
      <c r="D801" s="91"/>
      <c r="E801" s="21"/>
      <c r="F801" s="5"/>
      <c r="G801" s="75"/>
    </row>
    <row r="802" spans="1:7" ht="12.5">
      <c r="A802" s="5"/>
      <c r="B802" s="5"/>
      <c r="C802" s="5"/>
      <c r="D802" s="91"/>
      <c r="E802" s="21"/>
      <c r="F802" s="5"/>
      <c r="G802" s="75"/>
    </row>
    <row r="803" spans="1:7" ht="12.5">
      <c r="A803" s="5"/>
      <c r="B803" s="5"/>
      <c r="C803" s="5"/>
      <c r="D803" s="91"/>
      <c r="E803" s="21"/>
      <c r="F803" s="5"/>
      <c r="G803" s="75"/>
    </row>
    <row r="804" spans="1:7" ht="12.5">
      <c r="A804" s="5"/>
      <c r="B804" s="5"/>
      <c r="C804" s="5"/>
      <c r="D804" s="91"/>
      <c r="E804" s="21"/>
      <c r="F804" s="5"/>
      <c r="G804" s="75"/>
    </row>
    <row r="805" spans="1:7" ht="12.5">
      <c r="A805" s="5"/>
      <c r="B805" s="5"/>
      <c r="C805" s="5"/>
      <c r="D805" s="91"/>
      <c r="E805" s="21"/>
      <c r="F805" s="5"/>
      <c r="G805" s="75"/>
    </row>
    <row r="806" spans="1:7" ht="12.5">
      <c r="A806" s="5"/>
      <c r="B806" s="5"/>
      <c r="C806" s="5"/>
      <c r="D806" s="91"/>
      <c r="E806" s="21"/>
      <c r="F806" s="5"/>
      <c r="G806" s="75"/>
    </row>
    <row r="807" spans="1:7" ht="12.5">
      <c r="A807" s="5"/>
      <c r="B807" s="5"/>
      <c r="C807" s="5"/>
      <c r="D807" s="91"/>
      <c r="E807" s="21"/>
      <c r="F807" s="5"/>
      <c r="G807" s="75"/>
    </row>
    <row r="808" spans="1:7" ht="12.5">
      <c r="A808" s="5"/>
      <c r="B808" s="5"/>
      <c r="C808" s="5"/>
      <c r="D808" s="91"/>
      <c r="E808" s="21"/>
      <c r="F808" s="5"/>
      <c r="G808" s="75"/>
    </row>
    <row r="809" spans="1:7" ht="12.5">
      <c r="A809" s="5"/>
      <c r="B809" s="5"/>
      <c r="C809" s="5"/>
      <c r="D809" s="91"/>
      <c r="E809" s="21"/>
      <c r="F809" s="5"/>
      <c r="G809" s="75"/>
    </row>
    <row r="810" spans="1:7" ht="12.5">
      <c r="A810" s="5"/>
      <c r="B810" s="5"/>
      <c r="C810" s="5"/>
      <c r="D810" s="91"/>
      <c r="E810" s="21"/>
      <c r="F810" s="5"/>
      <c r="G810" s="75"/>
    </row>
    <row r="811" spans="1:7" ht="12.5">
      <c r="A811" s="5"/>
      <c r="B811" s="5"/>
      <c r="C811" s="5"/>
      <c r="D811" s="91"/>
      <c r="E811" s="21"/>
      <c r="F811" s="5"/>
      <c r="G811" s="75"/>
    </row>
    <row r="812" spans="1:7" ht="12.5">
      <c r="A812" s="5"/>
      <c r="B812" s="5"/>
      <c r="C812" s="5"/>
      <c r="D812" s="91"/>
      <c r="E812" s="21"/>
      <c r="F812" s="5"/>
      <c r="G812" s="75"/>
    </row>
    <row r="813" spans="1:7" ht="12.5">
      <c r="A813" s="5"/>
      <c r="B813" s="5"/>
      <c r="C813" s="5"/>
      <c r="D813" s="91"/>
      <c r="E813" s="21"/>
      <c r="F813" s="5"/>
      <c r="G813" s="75"/>
    </row>
    <row r="814" spans="1:7" ht="12.5">
      <c r="A814" s="5"/>
      <c r="B814" s="5"/>
      <c r="C814" s="5"/>
      <c r="D814" s="91"/>
      <c r="E814" s="21"/>
      <c r="F814" s="5"/>
      <c r="G814" s="75"/>
    </row>
    <row r="815" spans="1:7" ht="12.5">
      <c r="A815" s="5"/>
      <c r="B815" s="5"/>
      <c r="C815" s="5"/>
      <c r="D815" s="91"/>
      <c r="E815" s="21"/>
      <c r="F815" s="5"/>
      <c r="G815" s="75"/>
    </row>
    <row r="816" spans="1:7" ht="12.5">
      <c r="A816" s="5"/>
      <c r="B816" s="5"/>
      <c r="C816" s="5"/>
      <c r="D816" s="91"/>
      <c r="E816" s="21"/>
      <c r="F816" s="5"/>
      <c r="G816" s="75"/>
    </row>
    <row r="817" spans="1:7" ht="12.5">
      <c r="A817" s="5"/>
      <c r="B817" s="5"/>
      <c r="C817" s="5"/>
      <c r="D817" s="91"/>
      <c r="E817" s="21"/>
      <c r="F817" s="5"/>
      <c r="G817" s="75"/>
    </row>
    <row r="818" spans="1:7" ht="12.5">
      <c r="A818" s="5"/>
      <c r="B818" s="5"/>
      <c r="C818" s="5"/>
      <c r="D818" s="91"/>
      <c r="E818" s="21"/>
      <c r="F818" s="5"/>
      <c r="G818" s="75"/>
    </row>
    <row r="819" spans="1:7" ht="12.5">
      <c r="A819" s="5"/>
      <c r="B819" s="5"/>
      <c r="C819" s="5"/>
      <c r="D819" s="91"/>
      <c r="E819" s="21"/>
      <c r="F819" s="5"/>
      <c r="G819" s="75"/>
    </row>
    <row r="820" spans="1:7" ht="12.5">
      <c r="A820" s="5"/>
      <c r="B820" s="5"/>
      <c r="C820" s="5"/>
      <c r="D820" s="91"/>
      <c r="E820" s="21"/>
      <c r="F820" s="5"/>
      <c r="G820" s="75"/>
    </row>
    <row r="821" spans="1:7" ht="12.5">
      <c r="A821" s="5"/>
      <c r="B821" s="5"/>
      <c r="C821" s="5"/>
      <c r="D821" s="91"/>
      <c r="E821" s="21"/>
      <c r="F821" s="5"/>
      <c r="G821" s="75"/>
    </row>
    <row r="822" spans="1:7" ht="12.5">
      <c r="A822" s="5"/>
      <c r="B822" s="5"/>
      <c r="C822" s="5"/>
      <c r="D822" s="91"/>
      <c r="E822" s="21"/>
      <c r="F822" s="5"/>
      <c r="G822" s="75"/>
    </row>
    <row r="823" spans="1:7" ht="12.5">
      <c r="A823" s="5"/>
      <c r="B823" s="5"/>
      <c r="C823" s="5"/>
      <c r="D823" s="91"/>
      <c r="E823" s="21"/>
      <c r="F823" s="5"/>
      <c r="G823" s="75"/>
    </row>
    <row r="824" spans="1:7" ht="12.5">
      <c r="A824" s="5"/>
      <c r="B824" s="5"/>
      <c r="C824" s="5"/>
      <c r="D824" s="91"/>
      <c r="E824" s="21"/>
      <c r="F824" s="5"/>
      <c r="G824" s="75"/>
    </row>
    <row r="825" spans="1:7" ht="12.5">
      <c r="A825" s="5"/>
      <c r="B825" s="5"/>
      <c r="C825" s="5"/>
      <c r="D825" s="91"/>
      <c r="E825" s="21"/>
      <c r="F825" s="5"/>
      <c r="G825" s="75"/>
    </row>
    <row r="826" spans="1:7" ht="12.5">
      <c r="A826" s="5"/>
      <c r="B826" s="5"/>
      <c r="C826" s="5"/>
      <c r="D826" s="91"/>
      <c r="E826" s="21"/>
      <c r="F826" s="5"/>
      <c r="G826" s="75"/>
    </row>
    <row r="827" spans="1:7" ht="12.5">
      <c r="A827" s="5"/>
      <c r="B827" s="5"/>
      <c r="C827" s="5"/>
      <c r="D827" s="91"/>
      <c r="E827" s="21"/>
      <c r="F827" s="5"/>
      <c r="G827" s="75"/>
    </row>
    <row r="828" spans="1:7" ht="12.5">
      <c r="A828" s="5"/>
      <c r="B828" s="5"/>
      <c r="C828" s="5"/>
      <c r="D828" s="91"/>
      <c r="E828" s="21"/>
      <c r="F828" s="5"/>
      <c r="G828" s="75"/>
    </row>
    <row r="829" spans="1:7" ht="12.5">
      <c r="A829" s="5"/>
      <c r="B829" s="5"/>
      <c r="C829" s="5"/>
      <c r="D829" s="91"/>
      <c r="E829" s="21"/>
      <c r="F829" s="5"/>
      <c r="G829" s="75"/>
    </row>
    <row r="830" spans="1:7" ht="12.5">
      <c r="A830" s="5"/>
      <c r="B830" s="5"/>
      <c r="C830" s="5"/>
      <c r="D830" s="91"/>
      <c r="E830" s="21"/>
      <c r="F830" s="5"/>
      <c r="G830" s="75"/>
    </row>
    <row r="831" spans="1:7" ht="12.5">
      <c r="A831" s="5"/>
      <c r="B831" s="5"/>
      <c r="C831" s="5"/>
      <c r="D831" s="91"/>
      <c r="E831" s="21"/>
      <c r="F831" s="5"/>
      <c r="G831" s="75"/>
    </row>
    <row r="832" spans="1:7" ht="12.5">
      <c r="A832" s="5"/>
      <c r="B832" s="5"/>
      <c r="C832" s="5"/>
      <c r="D832" s="91"/>
      <c r="E832" s="21"/>
      <c r="F832" s="5"/>
      <c r="G832" s="75"/>
    </row>
    <row r="833" spans="1:7" ht="12.5">
      <c r="A833" s="5"/>
      <c r="B833" s="5"/>
      <c r="C833" s="5"/>
      <c r="D833" s="91"/>
      <c r="E833" s="21"/>
      <c r="F833" s="5"/>
      <c r="G833" s="75"/>
    </row>
    <row r="834" spans="1:7" ht="12.5">
      <c r="A834" s="5"/>
      <c r="B834" s="5"/>
      <c r="C834" s="5"/>
      <c r="D834" s="91"/>
      <c r="E834" s="21"/>
      <c r="F834" s="5"/>
      <c r="G834" s="75"/>
    </row>
    <row r="835" spans="1:7" ht="12.5">
      <c r="A835" s="5"/>
      <c r="B835" s="5"/>
      <c r="C835" s="5"/>
      <c r="D835" s="91"/>
      <c r="E835" s="21"/>
      <c r="F835" s="5"/>
      <c r="G835" s="75"/>
    </row>
    <row r="836" spans="1:7" ht="12.5">
      <c r="A836" s="5"/>
      <c r="B836" s="5"/>
      <c r="C836" s="5"/>
      <c r="D836" s="91"/>
      <c r="E836" s="21"/>
      <c r="F836" s="5"/>
      <c r="G836" s="75"/>
    </row>
    <row r="837" spans="1:7" ht="12.5">
      <c r="A837" s="5"/>
      <c r="B837" s="5"/>
      <c r="C837" s="5"/>
      <c r="D837" s="91"/>
      <c r="E837" s="21"/>
      <c r="F837" s="5"/>
      <c r="G837" s="75"/>
    </row>
    <row r="838" spans="1:7" ht="12.5">
      <c r="A838" s="5"/>
      <c r="B838" s="5"/>
      <c r="C838" s="5"/>
      <c r="D838" s="91"/>
      <c r="E838" s="21"/>
      <c r="F838" s="5"/>
      <c r="G838" s="75"/>
    </row>
    <row r="839" spans="1:7" ht="12.5">
      <c r="A839" s="5"/>
      <c r="B839" s="5"/>
      <c r="C839" s="5"/>
      <c r="D839" s="91"/>
      <c r="E839" s="21"/>
      <c r="F839" s="5"/>
      <c r="G839" s="75"/>
    </row>
    <row r="840" spans="1:7" ht="12.5">
      <c r="A840" s="5"/>
      <c r="B840" s="5"/>
      <c r="C840" s="5"/>
      <c r="D840" s="91"/>
      <c r="E840" s="21"/>
      <c r="F840" s="5"/>
      <c r="G840" s="75"/>
    </row>
    <row r="841" spans="1:7" ht="12.5">
      <c r="A841" s="5"/>
      <c r="B841" s="5"/>
      <c r="C841" s="5"/>
      <c r="D841" s="91"/>
      <c r="E841" s="21"/>
      <c r="F841" s="5"/>
      <c r="G841" s="75"/>
    </row>
    <row r="842" spans="1:7" ht="12.5">
      <c r="A842" s="5"/>
      <c r="B842" s="5"/>
      <c r="C842" s="5"/>
      <c r="D842" s="91"/>
      <c r="E842" s="21"/>
      <c r="F842" s="5"/>
      <c r="G842" s="75"/>
    </row>
    <row r="843" spans="1:7" ht="12.5">
      <c r="A843" s="5"/>
      <c r="B843" s="5"/>
      <c r="C843" s="5"/>
      <c r="D843" s="91"/>
      <c r="E843" s="21"/>
      <c r="F843" s="5"/>
      <c r="G843" s="75"/>
    </row>
    <row r="844" spans="1:7" ht="12.5">
      <c r="A844" s="5"/>
      <c r="B844" s="5"/>
      <c r="C844" s="5"/>
      <c r="D844" s="91"/>
      <c r="E844" s="21"/>
      <c r="F844" s="5"/>
      <c r="G844" s="75"/>
    </row>
    <row r="845" spans="1:7" ht="12.5">
      <c r="A845" s="5"/>
      <c r="B845" s="5"/>
      <c r="C845" s="5"/>
      <c r="D845" s="91"/>
      <c r="E845" s="21"/>
      <c r="F845" s="5"/>
      <c r="G845" s="75"/>
    </row>
    <row r="846" spans="1:7" ht="12.5">
      <c r="A846" s="5"/>
      <c r="B846" s="5"/>
      <c r="C846" s="5"/>
      <c r="D846" s="91"/>
      <c r="E846" s="21"/>
      <c r="F846" s="5"/>
      <c r="G846" s="75"/>
    </row>
    <row r="847" spans="1:7" ht="12.5">
      <c r="A847" s="5"/>
      <c r="B847" s="5"/>
      <c r="C847" s="5"/>
      <c r="D847" s="91"/>
      <c r="E847" s="21"/>
      <c r="F847" s="5"/>
      <c r="G847" s="75"/>
    </row>
    <row r="848" spans="1:7" ht="12.5">
      <c r="A848" s="5"/>
      <c r="B848" s="5"/>
      <c r="C848" s="5"/>
      <c r="D848" s="91"/>
      <c r="E848" s="21"/>
      <c r="F848" s="5"/>
      <c r="G848" s="75"/>
    </row>
    <row r="849" spans="1:7" ht="12.5">
      <c r="A849" s="5"/>
      <c r="B849" s="5"/>
      <c r="C849" s="5"/>
      <c r="D849" s="91"/>
      <c r="E849" s="21"/>
      <c r="F849" s="5"/>
      <c r="G849" s="75"/>
    </row>
    <row r="850" spans="1:7" ht="12.5">
      <c r="A850" s="5"/>
      <c r="B850" s="5"/>
      <c r="C850" s="5"/>
      <c r="D850" s="91"/>
      <c r="E850" s="21"/>
      <c r="F850" s="5"/>
      <c r="G850" s="75"/>
    </row>
    <row r="851" spans="1:7" ht="12.5">
      <c r="A851" s="5"/>
      <c r="B851" s="5"/>
      <c r="C851" s="5"/>
      <c r="D851" s="91"/>
      <c r="E851" s="21"/>
      <c r="F851" s="5"/>
      <c r="G851" s="75"/>
    </row>
    <row r="852" spans="1:7" ht="12.5">
      <c r="A852" s="5"/>
      <c r="B852" s="5"/>
      <c r="C852" s="5"/>
      <c r="D852" s="91"/>
      <c r="E852" s="21"/>
      <c r="F852" s="5"/>
      <c r="G852" s="75"/>
    </row>
    <row r="853" spans="1:7" ht="12.5">
      <c r="A853" s="5"/>
      <c r="B853" s="5"/>
      <c r="C853" s="5"/>
      <c r="D853" s="91"/>
      <c r="E853" s="21"/>
      <c r="F853" s="5"/>
      <c r="G853" s="75"/>
    </row>
    <row r="854" spans="1:7" ht="12.5">
      <c r="A854" s="5"/>
      <c r="B854" s="5"/>
      <c r="C854" s="5"/>
      <c r="D854" s="91"/>
      <c r="E854" s="21"/>
      <c r="F854" s="5"/>
      <c r="G854" s="75"/>
    </row>
    <row r="855" spans="1:7" ht="12.5">
      <c r="A855" s="5"/>
      <c r="B855" s="5"/>
      <c r="C855" s="5"/>
      <c r="D855" s="91"/>
      <c r="E855" s="21"/>
      <c r="F855" s="5"/>
      <c r="G855" s="75"/>
    </row>
    <row r="856" spans="1:7" ht="12.5">
      <c r="A856" s="5"/>
      <c r="B856" s="5"/>
      <c r="C856" s="5"/>
      <c r="D856" s="91"/>
      <c r="E856" s="21"/>
      <c r="F856" s="5"/>
      <c r="G856" s="75"/>
    </row>
    <row r="857" spans="1:7" ht="12.5">
      <c r="A857" s="5"/>
      <c r="B857" s="5"/>
      <c r="C857" s="5"/>
      <c r="D857" s="91"/>
      <c r="E857" s="21"/>
      <c r="F857" s="5"/>
      <c r="G857" s="75"/>
    </row>
    <row r="858" spans="1:7" ht="12.5">
      <c r="A858" s="5"/>
      <c r="B858" s="5"/>
      <c r="C858" s="5"/>
      <c r="D858" s="91"/>
      <c r="E858" s="21"/>
      <c r="F858" s="5"/>
      <c r="G858" s="75"/>
    </row>
    <row r="859" spans="1:7" ht="12.5">
      <c r="A859" s="5"/>
      <c r="B859" s="5"/>
      <c r="C859" s="5"/>
      <c r="D859" s="91"/>
      <c r="E859" s="21"/>
      <c r="F859" s="5"/>
      <c r="G859" s="75"/>
    </row>
    <row r="860" spans="1:7" ht="12.5">
      <c r="A860" s="5"/>
      <c r="B860" s="5"/>
      <c r="C860" s="5"/>
      <c r="D860" s="91"/>
      <c r="E860" s="21"/>
      <c r="F860" s="5"/>
      <c r="G860" s="75"/>
    </row>
    <row r="861" spans="1:7" ht="12.5">
      <c r="A861" s="5"/>
      <c r="B861" s="5"/>
      <c r="C861" s="5"/>
      <c r="D861" s="91"/>
      <c r="E861" s="21"/>
      <c r="F861" s="5"/>
      <c r="G861" s="75"/>
    </row>
    <row r="862" spans="1:7" ht="12.5">
      <c r="A862" s="5"/>
      <c r="B862" s="5"/>
      <c r="C862" s="5"/>
      <c r="D862" s="91"/>
      <c r="E862" s="21"/>
      <c r="F862" s="5"/>
      <c r="G862" s="75"/>
    </row>
    <row r="863" spans="1:7" ht="12.5">
      <c r="A863" s="5"/>
      <c r="B863" s="5"/>
      <c r="C863" s="5"/>
      <c r="D863" s="91"/>
      <c r="E863" s="21"/>
      <c r="F863" s="5"/>
      <c r="G863" s="75"/>
    </row>
    <row r="864" spans="1:7" ht="12.5">
      <c r="A864" s="5"/>
      <c r="B864" s="5"/>
      <c r="C864" s="5"/>
      <c r="D864" s="91"/>
      <c r="E864" s="21"/>
      <c r="F864" s="5"/>
      <c r="G864" s="75"/>
    </row>
    <row r="865" spans="1:7" ht="12.5">
      <c r="A865" s="5"/>
      <c r="B865" s="5"/>
      <c r="C865" s="5"/>
      <c r="D865" s="91"/>
      <c r="E865" s="21"/>
      <c r="F865" s="5"/>
      <c r="G865" s="75"/>
    </row>
    <row r="866" spans="1:7" ht="12.5">
      <c r="A866" s="5"/>
      <c r="B866" s="5"/>
      <c r="C866" s="5"/>
      <c r="D866" s="91"/>
      <c r="E866" s="21"/>
      <c r="F866" s="5"/>
      <c r="G866" s="75"/>
    </row>
    <row r="867" spans="1:7" ht="12.5">
      <c r="A867" s="5"/>
      <c r="B867" s="5"/>
      <c r="C867" s="5"/>
      <c r="D867" s="91"/>
      <c r="E867" s="21"/>
      <c r="F867" s="5"/>
      <c r="G867" s="75"/>
    </row>
    <row r="868" spans="1:7" ht="12.5">
      <c r="A868" s="5"/>
      <c r="B868" s="5"/>
      <c r="C868" s="5"/>
      <c r="D868" s="91"/>
      <c r="E868" s="21"/>
      <c r="F868" s="5"/>
      <c r="G868" s="75"/>
    </row>
    <row r="869" spans="1:7" ht="12.5">
      <c r="A869" s="5"/>
      <c r="B869" s="5"/>
      <c r="C869" s="5"/>
      <c r="D869" s="91"/>
      <c r="E869" s="21"/>
      <c r="F869" s="5"/>
      <c r="G869" s="75"/>
    </row>
    <row r="870" spans="1:7" ht="12.5">
      <c r="A870" s="5"/>
      <c r="B870" s="5"/>
      <c r="C870" s="5"/>
      <c r="D870" s="91"/>
      <c r="E870" s="21"/>
      <c r="F870" s="5"/>
      <c r="G870" s="75"/>
    </row>
    <row r="871" spans="1:7" ht="12.5">
      <c r="A871" s="5"/>
      <c r="B871" s="5"/>
      <c r="C871" s="5"/>
      <c r="D871" s="91"/>
      <c r="E871" s="21"/>
      <c r="F871" s="5"/>
      <c r="G871" s="75"/>
    </row>
    <row r="872" spans="1:7" ht="12.5">
      <c r="A872" s="5"/>
      <c r="B872" s="5"/>
      <c r="C872" s="5"/>
      <c r="D872" s="91"/>
      <c r="E872" s="21"/>
      <c r="F872" s="5"/>
      <c r="G872" s="75"/>
    </row>
    <row r="873" spans="1:7" ht="12.5">
      <c r="A873" s="5"/>
      <c r="B873" s="5"/>
      <c r="C873" s="5"/>
      <c r="D873" s="91"/>
      <c r="E873" s="21"/>
      <c r="F873" s="5"/>
      <c r="G873" s="75"/>
    </row>
    <row r="874" spans="1:7" ht="12.5">
      <c r="A874" s="5"/>
      <c r="B874" s="5"/>
      <c r="C874" s="5"/>
      <c r="D874" s="91"/>
      <c r="E874" s="21"/>
      <c r="F874" s="5"/>
      <c r="G874" s="75"/>
    </row>
    <row r="875" spans="1:7" ht="12.5">
      <c r="A875" s="5"/>
      <c r="B875" s="5"/>
      <c r="C875" s="5"/>
      <c r="D875" s="91"/>
      <c r="E875" s="21"/>
      <c r="F875" s="5"/>
      <c r="G875" s="75"/>
    </row>
    <row r="876" spans="1:7" ht="12.5">
      <c r="A876" s="5"/>
      <c r="B876" s="5"/>
      <c r="C876" s="5"/>
      <c r="D876" s="91"/>
      <c r="E876" s="21"/>
      <c r="F876" s="5"/>
      <c r="G876" s="75"/>
    </row>
    <row r="877" spans="1:7" ht="12.5">
      <c r="A877" s="5"/>
      <c r="B877" s="5"/>
      <c r="C877" s="5"/>
      <c r="D877" s="91"/>
      <c r="E877" s="21"/>
      <c r="F877" s="5"/>
      <c r="G877" s="75"/>
    </row>
    <row r="878" spans="1:7" ht="12.5">
      <c r="A878" s="5"/>
      <c r="B878" s="5"/>
      <c r="C878" s="5"/>
      <c r="D878" s="91"/>
      <c r="E878" s="21"/>
      <c r="F878" s="5"/>
      <c r="G878" s="75"/>
    </row>
    <row r="879" spans="1:7" ht="12.5">
      <c r="A879" s="5"/>
      <c r="B879" s="5"/>
      <c r="C879" s="5"/>
      <c r="D879" s="91"/>
      <c r="E879" s="21"/>
      <c r="F879" s="5"/>
      <c r="G879" s="75"/>
    </row>
    <row r="880" spans="1:7" ht="12.5">
      <c r="A880" s="5"/>
      <c r="B880" s="5"/>
      <c r="C880" s="5"/>
      <c r="D880" s="91"/>
      <c r="E880" s="21"/>
      <c r="F880" s="5"/>
      <c r="G880" s="75"/>
    </row>
    <row r="881" spans="1:7" ht="12.5">
      <c r="A881" s="5"/>
      <c r="B881" s="5"/>
      <c r="C881" s="5"/>
      <c r="D881" s="91"/>
      <c r="E881" s="21"/>
      <c r="F881" s="5"/>
      <c r="G881" s="75"/>
    </row>
    <row r="882" spans="1:7" ht="12.5">
      <c r="A882" s="5"/>
      <c r="B882" s="5"/>
      <c r="C882" s="5"/>
      <c r="D882" s="91"/>
      <c r="E882" s="21"/>
      <c r="F882" s="5"/>
      <c r="G882" s="75"/>
    </row>
    <row r="883" spans="1:7" ht="12.5">
      <c r="A883" s="5"/>
      <c r="B883" s="5"/>
      <c r="C883" s="5"/>
      <c r="D883" s="91"/>
      <c r="E883" s="21"/>
      <c r="F883" s="5"/>
      <c r="G883" s="75"/>
    </row>
    <row r="884" spans="1:7" ht="12.5">
      <c r="A884" s="5"/>
      <c r="B884" s="5"/>
      <c r="C884" s="5"/>
      <c r="D884" s="91"/>
      <c r="E884" s="21"/>
      <c r="F884" s="5"/>
      <c r="G884" s="75"/>
    </row>
    <row r="885" spans="1:7" ht="12.5">
      <c r="A885" s="5"/>
      <c r="B885" s="5"/>
      <c r="C885" s="5"/>
      <c r="D885" s="91"/>
      <c r="E885" s="21"/>
      <c r="F885" s="5"/>
      <c r="G885" s="75"/>
    </row>
    <row r="886" spans="1:7" ht="12.5">
      <c r="A886" s="5"/>
      <c r="B886" s="5"/>
      <c r="C886" s="5"/>
      <c r="D886" s="91"/>
      <c r="E886" s="21"/>
      <c r="F886" s="5"/>
      <c r="G886" s="75"/>
    </row>
    <row r="887" spans="1:7" ht="12.5">
      <c r="A887" s="5"/>
      <c r="B887" s="5"/>
      <c r="C887" s="5"/>
      <c r="D887" s="91"/>
      <c r="E887" s="21"/>
      <c r="F887" s="5"/>
      <c r="G887" s="75"/>
    </row>
    <row r="888" spans="1:7" ht="12.5">
      <c r="A888" s="5"/>
      <c r="B888" s="5"/>
      <c r="C888" s="5"/>
      <c r="D888" s="91"/>
      <c r="E888" s="21"/>
      <c r="F888" s="5"/>
      <c r="G888" s="75"/>
    </row>
    <row r="889" spans="1:7" ht="12.5">
      <c r="A889" s="5"/>
      <c r="B889" s="5"/>
      <c r="C889" s="5"/>
      <c r="D889" s="91"/>
      <c r="E889" s="21"/>
      <c r="F889" s="5"/>
      <c r="G889" s="75"/>
    </row>
    <row r="890" spans="1:7" ht="12.5">
      <c r="A890" s="5"/>
      <c r="B890" s="5"/>
      <c r="C890" s="5"/>
      <c r="D890" s="91"/>
      <c r="E890" s="21"/>
      <c r="F890" s="5"/>
      <c r="G890" s="75"/>
    </row>
    <row r="891" spans="1:7" ht="12.5">
      <c r="A891" s="5"/>
      <c r="B891" s="5"/>
      <c r="C891" s="5"/>
      <c r="D891" s="91"/>
      <c r="E891" s="21"/>
      <c r="F891" s="5"/>
      <c r="G891" s="75"/>
    </row>
    <row r="892" spans="1:7" ht="12.5">
      <c r="A892" s="5"/>
      <c r="B892" s="5"/>
      <c r="C892" s="5"/>
      <c r="D892" s="91"/>
      <c r="E892" s="21"/>
      <c r="F892" s="5"/>
      <c r="G892" s="75"/>
    </row>
    <row r="893" spans="1:7" ht="12.5">
      <c r="A893" s="5"/>
      <c r="B893" s="5"/>
      <c r="C893" s="5"/>
      <c r="D893" s="91"/>
      <c r="E893" s="21"/>
      <c r="F893" s="5"/>
      <c r="G893" s="75"/>
    </row>
    <row r="894" spans="1:7" ht="12.5">
      <c r="A894" s="5"/>
      <c r="B894" s="5"/>
      <c r="C894" s="5"/>
      <c r="D894" s="91"/>
      <c r="E894" s="21"/>
      <c r="F894" s="5"/>
      <c r="G894" s="75"/>
    </row>
    <row r="895" spans="1:7" ht="12.5">
      <c r="A895" s="5"/>
      <c r="B895" s="5"/>
      <c r="C895" s="5"/>
      <c r="D895" s="91"/>
      <c r="E895" s="21"/>
      <c r="F895" s="5"/>
      <c r="G895" s="75"/>
    </row>
    <row r="896" spans="1:7" ht="12.5">
      <c r="A896" s="5"/>
      <c r="B896" s="5"/>
      <c r="C896" s="5"/>
      <c r="D896" s="91"/>
      <c r="E896" s="21"/>
      <c r="F896" s="5"/>
      <c r="G896" s="75"/>
    </row>
    <row r="897" spans="1:7" ht="12.5">
      <c r="A897" s="5"/>
      <c r="B897" s="5"/>
      <c r="C897" s="5"/>
      <c r="D897" s="91"/>
      <c r="E897" s="21"/>
      <c r="F897" s="5"/>
      <c r="G897" s="75"/>
    </row>
    <row r="898" spans="1:7" ht="12.5">
      <c r="A898" s="5"/>
      <c r="B898" s="5"/>
      <c r="C898" s="5"/>
      <c r="D898" s="91"/>
      <c r="E898" s="21"/>
      <c r="F898" s="5"/>
      <c r="G898" s="75"/>
    </row>
    <row r="899" spans="1:7" ht="12.5">
      <c r="A899" s="5"/>
      <c r="B899" s="5"/>
      <c r="C899" s="5"/>
      <c r="D899" s="91"/>
      <c r="E899" s="21"/>
      <c r="F899" s="5"/>
      <c r="G899" s="75"/>
    </row>
    <row r="900" spans="1:7" ht="12.5">
      <c r="A900" s="5"/>
      <c r="B900" s="5"/>
      <c r="C900" s="5"/>
      <c r="D900" s="91"/>
      <c r="E900" s="21"/>
      <c r="F900" s="5"/>
      <c r="G900" s="75"/>
    </row>
    <row r="901" spans="1:7" ht="12.5">
      <c r="A901" s="5"/>
      <c r="B901" s="5"/>
      <c r="C901" s="5"/>
      <c r="D901" s="91"/>
      <c r="E901" s="21"/>
      <c r="F901" s="5"/>
      <c r="G901" s="75"/>
    </row>
    <row r="902" spans="1:7" ht="12.5">
      <c r="A902" s="5"/>
      <c r="B902" s="5"/>
      <c r="C902" s="5"/>
      <c r="D902" s="91"/>
      <c r="E902" s="21"/>
      <c r="F902" s="5"/>
      <c r="G902" s="75"/>
    </row>
    <row r="903" spans="1:7" ht="12.5">
      <c r="A903" s="5"/>
      <c r="B903" s="5"/>
      <c r="C903" s="5"/>
      <c r="D903" s="91"/>
      <c r="E903" s="21"/>
      <c r="F903" s="5"/>
      <c r="G903" s="75"/>
    </row>
    <row r="904" spans="1:7" ht="12.5">
      <c r="A904" s="5"/>
      <c r="B904" s="5"/>
      <c r="C904" s="5"/>
      <c r="D904" s="91"/>
      <c r="E904" s="21"/>
      <c r="F904" s="5"/>
      <c r="G904" s="75"/>
    </row>
    <row r="905" spans="1:7" ht="12.5">
      <c r="A905" s="5"/>
      <c r="B905" s="5"/>
      <c r="C905" s="5"/>
      <c r="D905" s="91"/>
      <c r="E905" s="21"/>
      <c r="F905" s="5"/>
      <c r="G905" s="75"/>
    </row>
    <row r="906" spans="1:7" ht="12.5">
      <c r="A906" s="5"/>
      <c r="B906" s="5"/>
      <c r="C906" s="5"/>
      <c r="D906" s="91"/>
      <c r="E906" s="21"/>
      <c r="F906" s="5"/>
      <c r="G906" s="75"/>
    </row>
    <row r="907" spans="1:7" ht="12.5">
      <c r="A907" s="5"/>
      <c r="B907" s="5"/>
      <c r="C907" s="5"/>
      <c r="D907" s="91"/>
      <c r="E907" s="21"/>
      <c r="F907" s="5"/>
      <c r="G907" s="75"/>
    </row>
    <row r="908" spans="1:7" ht="12.5">
      <c r="A908" s="5"/>
      <c r="B908" s="5"/>
      <c r="C908" s="5"/>
      <c r="D908" s="91"/>
      <c r="E908" s="21"/>
      <c r="F908" s="5"/>
      <c r="G908" s="75"/>
    </row>
    <row r="909" spans="1:7" ht="12.5">
      <c r="A909" s="5"/>
      <c r="B909" s="5"/>
      <c r="C909" s="5"/>
      <c r="D909" s="91"/>
      <c r="E909" s="21"/>
      <c r="F909" s="5"/>
      <c r="G909" s="75"/>
    </row>
    <row r="910" spans="1:7" ht="12.5">
      <c r="A910" s="5"/>
      <c r="B910" s="5"/>
      <c r="C910" s="5"/>
      <c r="D910" s="91"/>
      <c r="E910" s="21"/>
      <c r="F910" s="5"/>
      <c r="G910" s="75"/>
    </row>
    <row r="911" spans="1:7" ht="12.5">
      <c r="A911" s="5"/>
      <c r="B911" s="5"/>
      <c r="C911" s="5"/>
      <c r="D911" s="91"/>
      <c r="E911" s="21"/>
      <c r="F911" s="5"/>
      <c r="G911" s="75"/>
    </row>
    <row r="912" spans="1:7" ht="12.5">
      <c r="A912" s="5"/>
      <c r="B912" s="5"/>
      <c r="C912" s="5"/>
      <c r="D912" s="91"/>
      <c r="E912" s="21"/>
      <c r="F912" s="5"/>
      <c r="G912" s="75"/>
    </row>
    <row r="913" spans="1:7" ht="12.5">
      <c r="A913" s="5"/>
      <c r="B913" s="5"/>
      <c r="C913" s="5"/>
      <c r="D913" s="91"/>
      <c r="E913" s="21"/>
      <c r="F913" s="5"/>
      <c r="G913" s="75"/>
    </row>
    <row r="914" spans="1:7" ht="12.5">
      <c r="A914" s="5"/>
      <c r="B914" s="5"/>
      <c r="C914" s="5"/>
      <c r="D914" s="91"/>
      <c r="E914" s="21"/>
      <c r="F914" s="5"/>
      <c r="G914" s="75"/>
    </row>
    <row r="915" spans="1:7" ht="12.5">
      <c r="A915" s="5"/>
      <c r="B915" s="5"/>
      <c r="C915" s="5"/>
      <c r="D915" s="91"/>
      <c r="E915" s="21"/>
      <c r="F915" s="5"/>
      <c r="G915" s="75"/>
    </row>
    <row r="916" spans="1:7" ht="12.5">
      <c r="A916" s="5"/>
      <c r="B916" s="5"/>
      <c r="C916" s="5"/>
      <c r="D916" s="91"/>
      <c r="E916" s="21"/>
      <c r="F916" s="5"/>
      <c r="G916" s="75"/>
    </row>
    <row r="917" spans="1:7" ht="12.5">
      <c r="A917" s="5"/>
      <c r="B917" s="5"/>
      <c r="C917" s="5"/>
      <c r="D917" s="91"/>
      <c r="E917" s="21"/>
      <c r="F917" s="5"/>
      <c r="G917" s="75"/>
    </row>
    <row r="918" spans="1:7" ht="12.5">
      <c r="A918" s="5"/>
      <c r="B918" s="5"/>
      <c r="C918" s="5"/>
      <c r="D918" s="91"/>
      <c r="E918" s="21"/>
      <c r="F918" s="5"/>
      <c r="G918" s="75"/>
    </row>
    <row r="919" spans="1:7" ht="12.5">
      <c r="A919" s="5"/>
      <c r="B919" s="5"/>
      <c r="C919" s="5"/>
      <c r="D919" s="91"/>
      <c r="E919" s="21"/>
      <c r="F919" s="5"/>
      <c r="G919" s="75"/>
    </row>
    <row r="920" spans="1:7" ht="12.5">
      <c r="A920" s="5"/>
      <c r="B920" s="5"/>
      <c r="C920" s="5"/>
      <c r="D920" s="91"/>
      <c r="E920" s="21"/>
      <c r="F920" s="5"/>
      <c r="G920" s="75"/>
    </row>
    <row r="921" spans="1:7" ht="12.5">
      <c r="A921" s="5"/>
      <c r="B921" s="5"/>
      <c r="C921" s="5"/>
      <c r="D921" s="91"/>
      <c r="E921" s="21"/>
      <c r="F921" s="5"/>
      <c r="G921" s="75"/>
    </row>
    <row r="922" spans="1:7" ht="12.5">
      <c r="A922" s="5"/>
      <c r="B922" s="5"/>
      <c r="C922" s="5"/>
      <c r="D922" s="91"/>
      <c r="E922" s="21"/>
      <c r="F922" s="5"/>
      <c r="G922" s="75"/>
    </row>
    <row r="923" spans="1:7" ht="12.5">
      <c r="A923" s="5"/>
      <c r="B923" s="5"/>
      <c r="C923" s="5"/>
      <c r="D923" s="91"/>
      <c r="E923" s="21"/>
      <c r="F923" s="5"/>
      <c r="G923" s="75"/>
    </row>
    <row r="924" spans="1:7" ht="12.5">
      <c r="A924" s="5"/>
      <c r="B924" s="5"/>
      <c r="C924" s="5"/>
      <c r="D924" s="91"/>
      <c r="E924" s="21"/>
      <c r="F924" s="5"/>
      <c r="G924" s="75"/>
    </row>
    <row r="925" spans="1:7" ht="12.5">
      <c r="A925" s="5"/>
      <c r="B925" s="5"/>
      <c r="C925" s="5"/>
      <c r="D925" s="91"/>
      <c r="E925" s="21"/>
      <c r="F925" s="5"/>
      <c r="G925" s="75"/>
    </row>
    <row r="926" spans="1:7" ht="12.5">
      <c r="A926" s="5"/>
      <c r="B926" s="5"/>
      <c r="C926" s="5"/>
      <c r="D926" s="91"/>
      <c r="E926" s="21"/>
      <c r="F926" s="5"/>
      <c r="G926" s="75"/>
    </row>
    <row r="927" spans="1:7" ht="12.5">
      <c r="A927" s="5"/>
      <c r="B927" s="5"/>
      <c r="C927" s="5"/>
      <c r="D927" s="91"/>
      <c r="E927" s="21"/>
      <c r="F927" s="5"/>
      <c r="G927" s="75"/>
    </row>
    <row r="928" spans="1:7" ht="12.5">
      <c r="A928" s="5"/>
      <c r="B928" s="5"/>
      <c r="C928" s="5"/>
      <c r="D928" s="91"/>
      <c r="E928" s="21"/>
      <c r="F928" s="5"/>
      <c r="G928" s="75"/>
    </row>
    <row r="929" spans="1:7" ht="12.5">
      <c r="A929" s="5"/>
      <c r="B929" s="5"/>
      <c r="C929" s="5"/>
      <c r="D929" s="91"/>
      <c r="E929" s="21"/>
      <c r="F929" s="5"/>
      <c r="G929" s="75"/>
    </row>
    <row r="930" spans="1:7" ht="12.5">
      <c r="A930" s="5"/>
      <c r="B930" s="5"/>
      <c r="C930" s="5"/>
      <c r="D930" s="91"/>
      <c r="E930" s="21"/>
      <c r="F930" s="5"/>
      <c r="G930" s="75"/>
    </row>
    <row r="931" spans="1:7" ht="12.5">
      <c r="A931" s="5"/>
      <c r="B931" s="5"/>
      <c r="C931" s="5"/>
      <c r="D931" s="91"/>
      <c r="E931" s="21"/>
      <c r="F931" s="5"/>
      <c r="G931" s="75"/>
    </row>
    <row r="932" spans="1:7" ht="12.5">
      <c r="A932" s="5"/>
      <c r="B932" s="5"/>
      <c r="C932" s="5"/>
      <c r="D932" s="91"/>
      <c r="E932" s="21"/>
      <c r="F932" s="5"/>
      <c r="G932" s="75"/>
    </row>
    <row r="933" spans="1:7" ht="12.5">
      <c r="A933" s="5"/>
      <c r="B933" s="5"/>
      <c r="C933" s="5"/>
      <c r="D933" s="91"/>
      <c r="E933" s="21"/>
      <c r="F933" s="5"/>
      <c r="G933" s="75"/>
    </row>
    <row r="934" spans="1:7" ht="12.5">
      <c r="A934" s="5"/>
      <c r="B934" s="5"/>
      <c r="C934" s="5"/>
      <c r="D934" s="91"/>
      <c r="E934" s="21"/>
      <c r="F934" s="5"/>
      <c r="G934" s="75"/>
    </row>
    <row r="935" spans="1:7" ht="12.5">
      <c r="A935" s="5"/>
      <c r="B935" s="5"/>
      <c r="C935" s="5"/>
      <c r="D935" s="91"/>
      <c r="E935" s="21"/>
      <c r="F935" s="5"/>
      <c r="G935" s="75"/>
    </row>
    <row r="936" spans="1:7" ht="12.5">
      <c r="A936" s="5"/>
      <c r="B936" s="5"/>
      <c r="C936" s="5"/>
      <c r="D936" s="91"/>
      <c r="E936" s="21"/>
      <c r="F936" s="5"/>
      <c r="G936" s="75"/>
    </row>
    <row r="937" spans="1:7" ht="12.5">
      <c r="A937" s="5"/>
      <c r="B937" s="5"/>
      <c r="C937" s="5"/>
      <c r="D937" s="91"/>
      <c r="E937" s="21"/>
      <c r="F937" s="5"/>
      <c r="G937" s="75"/>
    </row>
    <row r="938" spans="1:7" ht="12.5">
      <c r="A938" s="5"/>
      <c r="B938" s="5"/>
      <c r="C938" s="5"/>
      <c r="D938" s="91"/>
      <c r="E938" s="21"/>
      <c r="F938" s="5"/>
      <c r="G938" s="75"/>
    </row>
    <row r="939" spans="1:7" ht="12.5">
      <c r="A939" s="5"/>
      <c r="B939" s="5"/>
      <c r="C939" s="5"/>
      <c r="D939" s="91"/>
      <c r="E939" s="21"/>
      <c r="F939" s="5"/>
      <c r="G939" s="75"/>
    </row>
    <row r="940" spans="1:7" ht="12.5">
      <c r="A940" s="5"/>
      <c r="B940" s="5"/>
      <c r="C940" s="5"/>
      <c r="D940" s="91"/>
      <c r="E940" s="21"/>
      <c r="F940" s="5"/>
      <c r="G940" s="75"/>
    </row>
    <row r="941" spans="1:7" ht="12.5">
      <c r="A941" s="5"/>
      <c r="B941" s="5"/>
      <c r="C941" s="5"/>
      <c r="D941" s="91"/>
      <c r="E941" s="21"/>
      <c r="F941" s="5"/>
      <c r="G941" s="75"/>
    </row>
    <row r="942" spans="1:7" ht="12.5">
      <c r="A942" s="5"/>
      <c r="B942" s="5"/>
      <c r="C942" s="5"/>
      <c r="D942" s="91"/>
      <c r="E942" s="21"/>
      <c r="F942" s="5"/>
      <c r="G942" s="75"/>
    </row>
    <row r="943" spans="1:7" ht="12.5">
      <c r="A943" s="5"/>
      <c r="B943" s="5"/>
      <c r="C943" s="5"/>
      <c r="D943" s="91"/>
      <c r="E943" s="21"/>
      <c r="F943" s="5"/>
      <c r="G943" s="75"/>
    </row>
    <row r="944" spans="1:7" ht="12.5">
      <c r="A944" s="5"/>
      <c r="B944" s="5"/>
      <c r="C944" s="5"/>
      <c r="D944" s="91"/>
      <c r="E944" s="21"/>
      <c r="F944" s="5"/>
      <c r="G944" s="75"/>
    </row>
    <row r="945" spans="1:7" ht="12.5">
      <c r="A945" s="5"/>
      <c r="B945" s="5"/>
      <c r="C945" s="5"/>
      <c r="D945" s="91"/>
      <c r="E945" s="21"/>
      <c r="F945" s="5"/>
      <c r="G945" s="75"/>
    </row>
    <row r="946" spans="1:7" ht="12.5">
      <c r="A946" s="5"/>
      <c r="B946" s="5"/>
      <c r="C946" s="5"/>
      <c r="D946" s="91"/>
      <c r="E946" s="21"/>
      <c r="F946" s="5"/>
      <c r="G946" s="75"/>
    </row>
    <row r="947" spans="1:7" ht="12.5">
      <c r="A947" s="5"/>
      <c r="B947" s="5"/>
      <c r="C947" s="5"/>
      <c r="D947" s="91"/>
      <c r="E947" s="21"/>
      <c r="F947" s="5"/>
      <c r="G947" s="75"/>
    </row>
    <row r="948" spans="1:7" ht="12.5">
      <c r="A948" s="5"/>
      <c r="B948" s="5"/>
      <c r="C948" s="5"/>
      <c r="D948" s="91"/>
      <c r="E948" s="21"/>
      <c r="F948" s="5"/>
      <c r="G948" s="75"/>
    </row>
    <row r="949" spans="1:7" ht="12.5">
      <c r="A949" s="5"/>
      <c r="B949" s="5"/>
      <c r="C949" s="5"/>
      <c r="D949" s="91"/>
      <c r="E949" s="21"/>
      <c r="F949" s="5"/>
      <c r="G949" s="75"/>
    </row>
    <row r="950" spans="1:7" ht="12.5">
      <c r="A950" s="5"/>
      <c r="B950" s="5"/>
      <c r="C950" s="5"/>
      <c r="D950" s="91"/>
      <c r="E950" s="21"/>
      <c r="F950" s="5"/>
      <c r="G950" s="75"/>
    </row>
    <row r="951" spans="1:7" ht="12.5">
      <c r="A951" s="5"/>
      <c r="B951" s="5"/>
      <c r="C951" s="5"/>
      <c r="D951" s="91"/>
      <c r="E951" s="21"/>
      <c r="F951" s="5"/>
      <c r="G951" s="75"/>
    </row>
    <row r="952" spans="1:7" ht="12.5">
      <c r="A952" s="5"/>
      <c r="B952" s="5"/>
      <c r="C952" s="5"/>
      <c r="D952" s="91"/>
      <c r="E952" s="21"/>
      <c r="F952" s="5"/>
      <c r="G952" s="75"/>
    </row>
    <row r="953" spans="1:7" ht="12.5">
      <c r="A953" s="5"/>
      <c r="B953" s="5"/>
      <c r="C953" s="5"/>
      <c r="D953" s="91"/>
      <c r="E953" s="21"/>
      <c r="F953" s="5"/>
      <c r="G953" s="75"/>
    </row>
    <row r="954" spans="1:7" ht="12.5">
      <c r="A954" s="5"/>
      <c r="B954" s="5"/>
      <c r="C954" s="5"/>
      <c r="D954" s="91"/>
      <c r="E954" s="21"/>
      <c r="F954" s="5"/>
      <c r="G954" s="75"/>
    </row>
    <row r="955" spans="1:7" ht="12.5">
      <c r="A955" s="5"/>
      <c r="B955" s="5"/>
      <c r="C955" s="5"/>
      <c r="D955" s="91"/>
      <c r="E955" s="21"/>
      <c r="F955" s="5"/>
      <c r="G955" s="75"/>
    </row>
    <row r="956" spans="1:7" ht="12.5">
      <c r="A956" s="5"/>
      <c r="B956" s="5"/>
      <c r="C956" s="5"/>
      <c r="D956" s="91"/>
      <c r="E956" s="21"/>
      <c r="F956" s="5"/>
      <c r="G956" s="75"/>
    </row>
    <row r="957" spans="1:7" ht="12.5">
      <c r="A957" s="5"/>
      <c r="B957" s="5"/>
      <c r="C957" s="5"/>
      <c r="D957" s="91"/>
      <c r="E957" s="21"/>
      <c r="F957" s="5"/>
      <c r="G957" s="75"/>
    </row>
    <row r="958" spans="1:7" ht="12.5">
      <c r="A958" s="5"/>
      <c r="B958" s="5"/>
      <c r="C958" s="5"/>
      <c r="D958" s="91"/>
      <c r="E958" s="21"/>
      <c r="F958" s="5"/>
      <c r="G958" s="75"/>
    </row>
    <row r="959" spans="1:7" ht="12.5">
      <c r="A959" s="5"/>
      <c r="B959" s="5"/>
      <c r="C959" s="5"/>
      <c r="D959" s="91"/>
      <c r="E959" s="21"/>
      <c r="F959" s="5"/>
      <c r="G959" s="75"/>
    </row>
    <row r="960" spans="1:7" ht="12.5">
      <c r="A960" s="5"/>
      <c r="B960" s="5"/>
      <c r="C960" s="5"/>
      <c r="D960" s="91"/>
      <c r="E960" s="21"/>
      <c r="F960" s="5"/>
      <c r="G960" s="75"/>
    </row>
    <row r="961" spans="1:7" ht="12.5">
      <c r="A961" s="5"/>
      <c r="B961" s="5"/>
      <c r="C961" s="5"/>
      <c r="D961" s="91"/>
      <c r="E961" s="21"/>
      <c r="F961" s="5"/>
      <c r="G961" s="75"/>
    </row>
    <row r="962" spans="1:7" ht="12.5">
      <c r="A962" s="5"/>
      <c r="B962" s="5"/>
      <c r="C962" s="5"/>
      <c r="D962" s="91"/>
      <c r="E962" s="21"/>
      <c r="F962" s="5"/>
      <c r="G962" s="75"/>
    </row>
    <row r="963" spans="1:7" ht="12.5">
      <c r="A963" s="5"/>
      <c r="B963" s="5"/>
      <c r="C963" s="5"/>
      <c r="D963" s="91"/>
      <c r="E963" s="21"/>
      <c r="F963" s="5"/>
      <c r="G963" s="75"/>
    </row>
    <row r="964" spans="1:7" ht="12.5">
      <c r="A964" s="5"/>
      <c r="B964" s="5"/>
      <c r="C964" s="5"/>
      <c r="D964" s="91"/>
      <c r="E964" s="21"/>
      <c r="F964" s="5"/>
      <c r="G964" s="75"/>
    </row>
    <row r="965" spans="1:7" ht="12.5">
      <c r="A965" s="5"/>
      <c r="B965" s="5"/>
      <c r="C965" s="5"/>
      <c r="D965" s="91"/>
      <c r="E965" s="21"/>
      <c r="F965" s="5"/>
      <c r="G965" s="75"/>
    </row>
    <row r="966" spans="1:7" ht="12.5">
      <c r="A966" s="5"/>
      <c r="B966" s="5"/>
      <c r="C966" s="5"/>
      <c r="D966" s="91"/>
      <c r="E966" s="21"/>
      <c r="F966" s="5"/>
      <c r="G966" s="75"/>
    </row>
    <row r="967" spans="1:7" ht="12.5">
      <c r="A967" s="5"/>
      <c r="B967" s="5"/>
      <c r="C967" s="5"/>
      <c r="D967" s="91"/>
      <c r="E967" s="21"/>
      <c r="F967" s="5"/>
      <c r="G967" s="75"/>
    </row>
    <row r="968" spans="1:7" ht="12.5">
      <c r="A968" s="5"/>
      <c r="B968" s="5"/>
      <c r="C968" s="5"/>
      <c r="D968" s="91"/>
      <c r="E968" s="21"/>
      <c r="F968" s="5"/>
      <c r="G968" s="75"/>
    </row>
    <row r="969" spans="1:7" ht="12.5">
      <c r="A969" s="5"/>
      <c r="B969" s="5"/>
      <c r="C969" s="5"/>
      <c r="D969" s="91"/>
      <c r="E969" s="21"/>
      <c r="F969" s="5"/>
      <c r="G969" s="75"/>
    </row>
    <row r="970" spans="1:7" ht="12.5">
      <c r="A970" s="5"/>
      <c r="B970" s="5"/>
      <c r="C970" s="5"/>
      <c r="D970" s="91"/>
      <c r="E970" s="21"/>
      <c r="F970" s="5"/>
      <c r="G970" s="75"/>
    </row>
    <row r="971" spans="1:7" ht="12.5">
      <c r="A971" s="5"/>
      <c r="B971" s="5"/>
      <c r="C971" s="5"/>
      <c r="D971" s="91"/>
      <c r="E971" s="21"/>
      <c r="F971" s="5"/>
      <c r="G971" s="75"/>
    </row>
    <row r="972" spans="1:7" ht="12.5">
      <c r="A972" s="5"/>
      <c r="B972" s="5"/>
      <c r="C972" s="5"/>
      <c r="D972" s="91"/>
      <c r="E972" s="21"/>
      <c r="F972" s="5"/>
      <c r="G972" s="75"/>
    </row>
    <row r="973" spans="1:7" ht="12.5">
      <c r="A973" s="5"/>
      <c r="B973" s="5"/>
      <c r="C973" s="5"/>
      <c r="D973" s="91"/>
      <c r="E973" s="21"/>
      <c r="F973" s="5"/>
      <c r="G973" s="75"/>
    </row>
    <row r="974" spans="1:7" ht="12.5">
      <c r="A974" s="5"/>
      <c r="B974" s="5"/>
      <c r="C974" s="5"/>
      <c r="D974" s="91"/>
      <c r="E974" s="21"/>
      <c r="F974" s="5"/>
      <c r="G974" s="75"/>
    </row>
    <row r="975" spans="1:7" ht="12.5">
      <c r="A975" s="5"/>
      <c r="B975" s="5"/>
      <c r="C975" s="5"/>
      <c r="D975" s="91"/>
      <c r="E975" s="21"/>
      <c r="F975" s="5"/>
      <c r="G975" s="75"/>
    </row>
    <row r="976" spans="1:7" ht="12.5">
      <c r="A976" s="5"/>
      <c r="B976" s="5"/>
      <c r="C976" s="5"/>
      <c r="D976" s="91"/>
      <c r="E976" s="21"/>
      <c r="F976" s="5"/>
      <c r="G976" s="75"/>
    </row>
    <row r="977" spans="1:7" ht="12.5">
      <c r="A977" s="5"/>
      <c r="B977" s="5"/>
      <c r="C977" s="5"/>
      <c r="D977" s="91"/>
      <c r="E977" s="21"/>
      <c r="F977" s="5"/>
      <c r="G977" s="75"/>
    </row>
    <row r="978" spans="1:7" ht="12.5">
      <c r="A978" s="5"/>
      <c r="B978" s="5"/>
      <c r="C978" s="5"/>
      <c r="D978" s="91"/>
      <c r="E978" s="21"/>
      <c r="F978" s="5"/>
      <c r="G978" s="75"/>
    </row>
    <row r="979" spans="1:7" ht="12.5">
      <c r="A979" s="5"/>
      <c r="B979" s="5"/>
      <c r="C979" s="5"/>
      <c r="D979" s="91"/>
      <c r="E979" s="21"/>
      <c r="F979" s="5"/>
      <c r="G979" s="75"/>
    </row>
    <row r="980" spans="1:7" ht="12.5">
      <c r="A980" s="5"/>
      <c r="B980" s="5"/>
      <c r="C980" s="5"/>
      <c r="D980" s="91"/>
      <c r="E980" s="21"/>
      <c r="F980" s="5"/>
      <c r="G980" s="75"/>
    </row>
    <row r="981" spans="1:7" ht="12.5">
      <c r="A981" s="5"/>
      <c r="B981" s="5"/>
      <c r="C981" s="5"/>
      <c r="D981" s="91"/>
      <c r="E981" s="21"/>
      <c r="F981" s="5"/>
      <c r="G981" s="75"/>
    </row>
    <row r="982" spans="1:7" ht="12.5">
      <c r="A982" s="5"/>
      <c r="B982" s="5"/>
      <c r="C982" s="5"/>
      <c r="D982" s="91"/>
      <c r="E982" s="21"/>
      <c r="F982" s="5"/>
      <c r="G982" s="75"/>
    </row>
    <row r="983" spans="1:7" ht="12.5">
      <c r="A983" s="5"/>
      <c r="B983" s="5"/>
      <c r="C983" s="5"/>
      <c r="D983" s="91"/>
      <c r="E983" s="21"/>
      <c r="F983" s="5"/>
      <c r="G983" s="75"/>
    </row>
    <row r="984" spans="1:7" ht="12.5">
      <c r="A984" s="5"/>
      <c r="B984" s="5"/>
      <c r="C984" s="5"/>
      <c r="D984" s="91"/>
      <c r="E984" s="21"/>
      <c r="F984" s="5"/>
      <c r="G984" s="75"/>
    </row>
    <row r="985" spans="1:7" ht="12.5">
      <c r="A985" s="5"/>
      <c r="B985" s="5"/>
      <c r="C985" s="5"/>
      <c r="D985" s="91"/>
      <c r="E985" s="21"/>
      <c r="F985" s="5"/>
      <c r="G985" s="75"/>
    </row>
    <row r="986" spans="1:7" ht="12.5">
      <c r="A986" s="5"/>
      <c r="B986" s="5"/>
      <c r="C986" s="5"/>
      <c r="D986" s="91"/>
      <c r="E986" s="21"/>
      <c r="F986" s="5"/>
      <c r="G986" s="75"/>
    </row>
    <row r="987" spans="1:7" ht="12.5">
      <c r="A987" s="5"/>
      <c r="B987" s="5"/>
      <c r="C987" s="5"/>
      <c r="D987" s="91"/>
      <c r="E987" s="21"/>
      <c r="F987" s="5"/>
      <c r="G987" s="75"/>
    </row>
    <row r="988" spans="1:7" ht="12.5">
      <c r="A988" s="5"/>
      <c r="B988" s="5"/>
      <c r="C988" s="5"/>
      <c r="D988" s="91"/>
      <c r="E988" s="21"/>
      <c r="F988" s="5"/>
      <c r="G988" s="75"/>
    </row>
    <row r="989" spans="1:7" ht="12.5">
      <c r="A989" s="5"/>
      <c r="B989" s="5"/>
      <c r="C989" s="5"/>
      <c r="D989" s="91"/>
      <c r="E989" s="21"/>
      <c r="F989" s="5"/>
      <c r="G989" s="75"/>
    </row>
    <row r="990" spans="1:7" ht="12.5">
      <c r="A990" s="5"/>
      <c r="B990" s="5"/>
      <c r="C990" s="5"/>
      <c r="D990" s="91"/>
      <c r="E990" s="21"/>
      <c r="F990" s="5"/>
      <c r="G990" s="75"/>
    </row>
    <row r="991" spans="1:7" ht="12.5">
      <c r="A991" s="5"/>
      <c r="B991" s="5"/>
      <c r="C991" s="5"/>
      <c r="D991" s="91"/>
      <c r="E991" s="21"/>
      <c r="F991" s="5"/>
      <c r="G991" s="75"/>
    </row>
    <row r="992" spans="1:7" ht="12.5">
      <c r="A992" s="5"/>
      <c r="B992" s="5"/>
      <c r="C992" s="5"/>
      <c r="D992" s="91"/>
      <c r="E992" s="21"/>
      <c r="F992" s="5"/>
      <c r="G992" s="75"/>
    </row>
    <row r="993" spans="1:7" ht="12.5">
      <c r="A993" s="5"/>
      <c r="B993" s="5"/>
      <c r="C993" s="5"/>
      <c r="D993" s="91"/>
      <c r="E993" s="21"/>
      <c r="F993" s="5"/>
      <c r="G993" s="75"/>
    </row>
    <row r="994" spans="1:7" ht="12.5">
      <c r="A994" s="5"/>
      <c r="B994" s="5"/>
      <c r="C994" s="5"/>
      <c r="D994" s="91"/>
      <c r="E994" s="21"/>
      <c r="F994" s="5"/>
      <c r="G994" s="75"/>
    </row>
    <row r="995" spans="1:7" ht="12.5">
      <c r="A995" s="5"/>
      <c r="B995" s="5"/>
      <c r="C995" s="5"/>
      <c r="D995" s="91"/>
      <c r="E995" s="21"/>
      <c r="F995" s="5"/>
      <c r="G995" s="75"/>
    </row>
    <row r="996" spans="1:7" ht="12.5">
      <c r="A996" s="5"/>
      <c r="B996" s="5"/>
      <c r="C996" s="5"/>
      <c r="D996" s="91"/>
      <c r="E996" s="21"/>
      <c r="F996" s="5"/>
      <c r="G996" s="75"/>
    </row>
    <row r="997" spans="1:7" ht="12.5">
      <c r="A997" s="5"/>
      <c r="B997" s="5"/>
      <c r="C997" s="5"/>
      <c r="D997" s="91"/>
      <c r="E997" s="21"/>
      <c r="F997" s="5"/>
      <c r="G997" s="75"/>
    </row>
    <row r="998" spans="1:7" ht="12.5">
      <c r="A998" s="5"/>
      <c r="B998" s="5"/>
      <c r="C998" s="5"/>
      <c r="D998" s="91"/>
      <c r="E998" s="21"/>
      <c r="F998" s="5"/>
      <c r="G998" s="75"/>
    </row>
    <row r="999" spans="1:7" ht="12.5">
      <c r="A999" s="5"/>
      <c r="B999" s="5"/>
      <c r="C999" s="5"/>
      <c r="D999" s="91"/>
      <c r="E999" s="21"/>
      <c r="F999" s="5"/>
      <c r="G999" s="75"/>
    </row>
    <row r="1000" spans="1:7" ht="12.5">
      <c r="A1000" s="5"/>
      <c r="B1000" s="5"/>
      <c r="C1000" s="5"/>
      <c r="D1000" s="91"/>
      <c r="E1000" s="21"/>
      <c r="F1000" s="5"/>
      <c r="G1000" s="7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E86"/>
  <sheetViews>
    <sheetView workbookViewId="0"/>
  </sheetViews>
  <sheetFormatPr baseColWidth="10" defaultColWidth="12.6328125" defaultRowHeight="15.75" customHeight="1"/>
  <sheetData>
    <row r="1" spans="1:5" ht="15.75" customHeight="1">
      <c r="A1" s="5" t="s">
        <v>0</v>
      </c>
      <c r="B1" s="5" t="s">
        <v>25392</v>
      </c>
      <c r="C1" s="5" t="s">
        <v>23674</v>
      </c>
      <c r="D1" s="5" t="s">
        <v>15</v>
      </c>
    </row>
    <row r="2" spans="1:5" ht="15.75" customHeight="1">
      <c r="A2" s="4">
        <v>46064.960689884261</v>
      </c>
      <c r="B2" s="5">
        <v>1</v>
      </c>
      <c r="C2" s="5" t="s">
        <v>25398</v>
      </c>
      <c r="D2" s="5">
        <v>1</v>
      </c>
      <c r="E2" s="5" t="s">
        <v>25399</v>
      </c>
    </row>
    <row r="3" spans="1:5" ht="15.75" customHeight="1">
      <c r="A3" s="4">
        <v>46064.960882546293</v>
      </c>
      <c r="B3" s="5">
        <v>1</v>
      </c>
      <c r="C3" s="5" t="s">
        <v>25398</v>
      </c>
      <c r="D3" s="5">
        <v>1</v>
      </c>
      <c r="E3" s="5" t="s">
        <v>25399</v>
      </c>
    </row>
    <row r="4" spans="1:5" ht="15.75" customHeight="1">
      <c r="A4" s="4">
        <v>46064.963458321756</v>
      </c>
      <c r="B4" s="5">
        <v>1</v>
      </c>
      <c r="C4" s="5" t="s">
        <v>25398</v>
      </c>
      <c r="D4" s="5">
        <v>24</v>
      </c>
      <c r="E4" s="5" t="s">
        <v>25399</v>
      </c>
    </row>
    <row r="5" spans="1:5" ht="15.75" customHeight="1">
      <c r="A5" s="4">
        <v>46064.964031238429</v>
      </c>
      <c r="B5" s="5">
        <v>1</v>
      </c>
      <c r="C5" s="5" t="s">
        <v>23664</v>
      </c>
      <c r="D5" s="5">
        <v>24</v>
      </c>
      <c r="E5" s="5" t="s">
        <v>25399</v>
      </c>
    </row>
    <row r="6" spans="1:5" ht="15.75" customHeight="1">
      <c r="A6" s="4">
        <v>46064.987628842588</v>
      </c>
      <c r="B6" s="5">
        <v>1</v>
      </c>
      <c r="C6" s="5" t="s">
        <v>25398</v>
      </c>
      <c r="D6" s="5">
        <v>25</v>
      </c>
      <c r="E6" s="5" t="s">
        <v>25399</v>
      </c>
    </row>
    <row r="7" spans="1:5" ht="15.75" customHeight="1">
      <c r="A7" s="4">
        <v>46064.987799363429</v>
      </c>
      <c r="B7" s="5">
        <v>1</v>
      </c>
      <c r="C7" s="5" t="s">
        <v>25398</v>
      </c>
      <c r="D7" s="5">
        <v>6</v>
      </c>
      <c r="E7" s="5" t="s">
        <v>25399</v>
      </c>
    </row>
    <row r="8" spans="1:5" ht="15.75" customHeight="1">
      <c r="A8" s="4">
        <v>46064.988120000002</v>
      </c>
      <c r="B8" s="5">
        <v>2</v>
      </c>
      <c r="C8" s="5" t="s">
        <v>25398</v>
      </c>
      <c r="D8" s="5">
        <v>35</v>
      </c>
      <c r="E8" s="5" t="s">
        <v>25399</v>
      </c>
    </row>
    <row r="9" spans="1:5" ht="15.75" customHeight="1">
      <c r="A9" s="4">
        <v>46064.9898071875</v>
      </c>
      <c r="B9" s="5">
        <v>7</v>
      </c>
      <c r="C9" s="5" t="s">
        <v>25398</v>
      </c>
      <c r="D9" s="5">
        <v>43</v>
      </c>
      <c r="E9" s="5" t="s">
        <v>25399</v>
      </c>
    </row>
    <row r="10" spans="1:5" ht="15.75" customHeight="1">
      <c r="A10" s="4">
        <v>46065.015570034724</v>
      </c>
      <c r="B10" s="5">
        <v>1</v>
      </c>
      <c r="C10" s="5" t="s">
        <v>25398</v>
      </c>
      <c r="D10" s="5">
        <v>1</v>
      </c>
      <c r="E10" s="5" t="s">
        <v>25399</v>
      </c>
    </row>
    <row r="11" spans="1:5" ht="15.75" customHeight="1">
      <c r="A11" s="4">
        <v>46065.023198831019</v>
      </c>
      <c r="B11" s="5">
        <v>1</v>
      </c>
      <c r="C11" s="5" t="s">
        <v>23664</v>
      </c>
      <c r="D11" s="5">
        <v>1</v>
      </c>
      <c r="E11" s="5" t="s">
        <v>25399</v>
      </c>
    </row>
    <row r="12" spans="1:5" ht="15.75" customHeight="1">
      <c r="A12" s="4">
        <v>46065.023303449074</v>
      </c>
      <c r="B12" s="5">
        <v>1</v>
      </c>
      <c r="C12" s="5" t="s">
        <v>25398</v>
      </c>
      <c r="D12" s="5">
        <v>1</v>
      </c>
      <c r="E12" s="5" t="s">
        <v>25399</v>
      </c>
    </row>
    <row r="13" spans="1:5" ht="15.75" customHeight="1">
      <c r="A13" s="4">
        <v>46065.024800092593</v>
      </c>
      <c r="B13" s="5">
        <v>1</v>
      </c>
      <c r="C13" s="5" t="s">
        <v>23664</v>
      </c>
      <c r="D13" s="5">
        <v>1</v>
      </c>
      <c r="E13" s="5" t="s">
        <v>25399</v>
      </c>
    </row>
    <row r="14" spans="1:5" ht="15.75" customHeight="1">
      <c r="A14" s="4">
        <v>46065.024901597222</v>
      </c>
      <c r="B14" s="5">
        <v>1</v>
      </c>
      <c r="C14" s="5" t="s">
        <v>23664</v>
      </c>
      <c r="D14" s="5">
        <v>1</v>
      </c>
      <c r="E14" s="5" t="s">
        <v>25399</v>
      </c>
    </row>
    <row r="15" spans="1:5" ht="15.75" customHeight="1">
      <c r="A15" s="4">
        <v>46065.025005312498</v>
      </c>
      <c r="B15" s="5">
        <v>1</v>
      </c>
      <c r="C15" s="5" t="s">
        <v>25398</v>
      </c>
      <c r="D15" s="5">
        <v>1</v>
      </c>
      <c r="E15" s="5" t="s">
        <v>25399</v>
      </c>
    </row>
    <row r="16" spans="1:5" ht="15.75" customHeight="1">
      <c r="A16" s="4">
        <v>46065.455209560183</v>
      </c>
      <c r="B16" s="5">
        <v>7</v>
      </c>
      <c r="C16" s="5" t="s">
        <v>23664</v>
      </c>
      <c r="D16" s="5">
        <v>1</v>
      </c>
      <c r="E16" s="5" t="s">
        <v>25399</v>
      </c>
    </row>
    <row r="17" spans="1:5" ht="15.75" customHeight="1">
      <c r="A17" s="4">
        <v>46065.457927037038</v>
      </c>
      <c r="B17" s="5">
        <v>7</v>
      </c>
      <c r="C17" s="5" t="s">
        <v>25398</v>
      </c>
      <c r="D17" s="5">
        <v>1</v>
      </c>
      <c r="E17" s="5" t="s">
        <v>25399</v>
      </c>
    </row>
    <row r="18" spans="1:5" ht="15.75" customHeight="1">
      <c r="A18" s="4">
        <v>46065.458809444448</v>
      </c>
      <c r="B18" s="5">
        <v>7</v>
      </c>
      <c r="C18" s="5" t="s">
        <v>23664</v>
      </c>
      <c r="D18" s="5">
        <v>1</v>
      </c>
      <c r="E18" s="5" t="s">
        <v>25399</v>
      </c>
    </row>
    <row r="19" spans="1:5" ht="15.75" customHeight="1">
      <c r="A19" s="4">
        <v>46065.459265543977</v>
      </c>
      <c r="B19" s="5">
        <v>7</v>
      </c>
      <c r="C19" s="5" t="s">
        <v>25398</v>
      </c>
      <c r="D19" s="5">
        <v>1</v>
      </c>
      <c r="E19" s="5" t="s">
        <v>25399</v>
      </c>
    </row>
    <row r="20" spans="1:5" ht="15.75" customHeight="1">
      <c r="A20" s="4">
        <v>46065.459728958333</v>
      </c>
      <c r="B20" s="5">
        <v>7</v>
      </c>
      <c r="C20" s="5" t="s">
        <v>23664</v>
      </c>
      <c r="D20" s="5">
        <v>2</v>
      </c>
      <c r="E20" s="5" t="s">
        <v>25399</v>
      </c>
    </row>
    <row r="21" spans="1:5" ht="15.75" customHeight="1">
      <c r="A21" s="4">
        <v>46065.460783194445</v>
      </c>
      <c r="B21" s="5">
        <v>7</v>
      </c>
      <c r="C21" s="5" t="s">
        <v>25398</v>
      </c>
      <c r="D21" s="5">
        <v>2</v>
      </c>
      <c r="E21" s="5" t="s">
        <v>25399</v>
      </c>
    </row>
    <row r="22" spans="1:5" ht="12.5">
      <c r="A22" s="4">
        <v>46065.461184409724</v>
      </c>
      <c r="B22" s="5">
        <v>7</v>
      </c>
      <c r="C22" s="5" t="s">
        <v>23664</v>
      </c>
      <c r="D22" s="5">
        <v>1</v>
      </c>
      <c r="E22" s="5" t="s">
        <v>25399</v>
      </c>
    </row>
    <row r="23" spans="1:5" ht="12.5">
      <c r="A23" s="4">
        <v>46065.489439027777</v>
      </c>
      <c r="B23" s="5">
        <v>27</v>
      </c>
      <c r="C23" s="5" t="s">
        <v>25398</v>
      </c>
      <c r="D23" s="5">
        <v>43</v>
      </c>
      <c r="E23" s="5" t="s">
        <v>25399</v>
      </c>
    </row>
    <row r="24" spans="1:5" ht="12.5">
      <c r="A24" s="4">
        <v>46065.557635648147</v>
      </c>
      <c r="B24" s="5">
        <v>10</v>
      </c>
      <c r="C24" s="5" t="s">
        <v>25398</v>
      </c>
      <c r="D24" s="5">
        <v>1</v>
      </c>
      <c r="E24" s="5" t="s">
        <v>25399</v>
      </c>
    </row>
    <row r="25" spans="1:5" ht="12.5">
      <c r="A25" s="4">
        <v>46065.55819747685</v>
      </c>
      <c r="B25" s="5">
        <v>10</v>
      </c>
      <c r="C25" s="5" t="s">
        <v>25398</v>
      </c>
      <c r="D25" s="5">
        <v>1</v>
      </c>
      <c r="E25" s="5" t="s">
        <v>25399</v>
      </c>
    </row>
    <row r="26" spans="1:5" ht="12.5">
      <c r="A26" s="4">
        <v>46065.600811076394</v>
      </c>
      <c r="B26" s="5">
        <v>1</v>
      </c>
      <c r="C26" s="5" t="s">
        <v>23664</v>
      </c>
      <c r="D26" s="5">
        <v>1</v>
      </c>
      <c r="E26" s="5" t="s">
        <v>25399</v>
      </c>
    </row>
    <row r="27" spans="1:5" ht="12.5">
      <c r="A27" s="4">
        <v>46065.601177430552</v>
      </c>
      <c r="B27" s="5">
        <v>1</v>
      </c>
      <c r="C27" s="5" t="s">
        <v>25398</v>
      </c>
      <c r="D27" s="5">
        <v>1</v>
      </c>
      <c r="E27" s="5" t="s">
        <v>25399</v>
      </c>
    </row>
    <row r="28" spans="1:5" ht="12.5">
      <c r="A28" s="4">
        <v>46065.691836053244</v>
      </c>
      <c r="B28" s="5">
        <v>2</v>
      </c>
      <c r="C28" s="5" t="s">
        <v>23664</v>
      </c>
      <c r="D28" s="5">
        <v>3</v>
      </c>
      <c r="E28" s="5" t="s">
        <v>25399</v>
      </c>
    </row>
    <row r="29" spans="1:5" ht="12.5">
      <c r="A29" s="4">
        <v>46065.691875000004</v>
      </c>
      <c r="B29" s="5">
        <v>2</v>
      </c>
      <c r="C29" s="5" t="s">
        <v>23664</v>
      </c>
      <c r="D29" s="5">
        <v>3</v>
      </c>
      <c r="E29" s="5" t="s">
        <v>25399</v>
      </c>
    </row>
    <row r="30" spans="1:5" ht="12.5">
      <c r="A30" s="4">
        <v>46065.692274270834</v>
      </c>
      <c r="B30" s="5">
        <v>2</v>
      </c>
      <c r="C30" s="5" t="s">
        <v>25398</v>
      </c>
      <c r="D30" s="5">
        <v>5</v>
      </c>
      <c r="E30" s="5" t="s">
        <v>25399</v>
      </c>
    </row>
    <row r="31" spans="1:5" ht="12.5">
      <c r="A31" s="4">
        <v>46065.692933888888</v>
      </c>
      <c r="B31" s="5">
        <v>2</v>
      </c>
      <c r="C31" s="5" t="s">
        <v>23664</v>
      </c>
      <c r="D31" s="5">
        <v>3</v>
      </c>
      <c r="E31" s="5" t="s">
        <v>25399</v>
      </c>
    </row>
    <row r="32" spans="1:5" ht="12.5">
      <c r="A32" s="4">
        <v>46065.699456527778</v>
      </c>
      <c r="B32" s="5">
        <v>1</v>
      </c>
      <c r="C32" s="5" t="s">
        <v>23664</v>
      </c>
      <c r="D32" s="5">
        <v>1</v>
      </c>
      <c r="E32" s="5" t="s">
        <v>25399</v>
      </c>
    </row>
    <row r="33" spans="1:5" ht="12.5">
      <c r="A33" s="4">
        <v>46065.699941793981</v>
      </c>
      <c r="B33" s="5">
        <v>1</v>
      </c>
      <c r="C33" s="5" t="s">
        <v>23664</v>
      </c>
      <c r="D33" s="5">
        <v>12</v>
      </c>
      <c r="E33" s="5" t="s">
        <v>25399</v>
      </c>
    </row>
    <row r="34" spans="1:5" ht="12.5">
      <c r="A34" s="4">
        <v>46065.700174664351</v>
      </c>
      <c r="B34" s="5">
        <v>1</v>
      </c>
      <c r="C34" s="5" t="s">
        <v>25398</v>
      </c>
      <c r="D34" s="5">
        <v>13</v>
      </c>
      <c r="E34" s="5" t="s">
        <v>25399</v>
      </c>
    </row>
    <row r="35" spans="1:5" ht="12.5">
      <c r="A35" s="4">
        <v>46065.70067085648</v>
      </c>
      <c r="B35" s="5">
        <v>1</v>
      </c>
      <c r="C35" s="5" t="s">
        <v>23664</v>
      </c>
      <c r="D35" s="5">
        <v>10</v>
      </c>
      <c r="E35" s="5" t="s">
        <v>25399</v>
      </c>
    </row>
    <row r="36" spans="1:5" ht="12.5">
      <c r="A36" s="4">
        <v>46065.700698263885</v>
      </c>
      <c r="B36" s="5">
        <v>1</v>
      </c>
      <c r="C36" s="5" t="s">
        <v>23664</v>
      </c>
      <c r="D36" s="5">
        <v>10</v>
      </c>
      <c r="E36" s="5" t="s">
        <v>25399</v>
      </c>
    </row>
    <row r="37" spans="1:5" ht="12.5">
      <c r="A37" s="4">
        <v>46065.708828715273</v>
      </c>
      <c r="B37" s="5">
        <v>1</v>
      </c>
      <c r="C37" s="5" t="s">
        <v>23664</v>
      </c>
      <c r="D37" s="5">
        <v>1</v>
      </c>
      <c r="E37" s="5" t="s">
        <v>25399</v>
      </c>
    </row>
    <row r="38" spans="1:5" ht="12.5">
      <c r="A38" s="4">
        <v>46065.709109421296</v>
      </c>
      <c r="B38" s="5">
        <v>1</v>
      </c>
      <c r="C38" s="5" t="s">
        <v>23664</v>
      </c>
      <c r="D38" s="5">
        <v>15</v>
      </c>
      <c r="E38" s="5" t="s">
        <v>25399</v>
      </c>
    </row>
    <row r="39" spans="1:5" ht="12.5">
      <c r="A39" s="4">
        <v>46065.709311030092</v>
      </c>
      <c r="B39" s="5">
        <v>1</v>
      </c>
      <c r="C39" s="5" t="s">
        <v>25398</v>
      </c>
      <c r="D39" s="5">
        <v>37</v>
      </c>
      <c r="E39" s="5" t="s">
        <v>25399</v>
      </c>
    </row>
    <row r="40" spans="1:5" ht="12.5">
      <c r="A40" s="4">
        <v>46065.709794305556</v>
      </c>
      <c r="B40" s="5">
        <v>1</v>
      </c>
      <c r="C40" s="5" t="s">
        <v>23664</v>
      </c>
      <c r="D40" s="5">
        <v>24</v>
      </c>
      <c r="E40" s="5" t="s">
        <v>25399</v>
      </c>
    </row>
    <row r="41" spans="1:5" ht="12.5">
      <c r="A41" s="4">
        <v>46065.709899398149</v>
      </c>
      <c r="B41" s="5">
        <v>1</v>
      </c>
      <c r="C41" s="5" t="s">
        <v>25398</v>
      </c>
      <c r="D41" s="5">
        <v>5</v>
      </c>
      <c r="E41" s="5" t="s">
        <v>25399</v>
      </c>
    </row>
    <row r="42" spans="1:5" ht="12.5">
      <c r="A42" s="4">
        <v>46065.710078067132</v>
      </c>
      <c r="B42" s="5">
        <v>3</v>
      </c>
      <c r="C42" s="5" t="s">
        <v>25398</v>
      </c>
      <c r="D42" s="5">
        <v>5</v>
      </c>
      <c r="E42" s="5" t="s">
        <v>25399</v>
      </c>
    </row>
    <row r="43" spans="1:5" ht="12.5">
      <c r="A43" s="4">
        <v>46065.710401724536</v>
      </c>
      <c r="B43" s="5">
        <v>3</v>
      </c>
      <c r="C43" s="5" t="s">
        <v>25398</v>
      </c>
      <c r="D43" s="5">
        <v>3</v>
      </c>
      <c r="E43" s="5" t="s">
        <v>25399</v>
      </c>
    </row>
    <row r="44" spans="1:5" ht="12.5">
      <c r="A44" s="4">
        <v>46065.711893611107</v>
      </c>
      <c r="B44" s="5">
        <v>5</v>
      </c>
      <c r="C44" s="5" t="s">
        <v>25398</v>
      </c>
      <c r="D44" s="5">
        <v>7</v>
      </c>
      <c r="E44" s="5" t="s">
        <v>25399</v>
      </c>
    </row>
    <row r="45" spans="1:5" ht="12.5">
      <c r="A45" s="4">
        <v>46065.712886863425</v>
      </c>
      <c r="B45" s="5">
        <v>5</v>
      </c>
      <c r="C45" s="5" t="s">
        <v>25398</v>
      </c>
      <c r="D45" s="5">
        <v>6</v>
      </c>
      <c r="E45" s="5" t="s">
        <v>25399</v>
      </c>
    </row>
    <row r="46" spans="1:5" ht="12.5">
      <c r="A46" s="4">
        <v>46065.71312487268</v>
      </c>
      <c r="B46" s="5">
        <v>2</v>
      </c>
      <c r="C46" s="5" t="s">
        <v>25398</v>
      </c>
      <c r="D46" s="5">
        <v>2</v>
      </c>
      <c r="E46" s="5" t="s">
        <v>25399</v>
      </c>
    </row>
    <row r="47" spans="1:5" ht="12.5">
      <c r="A47" s="4">
        <v>46065.713309606479</v>
      </c>
      <c r="B47" s="5">
        <v>3</v>
      </c>
      <c r="C47" s="5" t="s">
        <v>23664</v>
      </c>
      <c r="D47" s="5">
        <v>20</v>
      </c>
      <c r="E47" s="5" t="s">
        <v>25399</v>
      </c>
    </row>
    <row r="48" spans="1:5" ht="12.5">
      <c r="A48" s="4">
        <v>46065.725224560185</v>
      </c>
      <c r="B48" s="5">
        <v>2</v>
      </c>
      <c r="C48" s="5" t="s">
        <v>23664</v>
      </c>
      <c r="D48" s="5">
        <v>2</v>
      </c>
      <c r="E48" s="5" t="s">
        <v>25399</v>
      </c>
    </row>
    <row r="49" spans="1:5" ht="12.5">
      <c r="A49" s="4">
        <v>46065.725742708339</v>
      </c>
      <c r="B49" s="5">
        <v>2</v>
      </c>
      <c r="C49" s="5" t="s">
        <v>23664</v>
      </c>
      <c r="D49" s="5">
        <v>2</v>
      </c>
      <c r="E49" s="5" t="s">
        <v>25399</v>
      </c>
    </row>
    <row r="50" spans="1:5" ht="12.5">
      <c r="A50" s="4">
        <v>46065.726129571762</v>
      </c>
      <c r="B50" s="5">
        <v>2</v>
      </c>
      <c r="C50" s="5" t="s">
        <v>25398</v>
      </c>
      <c r="D50" s="5">
        <v>4</v>
      </c>
      <c r="E50" s="5" t="s">
        <v>25399</v>
      </c>
    </row>
    <row r="51" spans="1:5" ht="12.5">
      <c r="A51" s="4">
        <v>46065.731688159722</v>
      </c>
      <c r="B51" s="5">
        <v>2</v>
      </c>
      <c r="C51" s="5" t="s">
        <v>25398</v>
      </c>
      <c r="D51" s="5">
        <v>1</v>
      </c>
      <c r="E51" s="5" t="s">
        <v>25399</v>
      </c>
    </row>
    <row r="52" spans="1:5" ht="12.5">
      <c r="A52" s="4">
        <v>46065.73911159722</v>
      </c>
      <c r="B52" s="5">
        <v>2</v>
      </c>
      <c r="C52" s="5" t="s">
        <v>23664</v>
      </c>
      <c r="D52" s="5">
        <v>1</v>
      </c>
      <c r="E52" s="5" t="s">
        <v>25399</v>
      </c>
    </row>
    <row r="53" spans="1:5" ht="12.5">
      <c r="A53" s="4">
        <v>46065.755987233795</v>
      </c>
      <c r="B53" s="5">
        <v>1</v>
      </c>
      <c r="C53" s="5" t="s">
        <v>23664</v>
      </c>
      <c r="D53" s="5">
        <v>1</v>
      </c>
      <c r="E53" s="5" t="s">
        <v>25399</v>
      </c>
    </row>
    <row r="54" spans="1:5" ht="12.5">
      <c r="A54" s="4">
        <v>46065.756089930554</v>
      </c>
      <c r="B54" s="5">
        <v>1</v>
      </c>
      <c r="C54" s="5" t="s">
        <v>23664</v>
      </c>
      <c r="D54" s="5">
        <v>12</v>
      </c>
      <c r="E54" s="5" t="s">
        <v>25399</v>
      </c>
    </row>
    <row r="55" spans="1:5" ht="12.5">
      <c r="A55" s="4">
        <v>46065.78386142361</v>
      </c>
      <c r="B55" s="5">
        <v>54</v>
      </c>
      <c r="C55" s="5" t="s">
        <v>23664</v>
      </c>
      <c r="D55" s="5">
        <v>12</v>
      </c>
      <c r="E55" s="5" t="s">
        <v>25399</v>
      </c>
    </row>
    <row r="56" spans="1:5" ht="12.5">
      <c r="A56" s="4">
        <v>46065.784180983799</v>
      </c>
      <c r="B56" s="5">
        <v>55</v>
      </c>
      <c r="C56" s="5" t="s">
        <v>23664</v>
      </c>
      <c r="D56" s="5">
        <v>10</v>
      </c>
      <c r="E56" s="5" t="s">
        <v>25399</v>
      </c>
    </row>
    <row r="57" spans="1:5" ht="12.5">
      <c r="A57" s="4">
        <v>46065.797706064812</v>
      </c>
      <c r="B57" s="5">
        <v>54</v>
      </c>
      <c r="C57" s="5" t="s">
        <v>23664</v>
      </c>
      <c r="D57" s="5">
        <v>0</v>
      </c>
      <c r="E57" s="5" t="s">
        <v>25399</v>
      </c>
    </row>
    <row r="58" spans="1:5" ht="12.5">
      <c r="A58" s="4">
        <v>46065.797813935184</v>
      </c>
      <c r="B58" s="5">
        <v>54</v>
      </c>
      <c r="C58" s="5" t="s">
        <v>23664</v>
      </c>
      <c r="D58" s="5">
        <v>3</v>
      </c>
      <c r="E58" s="5" t="s">
        <v>25399</v>
      </c>
    </row>
    <row r="59" spans="1:5" ht="12.5">
      <c r="A59" s="4">
        <v>46065.7980269213</v>
      </c>
      <c r="B59" s="5">
        <v>52</v>
      </c>
      <c r="C59" s="5" t="s">
        <v>23664</v>
      </c>
      <c r="D59" s="5">
        <v>51</v>
      </c>
      <c r="E59" s="5" t="s">
        <v>25399</v>
      </c>
    </row>
    <row r="60" spans="1:5" ht="12.5">
      <c r="A60" s="4">
        <v>46065.798170023147</v>
      </c>
      <c r="B60" s="5">
        <v>52</v>
      </c>
      <c r="C60" s="5" t="s">
        <v>23664</v>
      </c>
      <c r="D60" s="5">
        <v>52</v>
      </c>
      <c r="E60" s="5" t="s">
        <v>25399</v>
      </c>
    </row>
    <row r="61" spans="1:5" ht="12.5">
      <c r="A61" s="4">
        <v>46065.800145960646</v>
      </c>
      <c r="B61" s="5">
        <v>54</v>
      </c>
      <c r="C61" s="5" t="s">
        <v>23664</v>
      </c>
      <c r="D61" s="5">
        <v>5</v>
      </c>
      <c r="E61" s="5" t="s">
        <v>25399</v>
      </c>
    </row>
    <row r="62" spans="1:5" ht="12.5">
      <c r="A62" s="4">
        <v>46065.801628958332</v>
      </c>
      <c r="B62" s="5">
        <v>54</v>
      </c>
      <c r="C62" s="5" t="s">
        <v>23664</v>
      </c>
      <c r="D62" s="5">
        <v>7</v>
      </c>
      <c r="E62" s="5" t="s">
        <v>25399</v>
      </c>
    </row>
    <row r="63" spans="1:5" ht="12.5">
      <c r="A63" s="4">
        <v>46065.801715150461</v>
      </c>
      <c r="B63" s="5">
        <v>54</v>
      </c>
      <c r="C63" s="5" t="s">
        <v>23664</v>
      </c>
      <c r="D63" s="5">
        <v>0</v>
      </c>
      <c r="E63" s="5" t="s">
        <v>25399</v>
      </c>
    </row>
    <row r="64" spans="1:5" ht="12.5">
      <c r="A64" s="4">
        <v>46065.962535659724</v>
      </c>
      <c r="B64" s="5">
        <v>54</v>
      </c>
      <c r="C64" s="5" t="s">
        <v>23664</v>
      </c>
      <c r="D64" s="5">
        <v>200</v>
      </c>
      <c r="E64" s="5" t="s">
        <v>25399</v>
      </c>
    </row>
    <row r="65" spans="1:5" ht="12.5">
      <c r="A65" s="4">
        <v>46065.970210601852</v>
      </c>
      <c r="B65" s="5">
        <v>54</v>
      </c>
      <c r="C65" s="5" t="s">
        <v>23664</v>
      </c>
      <c r="D65" s="5">
        <v>2</v>
      </c>
      <c r="E65" s="5" t="s">
        <v>25399</v>
      </c>
    </row>
    <row r="66" spans="1:5" ht="12.5">
      <c r="A66" s="4">
        <v>46065.970808275466</v>
      </c>
      <c r="B66" s="5">
        <v>54</v>
      </c>
      <c r="C66" s="5" t="s">
        <v>23664</v>
      </c>
      <c r="D66" s="5">
        <v>3</v>
      </c>
      <c r="E66" s="5" t="s">
        <v>25399</v>
      </c>
    </row>
    <row r="67" spans="1:5" ht="12.5">
      <c r="A67" s="4">
        <v>46066.420601006947</v>
      </c>
      <c r="B67" s="5">
        <v>51</v>
      </c>
      <c r="C67" s="5" t="s">
        <v>23664</v>
      </c>
      <c r="D67" s="5">
        <v>21</v>
      </c>
      <c r="E67" s="5" t="s">
        <v>25399</v>
      </c>
    </row>
    <row r="68" spans="1:5" ht="12.5">
      <c r="A68" s="4">
        <v>46066.420631840279</v>
      </c>
      <c r="B68" s="5">
        <v>51</v>
      </c>
      <c r="C68" s="5" t="s">
        <v>23664</v>
      </c>
      <c r="D68" s="5">
        <v>21</v>
      </c>
      <c r="E68" s="5" t="s">
        <v>25399</v>
      </c>
    </row>
    <row r="69" spans="1:5" ht="12.5">
      <c r="A69" s="4">
        <v>46066.42251793982</v>
      </c>
      <c r="B69" s="5">
        <v>38</v>
      </c>
      <c r="C69" s="5" t="s">
        <v>23664</v>
      </c>
      <c r="D69" s="5">
        <v>7</v>
      </c>
      <c r="E69" s="5" t="s">
        <v>25399</v>
      </c>
    </row>
    <row r="70" spans="1:5" ht="12.5">
      <c r="A70" s="4">
        <v>46066.422581689811</v>
      </c>
      <c r="B70" s="5">
        <v>38</v>
      </c>
      <c r="C70" s="5" t="s">
        <v>23664</v>
      </c>
      <c r="D70" s="5">
        <v>7</v>
      </c>
      <c r="E70" s="5" t="s">
        <v>25399</v>
      </c>
    </row>
    <row r="71" spans="1:5" ht="12.5">
      <c r="A71" s="4">
        <v>46066.422997870366</v>
      </c>
      <c r="B71" s="5">
        <v>38</v>
      </c>
      <c r="C71" s="5" t="s">
        <v>23664</v>
      </c>
      <c r="D71" s="5">
        <v>6</v>
      </c>
      <c r="E71" s="5" t="s">
        <v>25399</v>
      </c>
    </row>
    <row r="72" spans="1:5" ht="12.5">
      <c r="A72" s="4">
        <v>46066.425162731481</v>
      </c>
      <c r="B72" s="5">
        <v>55</v>
      </c>
      <c r="C72" s="5" t="s">
        <v>23664</v>
      </c>
      <c r="D72" s="5">
        <v>1</v>
      </c>
      <c r="E72" s="5" t="s">
        <v>25399</v>
      </c>
    </row>
    <row r="73" spans="1:5" ht="12.5">
      <c r="A73" s="4">
        <v>46066.425188402776</v>
      </c>
      <c r="B73" s="5">
        <v>55</v>
      </c>
      <c r="C73" s="5" t="s">
        <v>23664</v>
      </c>
      <c r="D73" s="5">
        <v>1</v>
      </c>
      <c r="E73" s="5" t="s">
        <v>25399</v>
      </c>
    </row>
    <row r="74" spans="1:5" ht="12.5">
      <c r="A74" s="4">
        <v>46066.425945995376</v>
      </c>
      <c r="B74" s="5">
        <v>55</v>
      </c>
      <c r="C74" s="5" t="s">
        <v>23664</v>
      </c>
      <c r="D74" s="5">
        <v>8</v>
      </c>
      <c r="E74" s="5" t="s">
        <v>25399</v>
      </c>
    </row>
    <row r="75" spans="1:5" ht="12.5">
      <c r="A75" s="4">
        <v>46067.397754305552</v>
      </c>
      <c r="B75" s="5">
        <v>55</v>
      </c>
      <c r="C75" s="5" t="s">
        <v>23664</v>
      </c>
      <c r="D75" s="5">
        <v>9</v>
      </c>
      <c r="E75" s="5" t="s">
        <v>25399</v>
      </c>
    </row>
    <row r="76" spans="1:5" ht="12.5">
      <c r="A76" s="4">
        <v>46067.398604826391</v>
      </c>
      <c r="B76" s="5">
        <v>100</v>
      </c>
      <c r="C76" s="5" t="s">
        <v>23664</v>
      </c>
      <c r="D76" s="5">
        <v>5</v>
      </c>
      <c r="E76" s="5" t="s">
        <v>25399</v>
      </c>
    </row>
    <row r="77" spans="1:5" ht="12.5">
      <c r="A77" s="4">
        <v>46067.399300682868</v>
      </c>
      <c r="B77" s="5">
        <v>100</v>
      </c>
      <c r="C77" s="5" t="s">
        <v>23664</v>
      </c>
      <c r="D77" s="5">
        <v>4</v>
      </c>
      <c r="E77" s="5" t="s">
        <v>25399</v>
      </c>
    </row>
    <row r="78" spans="1:5" ht="12.5">
      <c r="A78" s="4">
        <v>46067.617441527778</v>
      </c>
      <c r="B78" s="5">
        <v>55</v>
      </c>
      <c r="C78" s="5" t="s">
        <v>23664</v>
      </c>
      <c r="D78" s="5">
        <v>1</v>
      </c>
      <c r="E78" s="5" t="s">
        <v>25399</v>
      </c>
    </row>
    <row r="79" spans="1:5" ht="12.5">
      <c r="A79" s="4">
        <v>46067.617452060185</v>
      </c>
      <c r="B79" s="5">
        <v>55</v>
      </c>
      <c r="C79" s="5" t="s">
        <v>23664</v>
      </c>
      <c r="D79" s="5">
        <v>1</v>
      </c>
      <c r="E79" s="5" t="s">
        <v>25399</v>
      </c>
    </row>
    <row r="80" spans="1:5" ht="12.5">
      <c r="A80" s="4">
        <v>46067.617770428245</v>
      </c>
      <c r="B80" s="5">
        <v>55</v>
      </c>
      <c r="C80" s="5" t="s">
        <v>23664</v>
      </c>
      <c r="D80" s="5">
        <v>7</v>
      </c>
      <c r="E80" s="5" t="s">
        <v>25399</v>
      </c>
    </row>
    <row r="81" spans="1:5" ht="12.5">
      <c r="A81" s="4">
        <v>46067.617888182867</v>
      </c>
      <c r="B81" s="5">
        <v>55</v>
      </c>
      <c r="C81" s="5" t="s">
        <v>23664</v>
      </c>
      <c r="D81" s="5">
        <v>1</v>
      </c>
      <c r="E81" s="5" t="s">
        <v>25399</v>
      </c>
    </row>
    <row r="82" spans="1:5" ht="12.5">
      <c r="A82" s="4">
        <v>46067.61797791667</v>
      </c>
      <c r="B82" s="5">
        <v>55</v>
      </c>
      <c r="C82" s="5" t="s">
        <v>23664</v>
      </c>
      <c r="D82" s="5">
        <v>0</v>
      </c>
      <c r="E82" s="5" t="s">
        <v>25399</v>
      </c>
    </row>
    <row r="83" spans="1:5" ht="12.5">
      <c r="A83" s="4">
        <v>46067.618097280094</v>
      </c>
      <c r="B83" s="5">
        <v>55</v>
      </c>
      <c r="C83" s="5" t="s">
        <v>23664</v>
      </c>
      <c r="D83" s="5">
        <v>8</v>
      </c>
      <c r="E83" s="5" t="s">
        <v>25399</v>
      </c>
    </row>
    <row r="84" spans="1:5" ht="12.5">
      <c r="A84" s="4">
        <v>46067.618122094907</v>
      </c>
      <c r="B84" s="5">
        <v>55</v>
      </c>
      <c r="C84" s="5" t="s">
        <v>23664</v>
      </c>
      <c r="D84" s="5">
        <v>8</v>
      </c>
      <c r="E84" s="5" t="s">
        <v>25399</v>
      </c>
    </row>
    <row r="85" spans="1:5" ht="12.5">
      <c r="A85" s="4">
        <v>46087.506911249999</v>
      </c>
      <c r="B85" s="5">
        <v>54</v>
      </c>
      <c r="C85" s="5" t="s">
        <v>23664</v>
      </c>
      <c r="D85" s="5">
        <v>8</v>
      </c>
      <c r="E85" s="5" t="s">
        <v>25399</v>
      </c>
    </row>
    <row r="86" spans="1:5" ht="12.5">
      <c r="A86" s="4">
        <v>46087.507155798608</v>
      </c>
      <c r="B86" s="5">
        <v>54</v>
      </c>
      <c r="C86" s="5" t="s">
        <v>23664</v>
      </c>
      <c r="D86" s="5">
        <v>6</v>
      </c>
      <c r="E86" s="5" t="s">
        <v>25399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112"/>
  <sheetViews>
    <sheetView workbookViewId="0"/>
  </sheetViews>
  <sheetFormatPr baseColWidth="10" defaultColWidth="12.6328125" defaultRowHeight="15.75" customHeight="1"/>
  <cols>
    <col min="1" max="1" width="37.6328125" customWidth="1"/>
  </cols>
  <sheetData>
    <row r="1" spans="1:4" ht="15.75" customHeight="1">
      <c r="A1" s="5" t="s">
        <v>25400</v>
      </c>
      <c r="B1" s="5" t="s">
        <v>25401</v>
      </c>
      <c r="C1" s="5" t="s">
        <v>25402</v>
      </c>
    </row>
    <row r="2" spans="1:4" ht="15.75" customHeight="1">
      <c r="A2" s="16" t="s">
        <v>22870</v>
      </c>
      <c r="B2" s="5">
        <f>COUNTIF(Registros!Q:Q,"*"&amp;TRIM(A2)&amp;"*")</f>
        <v>688</v>
      </c>
      <c r="C2" s="12">
        <v>46012</v>
      </c>
      <c r="D2" s="5" t="e">
        <f>SUMPRODUCT(
--(INT(Hoja24!A2:A5001)&gt;=C2),
--(INT(Hoja24!A2:A5001)&lt;=C3),
--ISNUMBER(SEARCH(A2,Registros!Q2:Q5874))
)</f>
        <v>#VALUE!</v>
      </c>
    </row>
    <row r="3" spans="1:4" ht="15.75" customHeight="1">
      <c r="A3" s="16" t="s">
        <v>25403</v>
      </c>
      <c r="B3" s="5">
        <f>COUNTIF(Registros!Q:Q,"*"&amp;TRIM(A3)&amp;"*")</f>
        <v>8</v>
      </c>
      <c r="C3" s="12">
        <v>46017</v>
      </c>
      <c r="D3" s="5">
        <f>SUMPRODUCT(
--(INT(Registros!A3:A5875)&gt;=C3),
--(INT(Registros!A3:A5875)&lt;=C4),
--ISNUMBER(SEARCH(A3,Registros!Q3:Q5875))
)</f>
        <v>0</v>
      </c>
    </row>
    <row r="4" spans="1:4" ht="15.75" customHeight="1">
      <c r="A4" s="16" t="s">
        <v>22876</v>
      </c>
      <c r="B4" s="5">
        <f>COUNTIF(Registros!Q:Q,"*"&amp;TRIM(A4)&amp;"*")</f>
        <v>16</v>
      </c>
      <c r="D4" s="5">
        <f>SUMPRODUCT(
--(INT(Registros!A4:A5876)&gt;=C4),
--(INT(Registros!A4:A5876)&lt;=C5),
--ISNUMBER(SEARCH(A4,Registros!Q4:Q5876))
)</f>
        <v>0</v>
      </c>
    </row>
    <row r="5" spans="1:4" ht="15.75" customHeight="1">
      <c r="A5" s="16" t="s">
        <v>22878</v>
      </c>
      <c r="B5" s="5">
        <f>COUNTIF(Registros!Q:Q,"*"&amp;TRIM(A5)&amp;"*")</f>
        <v>10</v>
      </c>
      <c r="D5" s="5">
        <f>SUMPRODUCT(
--(INT(Registros!A5:A5877)&gt;=C5),
--(INT(Registros!A5:A5877)&lt;=C6),
--ISNUMBER(SEARCH(A5,Registros!Q5:Q5877))
)</f>
        <v>0</v>
      </c>
    </row>
    <row r="6" spans="1:4" ht="15.75" customHeight="1">
      <c r="A6" s="16" t="s">
        <v>22880</v>
      </c>
      <c r="B6" s="5">
        <f>COUNTIF(Registros!Q:Q,"*"&amp;TRIM(A6)&amp;"*")</f>
        <v>9</v>
      </c>
      <c r="D6" s="5">
        <f>SUMPRODUCT(
--(INT(Registros!A6:A5878)&gt;=C6),
--(INT(Registros!A6:A5878)&lt;=C7),
--ISNUMBER(SEARCH(A6,Registros!Q6:Q5878))
)</f>
        <v>0</v>
      </c>
    </row>
    <row r="7" spans="1:4" ht="15.75" customHeight="1">
      <c r="A7" s="16" t="s">
        <v>22882</v>
      </c>
      <c r="B7" s="5">
        <f>COUNTIF(Registros!Q:Q,"*"&amp;TRIM(A7)&amp;"*")</f>
        <v>34</v>
      </c>
      <c r="D7" s="5">
        <f>SUMPRODUCT(
--(INT(Registros!A7:A5879)&gt;=C7),
--(INT(Registros!A7:A5879)&lt;=C8),
--ISNUMBER(SEARCH(A7,Registros!Q7:Q5879))
)</f>
        <v>0</v>
      </c>
    </row>
    <row r="8" spans="1:4" ht="15.75" customHeight="1">
      <c r="A8" s="16" t="s">
        <v>25404</v>
      </c>
      <c r="B8" s="5">
        <f>COUNTIF(Registros!Q:Q,"*"&amp;TRIM(A8)&amp;"*")</f>
        <v>9</v>
      </c>
      <c r="D8" s="5">
        <f>SUMPRODUCT(
--(INT(Registros!A8:A5880)&gt;=C8),
--(INT(Registros!A8:A5880)&lt;=C9),
--ISNUMBER(SEARCH(A8,Registros!Q8:Q5880))
)</f>
        <v>0</v>
      </c>
    </row>
    <row r="9" spans="1:4" ht="15.75" customHeight="1">
      <c r="A9" s="16" t="s">
        <v>22885</v>
      </c>
      <c r="B9" s="5">
        <f>COUNTIF(Registros!Q:Q,"*"&amp;TRIM(A9)&amp;"*")</f>
        <v>17</v>
      </c>
      <c r="D9" s="5">
        <f>SUMPRODUCT(
--(INT(Registros!A9:A5881)&gt;=C9),
--(INT(Registros!A9:A5881)&lt;=C10),
--ISNUMBER(SEARCH(A9,Registros!Q9:Q5881))
)</f>
        <v>0</v>
      </c>
    </row>
    <row r="10" spans="1:4" ht="15.75" customHeight="1">
      <c r="A10" s="16" t="s">
        <v>22886</v>
      </c>
      <c r="B10" s="5">
        <f>COUNTIF(Registros!Q:Q,"*"&amp;TRIM(A10)&amp;"*")</f>
        <v>7</v>
      </c>
      <c r="D10" s="5">
        <f>SUMPRODUCT(
--(INT(Registros!A10:A5882)&gt;=C10),
--(INT(Registros!A10:A5882)&lt;=C11),
--ISNUMBER(SEARCH(A10,Registros!Q10:Q5882))
)</f>
        <v>0</v>
      </c>
    </row>
    <row r="11" spans="1:4" ht="15.75" customHeight="1">
      <c r="A11" s="16" t="s">
        <v>22888</v>
      </c>
      <c r="B11" s="5">
        <f>COUNTIF(Registros!Q:Q,"*"&amp;TRIM(A11)&amp;"*")</f>
        <v>30</v>
      </c>
      <c r="D11" s="5">
        <f>SUMPRODUCT(
--(INT(Registros!A11:A5883)&gt;=C11),
--(INT(Registros!A11:A5883)&lt;=C12),
--ISNUMBER(SEARCH(A11,Registros!Q11:Q5883))
)</f>
        <v>0</v>
      </c>
    </row>
    <row r="12" spans="1:4" ht="15.75" customHeight="1">
      <c r="A12" s="16" t="s">
        <v>22890</v>
      </c>
      <c r="B12" s="5">
        <f>COUNTIF(Registros!Q:Q,"*"&amp;TRIM(A12)&amp;"*")</f>
        <v>5</v>
      </c>
      <c r="D12" s="5">
        <f>SUMPRODUCT(
--(INT(Registros!A12:A5884)&gt;=C12),
--(INT(Registros!A12:A5884)&lt;=C13),
--ISNUMBER(SEARCH(A12,Registros!Q12:Q5884))
)</f>
        <v>0</v>
      </c>
    </row>
    <row r="13" spans="1:4" ht="15.75" customHeight="1">
      <c r="A13" s="16" t="s">
        <v>22892</v>
      </c>
      <c r="B13" s="5">
        <f>COUNTIF(Registros!Q:Q,"*"&amp;TRIM(A13)&amp;"*")</f>
        <v>8</v>
      </c>
      <c r="D13" s="5">
        <f>SUMPRODUCT(
--(INT(Registros!A13:A5885)&gt;=C13),
--(INT(Registros!A13:A5885)&lt;=C14),
--ISNUMBER(SEARCH(A13,Registros!Q13:Q5885))
)</f>
        <v>0</v>
      </c>
    </row>
    <row r="14" spans="1:4" ht="15.75" customHeight="1">
      <c r="A14" s="16" t="s">
        <v>22894</v>
      </c>
      <c r="B14" s="5">
        <f>COUNTIF(Registros!Q:Q,"*"&amp;TRIM(A14)&amp;"*")</f>
        <v>11</v>
      </c>
      <c r="D14" s="5">
        <f>SUMPRODUCT(
--(INT(Registros!A14:A5886)&gt;=C14),
--(INT(Registros!A14:A5886)&lt;=C15),
--ISNUMBER(SEARCH(A14,Registros!Q14:Q5886))
)</f>
        <v>0</v>
      </c>
    </row>
    <row r="15" spans="1:4" ht="15.75" customHeight="1">
      <c r="A15" s="5" t="s">
        <v>22896</v>
      </c>
      <c r="B15" s="5">
        <f>COUNTIF(Registros!Q:Q,"*"&amp;TRIM(A15)&amp;"*")</f>
        <v>20</v>
      </c>
      <c r="D15" s="5">
        <f>SUMPRODUCT(
--(INT(Registros!A15:A5887)&gt;=C15),
--(INT(Registros!A15:A5887)&lt;=C16),
--ISNUMBER(SEARCH(A15,Registros!Q15:Q5887))
)</f>
        <v>0</v>
      </c>
    </row>
    <row r="16" spans="1:4" ht="15.75" customHeight="1">
      <c r="A16" s="5" t="s">
        <v>22898</v>
      </c>
      <c r="B16" s="5">
        <f>COUNTIF(Registros!Q:Q,"*"&amp;TRIM(A16)&amp;"*")</f>
        <v>15</v>
      </c>
      <c r="D16" s="5">
        <f>SUMPRODUCT(
--(INT(Registros!A16:A5888)&gt;=C16),
--(INT(Registros!A16:A5888)&lt;=C17),
--ISNUMBER(SEARCH(A16,Registros!Q16:Q5888))
)</f>
        <v>0</v>
      </c>
    </row>
    <row r="17" spans="1:4" ht="15.75" customHeight="1">
      <c r="A17" s="5" t="s">
        <v>22900</v>
      </c>
      <c r="B17" s="5">
        <f>COUNTIF(Registros!Q:Q,"*"&amp;TRIM(A17)&amp;"*")</f>
        <v>3</v>
      </c>
      <c r="D17" s="5">
        <f>SUMPRODUCT(
--(INT(Registros!A17:A5889)&gt;=C17),
--(INT(Registros!A17:A5889)&lt;=C18),
--ISNUMBER(SEARCH(A17,Registros!Q17:Q5889))
)</f>
        <v>0</v>
      </c>
    </row>
    <row r="18" spans="1:4" ht="15.75" customHeight="1">
      <c r="A18" s="5" t="s">
        <v>22902</v>
      </c>
      <c r="B18" s="5">
        <f>COUNTIF(Registros!Q:Q,"*"&amp;TRIM(A18)&amp;"*")</f>
        <v>8</v>
      </c>
      <c r="D18" s="5">
        <f>SUMPRODUCT(
--(INT(Registros!A18:A5890)&gt;=C18),
--(INT(Registros!A18:A5890)&lt;=C19),
--ISNUMBER(SEARCH(A18,Registros!Q18:Q5890))
)</f>
        <v>0</v>
      </c>
    </row>
    <row r="19" spans="1:4" ht="15.75" customHeight="1">
      <c r="A19" s="5" t="s">
        <v>22904</v>
      </c>
      <c r="B19" s="5">
        <f>COUNTIF(Registros!Q:Q,"*"&amp;TRIM(A19)&amp;"*")</f>
        <v>14</v>
      </c>
      <c r="D19" s="5">
        <f>SUMPRODUCT(
--(INT(Registros!A19:A5891)&gt;=C19),
--(INT(Registros!A19:A5891)&lt;=C20),
--ISNUMBER(SEARCH(A19,Registros!Q19:Q5891))
)</f>
        <v>0</v>
      </c>
    </row>
    <row r="20" spans="1:4" ht="15.75" customHeight="1">
      <c r="A20" s="5" t="s">
        <v>22906</v>
      </c>
      <c r="B20" s="5">
        <f>COUNTIF(Registros!Q:Q,"*"&amp;TRIM(A20)&amp;"*")</f>
        <v>16</v>
      </c>
      <c r="D20" s="5">
        <f>SUMPRODUCT(
--(INT(Registros!A20:A5892)&gt;=C20),
--(INT(Registros!A20:A5892)&lt;=C21),
--ISNUMBER(SEARCH(A20,Registros!Q20:Q5892))
)</f>
        <v>0</v>
      </c>
    </row>
    <row r="21" spans="1:4" ht="15.75" customHeight="1">
      <c r="A21" s="5" t="s">
        <v>22908</v>
      </c>
      <c r="B21" s="5">
        <f>COUNTIF(Registros!Q:Q,"*"&amp;TRIM(A21)&amp;"*")</f>
        <v>3</v>
      </c>
      <c r="D21" s="5">
        <f>SUMPRODUCT(
--(INT(Registros!A21:A5893)&gt;=C21),
--(INT(Registros!A21:A5893)&lt;=C22),
--ISNUMBER(SEARCH(A21,Registros!Q21:Q5893))
)</f>
        <v>0</v>
      </c>
    </row>
    <row r="22" spans="1:4" ht="12.5">
      <c r="A22" s="5" t="s">
        <v>22910</v>
      </c>
      <c r="B22" s="5">
        <f>COUNTIF(Registros!Q:Q,"*"&amp;TRIM(A22)&amp;"*")</f>
        <v>20</v>
      </c>
      <c r="D22" s="5">
        <f>SUMPRODUCT(
--(INT(Registros!A22:A5894)&gt;=C22),
--(INT(Registros!A22:A5894)&lt;=C23),
--ISNUMBER(SEARCH(A22,Registros!Q22:Q5894))
)</f>
        <v>0</v>
      </c>
    </row>
    <row r="23" spans="1:4" ht="12.5">
      <c r="A23" s="5" t="s">
        <v>22912</v>
      </c>
      <c r="B23" s="5">
        <f>COUNTIF(Registros!Q:Q,"*"&amp;TRIM(A23)&amp;"*")</f>
        <v>11</v>
      </c>
      <c r="D23" s="5">
        <f>SUMPRODUCT(
--(INT(Registros!A23:A5895)&gt;=C23),
--(INT(Registros!A23:A5895)&lt;=C24),
--ISNUMBER(SEARCH(A23,Registros!Q23:Q5895))
)</f>
        <v>0</v>
      </c>
    </row>
    <row r="24" spans="1:4" ht="12.5">
      <c r="A24" s="5" t="s">
        <v>22914</v>
      </c>
      <c r="B24" s="5">
        <f>COUNTIF(Registros!Q:Q,"*"&amp;TRIM(A24)&amp;"*")</f>
        <v>59</v>
      </c>
      <c r="D24" s="5">
        <f>SUMPRODUCT(
--(INT(Registros!A24:A5896)&gt;=C24),
--(INT(Registros!A24:A5896)&lt;=C25),
--ISNUMBER(SEARCH(A24,Registros!Q24:Q5896))
)</f>
        <v>0</v>
      </c>
    </row>
    <row r="25" spans="1:4" ht="12.5">
      <c r="A25" s="5" t="s">
        <v>22916</v>
      </c>
      <c r="B25" s="5">
        <f>COUNTIF(Registros!Q:Q,"*"&amp;TRIM(A25)&amp;"*")</f>
        <v>11</v>
      </c>
      <c r="D25" s="5">
        <f>SUMPRODUCT(
--(INT(Registros!A25:A5897)&gt;=C25),
--(INT(Registros!A25:A5897)&lt;=C26),
--ISNUMBER(SEARCH(A25,Registros!Q25:Q5897))
)</f>
        <v>0</v>
      </c>
    </row>
    <row r="26" spans="1:4" ht="12.5">
      <c r="A26" s="5" t="s">
        <v>22918</v>
      </c>
      <c r="B26" s="5">
        <f>COUNTIF(Registros!Q:Q,"*"&amp;TRIM(A26)&amp;"*")</f>
        <v>6</v>
      </c>
      <c r="D26" s="5">
        <f>SUMPRODUCT(
--(INT(Registros!A26:A5898)&gt;=C26),
--(INT(Registros!A26:A5898)&lt;=C27),
--ISNUMBER(SEARCH(A26,Registros!Q26:Q5898))
)</f>
        <v>0</v>
      </c>
    </row>
    <row r="27" spans="1:4" ht="12.5">
      <c r="A27" s="5" t="s">
        <v>22920</v>
      </c>
      <c r="B27" s="5">
        <f>COUNTIF(Registros!Q:Q,"*"&amp;TRIM(A27)&amp;"*")</f>
        <v>43</v>
      </c>
      <c r="D27" s="5">
        <f>SUMPRODUCT(
--(INT(Registros!A27:A5899)&gt;=C27),
--(INT(Registros!A27:A5899)&lt;=C28),
--ISNUMBER(SEARCH(A27,Registros!Q27:Q5899))
)</f>
        <v>0</v>
      </c>
    </row>
    <row r="28" spans="1:4" ht="12.5">
      <c r="A28" s="5" t="s">
        <v>22922</v>
      </c>
      <c r="B28" s="5">
        <f>COUNTIF(Registros!Q:Q,"*"&amp;TRIM(A28)&amp;"*")</f>
        <v>20</v>
      </c>
      <c r="D28" s="5">
        <f>SUMPRODUCT(
--(INT(Registros!A28:A5900)&gt;=C28),
--(INT(Registros!A28:A5900)&lt;=C29),
--ISNUMBER(SEARCH(A28,Registros!Q28:Q5900))
)</f>
        <v>0</v>
      </c>
    </row>
    <row r="29" spans="1:4" ht="12.5">
      <c r="A29" s="5" t="s">
        <v>22924</v>
      </c>
      <c r="B29" s="5">
        <f>COUNTIF(Registros!Q:Q,"*"&amp;TRIM(A29)&amp;"*")</f>
        <v>23</v>
      </c>
      <c r="D29" s="5">
        <f>SUMPRODUCT(
--(INT(Registros!A29:A5901)&gt;=C29),
--(INT(Registros!A29:A5901)&lt;=C30),
--ISNUMBER(SEARCH(A29,Registros!Q29:Q5901))
)</f>
        <v>0</v>
      </c>
    </row>
    <row r="30" spans="1:4" ht="12.5">
      <c r="A30" s="5" t="s">
        <v>25405</v>
      </c>
      <c r="B30" s="5">
        <f>COUNTIF(Registros!Q:Q,"*"&amp;TRIM(A30)&amp;"*")</f>
        <v>10</v>
      </c>
      <c r="D30" s="5">
        <f>SUMPRODUCT(
--(INT(Registros!A30:A5902)&gt;=C30),
--(INT(Registros!A30:A5902)&lt;=C31),
--ISNUMBER(SEARCH(A30,Registros!Q30:Q5902))
)</f>
        <v>0</v>
      </c>
    </row>
    <row r="31" spans="1:4" ht="12.5">
      <c r="A31" s="5" t="s">
        <v>25406</v>
      </c>
      <c r="B31" s="5">
        <f>COUNTIF(Registros!Q:Q,"*"&amp;TRIM(A31)&amp;"*")</f>
        <v>4</v>
      </c>
      <c r="D31" s="5">
        <f>SUMPRODUCT(
--(INT(Registros!A31:A5903)&gt;=C31),
--(INT(Registros!A31:A5903)&lt;=C32),
--ISNUMBER(SEARCH(A31,Registros!Q31:Q5903))
)</f>
        <v>0</v>
      </c>
    </row>
    <row r="32" spans="1:4" ht="12.5">
      <c r="A32" s="5" t="s">
        <v>22931</v>
      </c>
      <c r="B32" s="5">
        <f>COUNTIF(Registros!Q:Q,"*"&amp;TRIM(A32)&amp;"*")</f>
        <v>37</v>
      </c>
      <c r="D32" s="5">
        <f>SUMPRODUCT(
--(INT(Registros!A32:A5904)&gt;=C32),
--(INT(Registros!A32:A5904)&lt;=C33),
--ISNUMBER(SEARCH(A32,Registros!Q32:Q5904))
)</f>
        <v>0</v>
      </c>
    </row>
    <row r="33" spans="1:4" ht="12.5">
      <c r="A33" s="5" t="s">
        <v>25407</v>
      </c>
      <c r="B33" s="5">
        <f>COUNTIF(Registros!Q:Q,"*"&amp;TRIM(A33)&amp;"*")</f>
        <v>69</v>
      </c>
      <c r="D33" s="5">
        <f>SUMPRODUCT(
--(INT(Registros!A33:A5905)&gt;=C33),
--(INT(Registros!A33:A5905)&lt;=C34),
--ISNUMBER(SEARCH(A33,Registros!Q33:Q5905))
)</f>
        <v>0</v>
      </c>
    </row>
    <row r="34" spans="1:4" ht="12.5">
      <c r="A34" s="5" t="s">
        <v>25408</v>
      </c>
      <c r="B34" s="5">
        <f>COUNTIF(Registros!Q:Q,"*"&amp;TRIM(A34)&amp;"*")</f>
        <v>21</v>
      </c>
      <c r="D34" s="5">
        <f>SUMPRODUCT(
--(INT(Registros!A34:A5906)&gt;=C34),
--(INT(Registros!A34:A5906)&lt;=C35),
--ISNUMBER(SEARCH(A34,Registros!Q34:Q5906))
)</f>
        <v>0</v>
      </c>
    </row>
    <row r="35" spans="1:4" ht="12.5">
      <c r="A35" s="5" t="s">
        <v>22937</v>
      </c>
      <c r="B35" s="5">
        <f>COUNTIF(Registros!Q:Q,"*"&amp;TRIM(A35)&amp;"*")</f>
        <v>186</v>
      </c>
      <c r="D35" s="5">
        <f>SUMPRODUCT(
--(INT(Registros!A35:A5907)&gt;=C35),
--(INT(Registros!A35:A5907)&lt;=C36),
--ISNUMBER(SEARCH(A35,Registros!Q35:Q5907))
)</f>
        <v>0</v>
      </c>
    </row>
    <row r="36" spans="1:4" ht="12.5">
      <c r="A36" s="5" t="s">
        <v>16189</v>
      </c>
      <c r="B36" s="5">
        <f>COUNTIF(Registros!Q:Q,"*"&amp;TRIM(A36)&amp;"*")</f>
        <v>69</v>
      </c>
      <c r="D36" s="5">
        <f>SUMPRODUCT(
--(INT(Registros!A36:A5908)&gt;=C36),
--(INT(Registros!A36:A5908)&lt;=C37),
--ISNUMBER(SEARCH(A36,Registros!Q36:Q5908))
)</f>
        <v>0</v>
      </c>
    </row>
    <row r="37" spans="1:4" ht="12.5">
      <c r="A37" s="5" t="s">
        <v>22940</v>
      </c>
      <c r="B37" s="5">
        <f>COUNTIF(Registros!Q:Q,"*"&amp;TRIM(A37)&amp;"*")</f>
        <v>3</v>
      </c>
      <c r="D37" s="5">
        <f>SUMPRODUCT(
--(INT(Registros!A37:A5909)&gt;=C37),
--(INT(Registros!A37:A5909)&lt;=C38),
--ISNUMBER(SEARCH(A37,Registros!Q37:Q5909))
)</f>
        <v>0</v>
      </c>
    </row>
    <row r="38" spans="1:4" ht="12.5">
      <c r="A38" s="5" t="s">
        <v>25409</v>
      </c>
      <c r="B38" s="5">
        <f>COUNTIF(Registros!Q:Q,"*"&amp;TRIM(A38)&amp;"*")</f>
        <v>1</v>
      </c>
      <c r="D38" s="5">
        <f>SUMPRODUCT(
--(INT(Registros!A38:A5910)&gt;=C38),
--(INT(Registros!A38:A5910)&lt;=C39),
--ISNUMBER(SEARCH(A38,Registros!Q38:Q5910))
)</f>
        <v>0</v>
      </c>
    </row>
    <row r="39" spans="1:4" ht="12.5">
      <c r="A39" s="5" t="s">
        <v>22945</v>
      </c>
      <c r="B39" s="5">
        <f>COUNTIF(Registros!Q:Q,"*"&amp;TRIM(A39)&amp;"*")</f>
        <v>5</v>
      </c>
      <c r="D39" s="5">
        <f>SUMPRODUCT(
--(INT(Registros!A39:A5911)&gt;=C39),
--(INT(Registros!A39:A5911)&lt;=C40),
--ISNUMBER(SEARCH(A39,Registros!Q39:Q5911))
)</f>
        <v>0</v>
      </c>
    </row>
    <row r="40" spans="1:4" ht="12.5">
      <c r="A40" s="5" t="s">
        <v>22947</v>
      </c>
      <c r="B40" s="5">
        <f>COUNTIF(Registros!Q:Q,"*"&amp;TRIM(A40)&amp;"*")</f>
        <v>4</v>
      </c>
      <c r="D40" s="5">
        <f>SUMPRODUCT(
--(INT(Registros!A40:A5912)&gt;=C40),
--(INT(Registros!A40:A5912)&lt;=C41),
--ISNUMBER(SEARCH(A40,Registros!Q40:Q5912))
)</f>
        <v>0</v>
      </c>
    </row>
    <row r="41" spans="1:4" ht="12.5">
      <c r="A41" s="5" t="s">
        <v>22949</v>
      </c>
      <c r="B41" s="5">
        <f>COUNTIF(Registros!Q:Q,"*"&amp;TRIM(A41)&amp;"*")</f>
        <v>14</v>
      </c>
      <c r="D41" s="5">
        <f>SUMPRODUCT(
--(INT(Registros!A41:A5913)&gt;=C41),
--(INT(Registros!A41:A5913)&lt;=C42),
--ISNUMBER(SEARCH(A41,Registros!Q41:Q5913))
)</f>
        <v>0</v>
      </c>
    </row>
    <row r="42" spans="1:4" ht="12.5">
      <c r="A42" s="5" t="s">
        <v>22951</v>
      </c>
      <c r="B42" s="5">
        <f>COUNTIF(Registros!Q:Q,"*"&amp;TRIM(A42)&amp;"*")</f>
        <v>29</v>
      </c>
      <c r="D42" s="5">
        <f>SUMPRODUCT(
--(INT(Registros!A42:A5914)&gt;=C42),
--(INT(Registros!A42:A5914)&lt;=C43),
--ISNUMBER(SEARCH(A42,Registros!Q42:Q5914))
)</f>
        <v>0</v>
      </c>
    </row>
    <row r="43" spans="1:4" ht="12.5">
      <c r="A43" s="5" t="s">
        <v>25410</v>
      </c>
      <c r="B43" s="5">
        <f>COUNTIF(Registros!Q:Q,"*"&amp;TRIM(A43)&amp;"*")</f>
        <v>14</v>
      </c>
      <c r="D43" s="5">
        <f>SUMPRODUCT(
--(INT(Registros!A43:A5915)&gt;=C43),
--(INT(Registros!A43:A5915)&lt;=C44),
--ISNUMBER(SEARCH(A43,Registros!Q43:Q5915))
)</f>
        <v>0</v>
      </c>
    </row>
    <row r="44" spans="1:4" ht="12.5">
      <c r="A44" s="5" t="s">
        <v>22955</v>
      </c>
      <c r="B44" s="5">
        <f>COUNTIF(Registros!Q:Q,"*"&amp;TRIM(A44)&amp;"*")</f>
        <v>6</v>
      </c>
      <c r="D44" s="5">
        <f>SUMPRODUCT(
--(INT(Registros!A44:A5916)&gt;=C44),
--(INT(Registros!A44:A5916)&lt;=C45),
--ISNUMBER(SEARCH(A44,Registros!Q44:Q5916))
)</f>
        <v>0</v>
      </c>
    </row>
    <row r="45" spans="1:4" ht="12.5">
      <c r="A45" s="5" t="s">
        <v>14001</v>
      </c>
      <c r="B45" s="5">
        <f>COUNTIF(Registros!Q:Q,"*"&amp;TRIM(A45)&amp;"*")</f>
        <v>10</v>
      </c>
      <c r="D45" s="5">
        <f>SUMPRODUCT(
--(INT(Registros!A45:A5917)&gt;=C45),
--(INT(Registros!A45:A5917)&lt;=C46),
--ISNUMBER(SEARCH(A45,Registros!Q45:Q5917))
)</f>
        <v>0</v>
      </c>
    </row>
    <row r="46" spans="1:4" ht="12.5">
      <c r="A46" s="5" t="s">
        <v>22959</v>
      </c>
      <c r="B46" s="5">
        <f>COUNTIF(Registros!Q:Q,"*"&amp;TRIM(A46)&amp;"*")</f>
        <v>42</v>
      </c>
      <c r="D46" s="5">
        <f>SUMPRODUCT(
--(INT(Registros!A46:A5918)&gt;=C46),
--(INT(Registros!A46:A5918)&lt;=C47),
--ISNUMBER(SEARCH(A46,Registros!Q46:Q5918))
)</f>
        <v>0</v>
      </c>
    </row>
    <row r="47" spans="1:4" ht="12.5">
      <c r="A47" s="5" t="s">
        <v>25411</v>
      </c>
      <c r="B47" s="5">
        <f>COUNTIF(Registros!Q:Q,"*"&amp;TRIM(A47)&amp;"*")</f>
        <v>2</v>
      </c>
      <c r="D47" s="5">
        <f>SUMPRODUCT(
--(INT(Registros!A47:A5919)&gt;=C47),
--(INT(Registros!A47:A5919)&lt;=C48),
--ISNUMBER(SEARCH(A47,Registros!Q47:Q5919))
)</f>
        <v>0</v>
      </c>
    </row>
    <row r="48" spans="1:4" ht="12.5">
      <c r="A48" s="5" t="s">
        <v>25412</v>
      </c>
      <c r="B48" s="5">
        <f>COUNTIF(Registros!Q:Q,"*"&amp;TRIM(A48)&amp;"*")</f>
        <v>7</v>
      </c>
      <c r="D48" s="5">
        <f>SUMPRODUCT(
--(INT(Registros!A48:A5920)&gt;=C48),
--(INT(Registros!A48:A5920)&lt;=C49),
--ISNUMBER(SEARCH(A48,Registros!Q48:Q5920))
)</f>
        <v>0</v>
      </c>
    </row>
    <row r="49" spans="1:4" ht="12.5">
      <c r="A49" s="5" t="s">
        <v>22966</v>
      </c>
      <c r="B49" s="5">
        <f>COUNTIF(Registros!Q:Q,"*"&amp;TRIM(A49)&amp;"*")</f>
        <v>64</v>
      </c>
      <c r="D49" s="5">
        <f>SUMPRODUCT(
--(INT(Registros!A49:A5921)&gt;=C49),
--(INT(Registros!A49:A5921)&lt;=C50),
--ISNUMBER(SEARCH(A49,Registros!Q49:Q5921))
)</f>
        <v>0</v>
      </c>
    </row>
    <row r="50" spans="1:4" ht="12.5">
      <c r="A50" s="5" t="s">
        <v>25413</v>
      </c>
      <c r="B50" s="5">
        <f>COUNTIF(Registros!Q:Q,"*"&amp;TRIM(A50)&amp;"*")</f>
        <v>5</v>
      </c>
      <c r="D50" s="5">
        <f>SUMPRODUCT(
--(INT(Registros!A50:A5922)&gt;=C50),
--(INT(Registros!A50:A5922)&lt;=C51),
--ISNUMBER(SEARCH(A50,Registros!Q50:Q5922))
)</f>
        <v>0</v>
      </c>
    </row>
    <row r="51" spans="1:4" ht="12.5">
      <c r="A51" s="5" t="s">
        <v>22970</v>
      </c>
      <c r="B51" s="5">
        <f>COUNTIF(Registros!Q:Q,"*"&amp;TRIM(A51)&amp;"*")</f>
        <v>8</v>
      </c>
      <c r="D51" s="5">
        <f>SUMPRODUCT(
--(INT(Registros!A51:A5923)&gt;=C51),
--(INT(Registros!A51:A5923)&lt;=C52),
--ISNUMBER(SEARCH(A51,Registros!Q51:Q5923))
)</f>
        <v>0</v>
      </c>
    </row>
    <row r="52" spans="1:4" ht="12.5">
      <c r="A52" s="5" t="s">
        <v>22972</v>
      </c>
      <c r="B52" s="5">
        <f>COUNTIF(Registros!Q:Q,"*"&amp;TRIM(A52)&amp;"*")</f>
        <v>6</v>
      </c>
      <c r="D52" s="5">
        <f>SUMPRODUCT(
--(INT(Registros!A52:A5924)&gt;=C52),
--(INT(Registros!A52:A5924)&lt;=C53),
--ISNUMBER(SEARCH(A52,Registros!Q52:Q5924))
)</f>
        <v>0</v>
      </c>
    </row>
    <row r="53" spans="1:4" ht="12.5">
      <c r="A53" s="5" t="s">
        <v>22974</v>
      </c>
      <c r="B53" s="5">
        <f>COUNTIF(Registros!Q:Q,"*"&amp;TRIM(A53)&amp;"*")</f>
        <v>19</v>
      </c>
      <c r="D53" s="5">
        <f>SUMPRODUCT(
--(INT(Registros!A53:A5925)&gt;=C53),
--(INT(Registros!A53:A5925)&lt;=C54),
--ISNUMBER(SEARCH(A53,Registros!Q53:Q5925))
)</f>
        <v>0</v>
      </c>
    </row>
    <row r="54" spans="1:4" ht="12.5">
      <c r="A54" s="5" t="s">
        <v>22976</v>
      </c>
      <c r="B54" s="5">
        <f>COUNTIF(Registros!Q:Q,"*"&amp;TRIM(A54)&amp;"*")</f>
        <v>16</v>
      </c>
      <c r="D54" s="5">
        <f>SUMPRODUCT(
--(INT(Registros!A54:A5926)&gt;=C54),
--(INT(Registros!A54:A5926)&lt;=C55),
--ISNUMBER(SEARCH(A54,Registros!Q54:Q5926))
)</f>
        <v>0</v>
      </c>
    </row>
    <row r="55" spans="1:4" ht="12.5">
      <c r="A55" s="5" t="s">
        <v>25414</v>
      </c>
      <c r="B55" s="5">
        <f>COUNTIF(Registros!Q:Q,"*"&amp;TRIM(A55)&amp;"*")</f>
        <v>9</v>
      </c>
      <c r="D55" s="5">
        <f>SUMPRODUCT(
--(INT(Registros!A55:A5927)&gt;=C55),
--(INT(Registros!A55:A5927)&lt;=C56),
--ISNUMBER(SEARCH(A55,Registros!Q55:Q5927))
)</f>
        <v>0</v>
      </c>
    </row>
    <row r="56" spans="1:4" ht="12.5">
      <c r="A56" s="5" t="s">
        <v>25415</v>
      </c>
      <c r="B56" s="5">
        <f>COUNTIF(Registros!Q:Q,"*"&amp;TRIM(A56)&amp;"*")</f>
        <v>38</v>
      </c>
      <c r="D56" s="5">
        <f>SUMPRODUCT(
--(INT(Registros!A56:A5928)&gt;=C56),
--(INT(Registros!A56:A5928)&lt;=C57),
--ISNUMBER(SEARCH(A56,Registros!Q56:Q5928))
)</f>
        <v>0</v>
      </c>
    </row>
    <row r="57" spans="1:4" ht="12.5">
      <c r="A57" s="5" t="s">
        <v>25416</v>
      </c>
      <c r="B57" s="5">
        <f>COUNTIF(Registros!Q:Q,"*"&amp;TRIM(A57)&amp;"*")</f>
        <v>45</v>
      </c>
      <c r="D57" s="5">
        <f>SUMPRODUCT(
--(INT(Registros!A57:A5929)&gt;=C57),
--(INT(Registros!A57:A5929)&lt;=C58),
--ISNUMBER(SEARCH(A57,Registros!Q57:Q5929))
)</f>
        <v>0</v>
      </c>
    </row>
    <row r="58" spans="1:4" ht="12.5">
      <c r="A58" s="5" t="s">
        <v>22984</v>
      </c>
      <c r="B58" s="5">
        <f>COUNTIF(Registros!Q:Q,"*"&amp;TRIM(A58)&amp;"*")</f>
        <v>3</v>
      </c>
      <c r="D58" s="5">
        <f>SUMPRODUCT(
--(INT(Registros!A58:A5930)&gt;=C58),
--(INT(Registros!A58:A5930)&lt;=C59),
--ISNUMBER(SEARCH(A58,Registros!Q58:Q5930))
)</f>
        <v>0</v>
      </c>
    </row>
    <row r="59" spans="1:4" ht="12.5">
      <c r="A59" s="5" t="s">
        <v>22987</v>
      </c>
      <c r="B59" s="5">
        <f>COUNTIF(Registros!Q:Q,"*"&amp;TRIM(A59)&amp;"*")</f>
        <v>15</v>
      </c>
      <c r="D59" s="5">
        <f>SUMPRODUCT(
--(INT(Registros!A59:A5931)&gt;=C59),
--(INT(Registros!A59:A5931)&lt;=C60),
--ISNUMBER(SEARCH(A59,Registros!Q59:Q5931))
)</f>
        <v>0</v>
      </c>
    </row>
    <row r="60" spans="1:4" ht="12.5">
      <c r="A60" s="5" t="s">
        <v>25417</v>
      </c>
      <c r="B60" s="5">
        <f>COUNTIF(Registros!Q:Q,"*"&amp;TRIM(A60)&amp;"*")</f>
        <v>1</v>
      </c>
      <c r="D60" s="5">
        <f>SUMPRODUCT(
--(INT(Registros!A60:A5932)&gt;=C60),
--(INT(Registros!A60:A5932)&lt;=C61),
--ISNUMBER(SEARCH(A60,Registros!Q60:Q5932))
)</f>
        <v>0</v>
      </c>
    </row>
    <row r="61" spans="1:4" ht="12.5">
      <c r="A61" s="5" t="s">
        <v>22991</v>
      </c>
      <c r="B61" s="5">
        <f>COUNTIF(Registros!Q:Q,"*"&amp;TRIM(A61)&amp;"*")</f>
        <v>16</v>
      </c>
      <c r="D61" s="5">
        <f>SUMPRODUCT(
--(INT(Registros!A61:A5933)&gt;=C61),
--(INT(Registros!A61:A5933)&lt;=C62),
--ISNUMBER(SEARCH(A61,Registros!Q61:Q5933))
)</f>
        <v>0</v>
      </c>
    </row>
    <row r="62" spans="1:4" ht="12.5">
      <c r="A62" s="5" t="s">
        <v>25418</v>
      </c>
      <c r="B62" s="5">
        <f>COUNTIF(Registros!Q:Q,"*"&amp;TRIM(A62)&amp;"*")</f>
        <v>20</v>
      </c>
      <c r="D62" s="5">
        <f>SUMPRODUCT(
--(INT(Registros!A62:A5934)&gt;=C62),
--(INT(Registros!A62:A5934)&lt;=C63),
--ISNUMBER(SEARCH(A62,Registros!Q62:Q5934))
)</f>
        <v>0</v>
      </c>
    </row>
    <row r="63" spans="1:4" ht="12.5">
      <c r="A63" s="5" t="s">
        <v>22995</v>
      </c>
      <c r="B63" s="5">
        <f>COUNTIF(Registros!Q:Q,"*"&amp;TRIM(A63)&amp;"*")</f>
        <v>16</v>
      </c>
      <c r="D63" s="5">
        <f>SUMPRODUCT(
--(INT(Registros!A63:A5935)&gt;=C63),
--(INT(Registros!A63:A5935)&lt;=C64),
--ISNUMBER(SEARCH(A63,Registros!Q63:Q5935))
)</f>
        <v>0</v>
      </c>
    </row>
    <row r="64" spans="1:4" ht="12.5">
      <c r="A64" s="5" t="s">
        <v>22997</v>
      </c>
      <c r="B64" s="5">
        <f>COUNTIF(Registros!Q:Q,"*"&amp;TRIM(A64)&amp;"*")</f>
        <v>3</v>
      </c>
      <c r="D64" s="5">
        <f>SUMPRODUCT(
--(INT(Registros!A64:A5936)&gt;=C64),
--(INT(Registros!A64:A5936)&lt;=C65),
--ISNUMBER(SEARCH(A64,Registros!Q64:Q5936))
)</f>
        <v>0</v>
      </c>
    </row>
    <row r="65" spans="1:4" ht="12.5">
      <c r="A65" s="5" t="s">
        <v>23000</v>
      </c>
      <c r="B65" s="5">
        <f>COUNTIF(Registros!Q:Q,"*"&amp;TRIM(A65)&amp;"*")</f>
        <v>2</v>
      </c>
      <c r="D65" s="5">
        <f>SUMPRODUCT(
--(INT(Registros!A65:A5937)&gt;=C65),
--(INT(Registros!A65:A5937)&lt;=C66),
--ISNUMBER(SEARCH(A65,Registros!Q65:Q5937))
)</f>
        <v>0</v>
      </c>
    </row>
    <row r="66" spans="1:4" ht="12.5">
      <c r="A66" s="5" t="s">
        <v>25419</v>
      </c>
      <c r="B66" s="5">
        <f>COUNTIF(Registros!Q:Q,"*"&amp;TRIM(A66)&amp;"*")</f>
        <v>10</v>
      </c>
      <c r="D66" s="5">
        <f>SUMPRODUCT(
--(INT(Registros!A66:A5938)&gt;=C66),
--(INT(Registros!A66:A5938)&lt;=C67),
--ISNUMBER(SEARCH(A66,Registros!Q66:Q5938))
)</f>
        <v>0</v>
      </c>
    </row>
    <row r="67" spans="1:4" ht="12.5">
      <c r="A67" s="5" t="s">
        <v>23004</v>
      </c>
      <c r="B67" s="5">
        <f>COUNTIF(Registros!Q:Q,"*"&amp;TRIM(A67)&amp;"*")</f>
        <v>22</v>
      </c>
      <c r="D67" s="5">
        <f>SUMPRODUCT(
--(INT(Registros!A67:A5939)&gt;=C67),
--(INT(Registros!A67:A5939)&lt;=C68),
--ISNUMBER(SEARCH(A67,Registros!Q67:Q5939))
)</f>
        <v>0</v>
      </c>
    </row>
    <row r="68" spans="1:4" ht="12.5">
      <c r="A68" s="5" t="s">
        <v>23006</v>
      </c>
      <c r="B68" s="5">
        <f>COUNTIF(Registros!Q:Q,"*"&amp;TRIM(A68)&amp;"*")</f>
        <v>38</v>
      </c>
      <c r="D68" s="5">
        <f>SUMPRODUCT(
--(INT(Registros!A68:A5940)&gt;=C68),
--(INT(Registros!A68:A5940)&lt;=C69),
--ISNUMBER(SEARCH(A68,Registros!Q68:Q5940))
)</f>
        <v>0</v>
      </c>
    </row>
    <row r="69" spans="1:4" ht="12.5">
      <c r="A69" s="5" t="s">
        <v>23008</v>
      </c>
      <c r="B69" s="5">
        <f>COUNTIF(Registros!Q:Q,"*"&amp;TRIM(A69)&amp;"*")</f>
        <v>17</v>
      </c>
      <c r="D69" s="5">
        <f>SUMPRODUCT(
--(INT(Registros!A69:A5941)&gt;=C69),
--(INT(Registros!A69:A5941)&lt;=C70),
--ISNUMBER(SEARCH(A69,Registros!Q69:Q5941))
)</f>
        <v>0</v>
      </c>
    </row>
    <row r="70" spans="1:4" ht="12.5">
      <c r="A70" s="5" t="s">
        <v>23010</v>
      </c>
      <c r="B70" s="5">
        <f>COUNTIF(Registros!Q:Q,"*"&amp;TRIM(A70)&amp;"*")</f>
        <v>23</v>
      </c>
      <c r="D70" s="5">
        <f>SUMPRODUCT(
--(INT(Registros!A70:A5942)&gt;=C70),
--(INT(Registros!A70:A5942)&lt;=C71),
--ISNUMBER(SEARCH(A70,Registros!Q70:Q5942))
)</f>
        <v>0</v>
      </c>
    </row>
    <row r="71" spans="1:4" ht="12.5">
      <c r="A71" s="5" t="s">
        <v>23012</v>
      </c>
      <c r="B71" s="5">
        <f>COUNTIF(Registros!Q:Q,"*"&amp;TRIM(A71)&amp;"*")</f>
        <v>18</v>
      </c>
      <c r="D71" s="5">
        <f>SUMPRODUCT(
--(INT(Registros!A71:A5943)&gt;=C71),
--(INT(Registros!A71:A5943)&lt;=C72),
--ISNUMBER(SEARCH(A71,Registros!Q71:Q5943))
)</f>
        <v>0</v>
      </c>
    </row>
    <row r="72" spans="1:4" ht="12.5">
      <c r="A72" s="5" t="s">
        <v>23014</v>
      </c>
      <c r="B72" s="5">
        <f>COUNTIF(Registros!Q:Q,"*"&amp;TRIM(A72)&amp;"*")</f>
        <v>29</v>
      </c>
      <c r="D72" s="5">
        <f>SUMPRODUCT(
--(INT(Registros!A72:A5944)&gt;=C72),
--(INT(Registros!A72:A5944)&lt;=C73),
--ISNUMBER(SEARCH(A72,Registros!Q72:Q5944))
)</f>
        <v>0</v>
      </c>
    </row>
    <row r="73" spans="1:4" ht="12.5">
      <c r="A73" s="5" t="s">
        <v>23017</v>
      </c>
      <c r="B73" s="5">
        <f>COUNTIF(Registros!Q:Q,"*"&amp;TRIM(A73)&amp;"*")</f>
        <v>27</v>
      </c>
      <c r="D73" s="5">
        <f>SUMPRODUCT(
--(INT(Registros!A73:A5945)&gt;=C73),
--(INT(Registros!A73:A5945)&lt;=C74),
--ISNUMBER(SEARCH(A73,Registros!Q73:Q5945))
)</f>
        <v>0</v>
      </c>
    </row>
    <row r="74" spans="1:4" ht="12.5">
      <c r="A74" s="5" t="s">
        <v>14020</v>
      </c>
      <c r="B74" s="5">
        <f>COUNTIF(Registros!Q:Q,"*"&amp;TRIM(A74)&amp;"*")</f>
        <v>16</v>
      </c>
      <c r="D74" s="5">
        <f>SUMPRODUCT(
--(INT(Registros!A74:A5946)&gt;=C74),
--(INT(Registros!A74:A5946)&lt;=C75),
--ISNUMBER(SEARCH(A74,Registros!Q74:Q5946))
)</f>
        <v>0</v>
      </c>
    </row>
    <row r="75" spans="1:4" ht="12.5">
      <c r="A75" s="5" t="s">
        <v>23021</v>
      </c>
      <c r="B75" s="5">
        <f>COUNTIF(Registros!Q:Q,"*"&amp;TRIM(A75)&amp;"*")</f>
        <v>24</v>
      </c>
      <c r="D75" s="5">
        <f>SUMPRODUCT(
--(INT(Registros!A75:A5947)&gt;=C75),
--(INT(Registros!A75:A5947)&lt;=C76),
--ISNUMBER(SEARCH(A75,Registros!Q75:Q5947))
)</f>
        <v>0</v>
      </c>
    </row>
    <row r="76" spans="1:4" ht="12.5">
      <c r="A76" s="5" t="s">
        <v>23023</v>
      </c>
      <c r="B76" s="5">
        <f>COUNTIF(Registros!Q:Q,"*"&amp;TRIM(A76)&amp;"*")</f>
        <v>4</v>
      </c>
      <c r="D76" s="5">
        <f>SUMPRODUCT(
--(INT(Registros!A76:A5948)&gt;=C76),
--(INT(Registros!A76:A5948)&lt;=C77),
--ISNUMBER(SEARCH(A76,Registros!Q76:Q5948))
)</f>
        <v>0</v>
      </c>
    </row>
    <row r="77" spans="1:4" ht="12.5">
      <c r="A77" s="5" t="s">
        <v>23026</v>
      </c>
      <c r="B77" s="5">
        <f>COUNTIF(Registros!Q:Q,"*"&amp;TRIM(A77)&amp;"*")</f>
        <v>6</v>
      </c>
      <c r="D77" s="5">
        <f>SUMPRODUCT(
--(INT(Registros!A77:A5949)&gt;=C77),
--(INT(Registros!A77:A5949)&lt;=C78),
--ISNUMBER(SEARCH(A77,Registros!Q77:Q5949))
)</f>
        <v>0</v>
      </c>
    </row>
    <row r="78" spans="1:4" ht="12.5">
      <c r="A78" s="5" t="s">
        <v>23028</v>
      </c>
      <c r="B78" s="5">
        <f>COUNTIF(Registros!Q:Q,"*"&amp;TRIM(A78)&amp;"*")</f>
        <v>1</v>
      </c>
      <c r="D78" s="5">
        <f>SUMPRODUCT(
--(INT(Registros!A78:A5950)&gt;=C78),
--(INT(Registros!A78:A5950)&lt;=C79),
--ISNUMBER(SEARCH(A78,Registros!Q78:Q5950))
)</f>
        <v>0</v>
      </c>
    </row>
    <row r="79" spans="1:4" ht="12.5">
      <c r="A79" s="5" t="s">
        <v>23030</v>
      </c>
      <c r="B79" s="5">
        <f>COUNTIF(Registros!Q:Q,"*"&amp;TRIM(A79)&amp;"*")</f>
        <v>0</v>
      </c>
      <c r="D79" s="5">
        <f>SUMPRODUCT(
--(INT(Registros!A79:A5951)&gt;=C79),
--(INT(Registros!A79:A5951)&lt;=C80),
--ISNUMBER(SEARCH(A79,Registros!Q79:Q5951))
)</f>
        <v>0</v>
      </c>
    </row>
    <row r="80" spans="1:4" ht="12.5">
      <c r="A80" s="5" t="s">
        <v>23033</v>
      </c>
      <c r="B80" s="5">
        <f>COUNTIF(Registros!Q:Q,"*"&amp;TRIM(A80)&amp;"*")</f>
        <v>1</v>
      </c>
      <c r="D80" s="5">
        <f>SUMPRODUCT(
--(INT(Registros!A80:A5952)&gt;=C80),
--(INT(Registros!A80:A5952)&lt;=C81),
--ISNUMBER(SEARCH(A80,Registros!Q80:Q5952))
)</f>
        <v>0</v>
      </c>
    </row>
    <row r="81" spans="1:4" ht="12.5">
      <c r="A81" s="5" t="s">
        <v>23035</v>
      </c>
      <c r="B81" s="5">
        <f>COUNTIF(Registros!Q:Q,"*"&amp;TRIM(A81)&amp;"*")</f>
        <v>13</v>
      </c>
      <c r="D81" s="5">
        <f>SUMPRODUCT(
--(INT(Registros!A81:A5953)&gt;=C81),
--(INT(Registros!A81:A5953)&lt;=C82),
--ISNUMBER(SEARCH(A81,Registros!Q81:Q5953))
)</f>
        <v>0</v>
      </c>
    </row>
    <row r="82" spans="1:4" ht="12.5">
      <c r="A82" s="5" t="s">
        <v>23035</v>
      </c>
      <c r="B82" s="5">
        <f>COUNTIF(Registros!Q:Q,"*"&amp;TRIM(A82)&amp;"*")</f>
        <v>13</v>
      </c>
      <c r="D82" s="5">
        <f>SUMPRODUCT(
--(INT(Registros!A82:A5954)&gt;=C82),
--(INT(Registros!A82:A5954)&lt;=C83),
--ISNUMBER(SEARCH(A82,Registros!Q82:Q5954))
)</f>
        <v>0</v>
      </c>
    </row>
    <row r="83" spans="1:4" ht="12.5">
      <c r="A83" s="5" t="s">
        <v>23038</v>
      </c>
      <c r="B83" s="5">
        <f>COUNTIF(Registros!Q:Q,"*"&amp;TRIM(A83)&amp;"*")</f>
        <v>5</v>
      </c>
      <c r="D83" s="5">
        <f>SUMPRODUCT(
--(INT(Registros!A83:A5955)&gt;=C83),
--(INT(Registros!A83:A5955)&lt;=C84),
--ISNUMBER(SEARCH(A83,Registros!Q83:Q5955))
)</f>
        <v>0</v>
      </c>
    </row>
    <row r="84" spans="1:4" ht="12.5">
      <c r="A84" s="5" t="s">
        <v>25420</v>
      </c>
      <c r="B84" s="5">
        <f>COUNTIF(Registros!Q:Q,"*"&amp;TRIM(A84)&amp;"*")</f>
        <v>4</v>
      </c>
      <c r="D84" s="5">
        <f>SUMPRODUCT(
--(INT(Registros!A84:A5956)&gt;=C84),
--(INT(Registros!A84:A5956)&lt;=C85),
--ISNUMBER(SEARCH(A84,Registros!Q84:Q5956))
)</f>
        <v>0</v>
      </c>
    </row>
    <row r="85" spans="1:4" ht="12.5">
      <c r="A85" s="5" t="s">
        <v>23043</v>
      </c>
      <c r="B85" s="5">
        <f>COUNTIF(Registros!Q:Q,"*"&amp;TRIM(A85)&amp;"*")</f>
        <v>0</v>
      </c>
      <c r="D85" s="5">
        <f>SUMPRODUCT(
--(INT(Registros!A85:A5957)&gt;=C85),
--(INT(Registros!A85:A5957)&lt;=C86),
--ISNUMBER(SEARCH(A85,Registros!Q85:Q5957))
)</f>
        <v>0</v>
      </c>
    </row>
    <row r="86" spans="1:4" ht="12.5">
      <c r="A86" s="5" t="s">
        <v>23044</v>
      </c>
      <c r="B86" s="5">
        <f>COUNTIF(Registros!Q:Q,"*"&amp;TRIM(A86)&amp;"*")</f>
        <v>20</v>
      </c>
      <c r="D86" s="5">
        <f>SUMPRODUCT(
--(INT(Registros!A86:A5958)&gt;=C86),
--(INT(Registros!A86:A5958)&lt;=C87),
--ISNUMBER(SEARCH(A86,Registros!Q86:Q5958))
)</f>
        <v>0</v>
      </c>
    </row>
    <row r="87" spans="1:4" ht="12.5">
      <c r="A87" s="5" t="s">
        <v>23046</v>
      </c>
      <c r="B87" s="5">
        <f>COUNTIF(Registros!Q:Q,"*"&amp;TRIM(A87)&amp;"*")</f>
        <v>0</v>
      </c>
      <c r="D87" s="5">
        <f>SUMPRODUCT(
--(INT(Registros!A87:A5959)&gt;=C87),
--(INT(Registros!A87:A5959)&lt;=C88),
--ISNUMBER(SEARCH(A87,Registros!Q87:Q5959))
)</f>
        <v>0</v>
      </c>
    </row>
    <row r="88" spans="1:4" ht="12.5">
      <c r="A88" s="5" t="s">
        <v>23047</v>
      </c>
      <c r="B88" s="5">
        <f>COUNTIF(Registros!Q:Q,"*"&amp;TRIM(A88)&amp;"*")</f>
        <v>0</v>
      </c>
      <c r="D88" s="5">
        <f>SUMPRODUCT(
--(INT(Registros!A88:A5960)&gt;=C88),
--(INT(Registros!A88:A5960)&lt;=C89),
--ISNUMBER(SEARCH(A88,Registros!Q88:Q5960))
)</f>
        <v>0</v>
      </c>
    </row>
    <row r="89" spans="1:4" ht="12.5">
      <c r="A89" s="5" t="s">
        <v>23049</v>
      </c>
      <c r="B89" s="5">
        <f>COUNTIF(Registros!Q:Q,"*"&amp;TRIM(A89)&amp;"*")</f>
        <v>0</v>
      </c>
      <c r="D89" s="5">
        <f>SUMPRODUCT(
--(INT(Registros!A89:A5961)&gt;=C89),
--(INT(Registros!A89:A5961)&lt;=C90),
--ISNUMBER(SEARCH(A89,Registros!Q89:Q5961))
)</f>
        <v>0</v>
      </c>
    </row>
    <row r="90" spans="1:4" ht="12.5">
      <c r="A90" s="5" t="s">
        <v>23053</v>
      </c>
      <c r="B90" s="5">
        <f>COUNTIF(Registros!Q:Q,"*"&amp;TRIM(A90)&amp;"*")</f>
        <v>2</v>
      </c>
      <c r="D90" s="5">
        <f>SUMPRODUCT(
--(INT(Registros!A90:A5962)&gt;=C90),
--(INT(Registros!A90:A5962)&lt;=C91),
--ISNUMBER(SEARCH(A90,Registros!Q90:Q5962))
)</f>
        <v>0</v>
      </c>
    </row>
    <row r="91" spans="1:4" ht="12.5">
      <c r="A91" s="5" t="s">
        <v>23057</v>
      </c>
      <c r="B91" s="5">
        <f>COUNTIF(Registros!Q:Q,"*"&amp;TRIM(A91)&amp;"*")</f>
        <v>8</v>
      </c>
      <c r="D91" s="5">
        <f>SUMPRODUCT(
--(INT(Registros!A91:A5963)&gt;=C91),
--(INT(Registros!A91:A5963)&lt;=C92),
--ISNUMBER(SEARCH(A91,Registros!Q91:Q5963))
)</f>
        <v>0</v>
      </c>
    </row>
    <row r="92" spans="1:4" ht="12.5">
      <c r="A92" s="5" t="s">
        <v>23060</v>
      </c>
      <c r="B92" s="5">
        <f>COUNTIF(Registros!Q:Q,"*"&amp;TRIM(A92)&amp;"*")</f>
        <v>35</v>
      </c>
      <c r="D92" s="5">
        <f>SUMPRODUCT(
--(INT(Registros!A92:A5964)&gt;=C92),
--(INT(Registros!A92:A5964)&lt;=C93),
--ISNUMBER(SEARCH(A92,Registros!Q92:Q5964))
)</f>
        <v>0</v>
      </c>
    </row>
    <row r="93" spans="1:4" ht="12.5">
      <c r="A93" s="5" t="s">
        <v>23062</v>
      </c>
      <c r="B93" s="5">
        <f>COUNTIF(Registros!Q:Q,"*"&amp;TRIM(A93)&amp;"*")</f>
        <v>21</v>
      </c>
      <c r="D93" s="5">
        <f>SUMPRODUCT(
--(INT(Registros!A93:A5965)&gt;=C93),
--(INT(Registros!A93:A5965)&lt;=C94),
--ISNUMBER(SEARCH(A93,Registros!Q93:Q5965))
)</f>
        <v>0</v>
      </c>
    </row>
    <row r="94" spans="1:4" ht="12.5">
      <c r="A94" s="5" t="s">
        <v>23064</v>
      </c>
      <c r="B94" s="5">
        <f>COUNTIF(Registros!Q:Q,"*"&amp;TRIM(A94)&amp;"*")</f>
        <v>7</v>
      </c>
      <c r="D94" s="5">
        <f>SUMPRODUCT(
--(INT(Registros!A94:A5966)&gt;=C94),
--(INT(Registros!A94:A5966)&lt;=C95),
--ISNUMBER(SEARCH(A94,Registros!Q94:Q5966))
)</f>
        <v>0</v>
      </c>
    </row>
    <row r="95" spans="1:4" ht="12.5">
      <c r="A95" s="5" t="s">
        <v>23066</v>
      </c>
      <c r="B95" s="5">
        <f>COUNTIF(Registros!Q:Q,"*"&amp;TRIM(A95)&amp;"*")</f>
        <v>4</v>
      </c>
      <c r="D95" s="5">
        <f>SUMPRODUCT(
--(INT(Registros!A95:A5967)&gt;=C95),
--(INT(Registros!A95:A5967)&lt;=C96),
--ISNUMBER(SEARCH(A95,Registros!Q95:Q5967))
)</f>
        <v>0</v>
      </c>
    </row>
    <row r="96" spans="1:4" ht="12.5">
      <c r="A96" s="5" t="s">
        <v>23068</v>
      </c>
      <c r="B96" s="5">
        <f>COUNTIF(Registros!Q:Q,"*"&amp;TRIM(A96)&amp;"*")</f>
        <v>5</v>
      </c>
      <c r="D96" s="5">
        <f>SUMPRODUCT(
--(INT(Registros!A96:A5968)&gt;=C96),
--(INT(Registros!A96:A5968)&lt;=C97),
--ISNUMBER(SEARCH(A96,Registros!Q96:Q5968))
)</f>
        <v>0</v>
      </c>
    </row>
    <row r="97" spans="1:4" ht="12.5">
      <c r="A97" s="5" t="s">
        <v>23070</v>
      </c>
      <c r="B97" s="5">
        <f>COUNTIF(Registros!Q:Q,"*"&amp;TRIM(A97)&amp;"*")</f>
        <v>3</v>
      </c>
      <c r="D97" s="5">
        <f>SUMPRODUCT(
--(INT(Registros!A97:A5969)&gt;=C97),
--(INT(Registros!A97:A5969)&lt;=C98),
--ISNUMBER(SEARCH(A97,Registros!Q97:Q5969))
)</f>
        <v>0</v>
      </c>
    </row>
    <row r="98" spans="1:4" ht="12.5">
      <c r="A98" s="5" t="s">
        <v>23072</v>
      </c>
      <c r="B98" s="5">
        <f>COUNTIF(Registros!Q:Q,"*"&amp;TRIM(A98)&amp;"*")</f>
        <v>4</v>
      </c>
      <c r="D98" s="5">
        <f>SUMPRODUCT(
--(INT(Registros!A98:A5970)&gt;=C98),
--(INT(Registros!A98:A5970)&lt;=C99),
--ISNUMBER(SEARCH(A98,Registros!Q98:Q5970))
)</f>
        <v>0</v>
      </c>
    </row>
    <row r="99" spans="1:4" ht="12.5">
      <c r="A99" s="5" t="s">
        <v>23074</v>
      </c>
      <c r="B99" s="5">
        <f>COUNTIF(Registros!Q:Q,"*"&amp;TRIM(A99)&amp;"*")</f>
        <v>7</v>
      </c>
      <c r="D99" s="5">
        <f>SUMPRODUCT(
--(INT(Registros!A99:A5971)&gt;=C99),
--(INT(Registros!A99:A5971)&lt;=C100),
--ISNUMBER(SEARCH(A99,Registros!Q99:Q5971))
)</f>
        <v>0</v>
      </c>
    </row>
    <row r="100" spans="1:4" ht="12.5">
      <c r="A100" s="5" t="s">
        <v>23076</v>
      </c>
      <c r="B100" s="5">
        <f>COUNTIF(Registros!Q:Q,"*"&amp;TRIM(A100)&amp;"*")</f>
        <v>5</v>
      </c>
      <c r="D100" s="5">
        <f>SUMPRODUCT(
--(INT(Registros!A100:A5972)&gt;=C100),
--(INT(Registros!A100:A5972)&lt;=C101),
--ISNUMBER(SEARCH(A100,Registros!Q100:Q5972))
)</f>
        <v>0</v>
      </c>
    </row>
    <row r="101" spans="1:4" ht="12.5">
      <c r="A101" s="5" t="s">
        <v>23078</v>
      </c>
      <c r="B101" s="5">
        <f>COUNTIF(Registros!Q:Q,"*"&amp;TRIM(A101)&amp;"*")</f>
        <v>25</v>
      </c>
      <c r="D101" s="5">
        <f>SUMPRODUCT(
--(INT(Registros!A101:A5973)&gt;=C101),
--(INT(Registros!A101:A5973)&lt;=C102),
--ISNUMBER(SEARCH(A101,Registros!Q101:Q5973))
)</f>
        <v>0</v>
      </c>
    </row>
    <row r="102" spans="1:4" ht="12.5">
      <c r="A102" s="5" t="s">
        <v>23080</v>
      </c>
      <c r="B102" s="5">
        <f>COUNTIF(Registros!Q:Q,"*"&amp;TRIM(A102)&amp;"*")</f>
        <v>7</v>
      </c>
      <c r="D102" s="5">
        <f>SUMPRODUCT(
--(INT(Registros!A102:A5974)&gt;=C102),
--(INT(Registros!A102:A5974)&lt;=C103),
--ISNUMBER(SEARCH(A102,Registros!Q102:Q5974))
)</f>
        <v>0</v>
      </c>
    </row>
    <row r="103" spans="1:4" ht="12.5">
      <c r="A103" s="5" t="s">
        <v>23082</v>
      </c>
      <c r="B103" s="5">
        <f>COUNTIF(Registros!Q:Q,"*"&amp;TRIM(A103)&amp;"*")</f>
        <v>4</v>
      </c>
      <c r="D103" s="5">
        <f>SUMPRODUCT(
--(INT(Registros!A103:A5975)&gt;=C103),
--(INT(Registros!A103:A5975)&lt;=C104),
--ISNUMBER(SEARCH(A103,Registros!Q103:Q5975))
)</f>
        <v>0</v>
      </c>
    </row>
    <row r="104" spans="1:4" ht="12.5">
      <c r="A104" s="5" t="s">
        <v>23084</v>
      </c>
      <c r="B104" s="5">
        <f>COUNTIF(Registros!Q:Q,"*"&amp;TRIM(A104)&amp;"*")</f>
        <v>0</v>
      </c>
      <c r="D104" s="5">
        <f>SUMPRODUCT(
--(INT(Registros!A104:A5976)&gt;=C104),
--(INT(Registros!A104:A5976)&lt;=C105),
--ISNUMBER(SEARCH(A104,Registros!Q104:Q5976))
)</f>
        <v>0</v>
      </c>
    </row>
    <row r="105" spans="1:4" ht="12.5">
      <c r="A105" s="5" t="s">
        <v>23086</v>
      </c>
      <c r="B105" s="5">
        <f>COUNTIF(Registros!Q:Q,"*"&amp;TRIM(A105)&amp;"*")</f>
        <v>1</v>
      </c>
      <c r="D105" s="5">
        <f>SUMPRODUCT(
--(INT(Registros!A105:A5977)&gt;=C105),
--(INT(Registros!A105:A5977)&lt;=C106),
--ISNUMBER(SEARCH(A105,Registros!Q105:Q5977))
)</f>
        <v>0</v>
      </c>
    </row>
    <row r="106" spans="1:4" ht="12.5">
      <c r="D106" s="5">
        <f>SUMPRODUCT(
--(INT(Registros!A106:A5978)&gt;=C106),
--(INT(Registros!A106:A5978)&lt;=C107),
--ISNUMBER(SEARCH(A106,Registros!Q106:Q5978))
)</f>
        <v>0</v>
      </c>
    </row>
    <row r="107" spans="1:4" ht="12.5">
      <c r="D107" s="5">
        <f>SUMPRODUCT(
--(INT(Registros!A107:A5979)&gt;=C107),
--(INT(Registros!A107:A5979)&lt;=C108),
--ISNUMBER(SEARCH(A107,Registros!Q107:Q5979))
)</f>
        <v>0</v>
      </c>
    </row>
    <row r="108" spans="1:4" ht="12.5">
      <c r="D108" s="5">
        <f>SUMPRODUCT(
--(INT(Registros!A108:A5980)&gt;=C108),
--(INT(Registros!A108:A5980)&lt;=C109),
--ISNUMBER(SEARCH(A108,Registros!Q108:Q5980))
)</f>
        <v>0</v>
      </c>
    </row>
    <row r="109" spans="1:4" ht="12.5">
      <c r="D109" s="5">
        <f>SUMPRODUCT(
--(INT(Registros!A109:A5981)&gt;=C109),
--(INT(Registros!A109:A5981)&lt;=C110),
--ISNUMBER(SEARCH(A109,Registros!Q109:Q5981))
)</f>
        <v>0</v>
      </c>
    </row>
    <row r="110" spans="1:4" ht="12.5">
      <c r="D110" s="5">
        <f>SUMPRODUCT(
--(INT(Registros!A110:A5982)&gt;=C110),
--(INT(Registros!A110:A5982)&lt;=C111),
--ISNUMBER(SEARCH(A110,Registros!Q110:Q5982))
)</f>
        <v>0</v>
      </c>
    </row>
    <row r="111" spans="1:4" ht="12.5">
      <c r="D111" s="5">
        <f>SUMPRODUCT(
--(INT(Registros!A111:A5983)&gt;=C111),
--(INT(Registros!A111:A5983)&lt;=C112),
--ISNUMBER(SEARCH(A111,Registros!Q111:Q5983))
)</f>
        <v>0</v>
      </c>
    </row>
    <row r="112" spans="1:4" ht="12.5">
      <c r="D112" s="5">
        <f>SUMPRODUCT(
--(INT(Registros!A112:A5984)&gt;=C112),
--(INT(Registros!A112:A5984)&lt;=C113),
--ISNUMBER(SEARCH(A112,Registros!Q112:Q5984))
)</f>
        <v>0</v>
      </c>
    </row>
  </sheetData>
  <customSheetViews>
    <customSheetView guid="{E9E50F45-FDD9-48EB-AEB1-12647E46A6AC}" filter="1" showAutoFilter="1">
      <pageMargins left="0.7" right="0.7" top="0.75" bottom="0.75" header="0.3" footer="0.3"/>
      <autoFilter ref="A1:B105" xr:uid="{A895B4F6-3838-43C6-BE1D-C0BFDFE76945}"/>
    </customSheetView>
  </customSheetView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outlinePr summaryBelow="0" summaryRight="0"/>
  </sheetPr>
  <dimension ref="A1:W1000"/>
  <sheetViews>
    <sheetView workbookViewId="0"/>
  </sheetViews>
  <sheetFormatPr baseColWidth="10" defaultColWidth="12.6328125" defaultRowHeight="15.75" customHeight="1"/>
  <cols>
    <col min="5" max="5" width="32.08984375" customWidth="1"/>
  </cols>
  <sheetData>
    <row r="1" spans="1:23" ht="13">
      <c r="A1" s="1" t="s">
        <v>14555</v>
      </c>
      <c r="B1" s="1" t="s">
        <v>14556</v>
      </c>
      <c r="C1" s="1" t="s">
        <v>7</v>
      </c>
      <c r="D1" s="1" t="s">
        <v>14557</v>
      </c>
      <c r="E1" s="1" t="s">
        <v>14558</v>
      </c>
      <c r="F1" s="24" t="s">
        <v>10</v>
      </c>
      <c r="G1" s="1" t="s">
        <v>9</v>
      </c>
      <c r="H1" s="1" t="s">
        <v>14559</v>
      </c>
      <c r="I1" s="1" t="s">
        <v>14560</v>
      </c>
      <c r="J1" s="1" t="s">
        <v>13</v>
      </c>
      <c r="K1" s="1" t="s">
        <v>14</v>
      </c>
      <c r="L1" s="1" t="s">
        <v>14561</v>
      </c>
      <c r="M1" s="1" t="s">
        <v>14562</v>
      </c>
      <c r="N1" s="1" t="s">
        <v>0</v>
      </c>
      <c r="O1" s="1" t="s">
        <v>14563</v>
      </c>
      <c r="P1" s="1" t="s">
        <v>14564</v>
      </c>
      <c r="Q1" s="1" t="s">
        <v>14565</v>
      </c>
      <c r="R1" s="1" t="s">
        <v>14566</v>
      </c>
      <c r="S1" s="1" t="s">
        <v>14567</v>
      </c>
      <c r="T1" s="3" t="s">
        <v>33</v>
      </c>
      <c r="U1" s="1" t="s">
        <v>14568</v>
      </c>
      <c r="V1" s="3" t="s">
        <v>23</v>
      </c>
      <c r="W1" s="3" t="s">
        <v>27</v>
      </c>
    </row>
    <row r="2" spans="1:23" ht="12.5" hidden="1">
      <c r="A2" s="5">
        <v>90491</v>
      </c>
      <c r="B2" s="5" t="s">
        <v>15455</v>
      </c>
      <c r="C2" s="5">
        <v>573184088611</v>
      </c>
      <c r="D2" s="5">
        <v>45</v>
      </c>
      <c r="E2" s="5" t="s">
        <v>210</v>
      </c>
      <c r="F2" s="5" t="s">
        <v>3781</v>
      </c>
      <c r="G2" s="5" t="s">
        <v>3780</v>
      </c>
      <c r="H2" s="5" t="s">
        <v>3782</v>
      </c>
      <c r="I2" s="5">
        <v>3184088611</v>
      </c>
      <c r="J2" s="12">
        <v>46012</v>
      </c>
      <c r="K2" s="11">
        <v>0</v>
      </c>
      <c r="M2" s="10" t="s">
        <v>15456</v>
      </c>
      <c r="N2" s="12">
        <v>46010.894936099532</v>
      </c>
      <c r="O2" s="10" t="s">
        <v>15388</v>
      </c>
      <c r="P2" s="5" t="s">
        <v>14571</v>
      </c>
      <c r="Q2" s="5" t="s">
        <v>14612</v>
      </c>
      <c r="R2" s="5" t="s">
        <v>15457</v>
      </c>
      <c r="T2" s="5" t="s">
        <v>5994</v>
      </c>
      <c r="U2" s="5" t="s">
        <v>14593</v>
      </c>
      <c r="V2" s="5" t="s">
        <v>83</v>
      </c>
    </row>
    <row r="3" spans="1:23" ht="14.25" customHeight="1">
      <c r="A3" s="5">
        <v>90503</v>
      </c>
      <c r="B3" s="5" t="s">
        <v>15444</v>
      </c>
      <c r="C3" s="5">
        <v>573106100361</v>
      </c>
      <c r="D3" s="5">
        <v>67</v>
      </c>
      <c r="E3" s="5" t="s">
        <v>542</v>
      </c>
      <c r="F3" s="5" t="s">
        <v>307</v>
      </c>
      <c r="G3" s="5" t="s">
        <v>3826</v>
      </c>
      <c r="H3" s="5" t="s">
        <v>3827</v>
      </c>
      <c r="I3" s="5">
        <v>3215827396</v>
      </c>
      <c r="J3" s="12">
        <v>46012</v>
      </c>
      <c r="K3" s="11">
        <v>0</v>
      </c>
      <c r="M3" s="10" t="s">
        <v>14646</v>
      </c>
      <c r="N3" s="12">
        <v>46011.634635115741</v>
      </c>
      <c r="O3" s="10" t="s">
        <v>15445</v>
      </c>
      <c r="P3" s="5" t="s">
        <v>14571</v>
      </c>
      <c r="Q3" s="5" t="s">
        <v>14612</v>
      </c>
      <c r="R3" s="5" t="s">
        <v>15446</v>
      </c>
      <c r="T3" s="5" t="s">
        <v>5994</v>
      </c>
      <c r="U3" s="5" t="s">
        <v>14618</v>
      </c>
      <c r="V3" s="5" t="s">
        <v>83</v>
      </c>
      <c r="W3" s="5" t="s">
        <v>3829</v>
      </c>
    </row>
    <row r="4" spans="1:23" ht="14.25" customHeight="1">
      <c r="A4" s="5">
        <v>90504</v>
      </c>
      <c r="B4" s="5" t="s">
        <v>15441</v>
      </c>
      <c r="C4" s="5">
        <v>573015426969</v>
      </c>
      <c r="D4" s="5">
        <v>41</v>
      </c>
      <c r="E4" s="5" t="s">
        <v>89</v>
      </c>
      <c r="F4" s="5" t="s">
        <v>1352</v>
      </c>
      <c r="G4" s="5" t="s">
        <v>3831</v>
      </c>
      <c r="H4" s="5" t="s">
        <v>3832</v>
      </c>
      <c r="I4" s="5">
        <v>3015426969</v>
      </c>
      <c r="J4" s="12">
        <v>46012</v>
      </c>
      <c r="K4" s="11">
        <v>0</v>
      </c>
      <c r="M4" s="10" t="s">
        <v>15384</v>
      </c>
      <c r="N4" s="12">
        <v>46011.636621504629</v>
      </c>
      <c r="O4" s="10" t="s">
        <v>15442</v>
      </c>
      <c r="P4" s="5" t="s">
        <v>14571</v>
      </c>
      <c r="Q4" s="5" t="s">
        <v>14612</v>
      </c>
      <c r="R4" s="5" t="s">
        <v>15443</v>
      </c>
      <c r="T4" s="5" t="s">
        <v>5994</v>
      </c>
      <c r="U4" s="5"/>
      <c r="V4" s="5" t="s">
        <v>83</v>
      </c>
    </row>
    <row r="5" spans="1:23" ht="14.25" customHeight="1">
      <c r="A5" s="5">
        <v>90505</v>
      </c>
      <c r="B5" s="5" t="s">
        <v>15438</v>
      </c>
      <c r="C5" s="5">
        <v>13057915561</v>
      </c>
      <c r="D5" s="5">
        <v>51</v>
      </c>
      <c r="E5" s="5" t="s">
        <v>384</v>
      </c>
      <c r="F5" s="5" t="s">
        <v>103</v>
      </c>
      <c r="G5" s="5" t="s">
        <v>3835</v>
      </c>
      <c r="H5" s="5" t="s">
        <v>3836</v>
      </c>
      <c r="I5" s="5">
        <v>3002824377</v>
      </c>
      <c r="J5" s="12">
        <v>46012</v>
      </c>
      <c r="K5" s="11">
        <v>0</v>
      </c>
      <c r="M5" s="10" t="s">
        <v>15040</v>
      </c>
      <c r="N5" s="12">
        <v>46011.665782164353</v>
      </c>
      <c r="O5" s="10" t="s">
        <v>15439</v>
      </c>
      <c r="P5" s="5" t="s">
        <v>14571</v>
      </c>
      <c r="Q5" s="5" t="s">
        <v>14612</v>
      </c>
      <c r="R5" s="5" t="s">
        <v>15440</v>
      </c>
      <c r="T5" s="5" t="s">
        <v>5994</v>
      </c>
      <c r="U5" s="5" t="s">
        <v>14593</v>
      </c>
      <c r="V5" s="5" t="s">
        <v>83</v>
      </c>
    </row>
    <row r="6" spans="1:23" ht="12.5" hidden="1">
      <c r="A6" s="5">
        <v>90332</v>
      </c>
      <c r="B6" s="5" t="s">
        <v>3102</v>
      </c>
      <c r="C6" s="5">
        <v>573008160858</v>
      </c>
      <c r="D6" s="5">
        <v>95</v>
      </c>
      <c r="E6" s="5" t="s">
        <v>42</v>
      </c>
      <c r="F6" s="5" t="s">
        <v>33</v>
      </c>
      <c r="G6" s="5" t="s">
        <v>3102</v>
      </c>
      <c r="H6" s="5" t="s">
        <v>34</v>
      </c>
      <c r="I6" s="5">
        <v>3008160858</v>
      </c>
      <c r="J6" s="12">
        <v>46013</v>
      </c>
      <c r="K6" s="11">
        <v>0.45833333333212067</v>
      </c>
      <c r="M6" s="10" t="s">
        <v>15480</v>
      </c>
      <c r="N6" s="12">
        <v>46007.476450659728</v>
      </c>
      <c r="O6" s="10" t="s">
        <v>15481</v>
      </c>
      <c r="P6" s="5" t="s">
        <v>14571</v>
      </c>
      <c r="Q6" s="5" t="s">
        <v>14612</v>
      </c>
      <c r="R6" s="5" t="s">
        <v>15482</v>
      </c>
      <c r="T6" s="5" t="s">
        <v>14574</v>
      </c>
      <c r="U6" s="5" t="s">
        <v>33</v>
      </c>
      <c r="V6" s="5" t="s">
        <v>1705</v>
      </c>
      <c r="W6" s="5" t="s">
        <v>3104</v>
      </c>
    </row>
    <row r="7" spans="1:23" ht="12.5" hidden="1">
      <c r="A7" s="5">
        <v>90414</v>
      </c>
      <c r="B7" s="5" t="s">
        <v>15468</v>
      </c>
      <c r="C7" s="5">
        <v>573185357533</v>
      </c>
      <c r="D7" s="5">
        <v>71</v>
      </c>
      <c r="E7" s="5" t="s">
        <v>734</v>
      </c>
      <c r="F7" s="5" t="s">
        <v>73</v>
      </c>
      <c r="G7" s="5" t="s">
        <v>3453</v>
      </c>
      <c r="H7" s="5" t="s">
        <v>3454</v>
      </c>
      <c r="I7" s="5">
        <v>3157221930</v>
      </c>
      <c r="J7" s="12">
        <v>46013</v>
      </c>
      <c r="K7" s="11">
        <v>0.33888888888759539</v>
      </c>
      <c r="M7" s="10" t="s">
        <v>14705</v>
      </c>
      <c r="N7" s="12">
        <v>46009.510338865744</v>
      </c>
      <c r="O7" s="10" t="s">
        <v>15137</v>
      </c>
      <c r="P7" s="5" t="s">
        <v>14571</v>
      </c>
      <c r="Q7" s="5" t="s">
        <v>14612</v>
      </c>
      <c r="R7" s="5" t="s">
        <v>15469</v>
      </c>
      <c r="T7" s="5" t="s">
        <v>5994</v>
      </c>
      <c r="U7" s="5" t="s">
        <v>14593</v>
      </c>
      <c r="V7" s="5" t="s">
        <v>180</v>
      </c>
    </row>
    <row r="8" spans="1:23" ht="12.5" hidden="1">
      <c r="A8" s="5">
        <v>90473</v>
      </c>
      <c r="B8" s="5" t="s">
        <v>15458</v>
      </c>
      <c r="C8" s="5">
        <v>573133333730</v>
      </c>
      <c r="D8" s="5">
        <v>95</v>
      </c>
      <c r="E8" s="5" t="s">
        <v>42</v>
      </c>
      <c r="F8" s="5" t="s">
        <v>73</v>
      </c>
      <c r="G8" s="5" t="s">
        <v>3698</v>
      </c>
      <c r="H8" s="5" t="s">
        <v>3699</v>
      </c>
      <c r="I8" s="5">
        <v>3133333730</v>
      </c>
      <c r="J8" s="12">
        <v>46013</v>
      </c>
      <c r="K8" s="11">
        <v>0</v>
      </c>
      <c r="M8" s="10" t="s">
        <v>15140</v>
      </c>
      <c r="N8" s="12">
        <v>46010.698163148147</v>
      </c>
      <c r="O8" s="10" t="s">
        <v>15223</v>
      </c>
      <c r="P8" s="5" t="s">
        <v>14571</v>
      </c>
      <c r="Q8" s="5" t="s">
        <v>14612</v>
      </c>
      <c r="R8" s="5" t="s">
        <v>15459</v>
      </c>
      <c r="T8" s="5" t="s">
        <v>5994</v>
      </c>
      <c r="U8" s="5" t="s">
        <v>14593</v>
      </c>
      <c r="V8" s="5" t="s">
        <v>2636</v>
      </c>
      <c r="W8" s="5" t="s">
        <v>3701</v>
      </c>
    </row>
    <row r="9" spans="1:23" ht="12.5">
      <c r="A9" s="5">
        <v>90501</v>
      </c>
      <c r="B9" s="5" t="s">
        <v>15447</v>
      </c>
      <c r="C9" s="5">
        <v>57205211102</v>
      </c>
      <c r="D9" s="5">
        <v>2</v>
      </c>
      <c r="E9" s="5" t="s">
        <v>1251</v>
      </c>
      <c r="F9" s="5" t="s">
        <v>63</v>
      </c>
      <c r="G9" s="5" t="s">
        <v>3815</v>
      </c>
      <c r="H9" s="5" t="s">
        <v>3816</v>
      </c>
      <c r="J9" s="12">
        <v>46013</v>
      </c>
      <c r="K9" s="11">
        <v>0</v>
      </c>
      <c r="M9" s="10" t="s">
        <v>15448</v>
      </c>
      <c r="N9" s="12">
        <v>46011.652581782408</v>
      </c>
      <c r="O9" s="10" t="s">
        <v>15449</v>
      </c>
      <c r="P9" s="5" t="s">
        <v>14571</v>
      </c>
      <c r="Q9" s="5" t="s">
        <v>14612</v>
      </c>
      <c r="R9" s="5" t="s">
        <v>15450</v>
      </c>
      <c r="T9" s="5" t="s">
        <v>5994</v>
      </c>
      <c r="U9" s="5" t="s">
        <v>14598</v>
      </c>
      <c r="V9" s="5" t="s">
        <v>1937</v>
      </c>
    </row>
    <row r="10" spans="1:23" ht="12.5" hidden="1">
      <c r="A10" s="5">
        <v>90524</v>
      </c>
      <c r="B10" s="5" t="s">
        <v>15427</v>
      </c>
      <c r="C10" s="5">
        <v>573013634381</v>
      </c>
      <c r="D10" s="5">
        <v>78</v>
      </c>
      <c r="E10" s="5" t="s">
        <v>3892</v>
      </c>
      <c r="F10" s="5" t="s">
        <v>124</v>
      </c>
      <c r="G10" s="5" t="s">
        <v>3890</v>
      </c>
      <c r="H10" s="5" t="s">
        <v>3891</v>
      </c>
      <c r="J10" s="12">
        <v>46013</v>
      </c>
      <c r="K10" s="11">
        <v>0.41666666666787933</v>
      </c>
      <c r="M10" s="10" t="s">
        <v>15304</v>
      </c>
      <c r="N10" s="12">
        <v>46013.350227453702</v>
      </c>
      <c r="O10" s="10" t="s">
        <v>15428</v>
      </c>
      <c r="P10" s="5" t="s">
        <v>14571</v>
      </c>
      <c r="Q10" s="5" t="s">
        <v>14578</v>
      </c>
      <c r="R10" s="5" t="s">
        <v>15429</v>
      </c>
      <c r="T10" s="5" t="s">
        <v>5994</v>
      </c>
      <c r="U10" s="5" t="s">
        <v>14775</v>
      </c>
      <c r="V10" s="5" t="s">
        <v>83</v>
      </c>
    </row>
    <row r="11" spans="1:23" ht="12.5">
      <c r="A11" s="5">
        <v>90525</v>
      </c>
      <c r="B11" s="5" t="s">
        <v>15423</v>
      </c>
      <c r="C11" s="5">
        <v>573167483308</v>
      </c>
      <c r="D11" s="5">
        <v>6</v>
      </c>
      <c r="E11" s="5" t="s">
        <v>1049</v>
      </c>
      <c r="F11" s="5" t="s">
        <v>1124</v>
      </c>
      <c r="G11" s="5" t="s">
        <v>3895</v>
      </c>
      <c r="H11" s="5" t="s">
        <v>3896</v>
      </c>
      <c r="I11" s="5">
        <v>3053816242</v>
      </c>
      <c r="J11" s="12">
        <v>46013</v>
      </c>
      <c r="K11" s="11">
        <v>0.45833333333212067</v>
      </c>
      <c r="M11" s="10" t="s">
        <v>15415</v>
      </c>
      <c r="N11" s="12">
        <v>46011.910926840283</v>
      </c>
      <c r="O11" s="10" t="s">
        <v>15184</v>
      </c>
      <c r="P11" s="5" t="s">
        <v>14571</v>
      </c>
      <c r="Q11" s="5" t="s">
        <v>14572</v>
      </c>
      <c r="R11" s="5" t="s">
        <v>15426</v>
      </c>
      <c r="T11" s="5" t="s">
        <v>5994</v>
      </c>
      <c r="U11" s="5" t="s">
        <v>14691</v>
      </c>
      <c r="V11" s="5" t="s">
        <v>1937</v>
      </c>
    </row>
    <row r="12" spans="1:23" ht="12.5" hidden="1">
      <c r="A12" s="5">
        <v>90527</v>
      </c>
      <c r="B12" s="5" t="s">
        <v>15419</v>
      </c>
      <c r="C12" s="5">
        <v>573006913351</v>
      </c>
      <c r="D12" s="5" t="s">
        <v>14589</v>
      </c>
      <c r="E12" s="5" t="s">
        <v>3902</v>
      </c>
      <c r="F12" s="5" t="s">
        <v>103</v>
      </c>
      <c r="G12" s="5" t="s">
        <v>3900</v>
      </c>
      <c r="H12" s="5" t="s">
        <v>3901</v>
      </c>
      <c r="I12" s="5">
        <v>3006913351</v>
      </c>
      <c r="J12" s="12">
        <v>46013</v>
      </c>
      <c r="K12" s="11">
        <v>0.45833333333212067</v>
      </c>
      <c r="M12" s="10" t="s">
        <v>15420</v>
      </c>
      <c r="N12" s="12">
        <v>46013.377627974536</v>
      </c>
      <c r="O12" s="10" t="s">
        <v>15421</v>
      </c>
      <c r="P12" s="5" t="s">
        <v>14571</v>
      </c>
      <c r="Q12" s="5" t="s">
        <v>14612</v>
      </c>
      <c r="R12" s="5" t="s">
        <v>15422</v>
      </c>
      <c r="T12" s="5" t="s">
        <v>5994</v>
      </c>
      <c r="U12" s="5" t="s">
        <v>14593</v>
      </c>
      <c r="V12" s="5" t="s">
        <v>83</v>
      </c>
      <c r="W12" s="5" t="s">
        <v>3904</v>
      </c>
    </row>
    <row r="13" spans="1:23" ht="12.5" hidden="1">
      <c r="A13" s="5">
        <v>90528</v>
      </c>
      <c r="B13" s="5" t="s">
        <v>3905</v>
      </c>
      <c r="C13" s="5">
        <v>573137655922</v>
      </c>
      <c r="D13" s="5">
        <v>52</v>
      </c>
      <c r="E13" s="5" t="s">
        <v>178</v>
      </c>
      <c r="F13" s="5" t="s">
        <v>33</v>
      </c>
      <c r="G13" s="5" t="s">
        <v>3905</v>
      </c>
      <c r="H13" s="5" t="s">
        <v>34</v>
      </c>
      <c r="I13" s="5">
        <v>3137655922</v>
      </c>
      <c r="J13" s="12">
        <v>46013</v>
      </c>
      <c r="K13" s="11">
        <v>0.41666666666787933</v>
      </c>
      <c r="M13" s="10" t="s">
        <v>14705</v>
      </c>
      <c r="N13" s="12">
        <v>46013.377960891201</v>
      </c>
      <c r="O13" s="10" t="s">
        <v>15319</v>
      </c>
      <c r="P13" s="5" t="s">
        <v>14571</v>
      </c>
      <c r="Q13" s="5" t="s">
        <v>14578</v>
      </c>
      <c r="R13" s="5" t="s">
        <v>15418</v>
      </c>
      <c r="T13" s="5" t="s">
        <v>14574</v>
      </c>
      <c r="U13" s="5" t="s">
        <v>33</v>
      </c>
      <c r="V13" s="5" t="s">
        <v>1937</v>
      </c>
      <c r="W13" s="5" t="s">
        <v>3907</v>
      </c>
    </row>
    <row r="14" spans="1:23" ht="12.5" hidden="1">
      <c r="A14" s="5">
        <v>90529</v>
      </c>
      <c r="B14" s="5" t="s">
        <v>3910</v>
      </c>
      <c r="C14" s="5">
        <v>573176438506</v>
      </c>
      <c r="D14" s="5">
        <v>29</v>
      </c>
      <c r="E14" s="5" t="s">
        <v>3911</v>
      </c>
      <c r="F14" s="5" t="s">
        <v>33</v>
      </c>
      <c r="G14" s="5" t="s">
        <v>3910</v>
      </c>
      <c r="H14" s="5" t="s">
        <v>34</v>
      </c>
      <c r="I14" s="5">
        <v>3176438506</v>
      </c>
      <c r="J14" s="12">
        <v>46013</v>
      </c>
      <c r="K14" s="11">
        <v>0</v>
      </c>
      <c r="M14" s="10" t="s">
        <v>15415</v>
      </c>
      <c r="N14" s="12">
        <v>46013.397441851848</v>
      </c>
      <c r="O14" s="10" t="s">
        <v>15416</v>
      </c>
      <c r="P14" s="5" t="s">
        <v>14571</v>
      </c>
      <c r="Q14" s="5" t="s">
        <v>14572</v>
      </c>
      <c r="R14" s="5" t="s">
        <v>15417</v>
      </c>
      <c r="T14" s="5" t="s">
        <v>14574</v>
      </c>
      <c r="U14" s="5" t="s">
        <v>33</v>
      </c>
      <c r="V14" s="5" t="s">
        <v>43</v>
      </c>
    </row>
    <row r="15" spans="1:23" ht="12.5" hidden="1">
      <c r="A15" s="5">
        <v>90530</v>
      </c>
      <c r="B15" s="5" t="s">
        <v>15061</v>
      </c>
      <c r="C15" s="5">
        <v>573242219654</v>
      </c>
      <c r="D15" s="5">
        <v>31</v>
      </c>
      <c r="E15" s="5" t="s">
        <v>375</v>
      </c>
      <c r="F15" s="5" t="s">
        <v>1272</v>
      </c>
      <c r="G15" s="5" t="s">
        <v>3913</v>
      </c>
      <c r="H15" s="5" t="s">
        <v>3914</v>
      </c>
      <c r="I15" s="5">
        <v>3242219654</v>
      </c>
      <c r="J15" s="12">
        <v>46013</v>
      </c>
      <c r="K15" s="11">
        <v>0.46458333333430346</v>
      </c>
      <c r="M15" s="10" t="s">
        <v>14881</v>
      </c>
      <c r="N15" s="12">
        <v>46013.427354988424</v>
      </c>
      <c r="O15" s="10" t="s">
        <v>15162</v>
      </c>
      <c r="P15" s="5" t="s">
        <v>14571</v>
      </c>
      <c r="Q15" s="5" t="s">
        <v>14572</v>
      </c>
      <c r="R15" s="5" t="s">
        <v>15414</v>
      </c>
      <c r="T15" s="5" t="s">
        <v>5994</v>
      </c>
      <c r="U15" s="5" t="s">
        <v>14593</v>
      </c>
      <c r="V15" s="5" t="s">
        <v>83</v>
      </c>
    </row>
    <row r="16" spans="1:23" ht="12.5" hidden="1">
      <c r="A16" s="5">
        <v>90531</v>
      </c>
      <c r="B16" s="5" t="s">
        <v>1764</v>
      </c>
      <c r="C16" s="5">
        <v>573102506452</v>
      </c>
      <c r="D16" s="5">
        <v>59</v>
      </c>
      <c r="E16" s="5" t="s">
        <v>148</v>
      </c>
      <c r="F16" s="5" t="s">
        <v>1352</v>
      </c>
      <c r="G16" s="5" t="s">
        <v>3918</v>
      </c>
      <c r="H16" s="5" t="s">
        <v>3919</v>
      </c>
      <c r="I16" s="5">
        <v>3102506452</v>
      </c>
      <c r="J16" s="12">
        <v>46013</v>
      </c>
      <c r="K16" s="11">
        <v>0.45833333333212067</v>
      </c>
      <c r="M16" s="10" t="s">
        <v>14777</v>
      </c>
      <c r="N16" s="12">
        <v>46013.43164166667</v>
      </c>
      <c r="O16" s="10" t="s">
        <v>15412</v>
      </c>
      <c r="P16" s="5" t="s">
        <v>14571</v>
      </c>
      <c r="Q16" s="5" t="s">
        <v>14578</v>
      </c>
      <c r="R16" s="5" t="s">
        <v>15413</v>
      </c>
      <c r="T16" s="5" t="s">
        <v>5994</v>
      </c>
      <c r="U16" s="5"/>
      <c r="V16" s="5" t="s">
        <v>83</v>
      </c>
    </row>
    <row r="17" spans="1:23" ht="12.5" hidden="1">
      <c r="A17" s="5">
        <v>90532</v>
      </c>
      <c r="B17" s="5" t="s">
        <v>3923</v>
      </c>
      <c r="C17" s="5">
        <v>576643683298</v>
      </c>
      <c r="D17" s="5">
        <v>16</v>
      </c>
      <c r="E17" s="5" t="s">
        <v>2556</v>
      </c>
      <c r="F17" s="5" t="s">
        <v>265</v>
      </c>
      <c r="G17" s="5" t="s">
        <v>3923</v>
      </c>
      <c r="H17" s="5" t="s">
        <v>3924</v>
      </c>
      <c r="I17" s="5"/>
      <c r="J17" s="12">
        <v>46013</v>
      </c>
      <c r="K17" s="11">
        <v>0.625</v>
      </c>
      <c r="M17" s="10" t="s">
        <v>15409</v>
      </c>
      <c r="N17" s="12">
        <v>46013.455625277777</v>
      </c>
      <c r="O17" s="10" t="s">
        <v>15410</v>
      </c>
      <c r="P17" s="5" t="s">
        <v>14571</v>
      </c>
      <c r="Q17" s="5" t="s">
        <v>14578</v>
      </c>
      <c r="R17" s="5" t="s">
        <v>15411</v>
      </c>
      <c r="T17" s="5" t="s">
        <v>5994</v>
      </c>
      <c r="U17" s="5" t="s">
        <v>14691</v>
      </c>
      <c r="V17" s="5" t="s">
        <v>1937</v>
      </c>
    </row>
    <row r="18" spans="1:23" ht="12.5" hidden="1">
      <c r="A18" s="5">
        <v>90534</v>
      </c>
      <c r="B18" s="5" t="s">
        <v>3929</v>
      </c>
      <c r="C18" s="5">
        <v>17734490049</v>
      </c>
      <c r="D18" s="5" t="s">
        <v>15256</v>
      </c>
      <c r="E18" s="5" t="s">
        <v>3930</v>
      </c>
      <c r="F18" s="5" t="s">
        <v>33</v>
      </c>
      <c r="G18" s="5" t="s">
        <v>3929</v>
      </c>
      <c r="H18" s="5" t="s">
        <v>34</v>
      </c>
      <c r="I18" s="5">
        <v>7734490049</v>
      </c>
      <c r="J18" s="12">
        <v>46013</v>
      </c>
      <c r="K18" s="11">
        <v>0</v>
      </c>
      <c r="M18" s="10" t="s">
        <v>15232</v>
      </c>
      <c r="N18" s="12">
        <v>46013.490174062499</v>
      </c>
      <c r="O18" s="10" t="s">
        <v>14749</v>
      </c>
      <c r="P18" s="5" t="s">
        <v>14571</v>
      </c>
      <c r="Q18" s="5" t="s">
        <v>14572</v>
      </c>
      <c r="R18" s="5"/>
      <c r="T18" s="5" t="s">
        <v>14574</v>
      </c>
      <c r="U18" s="5" t="s">
        <v>33</v>
      </c>
      <c r="V18" s="5" t="s">
        <v>2636</v>
      </c>
    </row>
    <row r="19" spans="1:23" ht="12.5" hidden="1">
      <c r="A19" s="5">
        <v>90535</v>
      </c>
      <c r="B19" s="5" t="s">
        <v>15403</v>
      </c>
      <c r="C19" s="5">
        <v>573508629989</v>
      </c>
      <c r="D19" s="5">
        <v>70</v>
      </c>
      <c r="E19" s="5" t="s">
        <v>559</v>
      </c>
      <c r="F19" s="5" t="s">
        <v>33</v>
      </c>
      <c r="G19" s="5" t="s">
        <v>3933</v>
      </c>
      <c r="H19" s="5" t="s">
        <v>34</v>
      </c>
      <c r="J19" s="12">
        <v>46013</v>
      </c>
      <c r="K19" s="11">
        <v>0.58333333333212067</v>
      </c>
      <c r="M19" s="10" t="s">
        <v>14627</v>
      </c>
      <c r="N19" s="12">
        <v>46013.462002465283</v>
      </c>
      <c r="O19" s="10" t="s">
        <v>15404</v>
      </c>
      <c r="P19" s="5" t="s">
        <v>14571</v>
      </c>
      <c r="Q19" s="5" t="s">
        <v>14572</v>
      </c>
      <c r="R19" s="5" t="s">
        <v>15405</v>
      </c>
      <c r="T19" s="5" t="s">
        <v>14574</v>
      </c>
      <c r="U19" s="5" t="s">
        <v>33</v>
      </c>
      <c r="V19" s="5" t="s">
        <v>1937</v>
      </c>
    </row>
    <row r="20" spans="1:23" ht="12.5" hidden="1">
      <c r="A20" s="5">
        <v>90536</v>
      </c>
      <c r="B20" s="5" t="s">
        <v>3937</v>
      </c>
      <c r="C20" s="5">
        <v>573157333955</v>
      </c>
      <c r="D20" s="5">
        <v>45</v>
      </c>
      <c r="E20" s="5" t="s">
        <v>210</v>
      </c>
      <c r="F20" s="5" t="s">
        <v>33</v>
      </c>
      <c r="G20" s="5" t="s">
        <v>3937</v>
      </c>
      <c r="H20" s="5" t="s">
        <v>34</v>
      </c>
      <c r="I20" s="5">
        <v>3157333955</v>
      </c>
      <c r="J20" s="12">
        <v>46013</v>
      </c>
      <c r="K20" s="11">
        <v>0.5631944444430701</v>
      </c>
      <c r="M20" s="10" t="s">
        <v>14646</v>
      </c>
      <c r="N20" s="12">
        <v>46013.466599479165</v>
      </c>
      <c r="O20" s="10" t="s">
        <v>15401</v>
      </c>
      <c r="P20" s="5" t="s">
        <v>14571</v>
      </c>
      <c r="Q20" s="5" t="s">
        <v>14572</v>
      </c>
      <c r="R20" s="5" t="s">
        <v>15402</v>
      </c>
      <c r="T20" s="5" t="s">
        <v>14574</v>
      </c>
      <c r="U20" s="5" t="s">
        <v>33</v>
      </c>
      <c r="V20" s="5" t="s">
        <v>83</v>
      </c>
    </row>
    <row r="21" spans="1:23" ht="12.5" hidden="1">
      <c r="A21" s="5">
        <v>90537</v>
      </c>
      <c r="B21" s="5" t="s">
        <v>15398</v>
      </c>
      <c r="C21" s="5">
        <v>573015669546</v>
      </c>
      <c r="D21" s="5" t="s">
        <v>14589</v>
      </c>
      <c r="E21" s="5" t="s">
        <v>525</v>
      </c>
      <c r="F21" s="5" t="s">
        <v>33</v>
      </c>
      <c r="G21" s="5" t="s">
        <v>2178</v>
      </c>
      <c r="H21" s="5" t="s">
        <v>34</v>
      </c>
      <c r="I21" s="5">
        <v>3015669546</v>
      </c>
      <c r="J21" s="12">
        <v>46013</v>
      </c>
      <c r="K21" s="11">
        <v>0</v>
      </c>
      <c r="M21" s="10" t="s">
        <v>2686</v>
      </c>
      <c r="N21" s="12">
        <v>46013.522566388885</v>
      </c>
      <c r="O21" s="10" t="s">
        <v>15399</v>
      </c>
      <c r="P21" s="5" t="s">
        <v>14571</v>
      </c>
      <c r="Q21" s="5" t="s">
        <v>14612</v>
      </c>
      <c r="R21" s="5" t="s">
        <v>15400</v>
      </c>
      <c r="T21" s="5" t="s">
        <v>14574</v>
      </c>
      <c r="U21" s="5" t="s">
        <v>33</v>
      </c>
      <c r="V21" s="5" t="s">
        <v>43</v>
      </c>
      <c r="W21" s="5" t="s">
        <v>525</v>
      </c>
    </row>
    <row r="22" spans="1:23" ht="12.5" hidden="1">
      <c r="A22" s="5">
        <v>90539</v>
      </c>
      <c r="B22" s="5" t="s">
        <v>15392</v>
      </c>
      <c r="C22" s="5">
        <v>573173669658</v>
      </c>
      <c r="D22" s="5">
        <v>45</v>
      </c>
      <c r="E22" s="5" t="s">
        <v>210</v>
      </c>
      <c r="F22" s="5" t="s">
        <v>103</v>
      </c>
      <c r="G22" s="5" t="s">
        <v>3947</v>
      </c>
      <c r="H22" s="5" t="s">
        <v>3948</v>
      </c>
      <c r="I22" s="5">
        <v>3173669658</v>
      </c>
      <c r="J22" s="12">
        <v>46013</v>
      </c>
      <c r="K22" s="11">
        <v>0.625</v>
      </c>
      <c r="M22" s="10" t="s">
        <v>15384</v>
      </c>
      <c r="N22" s="12">
        <v>46013.488074236113</v>
      </c>
      <c r="O22" s="10" t="s">
        <v>15393</v>
      </c>
      <c r="P22" s="5" t="s">
        <v>14571</v>
      </c>
      <c r="Q22" s="5" t="s">
        <v>14578</v>
      </c>
      <c r="R22" s="5" t="s">
        <v>15394</v>
      </c>
      <c r="T22" s="5" t="s">
        <v>5994</v>
      </c>
      <c r="U22" s="5" t="s">
        <v>14593</v>
      </c>
      <c r="V22" s="5" t="s">
        <v>83</v>
      </c>
    </row>
    <row r="23" spans="1:23" ht="12.5" hidden="1">
      <c r="A23" s="5">
        <v>90540</v>
      </c>
      <c r="B23" s="5" t="s">
        <v>15001</v>
      </c>
      <c r="C23" s="5">
        <v>573008916925</v>
      </c>
      <c r="D23" s="5">
        <v>23</v>
      </c>
      <c r="E23" s="5" t="s">
        <v>50</v>
      </c>
      <c r="F23" s="5" t="s">
        <v>110</v>
      </c>
      <c r="G23" s="5" t="s">
        <v>3951</v>
      </c>
      <c r="H23" s="5" t="s">
        <v>3952</v>
      </c>
      <c r="I23" s="5">
        <v>3012667200</v>
      </c>
      <c r="J23" s="12">
        <v>46013</v>
      </c>
      <c r="K23" s="11">
        <v>0.63888888889050577</v>
      </c>
      <c r="M23" s="10" t="s">
        <v>15377</v>
      </c>
      <c r="N23" s="12">
        <v>46013.554162511573</v>
      </c>
      <c r="O23" s="10" t="s">
        <v>15390</v>
      </c>
      <c r="P23" s="5" t="s">
        <v>14571</v>
      </c>
      <c r="Q23" s="5" t="s">
        <v>14578</v>
      </c>
      <c r="R23" s="5" t="s">
        <v>15391</v>
      </c>
      <c r="T23" s="5" t="s">
        <v>5994</v>
      </c>
      <c r="U23" s="5" t="s">
        <v>14593</v>
      </c>
      <c r="V23" s="5" t="s">
        <v>180</v>
      </c>
    </row>
    <row r="24" spans="1:23" ht="12.5" hidden="1">
      <c r="A24" s="5">
        <v>90543</v>
      </c>
      <c r="B24" s="5" t="s">
        <v>3964</v>
      </c>
      <c r="C24" s="5">
        <v>573126564463</v>
      </c>
      <c r="D24" s="5">
        <v>63</v>
      </c>
      <c r="E24" s="5" t="s">
        <v>294</v>
      </c>
      <c r="F24" s="5" t="s">
        <v>33</v>
      </c>
      <c r="G24" s="5" t="s">
        <v>3964</v>
      </c>
      <c r="H24" s="5" t="s">
        <v>34</v>
      </c>
      <c r="I24" s="5">
        <v>3126564463</v>
      </c>
      <c r="J24" s="12">
        <v>46013</v>
      </c>
      <c r="K24" s="11">
        <v>0.66666666666787933</v>
      </c>
      <c r="M24" s="10" t="s">
        <v>15384</v>
      </c>
      <c r="N24" s="12">
        <v>46013.645587465275</v>
      </c>
      <c r="O24" s="10" t="s">
        <v>14825</v>
      </c>
      <c r="P24" s="5" t="s">
        <v>14571</v>
      </c>
      <c r="Q24" s="5" t="s">
        <v>14578</v>
      </c>
      <c r="R24" s="5" t="s">
        <v>15385</v>
      </c>
      <c r="T24" s="5" t="s">
        <v>14574</v>
      </c>
      <c r="U24" s="5" t="s">
        <v>33</v>
      </c>
      <c r="V24" s="5" t="s">
        <v>2636</v>
      </c>
    </row>
    <row r="25" spans="1:23" ht="12.5" hidden="1">
      <c r="A25" s="5">
        <v>90547</v>
      </c>
      <c r="B25" s="5" t="s">
        <v>3975</v>
      </c>
      <c r="C25" s="5"/>
      <c r="D25" s="5">
        <v>52</v>
      </c>
      <c r="E25" s="5" t="s">
        <v>178</v>
      </c>
      <c r="F25" s="5" t="s">
        <v>33</v>
      </c>
      <c r="G25" s="5" t="s">
        <v>3975</v>
      </c>
      <c r="H25" s="5" t="s">
        <v>34</v>
      </c>
      <c r="I25" s="5">
        <v>3189068572</v>
      </c>
      <c r="J25" s="12">
        <v>46013</v>
      </c>
      <c r="K25" s="11">
        <v>0</v>
      </c>
      <c r="M25" s="10" t="s">
        <v>14705</v>
      </c>
      <c r="N25" s="12">
        <v>46013.664652129628</v>
      </c>
      <c r="O25" s="10" t="s">
        <v>14931</v>
      </c>
      <c r="P25" s="5" t="s">
        <v>14571</v>
      </c>
      <c r="Q25" s="5" t="s">
        <v>14612</v>
      </c>
      <c r="R25" s="5" t="s">
        <v>15374</v>
      </c>
      <c r="T25" s="5" t="s">
        <v>14574</v>
      </c>
      <c r="U25" s="5" t="s">
        <v>33</v>
      </c>
      <c r="V25" s="5" t="s">
        <v>43</v>
      </c>
      <c r="W25" s="5" t="s">
        <v>225</v>
      </c>
    </row>
    <row r="26" spans="1:23" ht="12.5" hidden="1">
      <c r="A26" s="5">
        <v>90550</v>
      </c>
      <c r="B26" s="5" t="s">
        <v>1828</v>
      </c>
      <c r="C26" s="5">
        <v>573046688627</v>
      </c>
      <c r="D26" s="5">
        <v>20</v>
      </c>
      <c r="E26" s="5" t="s">
        <v>187</v>
      </c>
      <c r="F26" s="5" t="s">
        <v>161</v>
      </c>
      <c r="G26" s="5" t="s">
        <v>3982</v>
      </c>
      <c r="H26" s="5" t="s">
        <v>3983</v>
      </c>
      <c r="J26" s="12">
        <v>46013</v>
      </c>
      <c r="K26" s="11">
        <v>0.66666666666787933</v>
      </c>
      <c r="M26" s="10" t="s">
        <v>15140</v>
      </c>
      <c r="N26" s="12">
        <v>46013.676340289356</v>
      </c>
      <c r="O26" s="10" t="s">
        <v>15367</v>
      </c>
      <c r="P26" s="5" t="s">
        <v>14571</v>
      </c>
      <c r="Q26" s="5" t="s">
        <v>14578</v>
      </c>
      <c r="R26" s="5" t="s">
        <v>15368</v>
      </c>
      <c r="T26" s="5" t="s">
        <v>5994</v>
      </c>
      <c r="U26" s="5" t="s">
        <v>14593</v>
      </c>
      <c r="V26" s="5" t="s">
        <v>83</v>
      </c>
    </row>
    <row r="27" spans="1:23" ht="12.5" hidden="1">
      <c r="A27" s="5">
        <v>90551</v>
      </c>
      <c r="B27" s="5" t="s">
        <v>3986</v>
      </c>
      <c r="C27" s="5">
        <v>573136141840</v>
      </c>
      <c r="D27" s="5">
        <v>52</v>
      </c>
      <c r="E27" s="5" t="s">
        <v>178</v>
      </c>
      <c r="F27" s="5" t="s">
        <v>33</v>
      </c>
      <c r="G27" s="5" t="s">
        <v>3986</v>
      </c>
      <c r="H27" s="5" t="s">
        <v>34</v>
      </c>
      <c r="I27" s="5">
        <v>3136141840</v>
      </c>
      <c r="J27" s="12">
        <v>46013</v>
      </c>
      <c r="K27" s="11">
        <v>0.70833333333212067</v>
      </c>
      <c r="M27" s="10" t="s">
        <v>14705</v>
      </c>
      <c r="N27" s="12">
        <v>46013.681806608802</v>
      </c>
      <c r="O27" s="10" t="s">
        <v>15365</v>
      </c>
      <c r="P27" s="5" t="s">
        <v>14571</v>
      </c>
      <c r="Q27" s="5" t="s">
        <v>14578</v>
      </c>
      <c r="R27" s="5" t="s">
        <v>15366</v>
      </c>
      <c r="T27" s="5" t="s">
        <v>14574</v>
      </c>
      <c r="U27" s="5" t="s">
        <v>33</v>
      </c>
      <c r="V27" s="5" t="s">
        <v>196</v>
      </c>
    </row>
    <row r="28" spans="1:23" ht="12.5" hidden="1">
      <c r="A28" s="5">
        <v>90552</v>
      </c>
      <c r="B28" s="5" t="s">
        <v>3989</v>
      </c>
      <c r="C28" s="5">
        <v>573166946981</v>
      </c>
      <c r="D28" s="5">
        <v>52</v>
      </c>
      <c r="E28" s="5" t="s">
        <v>3991</v>
      </c>
      <c r="G28" s="5" t="s">
        <v>3989</v>
      </c>
      <c r="H28" s="5" t="s">
        <v>3990</v>
      </c>
      <c r="J28" s="12">
        <v>46013</v>
      </c>
      <c r="K28" s="11">
        <v>0.70833333333212067</v>
      </c>
      <c r="M28" s="10" t="s">
        <v>14712</v>
      </c>
      <c r="N28" s="12">
        <v>46013.682412870374</v>
      </c>
      <c r="O28" s="10" t="s">
        <v>15363</v>
      </c>
      <c r="P28" s="5" t="s">
        <v>14571</v>
      </c>
      <c r="Q28" s="5" t="s">
        <v>14612</v>
      </c>
      <c r="R28" s="5" t="s">
        <v>15364</v>
      </c>
      <c r="T28" s="5" t="s">
        <v>5994</v>
      </c>
      <c r="V28" s="5" t="s">
        <v>2636</v>
      </c>
      <c r="W28" s="5" t="s">
        <v>3992</v>
      </c>
    </row>
    <row r="29" spans="1:23" ht="12.5" hidden="1">
      <c r="A29" s="5">
        <v>90553</v>
      </c>
      <c r="B29" s="5" t="s">
        <v>3989</v>
      </c>
      <c r="C29" s="5">
        <v>573166946981</v>
      </c>
      <c r="D29" s="5">
        <v>95</v>
      </c>
      <c r="E29" s="5" t="s">
        <v>42</v>
      </c>
      <c r="G29" s="5" t="s">
        <v>3993</v>
      </c>
      <c r="H29" s="5" t="s">
        <v>3994</v>
      </c>
      <c r="I29" s="5">
        <v>3166946981</v>
      </c>
      <c r="J29" s="12">
        <v>46013</v>
      </c>
      <c r="K29" s="11">
        <v>0.70833333333212067</v>
      </c>
      <c r="M29" s="10" t="s">
        <v>14585</v>
      </c>
      <c r="N29" s="12">
        <v>46013.684314918981</v>
      </c>
      <c r="O29" s="10" t="s">
        <v>14713</v>
      </c>
      <c r="P29" s="5" t="s">
        <v>14571</v>
      </c>
      <c r="Q29" s="5" t="s">
        <v>14578</v>
      </c>
      <c r="R29" s="5" t="s">
        <v>15362</v>
      </c>
      <c r="T29" s="5" t="s">
        <v>5994</v>
      </c>
      <c r="V29" s="5" t="s">
        <v>2636</v>
      </c>
      <c r="W29" s="5" t="s">
        <v>3995</v>
      </c>
    </row>
    <row r="30" spans="1:23" ht="12.5" hidden="1">
      <c r="A30" s="5">
        <v>90554</v>
      </c>
      <c r="B30" s="5" t="s">
        <v>15358</v>
      </c>
      <c r="C30" s="5">
        <v>573003484102</v>
      </c>
      <c r="D30" s="5">
        <v>20</v>
      </c>
      <c r="E30" s="5" t="s">
        <v>187</v>
      </c>
      <c r="F30" s="5" t="s">
        <v>265</v>
      </c>
      <c r="G30" s="5" t="s">
        <v>2735</v>
      </c>
      <c r="H30" s="5" t="s">
        <v>3997</v>
      </c>
      <c r="I30" s="5"/>
      <c r="J30" s="12">
        <v>46013</v>
      </c>
      <c r="K30" s="11">
        <v>0.72916666666787933</v>
      </c>
      <c r="M30" s="10" t="s">
        <v>15359</v>
      </c>
      <c r="N30" s="12">
        <v>46013.671700347222</v>
      </c>
      <c r="O30" s="10" t="s">
        <v>15360</v>
      </c>
      <c r="P30" s="5" t="s">
        <v>14571</v>
      </c>
      <c r="Q30" s="5" t="s">
        <v>14578</v>
      </c>
      <c r="R30" s="5" t="s">
        <v>15361</v>
      </c>
      <c r="T30" s="5" t="s">
        <v>5994</v>
      </c>
      <c r="U30" s="5" t="s">
        <v>14691</v>
      </c>
      <c r="V30" s="5" t="s">
        <v>83</v>
      </c>
    </row>
    <row r="31" spans="1:23" ht="12.5" hidden="1">
      <c r="A31" s="5">
        <v>90555</v>
      </c>
      <c r="B31" s="5" t="s">
        <v>15355</v>
      </c>
      <c r="C31" s="5">
        <v>573013684743</v>
      </c>
      <c r="D31" s="5">
        <v>41</v>
      </c>
      <c r="E31" s="5" t="s">
        <v>89</v>
      </c>
      <c r="F31" s="5" t="s">
        <v>265</v>
      </c>
      <c r="G31" s="5" t="s">
        <v>4001</v>
      </c>
      <c r="H31" s="5" t="s">
        <v>4002</v>
      </c>
      <c r="I31" s="5">
        <v>3002328616</v>
      </c>
      <c r="J31" s="12">
        <v>46013</v>
      </c>
      <c r="K31" s="11">
        <v>0.73263888889050577</v>
      </c>
      <c r="M31" s="10" t="s">
        <v>15356</v>
      </c>
      <c r="N31" s="12">
        <v>46013.641327268517</v>
      </c>
      <c r="O31" s="10" t="s">
        <v>14811</v>
      </c>
      <c r="P31" s="5" t="s">
        <v>14571</v>
      </c>
      <c r="Q31" s="5" t="s">
        <v>14612</v>
      </c>
      <c r="R31" s="5" t="s">
        <v>15357</v>
      </c>
      <c r="T31" s="5" t="s">
        <v>5994</v>
      </c>
      <c r="U31" s="5" t="s">
        <v>14691</v>
      </c>
      <c r="V31" s="5" t="s">
        <v>180</v>
      </c>
    </row>
    <row r="32" spans="1:23" ht="12.5" hidden="1">
      <c r="A32" s="5">
        <v>90556</v>
      </c>
      <c r="B32" s="5" t="s">
        <v>4005</v>
      </c>
      <c r="C32" s="5">
        <v>5726230928</v>
      </c>
      <c r="D32" s="5">
        <v>95</v>
      </c>
      <c r="E32" s="5" t="s">
        <v>42</v>
      </c>
      <c r="F32" s="5" t="s">
        <v>33</v>
      </c>
      <c r="G32" s="5" t="s">
        <v>4005</v>
      </c>
      <c r="H32" s="5" t="s">
        <v>34</v>
      </c>
      <c r="I32" s="5">
        <v>26230928</v>
      </c>
      <c r="J32" s="12">
        <v>46013</v>
      </c>
      <c r="K32" s="11">
        <v>0</v>
      </c>
      <c r="M32" s="10" t="s">
        <v>15352</v>
      </c>
      <c r="N32" s="12">
        <v>46013.69607258102</v>
      </c>
      <c r="O32" s="10" t="s">
        <v>15353</v>
      </c>
      <c r="P32" s="5" t="s">
        <v>14571</v>
      </c>
      <c r="Q32" s="5" t="s">
        <v>14578</v>
      </c>
      <c r="R32" s="5" t="s">
        <v>15354</v>
      </c>
      <c r="T32" s="5" t="s">
        <v>14574</v>
      </c>
      <c r="U32" s="5" t="s">
        <v>33</v>
      </c>
      <c r="V32" s="5" t="s">
        <v>2636</v>
      </c>
      <c r="W32" s="5" t="s">
        <v>525</v>
      </c>
    </row>
    <row r="33" spans="1:23" ht="12.5" hidden="1">
      <c r="A33" s="5">
        <v>90557</v>
      </c>
      <c r="B33" s="5" t="s">
        <v>4008</v>
      </c>
      <c r="C33" s="5">
        <v>573144430705</v>
      </c>
      <c r="D33" s="5">
        <v>43</v>
      </c>
      <c r="E33" s="5" t="s">
        <v>679</v>
      </c>
      <c r="F33" s="5" t="s">
        <v>33</v>
      </c>
      <c r="G33" s="5" t="s">
        <v>4008</v>
      </c>
      <c r="H33" s="5" t="s">
        <v>34</v>
      </c>
      <c r="I33" s="5">
        <v>3144430705</v>
      </c>
      <c r="J33" s="12">
        <v>46013</v>
      </c>
      <c r="K33" s="11">
        <v>0</v>
      </c>
      <c r="M33" s="10" t="s">
        <v>14740</v>
      </c>
      <c r="N33" s="12">
        <v>46013.742046967593</v>
      </c>
      <c r="O33" s="10" t="s">
        <v>15350</v>
      </c>
      <c r="P33" s="5" t="s">
        <v>14571</v>
      </c>
      <c r="Q33" s="5" t="s">
        <v>14578</v>
      </c>
      <c r="R33" s="5" t="s">
        <v>15351</v>
      </c>
      <c r="T33" s="5" t="s">
        <v>14574</v>
      </c>
      <c r="U33" s="5" t="s">
        <v>33</v>
      </c>
      <c r="V33" s="5" t="s">
        <v>2636</v>
      </c>
    </row>
    <row r="34" spans="1:23" ht="12.5" hidden="1">
      <c r="A34" s="5">
        <v>90316</v>
      </c>
      <c r="B34" s="5" t="s">
        <v>15483</v>
      </c>
      <c r="C34" s="5">
        <v>573108922071</v>
      </c>
      <c r="D34" s="5">
        <v>41</v>
      </c>
      <c r="E34" s="5" t="s">
        <v>89</v>
      </c>
      <c r="F34" s="5" t="s">
        <v>168</v>
      </c>
      <c r="G34" s="5" t="s">
        <v>3029</v>
      </c>
      <c r="H34" s="5" t="s">
        <v>3030</v>
      </c>
      <c r="I34" s="5">
        <v>3108922071</v>
      </c>
      <c r="J34" s="12">
        <v>46014</v>
      </c>
      <c r="K34" s="11">
        <v>0.75</v>
      </c>
      <c r="M34" s="10" t="s">
        <v>15484</v>
      </c>
      <c r="N34" s="12">
        <v>46006.721004212959</v>
      </c>
      <c r="O34" s="10" t="s">
        <v>15485</v>
      </c>
      <c r="P34" s="5" t="s">
        <v>14571</v>
      </c>
      <c r="Q34" s="5" t="s">
        <v>14612</v>
      </c>
      <c r="R34" s="5" t="s">
        <v>15486</v>
      </c>
      <c r="T34" s="5" t="s">
        <v>5994</v>
      </c>
      <c r="U34" s="5" t="s">
        <v>14580</v>
      </c>
      <c r="V34" s="5" t="s">
        <v>1937</v>
      </c>
      <c r="W34" s="5" t="s">
        <v>3032</v>
      </c>
    </row>
    <row r="35" spans="1:23" ht="12.5">
      <c r="A35" s="5">
        <v>90506</v>
      </c>
      <c r="B35" s="5" t="s">
        <v>15435</v>
      </c>
      <c r="C35" s="5">
        <v>573013952545</v>
      </c>
      <c r="D35" s="5">
        <v>3</v>
      </c>
      <c r="E35" s="5" t="s">
        <v>3248</v>
      </c>
      <c r="F35" s="5" t="s">
        <v>63</v>
      </c>
      <c r="G35" s="5" t="s">
        <v>3839</v>
      </c>
      <c r="H35" s="5" t="s">
        <v>3840</v>
      </c>
      <c r="I35" s="5">
        <v>3012783886</v>
      </c>
      <c r="J35" s="12">
        <v>46014</v>
      </c>
      <c r="K35" s="11">
        <v>0</v>
      </c>
      <c r="M35" s="10" t="s">
        <v>15436</v>
      </c>
      <c r="N35" s="12">
        <v>46011.646647465277</v>
      </c>
      <c r="O35" s="10" t="s">
        <v>15363</v>
      </c>
      <c r="P35" s="5" t="s">
        <v>14571</v>
      </c>
      <c r="Q35" s="5" t="s">
        <v>14612</v>
      </c>
      <c r="R35" s="5" t="s">
        <v>15437</v>
      </c>
      <c r="T35" s="5" t="s">
        <v>5994</v>
      </c>
      <c r="U35" s="5" t="s">
        <v>14598</v>
      </c>
      <c r="V35" s="5" t="s">
        <v>83</v>
      </c>
      <c r="W35" s="5" t="s">
        <v>3842</v>
      </c>
    </row>
    <row r="36" spans="1:23" ht="12.5" hidden="1">
      <c r="A36" s="5">
        <v>90522</v>
      </c>
      <c r="B36" s="5" t="s">
        <v>3882</v>
      </c>
      <c r="C36" s="5">
        <v>573176399886</v>
      </c>
      <c r="D36" s="5">
        <v>52</v>
      </c>
      <c r="E36" s="5" t="s">
        <v>178</v>
      </c>
      <c r="G36" s="5" t="s">
        <v>3882</v>
      </c>
      <c r="H36" s="5" t="s">
        <v>3883</v>
      </c>
      <c r="I36" s="5">
        <v>3176399886</v>
      </c>
      <c r="J36" s="12">
        <v>46014</v>
      </c>
      <c r="K36" s="11">
        <v>0.58333333333212067</v>
      </c>
      <c r="M36" s="10" t="s">
        <v>14705</v>
      </c>
      <c r="N36" s="12">
        <v>46013.330490081018</v>
      </c>
      <c r="O36" s="10" t="s">
        <v>14911</v>
      </c>
      <c r="P36" s="5" t="s">
        <v>14571</v>
      </c>
      <c r="Q36" s="5" t="s">
        <v>14572</v>
      </c>
      <c r="R36" s="5" t="s">
        <v>15434</v>
      </c>
      <c r="T36" s="5" t="s">
        <v>5994</v>
      </c>
      <c r="V36" s="5" t="s">
        <v>43</v>
      </c>
    </row>
    <row r="37" spans="1:23" ht="12.5" hidden="1">
      <c r="A37" s="5">
        <v>90538</v>
      </c>
      <c r="B37" s="5" t="s">
        <v>15395</v>
      </c>
      <c r="C37" s="5">
        <v>573175181022</v>
      </c>
      <c r="D37" s="5">
        <v>39</v>
      </c>
      <c r="E37" s="5" t="s">
        <v>96</v>
      </c>
      <c r="F37" s="5" t="s">
        <v>110</v>
      </c>
      <c r="G37" s="5" t="s">
        <v>3940</v>
      </c>
      <c r="H37" s="5" t="s">
        <v>3941</v>
      </c>
      <c r="I37" s="5">
        <v>3138077981</v>
      </c>
      <c r="J37" s="12">
        <v>46014</v>
      </c>
      <c r="K37" s="11">
        <v>0.45833333333333331</v>
      </c>
      <c r="M37" s="10" t="s">
        <v>15396</v>
      </c>
      <c r="N37" s="12">
        <v>46013.538666574073</v>
      </c>
      <c r="O37" s="10" t="s">
        <v>14624</v>
      </c>
      <c r="P37" s="5" t="s">
        <v>14571</v>
      </c>
      <c r="Q37" s="5" t="s">
        <v>14572</v>
      </c>
      <c r="R37" s="5" t="s">
        <v>15397</v>
      </c>
      <c r="T37" s="5" t="s">
        <v>5994</v>
      </c>
      <c r="U37" s="5" t="s">
        <v>14593</v>
      </c>
      <c r="V37" s="5" t="s">
        <v>180</v>
      </c>
      <c r="W37" s="5" t="s">
        <v>3944</v>
      </c>
    </row>
    <row r="38" spans="1:23" ht="12.5" hidden="1">
      <c r="A38" s="5">
        <v>90541</v>
      </c>
      <c r="B38" s="5" t="s">
        <v>15387</v>
      </c>
      <c r="C38" s="5">
        <v>573046693945</v>
      </c>
      <c r="D38" s="5">
        <v>68</v>
      </c>
      <c r="E38" s="5" t="s">
        <v>361</v>
      </c>
      <c r="F38" s="5" t="s">
        <v>146</v>
      </c>
      <c r="G38" s="5" t="s">
        <v>3956</v>
      </c>
      <c r="H38" s="5" t="s">
        <v>3957</v>
      </c>
      <c r="I38" s="5">
        <v>3046693945</v>
      </c>
      <c r="J38" s="12">
        <v>46014</v>
      </c>
      <c r="K38" s="11">
        <v>0.33333333333212067</v>
      </c>
      <c r="M38" s="10" t="s">
        <v>14615</v>
      </c>
      <c r="N38" s="12">
        <v>46013.501466967587</v>
      </c>
      <c r="O38" s="10" t="s">
        <v>15388</v>
      </c>
      <c r="P38" s="5" t="s">
        <v>14571</v>
      </c>
      <c r="Q38" s="5" t="s">
        <v>14572</v>
      </c>
      <c r="R38" s="5" t="s">
        <v>15389</v>
      </c>
      <c r="T38" s="5" t="s">
        <v>5994</v>
      </c>
      <c r="U38" s="5" t="s">
        <v>14618</v>
      </c>
      <c r="V38" s="5" t="s">
        <v>204</v>
      </c>
    </row>
    <row r="39" spans="1:23" ht="12.5" hidden="1">
      <c r="A39" s="5">
        <v>90545</v>
      </c>
      <c r="B39" s="5" t="s">
        <v>15376</v>
      </c>
      <c r="C39" s="5">
        <v>573145354220</v>
      </c>
      <c r="D39" s="5">
        <v>23</v>
      </c>
      <c r="E39" s="5" t="s">
        <v>50</v>
      </c>
      <c r="F39" s="5" t="s">
        <v>110</v>
      </c>
      <c r="G39" s="5" t="s">
        <v>3969</v>
      </c>
      <c r="H39" s="5" t="s">
        <v>3970</v>
      </c>
      <c r="J39" s="12">
        <v>46014</v>
      </c>
      <c r="K39" s="11">
        <v>0.33333333333212067</v>
      </c>
      <c r="M39" s="10" t="s">
        <v>15377</v>
      </c>
      <c r="N39" s="12">
        <v>46013.645040046293</v>
      </c>
      <c r="O39" s="10" t="s">
        <v>15378</v>
      </c>
      <c r="P39" s="5" t="s">
        <v>14571</v>
      </c>
      <c r="Q39" s="5" t="s">
        <v>14572</v>
      </c>
      <c r="R39" s="5" t="s">
        <v>15379</v>
      </c>
      <c r="T39" s="5" t="s">
        <v>5994</v>
      </c>
      <c r="U39" s="5" t="s">
        <v>14593</v>
      </c>
      <c r="V39" s="5" t="s">
        <v>83</v>
      </c>
    </row>
    <row r="40" spans="1:23" ht="12.5" hidden="1">
      <c r="A40" s="5">
        <v>90546</v>
      </c>
      <c r="B40" s="5" t="s">
        <v>13009</v>
      </c>
      <c r="C40" s="5">
        <v>573017824366</v>
      </c>
      <c r="D40" s="5">
        <v>46</v>
      </c>
      <c r="E40" s="5" t="s">
        <v>1126</v>
      </c>
      <c r="G40" s="5" t="s">
        <v>3021</v>
      </c>
      <c r="H40" s="5" t="s">
        <v>3972</v>
      </c>
      <c r="I40" s="5">
        <v>3017824366</v>
      </c>
      <c r="J40" s="12">
        <v>46014</v>
      </c>
      <c r="K40" s="11">
        <v>0.54444444444379769</v>
      </c>
      <c r="M40" s="10" t="s">
        <v>14910</v>
      </c>
      <c r="N40" s="12">
        <v>46013.654816631941</v>
      </c>
      <c r="O40" s="10" t="s">
        <v>14813</v>
      </c>
      <c r="P40" s="5" t="s">
        <v>14571</v>
      </c>
      <c r="Q40" s="5" t="s">
        <v>14578</v>
      </c>
      <c r="R40" s="5" t="s">
        <v>15375</v>
      </c>
      <c r="T40" s="5" t="s">
        <v>5994</v>
      </c>
      <c r="V40" s="5" t="s">
        <v>67</v>
      </c>
    </row>
    <row r="41" spans="1:23" ht="12.5" hidden="1">
      <c r="A41" s="5">
        <v>90548</v>
      </c>
      <c r="B41" s="5" t="s">
        <v>3978</v>
      </c>
      <c r="C41" s="5"/>
      <c r="D41" s="5">
        <v>52</v>
      </c>
      <c r="E41" s="5" t="s">
        <v>178</v>
      </c>
      <c r="F41" s="5" t="s">
        <v>33</v>
      </c>
      <c r="G41" s="5" t="s">
        <v>3978</v>
      </c>
      <c r="H41" s="5" t="s">
        <v>34</v>
      </c>
      <c r="I41" s="5">
        <v>3014403869</v>
      </c>
      <c r="J41" s="12">
        <v>46014</v>
      </c>
      <c r="K41" s="11">
        <v>0.39583333333212067</v>
      </c>
      <c r="M41" s="10" t="s">
        <v>14705</v>
      </c>
      <c r="N41" s="12">
        <v>46013.668336388888</v>
      </c>
      <c r="O41" s="10" t="s">
        <v>15372</v>
      </c>
      <c r="P41" s="5" t="s">
        <v>14571</v>
      </c>
      <c r="Q41" s="5" t="s">
        <v>14572</v>
      </c>
      <c r="R41" s="5" t="s">
        <v>15373</v>
      </c>
      <c r="T41" s="5" t="s">
        <v>14574</v>
      </c>
      <c r="U41" s="5" t="s">
        <v>33</v>
      </c>
      <c r="V41" s="5" t="s">
        <v>43</v>
      </c>
      <c r="W41" s="5" t="s">
        <v>225</v>
      </c>
    </row>
    <row r="42" spans="1:23" ht="12.5" hidden="1">
      <c r="A42" s="5">
        <v>90549</v>
      </c>
      <c r="B42" s="5" t="s">
        <v>15369</v>
      </c>
      <c r="C42" s="5">
        <v>573015657857</v>
      </c>
      <c r="D42" s="5">
        <v>23</v>
      </c>
      <c r="E42" s="5" t="s">
        <v>50</v>
      </c>
      <c r="F42" s="5" t="s">
        <v>563</v>
      </c>
      <c r="G42" s="5" t="s">
        <v>3980</v>
      </c>
      <c r="H42" s="5" t="s">
        <v>3981</v>
      </c>
      <c r="I42" s="5">
        <v>3015657857</v>
      </c>
      <c r="J42" s="12">
        <v>46014</v>
      </c>
      <c r="K42" s="11">
        <v>0.35416666666787933</v>
      </c>
      <c r="M42" s="10" t="s">
        <v>14615</v>
      </c>
      <c r="N42" s="12">
        <v>46012.793755081017</v>
      </c>
      <c r="O42" s="10" t="s">
        <v>15370</v>
      </c>
      <c r="P42" s="5" t="s">
        <v>14571</v>
      </c>
      <c r="Q42" s="5" t="s">
        <v>14572</v>
      </c>
      <c r="R42" s="5" t="s">
        <v>15371</v>
      </c>
      <c r="T42" s="5" t="s">
        <v>5994</v>
      </c>
      <c r="U42" s="5" t="s">
        <v>14775</v>
      </c>
      <c r="V42" s="5" t="s">
        <v>1937</v>
      </c>
    </row>
    <row r="43" spans="1:23" ht="12.5" hidden="1">
      <c r="A43" s="5">
        <v>90558</v>
      </c>
      <c r="B43" s="5" t="s">
        <v>15346</v>
      </c>
      <c r="C43" s="5">
        <v>573042744865</v>
      </c>
      <c r="D43" s="5">
        <v>42</v>
      </c>
      <c r="E43" s="5" t="s">
        <v>649</v>
      </c>
      <c r="F43" s="5" t="s">
        <v>1317</v>
      </c>
      <c r="G43" s="5" t="s">
        <v>4010</v>
      </c>
      <c r="H43" s="5" t="s">
        <v>4011</v>
      </c>
      <c r="I43" s="5">
        <v>3245192336</v>
      </c>
      <c r="J43" s="12">
        <v>46014</v>
      </c>
      <c r="K43" s="11">
        <v>0.375</v>
      </c>
      <c r="M43" s="10" t="s">
        <v>14582</v>
      </c>
      <c r="N43" s="12">
        <v>46013.742114259258</v>
      </c>
      <c r="O43" s="10" t="s">
        <v>15347</v>
      </c>
      <c r="P43" s="5" t="s">
        <v>14571</v>
      </c>
      <c r="Q43" s="5" t="s">
        <v>14578</v>
      </c>
      <c r="R43" s="5" t="s">
        <v>15348</v>
      </c>
      <c r="T43" s="5" t="s">
        <v>5994</v>
      </c>
      <c r="U43" s="5" t="s">
        <v>15349</v>
      </c>
      <c r="V43" s="5" t="s">
        <v>83</v>
      </c>
    </row>
    <row r="44" spans="1:23" ht="12.5" hidden="1">
      <c r="A44" s="5">
        <v>90560</v>
      </c>
      <c r="B44" s="5" t="s">
        <v>15340</v>
      </c>
      <c r="C44" s="5">
        <v>573215929527</v>
      </c>
      <c r="D44" s="5">
        <v>5</v>
      </c>
      <c r="E44" s="5" t="s">
        <v>4021</v>
      </c>
      <c r="F44" s="5" t="s">
        <v>103</v>
      </c>
      <c r="G44" s="5" t="s">
        <v>4019</v>
      </c>
      <c r="H44" s="5" t="s">
        <v>4020</v>
      </c>
      <c r="I44" s="5">
        <v>3215929527</v>
      </c>
      <c r="J44" s="12">
        <v>46014</v>
      </c>
      <c r="K44" s="11">
        <v>0.41666666666787933</v>
      </c>
      <c r="M44" s="10" t="s">
        <v>14649</v>
      </c>
      <c r="N44" s="12">
        <v>46013.72393680556</v>
      </c>
      <c r="O44" s="10" t="s">
        <v>15341</v>
      </c>
      <c r="P44" s="5" t="s">
        <v>14571</v>
      </c>
      <c r="Q44" s="5" t="s">
        <v>14578</v>
      </c>
      <c r="R44" s="5" t="s">
        <v>15342</v>
      </c>
      <c r="T44" s="5" t="s">
        <v>5994</v>
      </c>
      <c r="U44" s="5" t="s">
        <v>14593</v>
      </c>
      <c r="V44" s="5" t="s">
        <v>83</v>
      </c>
      <c r="W44" s="5" t="s">
        <v>4023</v>
      </c>
    </row>
    <row r="45" spans="1:23" ht="12.5" hidden="1">
      <c r="A45" s="5">
        <v>90561</v>
      </c>
      <c r="B45" s="5" t="s">
        <v>2607</v>
      </c>
      <c r="C45" s="5">
        <v>573019085103</v>
      </c>
      <c r="D45" s="5">
        <v>39</v>
      </c>
      <c r="E45" s="5" t="s">
        <v>96</v>
      </c>
      <c r="F45" s="5" t="s">
        <v>307</v>
      </c>
      <c r="G45" s="5" t="s">
        <v>2607</v>
      </c>
      <c r="H45" s="5" t="s">
        <v>4024</v>
      </c>
      <c r="J45" s="12">
        <v>46014</v>
      </c>
      <c r="K45" s="11">
        <v>0.375</v>
      </c>
      <c r="M45" s="10" t="s">
        <v>14649</v>
      </c>
      <c r="N45" s="12">
        <v>46013.774217812505</v>
      </c>
      <c r="O45" s="10" t="s">
        <v>15338</v>
      </c>
      <c r="P45" s="5" t="s">
        <v>14571</v>
      </c>
      <c r="Q45" s="5" t="s">
        <v>14572</v>
      </c>
      <c r="R45" s="5" t="s">
        <v>15339</v>
      </c>
      <c r="T45" s="5" t="s">
        <v>5994</v>
      </c>
      <c r="U45" s="5" t="s">
        <v>14618</v>
      </c>
      <c r="V45" s="5" t="s">
        <v>83</v>
      </c>
      <c r="W45" s="5"/>
    </row>
    <row r="46" spans="1:23" ht="12.5" hidden="1">
      <c r="A46" s="5">
        <v>90562</v>
      </c>
      <c r="B46" s="5" t="s">
        <v>15334</v>
      </c>
      <c r="C46" s="5">
        <v>573205422250</v>
      </c>
      <c r="D46" s="5">
        <v>16</v>
      </c>
      <c r="E46" s="5" t="s">
        <v>2556</v>
      </c>
      <c r="F46" s="5" t="s">
        <v>154</v>
      </c>
      <c r="G46" s="5" t="s">
        <v>4028</v>
      </c>
      <c r="H46" s="5" t="s">
        <v>4029</v>
      </c>
      <c r="J46" s="12">
        <v>46014</v>
      </c>
      <c r="K46" s="11">
        <v>0.41666666666787933</v>
      </c>
      <c r="M46" s="10" t="s">
        <v>15335</v>
      </c>
      <c r="N46" s="12">
        <v>46014.337381597223</v>
      </c>
      <c r="O46" s="10" t="s">
        <v>15336</v>
      </c>
      <c r="P46" s="5" t="s">
        <v>14571</v>
      </c>
      <c r="Q46" s="5" t="s">
        <v>14612</v>
      </c>
      <c r="R46" s="5" t="s">
        <v>15337</v>
      </c>
      <c r="T46" s="5" t="s">
        <v>5994</v>
      </c>
      <c r="U46" s="5" t="s">
        <v>14593</v>
      </c>
      <c r="V46" s="5" t="s">
        <v>83</v>
      </c>
      <c r="W46" s="5" t="s">
        <v>4031</v>
      </c>
    </row>
    <row r="47" spans="1:23" ht="12.5" hidden="1">
      <c r="A47" s="5">
        <v>90564</v>
      </c>
      <c r="B47" s="5" t="s">
        <v>15326</v>
      </c>
      <c r="C47" s="5">
        <v>573172812799</v>
      </c>
      <c r="D47" s="5">
        <v>5</v>
      </c>
      <c r="E47" s="5" t="s">
        <v>3111</v>
      </c>
      <c r="F47" s="5" t="s">
        <v>1057</v>
      </c>
      <c r="G47" s="5" t="s">
        <v>4039</v>
      </c>
      <c r="H47" s="5" t="s">
        <v>4040</v>
      </c>
      <c r="I47" s="5">
        <v>3171141883</v>
      </c>
      <c r="J47" s="12">
        <v>46014</v>
      </c>
      <c r="K47" s="11">
        <v>0.41666666666787933</v>
      </c>
      <c r="M47" s="10" t="s">
        <v>15327</v>
      </c>
      <c r="N47" s="12">
        <v>46014.360745798607</v>
      </c>
      <c r="O47" s="10" t="s">
        <v>15328</v>
      </c>
      <c r="P47" s="5" t="s">
        <v>14571</v>
      </c>
      <c r="Q47" s="5" t="s">
        <v>14572</v>
      </c>
      <c r="R47" s="5" t="s">
        <v>15329</v>
      </c>
      <c r="T47" s="5" t="s">
        <v>5994</v>
      </c>
      <c r="U47" s="5" t="s">
        <v>14580</v>
      </c>
      <c r="V47" s="5" t="s">
        <v>83</v>
      </c>
    </row>
    <row r="48" spans="1:23" ht="12.5" hidden="1">
      <c r="A48" s="5">
        <v>90566</v>
      </c>
      <c r="B48" s="5" t="s">
        <v>3054</v>
      </c>
      <c r="C48" s="5">
        <v>573157740283</v>
      </c>
      <c r="D48" s="5">
        <v>95</v>
      </c>
      <c r="E48" s="5" t="s">
        <v>42</v>
      </c>
      <c r="F48" s="5" t="s">
        <v>33</v>
      </c>
      <c r="G48" s="5" t="s">
        <v>3054</v>
      </c>
      <c r="H48" s="5" t="s">
        <v>34</v>
      </c>
      <c r="I48" s="5">
        <v>3157740283</v>
      </c>
      <c r="J48" s="12">
        <v>46014</v>
      </c>
      <c r="K48" s="11">
        <v>0</v>
      </c>
      <c r="M48" s="10" t="s">
        <v>14705</v>
      </c>
      <c r="N48" s="12">
        <v>46014.389077928237</v>
      </c>
      <c r="O48" s="10" t="s">
        <v>15321</v>
      </c>
      <c r="P48" s="5" t="s">
        <v>14571</v>
      </c>
      <c r="Q48" s="5" t="s">
        <v>14578</v>
      </c>
      <c r="R48" s="5" t="s">
        <v>15322</v>
      </c>
      <c r="T48" s="5" t="s">
        <v>14574</v>
      </c>
      <c r="U48" s="5" t="s">
        <v>33</v>
      </c>
      <c r="V48" s="5" t="s">
        <v>2636</v>
      </c>
      <c r="W48" s="5" t="s">
        <v>4047</v>
      </c>
    </row>
    <row r="49" spans="1:23" ht="12.5" hidden="1">
      <c r="A49" s="5">
        <v>90567</v>
      </c>
      <c r="B49" s="5" t="s">
        <v>15318</v>
      </c>
      <c r="C49" s="5">
        <v>573016665783</v>
      </c>
      <c r="D49" s="5">
        <v>95</v>
      </c>
      <c r="E49" s="5" t="s">
        <v>42</v>
      </c>
      <c r="F49" s="5" t="s">
        <v>563</v>
      </c>
      <c r="G49" s="5" t="s">
        <v>4050</v>
      </c>
      <c r="H49" s="5" t="s">
        <v>4051</v>
      </c>
      <c r="I49" s="5">
        <v>3016665783</v>
      </c>
      <c r="J49" s="12">
        <v>46014</v>
      </c>
      <c r="K49" s="11">
        <v>0.41666666666787933</v>
      </c>
      <c r="M49" s="10" t="s">
        <v>14960</v>
      </c>
      <c r="N49" s="12">
        <v>46014.363732210652</v>
      </c>
      <c r="O49" s="10" t="s">
        <v>15319</v>
      </c>
      <c r="P49" s="5" t="s">
        <v>14571</v>
      </c>
      <c r="Q49" s="5" t="s">
        <v>14572</v>
      </c>
      <c r="R49" s="5" t="s">
        <v>15320</v>
      </c>
      <c r="T49" s="5" t="s">
        <v>5994</v>
      </c>
      <c r="U49" s="5" t="s">
        <v>14775</v>
      </c>
      <c r="V49" s="5" t="s">
        <v>83</v>
      </c>
      <c r="W49" s="5" t="s">
        <v>4052</v>
      </c>
    </row>
    <row r="50" spans="1:23" ht="12.5" hidden="1">
      <c r="A50" s="5">
        <v>90568</v>
      </c>
      <c r="B50" s="5" t="s">
        <v>15315</v>
      </c>
      <c r="C50" s="5">
        <v>573002789561</v>
      </c>
      <c r="D50" s="5">
        <v>29</v>
      </c>
      <c r="E50" s="5" t="s">
        <v>309</v>
      </c>
      <c r="F50" s="5" t="s">
        <v>73</v>
      </c>
      <c r="G50" s="5" t="s">
        <v>4055</v>
      </c>
      <c r="H50" s="5" t="s">
        <v>4056</v>
      </c>
      <c r="I50" s="5"/>
      <c r="J50" s="12">
        <v>46014</v>
      </c>
      <c r="K50" s="11">
        <v>0.45833333333212067</v>
      </c>
      <c r="M50" s="10" t="s">
        <v>14850</v>
      </c>
      <c r="N50" s="12">
        <v>46014.390975972223</v>
      </c>
      <c r="O50" s="10" t="s">
        <v>15316</v>
      </c>
      <c r="P50" s="5" t="s">
        <v>14571</v>
      </c>
      <c r="Q50" s="5" t="s">
        <v>14572</v>
      </c>
      <c r="R50" s="5" t="s">
        <v>15317</v>
      </c>
      <c r="T50" s="5" t="s">
        <v>5994</v>
      </c>
      <c r="U50" s="5" t="s">
        <v>14593</v>
      </c>
      <c r="V50" s="5" t="s">
        <v>83</v>
      </c>
    </row>
    <row r="51" spans="1:23" ht="12.5" hidden="1">
      <c r="A51" s="5">
        <v>90574</v>
      </c>
      <c r="B51" s="5" t="s">
        <v>15297</v>
      </c>
      <c r="C51" s="5" t="s">
        <v>4088</v>
      </c>
      <c r="D51" s="5">
        <v>26</v>
      </c>
      <c r="E51" s="5" t="s">
        <v>422</v>
      </c>
      <c r="F51" s="5" t="s">
        <v>229</v>
      </c>
      <c r="G51" s="5" t="s">
        <v>4089</v>
      </c>
      <c r="H51" s="5" t="s">
        <v>4090</v>
      </c>
      <c r="I51" s="5">
        <v>3226073254</v>
      </c>
      <c r="J51" s="12">
        <v>46014</v>
      </c>
      <c r="K51" s="11">
        <v>0.45833333333212067</v>
      </c>
      <c r="M51" s="10" t="s">
        <v>15298</v>
      </c>
      <c r="N51" s="12">
        <v>46014.050878159724</v>
      </c>
      <c r="O51" s="10" t="s">
        <v>14660</v>
      </c>
      <c r="P51" s="5" t="s">
        <v>14571</v>
      </c>
      <c r="Q51" s="5" t="s">
        <v>14612</v>
      </c>
      <c r="R51" s="5" t="s">
        <v>15299</v>
      </c>
      <c r="T51" s="5" t="s">
        <v>5994</v>
      </c>
      <c r="U51" s="5"/>
      <c r="V51" s="5" t="s">
        <v>83</v>
      </c>
    </row>
    <row r="52" spans="1:23" ht="12.5" hidden="1">
      <c r="A52" s="5">
        <v>90575</v>
      </c>
      <c r="B52" s="5" t="s">
        <v>15295</v>
      </c>
      <c r="C52" s="5">
        <v>573232219374</v>
      </c>
      <c r="D52" s="5">
        <v>21</v>
      </c>
      <c r="E52" s="5" t="s">
        <v>330</v>
      </c>
      <c r="F52" s="5" t="s">
        <v>185</v>
      </c>
      <c r="G52" s="5" t="s">
        <v>4094</v>
      </c>
      <c r="H52" s="5" t="s">
        <v>4095</v>
      </c>
      <c r="I52" s="5">
        <v>3146576008</v>
      </c>
      <c r="J52" s="12">
        <v>46014</v>
      </c>
      <c r="K52" s="11">
        <v>0.54166666666787933</v>
      </c>
      <c r="M52" s="10" t="s">
        <v>14657</v>
      </c>
      <c r="N52" s="12">
        <v>46014.453931377313</v>
      </c>
      <c r="O52" s="10" t="s">
        <v>14984</v>
      </c>
      <c r="P52" s="5" t="s">
        <v>14571</v>
      </c>
      <c r="Q52" s="5" t="s">
        <v>14612</v>
      </c>
      <c r="R52" s="5" t="s">
        <v>15296</v>
      </c>
      <c r="T52" s="5" t="s">
        <v>5994</v>
      </c>
      <c r="U52" s="5" t="s">
        <v>14580</v>
      </c>
      <c r="V52" s="5" t="s">
        <v>83</v>
      </c>
      <c r="W52" s="5" t="s">
        <v>4097</v>
      </c>
    </row>
    <row r="53" spans="1:23" ht="12.5" hidden="1">
      <c r="A53" s="5">
        <v>90577</v>
      </c>
      <c r="B53" s="5" t="s">
        <v>32</v>
      </c>
      <c r="C53" s="5">
        <v>572412082838</v>
      </c>
      <c r="D53" s="5">
        <v>52</v>
      </c>
      <c r="E53" s="5" t="s">
        <v>178</v>
      </c>
      <c r="F53" s="5" t="s">
        <v>33</v>
      </c>
      <c r="G53" s="5" t="s">
        <v>32</v>
      </c>
      <c r="H53" s="5" t="s">
        <v>34</v>
      </c>
      <c r="I53" s="5">
        <v>2412082838</v>
      </c>
      <c r="J53" s="12">
        <v>46014</v>
      </c>
      <c r="K53" s="11">
        <v>0.48611111110949423</v>
      </c>
      <c r="M53" s="10" t="s">
        <v>14705</v>
      </c>
      <c r="N53" s="12">
        <v>46014.481852800927</v>
      </c>
      <c r="O53" s="10" t="s">
        <v>15290</v>
      </c>
      <c r="P53" s="5" t="s">
        <v>14571</v>
      </c>
      <c r="Q53" s="5" t="s">
        <v>14578</v>
      </c>
      <c r="R53" s="5" t="s">
        <v>15291</v>
      </c>
      <c r="T53" s="5" t="s">
        <v>14574</v>
      </c>
      <c r="U53" s="5" t="s">
        <v>33</v>
      </c>
      <c r="V53" s="5" t="s">
        <v>43</v>
      </c>
    </row>
    <row r="54" spans="1:23" ht="12.5" hidden="1">
      <c r="A54" s="5">
        <v>90578</v>
      </c>
      <c r="B54" s="5" t="s">
        <v>15287</v>
      </c>
      <c r="C54" s="5">
        <v>573204928484</v>
      </c>
      <c r="D54" s="5">
        <v>31</v>
      </c>
      <c r="E54" s="5" t="s">
        <v>375</v>
      </c>
      <c r="F54" s="5" t="s">
        <v>964</v>
      </c>
      <c r="G54" s="5" t="s">
        <v>4102</v>
      </c>
      <c r="H54" s="5" t="s">
        <v>4104</v>
      </c>
      <c r="I54" s="5">
        <v>3204928484</v>
      </c>
      <c r="J54" s="12">
        <v>46014</v>
      </c>
      <c r="K54" s="11">
        <v>0.56458333333284827</v>
      </c>
      <c r="M54" s="10" t="s">
        <v>14881</v>
      </c>
      <c r="N54" s="12">
        <v>46014.463384259259</v>
      </c>
      <c r="O54" s="10" t="s">
        <v>15288</v>
      </c>
      <c r="P54" s="5" t="s">
        <v>14571</v>
      </c>
      <c r="Q54" s="5" t="s">
        <v>14578</v>
      </c>
      <c r="R54" s="5" t="s">
        <v>15289</v>
      </c>
      <c r="T54" s="5" t="s">
        <v>5994</v>
      </c>
      <c r="U54" s="5" t="s">
        <v>14618</v>
      </c>
      <c r="V54" s="5" t="s">
        <v>1937</v>
      </c>
      <c r="W54" s="5" t="s">
        <v>4106</v>
      </c>
    </row>
    <row r="55" spans="1:23" ht="12.5" hidden="1">
      <c r="A55" s="5">
        <v>90579</v>
      </c>
      <c r="B55" s="5" t="s">
        <v>4109</v>
      </c>
      <c r="C55" s="5">
        <v>573166423792</v>
      </c>
      <c r="D55" s="5">
        <v>95</v>
      </c>
      <c r="E55" s="5" t="s">
        <v>42</v>
      </c>
      <c r="G55" s="5" t="s">
        <v>4109</v>
      </c>
      <c r="H55" s="5" t="s">
        <v>4110</v>
      </c>
      <c r="I55" s="5">
        <v>3166423792</v>
      </c>
      <c r="J55" s="12">
        <v>46014</v>
      </c>
      <c r="K55" s="11">
        <v>0</v>
      </c>
      <c r="M55" s="10" t="s">
        <v>15285</v>
      </c>
      <c r="N55" s="12">
        <v>46014.449963865743</v>
      </c>
      <c r="O55" s="10" t="s">
        <v>14974</v>
      </c>
      <c r="P55" s="5" t="s">
        <v>14571</v>
      </c>
      <c r="Q55" s="5" t="s">
        <v>14612</v>
      </c>
      <c r="R55" s="5" t="s">
        <v>15286</v>
      </c>
      <c r="T55" s="5" t="s">
        <v>5994</v>
      </c>
      <c r="V55" s="5" t="s">
        <v>83</v>
      </c>
      <c r="W55" s="5" t="s">
        <v>4111</v>
      </c>
    </row>
    <row r="56" spans="1:23" ht="12.5" hidden="1">
      <c r="A56" s="5">
        <v>90580</v>
      </c>
      <c r="B56" s="5" t="s">
        <v>15282</v>
      </c>
      <c r="C56" s="5">
        <v>573017085272</v>
      </c>
      <c r="D56" s="5">
        <v>64</v>
      </c>
      <c r="E56" s="5" t="s">
        <v>133</v>
      </c>
      <c r="F56" s="5" t="s">
        <v>249</v>
      </c>
      <c r="G56" s="5" t="s">
        <v>4114</v>
      </c>
      <c r="H56" s="5" t="s">
        <v>4115</v>
      </c>
      <c r="I56" s="5">
        <v>3017085272</v>
      </c>
      <c r="J56" s="12">
        <v>46014</v>
      </c>
      <c r="K56" s="11">
        <v>0.625</v>
      </c>
      <c r="M56" s="10" t="s">
        <v>15283</v>
      </c>
      <c r="N56" s="12">
        <v>46014.512013854168</v>
      </c>
      <c r="O56" s="10" t="s">
        <v>15070</v>
      </c>
      <c r="P56" s="5" t="s">
        <v>14571</v>
      </c>
      <c r="Q56" s="5" t="s">
        <v>14572</v>
      </c>
      <c r="R56" s="5" t="s">
        <v>15284</v>
      </c>
      <c r="T56" s="5" t="s">
        <v>5994</v>
      </c>
      <c r="U56" s="5" t="s">
        <v>14593</v>
      </c>
      <c r="V56" s="5" t="s">
        <v>67</v>
      </c>
    </row>
    <row r="57" spans="1:23" ht="12.5" hidden="1">
      <c r="A57" s="5">
        <v>90582</v>
      </c>
      <c r="B57" s="5" t="s">
        <v>15277</v>
      </c>
      <c r="C57" s="5">
        <v>13058483979</v>
      </c>
      <c r="D57" s="5">
        <v>95</v>
      </c>
      <c r="E57" s="5" t="s">
        <v>42</v>
      </c>
      <c r="F57" s="5" t="s">
        <v>307</v>
      </c>
      <c r="G57" s="5" t="s">
        <v>4121</v>
      </c>
      <c r="H57" s="5" t="s">
        <v>4122</v>
      </c>
      <c r="I57" s="5"/>
      <c r="J57" s="12">
        <v>46014</v>
      </c>
      <c r="K57" s="11">
        <v>0.625</v>
      </c>
      <c r="M57" s="10" t="s">
        <v>15278</v>
      </c>
      <c r="N57" s="12">
        <v>46014.490640335644</v>
      </c>
      <c r="O57" s="10" t="s">
        <v>14735</v>
      </c>
      <c r="P57" s="5" t="s">
        <v>14571</v>
      </c>
      <c r="Q57" s="5" t="s">
        <v>14572</v>
      </c>
      <c r="R57" s="5" t="s">
        <v>15279</v>
      </c>
      <c r="T57" s="5" t="s">
        <v>5994</v>
      </c>
      <c r="U57" s="5" t="s">
        <v>14618</v>
      </c>
      <c r="V57" s="5" t="s">
        <v>1937</v>
      </c>
      <c r="W57" s="5" t="s">
        <v>4124</v>
      </c>
    </row>
    <row r="58" spans="1:23" ht="12.5" hidden="1">
      <c r="A58" s="5">
        <v>90583</v>
      </c>
      <c r="B58" s="5" t="s">
        <v>4126</v>
      </c>
      <c r="C58" s="5">
        <v>573135526811</v>
      </c>
      <c r="D58" s="5">
        <v>57</v>
      </c>
      <c r="E58" s="5" t="s">
        <v>1085</v>
      </c>
      <c r="F58" s="5" t="s">
        <v>33</v>
      </c>
      <c r="G58" s="5" t="s">
        <v>4126</v>
      </c>
      <c r="H58" s="5" t="s">
        <v>34</v>
      </c>
      <c r="I58" s="5">
        <v>3135526811</v>
      </c>
      <c r="J58" s="12">
        <v>46014</v>
      </c>
      <c r="K58" s="11">
        <v>0</v>
      </c>
      <c r="M58" s="10" t="s">
        <v>10581</v>
      </c>
      <c r="N58" s="12">
        <v>46014.549564965273</v>
      </c>
      <c r="O58" s="10" t="s">
        <v>15275</v>
      </c>
      <c r="P58" s="5" t="s">
        <v>14571</v>
      </c>
      <c r="Q58" s="5" t="s">
        <v>14578</v>
      </c>
      <c r="R58" s="5" t="s">
        <v>15276</v>
      </c>
      <c r="T58" s="5" t="s">
        <v>14574</v>
      </c>
      <c r="U58" s="5" t="s">
        <v>33</v>
      </c>
      <c r="V58" s="5" t="s">
        <v>2636</v>
      </c>
      <c r="W58" s="5" t="s">
        <v>4127</v>
      </c>
    </row>
    <row r="59" spans="1:23" ht="12.5" hidden="1">
      <c r="A59" s="5">
        <v>90584</v>
      </c>
      <c r="B59" s="5" t="s">
        <v>4130</v>
      </c>
      <c r="C59" s="10" t="s">
        <v>15272</v>
      </c>
      <c r="D59" s="5">
        <v>29</v>
      </c>
      <c r="E59" s="5" t="s">
        <v>309</v>
      </c>
      <c r="F59" s="5" t="s">
        <v>33</v>
      </c>
      <c r="G59" s="5" t="s">
        <v>4130</v>
      </c>
      <c r="H59" s="5" t="s">
        <v>34</v>
      </c>
      <c r="I59" s="5">
        <v>3162750854</v>
      </c>
      <c r="J59" s="12">
        <v>46014</v>
      </c>
      <c r="K59" s="11">
        <v>0</v>
      </c>
      <c r="M59" s="10" t="s">
        <v>14585</v>
      </c>
      <c r="N59" s="12">
        <v>46014</v>
      </c>
      <c r="O59" s="10" t="s">
        <v>15273</v>
      </c>
      <c r="P59" s="5" t="s">
        <v>14571</v>
      </c>
      <c r="Q59" s="5" t="s">
        <v>14612</v>
      </c>
      <c r="R59" s="5" t="s">
        <v>15274</v>
      </c>
      <c r="T59" s="5" t="s">
        <v>14574</v>
      </c>
      <c r="U59" s="5" t="s">
        <v>33</v>
      </c>
      <c r="V59" s="5" t="s">
        <v>37</v>
      </c>
      <c r="W59" s="5" t="s">
        <v>37</v>
      </c>
    </row>
    <row r="60" spans="1:23" ht="12.5" hidden="1">
      <c r="A60" s="5">
        <v>90585</v>
      </c>
      <c r="B60" s="5" t="s">
        <v>4133</v>
      </c>
      <c r="C60" s="5"/>
      <c r="D60" s="5">
        <v>64</v>
      </c>
      <c r="E60" s="5" t="s">
        <v>133</v>
      </c>
      <c r="F60" s="5" t="s">
        <v>33</v>
      </c>
      <c r="G60" s="5" t="s">
        <v>4133</v>
      </c>
      <c r="H60" s="5" t="s">
        <v>34</v>
      </c>
      <c r="I60" s="5" t="s">
        <v>4134</v>
      </c>
      <c r="J60" s="12">
        <v>46014</v>
      </c>
      <c r="K60" s="11">
        <v>0</v>
      </c>
      <c r="M60" s="10" t="s">
        <v>14599</v>
      </c>
      <c r="N60" s="12">
        <v>46014.554374479165</v>
      </c>
      <c r="O60" s="10" t="s">
        <v>14963</v>
      </c>
      <c r="P60" s="5" t="s">
        <v>14571</v>
      </c>
      <c r="Q60" s="5" t="s">
        <v>14572</v>
      </c>
      <c r="R60" s="5" t="s">
        <v>15271</v>
      </c>
      <c r="T60" s="5" t="s">
        <v>14574</v>
      </c>
      <c r="U60" s="5" t="s">
        <v>33</v>
      </c>
      <c r="V60" s="5" t="s">
        <v>43</v>
      </c>
      <c r="W60" s="5" t="s">
        <v>225</v>
      </c>
    </row>
    <row r="61" spans="1:23" ht="12.5" hidden="1">
      <c r="A61" s="5">
        <v>90586</v>
      </c>
      <c r="B61" s="5" t="s">
        <v>3605</v>
      </c>
      <c r="C61" s="5">
        <v>573004378731</v>
      </c>
      <c r="D61" s="5">
        <v>71</v>
      </c>
      <c r="E61" s="5" t="s">
        <v>734</v>
      </c>
      <c r="F61" s="5" t="s">
        <v>1595</v>
      </c>
      <c r="G61" s="5" t="s">
        <v>3605</v>
      </c>
      <c r="H61" s="5" t="s">
        <v>4135</v>
      </c>
      <c r="I61" s="5">
        <v>3004378731</v>
      </c>
      <c r="J61" s="12">
        <v>46014</v>
      </c>
      <c r="K61" s="11">
        <v>0.66666666666787933</v>
      </c>
      <c r="M61" s="10" t="s">
        <v>15161</v>
      </c>
      <c r="N61" s="12">
        <v>46014.537047361111</v>
      </c>
      <c r="O61" s="10" t="s">
        <v>15269</v>
      </c>
      <c r="P61" s="5" t="s">
        <v>14571</v>
      </c>
      <c r="Q61" s="5" t="s">
        <v>14612</v>
      </c>
      <c r="R61" s="5" t="s">
        <v>15270</v>
      </c>
      <c r="T61" s="5" t="s">
        <v>5994</v>
      </c>
      <c r="U61" s="5" t="s">
        <v>14580</v>
      </c>
      <c r="V61" s="5" t="s">
        <v>83</v>
      </c>
      <c r="W61" s="5" t="s">
        <v>4137</v>
      </c>
    </row>
    <row r="62" spans="1:23" ht="12.5" hidden="1">
      <c r="A62" s="5">
        <v>90588</v>
      </c>
      <c r="B62" s="5" t="s">
        <v>15262</v>
      </c>
      <c r="C62" s="5">
        <v>17865318201</v>
      </c>
      <c r="D62" s="5">
        <v>16</v>
      </c>
      <c r="E62" s="5" t="s">
        <v>2556</v>
      </c>
      <c r="F62" s="5" t="s">
        <v>2880</v>
      </c>
      <c r="G62" s="5" t="s">
        <v>4146</v>
      </c>
      <c r="H62" s="5" t="s">
        <v>4147</v>
      </c>
      <c r="I62" s="5">
        <v>3008238921</v>
      </c>
      <c r="J62" s="12">
        <v>46014</v>
      </c>
      <c r="K62" s="11">
        <v>0.66666666666787933</v>
      </c>
      <c r="M62" s="10" t="s">
        <v>15263</v>
      </c>
      <c r="N62" s="12">
        <v>46014.541165671297</v>
      </c>
      <c r="O62" s="10" t="s">
        <v>15264</v>
      </c>
      <c r="P62" s="5" t="s">
        <v>14571</v>
      </c>
      <c r="Q62" s="5" t="s">
        <v>14612</v>
      </c>
      <c r="R62" s="5" t="s">
        <v>15265</v>
      </c>
      <c r="T62" s="5" t="s">
        <v>5994</v>
      </c>
      <c r="U62" s="5" t="s">
        <v>14691</v>
      </c>
      <c r="V62" s="5" t="s">
        <v>83</v>
      </c>
    </row>
    <row r="63" spans="1:23" ht="12.5" hidden="1">
      <c r="A63" s="5">
        <v>90589</v>
      </c>
      <c r="B63" s="5" t="s">
        <v>4150</v>
      </c>
      <c r="C63" s="10" t="s">
        <v>15259</v>
      </c>
      <c r="D63" s="5" t="s">
        <v>14589</v>
      </c>
      <c r="E63" s="5" t="s">
        <v>4151</v>
      </c>
      <c r="F63" s="5" t="s">
        <v>33</v>
      </c>
      <c r="G63" s="5" t="s">
        <v>4150</v>
      </c>
      <c r="H63" s="5" t="s">
        <v>34</v>
      </c>
      <c r="I63" s="5">
        <v>3005754818</v>
      </c>
      <c r="J63" s="12">
        <v>46014</v>
      </c>
      <c r="K63" s="11">
        <v>0</v>
      </c>
      <c r="M63" s="10" t="s">
        <v>14712</v>
      </c>
      <c r="N63" s="12">
        <v>46014</v>
      </c>
      <c r="O63" s="10" t="s">
        <v>15260</v>
      </c>
      <c r="P63" s="5" t="s">
        <v>14571</v>
      </c>
      <c r="Q63" s="5" t="s">
        <v>14572</v>
      </c>
      <c r="R63" s="5" t="s">
        <v>15261</v>
      </c>
      <c r="T63" s="5" t="s">
        <v>14574</v>
      </c>
      <c r="U63" s="5" t="s">
        <v>33</v>
      </c>
      <c r="V63" s="5" t="s">
        <v>2636</v>
      </c>
    </row>
    <row r="64" spans="1:23" ht="12.5" hidden="1">
      <c r="A64" s="5">
        <v>90590</v>
      </c>
      <c r="B64" s="5" t="s">
        <v>15255</v>
      </c>
      <c r="C64" s="5">
        <v>34604218619</v>
      </c>
      <c r="D64" s="5" t="s">
        <v>15256</v>
      </c>
      <c r="E64" s="5" t="s">
        <v>4156</v>
      </c>
      <c r="F64" s="5" t="s">
        <v>103</v>
      </c>
      <c r="G64" s="5" t="s">
        <v>4153</v>
      </c>
      <c r="H64" s="5" t="s">
        <v>4154</v>
      </c>
      <c r="I64" s="5" t="s">
        <v>4155</v>
      </c>
      <c r="J64" s="12">
        <v>46014</v>
      </c>
      <c r="K64" s="11">
        <v>0.66666666666787933</v>
      </c>
      <c r="M64" s="10" t="s">
        <v>15040</v>
      </c>
      <c r="N64" s="12">
        <v>46014.566764340278</v>
      </c>
      <c r="O64" s="10" t="s">
        <v>15257</v>
      </c>
      <c r="P64" s="5" t="s">
        <v>14571</v>
      </c>
      <c r="Q64" s="5" t="s">
        <v>14572</v>
      </c>
      <c r="R64" s="5" t="s">
        <v>15258</v>
      </c>
      <c r="T64" s="5" t="s">
        <v>5994</v>
      </c>
      <c r="U64" s="5" t="s">
        <v>14593</v>
      </c>
      <c r="V64" s="5" t="s">
        <v>1937</v>
      </c>
    </row>
    <row r="65" spans="1:23" ht="12.5" hidden="1">
      <c r="A65" s="5">
        <v>90593</v>
      </c>
      <c r="B65" s="5" t="s">
        <v>15245</v>
      </c>
      <c r="C65" s="5">
        <v>573006894298</v>
      </c>
      <c r="D65" s="5">
        <v>31</v>
      </c>
      <c r="E65" s="5" t="s">
        <v>375</v>
      </c>
      <c r="F65" s="5" t="s">
        <v>4171</v>
      </c>
      <c r="G65" s="5" t="s">
        <v>4170</v>
      </c>
      <c r="H65" s="5" t="s">
        <v>4172</v>
      </c>
      <c r="I65" s="5">
        <v>3245942022</v>
      </c>
      <c r="J65" s="12">
        <v>46014</v>
      </c>
      <c r="K65" s="11">
        <v>0.70833333333212067</v>
      </c>
      <c r="M65" s="10" t="s">
        <v>14850</v>
      </c>
      <c r="N65" s="12">
        <v>46014.598075127316</v>
      </c>
      <c r="O65" s="10" t="s">
        <v>15246</v>
      </c>
      <c r="P65" s="5" t="s">
        <v>14571</v>
      </c>
      <c r="Q65" s="5" t="s">
        <v>14612</v>
      </c>
      <c r="R65" s="5" t="s">
        <v>15247</v>
      </c>
      <c r="T65" s="5" t="s">
        <v>5994</v>
      </c>
      <c r="U65" s="5" t="s">
        <v>14618</v>
      </c>
      <c r="V65" s="5" t="s">
        <v>83</v>
      </c>
    </row>
    <row r="66" spans="1:23" ht="12.5" hidden="1">
      <c r="A66" s="5">
        <v>90595</v>
      </c>
      <c r="B66" s="5" t="s">
        <v>15238</v>
      </c>
      <c r="C66" s="10" t="s">
        <v>15239</v>
      </c>
      <c r="D66" s="5">
        <v>29</v>
      </c>
      <c r="E66" s="5" t="s">
        <v>309</v>
      </c>
      <c r="F66" s="5" t="s">
        <v>103</v>
      </c>
      <c r="G66" s="5" t="s">
        <v>4181</v>
      </c>
      <c r="H66" s="5" t="s">
        <v>4182</v>
      </c>
      <c r="I66" s="5">
        <v>3002059742</v>
      </c>
      <c r="J66" s="12">
        <v>46014</v>
      </c>
      <c r="K66" s="11">
        <v>0.70833333333333337</v>
      </c>
      <c r="M66" s="10" t="s">
        <v>14627</v>
      </c>
      <c r="N66" s="12">
        <v>46014</v>
      </c>
      <c r="O66" s="10" t="s">
        <v>15054</v>
      </c>
      <c r="P66" s="5" t="s">
        <v>14571</v>
      </c>
      <c r="Q66" s="5" t="s">
        <v>14612</v>
      </c>
      <c r="R66" s="5" t="s">
        <v>15240</v>
      </c>
      <c r="T66" s="5" t="s">
        <v>5994</v>
      </c>
      <c r="U66" s="5" t="s">
        <v>14593</v>
      </c>
      <c r="V66" s="5" t="s">
        <v>83</v>
      </c>
    </row>
    <row r="67" spans="1:23" ht="12.5" hidden="1">
      <c r="A67" s="5">
        <v>90597</v>
      </c>
      <c r="B67" s="5" t="s">
        <v>4187</v>
      </c>
      <c r="C67" s="5">
        <v>573126435537</v>
      </c>
      <c r="D67" s="5">
        <v>95</v>
      </c>
      <c r="E67" s="5" t="s">
        <v>42</v>
      </c>
      <c r="F67" s="5" t="s">
        <v>33</v>
      </c>
      <c r="G67" s="5" t="s">
        <v>4187</v>
      </c>
      <c r="H67" s="5" t="s">
        <v>34</v>
      </c>
      <c r="I67" s="5">
        <v>3126435537</v>
      </c>
      <c r="J67" s="12">
        <v>46014</v>
      </c>
      <c r="K67" s="11">
        <v>0.66666666666787933</v>
      </c>
      <c r="M67" s="10" t="s">
        <v>2686</v>
      </c>
      <c r="N67" s="12">
        <v>46014.663870115735</v>
      </c>
      <c r="O67" s="10" t="s">
        <v>14931</v>
      </c>
      <c r="P67" s="5" t="s">
        <v>14571</v>
      </c>
      <c r="Q67" s="5" t="s">
        <v>14612</v>
      </c>
      <c r="R67" s="5" t="s">
        <v>15234</v>
      </c>
      <c r="T67" s="5" t="s">
        <v>14574</v>
      </c>
      <c r="U67" s="5" t="s">
        <v>33</v>
      </c>
      <c r="V67" s="5" t="s">
        <v>196</v>
      </c>
      <c r="W67" s="5" t="s">
        <v>4188</v>
      </c>
    </row>
    <row r="68" spans="1:23" ht="12.5" hidden="1">
      <c r="A68" s="5">
        <v>90598</v>
      </c>
      <c r="B68" s="5" t="s">
        <v>15230</v>
      </c>
      <c r="C68" s="5">
        <v>573106939904</v>
      </c>
      <c r="D68" s="5">
        <v>95</v>
      </c>
      <c r="E68" s="5" t="s">
        <v>42</v>
      </c>
      <c r="F68" s="5" t="s">
        <v>103</v>
      </c>
      <c r="G68" s="5" t="s">
        <v>4189</v>
      </c>
      <c r="H68" s="5" t="s">
        <v>4190</v>
      </c>
      <c r="I68" s="5" t="s">
        <v>15231</v>
      </c>
      <c r="J68" s="12">
        <v>46014</v>
      </c>
      <c r="K68" s="11">
        <v>0.77013888888905058</v>
      </c>
      <c r="M68" s="10" t="s">
        <v>15232</v>
      </c>
      <c r="N68" s="12">
        <v>46014.537783078704</v>
      </c>
      <c r="O68" s="10" t="s">
        <v>14928</v>
      </c>
      <c r="P68" s="5" t="s">
        <v>14571</v>
      </c>
      <c r="Q68" s="5" t="s">
        <v>14612</v>
      </c>
      <c r="R68" s="5" t="s">
        <v>15233</v>
      </c>
      <c r="T68" s="5" t="s">
        <v>5994</v>
      </c>
      <c r="U68" s="5" t="s">
        <v>14593</v>
      </c>
      <c r="V68" s="5" t="s">
        <v>1937</v>
      </c>
      <c r="W68" s="5" t="s">
        <v>4192</v>
      </c>
    </row>
    <row r="69" spans="1:23" ht="12.5" hidden="1">
      <c r="A69" s="5">
        <v>90599</v>
      </c>
      <c r="B69" s="5" t="s">
        <v>15225</v>
      </c>
      <c r="C69" s="10" t="s">
        <v>15226</v>
      </c>
      <c r="D69" s="5">
        <v>7</v>
      </c>
      <c r="E69" s="5" t="s">
        <v>112</v>
      </c>
      <c r="F69" s="5" t="s">
        <v>2263</v>
      </c>
      <c r="G69" s="5" t="s">
        <v>972</v>
      </c>
      <c r="H69" s="5" t="s">
        <v>4195</v>
      </c>
      <c r="I69" s="5" t="s">
        <v>4196</v>
      </c>
      <c r="J69" s="12">
        <v>46014</v>
      </c>
      <c r="K69" s="11">
        <v>0.75</v>
      </c>
      <c r="M69" s="10" t="s">
        <v>15227</v>
      </c>
      <c r="N69" s="12">
        <v>46014</v>
      </c>
      <c r="O69" s="10" t="s">
        <v>15228</v>
      </c>
      <c r="P69" s="5" t="s">
        <v>14571</v>
      </c>
      <c r="Q69" s="5" t="s">
        <v>14612</v>
      </c>
      <c r="R69" s="5" t="s">
        <v>15229</v>
      </c>
      <c r="T69" s="5" t="s">
        <v>5994</v>
      </c>
      <c r="U69" s="5" t="s">
        <v>14580</v>
      </c>
      <c r="V69" s="5" t="s">
        <v>83</v>
      </c>
    </row>
    <row r="70" spans="1:23" ht="12.5" hidden="1">
      <c r="A70" s="5">
        <v>90600</v>
      </c>
      <c r="B70" s="5" t="s">
        <v>4200</v>
      </c>
      <c r="C70" s="10" t="s">
        <v>15222</v>
      </c>
      <c r="D70" s="5">
        <v>28</v>
      </c>
      <c r="E70" s="5" t="s">
        <v>435</v>
      </c>
      <c r="F70" s="5" t="s">
        <v>33</v>
      </c>
      <c r="G70" s="5" t="s">
        <v>4200</v>
      </c>
      <c r="H70" s="5" t="s">
        <v>34</v>
      </c>
      <c r="I70" s="5" t="s">
        <v>4201</v>
      </c>
      <c r="J70" s="12">
        <v>46014</v>
      </c>
      <c r="K70" s="11">
        <v>0</v>
      </c>
      <c r="M70" s="10" t="s">
        <v>15032</v>
      </c>
      <c r="N70" s="12">
        <v>46014</v>
      </c>
      <c r="O70" s="10" t="s">
        <v>15223</v>
      </c>
      <c r="P70" s="5" t="s">
        <v>14571</v>
      </c>
      <c r="Q70" s="5" t="s">
        <v>14612</v>
      </c>
      <c r="R70" s="5" t="s">
        <v>15224</v>
      </c>
      <c r="T70" s="5" t="s">
        <v>14574</v>
      </c>
      <c r="U70" s="5" t="s">
        <v>33</v>
      </c>
      <c r="V70" s="5" t="s">
        <v>2636</v>
      </c>
    </row>
    <row r="71" spans="1:23" ht="12.5" hidden="1">
      <c r="A71" s="5">
        <v>90601</v>
      </c>
      <c r="B71" s="5" t="s">
        <v>15218</v>
      </c>
      <c r="C71" s="5">
        <v>573246492154</v>
      </c>
      <c r="D71" s="5">
        <v>95</v>
      </c>
      <c r="E71" s="5" t="s">
        <v>42</v>
      </c>
      <c r="F71" s="5" t="s">
        <v>63</v>
      </c>
      <c r="G71" s="5" t="s">
        <v>2347</v>
      </c>
      <c r="H71" s="5" t="s">
        <v>4204</v>
      </c>
      <c r="I71" s="5">
        <v>3246492154</v>
      </c>
      <c r="J71" s="12">
        <v>46014</v>
      </c>
      <c r="K71" s="11">
        <v>0.75</v>
      </c>
      <c r="M71" s="10" t="s">
        <v>15219</v>
      </c>
      <c r="N71" s="12">
        <v>46014.700569340275</v>
      </c>
      <c r="O71" s="10" t="s">
        <v>15220</v>
      </c>
      <c r="P71" s="5" t="s">
        <v>14571</v>
      </c>
      <c r="Q71" s="5" t="s">
        <v>14612</v>
      </c>
      <c r="R71" s="5" t="s">
        <v>15221</v>
      </c>
      <c r="T71" s="5" t="s">
        <v>5994</v>
      </c>
      <c r="U71" s="5" t="s">
        <v>14598</v>
      </c>
      <c r="V71" s="5" t="s">
        <v>83</v>
      </c>
      <c r="W71" s="5" t="s">
        <v>4206</v>
      </c>
    </row>
    <row r="72" spans="1:23" ht="12.5" hidden="1">
      <c r="A72" s="5">
        <v>90602</v>
      </c>
      <c r="B72" s="5" t="s">
        <v>4209</v>
      </c>
      <c r="C72" s="10" t="s">
        <v>15215</v>
      </c>
      <c r="D72" s="5">
        <v>95</v>
      </c>
      <c r="E72" s="5" t="s">
        <v>42</v>
      </c>
      <c r="F72" s="5" t="s">
        <v>33</v>
      </c>
      <c r="G72" s="5" t="s">
        <v>4209</v>
      </c>
      <c r="H72" s="5" t="s">
        <v>34</v>
      </c>
      <c r="I72" s="5">
        <v>3022977046</v>
      </c>
      <c r="J72" s="12">
        <v>46014</v>
      </c>
      <c r="K72" s="11">
        <v>0.71875</v>
      </c>
      <c r="M72" s="10" t="s">
        <v>14960</v>
      </c>
      <c r="N72" s="12">
        <v>46014</v>
      </c>
      <c r="O72" s="10" t="s">
        <v>15216</v>
      </c>
      <c r="P72" s="5" t="s">
        <v>14571</v>
      </c>
      <c r="Q72" s="5" t="s">
        <v>14612</v>
      </c>
      <c r="R72" s="5" t="s">
        <v>15217</v>
      </c>
      <c r="T72" s="5" t="s">
        <v>14574</v>
      </c>
      <c r="U72" s="5" t="s">
        <v>33</v>
      </c>
      <c r="V72" s="5" t="s">
        <v>2636</v>
      </c>
      <c r="W72" s="5" t="s">
        <v>4210</v>
      </c>
    </row>
    <row r="73" spans="1:23" ht="12.5" hidden="1">
      <c r="A73" s="5">
        <v>90603</v>
      </c>
      <c r="B73" s="5" t="s">
        <v>15212</v>
      </c>
      <c r="C73" s="5">
        <v>573042035368</v>
      </c>
      <c r="D73" s="5">
        <v>63</v>
      </c>
      <c r="E73" s="5" t="s">
        <v>294</v>
      </c>
      <c r="F73" s="5" t="s">
        <v>161</v>
      </c>
      <c r="G73" s="5" t="s">
        <v>4211</v>
      </c>
      <c r="H73" s="5" t="s">
        <v>4213</v>
      </c>
      <c r="I73" s="5">
        <v>3042035368</v>
      </c>
      <c r="J73" s="12">
        <v>46014</v>
      </c>
      <c r="K73" s="11">
        <v>0.76319444444379769</v>
      </c>
      <c r="M73" s="10" t="s">
        <v>14576</v>
      </c>
      <c r="N73" s="12">
        <v>46014.716784525459</v>
      </c>
      <c r="O73" s="10" t="s">
        <v>15213</v>
      </c>
      <c r="P73" s="5" t="s">
        <v>14571</v>
      </c>
      <c r="Q73" s="5" t="s">
        <v>14572</v>
      </c>
      <c r="R73" s="5" t="s">
        <v>15214</v>
      </c>
      <c r="T73" s="5" t="s">
        <v>5994</v>
      </c>
      <c r="U73" s="5" t="s">
        <v>14593</v>
      </c>
      <c r="V73" s="5" t="s">
        <v>83</v>
      </c>
    </row>
    <row r="74" spans="1:23" ht="12.5" hidden="1">
      <c r="A74" s="5">
        <v>90604</v>
      </c>
      <c r="B74" s="5" t="s">
        <v>4216</v>
      </c>
      <c r="C74" s="5">
        <v>573106442346</v>
      </c>
      <c r="D74" s="5">
        <v>95</v>
      </c>
      <c r="E74" s="5" t="s">
        <v>42</v>
      </c>
      <c r="F74" s="5" t="s">
        <v>33</v>
      </c>
      <c r="G74" s="5" t="s">
        <v>4216</v>
      </c>
      <c r="H74" s="5" t="s">
        <v>34</v>
      </c>
      <c r="I74" s="5">
        <v>3106442346</v>
      </c>
      <c r="J74" s="12">
        <v>46014</v>
      </c>
      <c r="K74" s="11">
        <v>0.77500000000145519</v>
      </c>
      <c r="M74" s="10" t="s">
        <v>15032</v>
      </c>
      <c r="N74" s="12">
        <v>46014.47078447917</v>
      </c>
      <c r="O74" s="10" t="s">
        <v>15210</v>
      </c>
      <c r="P74" s="5" t="s">
        <v>14571</v>
      </c>
      <c r="Q74" s="5" t="s">
        <v>14612</v>
      </c>
      <c r="R74" s="5" t="s">
        <v>15211</v>
      </c>
      <c r="T74" s="5" t="s">
        <v>14574</v>
      </c>
      <c r="U74" s="5" t="s">
        <v>33</v>
      </c>
      <c r="V74" s="5" t="s">
        <v>2636</v>
      </c>
      <c r="W74" s="5" t="s">
        <v>4217</v>
      </c>
    </row>
    <row r="75" spans="1:23" ht="12.5" hidden="1">
      <c r="A75" s="5">
        <v>90343</v>
      </c>
      <c r="B75" s="5" t="s">
        <v>15475</v>
      </c>
      <c r="C75" s="5">
        <v>16469223690</v>
      </c>
      <c r="D75" s="5" t="s">
        <v>15478</v>
      </c>
      <c r="E75" s="5" t="s">
        <v>3156</v>
      </c>
      <c r="F75" s="5" t="s">
        <v>964</v>
      </c>
      <c r="G75" s="5" t="s">
        <v>3154</v>
      </c>
      <c r="H75" s="5" t="s">
        <v>3155</v>
      </c>
      <c r="I75" s="5"/>
      <c r="J75" s="12">
        <v>46015</v>
      </c>
      <c r="K75" s="11">
        <v>0.375</v>
      </c>
      <c r="M75" s="10" t="s">
        <v>14602</v>
      </c>
      <c r="N75" s="12">
        <v>46007.539645567129</v>
      </c>
      <c r="O75" s="10" t="s">
        <v>14727</v>
      </c>
      <c r="P75" s="5" t="s">
        <v>14571</v>
      </c>
      <c r="Q75" s="5" t="s">
        <v>14578</v>
      </c>
      <c r="R75" s="5" t="s">
        <v>15479</v>
      </c>
      <c r="T75" s="5" t="s">
        <v>5994</v>
      </c>
      <c r="U75" s="5" t="s">
        <v>14618</v>
      </c>
      <c r="V75" s="5" t="s">
        <v>1937</v>
      </c>
    </row>
    <row r="76" spans="1:23" ht="12.5" hidden="1">
      <c r="A76" s="5">
        <v>90456</v>
      </c>
      <c r="B76" s="5" t="s">
        <v>15462</v>
      </c>
      <c r="C76" s="5">
        <v>573148143879</v>
      </c>
      <c r="D76" s="5">
        <v>38</v>
      </c>
      <c r="E76" s="5" t="s">
        <v>458</v>
      </c>
      <c r="F76" s="5" t="s">
        <v>208</v>
      </c>
      <c r="G76" s="5" t="s">
        <v>3625</v>
      </c>
      <c r="H76" s="5" t="s">
        <v>15463</v>
      </c>
      <c r="I76" s="5">
        <v>3148143879</v>
      </c>
      <c r="J76" s="12">
        <v>46015</v>
      </c>
      <c r="K76" s="11">
        <v>0.33333333333212067</v>
      </c>
      <c r="M76" s="10" t="s">
        <v>14796</v>
      </c>
      <c r="N76" s="12">
        <v>46010.492305451393</v>
      </c>
      <c r="O76" s="10" t="s">
        <v>15401</v>
      </c>
      <c r="P76" s="5" t="s">
        <v>14571</v>
      </c>
      <c r="Q76" s="5" t="s">
        <v>14612</v>
      </c>
      <c r="R76" s="5" t="s">
        <v>15464</v>
      </c>
      <c r="T76" s="5" t="s">
        <v>5994</v>
      </c>
      <c r="U76" s="5" t="s">
        <v>14593</v>
      </c>
      <c r="V76" s="5" t="s">
        <v>83</v>
      </c>
    </row>
    <row r="77" spans="1:23" ht="12.5" hidden="1">
      <c r="A77" s="5">
        <v>90523</v>
      </c>
      <c r="B77" s="5" t="s">
        <v>15430</v>
      </c>
      <c r="C77" s="5">
        <v>573106600947</v>
      </c>
      <c r="D77" s="5">
        <v>37</v>
      </c>
      <c r="E77" s="5" t="s">
        <v>1696</v>
      </c>
      <c r="F77" s="5" t="s">
        <v>103</v>
      </c>
      <c r="G77" s="5" t="s">
        <v>3885</v>
      </c>
      <c r="H77" s="5" t="s">
        <v>3886</v>
      </c>
      <c r="I77" s="5">
        <v>3106600947</v>
      </c>
      <c r="J77" s="12">
        <v>46015</v>
      </c>
      <c r="K77" s="11">
        <v>0.33333333333212067</v>
      </c>
      <c r="M77" s="10" t="s">
        <v>15431</v>
      </c>
      <c r="N77" s="12">
        <v>46012.883869942132</v>
      </c>
      <c r="O77" s="10" t="s">
        <v>15432</v>
      </c>
      <c r="P77" s="5" t="s">
        <v>14571</v>
      </c>
      <c r="Q77" s="5" t="s">
        <v>14572</v>
      </c>
      <c r="R77" s="5" t="s">
        <v>15433</v>
      </c>
      <c r="T77" s="5" t="s">
        <v>5994</v>
      </c>
      <c r="U77" s="5" t="s">
        <v>14593</v>
      </c>
      <c r="V77" s="5" t="s">
        <v>1937</v>
      </c>
    </row>
    <row r="78" spans="1:23" ht="12.5" hidden="1">
      <c r="A78" s="5">
        <v>90533</v>
      </c>
      <c r="B78" s="5" t="s">
        <v>15406</v>
      </c>
      <c r="C78" s="5">
        <v>573004575324</v>
      </c>
      <c r="D78" s="5">
        <v>32</v>
      </c>
      <c r="E78" s="5" t="s">
        <v>65</v>
      </c>
      <c r="F78" s="5" t="s">
        <v>63</v>
      </c>
      <c r="G78" s="5" t="s">
        <v>3927</v>
      </c>
      <c r="H78" s="5" t="s">
        <v>3928</v>
      </c>
      <c r="I78" s="5">
        <v>3225858990</v>
      </c>
      <c r="J78" s="12">
        <v>46015</v>
      </c>
      <c r="K78" s="11">
        <v>0.41666666666787933</v>
      </c>
      <c r="M78" s="10" t="s">
        <v>15308</v>
      </c>
      <c r="N78" s="12">
        <v>46012.515334212963</v>
      </c>
      <c r="O78" s="10" t="s">
        <v>15407</v>
      </c>
      <c r="P78" s="5" t="s">
        <v>14571</v>
      </c>
      <c r="Q78" s="5" t="s">
        <v>14578</v>
      </c>
      <c r="R78" s="5" t="s">
        <v>15408</v>
      </c>
      <c r="T78" s="5" t="s">
        <v>5994</v>
      </c>
      <c r="U78" s="5" t="s">
        <v>14598</v>
      </c>
      <c r="V78" s="5" t="s">
        <v>83</v>
      </c>
    </row>
    <row r="79" spans="1:23" ht="12.5" hidden="1">
      <c r="A79" s="5">
        <v>90565</v>
      </c>
      <c r="B79" s="5" t="s">
        <v>15323</v>
      </c>
      <c r="C79" s="5">
        <v>5715196391003</v>
      </c>
      <c r="D79" s="5">
        <v>64</v>
      </c>
      <c r="E79" s="5" t="s">
        <v>133</v>
      </c>
      <c r="F79" s="5" t="s">
        <v>103</v>
      </c>
      <c r="G79" s="5" t="s">
        <v>4044</v>
      </c>
      <c r="H79" s="5" t="s">
        <v>4045</v>
      </c>
      <c r="J79" s="12">
        <v>46015</v>
      </c>
      <c r="K79" s="11">
        <v>0.41666666666787933</v>
      </c>
      <c r="M79" s="10" t="s">
        <v>14646</v>
      </c>
      <c r="N79" s="12">
        <v>46014.375333344906</v>
      </c>
      <c r="O79" s="10" t="s">
        <v>15324</v>
      </c>
      <c r="P79" s="5" t="s">
        <v>14571</v>
      </c>
      <c r="Q79" s="5" t="s">
        <v>14612</v>
      </c>
      <c r="R79" s="5" t="s">
        <v>15325</v>
      </c>
      <c r="T79" s="5" t="s">
        <v>5994</v>
      </c>
      <c r="U79" s="5" t="s">
        <v>14593</v>
      </c>
      <c r="V79" s="5" t="s">
        <v>1937</v>
      </c>
    </row>
    <row r="80" spans="1:23" ht="12.5" hidden="1">
      <c r="A80" s="5">
        <v>90569</v>
      </c>
      <c r="B80" s="5" t="s">
        <v>15313</v>
      </c>
      <c r="C80" s="5">
        <v>573157182330</v>
      </c>
      <c r="D80" s="5">
        <v>11</v>
      </c>
      <c r="E80" s="5" t="s">
        <v>4062</v>
      </c>
      <c r="F80" s="5" t="s">
        <v>154</v>
      </c>
      <c r="G80" s="5" t="s">
        <v>4060</v>
      </c>
      <c r="H80" s="5" t="s">
        <v>4061</v>
      </c>
      <c r="I80" s="5"/>
      <c r="J80" s="12">
        <v>46015</v>
      </c>
      <c r="K80" s="11">
        <v>0.375</v>
      </c>
      <c r="M80" s="10" t="s">
        <v>15046</v>
      </c>
      <c r="N80" s="12">
        <v>46014.407708773149</v>
      </c>
      <c r="O80" s="10" t="s">
        <v>15165</v>
      </c>
      <c r="P80" s="5" t="s">
        <v>14571</v>
      </c>
      <c r="Q80" s="5" t="s">
        <v>14572</v>
      </c>
      <c r="R80" s="5" t="s">
        <v>15314</v>
      </c>
      <c r="T80" s="5" t="s">
        <v>5994</v>
      </c>
      <c r="U80" s="5" t="s">
        <v>14593</v>
      </c>
      <c r="V80" s="5" t="s">
        <v>67</v>
      </c>
    </row>
    <row r="81" spans="1:23" ht="12.5" hidden="1">
      <c r="A81" s="5">
        <v>90570</v>
      </c>
      <c r="B81" s="5" t="s">
        <v>14841</v>
      </c>
      <c r="C81" s="5">
        <v>573022601836</v>
      </c>
      <c r="D81" s="5" t="s">
        <v>15311</v>
      </c>
      <c r="E81" s="5" t="s">
        <v>4068</v>
      </c>
      <c r="F81" s="5" t="s">
        <v>879</v>
      </c>
      <c r="G81" s="5" t="s">
        <v>4066</v>
      </c>
      <c r="H81" s="5" t="s">
        <v>4718</v>
      </c>
      <c r="I81" s="5">
        <v>3022601836</v>
      </c>
      <c r="J81" s="12">
        <v>46015</v>
      </c>
      <c r="K81" s="11">
        <v>0.375</v>
      </c>
      <c r="M81" s="10" t="s">
        <v>14796</v>
      </c>
      <c r="N81" s="12">
        <v>46014.384456041662</v>
      </c>
      <c r="O81" s="10" t="s">
        <v>15111</v>
      </c>
      <c r="P81" s="5" t="s">
        <v>14571</v>
      </c>
      <c r="Q81" s="5" t="s">
        <v>14578</v>
      </c>
      <c r="R81" s="5" t="s">
        <v>15312</v>
      </c>
      <c r="T81" s="5" t="s">
        <v>5994</v>
      </c>
      <c r="U81" s="5" t="s">
        <v>14580</v>
      </c>
      <c r="V81" s="5" t="s">
        <v>83</v>
      </c>
      <c r="W81" s="5" t="s">
        <v>4069</v>
      </c>
    </row>
    <row r="82" spans="1:23" ht="12.5" hidden="1">
      <c r="A82" s="5">
        <v>90571</v>
      </c>
      <c r="B82" s="5" t="s">
        <v>15307</v>
      </c>
      <c r="C82" s="5">
        <v>573192835538</v>
      </c>
      <c r="D82" s="5">
        <v>32</v>
      </c>
      <c r="E82" s="5" t="s">
        <v>65</v>
      </c>
      <c r="F82" s="5" t="s">
        <v>1047</v>
      </c>
      <c r="G82" s="5" t="s">
        <v>4071</v>
      </c>
      <c r="H82" s="5" t="s">
        <v>4072</v>
      </c>
      <c r="I82" s="5">
        <v>3192835538</v>
      </c>
      <c r="J82" s="12">
        <v>46015</v>
      </c>
      <c r="K82" s="11">
        <v>0.375</v>
      </c>
      <c r="M82" s="10" t="s">
        <v>15308</v>
      </c>
      <c r="N82" s="12">
        <v>46014.37929167824</v>
      </c>
      <c r="O82" s="10" t="s">
        <v>15309</v>
      </c>
      <c r="P82" s="5" t="s">
        <v>14571</v>
      </c>
      <c r="Q82" s="5" t="s">
        <v>14612</v>
      </c>
      <c r="R82" s="5" t="s">
        <v>15310</v>
      </c>
      <c r="T82" s="5" t="s">
        <v>5994</v>
      </c>
      <c r="U82" s="5" t="s">
        <v>14580</v>
      </c>
      <c r="V82" s="5" t="s">
        <v>1937</v>
      </c>
    </row>
    <row r="83" spans="1:23" ht="12.5" hidden="1">
      <c r="A83" s="5">
        <v>90572</v>
      </c>
      <c r="B83" s="5" t="s">
        <v>15303</v>
      </c>
      <c r="C83" s="5">
        <v>573023021643</v>
      </c>
      <c r="D83" s="5">
        <v>95</v>
      </c>
      <c r="E83" s="5" t="s">
        <v>42</v>
      </c>
      <c r="F83" s="5" t="s">
        <v>351</v>
      </c>
      <c r="G83" s="5" t="s">
        <v>4076</v>
      </c>
      <c r="H83" s="5" t="s">
        <v>4077</v>
      </c>
      <c r="I83" s="5">
        <v>3246856148</v>
      </c>
      <c r="J83" s="12">
        <v>46015</v>
      </c>
      <c r="K83" s="11">
        <v>0.34999999999854481</v>
      </c>
      <c r="M83" s="10" t="s">
        <v>15304</v>
      </c>
      <c r="N83" s="12">
        <v>46014.41940831019</v>
      </c>
      <c r="O83" s="10" t="s">
        <v>15305</v>
      </c>
      <c r="P83" s="5" t="s">
        <v>14571</v>
      </c>
      <c r="Q83" s="5" t="s">
        <v>14572</v>
      </c>
      <c r="R83" s="5" t="s">
        <v>15306</v>
      </c>
      <c r="T83" s="5" t="s">
        <v>5994</v>
      </c>
      <c r="U83" s="5" t="s">
        <v>14580</v>
      </c>
      <c r="V83" s="5" t="s">
        <v>83</v>
      </c>
      <c r="W83" s="5" t="s">
        <v>4079</v>
      </c>
    </row>
    <row r="84" spans="1:23" ht="12.5" hidden="1">
      <c r="A84" s="5">
        <v>90573</v>
      </c>
      <c r="B84" s="5" t="s">
        <v>15300</v>
      </c>
      <c r="C84" s="5">
        <v>573185161408</v>
      </c>
      <c r="D84" s="5">
        <v>95</v>
      </c>
      <c r="E84" s="5" t="s">
        <v>42</v>
      </c>
      <c r="G84" s="5" t="s">
        <v>4082</v>
      </c>
      <c r="H84" s="5" t="s">
        <v>4083</v>
      </c>
      <c r="I84" s="5">
        <v>3185161408</v>
      </c>
      <c r="J84" s="12">
        <v>46015</v>
      </c>
      <c r="K84" s="11">
        <v>0</v>
      </c>
      <c r="M84" s="10" t="s">
        <v>15301</v>
      </c>
      <c r="N84" s="12">
        <v>46014.42751577546</v>
      </c>
      <c r="O84" s="10" t="s">
        <v>14663</v>
      </c>
      <c r="P84" s="5" t="s">
        <v>14571</v>
      </c>
      <c r="Q84" s="5" t="s">
        <v>14578</v>
      </c>
      <c r="R84" s="5" t="s">
        <v>15302</v>
      </c>
      <c r="T84" s="5" t="s">
        <v>5994</v>
      </c>
      <c r="V84" s="5" t="s">
        <v>43</v>
      </c>
      <c r="W84" s="5" t="s">
        <v>4085</v>
      </c>
    </row>
    <row r="85" spans="1:23" ht="12.5" hidden="1">
      <c r="A85" s="5">
        <v>90576</v>
      </c>
      <c r="B85" s="5" t="s">
        <v>4099</v>
      </c>
      <c r="C85" s="5" t="s">
        <v>4098</v>
      </c>
      <c r="D85" s="5">
        <v>48</v>
      </c>
      <c r="E85" s="5" t="s">
        <v>613</v>
      </c>
      <c r="F85" s="5" t="s">
        <v>1504</v>
      </c>
      <c r="G85" s="5" t="s">
        <v>4099</v>
      </c>
      <c r="H85" s="5" t="s">
        <v>15292</v>
      </c>
      <c r="I85" s="5">
        <v>3005790118</v>
      </c>
      <c r="J85" s="12">
        <v>46015</v>
      </c>
      <c r="K85" s="11">
        <v>0.33333333333212067</v>
      </c>
      <c r="M85" s="10" t="s">
        <v>15293</v>
      </c>
      <c r="N85" s="12">
        <v>46014.45042173611</v>
      </c>
      <c r="O85" s="10" t="s">
        <v>14886</v>
      </c>
      <c r="P85" s="5" t="s">
        <v>14571</v>
      </c>
      <c r="Q85" s="5" t="s">
        <v>14612</v>
      </c>
      <c r="R85" s="5" t="s">
        <v>15294</v>
      </c>
      <c r="T85" s="5" t="s">
        <v>5994</v>
      </c>
      <c r="V85" s="5" t="s">
        <v>83</v>
      </c>
      <c r="W85" s="5"/>
    </row>
    <row r="86" spans="1:23" ht="12.5" hidden="1">
      <c r="A86" s="5">
        <v>90581</v>
      </c>
      <c r="B86" s="5" t="s">
        <v>15280</v>
      </c>
      <c r="C86" s="5">
        <v>573205692515</v>
      </c>
      <c r="D86" s="5">
        <v>69</v>
      </c>
      <c r="E86" s="5" t="s">
        <v>335</v>
      </c>
      <c r="F86" s="5" t="s">
        <v>1352</v>
      </c>
      <c r="G86" s="5" t="s">
        <v>4118</v>
      </c>
      <c r="H86" s="5" t="s">
        <v>4119</v>
      </c>
      <c r="I86" s="5"/>
      <c r="J86" s="12">
        <v>46015</v>
      </c>
      <c r="K86" s="11">
        <v>0</v>
      </c>
      <c r="M86" s="10" t="s">
        <v>10581</v>
      </c>
      <c r="N86" s="12">
        <v>46014.330272858795</v>
      </c>
      <c r="O86" s="10" t="s">
        <v>14738</v>
      </c>
      <c r="P86" s="5" t="s">
        <v>14571</v>
      </c>
      <c r="Q86" s="5" t="s">
        <v>14572</v>
      </c>
      <c r="R86" s="5" t="s">
        <v>15281</v>
      </c>
      <c r="T86" s="5" t="s">
        <v>5994</v>
      </c>
      <c r="U86" s="5"/>
      <c r="V86" s="5" t="s">
        <v>204</v>
      </c>
    </row>
    <row r="87" spans="1:23" ht="12.5" hidden="1">
      <c r="A87" s="5">
        <v>90587</v>
      </c>
      <c r="B87" s="5" t="s">
        <v>15266</v>
      </c>
      <c r="C87" s="5">
        <v>573016851449</v>
      </c>
      <c r="D87" s="5" t="s">
        <v>14589</v>
      </c>
      <c r="E87" s="5" t="s">
        <v>4142</v>
      </c>
      <c r="F87" s="5" t="s">
        <v>307</v>
      </c>
      <c r="G87" s="5" t="s">
        <v>4140</v>
      </c>
      <c r="H87" s="5" t="s">
        <v>4141</v>
      </c>
      <c r="I87" s="5">
        <v>3016851449</v>
      </c>
      <c r="J87" s="12">
        <v>46015</v>
      </c>
      <c r="K87" s="11">
        <v>0.375</v>
      </c>
      <c r="M87" s="10" t="s">
        <v>14712</v>
      </c>
      <c r="N87" s="12">
        <v>46014.565122256943</v>
      </c>
      <c r="O87" s="10" t="s">
        <v>15267</v>
      </c>
      <c r="P87" s="5" t="s">
        <v>14571</v>
      </c>
      <c r="Q87" s="5" t="s">
        <v>14578</v>
      </c>
      <c r="R87" s="5" t="s">
        <v>15268</v>
      </c>
      <c r="T87" s="5" t="s">
        <v>5994</v>
      </c>
      <c r="U87" s="5" t="s">
        <v>14618</v>
      </c>
      <c r="V87" s="5" t="s">
        <v>83</v>
      </c>
      <c r="W87" s="5" t="s">
        <v>4144</v>
      </c>
    </row>
    <row r="88" spans="1:23" ht="12.5" hidden="1">
      <c r="A88" s="5">
        <v>90591</v>
      </c>
      <c r="B88" s="5" t="s">
        <v>15251</v>
      </c>
      <c r="C88" s="5">
        <v>573127608327</v>
      </c>
      <c r="D88" s="5">
        <v>95</v>
      </c>
      <c r="E88" s="5" t="s">
        <v>42</v>
      </c>
      <c r="F88" s="5" t="s">
        <v>930</v>
      </c>
      <c r="G88" s="5" t="s">
        <v>4160</v>
      </c>
      <c r="H88" s="5" t="s">
        <v>4161</v>
      </c>
      <c r="J88" s="12">
        <v>46015</v>
      </c>
      <c r="K88" s="11">
        <v>0.41666666666787933</v>
      </c>
      <c r="M88" s="10" t="s">
        <v>15252</v>
      </c>
      <c r="N88" s="12">
        <v>46014.597822083335</v>
      </c>
      <c r="O88" s="10" t="s">
        <v>15253</v>
      </c>
      <c r="P88" s="5" t="s">
        <v>14571</v>
      </c>
      <c r="Q88" s="5" t="s">
        <v>14612</v>
      </c>
      <c r="R88" s="5" t="s">
        <v>15254</v>
      </c>
      <c r="T88" s="5" t="s">
        <v>5994</v>
      </c>
      <c r="U88" s="5" t="s">
        <v>14598</v>
      </c>
      <c r="V88" s="5" t="s">
        <v>83</v>
      </c>
      <c r="W88" s="5" t="s">
        <v>4162</v>
      </c>
    </row>
    <row r="89" spans="1:23" ht="12.5" hidden="1">
      <c r="A89" s="5">
        <v>90592</v>
      </c>
      <c r="B89" s="5" t="s">
        <v>14370</v>
      </c>
      <c r="C89" s="5">
        <v>573005259249</v>
      </c>
      <c r="D89" s="5">
        <v>67</v>
      </c>
      <c r="E89" s="5" t="s">
        <v>542</v>
      </c>
      <c r="F89" s="5" t="s">
        <v>161</v>
      </c>
      <c r="G89" s="5" t="s">
        <v>4165</v>
      </c>
      <c r="H89" s="5" t="s">
        <v>4166</v>
      </c>
      <c r="I89" s="5">
        <v>3008048874</v>
      </c>
      <c r="J89" s="12">
        <v>46015</v>
      </c>
      <c r="K89" s="11">
        <v>0</v>
      </c>
      <c r="M89" s="10" t="s">
        <v>15248</v>
      </c>
      <c r="N89" s="12">
        <v>46014.610365856483</v>
      </c>
      <c r="O89" s="10" t="s">
        <v>15249</v>
      </c>
      <c r="P89" s="5" t="s">
        <v>14571</v>
      </c>
      <c r="Q89" s="5" t="s">
        <v>14572</v>
      </c>
      <c r="R89" s="5" t="s">
        <v>15250</v>
      </c>
      <c r="T89" s="5" t="s">
        <v>5994</v>
      </c>
      <c r="U89" s="5" t="s">
        <v>14593</v>
      </c>
      <c r="V89" s="5" t="s">
        <v>83</v>
      </c>
    </row>
    <row r="90" spans="1:23" ht="12.5" hidden="1">
      <c r="A90" s="5">
        <v>90594</v>
      </c>
      <c r="B90" s="5" t="s">
        <v>15241</v>
      </c>
      <c r="C90" s="5">
        <v>573128213377</v>
      </c>
      <c r="D90" s="5">
        <v>2</v>
      </c>
      <c r="E90" s="5" t="s">
        <v>1251</v>
      </c>
      <c r="F90" s="5" t="s">
        <v>351</v>
      </c>
      <c r="G90" s="5" t="s">
        <v>4176</v>
      </c>
      <c r="H90" s="5" t="s">
        <v>4177</v>
      </c>
      <c r="I90" s="5">
        <v>3128213377</v>
      </c>
      <c r="J90" s="12">
        <v>46015</v>
      </c>
      <c r="K90" s="11">
        <v>0.58333333333212067</v>
      </c>
      <c r="M90" s="10" t="s">
        <v>15242</v>
      </c>
      <c r="N90" s="12">
        <v>46014.523011307872</v>
      </c>
      <c r="O90" s="10" t="s">
        <v>15243</v>
      </c>
      <c r="P90" s="5" t="s">
        <v>14571</v>
      </c>
      <c r="Q90" s="5" t="s">
        <v>14578</v>
      </c>
      <c r="R90" s="5" t="s">
        <v>15244</v>
      </c>
      <c r="T90" s="5" t="s">
        <v>5994</v>
      </c>
      <c r="U90" s="5" t="s">
        <v>14580</v>
      </c>
      <c r="V90" s="5" t="s">
        <v>83</v>
      </c>
    </row>
    <row r="91" spans="1:23" ht="12.5" hidden="1">
      <c r="A91" s="5">
        <v>90596</v>
      </c>
      <c r="B91" s="5" t="s">
        <v>5397</v>
      </c>
      <c r="C91" s="5">
        <v>573045733898</v>
      </c>
      <c r="D91" s="5">
        <v>12</v>
      </c>
      <c r="E91" s="5" t="s">
        <v>239</v>
      </c>
      <c r="F91" s="5" t="s">
        <v>1187</v>
      </c>
      <c r="G91" s="5" t="s">
        <v>4185</v>
      </c>
      <c r="H91" s="5" t="s">
        <v>4186</v>
      </c>
      <c r="I91" s="5">
        <v>3126435537</v>
      </c>
      <c r="J91" s="12">
        <v>46015</v>
      </c>
      <c r="K91" s="11">
        <v>0.45833333333212067</v>
      </c>
      <c r="M91" s="10" t="s">
        <v>15235</v>
      </c>
      <c r="N91" s="12">
        <v>46014.661524583338</v>
      </c>
      <c r="O91" s="10" t="s">
        <v>15236</v>
      </c>
      <c r="P91" s="5" t="s">
        <v>14571</v>
      </c>
      <c r="Q91" s="5" t="s">
        <v>14612</v>
      </c>
      <c r="R91" s="5" t="s">
        <v>15237</v>
      </c>
      <c r="T91" s="5" t="s">
        <v>5994</v>
      </c>
      <c r="U91" s="5"/>
      <c r="V91" s="5" t="s">
        <v>83</v>
      </c>
    </row>
    <row r="92" spans="1:23" ht="12.5" hidden="1">
      <c r="A92" s="5">
        <v>90605</v>
      </c>
      <c r="B92" s="5" t="s">
        <v>15208</v>
      </c>
      <c r="C92" s="5">
        <v>17865186525</v>
      </c>
      <c r="D92" s="5">
        <v>51</v>
      </c>
      <c r="E92" s="5" t="s">
        <v>384</v>
      </c>
      <c r="F92" s="5" t="s">
        <v>249</v>
      </c>
      <c r="G92" s="5" t="s">
        <v>4219</v>
      </c>
      <c r="H92" s="5" t="s">
        <v>4220</v>
      </c>
      <c r="I92" s="5">
        <v>3003789510</v>
      </c>
      <c r="J92" s="12">
        <v>46015</v>
      </c>
      <c r="K92" s="11">
        <v>0.41666666666787933</v>
      </c>
      <c r="M92" s="10" t="s">
        <v>15040</v>
      </c>
      <c r="N92" s="12">
        <v>46014.674762499999</v>
      </c>
      <c r="O92" s="10" t="s">
        <v>14797</v>
      </c>
      <c r="P92" s="5" t="s">
        <v>14571</v>
      </c>
      <c r="Q92" s="5" t="s">
        <v>14572</v>
      </c>
      <c r="R92" s="5" t="s">
        <v>15209</v>
      </c>
      <c r="T92" s="5" t="s">
        <v>5994</v>
      </c>
      <c r="U92" s="5" t="s">
        <v>14593</v>
      </c>
      <c r="V92" s="5" t="s">
        <v>1481</v>
      </c>
      <c r="W92" s="5" t="s">
        <v>4222</v>
      </c>
    </row>
    <row r="93" spans="1:23" ht="12.5" hidden="1">
      <c r="A93" s="5">
        <v>90606</v>
      </c>
      <c r="B93" s="5" t="s">
        <v>15204</v>
      </c>
      <c r="C93" s="5">
        <v>573175181022</v>
      </c>
      <c r="D93" s="5">
        <v>95</v>
      </c>
      <c r="E93" s="5" t="s">
        <v>42</v>
      </c>
      <c r="F93" s="5" t="s">
        <v>154</v>
      </c>
      <c r="G93" s="5" t="s">
        <v>4224</v>
      </c>
      <c r="H93" s="5" t="s">
        <v>4225</v>
      </c>
      <c r="I93" s="5">
        <v>3175181022</v>
      </c>
      <c r="J93" s="12">
        <v>46015</v>
      </c>
      <c r="K93" s="11">
        <v>0.41666666666787933</v>
      </c>
      <c r="M93" s="10" t="s">
        <v>15205</v>
      </c>
      <c r="N93" s="12">
        <v>46014.634758611108</v>
      </c>
      <c r="O93" s="10" t="s">
        <v>15206</v>
      </c>
      <c r="P93" s="5" t="s">
        <v>14571</v>
      </c>
      <c r="Q93" s="5" t="s">
        <v>14578</v>
      </c>
      <c r="R93" s="5" t="s">
        <v>15207</v>
      </c>
      <c r="T93" s="5" t="s">
        <v>5994</v>
      </c>
      <c r="U93" s="5" t="s">
        <v>14593</v>
      </c>
      <c r="V93" s="5" t="s">
        <v>67</v>
      </c>
      <c r="W93" s="5" t="s">
        <v>4227</v>
      </c>
    </row>
    <row r="94" spans="1:23" ht="15.5" hidden="1">
      <c r="A94" s="5">
        <v>90607</v>
      </c>
      <c r="B94" s="5" t="s">
        <v>1231</v>
      </c>
      <c r="C94" s="5">
        <v>573007682024</v>
      </c>
      <c r="D94" s="5">
        <v>95</v>
      </c>
      <c r="E94" s="5" t="s">
        <v>42</v>
      </c>
      <c r="F94" s="5" t="s">
        <v>33</v>
      </c>
      <c r="G94" s="5" t="s">
        <v>1231</v>
      </c>
      <c r="H94" s="25" t="s">
        <v>33</v>
      </c>
      <c r="I94" s="5">
        <v>3007682024</v>
      </c>
      <c r="J94" s="12">
        <v>46015</v>
      </c>
      <c r="K94" s="11">
        <v>0</v>
      </c>
      <c r="M94" s="21">
        <v>0</v>
      </c>
      <c r="N94" s="12">
        <v>46015.300887592588</v>
      </c>
      <c r="O94" s="7">
        <v>0</v>
      </c>
      <c r="P94" s="5" t="s">
        <v>14571</v>
      </c>
      <c r="Q94" s="5" t="s">
        <v>14612</v>
      </c>
      <c r="R94" s="5" t="s">
        <v>15203</v>
      </c>
      <c r="T94" s="5" t="s">
        <v>14574</v>
      </c>
      <c r="U94" s="5" t="s">
        <v>33</v>
      </c>
      <c r="V94" s="5" t="s">
        <v>43</v>
      </c>
      <c r="W94" s="5" t="s">
        <v>4229</v>
      </c>
    </row>
    <row r="95" spans="1:23" ht="12.5" hidden="1">
      <c r="A95" s="5">
        <v>90608</v>
      </c>
      <c r="B95" s="5" t="s">
        <v>4232</v>
      </c>
      <c r="C95" s="5">
        <v>573013638788</v>
      </c>
      <c r="D95" s="5">
        <v>95</v>
      </c>
      <c r="E95" s="5" t="s">
        <v>42</v>
      </c>
      <c r="F95" s="5" t="s">
        <v>33</v>
      </c>
      <c r="G95" s="5" t="s">
        <v>4232</v>
      </c>
      <c r="H95" s="5" t="s">
        <v>15201</v>
      </c>
      <c r="I95" s="5"/>
      <c r="J95" s="12">
        <v>46015</v>
      </c>
      <c r="K95" s="11">
        <v>0</v>
      </c>
      <c r="M95" s="10" t="s">
        <v>14705</v>
      </c>
      <c r="N95" s="12">
        <v>46015.300879629634</v>
      </c>
      <c r="O95" s="10" t="s">
        <v>15202</v>
      </c>
      <c r="P95" s="5" t="s">
        <v>14571</v>
      </c>
      <c r="Q95" s="5" t="s">
        <v>14572</v>
      </c>
      <c r="R95" s="5" t="s">
        <v>15203</v>
      </c>
      <c r="T95" s="5" t="s">
        <v>14574</v>
      </c>
      <c r="U95" s="5" t="s">
        <v>33</v>
      </c>
      <c r="V95" s="5" t="s">
        <v>43</v>
      </c>
      <c r="W95" s="5" t="s">
        <v>4234</v>
      </c>
    </row>
    <row r="96" spans="1:23" ht="12.5" hidden="1">
      <c r="A96" s="5">
        <v>90609</v>
      </c>
      <c r="B96" s="5" t="s">
        <v>4236</v>
      </c>
      <c r="C96" s="5">
        <v>573016978511</v>
      </c>
      <c r="D96" s="5">
        <v>95</v>
      </c>
      <c r="E96" s="5" t="s">
        <v>42</v>
      </c>
      <c r="F96" s="5" t="s">
        <v>33</v>
      </c>
      <c r="G96" s="5" t="s">
        <v>4236</v>
      </c>
      <c r="H96" s="5" t="s">
        <v>34</v>
      </c>
      <c r="I96" s="5">
        <v>3016978511</v>
      </c>
      <c r="J96" s="12">
        <v>46015</v>
      </c>
      <c r="K96" s="11">
        <v>0</v>
      </c>
      <c r="M96" s="10" t="s">
        <v>15198</v>
      </c>
      <c r="N96" s="12">
        <v>46015.314894953699</v>
      </c>
      <c r="O96" s="10" t="s">
        <v>15199</v>
      </c>
      <c r="P96" s="5" t="s">
        <v>14571</v>
      </c>
      <c r="Q96" s="5" t="s">
        <v>14578</v>
      </c>
      <c r="R96" s="5" t="s">
        <v>15200</v>
      </c>
      <c r="T96" s="5" t="s">
        <v>14574</v>
      </c>
      <c r="U96" s="5" t="s">
        <v>33</v>
      </c>
      <c r="V96" s="5" t="s">
        <v>2636</v>
      </c>
      <c r="W96" s="5" t="s">
        <v>1286</v>
      </c>
    </row>
    <row r="97" spans="1:23" ht="12.5" hidden="1">
      <c r="A97" s="5">
        <v>90610</v>
      </c>
      <c r="B97" s="5" t="s">
        <v>15195</v>
      </c>
      <c r="C97" s="5">
        <v>573003735055</v>
      </c>
      <c r="D97" s="5">
        <v>31</v>
      </c>
      <c r="E97" s="5" t="s">
        <v>375</v>
      </c>
      <c r="F97" s="5" t="s">
        <v>124</v>
      </c>
      <c r="G97" s="5" t="s">
        <v>4238</v>
      </c>
      <c r="H97" s="5" t="s">
        <v>4239</v>
      </c>
      <c r="I97" s="5">
        <v>3174318096</v>
      </c>
      <c r="J97" s="12">
        <v>46015</v>
      </c>
      <c r="K97" s="11">
        <v>0.375</v>
      </c>
      <c r="M97" s="10" t="s">
        <v>14881</v>
      </c>
      <c r="N97" s="12">
        <v>46015.328518402777</v>
      </c>
      <c r="O97" s="10" t="s">
        <v>15196</v>
      </c>
      <c r="P97" s="5" t="s">
        <v>14571</v>
      </c>
      <c r="Q97" s="5" t="s">
        <v>14612</v>
      </c>
      <c r="R97" s="5" t="s">
        <v>15197</v>
      </c>
      <c r="T97" s="5" t="s">
        <v>5994</v>
      </c>
      <c r="U97" s="5" t="s">
        <v>14775</v>
      </c>
      <c r="V97" s="5" t="s">
        <v>1937</v>
      </c>
    </row>
    <row r="98" spans="1:23" ht="12.5" hidden="1">
      <c r="A98" s="5">
        <v>90611</v>
      </c>
      <c r="B98" s="5" t="s">
        <v>15192</v>
      </c>
      <c r="C98" s="5">
        <v>573017961778</v>
      </c>
      <c r="D98" s="5">
        <v>45</v>
      </c>
      <c r="E98" s="5" t="s">
        <v>210</v>
      </c>
      <c r="F98" s="5" t="s">
        <v>405</v>
      </c>
      <c r="G98" s="5" t="s">
        <v>4243</v>
      </c>
      <c r="H98" s="5" t="s">
        <v>4244</v>
      </c>
      <c r="J98" s="12">
        <v>46015</v>
      </c>
      <c r="K98" s="11">
        <v>0</v>
      </c>
      <c r="M98" s="10" t="s">
        <v>14740</v>
      </c>
      <c r="N98" s="12">
        <v>46014.817783379629</v>
      </c>
      <c r="O98" s="10" t="s">
        <v>15193</v>
      </c>
      <c r="P98" s="5" t="s">
        <v>14571</v>
      </c>
      <c r="Q98" s="5" t="s">
        <v>14572</v>
      </c>
      <c r="R98" s="5" t="s">
        <v>15194</v>
      </c>
      <c r="T98" s="5" t="s">
        <v>5994</v>
      </c>
      <c r="U98" s="5"/>
      <c r="V98" s="5" t="s">
        <v>180</v>
      </c>
    </row>
    <row r="99" spans="1:23" ht="12.5" hidden="1">
      <c r="A99" s="5">
        <v>90612</v>
      </c>
      <c r="B99" s="5" t="s">
        <v>10729</v>
      </c>
      <c r="C99" s="5">
        <v>573015718010</v>
      </c>
      <c r="D99" s="5">
        <v>29</v>
      </c>
      <c r="E99" s="5" t="s">
        <v>309</v>
      </c>
      <c r="F99" s="5" t="s">
        <v>563</v>
      </c>
      <c r="G99" s="5" t="s">
        <v>4247</v>
      </c>
      <c r="H99" s="5" t="s">
        <v>15189</v>
      </c>
      <c r="I99" s="5">
        <v>3005061277</v>
      </c>
      <c r="J99" s="12">
        <v>46015</v>
      </c>
      <c r="K99" s="11">
        <v>0.40000000000145519</v>
      </c>
      <c r="M99" s="10" t="s">
        <v>14832</v>
      </c>
      <c r="N99" s="12">
        <v>46015.34774946759</v>
      </c>
      <c r="O99" s="10" t="s">
        <v>15190</v>
      </c>
      <c r="P99" s="5" t="s">
        <v>14571</v>
      </c>
      <c r="Q99" s="5" t="s">
        <v>14578</v>
      </c>
      <c r="R99" s="5" t="s">
        <v>15191</v>
      </c>
      <c r="T99" s="5" t="s">
        <v>5994</v>
      </c>
      <c r="U99" s="5" t="s">
        <v>14775</v>
      </c>
      <c r="V99" s="5" t="s">
        <v>83</v>
      </c>
    </row>
    <row r="100" spans="1:23" ht="12.5" hidden="1">
      <c r="A100" s="5">
        <v>90613</v>
      </c>
      <c r="B100" s="5" t="s">
        <v>15186</v>
      </c>
      <c r="C100" s="5">
        <v>573205592824</v>
      </c>
      <c r="D100" s="5">
        <v>32</v>
      </c>
      <c r="E100" s="5" t="s">
        <v>65</v>
      </c>
      <c r="F100" s="5" t="s">
        <v>33</v>
      </c>
      <c r="G100" s="5" t="s">
        <v>4252</v>
      </c>
      <c r="H100" s="5" t="s">
        <v>34</v>
      </c>
      <c r="J100" s="12">
        <v>46015</v>
      </c>
      <c r="K100" s="11">
        <v>0.45833333333212067</v>
      </c>
      <c r="M100" s="10" t="s">
        <v>14800</v>
      </c>
      <c r="N100" s="12">
        <v>46015.351464907406</v>
      </c>
      <c r="O100" s="10" t="s">
        <v>15187</v>
      </c>
      <c r="P100" s="5" t="s">
        <v>14571</v>
      </c>
      <c r="Q100" s="5" t="s">
        <v>14612</v>
      </c>
      <c r="R100" s="5" t="s">
        <v>15188</v>
      </c>
      <c r="T100" s="5" t="s">
        <v>14574</v>
      </c>
      <c r="U100" s="5" t="s">
        <v>33</v>
      </c>
      <c r="V100" s="5" t="s">
        <v>83</v>
      </c>
    </row>
    <row r="101" spans="1:23" ht="12.5" hidden="1">
      <c r="A101" s="5">
        <v>90614</v>
      </c>
      <c r="B101" s="5" t="s">
        <v>12073</v>
      </c>
      <c r="C101" s="5">
        <v>573166212722</v>
      </c>
      <c r="D101" s="5">
        <v>51</v>
      </c>
      <c r="E101" s="5" t="s">
        <v>384</v>
      </c>
      <c r="F101" s="5" t="s">
        <v>33</v>
      </c>
      <c r="G101" s="5" t="s">
        <v>4256</v>
      </c>
      <c r="H101" s="10" t="s">
        <v>4257</v>
      </c>
      <c r="I101" s="5">
        <v>3166212722</v>
      </c>
      <c r="J101" s="12">
        <v>46015</v>
      </c>
      <c r="K101" s="11">
        <v>0.41666666666787933</v>
      </c>
      <c r="M101" s="10" t="s">
        <v>14740</v>
      </c>
      <c r="N101" s="12">
        <v>46015.35594256944</v>
      </c>
      <c r="O101" s="10" t="s">
        <v>15184</v>
      </c>
      <c r="P101" s="5" t="s">
        <v>14571</v>
      </c>
      <c r="Q101" s="5" t="s">
        <v>14572</v>
      </c>
      <c r="R101" s="5" t="s">
        <v>15185</v>
      </c>
      <c r="T101" s="5" t="s">
        <v>14574</v>
      </c>
      <c r="U101" s="5" t="s">
        <v>33</v>
      </c>
      <c r="V101" s="5" t="s">
        <v>2438</v>
      </c>
    </row>
    <row r="102" spans="1:23" ht="12.5" hidden="1">
      <c r="A102" s="5">
        <v>90615</v>
      </c>
      <c r="B102" s="5" t="s">
        <v>15182</v>
      </c>
      <c r="C102" s="5">
        <v>573187125302</v>
      </c>
      <c r="D102" s="5">
        <v>95</v>
      </c>
      <c r="E102" s="5" t="s">
        <v>42</v>
      </c>
      <c r="F102" s="5" t="s">
        <v>33</v>
      </c>
      <c r="G102" s="5" t="s">
        <v>4259</v>
      </c>
      <c r="H102" s="5" t="s">
        <v>34</v>
      </c>
      <c r="J102" s="12">
        <v>46015</v>
      </c>
      <c r="K102" s="11">
        <v>0.41041666666569654</v>
      </c>
      <c r="M102" s="10" t="s">
        <v>2686</v>
      </c>
      <c r="N102" s="12">
        <v>46015.34320210648</v>
      </c>
      <c r="O102" s="10" t="s">
        <v>14904</v>
      </c>
      <c r="P102" s="5" t="s">
        <v>14571</v>
      </c>
      <c r="Q102" s="5" t="s">
        <v>14578</v>
      </c>
      <c r="R102" s="5" t="s">
        <v>15183</v>
      </c>
      <c r="T102" s="5" t="s">
        <v>14574</v>
      </c>
      <c r="U102" s="5" t="s">
        <v>33</v>
      </c>
      <c r="V102" s="5" t="s">
        <v>83</v>
      </c>
      <c r="W102" s="5" t="s">
        <v>4260</v>
      </c>
    </row>
    <row r="103" spans="1:23" ht="12.5" hidden="1">
      <c r="A103" s="5">
        <v>90616</v>
      </c>
      <c r="B103" s="5" t="s">
        <v>15178</v>
      </c>
      <c r="C103" s="5">
        <v>573003237568</v>
      </c>
      <c r="D103" s="5">
        <v>71</v>
      </c>
      <c r="E103" s="5" t="s">
        <v>734</v>
      </c>
      <c r="F103" s="5" t="s">
        <v>1722</v>
      </c>
      <c r="G103" s="5" t="s">
        <v>4262</v>
      </c>
      <c r="H103" s="5" t="s">
        <v>4263</v>
      </c>
      <c r="J103" s="12">
        <v>46015</v>
      </c>
      <c r="K103" s="11">
        <v>0.45833333333212067</v>
      </c>
      <c r="M103" s="10" t="s">
        <v>15179</v>
      </c>
      <c r="N103" s="12">
        <v>46015.375656874996</v>
      </c>
      <c r="O103" s="10" t="s">
        <v>15180</v>
      </c>
      <c r="P103" s="5" t="s">
        <v>14571</v>
      </c>
      <c r="Q103" s="5" t="s">
        <v>14612</v>
      </c>
      <c r="R103" s="5" t="s">
        <v>15181</v>
      </c>
      <c r="T103" s="5" t="s">
        <v>5994</v>
      </c>
      <c r="U103" s="5" t="s">
        <v>14580</v>
      </c>
      <c r="V103" s="5" t="s">
        <v>2636</v>
      </c>
      <c r="W103" s="5" t="s">
        <v>4265</v>
      </c>
    </row>
    <row r="104" spans="1:23" ht="12.5" hidden="1">
      <c r="A104" s="5">
        <v>90617</v>
      </c>
      <c r="B104" s="5" t="s">
        <v>15175</v>
      </c>
      <c r="C104" s="5">
        <v>573013687261</v>
      </c>
      <c r="D104" s="5">
        <v>20</v>
      </c>
      <c r="E104" s="5" t="s">
        <v>187</v>
      </c>
      <c r="F104" s="5" t="s">
        <v>33</v>
      </c>
      <c r="G104" s="5" t="s">
        <v>4267</v>
      </c>
      <c r="H104" s="5" t="s">
        <v>34</v>
      </c>
      <c r="I104" s="5">
        <v>3013687261</v>
      </c>
      <c r="J104" s="12">
        <v>46015</v>
      </c>
      <c r="K104" s="11">
        <v>0.44861111111094942</v>
      </c>
      <c r="M104" s="10" t="s">
        <v>14712</v>
      </c>
      <c r="N104" s="12">
        <v>46015.344110023143</v>
      </c>
      <c r="O104" s="10" t="s">
        <v>15176</v>
      </c>
      <c r="P104" s="5" t="s">
        <v>14571</v>
      </c>
      <c r="Q104" s="5" t="s">
        <v>14572</v>
      </c>
      <c r="R104" s="5" t="s">
        <v>15177</v>
      </c>
      <c r="T104" s="5" t="s">
        <v>14574</v>
      </c>
      <c r="U104" s="5" t="s">
        <v>33</v>
      </c>
      <c r="V104" s="5" t="s">
        <v>180</v>
      </c>
      <c r="W104" s="5" t="s">
        <v>4269</v>
      </c>
    </row>
    <row r="105" spans="1:23" ht="12.5" hidden="1">
      <c r="A105" s="5">
        <v>90618</v>
      </c>
      <c r="B105" s="5" t="s">
        <v>15172</v>
      </c>
      <c r="C105" s="5">
        <v>573004753197</v>
      </c>
      <c r="D105" s="5">
        <v>52</v>
      </c>
      <c r="E105" s="5" t="s">
        <v>178</v>
      </c>
      <c r="F105" s="5" t="s">
        <v>73</v>
      </c>
      <c r="G105" s="5" t="s">
        <v>4271</v>
      </c>
      <c r="H105" s="5" t="s">
        <v>4272</v>
      </c>
      <c r="I105" s="5">
        <v>3160665040</v>
      </c>
      <c r="J105" s="12">
        <v>46015</v>
      </c>
      <c r="K105" s="11">
        <v>0.41666666666787933</v>
      </c>
      <c r="M105" s="10" t="s">
        <v>14859</v>
      </c>
      <c r="N105" s="12">
        <v>46015.37049700231</v>
      </c>
      <c r="O105" s="10" t="s">
        <v>15173</v>
      </c>
      <c r="P105" s="5" t="s">
        <v>14571</v>
      </c>
      <c r="Q105" s="5" t="s">
        <v>14578</v>
      </c>
      <c r="R105" s="5" t="s">
        <v>15174</v>
      </c>
      <c r="T105" s="5" t="s">
        <v>5994</v>
      </c>
      <c r="U105" s="5" t="s">
        <v>14593</v>
      </c>
      <c r="V105" s="5" t="s">
        <v>83</v>
      </c>
      <c r="W105" s="5" t="s">
        <v>4274</v>
      </c>
    </row>
    <row r="106" spans="1:23" ht="12.5" hidden="1">
      <c r="A106" s="5">
        <v>90619</v>
      </c>
      <c r="B106" s="5" t="s">
        <v>15169</v>
      </c>
      <c r="C106" s="5">
        <v>573105628531</v>
      </c>
      <c r="D106" s="5">
        <v>18</v>
      </c>
      <c r="E106" s="5" t="s">
        <v>370</v>
      </c>
      <c r="F106" s="5" t="s">
        <v>63</v>
      </c>
      <c r="G106" s="5" t="s">
        <v>4277</v>
      </c>
      <c r="H106" s="5" t="s">
        <v>4278</v>
      </c>
      <c r="J106" s="12">
        <v>46015</v>
      </c>
      <c r="K106" s="11">
        <v>0.45833333333212067</v>
      </c>
      <c r="M106" s="10" t="s">
        <v>14927</v>
      </c>
      <c r="N106" s="12">
        <v>46015.386585416665</v>
      </c>
      <c r="O106" s="10" t="s">
        <v>15170</v>
      </c>
      <c r="P106" s="5" t="s">
        <v>14571</v>
      </c>
      <c r="Q106" s="5" t="s">
        <v>14612</v>
      </c>
      <c r="R106" s="5" t="s">
        <v>15171</v>
      </c>
      <c r="T106" s="5" t="s">
        <v>5994</v>
      </c>
      <c r="U106" s="5" t="s">
        <v>14598</v>
      </c>
      <c r="V106" s="5" t="s">
        <v>180</v>
      </c>
    </row>
    <row r="107" spans="1:23" ht="12.5" hidden="1">
      <c r="A107" s="5">
        <v>90620</v>
      </c>
      <c r="B107" s="5" t="s">
        <v>15167</v>
      </c>
      <c r="C107" s="5">
        <v>573004768221</v>
      </c>
      <c r="D107" s="5">
        <v>21</v>
      </c>
      <c r="E107" s="5" t="s">
        <v>330</v>
      </c>
      <c r="F107" s="5" t="s">
        <v>4283</v>
      </c>
      <c r="G107" s="5" t="s">
        <v>4282</v>
      </c>
      <c r="H107" s="5" t="s">
        <v>4284</v>
      </c>
      <c r="I107" s="5">
        <v>3022074663</v>
      </c>
      <c r="J107" s="12">
        <v>46015</v>
      </c>
      <c r="K107" s="11">
        <v>0.48194444444379769</v>
      </c>
      <c r="M107" s="10" t="s">
        <v>14712</v>
      </c>
      <c r="N107" s="12">
        <v>46015.348692951389</v>
      </c>
      <c r="O107" s="10" t="s">
        <v>14669</v>
      </c>
      <c r="P107" s="5" t="s">
        <v>14571</v>
      </c>
      <c r="Q107" s="5" t="s">
        <v>14572</v>
      </c>
      <c r="R107" s="5" t="s">
        <v>15168</v>
      </c>
      <c r="T107" s="5" t="s">
        <v>5994</v>
      </c>
      <c r="U107" s="5" t="s">
        <v>14691</v>
      </c>
      <c r="V107" s="5" t="s">
        <v>83</v>
      </c>
    </row>
    <row r="108" spans="1:23" ht="12.5" hidden="1">
      <c r="A108" s="5">
        <v>90621</v>
      </c>
      <c r="B108" s="5" t="s">
        <v>12679</v>
      </c>
      <c r="C108" s="5">
        <v>573225236847</v>
      </c>
      <c r="D108" s="5">
        <v>53</v>
      </c>
      <c r="E108" s="5" t="s">
        <v>75</v>
      </c>
      <c r="F108" s="5" t="s">
        <v>146</v>
      </c>
      <c r="G108" s="5" t="s">
        <v>15164</v>
      </c>
      <c r="H108" s="5" t="s">
        <v>4289</v>
      </c>
      <c r="I108" s="5" t="s">
        <v>8644</v>
      </c>
      <c r="J108" s="12">
        <v>46015</v>
      </c>
      <c r="K108" s="11">
        <v>0.47916666666787933</v>
      </c>
      <c r="M108" s="10" t="s">
        <v>14881</v>
      </c>
      <c r="N108" s="12">
        <v>46015.364781365744</v>
      </c>
      <c r="O108" s="10" t="s">
        <v>15165</v>
      </c>
      <c r="P108" s="5" t="s">
        <v>14571</v>
      </c>
      <c r="Q108" s="5" t="s">
        <v>14578</v>
      </c>
      <c r="R108" s="5" t="s">
        <v>15166</v>
      </c>
      <c r="T108" s="5" t="s">
        <v>5994</v>
      </c>
      <c r="U108" s="5" t="s">
        <v>14618</v>
      </c>
      <c r="V108" s="5" t="s">
        <v>83</v>
      </c>
    </row>
    <row r="109" spans="1:23" ht="12.5" hidden="1">
      <c r="A109" s="5">
        <v>90622</v>
      </c>
      <c r="B109" s="5" t="s">
        <v>15160</v>
      </c>
      <c r="C109" s="5">
        <v>573017851009</v>
      </c>
      <c r="D109" s="5">
        <v>52</v>
      </c>
      <c r="E109" s="5" t="s">
        <v>178</v>
      </c>
      <c r="F109" s="5" t="s">
        <v>975</v>
      </c>
      <c r="G109" s="5" t="s">
        <v>4293</v>
      </c>
      <c r="H109" s="5" t="s">
        <v>4294</v>
      </c>
      <c r="I109" s="5">
        <v>3017851009</v>
      </c>
      <c r="J109" s="12">
        <v>46015</v>
      </c>
      <c r="K109" s="11">
        <v>0.97777777777810115</v>
      </c>
      <c r="M109" s="10" t="s">
        <v>15161</v>
      </c>
      <c r="N109" s="12">
        <v>46015.416727627315</v>
      </c>
      <c r="O109" s="10" t="s">
        <v>15162</v>
      </c>
      <c r="P109" s="5" t="s">
        <v>14571</v>
      </c>
      <c r="Q109" s="5" t="s">
        <v>14612</v>
      </c>
      <c r="R109" s="5" t="s">
        <v>15163</v>
      </c>
      <c r="T109" s="5" t="s">
        <v>5994</v>
      </c>
      <c r="U109" s="5" t="s">
        <v>14593</v>
      </c>
      <c r="V109" s="5" t="s">
        <v>180</v>
      </c>
      <c r="W109" s="5" t="s">
        <v>4296</v>
      </c>
    </row>
    <row r="110" spans="1:23" ht="12.5" hidden="1">
      <c r="A110" s="5">
        <v>90623</v>
      </c>
      <c r="B110" s="5" t="s">
        <v>15156</v>
      </c>
      <c r="C110" s="5">
        <v>573012787116</v>
      </c>
      <c r="D110" s="5">
        <v>58</v>
      </c>
      <c r="E110" s="5" t="s">
        <v>57</v>
      </c>
      <c r="F110" s="5" t="s">
        <v>1677</v>
      </c>
      <c r="G110" s="5" t="s">
        <v>4299</v>
      </c>
      <c r="H110" s="5" t="s">
        <v>4300</v>
      </c>
      <c r="I110" s="5">
        <v>3012786412</v>
      </c>
      <c r="J110" s="12">
        <v>46015</v>
      </c>
      <c r="K110" s="11">
        <v>1.3888888890505768E-2</v>
      </c>
      <c r="M110" s="10" t="s">
        <v>15157</v>
      </c>
      <c r="N110" s="12">
        <v>46015.431236157412</v>
      </c>
      <c r="O110" s="10" t="s">
        <v>15158</v>
      </c>
      <c r="P110" s="5" t="s">
        <v>14571</v>
      </c>
      <c r="Q110" s="5" t="s">
        <v>14572</v>
      </c>
      <c r="R110" s="5" t="s">
        <v>15159</v>
      </c>
      <c r="T110" s="5" t="s">
        <v>5994</v>
      </c>
      <c r="U110" s="5" t="s">
        <v>14580</v>
      </c>
      <c r="V110" s="5" t="s">
        <v>1937</v>
      </c>
    </row>
    <row r="111" spans="1:23" ht="12.5" hidden="1">
      <c r="A111" s="5">
        <v>90624</v>
      </c>
      <c r="B111" s="5" t="s">
        <v>4304</v>
      </c>
      <c r="C111" s="10" t="s">
        <v>15155</v>
      </c>
      <c r="D111" s="5">
        <v>29</v>
      </c>
      <c r="E111" s="5" t="s">
        <v>309</v>
      </c>
      <c r="F111" s="5" t="s">
        <v>33</v>
      </c>
      <c r="G111" s="5" t="s">
        <v>4304</v>
      </c>
      <c r="H111" s="5" t="s">
        <v>34</v>
      </c>
      <c r="I111" s="5">
        <v>3205449072</v>
      </c>
      <c r="J111" s="12">
        <v>46015</v>
      </c>
      <c r="K111" s="11">
        <v>1.1111111111111112E-2</v>
      </c>
      <c r="M111" s="10" t="s">
        <v>14585</v>
      </c>
      <c r="N111" s="12">
        <v>46015</v>
      </c>
      <c r="O111" s="10" t="s">
        <v>15153</v>
      </c>
      <c r="P111" s="5" t="s">
        <v>14571</v>
      </c>
      <c r="Q111" s="5" t="s">
        <v>14578</v>
      </c>
      <c r="R111" s="5" t="s">
        <v>15154</v>
      </c>
      <c r="T111" s="5" t="s">
        <v>14574</v>
      </c>
      <c r="U111" s="5" t="s">
        <v>33</v>
      </c>
      <c r="V111" s="5" t="s">
        <v>83</v>
      </c>
      <c r="W111" s="5" t="s">
        <v>4306</v>
      </c>
    </row>
    <row r="112" spans="1:23" ht="12.5" hidden="1">
      <c r="A112" s="5">
        <v>90625</v>
      </c>
      <c r="B112" s="5" t="s">
        <v>1786</v>
      </c>
      <c r="C112" s="5">
        <v>573045334016</v>
      </c>
      <c r="D112" s="5">
        <v>95</v>
      </c>
      <c r="E112" s="5" t="s">
        <v>42</v>
      </c>
      <c r="F112" s="5" t="s">
        <v>33</v>
      </c>
      <c r="G112" s="5" t="s">
        <v>1786</v>
      </c>
      <c r="H112" s="5" t="s">
        <v>34</v>
      </c>
      <c r="I112" s="5">
        <v>3045334016</v>
      </c>
      <c r="J112" s="12">
        <v>46015</v>
      </c>
      <c r="K112" s="11">
        <v>0</v>
      </c>
      <c r="M112" s="10" t="s">
        <v>15152</v>
      </c>
      <c r="N112" s="12">
        <v>46015.476583553245</v>
      </c>
      <c r="O112" s="10" t="s">
        <v>15153</v>
      </c>
      <c r="P112" s="5" t="s">
        <v>14571</v>
      </c>
      <c r="Q112" s="5" t="s">
        <v>14612</v>
      </c>
      <c r="R112" s="5" t="s">
        <v>15154</v>
      </c>
      <c r="T112" s="5" t="s">
        <v>14574</v>
      </c>
      <c r="U112" s="5" t="s">
        <v>33</v>
      </c>
      <c r="V112" s="5" t="s">
        <v>2636</v>
      </c>
    </row>
    <row r="113" spans="1:23" ht="12.5" hidden="1">
      <c r="A113" s="5">
        <v>90626</v>
      </c>
      <c r="B113" s="5" t="s">
        <v>15150</v>
      </c>
      <c r="C113" s="5">
        <v>13058124451</v>
      </c>
      <c r="D113" s="5">
        <v>5</v>
      </c>
      <c r="E113" s="5" t="s">
        <v>4021</v>
      </c>
      <c r="F113" s="5" t="s">
        <v>63</v>
      </c>
      <c r="G113" s="5" t="s">
        <v>4310</v>
      </c>
      <c r="H113" s="5" t="s">
        <v>4311</v>
      </c>
      <c r="J113" s="12">
        <v>46015</v>
      </c>
      <c r="K113" s="11">
        <v>0.54166666666787933</v>
      </c>
      <c r="M113" s="10" t="s">
        <v>14953</v>
      </c>
      <c r="N113" s="12">
        <v>46015.437107523147</v>
      </c>
      <c r="O113" s="10" t="s">
        <v>14979</v>
      </c>
      <c r="P113" s="5" t="s">
        <v>14571</v>
      </c>
      <c r="Q113" s="5" t="s">
        <v>14572</v>
      </c>
      <c r="R113" s="5" t="s">
        <v>15151</v>
      </c>
      <c r="T113" s="5" t="s">
        <v>5994</v>
      </c>
      <c r="U113" s="5" t="s">
        <v>14598</v>
      </c>
      <c r="V113" s="5" t="s">
        <v>3754</v>
      </c>
      <c r="W113" s="5" t="s">
        <v>4313</v>
      </c>
    </row>
    <row r="114" spans="1:23" ht="12.5" hidden="1">
      <c r="A114" s="5">
        <v>90627</v>
      </c>
      <c r="B114" s="5" t="s">
        <v>15146</v>
      </c>
      <c r="C114" s="5">
        <v>573157163109</v>
      </c>
      <c r="D114" s="5">
        <v>25</v>
      </c>
      <c r="E114" s="5" t="s">
        <v>1792</v>
      </c>
      <c r="F114" s="5" t="s">
        <v>110</v>
      </c>
      <c r="G114" s="5" t="s">
        <v>4314</v>
      </c>
      <c r="H114" s="5" t="s">
        <v>4315</v>
      </c>
      <c r="J114" s="12">
        <v>46015</v>
      </c>
      <c r="K114" s="11">
        <v>0</v>
      </c>
      <c r="M114" s="10" t="s">
        <v>15147</v>
      </c>
      <c r="N114" s="12">
        <v>46015.499394224535</v>
      </c>
      <c r="O114" s="10" t="s">
        <v>15148</v>
      </c>
      <c r="P114" s="5" t="s">
        <v>14571</v>
      </c>
      <c r="Q114" s="5" t="s">
        <v>14578</v>
      </c>
      <c r="R114" s="5" t="s">
        <v>15149</v>
      </c>
      <c r="T114" s="5" t="s">
        <v>5994</v>
      </c>
      <c r="U114" s="5" t="s">
        <v>14593</v>
      </c>
      <c r="V114" s="5" t="s">
        <v>2636</v>
      </c>
    </row>
    <row r="115" spans="1:23" ht="12.5" hidden="1">
      <c r="A115" s="5">
        <v>90628</v>
      </c>
      <c r="B115" s="5" t="s">
        <v>15143</v>
      </c>
      <c r="C115" s="5">
        <v>573205423127</v>
      </c>
      <c r="D115" s="5">
        <v>9</v>
      </c>
      <c r="E115" s="5" t="s">
        <v>866</v>
      </c>
      <c r="F115" s="5"/>
      <c r="G115" s="5" t="s">
        <v>4319</v>
      </c>
      <c r="H115" s="5" t="s">
        <v>4320</v>
      </c>
      <c r="I115" s="5">
        <v>3205423127</v>
      </c>
      <c r="J115" s="12">
        <v>46015</v>
      </c>
      <c r="K115" s="11">
        <v>0.57013888888832298</v>
      </c>
      <c r="M115" s="10" t="s">
        <v>15144</v>
      </c>
      <c r="N115" s="12">
        <v>46015.477378020834</v>
      </c>
      <c r="O115" s="10" t="s">
        <v>14971</v>
      </c>
      <c r="P115" s="5" t="s">
        <v>14571</v>
      </c>
      <c r="Q115" s="5" t="s">
        <v>14612</v>
      </c>
      <c r="R115" s="5" t="s">
        <v>15145</v>
      </c>
      <c r="T115" s="5" t="s">
        <v>5994</v>
      </c>
      <c r="U115" s="5"/>
      <c r="V115" s="5" t="s">
        <v>83</v>
      </c>
    </row>
    <row r="116" spans="1:23" ht="12.5" hidden="1">
      <c r="A116" s="5">
        <v>90629</v>
      </c>
      <c r="B116" s="5" t="s">
        <v>15139</v>
      </c>
      <c r="C116" s="5">
        <v>573012445757</v>
      </c>
      <c r="D116" s="5">
        <v>20</v>
      </c>
      <c r="E116" s="5" t="s">
        <v>187</v>
      </c>
      <c r="F116" s="5" t="s">
        <v>154</v>
      </c>
      <c r="G116" s="5" t="s">
        <v>4324</v>
      </c>
      <c r="H116" s="5" t="s">
        <v>4325</v>
      </c>
      <c r="I116" s="5"/>
      <c r="J116" s="12">
        <v>46015</v>
      </c>
      <c r="K116" s="11">
        <v>0.57569444444379769</v>
      </c>
      <c r="M116" s="10" t="s">
        <v>15140</v>
      </c>
      <c r="N116" s="12">
        <v>46015.450927500002</v>
      </c>
      <c r="O116" s="10" t="s">
        <v>15141</v>
      </c>
      <c r="P116" s="5" t="s">
        <v>14571</v>
      </c>
      <c r="Q116" s="5" t="s">
        <v>14572</v>
      </c>
      <c r="R116" s="5" t="s">
        <v>15142</v>
      </c>
      <c r="T116" s="5" t="s">
        <v>5994</v>
      </c>
      <c r="U116" s="5" t="s">
        <v>14593</v>
      </c>
      <c r="V116" s="5" t="s">
        <v>1937</v>
      </c>
      <c r="W116" s="5" t="s">
        <v>4327</v>
      </c>
    </row>
    <row r="117" spans="1:23" ht="12.5" hidden="1">
      <c r="A117" s="5">
        <v>90630</v>
      </c>
      <c r="B117" s="5" t="s">
        <v>4330</v>
      </c>
      <c r="C117" s="5">
        <v>573016569876</v>
      </c>
      <c r="D117" s="5">
        <v>95</v>
      </c>
      <c r="E117" s="5" t="s">
        <v>42</v>
      </c>
      <c r="F117" s="5" t="s">
        <v>2381</v>
      </c>
      <c r="G117" s="5" t="s">
        <v>4330</v>
      </c>
      <c r="H117" s="5" t="s">
        <v>4331</v>
      </c>
      <c r="I117" s="5">
        <v>3016569876</v>
      </c>
      <c r="J117" s="12">
        <v>46015</v>
      </c>
      <c r="K117" s="11">
        <v>0</v>
      </c>
      <c r="M117" s="10" t="s">
        <v>14853</v>
      </c>
      <c r="N117" s="12">
        <v>46015.520992349542</v>
      </c>
      <c r="O117" s="10" t="s">
        <v>15137</v>
      </c>
      <c r="P117" s="5" t="s">
        <v>14571</v>
      </c>
      <c r="Q117" s="5" t="s">
        <v>14578</v>
      </c>
      <c r="R117" s="5" t="s">
        <v>15138</v>
      </c>
      <c r="T117" s="5" t="s">
        <v>5994</v>
      </c>
      <c r="U117" s="5" t="s">
        <v>14593</v>
      </c>
      <c r="V117" s="5" t="s">
        <v>196</v>
      </c>
      <c r="W117" s="5" t="s">
        <v>4333</v>
      </c>
    </row>
    <row r="118" spans="1:23" ht="12.5" hidden="1">
      <c r="A118" s="5">
        <v>90631</v>
      </c>
      <c r="B118" s="5" t="s">
        <v>15135</v>
      </c>
      <c r="C118" s="5">
        <v>17377810902</v>
      </c>
      <c r="D118" s="5">
        <v>21</v>
      </c>
      <c r="E118" s="5" t="s">
        <v>330</v>
      </c>
      <c r="F118" s="5" t="s">
        <v>924</v>
      </c>
      <c r="G118" s="5" t="s">
        <v>4336</v>
      </c>
      <c r="H118" s="5" t="s">
        <v>4337</v>
      </c>
      <c r="I118" s="5"/>
      <c r="J118" s="12">
        <v>46015</v>
      </c>
      <c r="K118" s="11">
        <v>0.58333333333212067</v>
      </c>
      <c r="M118" s="10" t="s">
        <v>14712</v>
      </c>
      <c r="N118" s="12">
        <v>46015.465157152779</v>
      </c>
      <c r="O118" s="10" t="s">
        <v>14735</v>
      </c>
      <c r="P118" s="5" t="s">
        <v>14571</v>
      </c>
      <c r="Q118" s="5" t="s">
        <v>14612</v>
      </c>
      <c r="R118" s="5" t="s">
        <v>15136</v>
      </c>
      <c r="T118" s="5" t="s">
        <v>5994</v>
      </c>
      <c r="U118" s="5" t="s">
        <v>14691</v>
      </c>
      <c r="V118" s="5" t="s">
        <v>180</v>
      </c>
    </row>
    <row r="119" spans="1:23" ht="12.5" hidden="1">
      <c r="A119" s="5">
        <v>90632</v>
      </c>
      <c r="B119" s="5" t="s">
        <v>4340</v>
      </c>
      <c r="C119" s="5">
        <v>573107411365</v>
      </c>
      <c r="D119" s="5">
        <v>95</v>
      </c>
      <c r="E119" s="5" t="s">
        <v>42</v>
      </c>
      <c r="F119" s="5" t="s">
        <v>33</v>
      </c>
      <c r="G119" s="5" t="s">
        <v>4340</v>
      </c>
      <c r="H119" s="5" t="s">
        <v>34</v>
      </c>
      <c r="I119" s="5">
        <v>3107411365</v>
      </c>
      <c r="J119" s="12">
        <v>46015</v>
      </c>
      <c r="K119" s="11">
        <v>0.58333333333212067</v>
      </c>
      <c r="M119" s="10" t="s">
        <v>14585</v>
      </c>
      <c r="N119" s="12">
        <v>46015.472732152775</v>
      </c>
      <c r="O119" s="10" t="s">
        <v>15133</v>
      </c>
      <c r="P119" s="5" t="s">
        <v>14571</v>
      </c>
      <c r="Q119" s="5" t="s">
        <v>14572</v>
      </c>
      <c r="R119" s="5" t="s">
        <v>15134</v>
      </c>
      <c r="T119" s="5" t="s">
        <v>14574</v>
      </c>
      <c r="U119" s="5" t="s">
        <v>33</v>
      </c>
      <c r="V119" s="5" t="s">
        <v>83</v>
      </c>
      <c r="W119" s="5" t="s">
        <v>4342</v>
      </c>
    </row>
    <row r="120" spans="1:23" ht="12.5" hidden="1">
      <c r="A120" s="5">
        <v>90633</v>
      </c>
      <c r="B120" s="5" t="s">
        <v>4344</v>
      </c>
      <c r="C120" s="5">
        <v>573116552814</v>
      </c>
      <c r="D120" s="5">
        <v>52</v>
      </c>
      <c r="E120" s="5" t="s">
        <v>178</v>
      </c>
      <c r="F120" s="5" t="s">
        <v>33</v>
      </c>
      <c r="G120" s="5" t="s">
        <v>4344</v>
      </c>
      <c r="H120" s="5" t="s">
        <v>34</v>
      </c>
      <c r="I120" s="5">
        <v>3116552814</v>
      </c>
      <c r="J120" s="12">
        <v>46015</v>
      </c>
      <c r="K120" s="11">
        <v>0</v>
      </c>
      <c r="M120" s="10" t="s">
        <v>14705</v>
      </c>
      <c r="N120" s="12">
        <v>46015.541049097221</v>
      </c>
      <c r="O120" s="10" t="s">
        <v>15131</v>
      </c>
      <c r="P120" s="5" t="s">
        <v>14571</v>
      </c>
      <c r="Q120" s="5" t="s">
        <v>14578</v>
      </c>
      <c r="R120" s="5" t="s">
        <v>15132</v>
      </c>
      <c r="T120" s="5" t="s">
        <v>14574</v>
      </c>
      <c r="U120" s="5" t="s">
        <v>33</v>
      </c>
      <c r="V120" s="5" t="s">
        <v>196</v>
      </c>
    </row>
    <row r="121" spans="1:23" ht="12.5" hidden="1">
      <c r="A121" s="5">
        <v>90634</v>
      </c>
      <c r="B121" s="5" t="s">
        <v>4347</v>
      </c>
      <c r="C121" s="5">
        <v>573114323534</v>
      </c>
      <c r="D121" s="5">
        <v>95</v>
      </c>
      <c r="E121" s="5" t="s">
        <v>42</v>
      </c>
      <c r="F121" s="5" t="s">
        <v>33</v>
      </c>
      <c r="G121" s="5" t="s">
        <v>4347</v>
      </c>
      <c r="H121" s="5" t="s">
        <v>34</v>
      </c>
      <c r="I121" s="5">
        <v>3114323534</v>
      </c>
      <c r="J121" s="12">
        <v>46015</v>
      </c>
      <c r="K121" s="11">
        <v>0.58333333333212067</v>
      </c>
      <c r="M121" s="10" t="s">
        <v>15128</v>
      </c>
      <c r="N121" s="12">
        <v>46015.568119814816</v>
      </c>
      <c r="O121" s="10" t="s">
        <v>15129</v>
      </c>
      <c r="P121" s="5" t="s">
        <v>14571</v>
      </c>
      <c r="Q121" s="5" t="s">
        <v>14612</v>
      </c>
      <c r="R121" s="5" t="s">
        <v>15130</v>
      </c>
      <c r="T121" s="5" t="s">
        <v>14574</v>
      </c>
      <c r="U121" s="5" t="s">
        <v>33</v>
      </c>
      <c r="V121" s="5" t="s">
        <v>2636</v>
      </c>
    </row>
    <row r="122" spans="1:23" ht="12.5" hidden="1">
      <c r="A122" s="5">
        <v>90635</v>
      </c>
      <c r="B122" s="5" t="s">
        <v>4349</v>
      </c>
      <c r="C122" s="5">
        <v>573007609778</v>
      </c>
      <c r="D122" s="5">
        <v>95</v>
      </c>
      <c r="E122" s="5" t="s">
        <v>42</v>
      </c>
      <c r="F122" s="5" t="s">
        <v>33</v>
      </c>
      <c r="G122" s="5" t="s">
        <v>4349</v>
      </c>
      <c r="H122" s="5" t="s">
        <v>34</v>
      </c>
      <c r="I122" s="5">
        <v>3007609778</v>
      </c>
      <c r="J122" s="12">
        <v>46015</v>
      </c>
      <c r="K122" s="11">
        <v>0</v>
      </c>
      <c r="M122" s="10" t="s">
        <v>15125</v>
      </c>
      <c r="N122" s="12">
        <v>46015.593475925925</v>
      </c>
      <c r="O122" s="10" t="s">
        <v>15126</v>
      </c>
      <c r="P122" s="5" t="s">
        <v>14571</v>
      </c>
      <c r="Q122" s="5" t="s">
        <v>14572</v>
      </c>
      <c r="R122" s="5" t="s">
        <v>15127</v>
      </c>
      <c r="T122" s="5" t="s">
        <v>14574</v>
      </c>
      <c r="U122" s="5" t="s">
        <v>33</v>
      </c>
      <c r="V122" s="5" t="s">
        <v>196</v>
      </c>
    </row>
    <row r="123" spans="1:23" ht="12.5" hidden="1">
      <c r="A123" s="5">
        <v>90636</v>
      </c>
      <c r="B123" s="5" t="s">
        <v>4351</v>
      </c>
      <c r="C123" s="5">
        <v>573008148314</v>
      </c>
      <c r="D123" s="5">
        <v>95</v>
      </c>
      <c r="E123" s="5" t="s">
        <v>42</v>
      </c>
      <c r="F123" s="5" t="s">
        <v>33</v>
      </c>
      <c r="G123" s="5" t="s">
        <v>4351</v>
      </c>
      <c r="H123" s="5" t="s">
        <v>34</v>
      </c>
      <c r="I123" s="5">
        <v>3008148314</v>
      </c>
      <c r="J123" s="12">
        <v>46015</v>
      </c>
      <c r="K123" s="11">
        <v>0</v>
      </c>
      <c r="M123" s="10" t="s">
        <v>14585</v>
      </c>
      <c r="N123" s="12">
        <v>46015.596838182872</v>
      </c>
      <c r="O123" s="10" t="s">
        <v>14611</v>
      </c>
      <c r="P123" s="5" t="s">
        <v>14571</v>
      </c>
      <c r="Q123" s="5" t="s">
        <v>14578</v>
      </c>
      <c r="R123" s="5" t="s">
        <v>15124</v>
      </c>
      <c r="T123" s="5" t="s">
        <v>14574</v>
      </c>
      <c r="U123" s="5" t="s">
        <v>33</v>
      </c>
      <c r="V123" s="5" t="s">
        <v>2636</v>
      </c>
    </row>
    <row r="124" spans="1:23" ht="12.5" hidden="1">
      <c r="A124" s="5">
        <v>90637</v>
      </c>
      <c r="B124" s="5" t="s">
        <v>15120</v>
      </c>
      <c r="C124" s="5">
        <v>573114189941</v>
      </c>
      <c r="D124" s="5">
        <v>95</v>
      </c>
      <c r="E124" s="5" t="s">
        <v>42</v>
      </c>
      <c r="G124" s="5" t="s">
        <v>4352</v>
      </c>
      <c r="H124" s="5" t="s">
        <v>15121</v>
      </c>
      <c r="J124" s="12">
        <v>46015</v>
      </c>
      <c r="K124" s="11">
        <v>0</v>
      </c>
      <c r="M124" s="10" t="s">
        <v>14619</v>
      </c>
      <c r="N124" s="12">
        <v>46015.311672951386</v>
      </c>
      <c r="O124" s="10" t="s">
        <v>15122</v>
      </c>
      <c r="P124" s="5" t="s">
        <v>14571</v>
      </c>
      <c r="R124" s="5" t="s">
        <v>15123</v>
      </c>
      <c r="T124" s="5" t="s">
        <v>5994</v>
      </c>
      <c r="V124" s="5" t="s">
        <v>83</v>
      </c>
      <c r="W124" s="5" t="s">
        <v>4355</v>
      </c>
    </row>
    <row r="125" spans="1:23" ht="13" hidden="1">
      <c r="A125" s="5">
        <v>90344</v>
      </c>
      <c r="B125" s="5" t="s">
        <v>15475</v>
      </c>
      <c r="C125" s="3">
        <v>16469223690</v>
      </c>
      <c r="D125" s="5" t="s">
        <v>15476</v>
      </c>
      <c r="E125" s="5" t="s">
        <v>3159</v>
      </c>
      <c r="F125" s="5" t="s">
        <v>964</v>
      </c>
      <c r="G125" s="5" t="s">
        <v>3158</v>
      </c>
      <c r="H125" s="5" t="s">
        <v>3155</v>
      </c>
      <c r="I125" s="5">
        <v>573007594821</v>
      </c>
      <c r="J125" s="12">
        <v>46017</v>
      </c>
      <c r="K125" s="11">
        <v>0.33333333333212067</v>
      </c>
      <c r="M125" s="10" t="s">
        <v>14615</v>
      </c>
      <c r="N125" s="12">
        <v>46007.551971990746</v>
      </c>
      <c r="O125" s="10" t="s">
        <v>15129</v>
      </c>
      <c r="P125" s="5" t="s">
        <v>14571</v>
      </c>
      <c r="Q125" s="5" t="s">
        <v>14572</v>
      </c>
      <c r="R125" s="5" t="s">
        <v>15477</v>
      </c>
      <c r="T125" s="5" t="s">
        <v>5994</v>
      </c>
      <c r="U125" s="5" t="s">
        <v>14618</v>
      </c>
      <c r="V125" s="5" t="s">
        <v>1937</v>
      </c>
    </row>
    <row r="126" spans="1:23" ht="12.5" hidden="1">
      <c r="A126" s="5">
        <v>90460</v>
      </c>
      <c r="B126" s="5" t="s">
        <v>14017</v>
      </c>
      <c r="C126" s="5">
        <v>573015245531</v>
      </c>
      <c r="D126" s="5">
        <v>7</v>
      </c>
      <c r="E126" s="5" t="s">
        <v>112</v>
      </c>
      <c r="F126" s="5" t="s">
        <v>103</v>
      </c>
      <c r="G126" s="5" t="s">
        <v>3643</v>
      </c>
      <c r="H126" s="5" t="s">
        <v>3644</v>
      </c>
      <c r="J126" s="12">
        <v>46017</v>
      </c>
      <c r="K126" s="11">
        <v>0.125</v>
      </c>
      <c r="M126" s="10" t="s">
        <v>15460</v>
      </c>
      <c r="N126" s="12">
        <v>46010.559476585651</v>
      </c>
      <c r="O126" s="10" t="s">
        <v>14727</v>
      </c>
      <c r="P126" s="5" t="s">
        <v>14571</v>
      </c>
      <c r="Q126" s="5" t="s">
        <v>14572</v>
      </c>
      <c r="R126" s="5" t="s">
        <v>15461</v>
      </c>
      <c r="T126" s="5" t="s">
        <v>5994</v>
      </c>
      <c r="U126" s="5" t="s">
        <v>14593</v>
      </c>
      <c r="V126" s="5" t="s">
        <v>1937</v>
      </c>
      <c r="W126" s="5" t="s">
        <v>3646</v>
      </c>
    </row>
    <row r="127" spans="1:23" ht="12.5" hidden="1">
      <c r="A127" s="5">
        <v>90542</v>
      </c>
      <c r="B127" s="5" t="s">
        <v>3960</v>
      </c>
      <c r="C127" s="5">
        <v>573123065852</v>
      </c>
      <c r="D127" s="5">
        <v>95</v>
      </c>
      <c r="E127" s="5" t="s">
        <v>42</v>
      </c>
      <c r="F127" s="5" t="s">
        <v>33</v>
      </c>
      <c r="G127" s="5" t="s">
        <v>3960</v>
      </c>
      <c r="H127" s="5" t="s">
        <v>34</v>
      </c>
      <c r="I127" s="5">
        <v>3123065852</v>
      </c>
      <c r="J127" s="12">
        <v>46017</v>
      </c>
      <c r="K127" s="11">
        <v>0.33333333333212067</v>
      </c>
      <c r="M127" s="10" t="s">
        <v>14740</v>
      </c>
      <c r="N127" s="12">
        <v>46013.644467650462</v>
      </c>
      <c r="O127" s="10" t="s">
        <v>14827</v>
      </c>
      <c r="P127" s="5" t="s">
        <v>14571</v>
      </c>
      <c r="Q127" s="5" t="s">
        <v>14572</v>
      </c>
      <c r="R127" s="5" t="s">
        <v>15386</v>
      </c>
      <c r="T127" s="5" t="s">
        <v>14574</v>
      </c>
      <c r="U127" s="5" t="s">
        <v>33</v>
      </c>
      <c r="V127" s="5" t="s">
        <v>2636</v>
      </c>
      <c r="W127" s="5" t="s">
        <v>3961</v>
      </c>
    </row>
    <row r="128" spans="1:23" ht="12.5" hidden="1">
      <c r="A128" s="5">
        <v>90559</v>
      </c>
      <c r="B128" s="5" t="s">
        <v>15343</v>
      </c>
      <c r="C128" s="5">
        <v>573205310463</v>
      </c>
      <c r="D128" s="5">
        <v>25</v>
      </c>
      <c r="E128" s="5" t="s">
        <v>1792</v>
      </c>
      <c r="F128" s="5" t="s">
        <v>124</v>
      </c>
      <c r="G128" s="5" t="s">
        <v>4016</v>
      </c>
      <c r="H128" s="5" t="s">
        <v>4017</v>
      </c>
      <c r="I128" s="5">
        <v>3205310463</v>
      </c>
      <c r="J128" s="12">
        <v>46017</v>
      </c>
      <c r="K128" s="11">
        <v>0.33333333333212067</v>
      </c>
      <c r="M128" s="10" t="s">
        <v>15076</v>
      </c>
      <c r="N128" s="12">
        <v>46013.749577870374</v>
      </c>
      <c r="O128" s="10" t="s">
        <v>15344</v>
      </c>
      <c r="P128" s="5" t="s">
        <v>14571</v>
      </c>
      <c r="Q128" s="5" t="s">
        <v>14572</v>
      </c>
      <c r="R128" s="5" t="s">
        <v>15345</v>
      </c>
      <c r="T128" s="5" t="s">
        <v>5994</v>
      </c>
      <c r="U128" s="5" t="s">
        <v>14775</v>
      </c>
      <c r="V128" s="5" t="s">
        <v>83</v>
      </c>
    </row>
    <row r="129" spans="1:23" ht="12.5" hidden="1">
      <c r="A129" s="5">
        <v>90563</v>
      </c>
      <c r="B129" s="5" t="s">
        <v>15330</v>
      </c>
      <c r="C129" s="5">
        <v>573107566363</v>
      </c>
      <c r="D129" s="5">
        <v>12</v>
      </c>
      <c r="E129" s="5" t="s">
        <v>239</v>
      </c>
      <c r="F129" s="5" t="s">
        <v>1647</v>
      </c>
      <c r="G129" s="5" t="s">
        <v>4034</v>
      </c>
      <c r="H129" s="5" t="s">
        <v>4035</v>
      </c>
      <c r="I129" s="5">
        <v>3105535913</v>
      </c>
      <c r="J129" s="12">
        <v>46017</v>
      </c>
      <c r="K129" s="11">
        <v>0.375</v>
      </c>
      <c r="M129" s="10" t="s">
        <v>15331</v>
      </c>
      <c r="N129" s="12">
        <v>46014.337539456013</v>
      </c>
      <c r="O129" s="10" t="s">
        <v>15332</v>
      </c>
      <c r="P129" s="5" t="s">
        <v>14571</v>
      </c>
      <c r="Q129" s="5" t="s">
        <v>14572</v>
      </c>
      <c r="R129" s="5" t="s">
        <v>15333</v>
      </c>
      <c r="T129" s="5" t="s">
        <v>5994</v>
      </c>
      <c r="U129" s="5" t="s">
        <v>14580</v>
      </c>
      <c r="V129" s="5" t="s">
        <v>180</v>
      </c>
      <c r="W129" s="5" t="s">
        <v>4037</v>
      </c>
    </row>
    <row r="130" spans="1:23" ht="12.5" hidden="1">
      <c r="A130" s="5">
        <v>90638</v>
      </c>
      <c r="B130" s="5" t="s">
        <v>4109</v>
      </c>
      <c r="C130" s="5">
        <v>5731664237392</v>
      </c>
      <c r="D130" s="5">
        <v>35</v>
      </c>
      <c r="E130" s="5" t="s">
        <v>4358</v>
      </c>
      <c r="F130" s="5" t="s">
        <v>1187</v>
      </c>
      <c r="G130" s="5" t="s">
        <v>4356</v>
      </c>
      <c r="H130" s="5" t="s">
        <v>4357</v>
      </c>
      <c r="J130" s="12">
        <v>46017</v>
      </c>
      <c r="K130" s="11">
        <v>0</v>
      </c>
      <c r="M130" s="10" t="s">
        <v>15117</v>
      </c>
      <c r="N130" s="12">
        <v>46017.320186956014</v>
      </c>
      <c r="O130" s="10" t="s">
        <v>15118</v>
      </c>
      <c r="P130" s="5" t="s">
        <v>14571</v>
      </c>
      <c r="Q130" s="5" t="s">
        <v>14612</v>
      </c>
      <c r="R130" s="5" t="s">
        <v>15119</v>
      </c>
      <c r="T130" s="5" t="s">
        <v>5994</v>
      </c>
      <c r="U130" s="5"/>
      <c r="V130" s="5" t="s">
        <v>83</v>
      </c>
      <c r="W130" s="5" t="s">
        <v>4359</v>
      </c>
    </row>
    <row r="131" spans="1:23" ht="12.5" hidden="1">
      <c r="A131" s="5">
        <v>90639</v>
      </c>
      <c r="B131" s="5" t="s">
        <v>4361</v>
      </c>
      <c r="C131" s="5">
        <v>573003726129</v>
      </c>
      <c r="D131" s="5">
        <v>21</v>
      </c>
      <c r="E131" s="5" t="s">
        <v>330</v>
      </c>
      <c r="F131" s="5" t="s">
        <v>33</v>
      </c>
      <c r="G131" s="5" t="s">
        <v>4361</v>
      </c>
      <c r="H131" s="5" t="s">
        <v>34</v>
      </c>
      <c r="I131" s="5" t="s">
        <v>4362</v>
      </c>
      <c r="J131" s="12">
        <v>46017</v>
      </c>
      <c r="K131" s="11">
        <v>0.41666666666787933</v>
      </c>
      <c r="M131" s="10" t="s">
        <v>14740</v>
      </c>
      <c r="N131" s="12">
        <v>46017.329723912037</v>
      </c>
      <c r="O131" s="10" t="s">
        <v>15115</v>
      </c>
      <c r="P131" s="5" t="s">
        <v>14571</v>
      </c>
      <c r="Q131" s="5" t="s">
        <v>14572</v>
      </c>
      <c r="R131" s="5" t="s">
        <v>15116</v>
      </c>
      <c r="T131" s="5" t="s">
        <v>14574</v>
      </c>
      <c r="U131" s="5" t="s">
        <v>33</v>
      </c>
      <c r="V131" s="5" t="s">
        <v>196</v>
      </c>
      <c r="W131" s="5" t="s">
        <v>4363</v>
      </c>
    </row>
    <row r="132" spans="1:23" ht="12.5" hidden="1">
      <c r="A132" s="5">
        <v>90640</v>
      </c>
      <c r="B132" s="5" t="s">
        <v>2150</v>
      </c>
      <c r="C132" s="5">
        <v>573012394343</v>
      </c>
      <c r="D132" s="5">
        <v>95</v>
      </c>
      <c r="E132" s="5" t="s">
        <v>42</v>
      </c>
      <c r="F132" s="5" t="s">
        <v>33</v>
      </c>
      <c r="G132" s="5" t="s">
        <v>2150</v>
      </c>
      <c r="H132" s="5" t="s">
        <v>34</v>
      </c>
      <c r="I132" s="5" t="s">
        <v>4365</v>
      </c>
      <c r="J132" s="12">
        <v>46017</v>
      </c>
      <c r="K132" s="11">
        <v>0</v>
      </c>
      <c r="M132" s="10" t="s">
        <v>14863</v>
      </c>
      <c r="N132" s="12">
        <v>46017.332964733796</v>
      </c>
      <c r="O132" s="10" t="s">
        <v>15113</v>
      </c>
      <c r="P132" s="5" t="s">
        <v>14571</v>
      </c>
      <c r="Q132" s="5" t="s">
        <v>14578</v>
      </c>
      <c r="R132" s="5" t="s">
        <v>15114</v>
      </c>
      <c r="T132" s="5" t="s">
        <v>14574</v>
      </c>
      <c r="U132" s="5" t="s">
        <v>33</v>
      </c>
      <c r="V132" s="5" t="s">
        <v>83</v>
      </c>
      <c r="W132" s="5" t="s">
        <v>4366</v>
      </c>
    </row>
    <row r="133" spans="1:23" ht="12.5" hidden="1">
      <c r="A133" s="5">
        <v>90641</v>
      </c>
      <c r="B133" s="5" t="s">
        <v>15108</v>
      </c>
      <c r="C133" s="10" t="s">
        <v>15109</v>
      </c>
      <c r="D133" s="5">
        <v>23</v>
      </c>
      <c r="E133" s="5" t="s">
        <v>50</v>
      </c>
      <c r="F133" s="5" t="s">
        <v>307</v>
      </c>
      <c r="G133" s="5" t="s">
        <v>15110</v>
      </c>
      <c r="H133" s="5" t="s">
        <v>4369</v>
      </c>
      <c r="I133" s="5">
        <v>3104011098</v>
      </c>
      <c r="J133" s="12">
        <v>46017</v>
      </c>
      <c r="K133" s="11">
        <v>0.42083333333333334</v>
      </c>
      <c r="M133" s="10" t="s">
        <v>14777</v>
      </c>
      <c r="N133" s="12">
        <v>46017</v>
      </c>
      <c r="O133" s="10" t="s">
        <v>15111</v>
      </c>
      <c r="P133" s="5" t="s">
        <v>14571</v>
      </c>
      <c r="Q133" s="5" t="s">
        <v>14612</v>
      </c>
      <c r="R133" s="5" t="s">
        <v>15112</v>
      </c>
      <c r="T133" s="5" t="s">
        <v>5994</v>
      </c>
      <c r="U133" s="5" t="s">
        <v>14618</v>
      </c>
      <c r="V133" s="5" t="s">
        <v>180</v>
      </c>
      <c r="W133" s="5" t="s">
        <v>3407</v>
      </c>
    </row>
    <row r="134" spans="1:23" ht="12.5" hidden="1">
      <c r="A134" s="5">
        <v>90644</v>
      </c>
      <c r="B134" s="5" t="s">
        <v>15097</v>
      </c>
      <c r="C134" s="5">
        <v>573112029123</v>
      </c>
      <c r="D134" s="5">
        <v>1</v>
      </c>
      <c r="E134" s="5" t="s">
        <v>15098</v>
      </c>
      <c r="F134" s="5" t="s">
        <v>103</v>
      </c>
      <c r="G134" s="5" t="s">
        <v>345</v>
      </c>
      <c r="H134" s="5" t="s">
        <v>346</v>
      </c>
      <c r="I134" s="5" t="s">
        <v>4382</v>
      </c>
      <c r="J134" s="12">
        <v>46017</v>
      </c>
      <c r="K134" s="11">
        <v>0.45138888889050577</v>
      </c>
      <c r="M134" s="10" t="s">
        <v>14649</v>
      </c>
      <c r="N134" s="12">
        <v>46017.386673437504</v>
      </c>
      <c r="O134" s="10" t="s">
        <v>15099</v>
      </c>
      <c r="P134" s="5" t="s">
        <v>14571</v>
      </c>
      <c r="Q134" s="5" t="s">
        <v>14572</v>
      </c>
      <c r="R134" s="5" t="s">
        <v>15100</v>
      </c>
      <c r="T134" s="5" t="s">
        <v>5994</v>
      </c>
      <c r="U134" s="5" t="s">
        <v>14593</v>
      </c>
      <c r="V134" s="5" t="s">
        <v>1937</v>
      </c>
    </row>
    <row r="135" spans="1:23" ht="12.5" hidden="1">
      <c r="A135" s="5">
        <v>90647</v>
      </c>
      <c r="B135" s="5" t="s">
        <v>4396</v>
      </c>
      <c r="C135" s="5">
        <v>570000</v>
      </c>
      <c r="D135" s="5">
        <v>52</v>
      </c>
      <c r="E135" s="5" t="s">
        <v>178</v>
      </c>
      <c r="F135" s="5" t="s">
        <v>33</v>
      </c>
      <c r="G135" s="5" t="s">
        <v>4396</v>
      </c>
      <c r="H135" s="5" t="s">
        <v>34</v>
      </c>
      <c r="I135" s="10" t="s">
        <v>2686</v>
      </c>
      <c r="J135" s="12">
        <v>46017</v>
      </c>
      <c r="K135" s="11">
        <v>0</v>
      </c>
      <c r="M135" s="10" t="s">
        <v>14705</v>
      </c>
      <c r="N135" s="12">
        <v>46017.439967488426</v>
      </c>
      <c r="O135" s="10" t="s">
        <v>15088</v>
      </c>
      <c r="P135" s="5" t="s">
        <v>14571</v>
      </c>
      <c r="Q135" s="5" t="s">
        <v>14578</v>
      </c>
      <c r="R135" s="5" t="s">
        <v>15089</v>
      </c>
      <c r="T135" s="5" t="s">
        <v>14574</v>
      </c>
      <c r="U135" s="5" t="s">
        <v>33</v>
      </c>
      <c r="V135" s="5" t="s">
        <v>2636</v>
      </c>
    </row>
    <row r="136" spans="1:23" ht="12.5" hidden="1">
      <c r="A136" s="5">
        <v>90649</v>
      </c>
      <c r="B136" s="5" t="s">
        <v>15081</v>
      </c>
      <c r="C136" s="10" t="s">
        <v>15082</v>
      </c>
      <c r="D136" s="5">
        <v>78</v>
      </c>
      <c r="E136" s="5" t="s">
        <v>3892</v>
      </c>
      <c r="F136" s="5" t="s">
        <v>4403</v>
      </c>
      <c r="G136" s="5" t="s">
        <v>4402</v>
      </c>
      <c r="H136" s="5" t="s">
        <v>4404</v>
      </c>
      <c r="J136" s="12">
        <v>46017</v>
      </c>
      <c r="K136" s="11">
        <v>0.55000000000000004</v>
      </c>
      <c r="M136" s="10" t="s">
        <v>14910</v>
      </c>
      <c r="N136" s="12">
        <v>46017</v>
      </c>
      <c r="O136" s="10" t="s">
        <v>15083</v>
      </c>
      <c r="P136" s="5" t="s">
        <v>14571</v>
      </c>
      <c r="Q136" s="5" t="s">
        <v>14612</v>
      </c>
      <c r="R136" s="5" t="s">
        <v>15084</v>
      </c>
      <c r="T136" s="5" t="s">
        <v>5994</v>
      </c>
      <c r="U136" s="5" t="s">
        <v>14598</v>
      </c>
      <c r="V136" s="5" t="s">
        <v>1937</v>
      </c>
      <c r="W136" s="5" t="s">
        <v>4406</v>
      </c>
    </row>
    <row r="137" spans="1:23" ht="12.5" hidden="1">
      <c r="A137" s="5">
        <v>90650</v>
      </c>
      <c r="B137" s="5" t="s">
        <v>4409</v>
      </c>
      <c r="C137" s="5">
        <v>573205315481</v>
      </c>
      <c r="D137" s="5">
        <v>95</v>
      </c>
      <c r="E137" s="5" t="s">
        <v>42</v>
      </c>
      <c r="F137" s="5" t="s">
        <v>33</v>
      </c>
      <c r="G137" s="5" t="s">
        <v>4409</v>
      </c>
      <c r="H137" s="5" t="s">
        <v>34</v>
      </c>
      <c r="I137" s="5" t="s">
        <v>4410</v>
      </c>
      <c r="J137" s="12">
        <v>46017</v>
      </c>
      <c r="K137" s="11">
        <v>0</v>
      </c>
      <c r="M137" s="10" t="s">
        <v>14835</v>
      </c>
      <c r="N137" s="12">
        <v>46017.474894189814</v>
      </c>
      <c r="O137" s="10" t="s">
        <v>15079</v>
      </c>
      <c r="P137" s="5" t="s">
        <v>14571</v>
      </c>
      <c r="Q137" s="5" t="s">
        <v>14572</v>
      </c>
      <c r="R137" s="5" t="s">
        <v>15080</v>
      </c>
      <c r="T137" s="5" t="s">
        <v>14574</v>
      </c>
      <c r="U137" s="5" t="s">
        <v>33</v>
      </c>
      <c r="V137" s="5" t="s">
        <v>2636</v>
      </c>
      <c r="W137" s="5" t="s">
        <v>1286</v>
      </c>
    </row>
    <row r="138" spans="1:23" ht="12.5" hidden="1">
      <c r="A138" s="5">
        <v>90651</v>
      </c>
      <c r="B138" s="5" t="s">
        <v>15075</v>
      </c>
      <c r="C138" s="5">
        <v>573205464594</v>
      </c>
      <c r="D138" s="5">
        <v>26</v>
      </c>
      <c r="E138" s="5" t="s">
        <v>422</v>
      </c>
      <c r="F138" s="5" t="s">
        <v>124</v>
      </c>
      <c r="G138" s="5" t="s">
        <v>4413</v>
      </c>
      <c r="H138" s="5" t="s">
        <v>4414</v>
      </c>
      <c r="I138" s="5" t="s">
        <v>4415</v>
      </c>
      <c r="J138" s="12">
        <v>46017</v>
      </c>
      <c r="K138" s="11">
        <v>0</v>
      </c>
      <c r="M138" s="10" t="s">
        <v>15076</v>
      </c>
      <c r="N138" s="12">
        <v>46017.407016863421</v>
      </c>
      <c r="O138" s="10" t="s">
        <v>15077</v>
      </c>
      <c r="P138" s="5" t="s">
        <v>14571</v>
      </c>
      <c r="Q138" s="5" t="s">
        <v>14572</v>
      </c>
      <c r="R138" s="5" t="s">
        <v>15078</v>
      </c>
      <c r="T138" s="5" t="s">
        <v>5994</v>
      </c>
      <c r="U138" s="5" t="s">
        <v>14775</v>
      </c>
      <c r="V138" s="5" t="s">
        <v>180</v>
      </c>
    </row>
    <row r="139" spans="1:23" ht="12.5" hidden="1">
      <c r="A139" s="5">
        <v>90652</v>
      </c>
      <c r="B139" s="5" t="s">
        <v>15072</v>
      </c>
      <c r="C139" s="5">
        <v>573183422136</v>
      </c>
      <c r="D139" s="5">
        <v>69</v>
      </c>
      <c r="E139" s="5" t="s">
        <v>335</v>
      </c>
      <c r="F139" s="5" t="s">
        <v>103</v>
      </c>
      <c r="G139" s="5" t="s">
        <v>4419</v>
      </c>
      <c r="H139" s="5" t="s">
        <v>4420</v>
      </c>
      <c r="J139" s="12">
        <v>46017</v>
      </c>
      <c r="K139" s="11">
        <v>0</v>
      </c>
      <c r="M139" s="10" t="s">
        <v>10581</v>
      </c>
      <c r="N139" s="12">
        <v>46017.508192060181</v>
      </c>
      <c r="O139" s="10" t="s">
        <v>15073</v>
      </c>
      <c r="P139" s="5" t="s">
        <v>14571</v>
      </c>
      <c r="Q139" s="5" t="s">
        <v>14572</v>
      </c>
      <c r="R139" s="5" t="s">
        <v>15074</v>
      </c>
      <c r="T139" s="5" t="s">
        <v>5994</v>
      </c>
      <c r="U139" s="5" t="s">
        <v>14593</v>
      </c>
      <c r="V139" s="5" t="s">
        <v>204</v>
      </c>
    </row>
    <row r="140" spans="1:23" ht="12.5" hidden="1">
      <c r="A140" s="5">
        <v>90654</v>
      </c>
      <c r="B140" s="5" t="s">
        <v>4425</v>
      </c>
      <c r="C140" s="5">
        <v>573012623588</v>
      </c>
      <c r="D140" s="5">
        <v>29</v>
      </c>
      <c r="E140" s="5" t="s">
        <v>309</v>
      </c>
      <c r="F140" s="5" t="s">
        <v>33</v>
      </c>
      <c r="G140" s="5" t="s">
        <v>4425</v>
      </c>
      <c r="H140" s="5" t="s">
        <v>34</v>
      </c>
      <c r="I140" s="5">
        <v>3012623588</v>
      </c>
      <c r="J140" s="12">
        <v>46017</v>
      </c>
      <c r="K140" s="11">
        <v>0</v>
      </c>
      <c r="M140" s="10" t="s">
        <v>14585</v>
      </c>
      <c r="N140" s="12">
        <v>46017.520939826391</v>
      </c>
      <c r="O140" s="10" t="s">
        <v>14738</v>
      </c>
      <c r="P140" s="5" t="s">
        <v>14571</v>
      </c>
      <c r="Q140" s="5" t="s">
        <v>14572</v>
      </c>
      <c r="R140" s="5" t="s">
        <v>15069</v>
      </c>
      <c r="T140" s="5" t="s">
        <v>14574</v>
      </c>
      <c r="U140" s="5" t="s">
        <v>33</v>
      </c>
      <c r="V140" s="5" t="s">
        <v>43</v>
      </c>
    </row>
    <row r="141" spans="1:23" ht="12.5" hidden="1">
      <c r="A141" s="5">
        <v>90655</v>
      </c>
      <c r="B141" s="5" t="s">
        <v>15067</v>
      </c>
      <c r="C141" s="5">
        <v>573006998903</v>
      </c>
      <c r="D141" s="5">
        <v>31</v>
      </c>
      <c r="E141" s="5" t="s">
        <v>375</v>
      </c>
      <c r="F141" s="5" t="s">
        <v>33</v>
      </c>
      <c r="G141" s="5" t="s">
        <v>4426</v>
      </c>
      <c r="H141" s="5" t="s">
        <v>34</v>
      </c>
      <c r="J141" s="12">
        <v>46017</v>
      </c>
      <c r="K141" s="11">
        <v>0</v>
      </c>
      <c r="M141" s="10" t="s">
        <v>14800</v>
      </c>
      <c r="N141" s="12">
        <v>46017.58437423611</v>
      </c>
      <c r="O141" s="10" t="s">
        <v>14611</v>
      </c>
      <c r="P141" s="5" t="s">
        <v>14571</v>
      </c>
      <c r="Q141" s="5" t="s">
        <v>14578</v>
      </c>
      <c r="R141" s="5" t="s">
        <v>15068</v>
      </c>
      <c r="T141" s="5" t="s">
        <v>14574</v>
      </c>
      <c r="U141" s="5" t="s">
        <v>33</v>
      </c>
      <c r="V141" s="5" t="s">
        <v>180</v>
      </c>
    </row>
    <row r="142" spans="1:23" ht="12.5" hidden="1">
      <c r="A142" s="5">
        <v>90656</v>
      </c>
      <c r="B142" s="5" t="s">
        <v>15063</v>
      </c>
      <c r="C142" s="5">
        <v>57113773706</v>
      </c>
      <c r="D142" s="5">
        <v>70</v>
      </c>
      <c r="E142" s="5" t="s">
        <v>559</v>
      </c>
      <c r="F142" s="5" t="s">
        <v>185</v>
      </c>
      <c r="G142" s="5" t="s">
        <v>4431</v>
      </c>
      <c r="H142" s="5" t="s">
        <v>4432</v>
      </c>
      <c r="J142" s="12">
        <v>46017</v>
      </c>
      <c r="K142" s="11">
        <v>0.66666666666787933</v>
      </c>
      <c r="M142" s="10" t="s">
        <v>15064</v>
      </c>
      <c r="N142" s="12">
        <v>46017.37948693287</v>
      </c>
      <c r="O142" s="10" t="s">
        <v>15065</v>
      </c>
      <c r="P142" s="5" t="s">
        <v>14571</v>
      </c>
      <c r="Q142" s="5" t="s">
        <v>14612</v>
      </c>
      <c r="R142" s="5" t="s">
        <v>15066</v>
      </c>
      <c r="T142" s="5" t="s">
        <v>5994</v>
      </c>
      <c r="U142" s="5" t="s">
        <v>14580</v>
      </c>
      <c r="V142" s="5" t="s">
        <v>83</v>
      </c>
      <c r="W142" s="5" t="s">
        <v>4434</v>
      </c>
    </row>
    <row r="143" spans="1:23" ht="12.5" hidden="1">
      <c r="A143" s="5">
        <v>90658</v>
      </c>
      <c r="B143" s="5" t="s">
        <v>14121</v>
      </c>
      <c r="C143" s="5">
        <v>573004612667</v>
      </c>
      <c r="D143" s="5">
        <v>31</v>
      </c>
      <c r="E143" s="5" t="s">
        <v>375</v>
      </c>
      <c r="F143" s="5" t="s">
        <v>73</v>
      </c>
      <c r="G143" s="5" t="s">
        <v>4442</v>
      </c>
      <c r="H143" s="5" t="s">
        <v>4443</v>
      </c>
      <c r="I143" s="5">
        <v>3004612667</v>
      </c>
      <c r="J143" s="12">
        <v>46017</v>
      </c>
      <c r="K143" s="11">
        <v>0.54166666666787933</v>
      </c>
      <c r="M143" s="10" t="s">
        <v>14639</v>
      </c>
      <c r="N143" s="12">
        <v>46017.630339467592</v>
      </c>
      <c r="O143" s="10" t="s">
        <v>15059</v>
      </c>
      <c r="P143" s="5" t="s">
        <v>14571</v>
      </c>
      <c r="Q143" s="5" t="s">
        <v>14572</v>
      </c>
      <c r="R143" s="5" t="s">
        <v>15060</v>
      </c>
      <c r="T143" s="5" t="s">
        <v>5994</v>
      </c>
      <c r="U143" s="5" t="s">
        <v>14593</v>
      </c>
      <c r="V143" s="5" t="s">
        <v>83</v>
      </c>
    </row>
    <row r="144" spans="1:23" ht="12.5" hidden="1">
      <c r="A144" s="5">
        <v>90660</v>
      </c>
      <c r="B144" s="5" t="s">
        <v>4450</v>
      </c>
      <c r="C144" s="5">
        <v>570000</v>
      </c>
      <c r="D144" s="5">
        <v>51</v>
      </c>
      <c r="E144" s="5" t="s">
        <v>384</v>
      </c>
      <c r="F144" s="5" t="s">
        <v>33</v>
      </c>
      <c r="G144" s="5" t="s">
        <v>4450</v>
      </c>
      <c r="H144" s="5" t="s">
        <v>34</v>
      </c>
      <c r="I144" s="10" t="s">
        <v>2686</v>
      </c>
      <c r="J144" s="12">
        <v>46017</v>
      </c>
      <c r="K144" s="11">
        <v>0</v>
      </c>
      <c r="M144" s="10" t="s">
        <v>14740</v>
      </c>
      <c r="N144" s="12">
        <v>46017.648365810186</v>
      </c>
      <c r="O144" s="10" t="s">
        <v>15056</v>
      </c>
      <c r="P144" s="5" t="s">
        <v>14571</v>
      </c>
      <c r="Q144" s="5" t="s">
        <v>14699</v>
      </c>
      <c r="R144" s="5" t="s">
        <v>15057</v>
      </c>
      <c r="T144" s="5" t="s">
        <v>14574</v>
      </c>
      <c r="U144" s="5" t="s">
        <v>33</v>
      </c>
      <c r="V144" s="5" t="s">
        <v>2636</v>
      </c>
    </row>
    <row r="145" spans="1:23" ht="12.5" hidden="1">
      <c r="A145" s="5">
        <v>90661</v>
      </c>
      <c r="B145" s="5" t="s">
        <v>4453</v>
      </c>
      <c r="C145" s="10" t="s">
        <v>15052</v>
      </c>
      <c r="D145" s="5">
        <v>95</v>
      </c>
      <c r="E145" s="5" t="s">
        <v>42</v>
      </c>
      <c r="F145" s="5" t="s">
        <v>1352</v>
      </c>
      <c r="G145" s="5" t="s">
        <v>4453</v>
      </c>
      <c r="H145" s="5" t="s">
        <v>4454</v>
      </c>
      <c r="I145" s="5">
        <v>3002709518</v>
      </c>
      <c r="J145" s="12">
        <v>46017</v>
      </c>
      <c r="K145" s="11">
        <v>0</v>
      </c>
      <c r="M145" s="10" t="s">
        <v>15053</v>
      </c>
      <c r="N145" s="12">
        <v>46017</v>
      </c>
      <c r="O145" s="10" t="s">
        <v>15054</v>
      </c>
      <c r="P145" s="5" t="s">
        <v>14571</v>
      </c>
      <c r="Q145" s="5" t="s">
        <v>14612</v>
      </c>
      <c r="R145" s="5" t="s">
        <v>15055</v>
      </c>
      <c r="T145" s="5" t="s">
        <v>5994</v>
      </c>
      <c r="U145" s="5"/>
      <c r="V145" s="5" t="s">
        <v>83</v>
      </c>
      <c r="W145" s="5" t="s">
        <v>4455</v>
      </c>
    </row>
    <row r="146" spans="1:23" ht="12.5" hidden="1">
      <c r="A146" s="5">
        <v>90662</v>
      </c>
      <c r="B146" s="5" t="s">
        <v>4457</v>
      </c>
      <c r="C146" s="5">
        <v>573213437763</v>
      </c>
      <c r="D146" s="5">
        <v>95</v>
      </c>
      <c r="E146" s="5" t="s">
        <v>42</v>
      </c>
      <c r="F146" s="5" t="s">
        <v>33</v>
      </c>
      <c r="G146" s="5" t="s">
        <v>4457</v>
      </c>
      <c r="H146" s="5" t="s">
        <v>34</v>
      </c>
      <c r="I146" s="5">
        <v>3213437763</v>
      </c>
      <c r="J146" s="12">
        <v>46017</v>
      </c>
      <c r="K146" s="11">
        <v>0</v>
      </c>
      <c r="M146" s="10" t="s">
        <v>15049</v>
      </c>
      <c r="N146" s="12">
        <v>46017.66824668982</v>
      </c>
      <c r="O146" s="10" t="s">
        <v>15050</v>
      </c>
      <c r="P146" s="5" t="s">
        <v>14571</v>
      </c>
      <c r="Q146" s="5" t="s">
        <v>14572</v>
      </c>
      <c r="R146" s="5" t="s">
        <v>15051</v>
      </c>
      <c r="T146" s="5" t="s">
        <v>14574</v>
      </c>
      <c r="U146" s="5" t="s">
        <v>33</v>
      </c>
      <c r="V146" s="5" t="s">
        <v>2636</v>
      </c>
      <c r="W146" s="5" t="s">
        <v>525</v>
      </c>
    </row>
    <row r="147" spans="1:23" ht="12.5" hidden="1">
      <c r="A147" s="5">
        <v>90664</v>
      </c>
      <c r="B147" s="5" t="s">
        <v>4467</v>
      </c>
      <c r="C147" s="5">
        <v>573006631795</v>
      </c>
      <c r="D147" s="5">
        <v>95</v>
      </c>
      <c r="E147" s="5" t="s">
        <v>42</v>
      </c>
      <c r="F147" s="5" t="s">
        <v>33</v>
      </c>
      <c r="G147" s="5" t="s">
        <v>4467</v>
      </c>
      <c r="H147" s="5" t="s">
        <v>34</v>
      </c>
      <c r="I147" s="5"/>
      <c r="J147" s="12">
        <v>46017</v>
      </c>
      <c r="K147" s="11">
        <v>0</v>
      </c>
      <c r="M147" s="10" t="s">
        <v>15043</v>
      </c>
      <c r="N147" s="12">
        <v>46017.691708715276</v>
      </c>
      <c r="O147" s="10" t="s">
        <v>14918</v>
      </c>
      <c r="P147" s="5" t="s">
        <v>14571</v>
      </c>
      <c r="Q147" s="5" t="s">
        <v>14578</v>
      </c>
      <c r="R147" s="5" t="s">
        <v>15044</v>
      </c>
      <c r="T147" s="5" t="s">
        <v>14574</v>
      </c>
      <c r="U147" s="5" t="s">
        <v>33</v>
      </c>
      <c r="V147" s="5" t="s">
        <v>43</v>
      </c>
      <c r="W147" s="5" t="s">
        <v>4468</v>
      </c>
    </row>
    <row r="148" spans="1:23" ht="12.5" hidden="1">
      <c r="A148" s="5">
        <v>90667</v>
      </c>
      <c r="B148" s="5" t="s">
        <v>4480</v>
      </c>
      <c r="C148" s="5">
        <v>573184001715</v>
      </c>
      <c r="D148" s="5">
        <v>95</v>
      </c>
      <c r="E148" s="5" t="s">
        <v>42</v>
      </c>
      <c r="F148" s="5" t="s">
        <v>33</v>
      </c>
      <c r="G148" s="5" t="s">
        <v>4480</v>
      </c>
      <c r="H148" s="5" t="s">
        <v>34</v>
      </c>
      <c r="I148" s="5">
        <v>3184001715</v>
      </c>
      <c r="J148" s="12">
        <v>46017</v>
      </c>
      <c r="K148" s="11">
        <v>0</v>
      </c>
      <c r="M148" s="10" t="s">
        <v>15032</v>
      </c>
      <c r="N148" s="12">
        <v>46017.726397546299</v>
      </c>
      <c r="O148" s="10" t="s">
        <v>15033</v>
      </c>
      <c r="P148" s="5" t="s">
        <v>14571</v>
      </c>
      <c r="Q148" s="5" t="s">
        <v>14612</v>
      </c>
      <c r="R148" s="5" t="s">
        <v>15034</v>
      </c>
      <c r="T148" s="5" t="s">
        <v>14574</v>
      </c>
      <c r="U148" s="5" t="s">
        <v>33</v>
      </c>
      <c r="V148" s="5" t="s">
        <v>2636</v>
      </c>
      <c r="W148" s="5" t="s">
        <v>525</v>
      </c>
    </row>
    <row r="149" spans="1:23" ht="12.5" hidden="1">
      <c r="A149" s="5">
        <v>90668</v>
      </c>
      <c r="B149" s="5" t="s">
        <v>3183</v>
      </c>
      <c r="C149" s="5">
        <v>573043190657</v>
      </c>
      <c r="D149" s="5">
        <v>95</v>
      </c>
      <c r="E149" s="5" t="s">
        <v>42</v>
      </c>
      <c r="F149" s="5" t="s">
        <v>33</v>
      </c>
      <c r="G149" s="5" t="s">
        <v>4481</v>
      </c>
      <c r="H149" s="5" t="s">
        <v>34</v>
      </c>
      <c r="J149" s="12">
        <v>46017</v>
      </c>
      <c r="K149" s="11">
        <v>0</v>
      </c>
      <c r="M149" s="10" t="s">
        <v>15030</v>
      </c>
      <c r="N149" s="12">
        <v>46017.728445277782</v>
      </c>
      <c r="O149" s="10" t="s">
        <v>14698</v>
      </c>
      <c r="P149" s="5" t="s">
        <v>14571</v>
      </c>
      <c r="Q149" s="5" t="s">
        <v>14572</v>
      </c>
      <c r="R149" s="5" t="s">
        <v>15031</v>
      </c>
      <c r="T149" s="5" t="s">
        <v>14574</v>
      </c>
      <c r="U149" s="5" t="s">
        <v>33</v>
      </c>
      <c r="V149" s="5" t="s">
        <v>196</v>
      </c>
      <c r="W149" s="5" t="s">
        <v>525</v>
      </c>
    </row>
    <row r="150" spans="1:23" ht="12.5" hidden="1">
      <c r="A150" s="5">
        <v>90669</v>
      </c>
      <c r="B150" s="5" t="s">
        <v>4484</v>
      </c>
      <c r="C150" s="5">
        <v>573232211755</v>
      </c>
      <c r="D150" s="5">
        <v>95</v>
      </c>
      <c r="E150" s="5" t="s">
        <v>42</v>
      </c>
      <c r="F150" s="5" t="s">
        <v>33</v>
      </c>
      <c r="G150" s="5" t="s">
        <v>4484</v>
      </c>
      <c r="H150" s="5" t="s">
        <v>34</v>
      </c>
      <c r="I150" s="5">
        <v>3232211755</v>
      </c>
      <c r="J150" s="12">
        <v>46017</v>
      </c>
      <c r="K150" s="11">
        <v>0</v>
      </c>
      <c r="M150" s="10" t="s">
        <v>14885</v>
      </c>
      <c r="N150" s="12">
        <v>46017.730634189815</v>
      </c>
      <c r="O150" s="10" t="s">
        <v>15028</v>
      </c>
      <c r="P150" s="5" t="s">
        <v>14571</v>
      </c>
      <c r="Q150" s="5" t="s">
        <v>14699</v>
      </c>
      <c r="R150" s="5" t="s">
        <v>15029</v>
      </c>
      <c r="T150" s="5" t="s">
        <v>14574</v>
      </c>
      <c r="U150" s="5" t="s">
        <v>33</v>
      </c>
      <c r="V150" s="5" t="s">
        <v>2636</v>
      </c>
      <c r="W150" s="5" t="s">
        <v>525</v>
      </c>
    </row>
    <row r="151" spans="1:23" ht="12.5" hidden="1">
      <c r="A151" s="5">
        <v>90670</v>
      </c>
      <c r="B151" s="5" t="s">
        <v>1156</v>
      </c>
      <c r="C151" s="5">
        <v>573116881567</v>
      </c>
      <c r="D151" s="5">
        <v>95</v>
      </c>
      <c r="E151" s="5" t="s">
        <v>42</v>
      </c>
      <c r="G151" s="5" t="s">
        <v>4485</v>
      </c>
      <c r="H151" s="5" t="s">
        <v>4486</v>
      </c>
      <c r="J151" s="12">
        <v>46017</v>
      </c>
      <c r="K151" s="11">
        <v>0</v>
      </c>
      <c r="M151" s="10" t="s">
        <v>15025</v>
      </c>
      <c r="N151" s="12">
        <v>46017.734422407404</v>
      </c>
      <c r="O151" s="10" t="s">
        <v>15026</v>
      </c>
      <c r="P151" s="5" t="s">
        <v>14571</v>
      </c>
      <c r="Q151" s="5" t="s">
        <v>14612</v>
      </c>
      <c r="R151" s="5" t="s">
        <v>15027</v>
      </c>
      <c r="T151" s="5" t="s">
        <v>5994</v>
      </c>
      <c r="V151" s="5" t="s">
        <v>2636</v>
      </c>
      <c r="W151" s="5" t="s">
        <v>525</v>
      </c>
    </row>
    <row r="152" spans="1:23" ht="12.5" hidden="1">
      <c r="A152" s="5">
        <v>90671</v>
      </c>
      <c r="B152" s="5" t="s">
        <v>4489</v>
      </c>
      <c r="C152" s="5">
        <v>573104023006</v>
      </c>
      <c r="D152" s="5">
        <v>95</v>
      </c>
      <c r="E152" s="5" t="s">
        <v>42</v>
      </c>
      <c r="F152" s="5" t="s">
        <v>33</v>
      </c>
      <c r="G152" s="5" t="s">
        <v>4489</v>
      </c>
      <c r="H152" s="5" t="s">
        <v>34</v>
      </c>
      <c r="I152" s="5"/>
      <c r="J152" s="12">
        <v>46017</v>
      </c>
      <c r="K152" s="11">
        <v>0</v>
      </c>
      <c r="M152" s="10" t="s">
        <v>15022</v>
      </c>
      <c r="N152" s="12">
        <v>46017.776898344906</v>
      </c>
      <c r="O152" s="10" t="s">
        <v>15023</v>
      </c>
      <c r="P152" s="5" t="s">
        <v>14571</v>
      </c>
      <c r="Q152" s="5" t="s">
        <v>14572</v>
      </c>
      <c r="R152" s="5" t="s">
        <v>15024</v>
      </c>
      <c r="T152" s="5" t="s">
        <v>14574</v>
      </c>
      <c r="U152" s="5" t="s">
        <v>33</v>
      </c>
      <c r="V152" s="5" t="s">
        <v>196</v>
      </c>
      <c r="W152" s="5" t="s">
        <v>525</v>
      </c>
    </row>
    <row r="153" spans="1:23" ht="12.5" hidden="1">
      <c r="A153" s="5">
        <v>90421</v>
      </c>
      <c r="B153" s="5" t="s">
        <v>15465</v>
      </c>
      <c r="C153" s="5">
        <v>573007682024</v>
      </c>
      <c r="D153" s="5">
        <v>95</v>
      </c>
      <c r="E153" s="5" t="s">
        <v>42</v>
      </c>
      <c r="F153" s="5" t="s">
        <v>33</v>
      </c>
      <c r="G153" s="5" t="s">
        <v>1231</v>
      </c>
      <c r="H153" s="5" t="s">
        <v>34</v>
      </c>
      <c r="I153" s="5" t="s">
        <v>3492</v>
      </c>
      <c r="J153" s="12">
        <v>46018</v>
      </c>
      <c r="K153" s="11">
        <v>0.33333333333212067</v>
      </c>
      <c r="M153" s="10" t="s">
        <v>2686</v>
      </c>
      <c r="N153" s="12">
        <v>46009.64157068287</v>
      </c>
      <c r="O153" s="10" t="s">
        <v>15466</v>
      </c>
      <c r="P153" s="5" t="s">
        <v>14571</v>
      </c>
      <c r="Q153" s="5" t="s">
        <v>14578</v>
      </c>
      <c r="R153" s="5" t="s">
        <v>15467</v>
      </c>
      <c r="T153" s="5" t="s">
        <v>14574</v>
      </c>
      <c r="U153" s="5" t="s">
        <v>33</v>
      </c>
      <c r="V153" s="5" t="s">
        <v>43</v>
      </c>
      <c r="W153" s="5" t="s">
        <v>3493</v>
      </c>
    </row>
    <row r="154" spans="1:23" ht="12.5" hidden="1">
      <c r="A154" s="5">
        <v>90544</v>
      </c>
      <c r="B154" s="5" t="s">
        <v>15380</v>
      </c>
      <c r="C154" s="5">
        <v>573003972360</v>
      </c>
      <c r="D154" s="5">
        <v>56</v>
      </c>
      <c r="E154" s="5" t="s">
        <v>1102</v>
      </c>
      <c r="F154" s="5" t="s">
        <v>110</v>
      </c>
      <c r="G154" s="5" t="s">
        <v>3966</v>
      </c>
      <c r="H154" s="5" t="s">
        <v>3041</v>
      </c>
      <c r="I154" s="5">
        <v>3006154073</v>
      </c>
      <c r="J154" s="12">
        <v>46018</v>
      </c>
      <c r="K154" s="11">
        <v>0.33333333333212067</v>
      </c>
      <c r="M154" s="10" t="s">
        <v>15381</v>
      </c>
      <c r="N154" s="12">
        <v>46013.654302604162</v>
      </c>
      <c r="O154" s="10" t="s">
        <v>15382</v>
      </c>
      <c r="P154" s="5" t="s">
        <v>14571</v>
      </c>
      <c r="Q154" s="5" t="s">
        <v>14578</v>
      </c>
      <c r="R154" s="5" t="s">
        <v>15383</v>
      </c>
      <c r="T154" s="5" t="s">
        <v>5994</v>
      </c>
      <c r="U154" s="5" t="s">
        <v>14593</v>
      </c>
      <c r="V154" s="5" t="s">
        <v>2636</v>
      </c>
      <c r="W154" s="5" t="s">
        <v>3967</v>
      </c>
    </row>
    <row r="155" spans="1:23" ht="12.5" hidden="1">
      <c r="A155" s="5">
        <v>90643</v>
      </c>
      <c r="B155" s="5" t="s">
        <v>15101</v>
      </c>
      <c r="C155" s="5">
        <v>573157814995</v>
      </c>
      <c r="D155" s="5">
        <v>21</v>
      </c>
      <c r="E155" s="5" t="s">
        <v>330</v>
      </c>
      <c r="F155" s="5" t="s">
        <v>63</v>
      </c>
      <c r="G155" s="5" t="s">
        <v>4378</v>
      </c>
      <c r="H155" s="5" t="s">
        <v>4379</v>
      </c>
      <c r="I155" s="5"/>
      <c r="J155" s="12">
        <v>46018</v>
      </c>
      <c r="K155" s="11">
        <v>0.375</v>
      </c>
      <c r="M155" s="10" t="s">
        <v>15102</v>
      </c>
      <c r="N155" s="12">
        <v>46017.400565219912</v>
      </c>
      <c r="O155" s="10" t="s">
        <v>15103</v>
      </c>
      <c r="P155" s="5" t="s">
        <v>14571</v>
      </c>
      <c r="Q155" s="5" t="s">
        <v>14578</v>
      </c>
      <c r="R155" s="5" t="s">
        <v>15104</v>
      </c>
      <c r="T155" s="5" t="s">
        <v>5994</v>
      </c>
      <c r="U155" s="5" t="s">
        <v>14598</v>
      </c>
      <c r="V155" s="5" t="s">
        <v>83</v>
      </c>
      <c r="W155" s="5" t="s">
        <v>4381</v>
      </c>
    </row>
    <row r="156" spans="1:23" ht="12.5" hidden="1">
      <c r="A156" s="5">
        <v>90645</v>
      </c>
      <c r="B156" s="5" t="s">
        <v>15093</v>
      </c>
      <c r="C156" s="5">
        <v>573008077533</v>
      </c>
      <c r="D156" s="5">
        <v>33</v>
      </c>
      <c r="E156" s="5" t="s">
        <v>4389</v>
      </c>
      <c r="F156" s="5" t="s">
        <v>103</v>
      </c>
      <c r="G156" s="5" t="s">
        <v>4387</v>
      </c>
      <c r="H156" s="5" t="s">
        <v>4388</v>
      </c>
      <c r="I156" s="5"/>
      <c r="J156" s="12">
        <v>46018</v>
      </c>
      <c r="K156" s="11">
        <v>0.375</v>
      </c>
      <c r="M156" s="10" t="s">
        <v>15094</v>
      </c>
      <c r="N156" s="12">
        <v>46017.433170914352</v>
      </c>
      <c r="O156" s="10" t="s">
        <v>15095</v>
      </c>
      <c r="P156" s="5" t="s">
        <v>14571</v>
      </c>
      <c r="Q156" s="5" t="s">
        <v>14578</v>
      </c>
      <c r="R156" s="5" t="s">
        <v>15096</v>
      </c>
      <c r="T156" s="5" t="s">
        <v>5994</v>
      </c>
      <c r="U156" s="5" t="s">
        <v>14593</v>
      </c>
      <c r="V156" s="5" t="s">
        <v>43</v>
      </c>
    </row>
    <row r="157" spans="1:23" ht="12.5" hidden="1">
      <c r="A157" s="5">
        <v>90648</v>
      </c>
      <c r="B157" s="5" t="s">
        <v>15085</v>
      </c>
      <c r="C157" s="5">
        <v>34667359759</v>
      </c>
      <c r="D157" s="5">
        <v>2</v>
      </c>
      <c r="E157" s="5" t="s">
        <v>1251</v>
      </c>
      <c r="F157" s="5" t="s">
        <v>161</v>
      </c>
      <c r="G157" s="5" t="s">
        <v>4398</v>
      </c>
      <c r="H157" s="5" t="s">
        <v>4399</v>
      </c>
      <c r="I157" s="5"/>
      <c r="J157" s="12">
        <v>46018</v>
      </c>
      <c r="K157" s="11">
        <v>0.41666666666787933</v>
      </c>
      <c r="M157" s="10" t="s">
        <v>15086</v>
      </c>
      <c r="N157" s="12">
        <v>46017.451397222219</v>
      </c>
      <c r="O157" s="10" t="s">
        <v>14650</v>
      </c>
      <c r="P157" s="5" t="s">
        <v>14571</v>
      </c>
      <c r="Q157" s="5" t="s">
        <v>14578</v>
      </c>
      <c r="R157" s="5" t="s">
        <v>15087</v>
      </c>
      <c r="T157" s="5" t="s">
        <v>5994</v>
      </c>
      <c r="U157" s="5" t="s">
        <v>14593</v>
      </c>
      <c r="V157" s="5" t="s">
        <v>83</v>
      </c>
    </row>
    <row r="158" spans="1:23" ht="12.5" hidden="1">
      <c r="A158" s="5">
        <v>90653</v>
      </c>
      <c r="B158" s="5" t="s">
        <v>4422</v>
      </c>
      <c r="C158" s="5">
        <v>573145496771</v>
      </c>
      <c r="D158" s="5">
        <v>25</v>
      </c>
      <c r="E158" s="5" t="s">
        <v>1792</v>
      </c>
      <c r="F158" s="5" t="s">
        <v>33</v>
      </c>
      <c r="G158" s="5" t="s">
        <v>4422</v>
      </c>
      <c r="H158" s="5" t="s">
        <v>34</v>
      </c>
      <c r="I158" s="5">
        <v>3145496771</v>
      </c>
      <c r="J158" s="12">
        <v>46018</v>
      </c>
      <c r="K158" s="11">
        <v>0.375</v>
      </c>
      <c r="M158" s="10" t="s">
        <v>10581</v>
      </c>
      <c r="N158" s="12">
        <v>46017.410439490741</v>
      </c>
      <c r="O158" s="10" t="s">
        <v>15070</v>
      </c>
      <c r="P158" s="5" t="s">
        <v>14571</v>
      </c>
      <c r="Q158" s="5" t="s">
        <v>14572</v>
      </c>
      <c r="R158" s="5" t="s">
        <v>15071</v>
      </c>
      <c r="T158" s="5" t="s">
        <v>14574</v>
      </c>
      <c r="U158" s="5" t="s">
        <v>33</v>
      </c>
      <c r="V158" s="5" t="s">
        <v>83</v>
      </c>
    </row>
    <row r="159" spans="1:23" ht="12.5" hidden="1">
      <c r="A159" s="5">
        <v>90657</v>
      </c>
      <c r="B159" s="5" t="s">
        <v>15061</v>
      </c>
      <c r="C159" s="5">
        <v>573242219654</v>
      </c>
      <c r="D159" s="5">
        <v>69</v>
      </c>
      <c r="E159" s="5" t="s">
        <v>335</v>
      </c>
      <c r="F159" s="5" t="s">
        <v>79</v>
      </c>
      <c r="G159" s="5" t="s">
        <v>4435</v>
      </c>
      <c r="H159" s="5" t="s">
        <v>4436</v>
      </c>
      <c r="I159" s="5">
        <v>3242219654</v>
      </c>
      <c r="J159" s="12">
        <v>46018</v>
      </c>
      <c r="K159" s="11">
        <v>0.375</v>
      </c>
      <c r="M159" s="10" t="s">
        <v>10581</v>
      </c>
      <c r="N159" s="12">
        <v>46017.555115312498</v>
      </c>
      <c r="O159" s="10" t="s">
        <v>14944</v>
      </c>
      <c r="P159" s="5" t="s">
        <v>14571</v>
      </c>
      <c r="R159" s="5" t="s">
        <v>15062</v>
      </c>
      <c r="T159" s="5" t="s">
        <v>5994</v>
      </c>
      <c r="U159" s="5" t="s">
        <v>14593</v>
      </c>
      <c r="V159" s="5" t="s">
        <v>204</v>
      </c>
      <c r="W159" s="5" t="s">
        <v>4439</v>
      </c>
    </row>
    <row r="160" spans="1:23" ht="12.5" hidden="1">
      <c r="A160" s="5">
        <v>90663</v>
      </c>
      <c r="B160" s="5" t="s">
        <v>15045</v>
      </c>
      <c r="C160" s="5">
        <v>573008448397</v>
      </c>
      <c r="D160" s="5">
        <v>12</v>
      </c>
      <c r="E160" s="5" t="s">
        <v>239</v>
      </c>
      <c r="F160" s="5" t="s">
        <v>185</v>
      </c>
      <c r="G160" s="5" t="s">
        <v>4460</v>
      </c>
      <c r="H160" s="5" t="s">
        <v>4461</v>
      </c>
      <c r="I160" s="5">
        <v>3214566451</v>
      </c>
      <c r="J160" s="12">
        <v>46018</v>
      </c>
      <c r="K160" s="11">
        <v>0</v>
      </c>
      <c r="M160" s="10" t="s">
        <v>15046</v>
      </c>
      <c r="N160" s="12">
        <v>46017.617804652778</v>
      </c>
      <c r="O160" s="10" t="s">
        <v>15047</v>
      </c>
      <c r="P160" s="5" t="s">
        <v>14571</v>
      </c>
      <c r="Q160" s="5" t="s">
        <v>14572</v>
      </c>
      <c r="R160" s="5" t="s">
        <v>15048</v>
      </c>
      <c r="T160" s="5" t="s">
        <v>5994</v>
      </c>
      <c r="U160" s="5" t="s">
        <v>14580</v>
      </c>
      <c r="V160" s="5" t="s">
        <v>83</v>
      </c>
      <c r="W160" s="5" t="s">
        <v>4464</v>
      </c>
    </row>
    <row r="161" spans="1:23" ht="12.5" hidden="1">
      <c r="A161" s="5">
        <v>90665</v>
      </c>
      <c r="B161" s="5" t="s">
        <v>15039</v>
      </c>
      <c r="C161" s="5">
        <v>573008024594</v>
      </c>
      <c r="D161" s="5">
        <v>51</v>
      </c>
      <c r="E161" s="5" t="s">
        <v>384</v>
      </c>
      <c r="F161" s="5" t="s">
        <v>516</v>
      </c>
      <c r="G161" s="5" t="s">
        <v>4470</v>
      </c>
      <c r="H161" s="5" t="s">
        <v>4471</v>
      </c>
      <c r="I161" s="5">
        <v>3013895563</v>
      </c>
      <c r="J161" s="12">
        <v>46018</v>
      </c>
      <c r="K161" s="11">
        <v>0.41666666666787933</v>
      </c>
      <c r="M161" s="10" t="s">
        <v>15040</v>
      </c>
      <c r="N161" s="12">
        <v>46017.541358634262</v>
      </c>
      <c r="O161" s="10" t="s">
        <v>15041</v>
      </c>
      <c r="P161" s="5" t="s">
        <v>14571</v>
      </c>
      <c r="Q161" s="5" t="s">
        <v>14572</v>
      </c>
      <c r="R161" s="5" t="s">
        <v>15042</v>
      </c>
      <c r="T161" s="5" t="s">
        <v>5994</v>
      </c>
      <c r="U161" s="5" t="s">
        <v>14618</v>
      </c>
      <c r="V161" s="5" t="s">
        <v>83</v>
      </c>
    </row>
    <row r="162" spans="1:23" ht="12.5" hidden="1">
      <c r="A162" s="5">
        <v>90672</v>
      </c>
      <c r="B162" s="5" t="s">
        <v>15018</v>
      </c>
      <c r="C162" s="5">
        <v>573215829339</v>
      </c>
      <c r="D162" s="5">
        <v>45</v>
      </c>
      <c r="E162" s="5" t="s">
        <v>210</v>
      </c>
      <c r="F162" s="5" t="s">
        <v>193</v>
      </c>
      <c r="G162" s="5" t="s">
        <v>4492</v>
      </c>
      <c r="H162" s="5" t="s">
        <v>4493</v>
      </c>
      <c r="I162" s="5">
        <v>3150124040</v>
      </c>
      <c r="J162" s="12">
        <v>46018</v>
      </c>
      <c r="K162" s="11">
        <v>0</v>
      </c>
      <c r="M162" s="10" t="s">
        <v>15019</v>
      </c>
      <c r="N162" s="12">
        <v>46017.766870162042</v>
      </c>
      <c r="O162" s="10" t="s">
        <v>15020</v>
      </c>
      <c r="P162" s="5" t="s">
        <v>14571</v>
      </c>
      <c r="Q162" s="5" t="s">
        <v>14572</v>
      </c>
      <c r="R162" s="5" t="s">
        <v>15021</v>
      </c>
      <c r="T162" s="5" t="s">
        <v>5994</v>
      </c>
      <c r="U162" s="5" t="s">
        <v>14580</v>
      </c>
      <c r="V162" s="5" t="s">
        <v>83</v>
      </c>
      <c r="W162" s="5"/>
    </row>
    <row r="163" spans="1:23" ht="12.5" hidden="1">
      <c r="A163" s="5">
        <v>90673</v>
      </c>
      <c r="B163" s="5" t="s">
        <v>4498</v>
      </c>
      <c r="C163" s="5">
        <v>573160931234</v>
      </c>
      <c r="D163" s="5">
        <v>31</v>
      </c>
      <c r="E163" s="5" t="s">
        <v>375</v>
      </c>
      <c r="F163" s="5" t="s">
        <v>33</v>
      </c>
      <c r="G163" s="5" t="s">
        <v>4498</v>
      </c>
      <c r="H163" s="5" t="s">
        <v>34</v>
      </c>
      <c r="I163" s="5">
        <v>3160931234</v>
      </c>
      <c r="J163" s="12">
        <v>46018</v>
      </c>
      <c r="K163" s="11">
        <v>0.41666666666787933</v>
      </c>
      <c r="M163" s="10" t="s">
        <v>14800</v>
      </c>
      <c r="N163" s="12">
        <v>46018.32241184028</v>
      </c>
      <c r="O163" s="10" t="s">
        <v>15017</v>
      </c>
      <c r="P163" s="5" t="s">
        <v>14571</v>
      </c>
      <c r="Q163" s="5" t="s">
        <v>14572</v>
      </c>
      <c r="R163" s="5"/>
      <c r="T163" s="5" t="s">
        <v>14574</v>
      </c>
      <c r="U163" s="5" t="s">
        <v>33</v>
      </c>
      <c r="V163" s="5" t="s">
        <v>83</v>
      </c>
      <c r="W163" s="5"/>
    </row>
    <row r="164" spans="1:23" ht="12.5" hidden="1">
      <c r="A164" s="5">
        <v>90675</v>
      </c>
      <c r="B164" s="5" t="s">
        <v>4503</v>
      </c>
      <c r="C164" s="5">
        <v>573015568680</v>
      </c>
      <c r="D164" s="5">
        <v>95</v>
      </c>
      <c r="E164" s="5" t="s">
        <v>42</v>
      </c>
      <c r="F164" s="5" t="s">
        <v>33</v>
      </c>
      <c r="G164" s="5" t="s">
        <v>4503</v>
      </c>
      <c r="H164" s="5" t="s">
        <v>34</v>
      </c>
      <c r="I164" s="5">
        <v>3015568680</v>
      </c>
      <c r="J164" s="12">
        <v>46018</v>
      </c>
      <c r="K164" s="11">
        <v>0</v>
      </c>
      <c r="M164" s="10" t="s">
        <v>15011</v>
      </c>
      <c r="N164" s="12">
        <v>46018.360061099535</v>
      </c>
      <c r="O164" s="10" t="s">
        <v>15012</v>
      </c>
      <c r="P164" s="5" t="s">
        <v>14571</v>
      </c>
      <c r="Q164" s="5" t="s">
        <v>14612</v>
      </c>
      <c r="R164" s="5" t="s">
        <v>15013</v>
      </c>
      <c r="T164" s="5" t="s">
        <v>14574</v>
      </c>
      <c r="U164" s="5" t="s">
        <v>33</v>
      </c>
      <c r="V164" s="5" t="s">
        <v>1481</v>
      </c>
      <c r="W164" s="5" t="s">
        <v>525</v>
      </c>
    </row>
    <row r="165" spans="1:23" ht="12.5" hidden="1">
      <c r="A165" s="5">
        <v>90676</v>
      </c>
      <c r="B165" s="5" t="s">
        <v>6946</v>
      </c>
      <c r="C165" s="10" t="s">
        <v>15009</v>
      </c>
      <c r="D165" s="5">
        <v>69</v>
      </c>
      <c r="E165" s="5" t="s">
        <v>335</v>
      </c>
      <c r="F165" s="5" t="s">
        <v>185</v>
      </c>
      <c r="G165" s="5" t="s">
        <v>4505</v>
      </c>
      <c r="H165" s="5" t="s">
        <v>4506</v>
      </c>
      <c r="I165" s="5">
        <v>3008760327</v>
      </c>
      <c r="J165" s="12">
        <v>46018</v>
      </c>
      <c r="K165" s="11">
        <v>0.41666666666666669</v>
      </c>
      <c r="M165" s="10" t="s">
        <v>14885</v>
      </c>
      <c r="N165" s="12">
        <v>46018</v>
      </c>
      <c r="O165" s="10" t="s">
        <v>14904</v>
      </c>
      <c r="P165" s="5" t="s">
        <v>14571</v>
      </c>
      <c r="Q165" s="5" t="s">
        <v>14572</v>
      </c>
      <c r="R165" s="5" t="s">
        <v>15010</v>
      </c>
      <c r="T165" s="5" t="s">
        <v>5994</v>
      </c>
      <c r="U165" s="5" t="s">
        <v>14580</v>
      </c>
      <c r="V165" s="5" t="s">
        <v>204</v>
      </c>
      <c r="W165" s="5"/>
    </row>
    <row r="166" spans="1:23" ht="12.5" hidden="1">
      <c r="A166" s="5">
        <v>90677</v>
      </c>
      <c r="B166" s="5" t="s">
        <v>12996</v>
      </c>
      <c r="C166" s="10" t="s">
        <v>15005</v>
      </c>
      <c r="D166" s="5">
        <v>31</v>
      </c>
      <c r="E166" s="5" t="s">
        <v>375</v>
      </c>
      <c r="F166" s="5" t="s">
        <v>79</v>
      </c>
      <c r="G166" s="5" t="s">
        <v>15006</v>
      </c>
      <c r="H166" s="5" t="s">
        <v>4510</v>
      </c>
      <c r="I166" s="5">
        <v>3126708090</v>
      </c>
      <c r="J166" s="12">
        <v>46018</v>
      </c>
      <c r="K166" s="11">
        <v>0.45833333333333331</v>
      </c>
      <c r="M166" s="10" t="s">
        <v>14585</v>
      </c>
      <c r="N166" s="12">
        <v>46018</v>
      </c>
      <c r="O166" s="10" t="s">
        <v>15007</v>
      </c>
      <c r="P166" s="5" t="s">
        <v>14571</v>
      </c>
      <c r="Q166" s="5" t="s">
        <v>14572</v>
      </c>
      <c r="R166" s="5" t="s">
        <v>15008</v>
      </c>
      <c r="T166" s="5" t="s">
        <v>5994</v>
      </c>
      <c r="U166" s="5" t="s">
        <v>14593</v>
      </c>
      <c r="V166" s="5" t="s">
        <v>83</v>
      </c>
      <c r="W166" s="5" t="s">
        <v>4513</v>
      </c>
    </row>
    <row r="167" spans="1:23" ht="12.5" hidden="1">
      <c r="A167" s="5">
        <v>90680</v>
      </c>
      <c r="B167" s="5" t="s">
        <v>14993</v>
      </c>
      <c r="C167" s="5">
        <v>573016624010</v>
      </c>
      <c r="D167" s="5">
        <v>24</v>
      </c>
      <c r="E167" s="5" t="s">
        <v>251</v>
      </c>
      <c r="F167" s="5" t="s">
        <v>103</v>
      </c>
      <c r="G167" s="5" t="s">
        <v>4527</v>
      </c>
      <c r="H167" s="5" t="s">
        <v>4528</v>
      </c>
      <c r="I167" s="5">
        <v>3016624010</v>
      </c>
      <c r="J167" s="12">
        <v>46018</v>
      </c>
      <c r="K167" s="11">
        <v>0</v>
      </c>
      <c r="M167" s="10" t="s">
        <v>14740</v>
      </c>
      <c r="N167" s="12">
        <v>46017.746842384258</v>
      </c>
      <c r="O167" s="10" t="s">
        <v>14994</v>
      </c>
      <c r="P167" s="5" t="s">
        <v>14571</v>
      </c>
      <c r="Q167" s="5" t="s">
        <v>14578</v>
      </c>
      <c r="R167" s="5" t="s">
        <v>14995</v>
      </c>
      <c r="T167" s="5" t="s">
        <v>5994</v>
      </c>
      <c r="U167" s="5" t="s">
        <v>14593</v>
      </c>
      <c r="V167" s="5" t="s">
        <v>1937</v>
      </c>
      <c r="W167" s="5"/>
    </row>
    <row r="168" spans="1:23" ht="12.5" hidden="1">
      <c r="A168" s="5">
        <v>90681</v>
      </c>
      <c r="B168" s="5" t="s">
        <v>14990</v>
      </c>
      <c r="C168" s="5">
        <v>573058127196</v>
      </c>
      <c r="D168" s="5">
        <v>95</v>
      </c>
      <c r="E168" s="5" t="s">
        <v>42</v>
      </c>
      <c r="F168" s="5" t="s">
        <v>4533</v>
      </c>
      <c r="G168" s="5" t="s">
        <v>4532</v>
      </c>
      <c r="H168" s="5" t="s">
        <v>4534</v>
      </c>
      <c r="J168" s="12">
        <v>46018</v>
      </c>
      <c r="K168" s="11">
        <v>0</v>
      </c>
      <c r="M168" s="10" t="s">
        <v>14777</v>
      </c>
      <c r="N168" s="12">
        <v>46018.423169664355</v>
      </c>
      <c r="O168" s="10" t="s">
        <v>14991</v>
      </c>
      <c r="P168" s="5" t="s">
        <v>14571</v>
      </c>
      <c r="Q168" s="5" t="s">
        <v>14578</v>
      </c>
      <c r="R168" s="5" t="s">
        <v>14992</v>
      </c>
      <c r="T168" s="5" t="s">
        <v>5994</v>
      </c>
      <c r="U168" s="5" t="s">
        <v>14618</v>
      </c>
      <c r="V168" s="5" t="s">
        <v>83</v>
      </c>
      <c r="W168" s="5" t="s">
        <v>4535</v>
      </c>
    </row>
    <row r="169" spans="1:23" ht="12.5" hidden="1">
      <c r="A169" s="5">
        <v>90682</v>
      </c>
      <c r="B169" s="5" t="s">
        <v>14986</v>
      </c>
      <c r="C169" s="10" t="s">
        <v>14987</v>
      </c>
      <c r="D169" s="5" t="s">
        <v>14589</v>
      </c>
      <c r="E169" s="5" t="s">
        <v>4540</v>
      </c>
      <c r="F169" s="5" t="s">
        <v>193</v>
      </c>
      <c r="G169" s="5" t="s">
        <v>4537</v>
      </c>
      <c r="H169" s="5" t="s">
        <v>4538</v>
      </c>
      <c r="I169" s="5" t="s">
        <v>14988</v>
      </c>
      <c r="J169" s="12">
        <v>46018</v>
      </c>
      <c r="K169" s="11">
        <v>0</v>
      </c>
      <c r="M169" s="10" t="s">
        <v>14676</v>
      </c>
      <c r="N169" s="12">
        <v>46018</v>
      </c>
      <c r="O169" s="10" t="s">
        <v>14771</v>
      </c>
      <c r="P169" s="5" t="s">
        <v>14571</v>
      </c>
      <c r="Q169" s="5" t="s">
        <v>14572</v>
      </c>
      <c r="R169" s="5" t="s">
        <v>14989</v>
      </c>
      <c r="T169" s="5" t="s">
        <v>5994</v>
      </c>
      <c r="U169" s="5" t="s">
        <v>14580</v>
      </c>
      <c r="V169" s="5" t="s">
        <v>83</v>
      </c>
    </row>
    <row r="170" spans="1:23" ht="12.5" hidden="1">
      <c r="A170" s="5">
        <v>90683</v>
      </c>
      <c r="B170" s="5" t="s">
        <v>14981</v>
      </c>
      <c r="C170" s="5">
        <v>573001963770</v>
      </c>
      <c r="D170" s="5" t="s">
        <v>14982</v>
      </c>
      <c r="E170" s="5" t="s">
        <v>4544</v>
      </c>
      <c r="F170" s="5" t="s">
        <v>1100</v>
      </c>
      <c r="G170" s="5" t="s">
        <v>4542</v>
      </c>
      <c r="H170" s="5" t="s">
        <v>4543</v>
      </c>
      <c r="I170" s="5">
        <v>3014323965</v>
      </c>
      <c r="J170" s="12">
        <v>46018</v>
      </c>
      <c r="K170" s="11">
        <v>0</v>
      </c>
      <c r="M170" s="10" t="s">
        <v>14983</v>
      </c>
      <c r="N170" s="12">
        <v>46018.459272453707</v>
      </c>
      <c r="O170" s="10" t="s">
        <v>14984</v>
      </c>
      <c r="P170" s="5" t="s">
        <v>14571</v>
      </c>
      <c r="Q170" s="5" t="s">
        <v>14578</v>
      </c>
      <c r="R170" s="5" t="s">
        <v>14985</v>
      </c>
      <c r="T170" s="5" t="s">
        <v>5994</v>
      </c>
      <c r="U170" s="5" t="s">
        <v>14775</v>
      </c>
      <c r="V170" s="5" t="s">
        <v>67</v>
      </c>
      <c r="W170" s="5" t="s">
        <v>4546</v>
      </c>
    </row>
    <row r="171" spans="1:23" ht="12.5" hidden="1">
      <c r="A171" s="5">
        <v>90684</v>
      </c>
      <c r="B171" s="5" t="s">
        <v>14916</v>
      </c>
      <c r="C171" s="10" t="s">
        <v>14917</v>
      </c>
      <c r="D171" s="5" t="s">
        <v>14589</v>
      </c>
      <c r="E171" s="5" t="s">
        <v>4547</v>
      </c>
      <c r="G171" s="5" t="s">
        <v>1231</v>
      </c>
      <c r="H171" s="5" t="s">
        <v>34</v>
      </c>
      <c r="I171" s="5">
        <v>3007682024</v>
      </c>
      <c r="J171" s="12">
        <v>46018</v>
      </c>
      <c r="K171" s="11">
        <v>0</v>
      </c>
      <c r="M171" s="10" t="s">
        <v>2686</v>
      </c>
      <c r="N171" s="12">
        <v>46018</v>
      </c>
      <c r="O171" s="10" t="s">
        <v>14979</v>
      </c>
      <c r="P171" s="5" t="s">
        <v>14571</v>
      </c>
      <c r="Q171" s="5" t="s">
        <v>14572</v>
      </c>
      <c r="R171" s="5" t="s">
        <v>14980</v>
      </c>
      <c r="T171" s="5" t="s">
        <v>5994</v>
      </c>
      <c r="V171" s="5" t="s">
        <v>43</v>
      </c>
      <c r="W171" s="5" t="s">
        <v>4548</v>
      </c>
    </row>
    <row r="172" spans="1:23" ht="12.5" hidden="1">
      <c r="A172" s="5">
        <v>90685</v>
      </c>
      <c r="B172" s="5" t="s">
        <v>14976</v>
      </c>
      <c r="C172" s="5">
        <v>573205624592</v>
      </c>
      <c r="D172" s="5" t="s">
        <v>14589</v>
      </c>
      <c r="E172" s="5" t="s">
        <v>4553</v>
      </c>
      <c r="F172" s="5" t="s">
        <v>405</v>
      </c>
      <c r="G172" s="5" t="s">
        <v>4551</v>
      </c>
      <c r="H172" s="5" t="s">
        <v>4552</v>
      </c>
      <c r="I172" s="5">
        <v>3205624592</v>
      </c>
      <c r="J172" s="12">
        <v>46018</v>
      </c>
      <c r="K172" s="11">
        <v>0.375</v>
      </c>
      <c r="M172" s="10" t="s">
        <v>14646</v>
      </c>
      <c r="N172" s="12">
        <v>46018.494818530089</v>
      </c>
      <c r="O172" s="10" t="s">
        <v>14977</v>
      </c>
      <c r="P172" s="5" t="s">
        <v>14571</v>
      </c>
      <c r="Q172" s="5" t="s">
        <v>14572</v>
      </c>
      <c r="R172" s="5" t="s">
        <v>14978</v>
      </c>
      <c r="T172" s="5" t="s">
        <v>5994</v>
      </c>
      <c r="U172" s="5"/>
      <c r="V172" s="5" t="s">
        <v>1481</v>
      </c>
      <c r="W172" s="5" t="s">
        <v>4555</v>
      </c>
    </row>
    <row r="173" spans="1:23" ht="12.5" hidden="1">
      <c r="A173" s="5">
        <v>90686</v>
      </c>
      <c r="B173" s="5" t="s">
        <v>12863</v>
      </c>
      <c r="C173" s="10" t="s">
        <v>14973</v>
      </c>
      <c r="D173" s="5">
        <v>5</v>
      </c>
      <c r="E173" s="5" t="s">
        <v>4021</v>
      </c>
      <c r="F173" s="5" t="s">
        <v>4558</v>
      </c>
      <c r="G173" s="5" t="s">
        <v>4557</v>
      </c>
      <c r="H173" s="5" t="s">
        <v>4559</v>
      </c>
      <c r="I173" s="5">
        <v>3157214282</v>
      </c>
      <c r="J173" s="12">
        <v>46018</v>
      </c>
      <c r="K173" s="11">
        <v>0.58333333333333337</v>
      </c>
      <c r="M173" s="10" t="s">
        <v>14649</v>
      </c>
      <c r="N173" s="12">
        <v>46018</v>
      </c>
      <c r="O173" s="10" t="s">
        <v>14974</v>
      </c>
      <c r="P173" s="5" t="s">
        <v>14571</v>
      </c>
      <c r="Q173" s="5" t="s">
        <v>14572</v>
      </c>
      <c r="R173" s="5" t="s">
        <v>14975</v>
      </c>
      <c r="T173" s="5" t="s">
        <v>5994</v>
      </c>
      <c r="U173" s="5" t="s">
        <v>14593</v>
      </c>
      <c r="V173" s="5" t="s">
        <v>83</v>
      </c>
    </row>
    <row r="174" spans="1:23" ht="12.5" hidden="1">
      <c r="A174" s="5">
        <v>90687</v>
      </c>
      <c r="B174" s="5" t="s">
        <v>14970</v>
      </c>
      <c r="C174" s="5">
        <v>5.73177E+19</v>
      </c>
      <c r="D174" s="5" t="s">
        <v>14589</v>
      </c>
      <c r="E174" s="5" t="s">
        <v>4565</v>
      </c>
      <c r="F174" s="5" t="s">
        <v>886</v>
      </c>
      <c r="G174" s="5" t="s">
        <v>4562</v>
      </c>
      <c r="H174" s="5" t="s">
        <v>4564</v>
      </c>
      <c r="I174" s="5">
        <v>3176564852</v>
      </c>
      <c r="J174" s="12">
        <v>46018</v>
      </c>
      <c r="K174" s="11">
        <v>0.625</v>
      </c>
      <c r="M174" s="10" t="s">
        <v>14582</v>
      </c>
      <c r="N174" s="12">
        <v>46018.494003368054</v>
      </c>
      <c r="O174" s="10" t="s">
        <v>14971</v>
      </c>
      <c r="P174" s="5" t="s">
        <v>14571</v>
      </c>
      <c r="Q174" s="5" t="s">
        <v>14578</v>
      </c>
      <c r="R174" s="5" t="s">
        <v>14972</v>
      </c>
      <c r="T174" s="5" t="s">
        <v>5994</v>
      </c>
      <c r="U174" s="5" t="s">
        <v>14618</v>
      </c>
      <c r="V174" s="5" t="s">
        <v>83</v>
      </c>
      <c r="W174" s="5" t="s">
        <v>4568</v>
      </c>
    </row>
    <row r="175" spans="1:23" ht="12.5" hidden="1">
      <c r="A175" s="5">
        <v>90688</v>
      </c>
      <c r="B175" s="5" t="s">
        <v>4571</v>
      </c>
      <c r="C175" s="10" t="s">
        <v>14967</v>
      </c>
      <c r="D175" s="5">
        <v>68</v>
      </c>
      <c r="E175" s="5" t="s">
        <v>361</v>
      </c>
      <c r="F175" s="5" t="s">
        <v>33</v>
      </c>
      <c r="G175" s="5" t="s">
        <v>4571</v>
      </c>
      <c r="H175" s="5" t="s">
        <v>34</v>
      </c>
      <c r="I175" s="5">
        <v>8752057</v>
      </c>
      <c r="J175" s="12">
        <v>46018</v>
      </c>
      <c r="K175" s="11">
        <v>0</v>
      </c>
      <c r="M175" s="10" t="s">
        <v>14712</v>
      </c>
      <c r="N175" s="12">
        <v>46018</v>
      </c>
      <c r="O175" s="10" t="s">
        <v>14968</v>
      </c>
      <c r="P175" s="5" t="s">
        <v>14571</v>
      </c>
      <c r="Q175" s="5" t="s">
        <v>14572</v>
      </c>
      <c r="R175" s="5" t="s">
        <v>14969</v>
      </c>
      <c r="T175" s="5" t="s">
        <v>14574</v>
      </c>
      <c r="U175" s="5" t="s">
        <v>33</v>
      </c>
      <c r="V175" s="5" t="s">
        <v>204</v>
      </c>
    </row>
    <row r="176" spans="1:23" ht="12.5" hidden="1">
      <c r="A176" s="5">
        <v>90689</v>
      </c>
      <c r="B176" s="5" t="s">
        <v>4574</v>
      </c>
      <c r="C176" s="5">
        <v>57128789344</v>
      </c>
      <c r="D176" s="5">
        <v>95</v>
      </c>
      <c r="E176" s="5" t="s">
        <v>42</v>
      </c>
      <c r="F176" s="5" t="s">
        <v>33</v>
      </c>
      <c r="G176" s="5" t="s">
        <v>4574</v>
      </c>
      <c r="H176" s="5" t="s">
        <v>34</v>
      </c>
      <c r="I176" s="5">
        <v>128789344</v>
      </c>
      <c r="J176" s="12">
        <v>46018</v>
      </c>
      <c r="K176" s="11">
        <v>0</v>
      </c>
      <c r="M176" s="10" t="s">
        <v>14619</v>
      </c>
      <c r="N176" s="12">
        <v>46018.545910613422</v>
      </c>
      <c r="O176" s="10" t="s">
        <v>14965</v>
      </c>
      <c r="P176" s="5" t="s">
        <v>14571</v>
      </c>
      <c r="Q176" s="5" t="s">
        <v>14578</v>
      </c>
      <c r="R176" s="5" t="s">
        <v>14966</v>
      </c>
      <c r="T176" s="5" t="s">
        <v>14574</v>
      </c>
      <c r="U176" s="5" t="s">
        <v>33</v>
      </c>
      <c r="V176" s="5" t="s">
        <v>2636</v>
      </c>
    </row>
    <row r="177" spans="1:23" ht="12.5" hidden="1">
      <c r="A177" s="5">
        <v>90690</v>
      </c>
      <c r="B177" s="5" t="s">
        <v>4576</v>
      </c>
      <c r="C177" s="5">
        <v>573205425431</v>
      </c>
      <c r="D177" s="5">
        <v>95</v>
      </c>
      <c r="E177" s="5" t="s">
        <v>42</v>
      </c>
      <c r="F177" s="5" t="s">
        <v>33</v>
      </c>
      <c r="G177" s="5" t="s">
        <v>4576</v>
      </c>
      <c r="H177" s="5" t="s">
        <v>34</v>
      </c>
      <c r="J177" s="12">
        <v>46018</v>
      </c>
      <c r="K177" s="11">
        <v>0</v>
      </c>
      <c r="M177" s="10" t="s">
        <v>14800</v>
      </c>
      <c r="N177" s="12">
        <v>46018.550133449069</v>
      </c>
      <c r="O177" s="10" t="s">
        <v>14963</v>
      </c>
      <c r="P177" s="5" t="s">
        <v>14571</v>
      </c>
      <c r="Q177" s="5" t="s">
        <v>14699</v>
      </c>
      <c r="R177" s="5" t="s">
        <v>14964</v>
      </c>
      <c r="T177" s="5" t="s">
        <v>14574</v>
      </c>
      <c r="U177" s="5" t="s">
        <v>33</v>
      </c>
      <c r="V177" s="5" t="s">
        <v>2636</v>
      </c>
    </row>
    <row r="178" spans="1:23" ht="12.5" hidden="1">
      <c r="A178" s="5">
        <v>90691</v>
      </c>
      <c r="B178" s="5" t="s">
        <v>2679</v>
      </c>
      <c r="C178" s="10" t="s">
        <v>14958</v>
      </c>
      <c r="D178" s="5" t="s">
        <v>14589</v>
      </c>
      <c r="E178" s="5" t="s">
        <v>4580</v>
      </c>
      <c r="F178" s="5" t="s">
        <v>964</v>
      </c>
      <c r="G178" s="5" t="s">
        <v>14959</v>
      </c>
      <c r="H178" s="5" t="s">
        <v>4578</v>
      </c>
      <c r="I178" s="5" t="s">
        <v>4579</v>
      </c>
      <c r="J178" s="12">
        <v>46018</v>
      </c>
      <c r="K178" s="11">
        <v>0</v>
      </c>
      <c r="M178" s="10" t="s">
        <v>14960</v>
      </c>
      <c r="N178" s="12">
        <v>46018</v>
      </c>
      <c r="O178" s="10" t="s">
        <v>14961</v>
      </c>
      <c r="P178" s="5" t="s">
        <v>14571</v>
      </c>
      <c r="Q178" s="5" t="s">
        <v>14578</v>
      </c>
      <c r="R178" s="5" t="s">
        <v>14962</v>
      </c>
      <c r="T178" s="5" t="s">
        <v>5994</v>
      </c>
      <c r="U178" s="5" t="s">
        <v>14618</v>
      </c>
      <c r="V178" s="5" t="s">
        <v>180</v>
      </c>
      <c r="W178" s="5" t="s">
        <v>4581</v>
      </c>
    </row>
    <row r="179" spans="1:23" ht="12.5" hidden="1">
      <c r="A179" s="5">
        <v>90692</v>
      </c>
      <c r="B179" s="5" t="s">
        <v>4584</v>
      </c>
      <c r="C179" s="5">
        <v>573103841591</v>
      </c>
      <c r="D179" s="5">
        <v>95</v>
      </c>
      <c r="E179" s="5" t="s">
        <v>42</v>
      </c>
      <c r="F179" s="5" t="s">
        <v>33</v>
      </c>
      <c r="G179" s="5" t="s">
        <v>4584</v>
      </c>
      <c r="H179" s="5" t="s">
        <v>34</v>
      </c>
      <c r="I179" s="5">
        <v>3103841591</v>
      </c>
      <c r="J179" s="12">
        <v>46018</v>
      </c>
      <c r="K179" s="11">
        <v>0</v>
      </c>
      <c r="M179" s="10" t="s">
        <v>14619</v>
      </c>
      <c r="N179" s="12">
        <v>46018.576384976855</v>
      </c>
      <c r="O179" s="10" t="s">
        <v>14956</v>
      </c>
      <c r="P179" s="5" t="s">
        <v>14571</v>
      </c>
      <c r="Q179" s="5" t="s">
        <v>14572</v>
      </c>
      <c r="R179" s="5" t="s">
        <v>14957</v>
      </c>
      <c r="T179" s="5" t="s">
        <v>14574</v>
      </c>
      <c r="U179" s="5" t="s">
        <v>33</v>
      </c>
      <c r="V179" s="5" t="s">
        <v>2636</v>
      </c>
      <c r="W179" s="5" t="s">
        <v>120</v>
      </c>
    </row>
    <row r="180" spans="1:23" ht="12.5" hidden="1">
      <c r="A180" s="5">
        <v>90694</v>
      </c>
      <c r="B180" s="5" t="s">
        <v>14946</v>
      </c>
      <c r="C180" s="10" t="s">
        <v>14947</v>
      </c>
      <c r="D180" s="5">
        <v>44</v>
      </c>
      <c r="E180" s="5" t="s">
        <v>1111</v>
      </c>
      <c r="F180" s="5" t="s">
        <v>185</v>
      </c>
      <c r="G180" s="5" t="s">
        <v>4591</v>
      </c>
      <c r="H180" s="5" t="s">
        <v>4592</v>
      </c>
      <c r="I180" s="5"/>
      <c r="J180" s="12">
        <v>46018</v>
      </c>
      <c r="K180" s="11">
        <v>0.66666666666666663</v>
      </c>
      <c r="M180" s="10" t="s">
        <v>14885</v>
      </c>
      <c r="N180" s="12">
        <v>46018</v>
      </c>
      <c r="O180" s="10" t="s">
        <v>14948</v>
      </c>
      <c r="P180" s="5" t="s">
        <v>14571</v>
      </c>
      <c r="Q180" s="5" t="s">
        <v>14572</v>
      </c>
      <c r="R180" s="5" t="s">
        <v>14949</v>
      </c>
      <c r="T180" s="5" t="s">
        <v>5994</v>
      </c>
      <c r="U180" s="5" t="s">
        <v>14580</v>
      </c>
      <c r="V180" s="5" t="s">
        <v>67</v>
      </c>
    </row>
    <row r="181" spans="1:23" ht="12.5" hidden="1">
      <c r="A181" s="5">
        <v>90695</v>
      </c>
      <c r="B181" s="5" t="s">
        <v>14943</v>
      </c>
      <c r="C181" s="5">
        <v>573187691123</v>
      </c>
      <c r="D181" s="5">
        <v>67</v>
      </c>
      <c r="E181" s="5" t="s">
        <v>542</v>
      </c>
      <c r="F181" s="5" t="s">
        <v>975</v>
      </c>
      <c r="G181" s="5" t="s">
        <v>4596</v>
      </c>
      <c r="H181" s="5" t="s">
        <v>4597</v>
      </c>
      <c r="I181" s="5">
        <v>3023943404</v>
      </c>
      <c r="J181" s="12">
        <v>46018</v>
      </c>
      <c r="K181" s="11">
        <v>0.66666666666787933</v>
      </c>
      <c r="M181" s="10" t="s">
        <v>14646</v>
      </c>
      <c r="N181" s="12">
        <v>46018.602005856483</v>
      </c>
      <c r="O181" s="10" t="s">
        <v>14944</v>
      </c>
      <c r="P181" s="5" t="s">
        <v>14571</v>
      </c>
      <c r="Q181" s="5" t="s">
        <v>14572</v>
      </c>
      <c r="R181" s="5" t="s">
        <v>14945</v>
      </c>
      <c r="T181" s="5" t="s">
        <v>5994</v>
      </c>
      <c r="U181" s="5" t="s">
        <v>14593</v>
      </c>
      <c r="V181" s="5" t="s">
        <v>67</v>
      </c>
    </row>
    <row r="182" spans="1:23" ht="12.5" hidden="1">
      <c r="A182" s="5">
        <v>90696</v>
      </c>
      <c r="B182" s="5" t="s">
        <v>14939</v>
      </c>
      <c r="C182" s="5">
        <v>573008370746</v>
      </c>
      <c r="D182" s="5">
        <v>46</v>
      </c>
      <c r="E182" s="5" t="s">
        <v>1126</v>
      </c>
      <c r="G182" s="5" t="s">
        <v>4601</v>
      </c>
      <c r="H182" s="5" t="s">
        <v>4602</v>
      </c>
      <c r="J182" s="12">
        <v>46018</v>
      </c>
      <c r="K182" s="11">
        <v>0</v>
      </c>
      <c r="M182" s="10" t="s">
        <v>14940</v>
      </c>
      <c r="N182" s="12">
        <v>46018.645143043977</v>
      </c>
      <c r="O182" s="10" t="s">
        <v>14941</v>
      </c>
      <c r="P182" s="5" t="s">
        <v>14571</v>
      </c>
      <c r="Q182" s="5" t="s">
        <v>14572</v>
      </c>
      <c r="R182" s="5" t="s">
        <v>14942</v>
      </c>
      <c r="T182" s="5" t="s">
        <v>5994</v>
      </c>
      <c r="V182" s="5" t="s">
        <v>67</v>
      </c>
      <c r="W182" s="5" t="s">
        <v>4604</v>
      </c>
    </row>
    <row r="183" spans="1:23" ht="12.5" hidden="1">
      <c r="A183" s="5">
        <v>90697</v>
      </c>
      <c r="B183" s="5" t="s">
        <v>14933</v>
      </c>
      <c r="C183" s="10" t="s">
        <v>14934</v>
      </c>
      <c r="D183" s="5" t="s">
        <v>14935</v>
      </c>
      <c r="E183" s="5" t="s">
        <v>4608</v>
      </c>
      <c r="F183" s="5" t="s">
        <v>185</v>
      </c>
      <c r="G183" s="5" t="s">
        <v>4606</v>
      </c>
      <c r="H183" s="5" t="s">
        <v>4607</v>
      </c>
      <c r="J183" s="12">
        <v>46018</v>
      </c>
      <c r="K183" s="11">
        <v>0</v>
      </c>
      <c r="M183" s="10" t="s">
        <v>14936</v>
      </c>
      <c r="N183" s="12">
        <v>46018</v>
      </c>
      <c r="O183" s="10" t="s">
        <v>14937</v>
      </c>
      <c r="P183" s="5" t="s">
        <v>14571</v>
      </c>
      <c r="Q183" s="5" t="s">
        <v>14578</v>
      </c>
      <c r="R183" s="5" t="s">
        <v>14938</v>
      </c>
      <c r="T183" s="5" t="s">
        <v>5994</v>
      </c>
      <c r="U183" s="5" t="s">
        <v>14580</v>
      </c>
      <c r="V183" s="5" t="s">
        <v>180</v>
      </c>
      <c r="W183" s="5" t="s">
        <v>4609</v>
      </c>
    </row>
    <row r="184" spans="1:23" ht="12.5" hidden="1">
      <c r="A184" s="5">
        <v>90698</v>
      </c>
      <c r="B184" s="5" t="s">
        <v>4611</v>
      </c>
      <c r="C184" s="10" t="s">
        <v>14930</v>
      </c>
      <c r="D184" s="5">
        <v>41</v>
      </c>
      <c r="E184" s="5" t="s">
        <v>89</v>
      </c>
      <c r="F184" s="5" t="s">
        <v>33</v>
      </c>
      <c r="G184" s="5" t="s">
        <v>4611</v>
      </c>
      <c r="H184" s="5" t="s">
        <v>34</v>
      </c>
      <c r="I184" s="5">
        <v>3016260061</v>
      </c>
      <c r="J184" s="12">
        <v>46018</v>
      </c>
      <c r="K184" s="11">
        <v>0</v>
      </c>
      <c r="M184" s="10" t="s">
        <v>14646</v>
      </c>
      <c r="N184" s="12">
        <v>46018</v>
      </c>
      <c r="O184" s="10" t="s">
        <v>14931</v>
      </c>
      <c r="P184" s="5" t="s">
        <v>14571</v>
      </c>
      <c r="Q184" s="5" t="s">
        <v>14578</v>
      </c>
      <c r="R184" s="5" t="s">
        <v>14932</v>
      </c>
      <c r="T184" s="5" t="s">
        <v>14574</v>
      </c>
      <c r="U184" s="5" t="s">
        <v>33</v>
      </c>
      <c r="V184" s="5" t="s">
        <v>1481</v>
      </c>
    </row>
    <row r="185" spans="1:23" ht="12.5" hidden="1">
      <c r="A185" s="5">
        <v>90699</v>
      </c>
      <c r="B185" s="5" t="s">
        <v>14926</v>
      </c>
      <c r="C185" s="5">
        <v>573155252368</v>
      </c>
      <c r="D185" s="5">
        <v>17</v>
      </c>
      <c r="E185" s="5" t="s">
        <v>4616</v>
      </c>
      <c r="F185" s="5" t="s">
        <v>1047</v>
      </c>
      <c r="G185" s="5" t="s">
        <v>4614</v>
      </c>
      <c r="H185" s="5" t="s">
        <v>4615</v>
      </c>
      <c r="I185" s="5">
        <v>3155252368</v>
      </c>
      <c r="J185" s="12">
        <v>46018</v>
      </c>
      <c r="K185" s="11">
        <v>0</v>
      </c>
      <c r="M185" s="10" t="s">
        <v>14927</v>
      </c>
      <c r="N185" s="12">
        <v>46018.678903101856</v>
      </c>
      <c r="O185" s="10" t="s">
        <v>14928</v>
      </c>
      <c r="P185" s="5" t="s">
        <v>14571</v>
      </c>
      <c r="Q185" s="5" t="s">
        <v>14572</v>
      </c>
      <c r="R185" s="5" t="s">
        <v>14929</v>
      </c>
      <c r="T185" s="5" t="s">
        <v>5994</v>
      </c>
      <c r="U185" s="5" t="s">
        <v>14580</v>
      </c>
      <c r="V185" s="5" t="s">
        <v>83</v>
      </c>
    </row>
    <row r="186" spans="1:23" ht="12.5" hidden="1">
      <c r="A186" s="5">
        <v>90700</v>
      </c>
      <c r="B186" s="5" t="s">
        <v>4619</v>
      </c>
      <c r="C186" s="10" t="s">
        <v>14922</v>
      </c>
      <c r="D186" s="5">
        <v>95</v>
      </c>
      <c r="E186" s="5" t="s">
        <v>42</v>
      </c>
      <c r="F186" s="5" t="s">
        <v>33</v>
      </c>
      <c r="G186" s="5" t="s">
        <v>4619</v>
      </c>
      <c r="H186" s="5" t="s">
        <v>34</v>
      </c>
      <c r="I186" s="5">
        <v>4636715</v>
      </c>
      <c r="J186" s="12">
        <v>46018</v>
      </c>
      <c r="K186" s="11">
        <v>0</v>
      </c>
      <c r="M186" s="10" t="s">
        <v>14923</v>
      </c>
      <c r="N186" s="12">
        <v>46018</v>
      </c>
      <c r="O186" s="10" t="s">
        <v>14924</v>
      </c>
      <c r="P186" s="5" t="s">
        <v>14571</v>
      </c>
      <c r="Q186" s="5" t="s">
        <v>14578</v>
      </c>
      <c r="R186" s="5" t="s">
        <v>14925</v>
      </c>
      <c r="T186" s="5" t="s">
        <v>14574</v>
      </c>
      <c r="U186" s="5" t="s">
        <v>33</v>
      </c>
      <c r="V186" s="5" t="s">
        <v>1481</v>
      </c>
      <c r="W186" s="5" t="s">
        <v>120</v>
      </c>
    </row>
    <row r="187" spans="1:23" ht="12.5" hidden="1">
      <c r="A187" s="5">
        <v>90701</v>
      </c>
      <c r="B187" s="5" t="s">
        <v>4621</v>
      </c>
      <c r="C187" s="10" t="s">
        <v>14799</v>
      </c>
      <c r="D187" s="5">
        <v>95</v>
      </c>
      <c r="E187" s="5" t="s">
        <v>42</v>
      </c>
      <c r="F187" s="5" t="s">
        <v>33</v>
      </c>
      <c r="G187" s="5" t="s">
        <v>4621</v>
      </c>
      <c r="H187" s="5" t="s">
        <v>34</v>
      </c>
      <c r="I187" s="10" t="s">
        <v>2686</v>
      </c>
      <c r="J187" s="12">
        <v>46018</v>
      </c>
      <c r="K187" s="11">
        <v>0</v>
      </c>
      <c r="M187" s="10" t="s">
        <v>14873</v>
      </c>
      <c r="N187" s="12">
        <v>46018</v>
      </c>
      <c r="O187" s="10" t="s">
        <v>14920</v>
      </c>
      <c r="P187" s="5" t="s">
        <v>14571</v>
      </c>
      <c r="Q187" s="5" t="s">
        <v>14572</v>
      </c>
      <c r="R187" s="5" t="s">
        <v>14921</v>
      </c>
      <c r="T187" s="5" t="s">
        <v>14574</v>
      </c>
      <c r="U187" s="5" t="s">
        <v>33</v>
      </c>
      <c r="V187" s="5" t="s">
        <v>196</v>
      </c>
      <c r="W187" s="5" t="s">
        <v>525</v>
      </c>
    </row>
    <row r="188" spans="1:23" ht="12.5" hidden="1">
      <c r="A188" s="5">
        <v>90702</v>
      </c>
      <c r="B188" s="5" t="s">
        <v>14916</v>
      </c>
      <c r="C188" s="10" t="s">
        <v>14917</v>
      </c>
      <c r="D188" s="5">
        <v>95</v>
      </c>
      <c r="E188" s="5" t="s">
        <v>42</v>
      </c>
      <c r="F188" s="5" t="s">
        <v>33</v>
      </c>
      <c r="G188" s="5" t="s">
        <v>1231</v>
      </c>
      <c r="H188" s="5" t="s">
        <v>34</v>
      </c>
      <c r="I188" s="5">
        <v>3007682024</v>
      </c>
      <c r="J188" s="12">
        <v>46018</v>
      </c>
      <c r="K188" s="11">
        <v>0</v>
      </c>
      <c r="M188" s="10" t="s">
        <v>2686</v>
      </c>
      <c r="N188" s="12">
        <v>46018</v>
      </c>
      <c r="O188" s="10" t="s">
        <v>14918</v>
      </c>
      <c r="P188" s="5" t="s">
        <v>14571</v>
      </c>
      <c r="Q188" s="5" t="s">
        <v>14578</v>
      </c>
      <c r="R188" s="5" t="s">
        <v>14919</v>
      </c>
      <c r="T188" s="5" t="s">
        <v>14574</v>
      </c>
      <c r="U188" s="5" t="s">
        <v>33</v>
      </c>
      <c r="V188" s="5" t="s">
        <v>43</v>
      </c>
      <c r="W188" s="5" t="s">
        <v>4622</v>
      </c>
    </row>
    <row r="189" spans="1:23" ht="12.5" hidden="1">
      <c r="A189" s="5">
        <v>90703</v>
      </c>
      <c r="B189" s="5" t="s">
        <v>14913</v>
      </c>
      <c r="C189" s="5">
        <v>570000</v>
      </c>
      <c r="D189" s="5">
        <v>95</v>
      </c>
      <c r="E189" s="5" t="s">
        <v>42</v>
      </c>
      <c r="F189" s="5" t="s">
        <v>33</v>
      </c>
      <c r="G189" s="5">
        <v>0</v>
      </c>
      <c r="H189" s="5" t="s">
        <v>34</v>
      </c>
      <c r="J189" s="12">
        <v>46018</v>
      </c>
      <c r="K189" s="11">
        <v>0</v>
      </c>
      <c r="M189" s="10" t="s">
        <v>14863</v>
      </c>
      <c r="N189" s="12">
        <v>46018.7006453125</v>
      </c>
      <c r="O189" s="10" t="s">
        <v>14914</v>
      </c>
      <c r="P189" s="5" t="s">
        <v>14571</v>
      </c>
      <c r="Q189" s="5" t="s">
        <v>14572</v>
      </c>
      <c r="R189" s="5" t="s">
        <v>14915</v>
      </c>
      <c r="T189" s="5" t="s">
        <v>14574</v>
      </c>
      <c r="U189" s="5" t="s">
        <v>33</v>
      </c>
      <c r="V189" s="5" t="s">
        <v>196</v>
      </c>
      <c r="W189" s="5" t="s">
        <v>1286</v>
      </c>
    </row>
    <row r="190" spans="1:23" ht="12.5" hidden="1">
      <c r="A190" s="5">
        <v>90642</v>
      </c>
      <c r="B190" s="5" t="s">
        <v>15105</v>
      </c>
      <c r="C190" s="5">
        <v>573132013203</v>
      </c>
      <c r="D190" s="5">
        <v>51</v>
      </c>
      <c r="E190" s="5" t="s">
        <v>384</v>
      </c>
      <c r="F190" s="5" t="s">
        <v>2007</v>
      </c>
      <c r="G190" s="5" t="s">
        <v>4373</v>
      </c>
      <c r="H190" s="5" t="s">
        <v>4374</v>
      </c>
      <c r="I190" s="5">
        <v>3224623909</v>
      </c>
      <c r="J190" s="12">
        <v>46020</v>
      </c>
      <c r="K190" s="11">
        <v>0.34652777777955635</v>
      </c>
      <c r="M190" s="10" t="s">
        <v>14582</v>
      </c>
      <c r="N190" s="12">
        <v>46017.392751296298</v>
      </c>
      <c r="O190" s="10" t="s">
        <v>15106</v>
      </c>
      <c r="P190" s="5" t="s">
        <v>14571</v>
      </c>
      <c r="Q190" s="5" t="s">
        <v>14572</v>
      </c>
      <c r="R190" s="5" t="s">
        <v>15107</v>
      </c>
      <c r="T190" s="5" t="s">
        <v>5994</v>
      </c>
      <c r="V190" s="5" t="s">
        <v>83</v>
      </c>
      <c r="W190" s="5" t="s">
        <v>4376</v>
      </c>
    </row>
    <row r="191" spans="1:23" ht="12.5" hidden="1">
      <c r="A191" s="5">
        <v>90659</v>
      </c>
      <c r="B191" s="5" t="s">
        <v>4446</v>
      </c>
      <c r="C191" s="5">
        <v>573136214673</v>
      </c>
      <c r="D191" s="5">
        <v>32</v>
      </c>
      <c r="E191" s="5" t="s">
        <v>65</v>
      </c>
      <c r="F191" s="5" t="s">
        <v>33</v>
      </c>
      <c r="G191" s="5" t="s">
        <v>4446</v>
      </c>
      <c r="H191" s="5" t="s">
        <v>34</v>
      </c>
      <c r="I191" s="5">
        <v>3136214673</v>
      </c>
      <c r="J191" s="12">
        <v>46020</v>
      </c>
      <c r="K191" s="11">
        <v>0.375</v>
      </c>
      <c r="M191" s="10" t="s">
        <v>14800</v>
      </c>
      <c r="N191" s="12">
        <v>46017.632844293985</v>
      </c>
      <c r="O191" s="10" t="s">
        <v>14827</v>
      </c>
      <c r="P191" s="5" t="s">
        <v>14571</v>
      </c>
      <c r="Q191" s="5" t="s">
        <v>14578</v>
      </c>
      <c r="R191" s="5" t="s">
        <v>15058</v>
      </c>
      <c r="T191" s="5" t="s">
        <v>14574</v>
      </c>
      <c r="U191" s="5" t="s">
        <v>33</v>
      </c>
      <c r="V191" s="5" t="s">
        <v>83</v>
      </c>
      <c r="W191" s="5" t="s">
        <v>4448</v>
      </c>
    </row>
    <row r="192" spans="1:23" ht="12.5" hidden="1">
      <c r="A192" s="5">
        <v>90666</v>
      </c>
      <c r="B192" s="5" t="s">
        <v>15035</v>
      </c>
      <c r="C192" s="5">
        <v>573114031778</v>
      </c>
      <c r="D192" s="5">
        <v>95</v>
      </c>
      <c r="E192" s="5" t="s">
        <v>42</v>
      </c>
      <c r="G192" s="5" t="s">
        <v>4476</v>
      </c>
      <c r="H192" s="5" t="s">
        <v>4477</v>
      </c>
      <c r="I192" s="5">
        <v>3044475947</v>
      </c>
      <c r="J192" s="12">
        <v>46020</v>
      </c>
      <c r="K192" s="11">
        <v>0.58333333333212067</v>
      </c>
      <c r="M192" s="10" t="s">
        <v>15036</v>
      </c>
      <c r="N192" s="12">
        <v>46017.71106011574</v>
      </c>
      <c r="O192" s="10" t="s">
        <v>15037</v>
      </c>
      <c r="P192" s="5" t="s">
        <v>14571</v>
      </c>
      <c r="Q192" s="5" t="s">
        <v>14612</v>
      </c>
      <c r="R192" s="5" t="s">
        <v>15038</v>
      </c>
      <c r="T192" s="5" t="s">
        <v>5994</v>
      </c>
      <c r="V192" s="5" t="s">
        <v>2636</v>
      </c>
      <c r="W192" s="5" t="s">
        <v>4478</v>
      </c>
    </row>
    <row r="193" spans="1:23" ht="12.5" hidden="1">
      <c r="A193" s="5">
        <v>90678</v>
      </c>
      <c r="B193" s="5" t="s">
        <v>15001</v>
      </c>
      <c r="C193" s="5">
        <v>573174772605</v>
      </c>
      <c r="D193" s="5">
        <v>13</v>
      </c>
      <c r="E193" s="5" t="s">
        <v>4516</v>
      </c>
      <c r="F193" s="5"/>
      <c r="G193" s="5" t="s">
        <v>4514</v>
      </c>
      <c r="H193" s="5" t="s">
        <v>4515</v>
      </c>
      <c r="I193" s="5"/>
      <c r="J193" s="12">
        <v>46020</v>
      </c>
      <c r="K193" s="11">
        <v>0.375</v>
      </c>
      <c r="M193" s="10" t="s">
        <v>15002</v>
      </c>
      <c r="N193" s="12">
        <v>46018.385984548615</v>
      </c>
      <c r="O193" s="10" t="s">
        <v>15003</v>
      </c>
      <c r="P193" s="5" t="s">
        <v>14571</v>
      </c>
      <c r="Q193" s="5" t="s">
        <v>14578</v>
      </c>
      <c r="R193" s="5" t="s">
        <v>15004</v>
      </c>
      <c r="T193" s="5" t="s">
        <v>5994</v>
      </c>
      <c r="U193" s="5"/>
      <c r="V193" s="5" t="s">
        <v>196</v>
      </c>
      <c r="W193" s="5" t="s">
        <v>4518</v>
      </c>
    </row>
    <row r="194" spans="1:23" ht="12.5" hidden="1">
      <c r="A194" s="5">
        <v>90704</v>
      </c>
      <c r="B194" s="5" t="s">
        <v>14909</v>
      </c>
      <c r="C194" s="5">
        <v>573107131591</v>
      </c>
      <c r="D194" s="5">
        <v>46</v>
      </c>
      <c r="E194" s="5" t="s">
        <v>1126</v>
      </c>
      <c r="F194" s="5" t="s">
        <v>33</v>
      </c>
      <c r="G194" s="5" t="s">
        <v>4626</v>
      </c>
      <c r="H194" s="5" t="s">
        <v>4627</v>
      </c>
      <c r="I194" s="5">
        <v>3107131591</v>
      </c>
      <c r="J194" s="12">
        <v>46020</v>
      </c>
      <c r="K194" s="11">
        <v>0.41666666666787933</v>
      </c>
      <c r="M194" s="10" t="s">
        <v>14910</v>
      </c>
      <c r="N194" s="12">
        <v>46018.815856828704</v>
      </c>
      <c r="O194" s="10" t="s">
        <v>14911</v>
      </c>
      <c r="P194" s="5" t="s">
        <v>14571</v>
      </c>
      <c r="Q194" s="5" t="s">
        <v>14612</v>
      </c>
      <c r="R194" s="5" t="s">
        <v>14912</v>
      </c>
      <c r="T194" s="5" t="s">
        <v>14574</v>
      </c>
      <c r="U194" s="5" t="s">
        <v>33</v>
      </c>
      <c r="V194" s="5" t="s">
        <v>67</v>
      </c>
    </row>
    <row r="195" spans="1:23" ht="12.5">
      <c r="A195" s="5">
        <v>90705</v>
      </c>
      <c r="B195" s="5" t="s">
        <v>4634</v>
      </c>
      <c r="C195" s="10" t="s">
        <v>14906</v>
      </c>
      <c r="D195" s="5">
        <v>32</v>
      </c>
      <c r="E195" s="5" t="s">
        <v>65</v>
      </c>
      <c r="F195" s="5" t="s">
        <v>1006</v>
      </c>
      <c r="G195" s="5" t="s">
        <v>4631</v>
      </c>
      <c r="H195" s="5" t="s">
        <v>4632</v>
      </c>
      <c r="I195" s="5"/>
      <c r="J195" s="12">
        <v>46020</v>
      </c>
      <c r="K195" s="11">
        <v>0.41666666666666669</v>
      </c>
      <c r="M195" s="10" t="s">
        <v>14850</v>
      </c>
      <c r="N195" s="12">
        <v>46020</v>
      </c>
      <c r="O195" s="10" t="s">
        <v>14907</v>
      </c>
      <c r="P195" s="5" t="s">
        <v>14571</v>
      </c>
      <c r="Q195" s="5" t="s">
        <v>14572</v>
      </c>
      <c r="R195" s="5" t="s">
        <v>14908</v>
      </c>
      <c r="T195" s="5" t="s">
        <v>5994</v>
      </c>
      <c r="U195" s="5" t="s">
        <v>14580</v>
      </c>
      <c r="V195" s="5" t="s">
        <v>67</v>
      </c>
    </row>
    <row r="196" spans="1:23" ht="12.5">
      <c r="A196" s="5">
        <v>90706</v>
      </c>
      <c r="B196" s="5" t="s">
        <v>14902</v>
      </c>
      <c r="C196" s="5">
        <v>573215408807</v>
      </c>
      <c r="D196" s="5">
        <v>3</v>
      </c>
      <c r="E196" s="5" t="s">
        <v>3248</v>
      </c>
      <c r="F196" s="5" t="s">
        <v>73</v>
      </c>
      <c r="G196" s="5" t="s">
        <v>4635</v>
      </c>
      <c r="H196" s="5" t="s">
        <v>4636</v>
      </c>
      <c r="I196" s="5">
        <v>3215408807</v>
      </c>
      <c r="J196" s="12">
        <v>46020</v>
      </c>
      <c r="K196" s="11">
        <v>0.45833333333212067</v>
      </c>
      <c r="M196" s="10" t="s">
        <v>14903</v>
      </c>
      <c r="N196" s="12">
        <v>46020.361183472225</v>
      </c>
      <c r="O196" s="10" t="s">
        <v>14904</v>
      </c>
      <c r="P196" s="5" t="s">
        <v>14571</v>
      </c>
      <c r="Q196" s="5" t="s">
        <v>14572</v>
      </c>
      <c r="R196" s="5" t="s">
        <v>14905</v>
      </c>
      <c r="T196" s="5" t="s">
        <v>5994</v>
      </c>
      <c r="U196" s="5" t="s">
        <v>14593</v>
      </c>
      <c r="V196" s="5" t="s">
        <v>67</v>
      </c>
    </row>
    <row r="197" spans="1:23" ht="12.5">
      <c r="A197" s="5">
        <v>90707</v>
      </c>
      <c r="B197" s="5" t="s">
        <v>14898</v>
      </c>
      <c r="C197" s="5">
        <v>573013645460</v>
      </c>
      <c r="D197" s="5">
        <v>70</v>
      </c>
      <c r="E197" s="5" t="s">
        <v>559</v>
      </c>
      <c r="F197" s="5" t="s">
        <v>87</v>
      </c>
      <c r="G197" s="5" t="s">
        <v>4641</v>
      </c>
      <c r="H197" s="5" t="s">
        <v>4642</v>
      </c>
      <c r="I197" s="5"/>
      <c r="J197" s="12">
        <v>46020</v>
      </c>
      <c r="K197" s="11">
        <v>0.45833333333212067</v>
      </c>
      <c r="M197" s="10" t="s">
        <v>14899</v>
      </c>
      <c r="N197" s="12">
        <v>46020.395946736113</v>
      </c>
      <c r="O197" s="10" t="s">
        <v>14900</v>
      </c>
      <c r="P197" s="5" t="s">
        <v>14571</v>
      </c>
      <c r="Q197" s="5" t="s">
        <v>14578</v>
      </c>
      <c r="R197" s="5" t="s">
        <v>14901</v>
      </c>
      <c r="T197" s="5" t="s">
        <v>5994</v>
      </c>
      <c r="U197" s="5" t="s">
        <v>14580</v>
      </c>
      <c r="V197" s="5" t="s">
        <v>180</v>
      </c>
      <c r="W197" s="5" t="s">
        <v>4644</v>
      </c>
    </row>
    <row r="198" spans="1:23" ht="12.5">
      <c r="A198" s="5">
        <v>90708</v>
      </c>
      <c r="B198" s="5" t="s">
        <v>14895</v>
      </c>
      <c r="C198" s="5">
        <v>573173694439</v>
      </c>
      <c r="D198" s="5">
        <v>62</v>
      </c>
      <c r="E198" s="5" t="s">
        <v>2586</v>
      </c>
      <c r="F198" s="5" t="s">
        <v>185</v>
      </c>
      <c r="G198" s="5" t="s">
        <v>4647</v>
      </c>
      <c r="H198" s="5" t="s">
        <v>4648</v>
      </c>
      <c r="I198" s="5">
        <v>3215017309</v>
      </c>
      <c r="J198" s="12">
        <v>46020</v>
      </c>
      <c r="K198" s="11">
        <v>0.4375</v>
      </c>
      <c r="M198" s="10" t="s">
        <v>14657</v>
      </c>
      <c r="N198" s="12">
        <v>46020.398663067128</v>
      </c>
      <c r="O198" s="10" t="s">
        <v>14896</v>
      </c>
      <c r="P198" s="5" t="s">
        <v>14571</v>
      </c>
      <c r="Q198" s="5" t="s">
        <v>14572</v>
      </c>
      <c r="R198" s="5" t="s">
        <v>14897</v>
      </c>
      <c r="T198" s="5" t="s">
        <v>5994</v>
      </c>
      <c r="U198" s="5" t="s">
        <v>14580</v>
      </c>
      <c r="V198" s="5" t="s">
        <v>83</v>
      </c>
    </row>
    <row r="199" spans="1:23" ht="12.5">
      <c r="A199" s="5">
        <v>90710</v>
      </c>
      <c r="B199" s="5" t="s">
        <v>14888</v>
      </c>
      <c r="C199" s="10" t="s">
        <v>14889</v>
      </c>
      <c r="D199" s="5" t="s">
        <v>14589</v>
      </c>
      <c r="E199" s="5" t="s">
        <v>4658</v>
      </c>
      <c r="F199" s="5" t="s">
        <v>185</v>
      </c>
      <c r="G199" s="5" t="s">
        <v>4656</v>
      </c>
      <c r="H199" s="5" t="s">
        <v>4657</v>
      </c>
      <c r="J199" s="12">
        <v>46020</v>
      </c>
      <c r="K199" s="11">
        <v>0.58333333333333337</v>
      </c>
      <c r="M199" s="10" t="s">
        <v>14890</v>
      </c>
      <c r="N199" s="12">
        <v>46020</v>
      </c>
      <c r="O199" s="10" t="s">
        <v>14891</v>
      </c>
      <c r="P199" s="5" t="s">
        <v>14571</v>
      </c>
      <c r="Q199" s="5" t="s">
        <v>14572</v>
      </c>
      <c r="R199" s="5" t="s">
        <v>14892</v>
      </c>
      <c r="T199" s="5" t="s">
        <v>5994</v>
      </c>
      <c r="U199" s="5" t="s">
        <v>14580</v>
      </c>
      <c r="V199" s="5" t="s">
        <v>1937</v>
      </c>
      <c r="W199" s="5" t="s">
        <v>4660</v>
      </c>
    </row>
    <row r="200" spans="1:23" ht="12.5">
      <c r="A200" s="5">
        <v>90711</v>
      </c>
      <c r="B200" s="5" t="s">
        <v>14884</v>
      </c>
      <c r="C200" s="5">
        <v>573186670707</v>
      </c>
      <c r="D200" s="5">
        <v>66</v>
      </c>
      <c r="E200" s="5" t="s">
        <v>576</v>
      </c>
      <c r="F200" s="5" t="s">
        <v>154</v>
      </c>
      <c r="G200" s="5" t="s">
        <v>4662</v>
      </c>
      <c r="H200" s="5" t="s">
        <v>4663</v>
      </c>
      <c r="I200" s="5">
        <v>3147156623</v>
      </c>
      <c r="J200" s="12">
        <v>46020</v>
      </c>
      <c r="K200" s="11">
        <v>0.58333333333212067</v>
      </c>
      <c r="M200" s="10" t="s">
        <v>14885</v>
      </c>
      <c r="N200" s="12">
        <v>46020.457083831017</v>
      </c>
      <c r="O200" s="10" t="s">
        <v>14886</v>
      </c>
      <c r="P200" s="5" t="s">
        <v>14571</v>
      </c>
      <c r="Q200" s="5" t="s">
        <v>14578</v>
      </c>
      <c r="R200" s="5" t="s">
        <v>14887</v>
      </c>
      <c r="T200" s="5" t="s">
        <v>5994</v>
      </c>
      <c r="U200" s="5" t="s">
        <v>14593</v>
      </c>
      <c r="V200" s="5" t="s">
        <v>83</v>
      </c>
    </row>
    <row r="201" spans="1:23" ht="12.5">
      <c r="A201" s="5">
        <v>90712</v>
      </c>
      <c r="B201" s="5" t="s">
        <v>14879</v>
      </c>
      <c r="C201" s="10" t="s">
        <v>14880</v>
      </c>
      <c r="D201" s="5">
        <v>32</v>
      </c>
      <c r="E201" s="5" t="s">
        <v>65</v>
      </c>
      <c r="F201" s="5" t="s">
        <v>124</v>
      </c>
      <c r="G201" s="5" t="s">
        <v>4665</v>
      </c>
      <c r="H201" s="5" t="s">
        <v>4667</v>
      </c>
      <c r="I201" s="5">
        <v>3022820261</v>
      </c>
      <c r="J201" s="12">
        <v>46020</v>
      </c>
      <c r="K201" s="11">
        <v>0.58333333333333337</v>
      </c>
      <c r="M201" s="10" t="s">
        <v>14881</v>
      </c>
      <c r="N201" s="12">
        <v>46020</v>
      </c>
      <c r="O201" s="10" t="s">
        <v>14882</v>
      </c>
      <c r="P201" s="5" t="s">
        <v>14571</v>
      </c>
      <c r="Q201" s="5" t="s">
        <v>14578</v>
      </c>
      <c r="R201" s="5" t="s">
        <v>14883</v>
      </c>
      <c r="T201" s="5" t="s">
        <v>5994</v>
      </c>
      <c r="U201" s="5" t="s">
        <v>14775</v>
      </c>
      <c r="V201" s="5" t="s">
        <v>83</v>
      </c>
    </row>
    <row r="202" spans="1:23" ht="12.5">
      <c r="A202" s="5">
        <v>90713</v>
      </c>
      <c r="B202" s="5" t="s">
        <v>14876</v>
      </c>
      <c r="C202" s="5">
        <v>573188833795</v>
      </c>
      <c r="D202" s="5">
        <v>5</v>
      </c>
      <c r="E202" s="5" t="s">
        <v>3111</v>
      </c>
      <c r="F202" s="5" t="s">
        <v>154</v>
      </c>
      <c r="G202" s="5" t="s">
        <v>4670</v>
      </c>
      <c r="H202" s="5" t="s">
        <v>4671</v>
      </c>
      <c r="J202" s="12">
        <v>46020</v>
      </c>
      <c r="K202" s="11">
        <v>0.58333333333212067</v>
      </c>
      <c r="M202" s="10" t="s">
        <v>14853</v>
      </c>
      <c r="N202" s="12">
        <v>46020.475867152782</v>
      </c>
      <c r="O202" s="10" t="s">
        <v>14877</v>
      </c>
      <c r="P202" s="5" t="s">
        <v>14571</v>
      </c>
      <c r="Q202" s="5" t="s">
        <v>14572</v>
      </c>
      <c r="R202" s="5" t="s">
        <v>14878</v>
      </c>
      <c r="T202" s="5" t="s">
        <v>5994</v>
      </c>
      <c r="U202" s="5" t="s">
        <v>14593</v>
      </c>
      <c r="V202" s="5" t="s">
        <v>1481</v>
      </c>
    </row>
    <row r="203" spans="1:23" ht="12.5">
      <c r="A203" s="5">
        <v>90714</v>
      </c>
      <c r="B203" s="5" t="s">
        <v>14872</v>
      </c>
      <c r="C203" s="5">
        <v>573002627762</v>
      </c>
      <c r="D203" s="5">
        <v>95</v>
      </c>
      <c r="E203" s="5" t="s">
        <v>42</v>
      </c>
      <c r="F203" s="5" t="s">
        <v>33</v>
      </c>
      <c r="G203" s="5" t="s">
        <v>4674</v>
      </c>
      <c r="H203" s="5" t="s">
        <v>34</v>
      </c>
      <c r="I203" s="5"/>
      <c r="J203" s="12">
        <v>46020</v>
      </c>
      <c r="K203" s="11">
        <v>0</v>
      </c>
      <c r="M203" s="10" t="s">
        <v>14873</v>
      </c>
      <c r="N203" s="12">
        <v>46020.489306770833</v>
      </c>
      <c r="O203" s="10" t="s">
        <v>14874</v>
      </c>
      <c r="P203" s="5" t="s">
        <v>14571</v>
      </c>
      <c r="Q203" s="5" t="s">
        <v>14578</v>
      </c>
      <c r="R203" s="5" t="s">
        <v>14875</v>
      </c>
      <c r="T203" s="5" t="s">
        <v>14574</v>
      </c>
      <c r="U203" s="5" t="s">
        <v>33</v>
      </c>
      <c r="V203" s="5" t="s">
        <v>43</v>
      </c>
      <c r="W203" s="5" t="s">
        <v>4675</v>
      </c>
    </row>
    <row r="204" spans="1:23" ht="12.5">
      <c r="A204" s="5">
        <v>90715</v>
      </c>
      <c r="B204" s="5" t="s">
        <v>14869</v>
      </c>
      <c r="C204" s="5">
        <v>573208162910</v>
      </c>
      <c r="D204" s="5">
        <v>39</v>
      </c>
      <c r="E204" s="5" t="s">
        <v>96</v>
      </c>
      <c r="F204" s="5" t="s">
        <v>1677</v>
      </c>
      <c r="G204" s="5" t="s">
        <v>4677</v>
      </c>
      <c r="H204" s="5" t="s">
        <v>4678</v>
      </c>
      <c r="I204" s="5"/>
      <c r="J204" s="12">
        <v>46020</v>
      </c>
      <c r="K204" s="11">
        <v>0.58333333333212067</v>
      </c>
      <c r="M204" s="10" t="s">
        <v>14870</v>
      </c>
      <c r="N204" s="12">
        <v>46020.372476168981</v>
      </c>
      <c r="O204" s="10" t="s">
        <v>14752</v>
      </c>
      <c r="P204" s="5" t="s">
        <v>14571</v>
      </c>
      <c r="Q204" s="5" t="s">
        <v>14572</v>
      </c>
      <c r="R204" s="5" t="s">
        <v>14871</v>
      </c>
      <c r="T204" s="5" t="s">
        <v>5994</v>
      </c>
      <c r="U204" s="5" t="s">
        <v>14580</v>
      </c>
      <c r="V204" s="5" t="s">
        <v>67</v>
      </c>
      <c r="W204" s="5" t="s">
        <v>4681</v>
      </c>
    </row>
    <row r="205" spans="1:23" ht="12.5">
      <c r="A205" s="5">
        <v>90716</v>
      </c>
      <c r="B205" s="5" t="s">
        <v>4684</v>
      </c>
      <c r="C205" s="5">
        <v>57000</v>
      </c>
      <c r="D205" s="5">
        <v>95</v>
      </c>
      <c r="E205" s="5" t="s">
        <v>42</v>
      </c>
      <c r="F205" s="5" t="s">
        <v>33</v>
      </c>
      <c r="G205" s="5" t="s">
        <v>4684</v>
      </c>
      <c r="H205" s="5" t="s">
        <v>34</v>
      </c>
      <c r="I205" s="10" t="s">
        <v>2686</v>
      </c>
      <c r="J205" s="12">
        <v>46020</v>
      </c>
      <c r="K205" s="11">
        <v>0</v>
      </c>
      <c r="M205" s="10" t="s">
        <v>14866</v>
      </c>
      <c r="N205" s="12">
        <v>46020.501425810187</v>
      </c>
      <c r="O205" s="10" t="s">
        <v>14867</v>
      </c>
      <c r="P205" s="5" t="s">
        <v>14571</v>
      </c>
      <c r="Q205" s="5" t="s">
        <v>14578</v>
      </c>
      <c r="R205" s="5" t="s">
        <v>14868</v>
      </c>
      <c r="T205" s="5" t="s">
        <v>14574</v>
      </c>
      <c r="U205" s="5" t="s">
        <v>33</v>
      </c>
      <c r="V205" s="5" t="s">
        <v>2636</v>
      </c>
      <c r="W205" s="5" t="s">
        <v>1286</v>
      </c>
    </row>
    <row r="206" spans="1:23" ht="12.5">
      <c r="A206" s="5">
        <v>90717</v>
      </c>
      <c r="B206" s="5" t="s">
        <v>14862</v>
      </c>
      <c r="C206" s="5">
        <v>573045710986</v>
      </c>
      <c r="D206" s="5">
        <v>95</v>
      </c>
      <c r="E206" s="5" t="s">
        <v>42</v>
      </c>
      <c r="F206" s="5" t="s">
        <v>103</v>
      </c>
      <c r="G206" s="5" t="s">
        <v>4685</v>
      </c>
      <c r="H206" s="5" t="s">
        <v>4687</v>
      </c>
      <c r="I206" s="5" t="s">
        <v>4688</v>
      </c>
      <c r="J206" s="12">
        <v>46020</v>
      </c>
      <c r="K206" s="11">
        <v>0</v>
      </c>
      <c r="M206" s="10" t="s">
        <v>14863</v>
      </c>
      <c r="N206" s="12">
        <v>46020.518236585645</v>
      </c>
      <c r="O206" s="10" t="s">
        <v>14864</v>
      </c>
      <c r="P206" s="5" t="s">
        <v>14571</v>
      </c>
      <c r="Q206" s="5" t="s">
        <v>14572</v>
      </c>
      <c r="R206" s="5" t="s">
        <v>14865</v>
      </c>
      <c r="T206" s="5" t="s">
        <v>5994</v>
      </c>
      <c r="U206" s="5" t="s">
        <v>14593</v>
      </c>
      <c r="V206" s="5" t="s">
        <v>180</v>
      </c>
      <c r="W206" s="5" t="s">
        <v>4689</v>
      </c>
    </row>
    <row r="207" spans="1:23" ht="12.5">
      <c r="A207" s="5">
        <v>90718</v>
      </c>
      <c r="B207" s="5" t="s">
        <v>14856</v>
      </c>
      <c r="C207" s="10" t="s">
        <v>14858</v>
      </c>
      <c r="D207" s="5">
        <v>52</v>
      </c>
      <c r="E207" s="5" t="s">
        <v>178</v>
      </c>
      <c r="F207" s="5" t="s">
        <v>161</v>
      </c>
      <c r="G207" s="5" t="s">
        <v>4692</v>
      </c>
      <c r="H207" s="5" t="s">
        <v>4693</v>
      </c>
      <c r="I207" s="5">
        <v>3107272835</v>
      </c>
      <c r="J207" s="12">
        <v>46020</v>
      </c>
      <c r="K207" s="11">
        <v>0.625</v>
      </c>
      <c r="M207" s="10" t="s">
        <v>14859</v>
      </c>
      <c r="N207" s="12">
        <v>46020</v>
      </c>
      <c r="O207" s="10" t="s">
        <v>14860</v>
      </c>
      <c r="P207" s="5" t="s">
        <v>14571</v>
      </c>
      <c r="Q207" s="5" t="s">
        <v>14572</v>
      </c>
      <c r="R207" s="5" t="s">
        <v>14861</v>
      </c>
      <c r="T207" s="5" t="s">
        <v>5994</v>
      </c>
      <c r="U207" s="5" t="s">
        <v>14593</v>
      </c>
      <c r="V207" s="5" t="s">
        <v>83</v>
      </c>
    </row>
    <row r="208" spans="1:23" ht="12.5">
      <c r="A208" s="5">
        <v>90719</v>
      </c>
      <c r="B208" s="5" t="s">
        <v>14856</v>
      </c>
      <c r="C208" s="5">
        <v>573107272834</v>
      </c>
      <c r="D208" s="5">
        <v>29</v>
      </c>
      <c r="E208" s="5" t="s">
        <v>309</v>
      </c>
      <c r="F208" s="5" t="s">
        <v>249</v>
      </c>
      <c r="G208" s="5" t="s">
        <v>4696</v>
      </c>
      <c r="H208" s="5" t="s">
        <v>4697</v>
      </c>
      <c r="I208" s="5">
        <v>3107272835</v>
      </c>
      <c r="J208" s="12">
        <v>46020</v>
      </c>
      <c r="K208" s="11">
        <v>0.625</v>
      </c>
      <c r="M208" s="10" t="s">
        <v>14627</v>
      </c>
      <c r="N208" s="12">
        <v>46020.527721412036</v>
      </c>
      <c r="O208" s="10" t="s">
        <v>14628</v>
      </c>
      <c r="P208" s="5" t="s">
        <v>14571</v>
      </c>
      <c r="Q208" s="5" t="s">
        <v>14578</v>
      </c>
      <c r="R208" s="5" t="s">
        <v>14857</v>
      </c>
      <c r="T208" s="5" t="s">
        <v>5994</v>
      </c>
      <c r="U208" s="5" t="s">
        <v>14593</v>
      </c>
      <c r="V208" s="5" t="s">
        <v>83</v>
      </c>
    </row>
    <row r="209" spans="1:23" ht="12.5">
      <c r="A209" s="5">
        <v>90721</v>
      </c>
      <c r="B209" s="5" t="s">
        <v>14849</v>
      </c>
      <c r="C209" s="5">
        <v>573182803558</v>
      </c>
      <c r="D209" s="5">
        <v>46</v>
      </c>
      <c r="E209" s="5" t="s">
        <v>2275</v>
      </c>
      <c r="F209" s="5" t="s">
        <v>185</v>
      </c>
      <c r="G209" s="5" t="s">
        <v>4707</v>
      </c>
      <c r="H209" s="5" t="s">
        <v>4708</v>
      </c>
      <c r="I209" s="5">
        <v>3014145861</v>
      </c>
      <c r="J209" s="12">
        <v>46020</v>
      </c>
      <c r="K209" s="11">
        <v>0.625</v>
      </c>
      <c r="M209" s="10" t="s">
        <v>14850</v>
      </c>
      <c r="N209" s="12">
        <v>46020.566726053235</v>
      </c>
      <c r="O209" s="10" t="s">
        <v>14727</v>
      </c>
      <c r="P209" s="5" t="s">
        <v>14571</v>
      </c>
      <c r="Q209" s="5" t="s">
        <v>14572</v>
      </c>
      <c r="R209" s="5" t="s">
        <v>14851</v>
      </c>
      <c r="T209" s="5" t="s">
        <v>5994</v>
      </c>
      <c r="U209" s="5" t="s">
        <v>14580</v>
      </c>
      <c r="V209" s="5" t="s">
        <v>2636</v>
      </c>
    </row>
    <row r="210" spans="1:23" ht="12.5">
      <c r="A210" s="5">
        <v>90724</v>
      </c>
      <c r="B210" s="5" t="s">
        <v>14838</v>
      </c>
      <c r="C210" s="5">
        <v>573142881716</v>
      </c>
      <c r="D210" s="5">
        <v>21</v>
      </c>
      <c r="E210" s="5" t="s">
        <v>330</v>
      </c>
      <c r="F210" s="5" t="s">
        <v>161</v>
      </c>
      <c r="G210" s="5" t="s">
        <v>4723</v>
      </c>
      <c r="H210" s="5" t="s">
        <v>4724</v>
      </c>
      <c r="I210" s="5">
        <v>3142881716</v>
      </c>
      <c r="J210" s="12">
        <v>46020</v>
      </c>
      <c r="K210" s="11">
        <v>0</v>
      </c>
      <c r="M210" s="10" t="s">
        <v>14657</v>
      </c>
      <c r="N210" s="12">
        <v>46020.584861875002</v>
      </c>
      <c r="O210" s="10" t="s">
        <v>14839</v>
      </c>
      <c r="P210" s="5" t="s">
        <v>14571</v>
      </c>
      <c r="Q210" s="5" t="s">
        <v>14612</v>
      </c>
      <c r="R210" s="5" t="s">
        <v>14840</v>
      </c>
      <c r="T210" s="5" t="s">
        <v>5994</v>
      </c>
      <c r="U210" s="5" t="s">
        <v>14593</v>
      </c>
      <c r="V210" s="5" t="s">
        <v>1937</v>
      </c>
      <c r="W210" s="5" t="s">
        <v>4725</v>
      </c>
    </row>
    <row r="211" spans="1:23" ht="12.5">
      <c r="A211" s="5">
        <v>90725</v>
      </c>
      <c r="B211" s="5" t="s">
        <v>4728</v>
      </c>
      <c r="C211" s="5">
        <v>57000</v>
      </c>
      <c r="D211" s="5">
        <v>95</v>
      </c>
      <c r="E211" s="5" t="s">
        <v>42</v>
      </c>
      <c r="F211" s="5" t="s">
        <v>33</v>
      </c>
      <c r="G211" s="5" t="s">
        <v>4728</v>
      </c>
      <c r="H211" s="5" t="s">
        <v>34</v>
      </c>
      <c r="J211" s="12">
        <v>46020</v>
      </c>
      <c r="K211" s="11">
        <v>0</v>
      </c>
      <c r="M211" s="10" t="s">
        <v>14835</v>
      </c>
      <c r="N211" s="12">
        <v>46020.608209999999</v>
      </c>
      <c r="O211" s="10" t="s">
        <v>14836</v>
      </c>
      <c r="P211" s="5" t="s">
        <v>14571</v>
      </c>
      <c r="Q211" s="5" t="s">
        <v>14578</v>
      </c>
      <c r="R211" s="5" t="s">
        <v>14837</v>
      </c>
      <c r="T211" s="5" t="s">
        <v>14574</v>
      </c>
      <c r="U211" s="5" t="s">
        <v>33</v>
      </c>
      <c r="V211" s="5" t="s">
        <v>2636</v>
      </c>
      <c r="W211" s="5" t="s">
        <v>525</v>
      </c>
    </row>
    <row r="212" spans="1:23" ht="12.5">
      <c r="A212" s="5">
        <v>90727</v>
      </c>
      <c r="B212" s="5" t="s">
        <v>4737</v>
      </c>
      <c r="C212" s="5">
        <v>573019796476</v>
      </c>
      <c r="D212" s="5">
        <v>52</v>
      </c>
      <c r="E212" s="5" t="s">
        <v>3991</v>
      </c>
      <c r="F212" s="5" t="s">
        <v>33</v>
      </c>
      <c r="G212" s="5" t="s">
        <v>4737</v>
      </c>
      <c r="H212" s="5" t="s">
        <v>34</v>
      </c>
      <c r="I212" s="5">
        <v>3019796476</v>
      </c>
      <c r="J212" s="12">
        <v>46020</v>
      </c>
      <c r="K212" s="11">
        <v>0</v>
      </c>
      <c r="M212" s="10" t="s">
        <v>14712</v>
      </c>
      <c r="N212" s="12">
        <v>46020.644855543986</v>
      </c>
      <c r="O212" s="10" t="s">
        <v>14827</v>
      </c>
      <c r="P212" s="5" t="s">
        <v>14571</v>
      </c>
      <c r="Q212" s="5" t="s">
        <v>14578</v>
      </c>
      <c r="R212" s="5" t="s">
        <v>14828</v>
      </c>
      <c r="T212" s="5" t="s">
        <v>14574</v>
      </c>
      <c r="U212" s="5" t="s">
        <v>33</v>
      </c>
      <c r="V212" s="5" t="s">
        <v>2636</v>
      </c>
    </row>
    <row r="213" spans="1:23" ht="12.5">
      <c r="A213" s="5">
        <v>90729</v>
      </c>
      <c r="B213" s="5" t="s">
        <v>4745</v>
      </c>
      <c r="C213" s="10" t="s">
        <v>14820</v>
      </c>
      <c r="D213" s="5">
        <v>52</v>
      </c>
      <c r="E213" s="5" t="s">
        <v>178</v>
      </c>
      <c r="F213" s="5" t="s">
        <v>33</v>
      </c>
      <c r="G213" s="5" t="s">
        <v>4745</v>
      </c>
      <c r="H213" s="5" t="s">
        <v>34</v>
      </c>
      <c r="I213" s="5">
        <v>3165317948</v>
      </c>
      <c r="J213" s="12">
        <v>46020</v>
      </c>
      <c r="K213" s="11">
        <v>0.70833333333333337</v>
      </c>
      <c r="M213" s="10" t="s">
        <v>14705</v>
      </c>
      <c r="N213" s="12">
        <v>46020</v>
      </c>
      <c r="O213" s="10" t="s">
        <v>14821</v>
      </c>
      <c r="P213" s="5" t="s">
        <v>14571</v>
      </c>
      <c r="Q213" s="5" t="s">
        <v>14572</v>
      </c>
      <c r="R213" s="5" t="s">
        <v>14822</v>
      </c>
      <c r="T213" s="5" t="s">
        <v>14574</v>
      </c>
      <c r="U213" s="5" t="s">
        <v>33</v>
      </c>
      <c r="V213" s="5" t="s">
        <v>2636</v>
      </c>
    </row>
    <row r="214" spans="1:23" ht="12.5">
      <c r="A214" s="5">
        <v>90730</v>
      </c>
      <c r="B214" s="5" t="s">
        <v>14815</v>
      </c>
      <c r="C214" s="10" t="s">
        <v>14816</v>
      </c>
      <c r="D214" s="5" t="s">
        <v>14589</v>
      </c>
      <c r="E214" s="5" t="s">
        <v>4751</v>
      </c>
      <c r="F214" s="5" t="s">
        <v>4749</v>
      </c>
      <c r="G214" s="5" t="s">
        <v>4748</v>
      </c>
      <c r="H214" s="5" t="s">
        <v>4750</v>
      </c>
      <c r="I214" s="5">
        <v>3015182932</v>
      </c>
      <c r="J214" s="12">
        <v>46020</v>
      </c>
      <c r="K214" s="11">
        <v>0.70833333333333337</v>
      </c>
      <c r="M214" s="10" t="s">
        <v>14817</v>
      </c>
      <c r="N214" s="12">
        <v>46020</v>
      </c>
      <c r="O214" s="10" t="s">
        <v>14818</v>
      </c>
      <c r="P214" s="5" t="s">
        <v>14571</v>
      </c>
      <c r="Q214" s="5" t="s">
        <v>14699</v>
      </c>
      <c r="R214" s="5" t="s">
        <v>14819</v>
      </c>
      <c r="T214" s="5" t="s">
        <v>5994</v>
      </c>
      <c r="U214" s="5" t="s">
        <v>14618</v>
      </c>
      <c r="V214" s="5" t="s">
        <v>83</v>
      </c>
    </row>
    <row r="215" spans="1:23" ht="12.5">
      <c r="A215" s="5">
        <v>90731</v>
      </c>
      <c r="B215" s="5" t="s">
        <v>4761</v>
      </c>
      <c r="C215" s="5">
        <v>17863700214</v>
      </c>
      <c r="D215" s="5">
        <v>5</v>
      </c>
      <c r="E215" s="5" t="s">
        <v>4021</v>
      </c>
      <c r="F215" s="5" t="s">
        <v>4757</v>
      </c>
      <c r="G215" s="5" t="s">
        <v>4756</v>
      </c>
      <c r="H215" s="5" t="s">
        <v>4758</v>
      </c>
      <c r="I215" s="5" t="s">
        <v>4759</v>
      </c>
      <c r="J215" s="12">
        <v>46020</v>
      </c>
      <c r="K215" s="11">
        <v>0</v>
      </c>
      <c r="M215" s="10" t="s">
        <v>14697</v>
      </c>
      <c r="N215" s="12">
        <v>46020.624540127319</v>
      </c>
      <c r="O215" s="10" t="s">
        <v>14813</v>
      </c>
      <c r="P215" s="5" t="s">
        <v>14571</v>
      </c>
      <c r="Q215" s="5" t="s">
        <v>14578</v>
      </c>
      <c r="R215" s="5" t="s">
        <v>14814</v>
      </c>
      <c r="T215" s="5" t="s">
        <v>5994</v>
      </c>
      <c r="U215" s="5"/>
      <c r="V215" s="5" t="s">
        <v>180</v>
      </c>
    </row>
    <row r="216" spans="1:23" ht="12.5">
      <c r="A216" s="5">
        <v>90732</v>
      </c>
      <c r="B216" s="5" t="s">
        <v>4764</v>
      </c>
      <c r="C216" s="5">
        <v>573158664163</v>
      </c>
      <c r="D216" s="5" t="s">
        <v>14589</v>
      </c>
      <c r="E216" s="5" t="s">
        <v>4765</v>
      </c>
      <c r="F216" s="5" t="s">
        <v>33</v>
      </c>
      <c r="G216" s="5" t="s">
        <v>4764</v>
      </c>
      <c r="H216" s="5" t="s">
        <v>34</v>
      </c>
      <c r="J216" s="12">
        <v>46020</v>
      </c>
      <c r="K216" s="11">
        <v>0.70833333333212067</v>
      </c>
      <c r="M216" s="10" t="s">
        <v>14705</v>
      </c>
      <c r="N216" s="12">
        <v>46020.691663472222</v>
      </c>
      <c r="O216" s="10" t="s">
        <v>14811</v>
      </c>
      <c r="P216" s="5" t="s">
        <v>14571</v>
      </c>
      <c r="Q216" s="5" t="s">
        <v>14572</v>
      </c>
      <c r="R216" s="5" t="s">
        <v>14812</v>
      </c>
      <c r="T216" s="5" t="s">
        <v>14574</v>
      </c>
      <c r="U216" s="5" t="s">
        <v>33</v>
      </c>
      <c r="V216" s="5" t="s">
        <v>83</v>
      </c>
    </row>
    <row r="217" spans="1:23" ht="12.5" hidden="1">
      <c r="A217" s="5">
        <v>90646</v>
      </c>
      <c r="B217" s="5" t="s">
        <v>15090</v>
      </c>
      <c r="C217" s="5">
        <v>573105313347</v>
      </c>
      <c r="D217" s="5">
        <v>53</v>
      </c>
      <c r="E217" s="5" t="s">
        <v>75</v>
      </c>
      <c r="F217" s="5" t="s">
        <v>103</v>
      </c>
      <c r="G217" s="5" t="s">
        <v>4392</v>
      </c>
      <c r="H217" s="5" t="s">
        <v>4393</v>
      </c>
      <c r="J217" s="12">
        <v>46021</v>
      </c>
      <c r="K217" s="11">
        <v>0.33333333333212067</v>
      </c>
      <c r="M217" s="10" t="s">
        <v>14585</v>
      </c>
      <c r="N217" s="12">
        <v>46017.437218726853</v>
      </c>
      <c r="O217" s="10" t="s">
        <v>15091</v>
      </c>
      <c r="P217" s="5" t="s">
        <v>14571</v>
      </c>
      <c r="Q217" s="5" t="s">
        <v>14578</v>
      </c>
      <c r="R217" s="5" t="s">
        <v>15092</v>
      </c>
      <c r="T217" s="5" t="s">
        <v>5994</v>
      </c>
      <c r="U217" s="5" t="s">
        <v>14593</v>
      </c>
      <c r="V217" s="5" t="s">
        <v>83</v>
      </c>
    </row>
    <row r="218" spans="1:23" ht="12.5" hidden="1">
      <c r="A218" s="5">
        <v>90679</v>
      </c>
      <c r="B218" s="5" t="s">
        <v>14996</v>
      </c>
      <c r="C218" s="10" t="s">
        <v>14997</v>
      </c>
      <c r="D218" s="5" t="s">
        <v>14982</v>
      </c>
      <c r="E218" s="5" t="s">
        <v>4523</v>
      </c>
      <c r="F218" s="5" t="s">
        <v>185</v>
      </c>
      <c r="G218" s="5" t="s">
        <v>4521</v>
      </c>
      <c r="H218" s="5" t="s">
        <v>4522</v>
      </c>
      <c r="I218" s="5">
        <v>3004996073</v>
      </c>
      <c r="J218" s="12">
        <v>46021</v>
      </c>
      <c r="K218" s="11">
        <v>0.375</v>
      </c>
      <c r="M218" s="10" t="s">
        <v>14998</v>
      </c>
      <c r="N218" s="12">
        <v>46018</v>
      </c>
      <c r="O218" s="10" t="s">
        <v>14999</v>
      </c>
      <c r="P218" s="5" t="s">
        <v>14571</v>
      </c>
      <c r="Q218" s="5" t="s">
        <v>14699</v>
      </c>
      <c r="R218" s="5" t="s">
        <v>15000</v>
      </c>
      <c r="T218" s="5" t="s">
        <v>5994</v>
      </c>
      <c r="U218" s="5" t="s">
        <v>14580</v>
      </c>
      <c r="V218" s="5" t="s">
        <v>83</v>
      </c>
      <c r="W218" s="5" t="s">
        <v>4525</v>
      </c>
    </row>
    <row r="219" spans="1:23" ht="12.5">
      <c r="A219" s="5">
        <v>90709</v>
      </c>
      <c r="B219" s="5" t="s">
        <v>3580</v>
      </c>
      <c r="C219" s="5">
        <v>573003182878</v>
      </c>
      <c r="D219" s="5" t="s">
        <v>14589</v>
      </c>
      <c r="E219" s="5" t="s">
        <v>4652</v>
      </c>
      <c r="G219" s="5" t="s">
        <v>3580</v>
      </c>
      <c r="H219" s="5" t="s">
        <v>4651</v>
      </c>
      <c r="I219" s="5">
        <v>3003182878</v>
      </c>
      <c r="J219" s="12">
        <v>46021</v>
      </c>
      <c r="K219" s="11">
        <v>0.41666666666787933</v>
      </c>
      <c r="M219" s="10" t="s">
        <v>2686</v>
      </c>
      <c r="N219" s="12">
        <v>46020.431373773143</v>
      </c>
      <c r="O219" s="10" t="s">
        <v>14893</v>
      </c>
      <c r="P219" s="5" t="s">
        <v>14571</v>
      </c>
      <c r="Q219" s="5" t="s">
        <v>14572</v>
      </c>
      <c r="R219" s="5" t="s">
        <v>14894</v>
      </c>
      <c r="T219" s="5" t="s">
        <v>5994</v>
      </c>
      <c r="V219" s="5" t="s">
        <v>2317</v>
      </c>
      <c r="W219" s="5" t="s">
        <v>4653</v>
      </c>
    </row>
    <row r="220" spans="1:23" ht="12.5">
      <c r="A220" s="5">
        <v>90722</v>
      </c>
      <c r="B220" s="5" t="s">
        <v>14845</v>
      </c>
      <c r="C220" s="5">
        <v>573213335580</v>
      </c>
      <c r="D220" s="5" t="s">
        <v>14846</v>
      </c>
      <c r="E220" s="5" t="s">
        <v>4714</v>
      </c>
      <c r="F220" s="5" t="s">
        <v>2880</v>
      </c>
      <c r="G220" s="5" t="s">
        <v>4712</v>
      </c>
      <c r="H220" s="5" t="s">
        <v>4713</v>
      </c>
      <c r="I220" s="5">
        <v>3005468586</v>
      </c>
      <c r="J220" s="12">
        <v>46021</v>
      </c>
      <c r="K220" s="11">
        <v>0.41666666666787933</v>
      </c>
      <c r="M220" s="10" t="s">
        <v>14734</v>
      </c>
      <c r="N220" s="12">
        <v>46020.578445416671</v>
      </c>
      <c r="O220" s="10" t="s">
        <v>14847</v>
      </c>
      <c r="P220" s="5" t="s">
        <v>14571</v>
      </c>
      <c r="Q220" s="5" t="s">
        <v>14572</v>
      </c>
      <c r="R220" s="5" t="s">
        <v>14848</v>
      </c>
      <c r="T220" s="5" t="s">
        <v>5994</v>
      </c>
      <c r="U220" s="5" t="s">
        <v>14691</v>
      </c>
      <c r="V220" s="5" t="s">
        <v>83</v>
      </c>
      <c r="W220" s="5" t="s">
        <v>4716</v>
      </c>
    </row>
    <row r="221" spans="1:23" ht="12.5">
      <c r="A221" s="5">
        <v>90723</v>
      </c>
      <c r="B221" s="5" t="s">
        <v>14841</v>
      </c>
      <c r="C221" s="5">
        <v>573022601836</v>
      </c>
      <c r="D221" s="5" t="s">
        <v>14589</v>
      </c>
      <c r="E221" s="5" t="s">
        <v>4719</v>
      </c>
      <c r="F221" s="5" t="s">
        <v>879</v>
      </c>
      <c r="G221" s="5" t="s">
        <v>4066</v>
      </c>
      <c r="H221" s="5" t="s">
        <v>4718</v>
      </c>
      <c r="I221" s="5">
        <v>3022601836</v>
      </c>
      <c r="J221" s="12">
        <v>46021</v>
      </c>
      <c r="K221" s="11">
        <v>0.33333333333212067</v>
      </c>
      <c r="M221" s="10" t="s">
        <v>14842</v>
      </c>
      <c r="N221" s="12">
        <v>46020.581236192127</v>
      </c>
      <c r="O221" s="10" t="s">
        <v>14843</v>
      </c>
      <c r="P221" s="5" t="s">
        <v>14571</v>
      </c>
      <c r="Q221" s="5" t="s">
        <v>14572</v>
      </c>
      <c r="R221" s="5" t="s">
        <v>14844</v>
      </c>
      <c r="T221" s="5" t="s">
        <v>5994</v>
      </c>
      <c r="U221" s="5" t="s">
        <v>14580</v>
      </c>
      <c r="V221" s="5" t="s">
        <v>83</v>
      </c>
      <c r="W221" s="5" t="s">
        <v>4721</v>
      </c>
    </row>
    <row r="222" spans="1:23" ht="12.5">
      <c r="A222" s="5">
        <v>90728</v>
      </c>
      <c r="B222" s="5" t="s">
        <v>14823</v>
      </c>
      <c r="C222" s="10" t="s">
        <v>14824</v>
      </c>
      <c r="D222" s="5">
        <v>30</v>
      </c>
      <c r="E222" s="5" t="s">
        <v>156</v>
      </c>
      <c r="F222" s="5" t="s">
        <v>73</v>
      </c>
      <c r="G222" s="5" t="s">
        <v>3559</v>
      </c>
      <c r="H222" s="5" t="s">
        <v>4741</v>
      </c>
      <c r="J222" s="12">
        <v>46021</v>
      </c>
      <c r="K222" s="11">
        <v>0.375</v>
      </c>
      <c r="M222" s="10" t="s">
        <v>14639</v>
      </c>
      <c r="N222" s="12">
        <v>46020</v>
      </c>
      <c r="O222" s="10" t="s">
        <v>14825</v>
      </c>
      <c r="P222" s="5" t="s">
        <v>14571</v>
      </c>
      <c r="Q222" s="5" t="s">
        <v>14572</v>
      </c>
      <c r="R222" s="5" t="s">
        <v>14826</v>
      </c>
      <c r="T222" s="5" t="s">
        <v>5994</v>
      </c>
      <c r="U222" s="5" t="s">
        <v>14593</v>
      </c>
      <c r="V222" s="5" t="s">
        <v>180</v>
      </c>
    </row>
    <row r="223" spans="1:23" ht="12.5" hidden="1">
      <c r="A223" s="5">
        <v>90360</v>
      </c>
      <c r="B223" s="5" t="s">
        <v>15470</v>
      </c>
      <c r="C223" s="5">
        <v>57000</v>
      </c>
      <c r="D223" s="5" t="s">
        <v>14589</v>
      </c>
      <c r="E223" s="5" t="s">
        <v>3220</v>
      </c>
      <c r="F223" s="5" t="s">
        <v>33</v>
      </c>
      <c r="G223" s="5" t="s">
        <v>1231</v>
      </c>
      <c r="H223" s="5" t="s">
        <v>34</v>
      </c>
      <c r="J223" s="12">
        <v>46022</v>
      </c>
      <c r="K223" s="11">
        <v>0.58333333333212067</v>
      </c>
      <c r="M223" s="10" t="s">
        <v>2686</v>
      </c>
      <c r="N223" s="12">
        <v>46008.299862430555</v>
      </c>
      <c r="O223" s="10" t="s">
        <v>15471</v>
      </c>
      <c r="P223" s="5" t="s">
        <v>14571</v>
      </c>
      <c r="Q223" s="5" t="s">
        <v>14572</v>
      </c>
      <c r="R223" s="5" t="s">
        <v>15472</v>
      </c>
      <c r="T223" s="5" t="s">
        <v>14574</v>
      </c>
      <c r="U223" s="5" t="s">
        <v>33</v>
      </c>
      <c r="V223" s="5" t="s">
        <v>43</v>
      </c>
    </row>
    <row r="224" spans="1:23" ht="12.5">
      <c r="A224" s="5">
        <v>90497</v>
      </c>
      <c r="B224" s="5" t="s">
        <v>15451</v>
      </c>
      <c r="C224" s="5">
        <v>573016257466</v>
      </c>
      <c r="D224" s="5">
        <v>32</v>
      </c>
      <c r="E224" s="5" t="s">
        <v>65</v>
      </c>
      <c r="F224" s="5" t="s">
        <v>229</v>
      </c>
      <c r="G224" s="5" t="s">
        <v>3802</v>
      </c>
      <c r="H224" s="5" t="s">
        <v>15452</v>
      </c>
      <c r="I224" s="5">
        <v>3016257466</v>
      </c>
      <c r="J224" s="12">
        <v>46022</v>
      </c>
      <c r="K224" s="11">
        <v>0</v>
      </c>
      <c r="M224" s="10" t="s">
        <v>14766</v>
      </c>
      <c r="N224" s="12">
        <v>46011.587036597222</v>
      </c>
      <c r="O224" s="10" t="s">
        <v>15453</v>
      </c>
      <c r="P224" s="5" t="s">
        <v>14571</v>
      </c>
      <c r="Q224" s="5" t="s">
        <v>14572</v>
      </c>
      <c r="R224" s="5" t="s">
        <v>15454</v>
      </c>
      <c r="T224" s="5" t="s">
        <v>5994</v>
      </c>
      <c r="U224" s="5"/>
      <c r="V224" s="5" t="s">
        <v>83</v>
      </c>
      <c r="W224" s="5" t="s">
        <v>3805</v>
      </c>
    </row>
    <row r="225" spans="1:23" ht="12.5">
      <c r="A225" s="5">
        <v>90526</v>
      </c>
      <c r="B225" s="5" t="s">
        <v>15423</v>
      </c>
      <c r="C225" s="5">
        <v>573167483308</v>
      </c>
      <c r="D225" s="5">
        <v>37</v>
      </c>
      <c r="E225" s="5" t="s">
        <v>1696</v>
      </c>
      <c r="F225" s="5" t="s">
        <v>1124</v>
      </c>
      <c r="G225" s="5" t="s">
        <v>3895</v>
      </c>
      <c r="H225" s="5" t="s">
        <v>3896</v>
      </c>
      <c r="I225" s="5">
        <v>3053816242</v>
      </c>
      <c r="J225" s="12">
        <v>46022</v>
      </c>
      <c r="K225" s="11">
        <v>0.41666666666787933</v>
      </c>
      <c r="M225" s="10" t="s">
        <v>15424</v>
      </c>
      <c r="N225" s="12">
        <v>46011.913860439818</v>
      </c>
      <c r="O225" s="10" t="s">
        <v>14904</v>
      </c>
      <c r="P225" s="5" t="s">
        <v>14571</v>
      </c>
      <c r="Q225" s="5" t="s">
        <v>14578</v>
      </c>
      <c r="R225" s="5" t="s">
        <v>15425</v>
      </c>
      <c r="T225" s="5" t="s">
        <v>5994</v>
      </c>
      <c r="U225" s="5" t="s">
        <v>14691</v>
      </c>
      <c r="V225" s="5" t="s">
        <v>1937</v>
      </c>
    </row>
    <row r="226" spans="1:23" ht="12.5" hidden="1">
      <c r="A226" s="5">
        <v>90674</v>
      </c>
      <c r="B226" s="5" t="s">
        <v>15014</v>
      </c>
      <c r="C226" s="10" t="s">
        <v>14917</v>
      </c>
      <c r="D226" s="5">
        <v>95</v>
      </c>
      <c r="E226" s="5" t="s">
        <v>42</v>
      </c>
      <c r="F226" s="5" t="s">
        <v>33</v>
      </c>
      <c r="G226" s="5" t="s">
        <v>1231</v>
      </c>
      <c r="H226" s="5" t="s">
        <v>34</v>
      </c>
      <c r="I226" s="5">
        <v>3007682024</v>
      </c>
      <c r="J226" s="12">
        <v>46022</v>
      </c>
      <c r="K226" s="11">
        <v>0</v>
      </c>
      <c r="M226" s="10" t="s">
        <v>2686</v>
      </c>
      <c r="N226" s="12">
        <v>46018</v>
      </c>
      <c r="O226" s="10" t="s">
        <v>15015</v>
      </c>
      <c r="P226" s="5" t="s">
        <v>14571</v>
      </c>
      <c r="Q226" s="5" t="s">
        <v>14572</v>
      </c>
      <c r="R226" s="5" t="s">
        <v>15016</v>
      </c>
      <c r="T226" s="5" t="s">
        <v>14574</v>
      </c>
      <c r="U226" s="5" t="s">
        <v>33</v>
      </c>
      <c r="V226" s="5" t="s">
        <v>43</v>
      </c>
      <c r="W226" s="5" t="s">
        <v>4501</v>
      </c>
    </row>
    <row r="227" spans="1:23" ht="12.5">
      <c r="A227" s="5">
        <v>90720</v>
      </c>
      <c r="B227" s="5" t="s">
        <v>14852</v>
      </c>
      <c r="C227" s="5">
        <v>573006836554</v>
      </c>
      <c r="D227" s="5">
        <v>62</v>
      </c>
      <c r="E227" s="5" t="s">
        <v>2586</v>
      </c>
      <c r="F227" s="5" t="s">
        <v>1006</v>
      </c>
      <c r="G227" s="5" t="s">
        <v>4701</v>
      </c>
      <c r="H227" s="5" t="s">
        <v>4702</v>
      </c>
      <c r="I227" s="5">
        <v>3006836554</v>
      </c>
      <c r="J227" s="12">
        <v>46022</v>
      </c>
      <c r="K227" s="11">
        <v>0.625</v>
      </c>
      <c r="M227" s="10" t="s">
        <v>14853</v>
      </c>
      <c r="N227" s="12">
        <v>46020.480165347224</v>
      </c>
      <c r="O227" s="10" t="s">
        <v>14854</v>
      </c>
      <c r="P227" s="5" t="s">
        <v>14571</v>
      </c>
      <c r="Q227" s="5" t="s">
        <v>14699</v>
      </c>
      <c r="R227" s="5" t="s">
        <v>14855</v>
      </c>
      <c r="T227" s="5" t="s">
        <v>5994</v>
      </c>
      <c r="U227" s="5" t="s">
        <v>14580</v>
      </c>
      <c r="V227" s="5" t="s">
        <v>180</v>
      </c>
    </row>
    <row r="228" spans="1:23" ht="12.5">
      <c r="A228" s="5">
        <v>90726</v>
      </c>
      <c r="B228" s="5" t="s">
        <v>14829</v>
      </c>
      <c r="C228" s="10" t="s">
        <v>14830</v>
      </c>
      <c r="D228" s="5">
        <v>29</v>
      </c>
      <c r="E228" s="5" t="s">
        <v>309</v>
      </c>
      <c r="F228" s="5" t="s">
        <v>1497</v>
      </c>
      <c r="G228" s="5" t="s">
        <v>14831</v>
      </c>
      <c r="H228" s="5" t="s">
        <v>4732</v>
      </c>
      <c r="I228" s="5">
        <v>3146649148</v>
      </c>
      <c r="J228" s="12">
        <v>46022</v>
      </c>
      <c r="K228" s="11">
        <v>0.375</v>
      </c>
      <c r="M228" s="10" t="s">
        <v>14832</v>
      </c>
      <c r="N228" s="12">
        <v>46020</v>
      </c>
      <c r="O228" s="10" t="s">
        <v>14833</v>
      </c>
      <c r="P228" s="5" t="s">
        <v>14571</v>
      </c>
      <c r="Q228" s="5" t="s">
        <v>14572</v>
      </c>
      <c r="R228" s="5" t="s">
        <v>14834</v>
      </c>
      <c r="T228" s="5" t="s">
        <v>5994</v>
      </c>
      <c r="U228" s="5" t="s">
        <v>14593</v>
      </c>
      <c r="V228" s="5" t="s">
        <v>83</v>
      </c>
    </row>
    <row r="229" spans="1:23" ht="12.5" hidden="1">
      <c r="A229" s="5">
        <v>90693</v>
      </c>
      <c r="B229" s="5" t="s">
        <v>14950</v>
      </c>
      <c r="C229" s="10" t="s">
        <v>14951</v>
      </c>
      <c r="D229" s="5">
        <v>56</v>
      </c>
      <c r="E229" s="5" t="s">
        <v>1102</v>
      </c>
      <c r="F229" s="5" t="s">
        <v>813</v>
      </c>
      <c r="G229" s="5" t="s">
        <v>14952</v>
      </c>
      <c r="H229" s="5" t="s">
        <v>4587</v>
      </c>
      <c r="I229" s="5">
        <v>3164520769</v>
      </c>
      <c r="J229" s="12">
        <v>46031</v>
      </c>
      <c r="K229" s="11">
        <v>0.375</v>
      </c>
      <c r="M229" s="10" t="s">
        <v>14953</v>
      </c>
      <c r="N229" s="12">
        <v>46018</v>
      </c>
      <c r="O229" s="10" t="s">
        <v>14954</v>
      </c>
      <c r="P229" s="5" t="s">
        <v>14571</v>
      </c>
      <c r="Q229" s="5" t="s">
        <v>14612</v>
      </c>
      <c r="R229" s="5" t="s">
        <v>14955</v>
      </c>
      <c r="T229" s="5" t="s">
        <v>5994</v>
      </c>
      <c r="U229" s="5"/>
      <c r="V229" s="5" t="s">
        <v>67</v>
      </c>
    </row>
    <row r="230" spans="1:23" ht="12.5" hidden="1">
      <c r="A230" s="5">
        <v>90358</v>
      </c>
      <c r="B230" s="5" t="s">
        <v>3215</v>
      </c>
      <c r="C230" s="5">
        <v>573212170032</v>
      </c>
      <c r="D230" s="5">
        <v>95</v>
      </c>
      <c r="E230" s="5" t="s">
        <v>42</v>
      </c>
      <c r="F230" s="5" t="s">
        <v>33</v>
      </c>
      <c r="G230" s="5" t="s">
        <v>3215</v>
      </c>
      <c r="H230" s="5" t="s">
        <v>34</v>
      </c>
      <c r="I230" s="5">
        <v>3212170032</v>
      </c>
      <c r="J230" s="13">
        <v>46060</v>
      </c>
      <c r="K230" s="11">
        <v>0</v>
      </c>
      <c r="M230" s="10" t="s">
        <v>2686</v>
      </c>
      <c r="N230" s="12">
        <v>46007.738513391203</v>
      </c>
      <c r="O230" s="10" t="s">
        <v>15473</v>
      </c>
      <c r="P230" s="5" t="s">
        <v>14571</v>
      </c>
      <c r="Q230" s="5" t="s">
        <v>14572</v>
      </c>
      <c r="R230" s="5" t="s">
        <v>15474</v>
      </c>
      <c r="T230" s="5" t="s">
        <v>14574</v>
      </c>
      <c r="U230" s="5" t="s">
        <v>33</v>
      </c>
      <c r="V230" s="5" t="s">
        <v>83</v>
      </c>
      <c r="W230" s="5" t="s">
        <v>3216</v>
      </c>
    </row>
    <row r="231" spans="1:23" ht="12.5" hidden="1"/>
    <row r="232" spans="1:23" ht="12.5" hidden="1"/>
    <row r="233" spans="1:23" ht="12.5" hidden="1"/>
    <row r="234" spans="1:23" ht="12.5" hidden="1"/>
    <row r="235" spans="1:23" ht="12.5" hidden="1"/>
    <row r="236" spans="1:23" ht="12.5" hidden="1"/>
    <row r="237" spans="1:23" ht="12.5" hidden="1"/>
    <row r="238" spans="1:23" ht="12.5" hidden="1"/>
    <row r="239" spans="1:23" ht="12.5" hidden="1"/>
    <row r="240" spans="1:23" ht="12.5" hidden="1"/>
    <row r="241" ht="12.5" hidden="1"/>
    <row r="242" ht="12.5" hidden="1"/>
    <row r="243" ht="12.5" hidden="1"/>
    <row r="244" ht="12.5" hidden="1"/>
    <row r="245" ht="12.5" hidden="1"/>
    <row r="246" ht="12.5" hidden="1"/>
    <row r="247" ht="12.5" hidden="1"/>
    <row r="248" ht="12.5" hidden="1"/>
    <row r="249" ht="12.5" hidden="1"/>
    <row r="250" ht="12.5" hidden="1"/>
    <row r="251" ht="12.5" hidden="1"/>
    <row r="252" ht="12.5" hidden="1"/>
    <row r="253" ht="12.5" hidden="1"/>
    <row r="254" ht="12.5" hidden="1"/>
    <row r="255" ht="12.5" hidden="1"/>
    <row r="256" ht="12.5" hidden="1"/>
    <row r="257" ht="12.5" hidden="1"/>
    <row r="258" ht="12.5" hidden="1"/>
    <row r="259" ht="12.5" hidden="1"/>
    <row r="260" ht="12.5" hidden="1"/>
    <row r="261" ht="12.5" hidden="1"/>
    <row r="262" ht="12.5" hidden="1"/>
    <row r="263" ht="12.5" hidden="1"/>
    <row r="264" ht="12.5" hidden="1"/>
    <row r="265" ht="12.5" hidden="1"/>
    <row r="266" ht="12.5" hidden="1"/>
    <row r="267" ht="12.5" hidden="1"/>
    <row r="268" ht="12.5" hidden="1"/>
    <row r="269" ht="12.5" hidden="1"/>
    <row r="270" ht="12.5" hidden="1"/>
    <row r="271" ht="12.5" hidden="1"/>
    <row r="272" ht="12.5" hidden="1"/>
    <row r="273" ht="12.5" hidden="1"/>
    <row r="274" ht="12.5" hidden="1"/>
    <row r="275" ht="12.5" hidden="1"/>
    <row r="276" ht="12.5" hidden="1"/>
    <row r="277" ht="12.5" hidden="1"/>
    <row r="278" ht="12.5" hidden="1"/>
    <row r="279" ht="12.5" hidden="1"/>
    <row r="280" ht="12.5" hidden="1"/>
    <row r="281" ht="12.5" hidden="1"/>
    <row r="282" ht="12.5" hidden="1"/>
    <row r="283" ht="12.5" hidden="1"/>
    <row r="284" ht="12.5" hidden="1"/>
    <row r="285" ht="12.5" hidden="1"/>
    <row r="286" ht="12.5" hidden="1"/>
    <row r="287" ht="12.5" hidden="1"/>
    <row r="288" ht="12.5" hidden="1"/>
    <row r="289" ht="12.5" hidden="1"/>
    <row r="290" ht="12.5" hidden="1"/>
    <row r="291" ht="12.5" hidden="1"/>
    <row r="292" ht="12.5" hidden="1"/>
    <row r="293" ht="12.5" hidden="1"/>
    <row r="294" ht="12.5" hidden="1"/>
    <row r="295" ht="12.5" hidden="1"/>
    <row r="296" ht="12.5" hidden="1"/>
    <row r="297" ht="12.5" hidden="1"/>
    <row r="298" ht="12.5" hidden="1"/>
    <row r="299" ht="12.5" hidden="1"/>
    <row r="300" ht="12.5" hidden="1"/>
    <row r="301" ht="12.5" hidden="1"/>
    <row r="302" ht="12.5" hidden="1"/>
    <row r="303" ht="12.5" hidden="1"/>
    <row r="304" ht="12.5" hidden="1"/>
    <row r="305" ht="12.5" hidden="1"/>
    <row r="306" ht="12.5" hidden="1"/>
    <row r="307" ht="12.5" hidden="1"/>
    <row r="308" ht="12.5" hidden="1"/>
    <row r="309" ht="12.5" hidden="1"/>
    <row r="310" ht="12.5" hidden="1"/>
    <row r="311" ht="12.5" hidden="1"/>
    <row r="312" ht="12.5" hidden="1"/>
    <row r="313" ht="12.5" hidden="1"/>
    <row r="314" ht="12.5" hidden="1"/>
    <row r="315" ht="12.5" hidden="1"/>
    <row r="316" ht="12.5" hidden="1"/>
    <row r="317" ht="12.5" hidden="1"/>
    <row r="318" ht="12.5" hidden="1"/>
    <row r="319" ht="12.5" hidden="1"/>
    <row r="320" ht="12.5" hidden="1"/>
    <row r="321" ht="12.5" hidden="1"/>
    <row r="322" ht="12.5" hidden="1"/>
    <row r="323" ht="12.5" hidden="1"/>
    <row r="324" ht="12.5" hidden="1"/>
    <row r="325" ht="12.5" hidden="1"/>
    <row r="326" ht="12.5" hidden="1"/>
    <row r="327" ht="12.5" hidden="1"/>
    <row r="328" ht="12.5" hidden="1"/>
    <row r="329" ht="12.5" hidden="1"/>
    <row r="330" ht="12.5" hidden="1"/>
    <row r="331" ht="12.5" hidden="1"/>
    <row r="332" ht="12.5" hidden="1"/>
    <row r="333" ht="12.5" hidden="1"/>
    <row r="334" ht="12.5" hidden="1"/>
    <row r="335" ht="12.5" hidden="1"/>
    <row r="336" ht="12.5" hidden="1"/>
    <row r="337" ht="12.5" hidden="1"/>
    <row r="338" ht="12.5" hidden="1"/>
    <row r="339" ht="12.5" hidden="1"/>
    <row r="340" ht="12.5" hidden="1"/>
    <row r="341" ht="12.5" hidden="1"/>
    <row r="342" ht="12.5" hidden="1"/>
    <row r="343" ht="12.5" hidden="1"/>
    <row r="344" ht="12.5" hidden="1"/>
    <row r="345" ht="12.5" hidden="1"/>
    <row r="346" ht="12.5" hidden="1"/>
    <row r="347" ht="12.5" hidden="1"/>
    <row r="348" ht="12.5" hidden="1"/>
    <row r="349" ht="12.5" hidden="1"/>
    <row r="350" ht="12.5" hidden="1"/>
    <row r="351" ht="12.5" hidden="1"/>
    <row r="352" ht="12.5" hidden="1"/>
    <row r="353" ht="12.5" hidden="1"/>
    <row r="354" ht="12.5" hidden="1"/>
    <row r="355" ht="12.5" hidden="1"/>
    <row r="356" ht="12.5" hidden="1"/>
    <row r="357" ht="12.5" hidden="1"/>
    <row r="358" ht="12.5" hidden="1"/>
    <row r="359" ht="12.5" hidden="1"/>
    <row r="360" ht="12.5" hidden="1"/>
    <row r="361" ht="12.5" hidden="1"/>
    <row r="362" ht="12.5" hidden="1"/>
    <row r="363" ht="12.5" hidden="1"/>
    <row r="364" ht="12.5" hidden="1"/>
    <row r="365" ht="12.5" hidden="1"/>
    <row r="366" ht="12.5" hidden="1"/>
    <row r="367" ht="12.5" hidden="1"/>
    <row r="368" ht="12.5" hidden="1"/>
    <row r="369" ht="12.5" hidden="1"/>
    <row r="370" ht="12.5" hidden="1"/>
    <row r="371" ht="12.5" hidden="1"/>
    <row r="372" ht="12.5" hidden="1"/>
    <row r="373" ht="12.5" hidden="1"/>
    <row r="374" ht="12.5" hidden="1"/>
    <row r="375" ht="12.5" hidden="1"/>
    <row r="376" ht="12.5" hidden="1"/>
    <row r="377" ht="12.5" hidden="1"/>
    <row r="378" ht="12.5" hidden="1"/>
    <row r="379" ht="12.5" hidden="1"/>
    <row r="380" ht="12.5" hidden="1"/>
    <row r="381" ht="12.5" hidden="1"/>
    <row r="382" ht="12.5" hidden="1"/>
    <row r="383" ht="12.5" hidden="1"/>
    <row r="384" ht="12.5" hidden="1"/>
    <row r="385" ht="12.5" hidden="1"/>
    <row r="386" ht="12.5" hidden="1"/>
    <row r="387" ht="12.5" hidden="1"/>
    <row r="388" ht="12.5" hidden="1"/>
    <row r="389" ht="12.5" hidden="1"/>
    <row r="390" ht="12.5" hidden="1"/>
    <row r="391" ht="12.5" hidden="1"/>
    <row r="392" ht="12.5" hidden="1"/>
    <row r="393" ht="12.5" hidden="1"/>
    <row r="394" ht="12.5" hidden="1"/>
    <row r="395" ht="12.5" hidden="1"/>
    <row r="396" ht="12.5" hidden="1"/>
    <row r="397" ht="12.5" hidden="1"/>
    <row r="398" ht="12.5" hidden="1"/>
    <row r="399" ht="12.5" hidden="1"/>
    <row r="400" ht="12.5" hidden="1"/>
    <row r="401" ht="12.5" hidden="1"/>
    <row r="402" ht="12.5" hidden="1"/>
    <row r="403" ht="12.5" hidden="1"/>
    <row r="404" ht="12.5" hidden="1"/>
    <row r="405" ht="12.5" hidden="1"/>
    <row r="406" ht="12.5" hidden="1"/>
    <row r="407" ht="12.5" hidden="1"/>
    <row r="408" ht="12.5" hidden="1"/>
    <row r="409" ht="12.5" hidden="1"/>
    <row r="410" ht="12.5" hidden="1"/>
    <row r="411" ht="12.5" hidden="1"/>
    <row r="412" ht="12.5" hidden="1"/>
    <row r="413" ht="12.5" hidden="1"/>
    <row r="414" ht="12.5" hidden="1"/>
    <row r="415" ht="12.5" hidden="1"/>
    <row r="416" ht="12.5" hidden="1"/>
    <row r="417" ht="12.5" hidden="1"/>
    <row r="418" ht="12.5" hidden="1"/>
    <row r="419" ht="12.5" hidden="1"/>
    <row r="420" ht="12.5" hidden="1"/>
    <row r="421" ht="12.5" hidden="1"/>
    <row r="422" ht="12.5" hidden="1"/>
    <row r="423" ht="12.5" hidden="1"/>
    <row r="424" ht="12.5" hidden="1"/>
    <row r="425" ht="12.5" hidden="1"/>
    <row r="426" ht="12.5" hidden="1"/>
    <row r="427" ht="12.5" hidden="1"/>
    <row r="428" ht="12.5" hidden="1"/>
    <row r="429" ht="12.5" hidden="1"/>
    <row r="430" ht="12.5" hidden="1"/>
    <row r="431" ht="12.5" hidden="1"/>
    <row r="432" ht="12.5" hidden="1"/>
    <row r="433" ht="12.5" hidden="1"/>
    <row r="434" ht="12.5" hidden="1"/>
    <row r="435" ht="12.5" hidden="1"/>
    <row r="436" ht="12.5" hidden="1"/>
    <row r="437" ht="12.5" hidden="1"/>
    <row r="438" ht="12.5" hidden="1"/>
    <row r="439" ht="12.5" hidden="1"/>
    <row r="440" ht="12.5" hidden="1"/>
    <row r="441" ht="12.5" hidden="1"/>
    <row r="442" ht="12.5" hidden="1"/>
    <row r="443" ht="12.5" hidden="1"/>
    <row r="444" ht="12.5" hidden="1"/>
    <row r="445" ht="12.5" hidden="1"/>
    <row r="446" ht="12.5" hidden="1"/>
    <row r="447" ht="12.5" hidden="1"/>
    <row r="448" ht="12.5" hidden="1"/>
    <row r="449" ht="12.5" hidden="1"/>
    <row r="450" ht="12.5" hidden="1"/>
    <row r="451" ht="12.5" hidden="1"/>
    <row r="452" ht="12.5" hidden="1"/>
    <row r="453" ht="12.5" hidden="1"/>
    <row r="454" ht="12.5" hidden="1"/>
    <row r="455" ht="12.5" hidden="1"/>
    <row r="456" ht="12.5" hidden="1"/>
    <row r="457" ht="12.5" hidden="1"/>
    <row r="458" ht="12.5" hidden="1"/>
    <row r="459" ht="12.5" hidden="1"/>
    <row r="460" ht="12.5" hidden="1"/>
    <row r="461" ht="12.5" hidden="1"/>
    <row r="462" ht="12.5" hidden="1"/>
    <row r="463" ht="12.5" hidden="1"/>
    <row r="464" ht="12.5" hidden="1"/>
    <row r="465" ht="12.5" hidden="1"/>
    <row r="466" ht="12.5" hidden="1"/>
    <row r="467" ht="12.5" hidden="1"/>
    <row r="468" ht="12.5" hidden="1"/>
    <row r="469" ht="12.5" hidden="1"/>
    <row r="470" ht="12.5" hidden="1"/>
    <row r="471" ht="12.5" hidden="1"/>
    <row r="472" ht="12.5" hidden="1"/>
    <row r="473" ht="12.5" hidden="1"/>
    <row r="474" ht="12.5" hidden="1"/>
    <row r="475" ht="12.5" hidden="1"/>
    <row r="476" ht="12.5" hidden="1"/>
    <row r="477" ht="12.5" hidden="1"/>
    <row r="478" ht="12.5" hidden="1"/>
    <row r="479" ht="12.5" hidden="1"/>
    <row r="480" ht="12.5" hidden="1"/>
    <row r="481" ht="12.5" hidden="1"/>
    <row r="482" ht="12.5" hidden="1"/>
    <row r="483" ht="12.5" hidden="1"/>
    <row r="484" ht="12.5" hidden="1"/>
    <row r="485" ht="12.5" hidden="1"/>
    <row r="486" ht="12.5" hidden="1"/>
    <row r="487" ht="12.5" hidden="1"/>
    <row r="488" ht="12.5" hidden="1"/>
    <row r="489" ht="12.5" hidden="1"/>
    <row r="490" ht="12.5" hidden="1"/>
    <row r="491" ht="12.5" hidden="1"/>
    <row r="492" ht="12.5" hidden="1"/>
    <row r="493" ht="12.5" hidden="1"/>
    <row r="494" ht="12.5" hidden="1"/>
    <row r="495" ht="12.5" hidden="1"/>
    <row r="496" ht="12.5" hidden="1"/>
    <row r="497" ht="12.5" hidden="1"/>
    <row r="498" ht="12.5" hidden="1"/>
    <row r="499" ht="12.5" hidden="1"/>
    <row r="500" ht="12.5" hidden="1"/>
    <row r="501" ht="12.5" hidden="1"/>
    <row r="502" ht="12.5" hidden="1"/>
    <row r="503" ht="12.5" hidden="1"/>
    <row r="504" ht="12.5" hidden="1"/>
    <row r="505" ht="12.5" hidden="1"/>
    <row r="506" ht="12.5" hidden="1"/>
    <row r="507" ht="12.5" hidden="1"/>
    <row r="508" ht="12.5" hidden="1"/>
    <row r="509" ht="12.5" hidden="1"/>
    <row r="510" ht="12.5" hidden="1"/>
    <row r="511" ht="12.5" hidden="1"/>
    <row r="512" ht="12.5" hidden="1"/>
    <row r="513" ht="12.5" hidden="1"/>
    <row r="514" ht="12.5" hidden="1"/>
    <row r="515" ht="12.5" hidden="1"/>
    <row r="516" ht="12.5" hidden="1"/>
    <row r="517" ht="12.5" hidden="1"/>
    <row r="518" ht="12.5" hidden="1"/>
    <row r="519" ht="12.5" hidden="1"/>
    <row r="520" ht="12.5" hidden="1"/>
    <row r="521" ht="12.5" hidden="1"/>
    <row r="522" ht="12.5" hidden="1"/>
    <row r="523" ht="12.5" hidden="1"/>
    <row r="524" ht="12.5" hidden="1"/>
    <row r="525" ht="12.5" hidden="1"/>
    <row r="526" ht="12.5" hidden="1"/>
    <row r="527" ht="12.5" hidden="1"/>
    <row r="528" ht="12.5" hidden="1"/>
    <row r="529" ht="12.5" hidden="1"/>
    <row r="530" ht="12.5" hidden="1"/>
    <row r="531" ht="12.5" hidden="1"/>
    <row r="532" ht="12.5" hidden="1"/>
    <row r="533" ht="12.5" hidden="1"/>
    <row r="534" ht="12.5" hidden="1"/>
    <row r="535" ht="12.5" hidden="1"/>
    <row r="536" ht="12.5" hidden="1"/>
    <row r="537" ht="12.5" hidden="1"/>
    <row r="538" ht="12.5" hidden="1"/>
    <row r="539" ht="12.5" hidden="1"/>
    <row r="540" ht="12.5" hidden="1"/>
    <row r="541" ht="12.5" hidden="1"/>
    <row r="542" ht="12.5" hidden="1"/>
    <row r="543" ht="12.5" hidden="1"/>
    <row r="544" ht="12.5" hidden="1"/>
    <row r="545" ht="12.5" hidden="1"/>
    <row r="546" ht="12.5" hidden="1"/>
    <row r="547" ht="12.5" hidden="1"/>
    <row r="548" ht="12.5" hidden="1"/>
    <row r="549" ht="12.5" hidden="1"/>
    <row r="550" ht="12.5" hidden="1"/>
    <row r="551" ht="12.5" hidden="1"/>
    <row r="552" ht="12.5" hidden="1"/>
    <row r="553" ht="12.5" hidden="1"/>
    <row r="554" ht="12.5" hidden="1"/>
    <row r="555" ht="12.5" hidden="1"/>
    <row r="556" ht="12.5" hidden="1"/>
    <row r="557" ht="12.5" hidden="1"/>
    <row r="558" ht="12.5" hidden="1"/>
    <row r="559" ht="12.5" hidden="1"/>
    <row r="560" ht="12.5" hidden="1"/>
    <row r="561" ht="12.5" hidden="1"/>
    <row r="562" ht="12.5" hidden="1"/>
    <row r="563" ht="12.5" hidden="1"/>
    <row r="564" ht="12.5" hidden="1"/>
    <row r="565" ht="12.5" hidden="1"/>
    <row r="566" ht="12.5" hidden="1"/>
    <row r="567" ht="12.5" hidden="1"/>
    <row r="568" ht="12.5" hidden="1"/>
    <row r="569" ht="12.5" hidden="1"/>
    <row r="570" ht="12.5" hidden="1"/>
    <row r="571" ht="12.5" hidden="1"/>
    <row r="572" ht="12.5" hidden="1"/>
    <row r="573" ht="12.5" hidden="1"/>
    <row r="574" ht="12.5" hidden="1"/>
    <row r="575" ht="12.5" hidden="1"/>
    <row r="576" ht="12.5" hidden="1"/>
    <row r="577" ht="12.5" hidden="1"/>
    <row r="578" ht="12.5" hidden="1"/>
    <row r="579" ht="12.5" hidden="1"/>
    <row r="580" ht="12.5" hidden="1"/>
    <row r="581" ht="12.5" hidden="1"/>
    <row r="582" ht="12.5" hidden="1"/>
    <row r="583" ht="12.5" hidden="1"/>
    <row r="584" ht="12.5" hidden="1"/>
    <row r="585" ht="12.5" hidden="1"/>
    <row r="586" ht="12.5" hidden="1"/>
    <row r="587" ht="12.5" hidden="1"/>
    <row r="588" ht="12.5" hidden="1"/>
    <row r="589" ht="12.5" hidden="1"/>
    <row r="590" ht="12.5" hidden="1"/>
    <row r="591" ht="12.5" hidden="1"/>
    <row r="592" ht="12.5" hidden="1"/>
    <row r="593" ht="12.5" hidden="1"/>
    <row r="594" ht="12.5" hidden="1"/>
    <row r="595" ht="12.5" hidden="1"/>
    <row r="596" ht="12.5" hidden="1"/>
    <row r="597" ht="12.5" hidden="1"/>
    <row r="598" ht="12.5" hidden="1"/>
    <row r="599" ht="12.5" hidden="1"/>
    <row r="600" ht="12.5" hidden="1"/>
    <row r="601" ht="12.5" hidden="1"/>
    <row r="602" ht="12.5" hidden="1"/>
    <row r="603" ht="12.5" hidden="1"/>
    <row r="604" ht="12.5" hidden="1"/>
    <row r="605" ht="12.5" hidden="1"/>
    <row r="606" ht="12.5" hidden="1"/>
    <row r="607" ht="12.5" hidden="1"/>
    <row r="608" ht="12.5" hidden="1"/>
    <row r="609" ht="12.5" hidden="1"/>
    <row r="610" ht="12.5" hidden="1"/>
    <row r="611" ht="12.5" hidden="1"/>
    <row r="612" ht="12.5" hidden="1"/>
    <row r="613" ht="12.5" hidden="1"/>
    <row r="614" ht="12.5" hidden="1"/>
    <row r="615" ht="12.5" hidden="1"/>
    <row r="616" ht="12.5" hidden="1"/>
    <row r="617" ht="12.5" hidden="1"/>
    <row r="618" ht="12.5" hidden="1"/>
    <row r="619" ht="12.5" hidden="1"/>
    <row r="620" ht="12.5" hidden="1"/>
    <row r="621" ht="12.5" hidden="1"/>
    <row r="622" ht="12.5" hidden="1"/>
    <row r="623" ht="12.5" hidden="1"/>
    <row r="624" ht="12.5" hidden="1"/>
    <row r="625" ht="12.5" hidden="1"/>
    <row r="626" ht="12.5" hidden="1"/>
    <row r="627" ht="12.5" hidden="1"/>
    <row r="628" ht="12.5" hidden="1"/>
    <row r="629" ht="12.5" hidden="1"/>
    <row r="630" ht="12.5" hidden="1"/>
    <row r="631" ht="12.5" hidden="1"/>
    <row r="632" ht="12.5" hidden="1"/>
    <row r="633" ht="12.5" hidden="1"/>
    <row r="634" ht="12.5" hidden="1"/>
    <row r="635" ht="12.5" hidden="1"/>
    <row r="636" ht="12.5" hidden="1"/>
    <row r="637" ht="12.5" hidden="1"/>
    <row r="638" ht="12.5" hidden="1"/>
    <row r="639" ht="12.5" hidden="1"/>
    <row r="640" ht="12.5" hidden="1"/>
    <row r="641" ht="12.5" hidden="1"/>
    <row r="642" ht="12.5" hidden="1"/>
    <row r="643" ht="12.5" hidden="1"/>
    <row r="644" ht="12.5" hidden="1"/>
    <row r="645" ht="12.5" hidden="1"/>
    <row r="646" ht="12.5" hidden="1"/>
    <row r="647" ht="12.5" hidden="1"/>
    <row r="648" ht="12.5" hidden="1"/>
    <row r="649" ht="12.5" hidden="1"/>
    <row r="650" ht="12.5" hidden="1"/>
    <row r="651" ht="12.5" hidden="1"/>
    <row r="652" ht="12.5" hidden="1"/>
    <row r="653" ht="12.5" hidden="1"/>
    <row r="654" ht="12.5" hidden="1"/>
    <row r="655" ht="12.5" hidden="1"/>
    <row r="656" ht="12.5" hidden="1"/>
    <row r="657" ht="12.5" hidden="1"/>
    <row r="658" ht="12.5" hidden="1"/>
    <row r="659" ht="12.5" hidden="1"/>
    <row r="660" ht="12.5" hidden="1"/>
    <row r="661" ht="12.5" hidden="1"/>
    <row r="662" ht="12.5" hidden="1"/>
    <row r="663" ht="12.5" hidden="1"/>
    <row r="664" ht="12.5" hidden="1"/>
    <row r="665" ht="12.5" hidden="1"/>
    <row r="666" ht="12.5" hidden="1"/>
    <row r="667" ht="12.5" hidden="1"/>
    <row r="668" ht="12.5" hidden="1"/>
    <row r="669" ht="12.5" hidden="1"/>
    <row r="670" ht="12.5" hidden="1"/>
    <row r="671" ht="12.5" hidden="1"/>
    <row r="672" ht="12.5" hidden="1"/>
    <row r="673" ht="12.5" hidden="1"/>
    <row r="674" ht="12.5" hidden="1"/>
    <row r="675" ht="12.5" hidden="1"/>
    <row r="676" ht="12.5" hidden="1"/>
    <row r="677" ht="12.5" hidden="1"/>
    <row r="678" ht="12.5" hidden="1"/>
    <row r="679" ht="12.5" hidden="1"/>
    <row r="680" ht="12.5" hidden="1"/>
    <row r="681" ht="12.5" hidden="1"/>
    <row r="682" ht="12.5" hidden="1"/>
    <row r="683" ht="12.5" hidden="1"/>
    <row r="684" ht="12.5" hidden="1"/>
    <row r="685" ht="12.5" hidden="1"/>
    <row r="686" ht="12.5" hidden="1"/>
    <row r="687" ht="12.5" hidden="1"/>
    <row r="688" ht="12.5" hidden="1"/>
    <row r="689" ht="12.5" hidden="1"/>
    <row r="690" ht="12.5" hidden="1"/>
    <row r="691" ht="12.5" hidden="1"/>
    <row r="692" ht="12.5" hidden="1"/>
    <row r="693" ht="12.5" hidden="1"/>
    <row r="694" ht="12.5" hidden="1"/>
    <row r="695" ht="12.5" hidden="1"/>
    <row r="696" ht="12.5" hidden="1"/>
    <row r="697" ht="12.5" hidden="1"/>
    <row r="698" ht="12.5" hidden="1"/>
    <row r="699" ht="12.5" hidden="1"/>
    <row r="700" ht="12.5" hidden="1"/>
    <row r="701" ht="12.5" hidden="1"/>
    <row r="702" ht="12.5" hidden="1"/>
    <row r="703" ht="12.5" hidden="1"/>
    <row r="704" ht="12.5" hidden="1"/>
    <row r="705" ht="12.5" hidden="1"/>
    <row r="706" ht="12.5" hidden="1"/>
    <row r="707" ht="12.5" hidden="1"/>
    <row r="708" ht="12.5" hidden="1"/>
    <row r="709" ht="12.5" hidden="1"/>
    <row r="710" ht="12.5" hidden="1"/>
    <row r="711" ht="12.5" hidden="1"/>
    <row r="712" ht="12.5" hidden="1"/>
    <row r="713" ht="12.5" hidden="1"/>
    <row r="714" ht="12.5" hidden="1"/>
    <row r="715" ht="12.5" hidden="1"/>
    <row r="716" ht="12.5" hidden="1"/>
    <row r="717" ht="12.5" hidden="1"/>
    <row r="718" ht="12.5" hidden="1"/>
    <row r="719" ht="12.5" hidden="1"/>
    <row r="720" ht="12.5" hidden="1"/>
    <row r="721" ht="12.5" hidden="1"/>
    <row r="722" ht="12.5" hidden="1"/>
    <row r="723" ht="12.5" hidden="1"/>
    <row r="724" ht="12.5" hidden="1"/>
    <row r="725" ht="12.5" hidden="1"/>
    <row r="726" ht="12.5" hidden="1"/>
    <row r="727" ht="12.5" hidden="1"/>
    <row r="728" ht="12.5" hidden="1"/>
    <row r="729" ht="12.5" hidden="1"/>
    <row r="730" ht="12.5" hidden="1"/>
    <row r="731" ht="12.5" hidden="1"/>
    <row r="732" ht="12.5" hidden="1"/>
    <row r="733" ht="12.5" hidden="1"/>
    <row r="734" ht="12.5" hidden="1"/>
    <row r="735" ht="12.5" hidden="1"/>
    <row r="736" ht="12.5" hidden="1"/>
    <row r="737" ht="12.5" hidden="1"/>
    <row r="738" ht="12.5" hidden="1"/>
    <row r="739" ht="12.5" hidden="1"/>
    <row r="740" ht="12.5" hidden="1"/>
    <row r="741" ht="12.5" hidden="1"/>
    <row r="742" ht="12.5" hidden="1"/>
    <row r="743" ht="12.5" hidden="1"/>
    <row r="744" ht="12.5" hidden="1"/>
    <row r="745" ht="12.5" hidden="1"/>
    <row r="746" ht="12.5" hidden="1"/>
    <row r="747" ht="12.5" hidden="1"/>
    <row r="748" ht="12.5" hidden="1"/>
    <row r="749" ht="12.5" hidden="1"/>
    <row r="750" ht="12.5" hidden="1"/>
    <row r="751" ht="12.5" hidden="1"/>
    <row r="752" ht="12.5" hidden="1"/>
    <row r="753" ht="12.5" hidden="1"/>
    <row r="754" ht="12.5" hidden="1"/>
    <row r="755" ht="12.5" hidden="1"/>
    <row r="756" ht="12.5" hidden="1"/>
    <row r="757" ht="12.5" hidden="1"/>
    <row r="758" ht="12.5" hidden="1"/>
    <row r="759" ht="12.5" hidden="1"/>
    <row r="760" ht="12.5" hidden="1"/>
    <row r="761" ht="12.5" hidden="1"/>
    <row r="762" ht="12.5" hidden="1"/>
    <row r="763" ht="12.5" hidden="1"/>
    <row r="764" ht="12.5" hidden="1"/>
    <row r="765" ht="12.5" hidden="1"/>
    <row r="766" ht="12.5" hidden="1"/>
    <row r="767" ht="12.5" hidden="1"/>
    <row r="768" ht="12.5" hidden="1"/>
    <row r="769" ht="12.5" hidden="1"/>
    <row r="770" ht="12.5" hidden="1"/>
    <row r="771" ht="12.5" hidden="1"/>
    <row r="772" ht="12.5" hidden="1"/>
    <row r="773" ht="12.5" hidden="1"/>
    <row r="774" ht="12.5" hidden="1"/>
    <row r="775" ht="12.5" hidden="1"/>
    <row r="776" ht="12.5" hidden="1"/>
    <row r="777" ht="12.5" hidden="1"/>
    <row r="778" ht="12.5" hidden="1"/>
    <row r="779" ht="12.5" hidden="1"/>
    <row r="780" ht="12.5" hidden="1"/>
    <row r="781" ht="12.5" hidden="1"/>
    <row r="782" ht="12.5" hidden="1"/>
    <row r="783" ht="12.5" hidden="1"/>
    <row r="784" ht="12.5" hidden="1"/>
    <row r="785" ht="12.5" hidden="1"/>
    <row r="786" ht="12.5" hidden="1"/>
    <row r="787" ht="12.5" hidden="1"/>
    <row r="788" ht="12.5" hidden="1"/>
    <row r="789" ht="12.5" hidden="1"/>
    <row r="790" ht="12.5" hidden="1"/>
    <row r="791" ht="12.5" hidden="1"/>
    <row r="792" ht="12.5" hidden="1"/>
    <row r="793" ht="12.5" hidden="1"/>
    <row r="794" ht="12.5" hidden="1"/>
    <row r="795" ht="12.5" hidden="1"/>
    <row r="796" ht="12.5" hidden="1"/>
    <row r="797" ht="12.5" hidden="1"/>
    <row r="798" ht="12.5" hidden="1"/>
    <row r="799" ht="12.5" hidden="1"/>
    <row r="800" ht="12.5" hidden="1"/>
    <row r="801" ht="12.5" hidden="1"/>
    <row r="802" ht="12.5" hidden="1"/>
    <row r="803" ht="12.5" hidden="1"/>
    <row r="804" ht="12.5" hidden="1"/>
    <row r="805" ht="12.5" hidden="1"/>
    <row r="806" ht="12.5" hidden="1"/>
    <row r="807" ht="12.5" hidden="1"/>
    <row r="808" ht="12.5" hidden="1"/>
    <row r="809" ht="12.5" hidden="1"/>
    <row r="810" ht="12.5" hidden="1"/>
    <row r="811" ht="12.5" hidden="1"/>
    <row r="812" ht="12.5" hidden="1"/>
    <row r="813" ht="12.5" hidden="1"/>
    <row r="814" ht="12.5" hidden="1"/>
    <row r="815" ht="12.5" hidden="1"/>
    <row r="816" ht="12.5" hidden="1"/>
    <row r="817" ht="12.5" hidden="1"/>
    <row r="818" ht="12.5" hidden="1"/>
    <row r="819" ht="12.5" hidden="1"/>
    <row r="820" ht="12.5" hidden="1"/>
    <row r="821" ht="12.5" hidden="1"/>
    <row r="822" ht="12.5" hidden="1"/>
    <row r="823" ht="12.5" hidden="1"/>
    <row r="824" ht="12.5" hidden="1"/>
    <row r="825" ht="12.5" hidden="1"/>
    <row r="826" ht="12.5" hidden="1"/>
    <row r="827" ht="12.5" hidden="1"/>
    <row r="828" ht="12.5" hidden="1"/>
    <row r="829" ht="12.5" hidden="1"/>
    <row r="830" ht="12.5" hidden="1"/>
    <row r="831" ht="12.5" hidden="1"/>
    <row r="832" ht="12.5" hidden="1"/>
    <row r="833" ht="12.5" hidden="1"/>
    <row r="834" ht="12.5" hidden="1"/>
    <row r="835" ht="12.5" hidden="1"/>
    <row r="836" ht="12.5" hidden="1"/>
    <row r="837" ht="12.5" hidden="1"/>
    <row r="838" ht="12.5" hidden="1"/>
    <row r="839" ht="12.5" hidden="1"/>
    <row r="840" ht="12.5" hidden="1"/>
    <row r="841" ht="12.5" hidden="1"/>
    <row r="842" ht="12.5" hidden="1"/>
    <row r="843" ht="12.5" hidden="1"/>
    <row r="844" ht="12.5" hidden="1"/>
    <row r="845" ht="12.5" hidden="1"/>
    <row r="846" ht="12.5" hidden="1"/>
    <row r="847" ht="12.5" hidden="1"/>
    <row r="848" ht="12.5" hidden="1"/>
    <row r="849" ht="12.5" hidden="1"/>
    <row r="850" ht="12.5" hidden="1"/>
    <row r="851" ht="12.5" hidden="1"/>
    <row r="852" ht="12.5" hidden="1"/>
    <row r="853" ht="12.5" hidden="1"/>
    <row r="854" ht="12.5" hidden="1"/>
    <row r="855" ht="12.5" hidden="1"/>
    <row r="856" ht="12.5" hidden="1"/>
    <row r="857" ht="12.5" hidden="1"/>
    <row r="858" ht="12.5" hidden="1"/>
    <row r="859" ht="12.5" hidden="1"/>
    <row r="860" ht="12.5" hidden="1"/>
    <row r="861" ht="12.5" hidden="1"/>
    <row r="862" ht="12.5" hidden="1"/>
    <row r="863" ht="12.5" hidden="1"/>
    <row r="864" ht="12.5" hidden="1"/>
    <row r="865" ht="12.5" hidden="1"/>
    <row r="866" ht="12.5" hidden="1"/>
    <row r="867" ht="12.5" hidden="1"/>
    <row r="868" ht="12.5" hidden="1"/>
    <row r="869" ht="12.5" hidden="1"/>
    <row r="870" ht="12.5" hidden="1"/>
    <row r="871" ht="12.5" hidden="1"/>
    <row r="872" ht="12.5" hidden="1"/>
    <row r="873" ht="12.5" hidden="1"/>
    <row r="874" ht="12.5" hidden="1"/>
    <row r="875" ht="12.5" hidden="1"/>
    <row r="876" ht="12.5" hidden="1"/>
    <row r="877" ht="12.5" hidden="1"/>
    <row r="878" ht="12.5" hidden="1"/>
    <row r="879" ht="12.5" hidden="1"/>
    <row r="880" ht="12.5" hidden="1"/>
    <row r="881" ht="12.5" hidden="1"/>
    <row r="882" ht="12.5" hidden="1"/>
    <row r="883" ht="12.5" hidden="1"/>
    <row r="884" ht="12.5" hidden="1"/>
    <row r="885" ht="12.5" hidden="1"/>
    <row r="886" ht="12.5" hidden="1"/>
    <row r="887" ht="12.5" hidden="1"/>
    <row r="888" ht="12.5" hidden="1"/>
    <row r="889" ht="12.5" hidden="1"/>
    <row r="890" ht="12.5" hidden="1"/>
    <row r="891" ht="12.5" hidden="1"/>
    <row r="892" ht="12.5" hidden="1"/>
    <row r="893" ht="12.5" hidden="1"/>
    <row r="894" ht="12.5" hidden="1"/>
    <row r="895" ht="12.5" hidden="1"/>
    <row r="896" ht="12.5" hidden="1"/>
    <row r="897" ht="12.5" hidden="1"/>
    <row r="898" ht="12.5" hidden="1"/>
    <row r="899" ht="12.5" hidden="1"/>
    <row r="900" ht="12.5" hidden="1"/>
    <row r="901" ht="12.5" hidden="1"/>
    <row r="902" ht="12.5" hidden="1"/>
    <row r="903" ht="12.5" hidden="1"/>
    <row r="904" ht="12.5" hidden="1"/>
    <row r="905" ht="12.5" hidden="1"/>
    <row r="906" ht="12.5" hidden="1"/>
    <row r="907" ht="12.5" hidden="1"/>
    <row r="908" ht="12.5" hidden="1"/>
    <row r="909" ht="12.5" hidden="1"/>
    <row r="910" ht="12.5" hidden="1"/>
    <row r="911" ht="12.5" hidden="1"/>
    <row r="912" ht="12.5" hidden="1"/>
    <row r="913" ht="12.5" hidden="1"/>
    <row r="914" ht="12.5" hidden="1"/>
    <row r="915" ht="12.5" hidden="1"/>
    <row r="916" ht="12.5" hidden="1"/>
    <row r="917" ht="12.5" hidden="1"/>
    <row r="918" ht="12.5" hidden="1"/>
    <row r="919" ht="12.5" hidden="1"/>
    <row r="920" ht="12.5" hidden="1"/>
    <row r="921" ht="12.5" hidden="1"/>
    <row r="922" ht="12.5" hidden="1"/>
    <row r="923" ht="12.5" hidden="1"/>
    <row r="924" ht="12.5" hidden="1"/>
    <row r="925" ht="12.5" hidden="1"/>
    <row r="926" ht="12.5" hidden="1"/>
    <row r="927" ht="12.5" hidden="1"/>
    <row r="928" ht="12.5" hidden="1"/>
    <row r="929" ht="12.5" hidden="1"/>
    <row r="930" ht="12.5" hidden="1"/>
    <row r="931" ht="12.5" hidden="1"/>
    <row r="932" ht="12.5" hidden="1"/>
    <row r="933" ht="12.5" hidden="1"/>
    <row r="934" ht="12.5" hidden="1"/>
    <row r="935" ht="12.5" hidden="1"/>
    <row r="936" ht="12.5" hidden="1"/>
    <row r="937" ht="12.5" hidden="1"/>
    <row r="938" ht="12.5" hidden="1"/>
    <row r="939" ht="12.5" hidden="1"/>
    <row r="940" ht="12.5" hidden="1"/>
    <row r="941" ht="12.5" hidden="1"/>
    <row r="942" ht="12.5" hidden="1"/>
    <row r="943" ht="12.5" hidden="1"/>
    <row r="944" ht="12.5" hidden="1"/>
    <row r="945" ht="12.5" hidden="1"/>
    <row r="946" ht="12.5" hidden="1"/>
    <row r="947" ht="12.5" hidden="1"/>
    <row r="948" ht="12.5" hidden="1"/>
    <row r="949" ht="12.5" hidden="1"/>
    <row r="950" ht="12.5" hidden="1"/>
    <row r="951" ht="12.5" hidden="1"/>
    <row r="952" ht="12.5" hidden="1"/>
    <row r="953" ht="12.5" hidden="1"/>
    <row r="954" ht="12.5" hidden="1"/>
    <row r="955" ht="12.5" hidden="1"/>
    <row r="956" ht="12.5" hidden="1"/>
    <row r="957" ht="12.5" hidden="1"/>
    <row r="958" ht="12.5" hidden="1"/>
    <row r="959" ht="12.5" hidden="1"/>
    <row r="960" ht="12.5" hidden="1"/>
    <row r="961" ht="12.5" hidden="1"/>
    <row r="962" ht="12.5" hidden="1"/>
    <row r="963" ht="12.5" hidden="1"/>
    <row r="964" ht="12.5" hidden="1"/>
    <row r="965" ht="12.5" hidden="1"/>
    <row r="966" ht="12.5" hidden="1"/>
    <row r="967" ht="12.5" hidden="1"/>
    <row r="968" ht="12.5" hidden="1"/>
    <row r="969" ht="12.5" hidden="1"/>
    <row r="970" ht="12.5" hidden="1"/>
    <row r="971" ht="12.5" hidden="1"/>
    <row r="972" ht="12.5" hidden="1"/>
    <row r="973" ht="12.5" hidden="1"/>
    <row r="974" ht="12.5" hidden="1"/>
    <row r="975" ht="12.5" hidden="1"/>
    <row r="976" ht="12.5" hidden="1"/>
    <row r="977" ht="12.5" hidden="1"/>
    <row r="978" ht="12.5" hidden="1"/>
    <row r="979" ht="12.5" hidden="1"/>
    <row r="980" ht="12.5" hidden="1"/>
    <row r="981" ht="12.5" hidden="1"/>
    <row r="982" ht="12.5" hidden="1"/>
    <row r="983" ht="12.5" hidden="1"/>
    <row r="984" ht="12.5" hidden="1"/>
    <row r="985" ht="12.5" hidden="1"/>
    <row r="986" ht="12.5" hidden="1"/>
    <row r="987" ht="12.5" hidden="1"/>
    <row r="988" ht="12.5" hidden="1"/>
    <row r="989" ht="12.5" hidden="1"/>
    <row r="990" ht="12.5" hidden="1"/>
    <row r="991" ht="12.5" hidden="1"/>
    <row r="992" ht="12.5" hidden="1"/>
    <row r="993" ht="12.5" hidden="1"/>
    <row r="994" ht="12.5" hidden="1"/>
    <row r="995" ht="12.5" hidden="1"/>
    <row r="996" ht="12.5" hidden="1"/>
    <row r="997" ht="12.5" hidden="1"/>
    <row r="998" ht="12.5" hidden="1"/>
    <row r="999" ht="12.5" hidden="1"/>
    <row r="1000" ht="12.5" hidden="1"/>
  </sheetData>
  <autoFilter ref="A1:Z1000" xr:uid="{00000000-0009-0000-0000-000016000000}">
    <filterColumn colId="13">
      <filters>
        <filter val="20/12/2025"/>
        <filter val="29/12/202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Registros</vt:lpstr>
      <vt:lpstr>Produccion</vt:lpstr>
      <vt:lpstr>Domicilios</vt:lpstr>
      <vt:lpstr>Pagos</vt:lpstr>
      <vt:lpstr>Caja</vt:lpstr>
      <vt:lpstr>Domiciliarios</vt:lpstr>
      <vt:lpstr>Catalogo</vt:lpstr>
      <vt:lpstr>San_Valentin</vt:lpstr>
      <vt:lpstr>Copia de Inventario</vt:lpstr>
      <vt:lpstr>Inventario</vt:lpstr>
      <vt:lpstr>Movimientos_Inventario</vt:lpstr>
      <vt:lpstr>Inventario_Movimientos</vt:lpstr>
      <vt:lpstr>Copia de Inventario_Movimientos</vt:lpstr>
      <vt:lpstr>Recetario</vt:lpstr>
      <vt:lpstr>Clientes</vt:lpstr>
      <vt:lpstr>Barrio</vt:lpstr>
      <vt:lpstr>Floristas</vt:lpstr>
      <vt:lpstr>Reporte</vt:lpstr>
      <vt:lpstr>CODIGOS</vt:lpstr>
      <vt:lpstr>CATALOGO_ARREGLOS</vt:lpstr>
      <vt:lpstr>MOVIMIENTOS_CATALOGO</vt:lpstr>
      <vt:lpstr>Hoja24</vt:lpstr>
      <vt:lpstr>Hoja 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Armando Ustariz Mejia</dc:creator>
  <cp:lastModifiedBy>Diego Armando Ustariz Mejia</cp:lastModifiedBy>
  <dcterms:created xsi:type="dcterms:W3CDTF">2026-03-10T20:06:12Z</dcterms:created>
  <dcterms:modified xsi:type="dcterms:W3CDTF">2026-03-10T20:06:13Z</dcterms:modified>
</cp:coreProperties>
</file>